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" sheetId="1" r:id="rId5"/>
    <sheet state="visible" name="ADHB" sheetId="2" r:id="rId6"/>
    <sheet state="visible" name="ADHK" sheetId="3" r:id="rId7"/>
    <sheet state="visible" name="Rekap" sheetId="4" r:id="rId8"/>
    <sheet state="visible" name="harga dan IHP" sheetId="5" r:id="rId9"/>
    <sheet state="visible" name="Data B-3" sheetId="6" r:id="rId10"/>
    <sheet state="visible" name="Data SKTNP-B" sheetId="7" r:id="rId11"/>
    <sheet state="visible" name="data web minerba" sheetId="8" r:id="rId12"/>
    <sheet state="visible" name="Data Antam_B3 kabkota" sheetId="9" r:id="rId13"/>
    <sheet state="visible" name="CNI_Data Antam_B3 kabkota" sheetId="10" r:id="rId14"/>
  </sheets>
  <definedNames>
    <definedName name="H">#REF!</definedName>
    <definedName name="BERLAKU">#REF!</definedName>
    <definedName localSheetId="3" name="BERLAKU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Z53">
      <text>
        <t xml:space="preserve">pake growth data kolaka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I5">
      <text>
        <t xml:space="preserve">48309649937,5; SKTNPB TW II
2021
36821199884,75 : SKTNPB TW III 2021
371883733,33;  SKTNPB TW II 2020
q to q : -23,78
y on y : 9801,27
kata p murat nominal bijih logam terlalu besar dari data asli jadi sedikit demi sedikit harus dikurangi
data antam produksi meningkat HG 41,1 % dan LGSO 32 % secara q to q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6">
      <text>
        <t xml:space="preserve">IHP Umum Pertambangan
</t>
      </text>
    </comment>
    <comment authorId="0" ref="A13">
      <text>
        <t xml:space="preserve">IHP Umum Pertambangan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P6">
      <text>
        <t xml:space="preserve">naiknya 90 % karena datanya tdk sesuai dgn tw sebelumnya maka yg digunakan pertumbuhannya saj</t>
      </text>
    </comment>
    <comment authorId="0" ref="EG6">
      <text>
        <t xml:space="preserve">naiknya 90 % karena datanya tdk sesuai dgn tw sebelumnya maka yg digunakan pertumbuhannya saj</t>
      </text>
    </comment>
    <comment authorId="0" ref="CY12">
      <text>
        <t xml:space="preserve">naiknya 90 % karena datanya tdk sesuai dgn tw sebelumnya maka yg digunakan pertumbuhannya saj</t>
      </text>
    </comment>
    <comment authorId="0" ref="DP12">
      <text>
        <t xml:space="preserve">naiknya 90 % karena datanya tdk sesuai dgn tw sebelumnya maka yg digunakan pertumbuhannya saj</t>
      </text>
    </comment>
    <comment authorId="0" ref="EG12">
      <text>
        <t xml:space="preserve">naiknya 90 % karena datanya tdk sesuai dgn tw sebelumnya maka yg digunakan pertumbuhannya saj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84">
      <text>
        <t xml:space="preserve">rasio BCM</t>
      </text>
    </comment>
    <comment authorId="0" ref="D84">
      <text>
        <t xml:space="preserve">rasio BCM</t>
      </text>
    </comment>
    <comment authorId="0" ref="E84">
      <text>
        <t xml:space="preserve">rasio BCM</t>
      </text>
    </comment>
  </commentList>
</comments>
</file>

<file path=xl/sharedStrings.xml><?xml version="1.0" encoding="utf-8"?>
<sst xmlns="http://schemas.openxmlformats.org/spreadsheetml/2006/main" count="7298" uniqueCount="783">
  <si>
    <t>HOME</t>
  </si>
  <si>
    <r>
      <rPr>
        <rFont val="Calibri"/>
        <color rgb="FF000000"/>
        <sz val="20.0"/>
      </rPr>
      <t xml:space="preserve">  S</t>
    </r>
    <r>
      <rPr>
        <rFont val="Calibri"/>
        <color rgb="FFFF0000"/>
        <sz val="20.0"/>
      </rPr>
      <t xml:space="preserve">ISTEM </t>
    </r>
  </si>
  <si>
    <r>
      <rPr>
        <rFont val="Roboto, Arial"/>
        <color rgb="FFFF0000"/>
        <sz val="30.0"/>
      </rPr>
      <t xml:space="preserve">ALAT BANTU PENGHITUNGAN ANGKA PDRB </t>
    </r>
    <r>
      <rPr>
        <rFont val="Roboto, Arial"/>
        <color rgb="FF0000FF"/>
        <sz val="30.0"/>
      </rPr>
      <t>MENURUT LAPANGAN USAHA</t>
    </r>
  </si>
  <si>
    <r>
      <rPr>
        <rFont val="Calibri"/>
        <color rgb="FF000000"/>
        <sz val="20.0"/>
      </rPr>
      <t xml:space="preserve">  I</t>
    </r>
    <r>
      <rPr>
        <rFont val="Calibri"/>
        <color rgb="FFFF0000"/>
        <sz val="20.0"/>
      </rPr>
      <t>NFORMASI</t>
    </r>
  </si>
  <si>
    <r>
      <rPr>
        <rFont val="Calibri"/>
        <color rgb="FF000000"/>
        <sz val="20.0"/>
      </rPr>
      <t xml:space="preserve">  R</t>
    </r>
    <r>
      <rPr>
        <rFont val="Calibri"/>
        <color rgb="FFFF0000"/>
        <sz val="20.0"/>
      </rPr>
      <t>ILIS</t>
    </r>
  </si>
  <si>
    <r>
      <rPr>
        <rFont val="Calibri"/>
        <color rgb="FF000000"/>
        <sz val="20.0"/>
      </rPr>
      <t xml:space="preserve">  A</t>
    </r>
    <r>
      <rPr>
        <rFont val="Calibri"/>
        <color rgb="FFFF0000"/>
        <sz val="20.0"/>
      </rPr>
      <t xml:space="preserve">NGKA PDRB </t>
    </r>
  </si>
  <si>
    <t>LAPANGAN USAHA</t>
  </si>
  <si>
    <t>:</t>
  </si>
  <si>
    <r>
      <rPr>
        <rFont val="Calibri"/>
        <color rgb="FF000000"/>
        <sz val="20.0"/>
      </rPr>
      <t xml:space="preserve">  M</t>
    </r>
    <r>
      <rPr>
        <rFont val="Calibri"/>
        <color rgb="FFFF0000"/>
        <sz val="20.0"/>
      </rPr>
      <t>ELALUI LEMBAR KERJA</t>
    </r>
  </si>
  <si>
    <t>WILAYAH</t>
  </si>
  <si>
    <t>Provinsi Sulawesi Tenggara</t>
  </si>
  <si>
    <r>
      <rPr>
        <rFont val="Calibri"/>
        <color rgb="FF000000"/>
        <sz val="20.0"/>
      </rPr>
      <t xml:space="preserve">  B</t>
    </r>
    <r>
      <rPr>
        <rFont val="Calibri"/>
        <color rgb="FFFF0000"/>
        <sz val="20.0"/>
      </rPr>
      <t>ERBASIS</t>
    </r>
  </si>
  <si>
    <t>TAHUN</t>
  </si>
  <si>
    <r>
      <rPr>
        <rFont val="Calibri"/>
        <color rgb="FF000000"/>
        <sz val="20.0"/>
      </rPr>
      <t xml:space="preserve">  O</t>
    </r>
    <r>
      <rPr>
        <rFont val="Calibri"/>
        <color rgb="FFFF0000"/>
        <sz val="20.0"/>
      </rPr>
      <t>NLINE</t>
    </r>
  </si>
  <si>
    <t>TRIWULAN</t>
  </si>
  <si>
    <t>INPUT DATA</t>
  </si>
  <si>
    <t>OUTPUT</t>
  </si>
  <si>
    <t>MONEV</t>
  </si>
  <si>
    <t xml:space="preserve">Lembar Kerja Penghitungan PDRB Atas Dasar Harga Berlaku </t>
  </si>
  <si>
    <t>Rekap Angka PDRB Lapangan Usaha</t>
  </si>
  <si>
    <t>MONEV Pemasukan Data</t>
  </si>
  <si>
    <t>Lembar Kerja Penghitungan PDRB Atas Dasar Harga Konstan</t>
  </si>
  <si>
    <t>Home</t>
  </si>
  <si>
    <t>2.3 Pertambangan Bijih Logam</t>
  </si>
  <si>
    <t>Wilayah</t>
  </si>
  <si>
    <t>Lembar Pengolahan Penghitungan</t>
  </si>
  <si>
    <t>ADHB</t>
  </si>
  <si>
    <t>Kategori</t>
  </si>
  <si>
    <t>Nilai Tambah Bruto</t>
  </si>
  <si>
    <t xml:space="preserve">Subkategori </t>
  </si>
  <si>
    <t>Atas Dasar Harga Berlaku</t>
  </si>
  <si>
    <t>Jenis Kegiatan</t>
  </si>
  <si>
    <t>Metode Estimasi Output</t>
  </si>
  <si>
    <t>: Produksi</t>
  </si>
  <si>
    <t>No.</t>
  </si>
  <si>
    <t>Subkategori/Jenis Kegiatan/Uraian Komoditi</t>
  </si>
  <si>
    <t>Output  Utama</t>
  </si>
  <si>
    <t>Jasa Pertambangan, Jasa ahli, teknis &amp; bisnis lainnya</t>
  </si>
  <si>
    <t>WIP/CBR</t>
  </si>
  <si>
    <t>Output ADH   Produsen (Juta Rp)  [(7)+(9)+(12)]</t>
  </si>
  <si>
    <t>Konsumsi Antara</t>
  </si>
  <si>
    <t>Nilai Tambah Bruto (Juta Rp) (13)-(15)</t>
  </si>
  <si>
    <t>Wujud/ Kegiatan</t>
  </si>
  <si>
    <t>Satuan/ Unit</t>
  </si>
  <si>
    <t>Kuantum</t>
  </si>
  <si>
    <t>Harga Produsen tahun berjalan (Rp/Unit)</t>
  </si>
  <si>
    <t>Nilai  (Juta Rp)   (5)x(6)</t>
  </si>
  <si>
    <t>Rasio tahun berjalan</t>
  </si>
  <si>
    <t>Nilai (Juta Rp) (8)x(7)</t>
  </si>
  <si>
    <t>Nilai (Juta Rp)               (10) - (11)</t>
  </si>
  <si>
    <t>Nilai (Juta Rp)      ((13)-(12))x(14)</t>
  </si>
  <si>
    <t>Sub Jumlah</t>
  </si>
  <si>
    <t>Jumlah</t>
  </si>
  <si>
    <t>Triwulan I</t>
  </si>
  <si>
    <t>: Provinsi Sulawesi Tenggara</t>
  </si>
  <si>
    <t xml:space="preserve">: Pertambangan dan Penggalian    </t>
  </si>
  <si>
    <t>: Pertambangan Bijih Logam</t>
  </si>
  <si>
    <t>Triwulan II</t>
  </si>
  <si>
    <t>Triwulan III</t>
  </si>
  <si>
    <t>Triwulan IV</t>
  </si>
  <si>
    <t>ADHK</t>
  </si>
  <si>
    <t>Atas Dasar Harga Konstan 2010=100</t>
  </si>
  <si>
    <t xml:space="preserve">: Revaluasi </t>
  </si>
  <si>
    <t>Harga Produsen tahun 2010 (Rp/Unit)</t>
  </si>
  <si>
    <t>Rasio Tahun  2010</t>
  </si>
  <si>
    <t>Deflator</t>
  </si>
  <si>
    <t>WIP/CBR Berlaku (Juta Rp)</t>
  </si>
  <si>
    <t>Nilai (Juta Rp)               (11) / (10) x 100</t>
  </si>
  <si>
    <t>Bijih  Emas</t>
  </si>
  <si>
    <t xml:space="preserve">Bijih </t>
  </si>
  <si>
    <t>Kg</t>
  </si>
  <si>
    <t>Bijih  Perak</t>
  </si>
  <si>
    <t>Tembaga</t>
  </si>
  <si>
    <t xml:space="preserve">Ton </t>
  </si>
  <si>
    <t xml:space="preserve">Bauksit </t>
  </si>
  <si>
    <t xml:space="preserve">Bijih Nikel </t>
  </si>
  <si>
    <t>WMT</t>
  </si>
  <si>
    <t xml:space="preserve">Pasir Besi </t>
  </si>
  <si>
    <t>Timah</t>
  </si>
  <si>
    <t>Mangan</t>
  </si>
  <si>
    <t>Lainnya 2.3 (1) ……..</t>
  </si>
  <si>
    <t>Lainnya 2.3 (2) ………</t>
  </si>
  <si>
    <t>Lainnya 2.3 (3) …….</t>
  </si>
  <si>
    <t/>
  </si>
  <si>
    <t>Lainnya 2.3 (4) …….</t>
  </si>
  <si>
    <t>Lainnya 2.3 (5) …….</t>
  </si>
  <si>
    <t>Lainnya 2.3 (6) …….</t>
  </si>
  <si>
    <t>Lainnya 2.3 (7) …….</t>
  </si>
  <si>
    <t>Lainnya 2.3 (8) …….</t>
  </si>
  <si>
    <t>Lainnya 2.3 (9) …….</t>
  </si>
  <si>
    <t>259.156,0
212.593,0</t>
  </si>
  <si>
    <t>ihp</t>
  </si>
  <si>
    <t xml:space="preserve">                                         
                                       Periode
        Uraian
</t>
  </si>
  <si>
    <t>Triw.1</t>
  </si>
  <si>
    <t>Triw.2</t>
  </si>
  <si>
    <t>Triw.3</t>
  </si>
  <si>
    <t>Triw.4</t>
  </si>
  <si>
    <t>RILIS</t>
  </si>
  <si>
    <t>ASLI</t>
  </si>
  <si>
    <t>Adjusment</t>
  </si>
  <si>
    <t>ASLI + Adj</t>
  </si>
  <si>
    <t>MARK UP</t>
  </si>
  <si>
    <t>G: Y-on-Y</t>
  </si>
  <si>
    <t>G: Q-to-Q</t>
  </si>
  <si>
    <t>G: C-to-C</t>
  </si>
  <si>
    <t>Indeks Implisit</t>
  </si>
  <si>
    <t>I: Y-on-Y</t>
  </si>
  <si>
    <t>I: Q-to-Q</t>
  </si>
  <si>
    <t>Proporsi Data "ASLI"</t>
  </si>
  <si>
    <t>Data RILIS Tahunan</t>
  </si>
  <si>
    <t>Lookup</t>
  </si>
  <si>
    <t>Data Rilis Awal</t>
  </si>
  <si>
    <t>Adjustment</t>
  </si>
  <si>
    <t>Rilis - baru</t>
  </si>
  <si>
    <t>Indeks Implisit Rilis</t>
  </si>
  <si>
    <t>Laju Implisit awal</t>
  </si>
  <si>
    <t>IHP</t>
  </si>
  <si>
    <t>Sektor/Subsektor</t>
  </si>
  <si>
    <t>Tw I</t>
  </si>
  <si>
    <t>Tw II</t>
  </si>
  <si>
    <t>Tw III</t>
  </si>
  <si>
    <t>Tw IV</t>
  </si>
  <si>
    <t>Bijih nikel</t>
  </si>
  <si>
    <t>Bijih Emas</t>
  </si>
  <si>
    <t>IHP 2016=100</t>
  </si>
  <si>
    <t>HARGA</t>
  </si>
  <si>
    <t>Pertambangan dan Penggalian Barang Logam</t>
  </si>
  <si>
    <t>No</t>
  </si>
  <si>
    <t>Uraian</t>
  </si>
  <si>
    <t>Jenis Produksi</t>
  </si>
  <si>
    <t>Jan</t>
  </si>
  <si>
    <t>Feb</t>
  </si>
  <si>
    <t>Mar</t>
  </si>
  <si>
    <t>Apr</t>
  </si>
  <si>
    <t>Mei</t>
  </si>
  <si>
    <t>Jun</t>
  </si>
  <si>
    <t>Jul</t>
  </si>
  <si>
    <t>Agu</t>
  </si>
  <si>
    <t>Sep</t>
  </si>
  <si>
    <t>Okt</t>
  </si>
  <si>
    <t>Nov</t>
  </si>
  <si>
    <t>Des</t>
  </si>
  <si>
    <t>I</t>
  </si>
  <si>
    <t>II</t>
  </si>
  <si>
    <t>III</t>
  </si>
  <si>
    <t>IV</t>
  </si>
  <si>
    <t>Q-to-Q</t>
  </si>
  <si>
    <t>Y-on-Y</t>
  </si>
  <si>
    <t>C to C</t>
  </si>
  <si>
    <t xml:space="preserve">A. </t>
  </si>
  <si>
    <t>Produksi Barang Logam</t>
  </si>
  <si>
    <t>PT ANTAM (HG)</t>
  </si>
  <si>
    <t>Bijih Nikel (HG)</t>
  </si>
  <si>
    <t>PT ANTAM (LGSO)</t>
  </si>
  <si>
    <t>Bijih Nikel (LGSO)</t>
  </si>
  <si>
    <t>255.761,31</t>
  </si>
  <si>
    <t>Sampel SKTNPB</t>
  </si>
  <si>
    <t>PT. BUMI KONAWE ABADI (BKA)</t>
  </si>
  <si>
    <t>ORE Nikel</t>
  </si>
  <si>
    <t>IFISH DECO</t>
  </si>
  <si>
    <t>PT, CERIA NUGRAHA INDOTAMA</t>
  </si>
  <si>
    <t>Pertumbuhan</t>
  </si>
  <si>
    <t>Q to Q</t>
  </si>
  <si>
    <t>Harga PT ANTAM (HG)</t>
  </si>
  <si>
    <t>Y on Y</t>
  </si>
  <si>
    <t>Harga HGSO</t>
  </si>
  <si>
    <t>Harga LGSO</t>
  </si>
  <si>
    <t>Pertumbuhan (Sampel SKTNPB)</t>
  </si>
  <si>
    <t>B.</t>
  </si>
  <si>
    <t>Nilai Produksi  (Juta Rp)</t>
  </si>
  <si>
    <t>q to q</t>
  </si>
  <si>
    <t>q-to-q</t>
  </si>
  <si>
    <t>q to q TW IV</t>
  </si>
  <si>
    <t>q to q berdasarkan data produksi ore PT Antam TBK yang memiliki 3 lokasi penambangan di Sulawesi Tenggara Produksi nikel ore naik 17,01 persen dibandingkan triwulan sebelumnya</t>
  </si>
  <si>
    <t xml:space="preserve"> y on y berdasarkan data produksi ore PT Antam TBK yang memiliki 3 lokasi penambangan di Sulawesi Tenggara Produksi nikel ore naik 245,04 persen dibandingkan triwulan yang sama tahun 2020</t>
  </si>
  <si>
    <t>Q 1</t>
  </si>
  <si>
    <t>Q2</t>
  </si>
  <si>
    <t>BIJI NIKEL/ORE</t>
  </si>
  <si>
    <t>PT. SULTRA NICKEL RESOURCES</t>
  </si>
  <si>
    <t>Bijih Nikel/Ore</t>
  </si>
  <si>
    <t>PT BUMI KONAWE ABADI (PT BKA)</t>
  </si>
  <si>
    <t>Harga Rata-Rata PT ANTAM</t>
  </si>
  <si>
    <t>Q to Q harga</t>
  </si>
  <si>
    <t>q-q</t>
  </si>
  <si>
    <t>Q-to-Q Harga</t>
  </si>
  <si>
    <t>y-y</t>
  </si>
  <si>
    <t>c-c</t>
  </si>
  <si>
    <t xml:space="preserve">     HGSO</t>
  </si>
  <si>
    <t xml:space="preserve">     LGSO</t>
  </si>
  <si>
    <t>Harga Rata-rata SKTNPB</t>
  </si>
  <si>
    <t xml:space="preserve">    Q-to-Q harga</t>
  </si>
  <si>
    <t>TABEL HARGA MINERAL DAN BATUBARA ACUAN (Kementerian ESDM)</t>
  </si>
  <si>
    <t>Nikel (USD/dmt)</t>
  </si>
  <si>
    <t xml:space="preserve">         Q-to-Q harga</t>
  </si>
  <si>
    <t>harga ANTAM</t>
  </si>
  <si>
    <t>C.</t>
  </si>
  <si>
    <t>Perkiraan Produksi Nikel (Sampel SKTNB) satuan WMT</t>
  </si>
  <si>
    <t>- Olah data sampel Triwulan Berjalan</t>
  </si>
  <si>
    <t>Ore Nikel</t>
  </si>
  <si>
    <t>- Revisi Data Triwulan Sebelumya pada Triwulan berjalan</t>
  </si>
  <si>
    <t xml:space="preserve">      - q to-q</t>
  </si>
  <si>
    <t xml:space="preserve">      - y-on-y</t>
  </si>
  <si>
    <t>Revisi:</t>
  </si>
  <si>
    <t>Rata-2 Harga</t>
  </si>
  <si>
    <t>Perubahan Harga</t>
  </si>
  <si>
    <t>NTB ADHK</t>
  </si>
  <si>
    <t>Growth</t>
  </si>
  <si>
    <t>Data dari Dinas ESDM Prov Sultra</t>
  </si>
  <si>
    <t>PT. ST. Nickel Resources,</t>
  </si>
  <si>
    <t>Nikel</t>
  </si>
  <si>
    <t>PT. Sulawesi Cahaya Mineral</t>
  </si>
  <si>
    <t>PT. Modern Cahaya Makmur</t>
  </si>
  <si>
    <t>PT. Sulemandara Konawe</t>
  </si>
  <si>
    <t>PD. Aneka Usaha Kolaka</t>
  </si>
  <si>
    <t>PT. Tambang Rejeki Kolaka,</t>
  </si>
  <si>
    <t>PT. Waja Inti Lestari,</t>
  </si>
  <si>
    <t>PT. Putra Mekongga Sejahtera,</t>
  </si>
  <si>
    <t>PT. Toshida Indonesia,</t>
  </si>
  <si>
    <t>PT. Pernick Sultra,</t>
  </si>
  <si>
    <t>PT. Bola Dunia Mandiri</t>
  </si>
  <si>
    <t>PT. Ceria Nugraha Indotama,</t>
  </si>
  <si>
    <t>240.095,5</t>
  </si>
  <si>
    <t>122.047,2</t>
  </si>
  <si>
    <t>PT. Akar Mas Internasional</t>
  </si>
  <si>
    <t>PT. Aneka Tambang, TBK</t>
  </si>
  <si>
    <t>307.644,96</t>
  </si>
  <si>
    <t>365.774,82</t>
  </si>
  <si>
    <t>322.825,61</t>
  </si>
  <si>
    <t>208.169,44</t>
  </si>
  <si>
    <t>168.980,82</t>
  </si>
  <si>
    <t>271.624,38</t>
  </si>
  <si>
    <t>442.759,93</t>
  </si>
  <si>
    <t>372.830,61</t>
  </si>
  <si>
    <t>361.051,25</t>
  </si>
  <si>
    <t>332.399,64</t>
  </si>
  <si>
    <t>186.601,66</t>
  </si>
  <si>
    <t>PT. Ifishdeco,</t>
  </si>
  <si>
    <t>PT. Gerbang Multi Sejahtera,</t>
  </si>
  <si>
    <t>PT. Macika Mada Madana,</t>
  </si>
  <si>
    <t>PT. Jagad Rayatama,</t>
  </si>
  <si>
    <t>PT. Baula Petra Buana,</t>
  </si>
  <si>
    <t>PT. Laeya Cipta Guna,</t>
  </si>
  <si>
    <t>PT. Wijaya Inti Nusantara,</t>
  </si>
  <si>
    <t>PT. VISI DEBTINDO MINERAL</t>
  </si>
  <si>
    <t>PT. Integra Mining Nusantara</t>
  </si>
  <si>
    <t>PT. Sambas Mineral Mining</t>
  </si>
  <si>
    <t>PT. Almharig,</t>
  </si>
  <si>
    <t>PT. Margo Karya Mandiri,</t>
  </si>
  <si>
    <t>PT. Narayana Lambale Selaras,</t>
  </si>
  <si>
    <t>PT. Tonia Mitra Sejahtera,</t>
  </si>
  <si>
    <t>PT. Timah Investasi Mineral,</t>
  </si>
  <si>
    <t>PT. Bahtera Sultra Mining,</t>
  </si>
  <si>
    <t>Emas</t>
  </si>
  <si>
    <t>PT. Tambang Bumi Sulawesi,</t>
  </si>
  <si>
    <t>PT. Panca Logam Makmur</t>
  </si>
  <si>
    <t>PT. Anugrah Alam Buana Indonesia</t>
  </si>
  <si>
    <t>PT. Anugrah Harisma Barakah,</t>
  </si>
  <si>
    <t>-</t>
  </si>
  <si>
    <t>PT. Trias Jaya Agung</t>
  </si>
  <si>
    <t>PT. Rohul Energi Indonesia</t>
  </si>
  <si>
    <t>PT. Tiran Indonesia (Bombana)</t>
  </si>
  <si>
    <t>PT. Sultra Utama Nikel</t>
  </si>
  <si>
    <t>PT. Tekonindo</t>
  </si>
  <si>
    <t>PT. Patrindo Jaya Makmur,</t>
  </si>
  <si>
    <t>PT. CITRA SILIKA MALAWA</t>
  </si>
  <si>
    <t>PT. KARYA ALAM RAYA</t>
  </si>
  <si>
    <t>PT. Alam Mitra Indah Nugraha,</t>
  </si>
  <si>
    <t>PT. Tambang Mineral Maju,</t>
  </si>
  <si>
    <t>PT. Kreative Jaya,</t>
  </si>
  <si>
    <t>PT. Lawaki Tiar Raya,</t>
  </si>
  <si>
    <t>PT. Kasmar Tiar Raya,</t>
  </si>
  <si>
    <t>PT. Bhumi Karya Utama,</t>
  </si>
  <si>
    <t>PT. Makmur Lestari Primatama,</t>
  </si>
  <si>
    <t>PT. Cinta Jaya,</t>
  </si>
  <si>
    <t>PT. Risqi Sinar Biokas,</t>
  </si>
  <si>
    <t>PT. Rizqi Biokas Pratama,</t>
  </si>
  <si>
    <t>PT. Indrabakti Mustika,</t>
  </si>
  <si>
    <t>PT. Kelompok Delapan Indonesia,</t>
  </si>
  <si>
    <t>PT. Daka Group,</t>
  </si>
  <si>
    <t>PT. Manunggal Sarana Surya Pratama,</t>
  </si>
  <si>
    <t>PT. Elit Kharisma Utama,</t>
  </si>
  <si>
    <t>PT. Bososi Pratama,</t>
  </si>
  <si>
    <t>PT. Kabaena Kromit Prathama,</t>
  </si>
  <si>
    <t>PT. Tristaco Mineral Makmur,</t>
  </si>
  <si>
    <t>PT. PUTRA KENDARI SEJAHTERA</t>
  </si>
  <si>
    <t>PT. CIPTA DJAYA SURYA</t>
  </si>
  <si>
    <t>PT. MITRA UTAMA RESOURCES</t>
  </si>
  <si>
    <t>PT. CIPTA DJAYA SELARAS MINING</t>
  </si>
  <si>
    <t>PT. Binanga Hartama Raya,</t>
  </si>
  <si>
    <t>PT. Sumber Bumi Putra,</t>
  </si>
  <si>
    <t>PT. Paramitha Persadatama,</t>
  </si>
  <si>
    <t>PT. Dwimitra Multiguna Sejahtera,</t>
  </si>
  <si>
    <t>PT. Sinar Jaya Sultra Utama,</t>
  </si>
  <si>
    <t>PT. Tiran Indonesia,</t>
  </si>
  <si>
    <t>CV. Unaaha Bakti Persada,</t>
  </si>
  <si>
    <t>PT. Bosowa Mining,</t>
  </si>
  <si>
    <t>PT. Apollo Nickel Indonesia,</t>
  </si>
  <si>
    <t>PT. Adhi Kartiko Pratama,</t>
  </si>
  <si>
    <t>PT. Bumi Konawe Abadi,</t>
  </si>
  <si>
    <t>PT. Stargate Pasific Resources,</t>
  </si>
  <si>
    <t>PT. Arga Morini Indah,</t>
  </si>
  <si>
    <t>PT. Gema Kreasi Perdana,</t>
  </si>
  <si>
    <t>ESDM</t>
  </si>
  <si>
    <t>JUMLAH</t>
  </si>
  <si>
    <t>Data Nilai Produksi dari Perusahaan (Juta Rp)</t>
  </si>
  <si>
    <t>Rata-rata Harga Jual</t>
  </si>
  <si>
    <t>,</t>
  </si>
  <si>
    <t>Realisasi Produksi Nikel Nasinal untuk Provinsi Sulawesi Tenggara (Web Modi, Kementerian ESDM)</t>
  </si>
  <si>
    <t>Volume Produksi (Ribu Ton)</t>
  </si>
  <si>
    <t>Bijih Nikel</t>
  </si>
  <si>
    <t>Bijih Nikel (low grade)</t>
  </si>
  <si>
    <t>Nikel :  q-to-q</t>
  </si>
  <si>
    <t xml:space="preserve">            y-on-y</t>
  </si>
  <si>
    <t xml:space="preserve">            c-to-c</t>
  </si>
  <si>
    <t>LG    :  q-to-q</t>
  </si>
  <si>
    <t>Revisi Volume Produksi (Ribu Ton) 11 November 2022</t>
  </si>
  <si>
    <t>Kurs rata2 bulanan per USD</t>
  </si>
  <si>
    <t>Harga Jual (Harga Acuan) dalam Rupiah</t>
  </si>
  <si>
    <t>Perkiraan Nilai Produksi dari data Kemen ESDM (Juta Rp)</t>
  </si>
  <si>
    <t>Rasio Biaya Antara</t>
  </si>
  <si>
    <t>Perkiraan NTB ADHB (Juta Rupiah)</t>
  </si>
  <si>
    <t>Q</t>
  </si>
  <si>
    <t>Y</t>
  </si>
  <si>
    <t>C</t>
  </si>
  <si>
    <t>Rata-Rata Harga  Jual PT ANTAM (Juta Rp/Ton)</t>
  </si>
  <si>
    <t>IHP Pertambangan (Deflator)</t>
  </si>
  <si>
    <t>Perkiraan Nilai Produksi ADHK</t>
  </si>
  <si>
    <t>Perkiraan NTB ADHK (Juta Rupiah)</t>
  </si>
  <si>
    <t>Kategori Usaha</t>
  </si>
  <si>
    <t>Jumlah Sampel</t>
  </si>
  <si>
    <t>Pendapatan Triwulan Sebelumnya</t>
  </si>
  <si>
    <t>Pendapatan Triwulan Berjalan</t>
  </si>
  <si>
    <t>Pendapatan Triwulan Berjalan tahun sebelumnya</t>
  </si>
  <si>
    <t>Rata-Rata Pendapatan per sampel Triwulan Sebelumnya</t>
  </si>
  <si>
    <t>Rata-rata Pendapatan per sampel Triwulan Berjalan</t>
  </si>
  <si>
    <t>Rata-rata Pendapatan per sampel Triwulan Berjalan tahun sebelumnya</t>
  </si>
  <si>
    <t>Pertumbuhan Q-to-Q</t>
  </si>
  <si>
    <t>Pertumbuhan Y-on-Y</t>
  </si>
  <si>
    <t>No. Urut</t>
  </si>
  <si>
    <t>SubKategori (b1r7)</t>
  </si>
  <si>
    <t>Nama Perusahaan/Usaha/Pengusaha (b1r3)</t>
  </si>
  <si>
    <t>Tahun</t>
  </si>
  <si>
    <t>Triwulan</t>
  </si>
  <si>
    <t>Pendapatan Triwulan Sebelumnya (b2r1b_k2)</t>
  </si>
  <si>
    <t>Pendapatan Triwulan Berjalan (b2r1b_k3)</t>
  </si>
  <si>
    <t>Perubahan Pendapatan (%)</t>
  </si>
  <si>
    <t>Produk Utama 1</t>
  </si>
  <si>
    <t>Satuan PU1</t>
  </si>
  <si>
    <t>Volume Produk 1 Triwulan Sebelumnya</t>
  </si>
  <si>
    <t>Volume Produk 1 Triwulan Berjalan</t>
  </si>
  <si>
    <t>Produk Utama 2</t>
  </si>
  <si>
    <t>Satuan PU2</t>
  </si>
  <si>
    <t>Volume Produk 2 Triwulan Sebelumnya</t>
  </si>
  <si>
    <t>Volume Produk 2 Triwulan Berjalan</t>
  </si>
  <si>
    <t>Produk Utama 3</t>
  </si>
  <si>
    <t>Satuan PU3</t>
  </si>
  <si>
    <t>Volume Produk 3 Triwulan Sebelumnya</t>
  </si>
  <si>
    <t>Volume Produk 3 Triwulan Berjalan</t>
  </si>
  <si>
    <t>Produk Utama 4</t>
  </si>
  <si>
    <t>Satuan PU4</t>
  </si>
  <si>
    <t>Volume Produk 4 Triwulan Sebelumnya</t>
  </si>
  <si>
    <t>Volume Produk 4 Triwulan Berjalan</t>
  </si>
  <si>
    <t>PERTAMBANGAN LOGAM DASAR</t>
  </si>
  <si>
    <t>2023-Tw3</t>
  </si>
  <si>
    <t>2024-Tw3</t>
  </si>
  <si>
    <t>2024-Tw2</t>
  </si>
  <si>
    <t>B3</t>
  </si>
  <si>
    <t>PERTAMBANGAN BIJIH LOGAM</t>
  </si>
  <si>
    <t>B4</t>
  </si>
  <si>
    <t>Pertambangan dan Penggalian Lainnya</t>
  </si>
  <si>
    <t>trwi 4 2024</t>
  </si>
  <si>
    <r>
      <rPr/>
      <t xml:space="preserve">harga minerba dari  </t>
    </r>
    <r>
      <rPr>
        <color rgb="FF1155CC"/>
        <u/>
      </rPr>
      <t>https://www.minerba.esdm.go.id/harga_acuan#</t>
    </r>
  </si>
  <si>
    <t>Tabel Harga Mineral dan Batubara Acuan</t>
  </si>
  <si>
    <t>Komoditas</t>
  </si>
  <si>
    <t>Batubara (USD/ton)</t>
  </si>
  <si>
    <t>305.21</t>
  </si>
  <si>
    <t>277.05</t>
  </si>
  <si>
    <t>283.08</t>
  </si>
  <si>
    <t>265.26</t>
  </si>
  <si>
    <t>206.16</t>
  </si>
  <si>
    <t>191.26</t>
  </si>
  <si>
    <t>191.6</t>
  </si>
  <si>
    <t>179.9</t>
  </si>
  <si>
    <t>133.13</t>
  </si>
  <si>
    <t>123.96</t>
  </si>
  <si>
    <t>139.8</t>
  </si>
  <si>
    <t>117.38</t>
  </si>
  <si>
    <t>125.85</t>
  </si>
  <si>
    <t>124.95</t>
  </si>
  <si>
    <t>109.77</t>
  </si>
  <si>
    <t>121.13</t>
  </si>
  <si>
    <t>114.06</t>
  </si>
  <si>
    <t>130.44</t>
  </si>
  <si>
    <t>115.29</t>
  </si>
  <si>
    <t>125.15</t>
  </si>
  <si>
    <t>131.17</t>
  </si>
  <si>
    <t>114.43</t>
  </si>
  <si>
    <t>122.51</t>
  </si>
  <si>
    <t>Batubara (hba 1) (USD/ton)</t>
  </si>
  <si>
    <t>136.7</t>
  </si>
  <si>
    <t>102.53</t>
  </si>
  <si>
    <t>119.64</t>
  </si>
  <si>
    <t>112.59</t>
  </si>
  <si>
    <t>109.27</t>
  </si>
  <si>
    <t>84.75</t>
  </si>
  <si>
    <t>89.11</t>
  </si>
  <si>
    <t>81.38</t>
  </si>
  <si>
    <t>103.2</t>
  </si>
  <si>
    <t>85.92</t>
  </si>
  <si>
    <t>87.36</t>
  </si>
  <si>
    <t>87.65</t>
  </si>
  <si>
    <t>88.77</t>
  </si>
  <si>
    <t>86.93</t>
  </si>
  <si>
    <t>91.77</t>
  </si>
  <si>
    <t>88.65</t>
  </si>
  <si>
    <t>91.85</t>
  </si>
  <si>
    <t>86.2</t>
  </si>
  <si>
    <t>85.01</t>
  </si>
  <si>
    <t>79.69</t>
  </si>
  <si>
    <t>83.46</t>
  </si>
  <si>
    <t>81.59</t>
  </si>
  <si>
    <t>Batubara (hba 2) (USD/ton)</t>
  </si>
  <si>
    <t>102.26</t>
  </si>
  <si>
    <t>87.81</t>
  </si>
  <si>
    <t>82.23</t>
  </si>
  <si>
    <t>78.35</t>
  </si>
  <si>
    <t>75.2</t>
  </si>
  <si>
    <t>57.38</t>
  </si>
  <si>
    <t>53.83</t>
  </si>
  <si>
    <t>50.41</t>
  </si>
  <si>
    <t>52.86</t>
  </si>
  <si>
    <t>57.7</t>
  </si>
  <si>
    <t>58.56</t>
  </si>
  <si>
    <t>57.86</t>
  </si>
  <si>
    <t>56.83</t>
  </si>
  <si>
    <t>57.17</t>
  </si>
  <si>
    <t>56.52</t>
  </si>
  <si>
    <t>54.79</t>
  </si>
  <si>
    <t>56.09</t>
  </si>
  <si>
    <t>54.63</t>
  </si>
  <si>
    <t>53.26</t>
  </si>
  <si>
    <t>52.41</t>
  </si>
  <si>
    <t>51.91</t>
  </si>
  <si>
    <t>51.78</t>
  </si>
  <si>
    <t>Batubara (hba 3) (USD/ton)</t>
  </si>
  <si>
    <t>31.96</t>
  </si>
  <si>
    <t>31.82</t>
  </si>
  <si>
    <t>28.49</t>
  </si>
  <si>
    <t>34.18</t>
  </si>
  <si>
    <t>37.09</t>
  </si>
  <si>
    <t>37.54</t>
  </si>
  <si>
    <t>37.6</t>
  </si>
  <si>
    <t>36.32</t>
  </si>
  <si>
    <t>36.39</t>
  </si>
  <si>
    <t>35.82</t>
  </si>
  <si>
    <t>36.22</t>
  </si>
  <si>
    <t>35.62</t>
  </si>
  <si>
    <t>35.89</t>
  </si>
  <si>
    <t>34.67</t>
  </si>
  <si>
    <t>35.57</t>
  </si>
  <si>
    <t>35.28</t>
  </si>
  <si>
    <t>27482.62</t>
  </si>
  <si>
    <t>28444.5</t>
  </si>
  <si>
    <t>23278.57</t>
  </si>
  <si>
    <t>21376.75</t>
  </si>
  <si>
    <t>Kobalt (USD/dmt)</t>
  </si>
  <si>
    <t>51494.76</t>
  </si>
  <si>
    <t>49931.5</t>
  </si>
  <si>
    <t>42613.81</t>
  </si>
  <si>
    <t>33981.75</t>
  </si>
  <si>
    <t>34228.24</t>
  </si>
  <si>
    <t>32980.45</t>
  </si>
  <si>
    <t>32980.71</t>
  </si>
  <si>
    <t>32980.91</t>
  </si>
  <si>
    <t>32997.38</t>
  </si>
  <si>
    <t>28696.25</t>
  </si>
  <si>
    <t>28493.81</t>
  </si>
  <si>
    <t>28215.95</t>
  </si>
  <si>
    <t>27718.68</t>
  </si>
  <si>
    <t>26980.91</t>
  </si>
  <si>
    <t>26628.41</t>
  </si>
  <si>
    <t>26031.9</t>
  </si>
  <si>
    <t>24184.52</t>
  </si>
  <si>
    <t>24275.45</t>
  </si>
  <si>
    <t>Timbal (USD/dmt)</t>
  </si>
  <si>
    <t>2254.78</t>
  </si>
  <si>
    <t>2143.38</t>
  </si>
  <si>
    <t>2076.43</t>
  </si>
  <si>
    <t>2119.39</t>
  </si>
  <si>
    <t>2246.14</t>
  </si>
  <si>
    <t>2162.18</t>
  </si>
  <si>
    <t>2166.93</t>
  </si>
  <si>
    <t>2046.35</t>
  </si>
  <si>
    <t>2071.55</t>
  </si>
  <si>
    <t>2181.68</t>
  </si>
  <si>
    <t>2154.93</t>
  </si>
  <si>
    <t>1993.69</t>
  </si>
  <si>
    <t>2054.43</t>
  </si>
  <si>
    <t>1989.41</t>
  </si>
  <si>
    <t>Seng (USD/dmt)</t>
  </si>
  <si>
    <t>3082.81</t>
  </si>
  <si>
    <t>3135.63</t>
  </si>
  <si>
    <t>3014.45</t>
  </si>
  <si>
    <t>2880.95</t>
  </si>
  <si>
    <t>2352.35</t>
  </si>
  <si>
    <t>2364.95</t>
  </si>
  <si>
    <t>2427.98</t>
  </si>
  <si>
    <t>2482.27</t>
  </si>
  <si>
    <t>2509.48</t>
  </si>
  <si>
    <t>2486.68</t>
  </si>
  <si>
    <t>2433.21</t>
  </si>
  <si>
    <t>2433.93</t>
  </si>
  <si>
    <t>2875.42</t>
  </si>
  <si>
    <t>2894.52</t>
  </si>
  <si>
    <t>2631.62</t>
  </si>
  <si>
    <t>3040.48</t>
  </si>
  <si>
    <t>3045.48</t>
  </si>
  <si>
    <t>Alumunium (USD/dmt)</t>
  </si>
  <si>
    <t>2393.71</t>
  </si>
  <si>
    <t>2402.53</t>
  </si>
  <si>
    <t>2501.55</t>
  </si>
  <si>
    <t>2313.45</t>
  </si>
  <si>
    <t>2218.45</t>
  </si>
  <si>
    <t>2141.25</t>
  </si>
  <si>
    <t>2151.57</t>
  </si>
  <si>
    <t>2144.36</t>
  </si>
  <si>
    <t>2214.28</t>
  </si>
  <si>
    <t>2390.31</t>
  </si>
  <si>
    <t>2562.36</t>
  </si>
  <si>
    <t>2440.32</t>
  </si>
  <si>
    <t>2430.32</t>
  </si>
  <si>
    <t>2591.86</t>
  </si>
  <si>
    <t>Tembaga (USD/dmt)</t>
  </si>
  <si>
    <t>8235.57</t>
  </si>
  <si>
    <t>8671.85</t>
  </si>
  <si>
    <t>9070.33</t>
  </si>
  <si>
    <t>8910.62</t>
  </si>
  <si>
    <t>8458.38</t>
  </si>
  <si>
    <t>8394.61</t>
  </si>
  <si>
    <t>8420.14</t>
  </si>
  <si>
    <t>8353.21</t>
  </si>
  <si>
    <t>8007.89</t>
  </si>
  <si>
    <t>8032.14</t>
  </si>
  <si>
    <t>8331.57</t>
  </si>
  <si>
    <t>8359.53</t>
  </si>
  <si>
    <t>8313.83</t>
  </si>
  <si>
    <t>8544.57</t>
  </si>
  <si>
    <t>9900.58</t>
  </si>
  <si>
    <t>9978.75</t>
  </si>
  <si>
    <t>9093.91</t>
  </si>
  <si>
    <t>9280.23</t>
  </si>
  <si>
    <t>Emas sebagai mineral ikutan (USD/Troy Ounce)</t>
  </si>
  <si>
    <t>1775.03</t>
  </si>
  <si>
    <t>1862.54</t>
  </si>
  <si>
    <t>1889.85</t>
  </si>
  <si>
    <t>1856.45</t>
  </si>
  <si>
    <t>1988.21</t>
  </si>
  <si>
    <t>1999.99</t>
  </si>
  <si>
    <t>1959.85</t>
  </si>
  <si>
    <t>1931.95</t>
  </si>
  <si>
    <t>1935.49</t>
  </si>
  <si>
    <t>1921.85</t>
  </si>
  <si>
    <t>1885.22</t>
  </si>
  <si>
    <t>1973.74</t>
  </si>
  <si>
    <t>2015.23</t>
  </si>
  <si>
    <t>2022.29</t>
  </si>
  <si>
    <t>2102.25</t>
  </si>
  <si>
    <t>2286.78</t>
  </si>
  <si>
    <t>2344.47</t>
  </si>
  <si>
    <t>2373.25</t>
  </si>
  <si>
    <t>2425.49</t>
  </si>
  <si>
    <t>2522.18</t>
  </si>
  <si>
    <t>2650.71</t>
  </si>
  <si>
    <t>2689.46</t>
  </si>
  <si>
    <t>Perak sebagai mineral ikutan (USD/Troy Ounce)</t>
  </si>
  <si>
    <t>22.31</t>
  </si>
  <si>
    <t>23.84</t>
  </si>
  <si>
    <t>22.84</t>
  </si>
  <si>
    <t>21.16</t>
  </si>
  <si>
    <t>24.75</t>
  </si>
  <si>
    <t>23.61</t>
  </si>
  <si>
    <t>23.31</t>
  </si>
  <si>
    <t>23.69</t>
  </si>
  <si>
    <t>23.55</t>
  </si>
  <si>
    <t>22.37</t>
  </si>
  <si>
    <t>22.91</t>
  </si>
  <si>
    <t>23.37</t>
  </si>
  <si>
    <t>23.68</t>
  </si>
  <si>
    <t>26.76</t>
  </si>
  <si>
    <t>27.66</t>
  </si>
  <si>
    <t>30.34</t>
  </si>
  <si>
    <t>30.15</t>
  </si>
  <si>
    <t>29.39</t>
  </si>
  <si>
    <t>31.44</t>
  </si>
  <si>
    <t>32.43</t>
  </si>
  <si>
    <t>Mangan (USD/dmt)</t>
  </si>
  <si>
    <t>4.28</t>
  </si>
  <si>
    <t>3.82</t>
  </si>
  <si>
    <t>3.63</t>
  </si>
  <si>
    <t>3.58</t>
  </si>
  <si>
    <t>3.56</t>
  </si>
  <si>
    <t>3.55</t>
  </si>
  <si>
    <t>3.52</t>
  </si>
  <si>
    <t>3.48</t>
  </si>
  <si>
    <t>3.53</t>
  </si>
  <si>
    <t>3.54</t>
  </si>
  <si>
    <t>3.85</t>
  </si>
  <si>
    <t>4.14</t>
  </si>
  <si>
    <t>3.94</t>
  </si>
  <si>
    <t>3.73</t>
  </si>
  <si>
    <t>3.71</t>
  </si>
  <si>
    <t>Bijih Besi Laterit/Hematit/Magnetit (USD/dmt)</t>
  </si>
  <si>
    <t>1.52</t>
  </si>
  <si>
    <t>1.73</t>
  </si>
  <si>
    <t>1.86</t>
  </si>
  <si>
    <t>1.91</t>
  </si>
  <si>
    <t>1.81</t>
  </si>
  <si>
    <t>1.57</t>
  </si>
  <si>
    <t>1.64</t>
  </si>
  <si>
    <t>1.72</t>
  </si>
  <si>
    <t>1.77</t>
  </si>
  <si>
    <t>1.85</t>
  </si>
  <si>
    <t>1.96</t>
  </si>
  <si>
    <t>1.71</t>
  </si>
  <si>
    <t>1.55</t>
  </si>
  <si>
    <t>1.66</t>
  </si>
  <si>
    <t>1.45</t>
  </si>
  <si>
    <t>1.36</t>
  </si>
  <si>
    <t>1.48</t>
  </si>
  <si>
    <t>Bijih Krom (USD/dmt)</t>
  </si>
  <si>
    <t>3.92</t>
  </si>
  <si>
    <t>4.35</t>
  </si>
  <si>
    <t>5.18</t>
  </si>
  <si>
    <t>5.29</t>
  </si>
  <si>
    <t>6.13</t>
  </si>
  <si>
    <t>6.21</t>
  </si>
  <si>
    <t>6.37</t>
  </si>
  <si>
    <t>6.35</t>
  </si>
  <si>
    <t>6.32</t>
  </si>
  <si>
    <t>Konsentrat Ilmenit (USD/dmt)</t>
  </si>
  <si>
    <t>7.93</t>
  </si>
  <si>
    <t>8.25</t>
  </si>
  <si>
    <t>8.34</t>
  </si>
  <si>
    <t>8.47</t>
  </si>
  <si>
    <t>8.62</t>
  </si>
  <si>
    <t>7.76</t>
  </si>
  <si>
    <t>7.82</t>
  </si>
  <si>
    <t>7.77</t>
  </si>
  <si>
    <t>7.71</t>
  </si>
  <si>
    <t>7.69</t>
  </si>
  <si>
    <t>7.66</t>
  </si>
  <si>
    <t>7.55</t>
  </si>
  <si>
    <t>7.52</t>
  </si>
  <si>
    <t>7.56</t>
  </si>
  <si>
    <t>7.51</t>
  </si>
  <si>
    <t>7.44</t>
  </si>
  <si>
    <t>7.29</t>
  </si>
  <si>
    <t>7.39</t>
  </si>
  <si>
    <t>7.48</t>
  </si>
  <si>
    <t>7.49</t>
  </si>
  <si>
    <t>7.36</t>
  </si>
  <si>
    <t>Konsentrat Titanium (USD/dmt)</t>
  </si>
  <si>
    <t>14.74</t>
  </si>
  <si>
    <t>14.73</t>
  </si>
  <si>
    <t>14.86</t>
  </si>
  <si>
    <t>13.66</t>
  </si>
  <si>
    <t>12.79</t>
  </si>
  <si>
    <t>12.66</t>
  </si>
  <si>
    <t>12.18</t>
  </si>
  <si>
    <t>12.19</t>
  </si>
  <si>
    <t>12.24</t>
  </si>
  <si>
    <t>12.21</t>
  </si>
  <si>
    <t>12.13</t>
  </si>
  <si>
    <t>12.28</t>
  </si>
  <si>
    <t>11.94</t>
  </si>
  <si>
    <t>11.79</t>
  </si>
  <si>
    <t>11.64</t>
  </si>
  <si>
    <t>nikel</t>
  </si>
  <si>
    <t>tw 1</t>
  </si>
  <si>
    <t>tw 2</t>
  </si>
  <si>
    <t>tw3</t>
  </si>
  <si>
    <t>tw4</t>
  </si>
  <si>
    <t>DATA IBS BULANAN</t>
  </si>
  <si>
    <t>Desc.</t>
  </si>
  <si>
    <t>Maret</t>
  </si>
  <si>
    <t>April</t>
  </si>
  <si>
    <t>Juni</t>
  </si>
  <si>
    <t>Juli</t>
  </si>
  <si>
    <t>Agust</t>
  </si>
  <si>
    <t>Sept</t>
  </si>
  <si>
    <t>May</t>
  </si>
  <si>
    <t>Bijih Nikel HG</t>
  </si>
  <si>
    <t>Banyaknya (Wmt)</t>
  </si>
  <si>
    <t>204 236</t>
  </si>
  <si>
    <t>144 837</t>
  </si>
  <si>
    <t>125 755</t>
  </si>
  <si>
    <t>Nilai (IDR Juta)</t>
  </si>
  <si>
    <t>28 198</t>
  </si>
  <si>
    <t>14 879</t>
  </si>
  <si>
    <t>17 445</t>
  </si>
  <si>
    <t>Harga Satuan (000/Rp)</t>
  </si>
  <si>
    <t>138 063</t>
  </si>
  <si>
    <t>102 727</t>
  </si>
  <si>
    <t>138 721</t>
  </si>
  <si>
    <t>Feni</t>
  </si>
  <si>
    <t>Banyaknya (Tni)</t>
  </si>
  <si>
    <t>1 405</t>
  </si>
  <si>
    <t>1 720</t>
  </si>
  <si>
    <t>1 664</t>
  </si>
  <si>
    <t>1 712</t>
  </si>
  <si>
    <t>1 902</t>
  </si>
  <si>
    <t>311 893</t>
  </si>
  <si>
    <t>379 476</t>
  </si>
  <si>
    <t>357 043</t>
  </si>
  <si>
    <t>321 904</t>
  </si>
  <si>
    <t>345 089</t>
  </si>
  <si>
    <t>Harga Satuan</t>
  </si>
  <si>
    <t>222 006 573</t>
  </si>
  <si>
    <t>220 612 475</t>
  </si>
  <si>
    <t>214 562 135</t>
  </si>
  <si>
    <t>187 998 395</t>
  </si>
  <si>
    <t>181 454 024</t>
  </si>
  <si>
    <t>Bijih Nikel LG</t>
  </si>
  <si>
    <t>139 806</t>
  </si>
  <si>
    <t>230 922</t>
  </si>
  <si>
    <t>295 740</t>
  </si>
  <si>
    <t>13 625</t>
  </si>
  <si>
    <t>17 479</t>
  </si>
  <si>
    <t>29 428</t>
  </si>
  <si>
    <t>97 457</t>
  </si>
  <si>
    <t>75 694</t>
  </si>
  <si>
    <t>99 507</t>
  </si>
  <si>
    <t>TW 1 2023</t>
  </si>
  <si>
    <t>TW 2 2023</t>
  </si>
  <si>
    <t>TW 3 2023</t>
  </si>
  <si>
    <t>TW 4 2023</t>
  </si>
  <si>
    <t>TW 1 2024</t>
  </si>
  <si>
    <t>TW 2 2024</t>
  </si>
  <si>
    <t xml:space="preserve">JUMLAH VOLUME TRIWULAN HG DAN LG </t>
  </si>
  <si>
    <t>JUMLAH NILAI HG DAN LG</t>
  </si>
  <si>
    <t>RATA2 HARGA TRIWULANAN</t>
  </si>
  <si>
    <t xml:space="preserve"> </t>
  </si>
  <si>
    <t>Average volume HG dan LG</t>
  </si>
  <si>
    <t>produksi</t>
  </si>
  <si>
    <t>Triw sebelumnya</t>
  </si>
  <si>
    <t>Triw berjalan</t>
  </si>
  <si>
    <t>pendapatan</t>
  </si>
  <si>
    <t>BULAN 1 TIDAK MEMPRODUKSI NIKEL, PASIR SILICA</t>
  </si>
  <si>
    <t>Volume dan Nilai Produksi Bijih Nikel Triwulanan PT. Timah Investasi Mineral Tahun 2023-2024</t>
  </si>
  <si>
    <t>kuantum (ton)</t>
  </si>
  <si>
    <t>nilai (juta Rp)</t>
  </si>
  <si>
    <t>Volume dan Nilai Produksi Bijih Nikel Triwulanan PT. Tambang Bumi Sulawesi Tahun 2023-2024</t>
  </si>
  <si>
    <t>Total 7406</t>
  </si>
  <si>
    <t>7408 simopel</t>
  </si>
  <si>
    <t>ore nikel</t>
  </si>
  <si>
    <t>Produksi (ton)</t>
  </si>
  <si>
    <t>ACM</t>
  </si>
  <si>
    <t>BKA, PT</t>
  </si>
  <si>
    <t>rata2</t>
  </si>
  <si>
    <t>Gema Kreasi Perdana (GKP)</t>
  </si>
  <si>
    <t>Produksi (wmt)</t>
  </si>
  <si>
    <t>Produksi (Bijih Nikel)</t>
  </si>
  <si>
    <t>Nilai Produksi (Rp)</t>
  </si>
  <si>
    <t>TW I</t>
  </si>
  <si>
    <t>TW II</t>
  </si>
  <si>
    <t>TW III</t>
  </si>
  <si>
    <t>TW IV</t>
  </si>
  <si>
    <t>PT Antam</t>
  </si>
  <si>
    <t>PT CNI</t>
  </si>
  <si>
    <t>Perusda</t>
  </si>
  <si>
    <t>Total</t>
  </si>
  <si>
    <t>y on y</t>
  </si>
  <si>
    <t>total untuk c to c</t>
  </si>
  <si>
    <t>c to c</t>
  </si>
  <si>
    <t>ANTAM</t>
  </si>
  <si>
    <t>produksi total 7404</t>
  </si>
  <si>
    <t>antam</t>
  </si>
  <si>
    <t>CNI</t>
  </si>
  <si>
    <t>Peruda</t>
  </si>
  <si>
    <t>sum</t>
  </si>
  <si>
    <t>tw 3</t>
  </si>
  <si>
    <t>tw 4</t>
  </si>
  <si>
    <t>muatan (ton)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</si>
</sst>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0_);\(0\)"/>
    <numFmt numFmtId="165" formatCode="#,##0.0000"/>
    <numFmt numFmtId="166" formatCode="#,##0.0"/>
    <numFmt numFmtId="167" formatCode="_-* #,##0.00_-;\-* #,##0.00_-;_-* &quot;-&quot;??_-;_-@"/>
    <numFmt numFmtId="168" formatCode="mmmm yyyy"/>
    <numFmt numFmtId="169" formatCode="d.m"/>
    <numFmt numFmtId="170" formatCode="yyyy.m"/>
    <numFmt numFmtId="171" formatCode="yyyy.mm"/>
    <numFmt numFmtId="172" formatCode="dd.mm"/>
    <numFmt numFmtId="173" formatCode="_-* #,##0.00_-;\-* #,##0.00_-;_-* &quot;-&quot;_-;_-@"/>
  </numFmts>
  <fonts count="70">
    <font>
      <sz val="11.0"/>
      <color theme="1"/>
      <name val="Calibri"/>
      <scheme val="minor"/>
    </font>
    <font>
      <b/>
      <sz val="11.0"/>
      <color rgb="FF000000"/>
      <name val="Calibri"/>
    </font>
    <font>
      <color theme="1"/>
      <name val="Calibri"/>
      <scheme val="minor"/>
    </font>
    <font>
      <sz val="20.0"/>
      <color rgb="FFFF0000"/>
      <name val="Calibri"/>
    </font>
    <font>
      <sz val="11.0"/>
      <color theme="1"/>
      <name val="Calibri"/>
    </font>
    <font>
      <sz val="30.0"/>
      <color rgb="FFFF0000"/>
      <name val="Roboto"/>
    </font>
    <font>
      <sz val="18.0"/>
      <color theme="1"/>
      <name val="Calibri"/>
    </font>
    <font>
      <sz val="18.0"/>
      <color rgb="FF0000FF"/>
      <name val="Calibri"/>
    </font>
    <font>
      <sz val="30.0"/>
      <color rgb="FFFF0000"/>
      <name val="Calibri"/>
    </font>
    <font>
      <sz val="30.0"/>
      <color rgb="FF0000FF"/>
      <name val="Calibri"/>
    </font>
    <font>
      <sz val="30.0"/>
      <color rgb="FFFFFF00"/>
      <name val="Calibri"/>
    </font>
    <font>
      <b/>
      <sz val="12.0"/>
      <color rgb="FF000000"/>
      <name val="Calibri"/>
    </font>
    <font>
      <b/>
      <sz val="12.0"/>
      <color rgb="FF1155CC"/>
      <name val="Calibri"/>
    </font>
    <font>
      <b/>
      <sz val="11.0"/>
      <color theme="1"/>
      <name val="Calibri"/>
    </font>
    <font>
      <b/>
      <sz val="11.0"/>
      <color rgb="FFFFFF00"/>
      <name val="Calibri"/>
    </font>
    <font/>
    <font>
      <b/>
      <sz val="12.0"/>
      <color theme="1"/>
      <name val="Calibri"/>
    </font>
    <font>
      <b/>
      <u/>
      <sz val="10.0"/>
      <color rgb="FF1155CC"/>
    </font>
    <font>
      <b/>
      <sz val="16.0"/>
      <color theme="1"/>
      <name val="Calibri"/>
      <scheme val="minor"/>
    </font>
    <font>
      <u/>
      <sz val="11.0"/>
      <color rgb="FF1155CC"/>
      <name val="Calibri"/>
    </font>
    <font>
      <u/>
      <sz val="16.0"/>
      <color theme="10"/>
      <name val="Calibri"/>
    </font>
    <font>
      <b/>
      <sz val="13.0"/>
      <color theme="1"/>
      <name val="Calibri"/>
      <scheme val="minor"/>
    </font>
    <font>
      <u/>
      <sz val="11.0"/>
      <color rgb="FF1155CC"/>
      <name val="Calibri"/>
    </font>
    <font>
      <b/>
      <sz val="11.0"/>
      <color theme="1"/>
      <name val="Calibri"/>
      <scheme val="minor"/>
    </font>
    <font>
      <b/>
      <sz val="20.0"/>
      <color theme="1"/>
      <name val="Lucida fax"/>
    </font>
    <font>
      <b/>
      <sz val="18.0"/>
      <color theme="1"/>
      <name val="Lucida fax"/>
    </font>
    <font>
      <b/>
      <sz val="11.0"/>
      <color rgb="FFC55A11"/>
      <name val="Calibri"/>
      <scheme val="minor"/>
    </font>
    <font>
      <b/>
      <sz val="11.0"/>
      <color rgb="FFFF9900"/>
      <name val="Calibri"/>
      <scheme val="minor"/>
    </font>
    <font>
      <sz val="11.0"/>
      <color rgb="FFFF9900"/>
      <name val="Calibri"/>
      <scheme val="minor"/>
    </font>
    <font>
      <b/>
      <sz val="11.0"/>
      <color rgb="FF0070C0"/>
      <name val="Calibri"/>
      <scheme val="minor"/>
    </font>
    <font>
      <sz val="11.0"/>
      <color rgb="FF0070C0"/>
      <name val="Calibri"/>
      <scheme val="minor"/>
    </font>
    <font>
      <b/>
      <sz val="11.0"/>
      <color rgb="FF00B050"/>
      <name val="Calibri"/>
      <scheme val="minor"/>
    </font>
    <font>
      <sz val="11.0"/>
      <color rgb="FF00B050"/>
      <name val="Calibri"/>
      <scheme val="minor"/>
    </font>
    <font>
      <b/>
      <sz val="11.0"/>
      <color rgb="FF7030A0"/>
      <name val="Calibri"/>
      <scheme val="minor"/>
    </font>
    <font>
      <sz val="11.0"/>
      <color rgb="FF7030A0"/>
      <name val="Calibri"/>
      <scheme val="minor"/>
    </font>
    <font>
      <b/>
      <sz val="14.0"/>
      <color theme="1"/>
      <name val="Calibri"/>
      <scheme val="minor"/>
    </font>
    <font>
      <sz val="11.0"/>
      <color rgb="FF000000"/>
      <name val="Calibri"/>
    </font>
    <font>
      <b/>
      <u/>
      <sz val="11.0"/>
      <color rgb="FF1155CC"/>
      <name val="Calibri"/>
    </font>
    <font>
      <sz val="11.0"/>
      <color rgb="FFFF0000"/>
      <name val="Calibri"/>
      <scheme val="minor"/>
    </font>
    <font>
      <b/>
      <sz val="11.0"/>
      <color rgb="FFFF0000"/>
      <name val="Calibri"/>
      <scheme val="minor"/>
    </font>
    <font>
      <sz val="11.0"/>
      <color rgb="FFFF0000"/>
      <name val="Calibri"/>
    </font>
    <font>
      <b/>
      <sz val="11.0"/>
      <color rgb="FFFF0000"/>
      <name val="Calibri"/>
    </font>
    <font>
      <sz val="11.0"/>
      <color rgb="FF2E75B5"/>
      <name val="Calibri"/>
    </font>
    <font>
      <sz val="11.0"/>
      <color rgb="FF2E75B5"/>
      <name val="Calibri"/>
      <scheme val="minor"/>
    </font>
    <font>
      <b/>
      <sz val="11.0"/>
      <color rgb="FF2E75B5"/>
      <name val="Calibri"/>
      <scheme val="minor"/>
    </font>
    <font>
      <b/>
      <color theme="1"/>
      <name val="Arial Narrow"/>
    </font>
    <font>
      <sz val="12.0"/>
      <color theme="1"/>
      <name val="Arial Narrow"/>
    </font>
    <font>
      <sz val="10.0"/>
      <color theme="1"/>
      <name val="Arial Narrow"/>
    </font>
    <font>
      <b/>
      <color theme="1"/>
      <name val="Calibri"/>
    </font>
    <font>
      <b/>
      <color rgb="FFFF0000"/>
      <name val="Calibri"/>
    </font>
    <font>
      <color rgb="FFFF0000"/>
      <name val="&quot;Arial Narrow&quot;"/>
    </font>
    <font>
      <color theme="1"/>
      <name val="&quot;Arial Narrow&quot;"/>
    </font>
    <font>
      <sz val="11.0"/>
      <color theme="1"/>
      <name val="&quot;Arial Narrow&quot;"/>
    </font>
    <font>
      <color rgb="FF434343"/>
      <name val="&quot;Arial Narrow&quot;"/>
    </font>
    <font>
      <sz val="11.0"/>
      <color rgb="FFF7981D"/>
      <name val="Inconsolata"/>
    </font>
    <font>
      <sz val="11.0"/>
      <color rgb="FFFF0000"/>
      <name val="&quot;Arial Narrow&quot;"/>
    </font>
    <font>
      <color rgb="FF980000"/>
      <name val="&quot;Arial Narrow&quot;"/>
    </font>
    <font>
      <b/>
      <color theme="1"/>
      <name val="&quot;Arial Narrow&quot;"/>
    </font>
    <font>
      <b/>
      <color rgb="FFFF0000"/>
      <name val="&quot;Arial Narrow&quot;"/>
    </font>
    <font>
      <sz val="8.0"/>
      <color theme="1"/>
      <name val="Calibri"/>
    </font>
    <font>
      <color theme="1"/>
      <name val="Arial"/>
    </font>
    <font>
      <b/>
      <color theme="1"/>
      <name val="Arial"/>
    </font>
    <font>
      <u/>
      <color rgb="FF0000FF"/>
    </font>
    <font>
      <b/>
      <sz val="15.0"/>
      <color rgb="FF000000"/>
      <name val="Raleway"/>
    </font>
    <font>
      <b/>
      <color rgb="FFFFFFFF"/>
      <name val="Roboto"/>
    </font>
    <font>
      <color theme="1"/>
      <name val="Roboto"/>
    </font>
    <font>
      <b/>
      <sz val="13.0"/>
      <color rgb="FF000000"/>
      <name val="Calibri"/>
    </font>
    <font>
      <b/>
      <sz val="12.0"/>
      <color theme="1"/>
      <name val="Calibri"/>
      <scheme val="minor"/>
    </font>
    <font>
      <b/>
      <color theme="1"/>
      <name val="Calibri"/>
      <scheme val="minor"/>
    </font>
    <font>
      <b/>
      <sz val="11.0"/>
      <color rgb="FF222222"/>
      <name val="&quot;Google Sans&quot;"/>
    </font>
  </fonts>
  <fills count="37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8496B0"/>
        <bgColor rgb="FF8496B0"/>
      </patternFill>
    </fill>
    <fill>
      <patternFill patternType="solid">
        <fgColor rgb="FFE2EFD9"/>
        <bgColor rgb="FFE2EFD9"/>
      </patternFill>
    </fill>
    <fill>
      <patternFill patternType="solid">
        <fgColor rgb="FFA8D08D"/>
        <bgColor rgb="FFA8D08D"/>
      </patternFill>
    </fill>
    <fill>
      <patternFill patternType="solid">
        <fgColor rgb="FF548135"/>
        <bgColor rgb="FF548135"/>
      </patternFill>
    </fill>
    <fill>
      <patternFill patternType="solid">
        <fgColor rgb="FFFF0000"/>
        <bgColor rgb="FFFF0000"/>
      </patternFill>
    </fill>
    <fill>
      <patternFill patternType="solid">
        <fgColor rgb="FFBDD6EE"/>
        <bgColor rgb="FFBDD6EE"/>
      </patternFill>
    </fill>
    <fill>
      <patternFill patternType="solid">
        <fgColor rgb="FFD8D8D8"/>
        <bgColor rgb="FFD8D8D8"/>
      </patternFill>
    </fill>
    <fill>
      <patternFill patternType="solid">
        <fgColor rgb="FFAEABAB"/>
        <bgColor rgb="FFAEABAB"/>
      </patternFill>
    </fill>
    <fill>
      <patternFill patternType="solid">
        <fgColor rgb="FF595959"/>
        <bgColor rgb="FF595959"/>
      </patternFill>
    </fill>
    <fill>
      <patternFill patternType="solid">
        <fgColor rgb="FFFFC000"/>
        <bgColor rgb="FFFFC000"/>
      </patternFill>
    </fill>
    <fill>
      <patternFill patternType="solid">
        <fgColor rgb="FFDADADA"/>
        <bgColor rgb="FFDADADA"/>
      </patternFill>
    </fill>
    <fill>
      <patternFill patternType="solid">
        <fgColor rgb="FFF7CAAC"/>
        <bgColor rgb="FFF7CAAC"/>
      </patternFill>
    </fill>
    <fill>
      <patternFill patternType="solid">
        <fgColor rgb="FFC5E0B3"/>
        <bgColor rgb="FFC5E0B3"/>
      </patternFill>
    </fill>
    <fill>
      <patternFill patternType="solid">
        <fgColor rgb="FFFFFFFF"/>
        <bgColor rgb="FFFFFFFF"/>
      </patternFill>
    </fill>
    <fill>
      <patternFill patternType="solid">
        <fgColor rgb="FFFFE598"/>
        <bgColor rgb="FFFFE598"/>
      </patternFill>
    </fill>
    <fill>
      <patternFill patternType="solid">
        <fgColor theme="7"/>
        <bgColor theme="7"/>
      </patternFill>
    </fill>
    <fill>
      <patternFill patternType="solid">
        <fgColor rgb="FFA4C2F4"/>
        <bgColor rgb="FFA4C2F4"/>
      </patternFill>
    </fill>
    <fill>
      <patternFill patternType="solid">
        <fgColor rgb="FFA2C4C9"/>
        <bgColor rgb="FFA2C4C9"/>
      </patternFill>
    </fill>
    <fill>
      <patternFill patternType="solid">
        <fgColor rgb="FF8BFB37"/>
        <bgColor rgb="FF8BFB37"/>
      </patternFill>
    </fill>
    <fill>
      <patternFill patternType="solid">
        <fgColor rgb="FFC9DAF8"/>
        <bgColor rgb="FFC9DAF8"/>
      </patternFill>
    </fill>
    <fill>
      <patternFill patternType="solid">
        <fgColor rgb="FFF9CB9C"/>
        <bgColor rgb="FFF9CB9C"/>
      </patternFill>
    </fill>
    <fill>
      <patternFill patternType="solid">
        <fgColor rgb="FFFFF2CC"/>
        <bgColor rgb="FFFFF2CC"/>
      </patternFill>
    </fill>
    <fill>
      <patternFill patternType="solid">
        <fgColor rgb="FF373737"/>
        <bgColor rgb="FF373737"/>
      </patternFill>
    </fill>
    <fill>
      <patternFill patternType="solid">
        <fgColor rgb="FFFBFBFB"/>
        <bgColor rgb="FFFBFBFB"/>
      </patternFill>
    </fill>
    <fill>
      <patternFill patternType="solid">
        <fgColor rgb="FFF7F7F7"/>
        <bgColor rgb="FFF7F7F7"/>
      </patternFill>
    </fill>
    <fill>
      <patternFill patternType="solid">
        <fgColor rgb="FFF4CCCC"/>
        <bgColor rgb="FFF4CCCC"/>
      </patternFill>
    </fill>
    <fill>
      <patternFill patternType="solid">
        <fgColor rgb="FFF2F2F2"/>
        <bgColor rgb="FFF2F2F2"/>
      </patternFill>
    </fill>
    <fill>
      <patternFill patternType="solid">
        <fgColor rgb="FFFFE599"/>
        <bgColor rgb="FFFFE599"/>
      </patternFill>
    </fill>
    <fill>
      <patternFill patternType="solid">
        <fgColor rgb="FFF1C232"/>
        <bgColor rgb="FFF1C232"/>
      </patternFill>
    </fill>
    <fill>
      <patternFill patternType="solid">
        <fgColor rgb="FFFFD965"/>
        <bgColor rgb="FFFFD965"/>
      </patternFill>
    </fill>
    <fill>
      <patternFill patternType="solid">
        <fgColor rgb="FFFCE5CD"/>
        <bgColor rgb="FFFCE5CD"/>
      </patternFill>
    </fill>
  </fills>
  <borders count="95">
    <border/>
    <border>
      <right/>
    </border>
    <border>
      <left style="hair">
        <color rgb="FF000000"/>
      </left>
      <top/>
    </border>
    <border>
      <right style="hair">
        <color rgb="FF000000"/>
      </right>
      <top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/>
      <top/>
    </border>
    <border>
      <left/>
      <right/>
      <top/>
      <bottom/>
    </border>
    <border>
      <bottom style="medium">
        <color rgb="FF000000"/>
      </bottom>
    </border>
    <border>
      <left style="hair">
        <color rgb="FF000000"/>
      </left>
      <bottom style="medium">
        <color rgb="FF000000"/>
      </bottom>
    </border>
    <border>
      <right style="hair">
        <color rgb="FF000000"/>
      </right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/>
    </border>
    <border>
      <left style="hair">
        <color rgb="FF000000"/>
      </left>
      <right/>
      <bottom style="hair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</border>
    <border>
      <left style="thin">
        <color rgb="FF000000"/>
      </left>
      <right style="medium">
        <color rgb="FF000000"/>
      </right>
    </border>
    <border>
      <left style="medium">
        <color rgb="FF7030A0"/>
      </left>
      <top style="medium">
        <color rgb="FF7030A0"/>
      </top>
      <bottom style="medium">
        <color rgb="FF7030A0"/>
      </bottom>
    </border>
    <border>
      <right style="thin">
        <color rgb="FF000000"/>
      </right>
      <top style="medium">
        <color rgb="FF7030A0"/>
      </top>
      <bottom style="medium">
        <color rgb="FF7030A0"/>
      </bottom>
    </border>
    <border>
      <left style="thin">
        <color rgb="FF000000"/>
      </left>
      <right style="thin">
        <color rgb="FF000000"/>
      </right>
      <top style="medium">
        <color rgb="FF7030A0"/>
      </top>
      <bottom style="medium">
        <color rgb="FF7030A0"/>
      </bottom>
    </border>
    <border>
      <left style="thin">
        <color rgb="FF000000"/>
      </left>
      <right style="medium">
        <color rgb="FF000000"/>
      </right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double">
        <color rgb="FF000000"/>
      </top>
    </border>
    <border>
      <right style="thick">
        <color rgb="FF000000"/>
      </right>
      <top style="double">
        <color rgb="FF000000"/>
      </top>
    </border>
    <border>
      <left/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left style="thin">
        <color rgb="FF000000"/>
      </left>
      <bottom style="double">
        <color rgb="FF000000"/>
      </bottom>
    </border>
    <border>
      <right style="thick">
        <color rgb="FF000000"/>
      </right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right style="thin">
        <color rgb="FF000000"/>
      </right>
    </border>
    <border>
      <right style="thin">
        <color rgb="FF000000"/>
      </right>
      <top style="double">
        <color rgb="FF000000"/>
      </top>
    </border>
    <border>
      <left style="thin">
        <color rgb="FF000000"/>
      </left>
      <right style="thick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top style="thin">
        <color rgb="FF000000"/>
      </top>
      <bottom/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hair">
        <color rgb="FF000000"/>
      </left>
      <top style="hair">
        <color rgb="FF000000"/>
      </top>
    </border>
    <border>
      <top style="hair">
        <color rgb="FF000000"/>
      </top>
    </border>
    <border>
      <right style="thin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right style="double">
        <color rgb="FF000000"/>
      </right>
      <bottom style="thin">
        <color rgb="FF000000"/>
      </bottom>
    </border>
    <border>
      <left style="thin">
        <color rgb="FFD7D7D7"/>
      </left>
      <right style="thin">
        <color rgb="FFD7D7D7"/>
      </right>
      <bottom style="medium">
        <color rgb="FFDDDDDD"/>
      </bottom>
    </border>
    <border>
      <left style="thin">
        <color rgb="FFD7D7D7"/>
      </left>
      <right style="thin">
        <color rgb="FFD7D7D7"/>
      </right>
      <top style="thin">
        <color rgb="FFDDDDDD"/>
      </top>
    </border>
    <border>
      <left/>
      <top/>
    </border>
    <border>
      <top/>
    </border>
    <border>
      <right/>
      <top/>
    </border>
    <border>
      <left/>
      <right/>
      <top/>
    </border>
  </borders>
  <cellStyleXfs count="1">
    <xf borderId="0" fillId="0" fontId="0" numFmtId="0" applyAlignment="1" applyFont="1"/>
  </cellStyleXfs>
  <cellXfs count="8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2" numFmtId="0" xfId="0" applyFont="1"/>
    <xf borderId="0" fillId="3" fontId="3" numFmtId="0" xfId="0" applyAlignment="1" applyFill="1" applyFont="1">
      <alignment readingOrder="0" vertical="bottom"/>
    </xf>
    <xf borderId="0" fillId="4" fontId="4" numFmtId="0" xfId="0" applyAlignment="1" applyFill="1" applyFont="1">
      <alignment vertical="bottom"/>
    </xf>
    <xf borderId="0" fillId="4" fontId="5" numFmtId="0" xfId="0" applyAlignment="1" applyFont="1">
      <alignment horizontal="center" shrinkToFit="0" vertical="bottom" wrapText="1"/>
    </xf>
    <xf borderId="1" fillId="4" fontId="6" numFmtId="0" xfId="0" applyAlignment="1" applyBorder="1" applyFont="1">
      <alignment shrinkToFit="0" vertical="bottom" wrapText="0"/>
    </xf>
    <xf borderId="1" fillId="4" fontId="4" numFmtId="0" xfId="0" applyAlignment="1" applyBorder="1" applyFont="1">
      <alignment vertical="bottom"/>
    </xf>
    <xf borderId="0" fillId="4" fontId="6" numFmtId="0" xfId="0" applyAlignment="1" applyFont="1">
      <alignment horizontal="center" vertical="bottom"/>
    </xf>
    <xf borderId="0" fillId="4" fontId="7" numFmtId="0" xfId="0" applyAlignment="1" applyFont="1">
      <alignment vertical="bottom"/>
    </xf>
    <xf borderId="0" fillId="4" fontId="7" numFmtId="0" xfId="0" applyAlignment="1" applyFont="1">
      <alignment horizontal="left" vertical="bottom"/>
    </xf>
    <xf borderId="0" fillId="2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2" fontId="8" numFmtId="0" xfId="0" applyAlignment="1" applyFont="1">
      <alignment horizontal="center" vertical="bottom"/>
    </xf>
    <xf borderId="0" fillId="4" fontId="9" numFmtId="0" xfId="0" applyAlignment="1" applyFont="1">
      <alignment horizontal="center" vertical="bottom"/>
    </xf>
    <xf borderId="0" fillId="5" fontId="10" numFmtId="0" xfId="0" applyAlignment="1" applyFill="1" applyFont="1">
      <alignment horizontal="center" vertical="bottom"/>
    </xf>
    <xf borderId="0" fillId="0" fontId="4" numFmtId="0" xfId="0" applyAlignment="1" applyFont="1">
      <alignment vertical="center"/>
    </xf>
    <xf borderId="0" fillId="4" fontId="11" numFmtId="0" xfId="0" applyAlignment="1" applyFont="1">
      <alignment horizontal="center" vertical="center"/>
    </xf>
    <xf borderId="0" fillId="4" fontId="12" numFmtId="0" xfId="0" applyAlignment="1" applyFont="1">
      <alignment readingOrder="0" vertical="center"/>
    </xf>
    <xf borderId="0" fillId="5" fontId="13" numFmtId="0" xfId="0" applyAlignment="1" applyFont="1">
      <alignment horizontal="center" vertical="center"/>
    </xf>
    <xf borderId="0" fillId="5" fontId="14" numFmtId="0" xfId="0" applyAlignment="1" applyFont="1">
      <alignment readingOrder="0" vertical="center"/>
    </xf>
    <xf borderId="1" fillId="0" fontId="15" numFmtId="0" xfId="0" applyBorder="1" applyFont="1"/>
    <xf borderId="0" fillId="2" fontId="13" numFmtId="0" xfId="0" applyAlignment="1" applyFont="1">
      <alignment horizontal="center" vertical="center"/>
    </xf>
    <xf borderId="0" fillId="2" fontId="13" numFmtId="0" xfId="0" applyAlignment="1" applyFont="1">
      <alignment vertical="center"/>
    </xf>
    <xf borderId="0" fillId="4" fontId="16" numFmtId="0" xfId="0" applyAlignment="1" applyFont="1">
      <alignment horizontal="center" vertical="center"/>
    </xf>
    <xf borderId="0" fillId="5" fontId="16" numFmtId="0" xfId="0" applyAlignment="1" applyFont="1">
      <alignment horizontal="center" vertical="center"/>
    </xf>
    <xf borderId="0" fillId="5" fontId="2" numFmtId="0" xfId="0" applyAlignment="1" applyFont="1">
      <alignment vertical="center"/>
    </xf>
    <xf borderId="0" fillId="2" fontId="16" numFmtId="0" xfId="0" applyAlignment="1" applyFont="1">
      <alignment horizontal="center" vertical="center"/>
    </xf>
    <xf borderId="0" fillId="2" fontId="2" numFmtId="0" xfId="0" applyAlignment="1" applyFont="1">
      <alignment vertical="center"/>
    </xf>
    <xf borderId="0" fillId="0" fontId="17" numFmtId="0" xfId="0" applyAlignment="1" applyFont="1">
      <alignment readingOrder="0"/>
    </xf>
    <xf borderId="2" fillId="6" fontId="18" numFmtId="0" xfId="0" applyAlignment="1" applyBorder="1" applyFill="1" applyFont="1">
      <alignment horizontal="left" shrinkToFit="0" vertical="center" wrapText="1"/>
    </xf>
    <xf borderId="3" fillId="6" fontId="18" numFmtId="0" xfId="0" applyAlignment="1" applyBorder="1" applyFont="1">
      <alignment horizontal="left" vertical="center"/>
    </xf>
    <xf borderId="4" fillId="7" fontId="19" numFmtId="0" xfId="0" applyAlignment="1" applyBorder="1" applyFill="1" applyFont="1">
      <alignment horizontal="center" readingOrder="0"/>
    </xf>
    <xf borderId="5" fillId="8" fontId="20" numFmtId="0" xfId="0" applyAlignment="1" applyBorder="1" applyFill="1" applyFont="1">
      <alignment horizontal="center" vertical="center"/>
    </xf>
    <xf borderId="6" fillId="9" fontId="21" numFmtId="0" xfId="0" applyAlignment="1" applyBorder="1" applyFill="1" applyFont="1">
      <alignment shrinkToFit="0" vertical="center" wrapText="1"/>
    </xf>
    <xf borderId="0" fillId="0" fontId="21" numFmtId="0" xfId="0" applyAlignment="1" applyFont="1">
      <alignment shrinkToFit="0" vertical="center" wrapText="1"/>
    </xf>
    <xf borderId="0" fillId="0" fontId="0" numFmtId="0" xfId="0" applyFont="1"/>
    <xf borderId="6" fillId="10" fontId="0" numFmtId="0" xfId="0" applyBorder="1" applyFill="1" applyFont="1"/>
    <xf borderId="0" fillId="0" fontId="21" numFmtId="4" xfId="0" applyAlignment="1" applyFont="1" applyNumberFormat="1">
      <alignment shrinkToFit="0" vertical="center" wrapText="1"/>
    </xf>
    <xf borderId="7" fillId="0" fontId="15" numFmtId="0" xfId="0" applyBorder="1" applyFont="1"/>
    <xf borderId="8" fillId="0" fontId="15" numFmtId="0" xfId="0" applyBorder="1" applyFont="1"/>
    <xf borderId="9" fillId="6" fontId="18" numFmtId="0" xfId="0" applyAlignment="1" applyBorder="1" applyFont="1">
      <alignment horizontal="left" vertical="center"/>
    </xf>
    <xf borderId="10" fillId="7" fontId="22" numFmtId="0" xfId="0" applyAlignment="1" applyBorder="1" applyFont="1">
      <alignment horizontal="center" readingOrder="0"/>
    </xf>
    <xf borderId="11" fillId="0" fontId="15" numFmtId="0" xfId="0" applyBorder="1" applyFont="1"/>
    <xf borderId="0" fillId="0" fontId="0" numFmtId="0" xfId="0" applyAlignment="1" applyFont="1">
      <alignment horizontal="center"/>
    </xf>
    <xf borderId="12" fillId="11" fontId="23" numFmtId="0" xfId="0" applyAlignment="1" applyBorder="1" applyFill="1" applyFont="1">
      <alignment horizontal="center"/>
    </xf>
    <xf borderId="13" fillId="11" fontId="23" numFmtId="0" xfId="0" applyBorder="1" applyFont="1"/>
    <xf borderId="14" fillId="11" fontId="23" numFmtId="0" xfId="0" applyBorder="1" applyFont="1"/>
    <xf borderId="0" fillId="0" fontId="23" numFmtId="0" xfId="0" applyFont="1"/>
    <xf borderId="15" fillId="3" fontId="24" numFmtId="0" xfId="0" applyAlignment="1" applyBorder="1" applyFont="1">
      <alignment horizontal="center" vertical="center"/>
    </xf>
    <xf borderId="6" fillId="10" fontId="23" numFmtId="0" xfId="0" applyBorder="1" applyFont="1"/>
    <xf borderId="16" fillId="10" fontId="23" numFmtId="0" xfId="0" applyBorder="1" applyFont="1"/>
    <xf borderId="17" fillId="11" fontId="23" numFmtId="0" xfId="0" applyAlignment="1" applyBorder="1" applyFont="1">
      <alignment horizontal="center"/>
    </xf>
    <xf borderId="6" fillId="11" fontId="23" numFmtId="0" xfId="0" applyBorder="1" applyFont="1"/>
    <xf borderId="18" fillId="11" fontId="23" numFmtId="0" xfId="0" applyBorder="1" applyFont="1"/>
    <xf borderId="19" fillId="0" fontId="15" numFmtId="0" xfId="0" applyBorder="1" applyFont="1"/>
    <xf borderId="6" fillId="11" fontId="23" numFmtId="0" xfId="0" applyAlignment="1" applyBorder="1" applyFont="1">
      <alignment horizontal="left"/>
    </xf>
    <xf borderId="15" fillId="3" fontId="25" numFmtId="0" xfId="0" applyAlignment="1" applyBorder="1" applyFont="1">
      <alignment horizontal="center" vertical="center"/>
    </xf>
    <xf borderId="0" fillId="0" fontId="23" numFmtId="4" xfId="0" applyFont="1" applyNumberFormat="1"/>
    <xf borderId="6" fillId="11" fontId="23" numFmtId="4" xfId="0" applyBorder="1" applyFont="1" applyNumberFormat="1"/>
    <xf borderId="20" fillId="11" fontId="23" numFmtId="0" xfId="0" applyAlignment="1" applyBorder="1" applyFont="1">
      <alignment horizontal="center"/>
    </xf>
    <xf borderId="21" fillId="11" fontId="23" numFmtId="0" xfId="0" applyBorder="1" applyFont="1"/>
    <xf borderId="22" fillId="11" fontId="23" numFmtId="0" xfId="0" applyBorder="1" applyFont="1"/>
    <xf borderId="23" fillId="0" fontId="23" numFmtId="0" xfId="0" applyAlignment="1" applyBorder="1" applyFont="1">
      <alignment horizontal="center" shrinkToFit="0" vertical="center" wrapText="1"/>
    </xf>
    <xf borderId="24" fillId="0" fontId="23" numFmtId="0" xfId="0" applyAlignment="1" applyBorder="1" applyFont="1">
      <alignment horizontal="center" shrinkToFit="0" vertical="center" wrapText="1"/>
    </xf>
    <xf borderId="25" fillId="0" fontId="23" numFmtId="0" xfId="0" applyAlignment="1" applyBorder="1" applyFont="1">
      <alignment horizontal="center" shrinkToFit="0" vertical="center" wrapText="1"/>
    </xf>
    <xf borderId="26" fillId="0" fontId="15" numFmtId="0" xfId="0" applyBorder="1" applyFont="1"/>
    <xf borderId="27" fillId="0" fontId="15" numFmtId="0" xfId="0" applyBorder="1" applyFont="1"/>
    <xf borderId="28" fillId="0" fontId="23" numFmtId="0" xfId="0" applyAlignment="1" applyBorder="1" applyFont="1">
      <alignment horizontal="center" shrinkToFit="0" vertical="center" wrapText="1"/>
    </xf>
    <xf borderId="6" fillId="10" fontId="23" numFmtId="0" xfId="0" applyAlignment="1" applyBorder="1" applyFont="1">
      <alignment horizontal="center" shrinkToFit="0" vertical="center" wrapText="1"/>
    </xf>
    <xf borderId="16" fillId="10" fontId="23" numFmtId="0" xfId="0" applyAlignment="1" applyBorder="1" applyFont="1">
      <alignment horizontal="center" shrinkToFit="0" vertical="center" wrapText="1"/>
    </xf>
    <xf borderId="0" fillId="0" fontId="23" numFmtId="0" xfId="0" applyAlignment="1" applyFont="1">
      <alignment horizontal="center" shrinkToFit="0" vertical="center" wrapText="1"/>
    </xf>
    <xf borderId="29" fillId="0" fontId="15" numFmtId="0" xfId="0" applyBorder="1" applyFont="1"/>
    <xf borderId="30" fillId="0" fontId="23" numFmtId="0" xfId="0" applyAlignment="1" applyBorder="1" applyFont="1">
      <alignment horizontal="center" shrinkToFit="0" vertical="center" wrapText="1"/>
    </xf>
    <xf borderId="19" fillId="0" fontId="23" numFmtId="0" xfId="0" applyAlignment="1" applyBorder="1" applyFont="1">
      <alignment horizontal="center" shrinkToFit="0" vertical="center" wrapText="1"/>
    </xf>
    <xf borderId="31" fillId="0" fontId="15" numFmtId="0" xfId="0" applyBorder="1" applyFont="1"/>
    <xf borderId="32" fillId="12" fontId="0" numFmtId="164" xfId="0" applyAlignment="1" applyBorder="1" applyFill="1" applyFont="1" applyNumberFormat="1">
      <alignment horizontal="center" vertical="center"/>
    </xf>
    <xf borderId="30" fillId="12" fontId="0" numFmtId="164" xfId="0" applyAlignment="1" applyBorder="1" applyFont="1" applyNumberFormat="1">
      <alignment horizontal="center" vertical="center"/>
    </xf>
    <xf borderId="6" fillId="10" fontId="0" numFmtId="164" xfId="0" applyAlignment="1" applyBorder="1" applyFont="1" applyNumberFormat="1">
      <alignment horizontal="center" vertical="center"/>
    </xf>
    <xf borderId="0" fillId="0" fontId="0" numFmtId="164" xfId="0" applyAlignment="1" applyFont="1" applyNumberFormat="1">
      <alignment horizontal="center" vertical="center"/>
    </xf>
    <xf borderId="33" fillId="0" fontId="0" numFmtId="0" xfId="0" applyAlignment="1" applyBorder="1" applyFont="1">
      <alignment horizontal="center"/>
    </xf>
    <xf borderId="15" fillId="0" fontId="0" numFmtId="0" xfId="0" applyBorder="1" applyFont="1"/>
    <xf borderId="15" fillId="0" fontId="0" numFmtId="0" xfId="0" applyAlignment="1" applyBorder="1" applyFont="1">
      <alignment horizontal="center"/>
    </xf>
    <xf borderId="15" fillId="0" fontId="0" numFmtId="4" xfId="0" applyAlignment="1" applyBorder="1" applyFont="1" applyNumberFormat="1">
      <alignment horizontal="right" vertical="center"/>
    </xf>
    <xf borderId="15" fillId="0" fontId="0" numFmtId="165" xfId="0" applyAlignment="1" applyBorder="1" applyFont="1" applyNumberFormat="1">
      <alignment horizontal="right" vertical="center"/>
    </xf>
    <xf borderId="34" fillId="13" fontId="0" numFmtId="4" xfId="0" applyAlignment="1" applyBorder="1" applyFill="1" applyFont="1" applyNumberFormat="1">
      <alignment horizontal="right" vertical="center"/>
    </xf>
    <xf borderId="34" fillId="13" fontId="0" numFmtId="4" xfId="0" applyAlignment="1" applyBorder="1" applyFont="1" applyNumberFormat="1">
      <alignment horizontal="right"/>
    </xf>
    <xf borderId="35" fillId="0" fontId="0" numFmtId="4" xfId="0" applyAlignment="1" applyBorder="1" applyFont="1" applyNumberFormat="1">
      <alignment horizontal="right" vertical="center"/>
    </xf>
    <xf borderId="36" fillId="0" fontId="0" numFmtId="4" xfId="0" applyAlignment="1" applyBorder="1" applyFont="1" applyNumberFormat="1">
      <alignment horizontal="right" vertical="center"/>
    </xf>
    <xf borderId="37" fillId="0" fontId="0" numFmtId="4" xfId="0" applyAlignment="1" applyBorder="1" applyFont="1" applyNumberFormat="1">
      <alignment horizontal="right" vertical="center"/>
    </xf>
    <xf borderId="6" fillId="10" fontId="0" numFmtId="4" xfId="0" applyAlignment="1" applyBorder="1" applyFont="1" applyNumberFormat="1">
      <alignment horizontal="right" vertical="center"/>
    </xf>
    <xf borderId="0" fillId="0" fontId="0" numFmtId="4" xfId="0" applyAlignment="1" applyFont="1" applyNumberFormat="1">
      <alignment horizontal="right" vertical="center"/>
    </xf>
    <xf borderId="38" fillId="0" fontId="0" numFmtId="0" xfId="0" applyAlignment="1" applyBorder="1" applyFont="1">
      <alignment horizontal="center"/>
    </xf>
    <xf borderId="35" fillId="0" fontId="0" numFmtId="0" xfId="0" applyBorder="1" applyFont="1"/>
    <xf borderId="35" fillId="0" fontId="0" numFmtId="0" xfId="0" applyAlignment="1" applyBorder="1" applyFont="1">
      <alignment horizontal="center"/>
    </xf>
    <xf borderId="35" fillId="0" fontId="0" numFmtId="165" xfId="0" applyAlignment="1" applyBorder="1" applyFont="1" applyNumberFormat="1">
      <alignment horizontal="right" vertical="center"/>
    </xf>
    <xf borderId="39" fillId="13" fontId="0" numFmtId="4" xfId="0" applyAlignment="1" applyBorder="1" applyFont="1" applyNumberFormat="1">
      <alignment horizontal="right" vertical="center"/>
    </xf>
    <xf borderId="39" fillId="13" fontId="0" numFmtId="4" xfId="0" applyAlignment="1" applyBorder="1" applyFont="1" applyNumberFormat="1">
      <alignment horizontal="right"/>
    </xf>
    <xf borderId="40" fillId="0" fontId="0" numFmtId="4" xfId="0" applyAlignment="1" applyBorder="1" applyFont="1" applyNumberFormat="1">
      <alignment horizontal="right" vertical="center"/>
    </xf>
    <xf borderId="41" fillId="0" fontId="0" numFmtId="4" xfId="0" applyAlignment="1" applyBorder="1" applyFont="1" applyNumberFormat="1">
      <alignment horizontal="right" vertical="center"/>
    </xf>
    <xf borderId="35" fillId="0" fontId="0" numFmtId="0" xfId="0" applyAlignment="1" applyBorder="1" applyFont="1">
      <alignment horizontal="left"/>
    </xf>
    <xf borderId="42" fillId="0" fontId="23" numFmtId="0" xfId="0" applyAlignment="1" applyBorder="1" applyFont="1">
      <alignment horizontal="center" vertical="center"/>
    </xf>
    <xf borderId="43" fillId="0" fontId="15" numFmtId="0" xfId="0" applyBorder="1" applyFont="1"/>
    <xf borderId="44" fillId="14" fontId="23" numFmtId="0" xfId="0" applyAlignment="1" applyBorder="1" applyFill="1" applyFont="1">
      <alignment horizontal="center" vertical="center"/>
    </xf>
    <xf borderId="44" fillId="14" fontId="23" numFmtId="4" xfId="0" applyAlignment="1" applyBorder="1" applyFont="1" applyNumberFormat="1">
      <alignment horizontal="right" vertical="center"/>
    </xf>
    <xf borderId="44" fillId="0" fontId="23" numFmtId="4" xfId="0" applyAlignment="1" applyBorder="1" applyFont="1" applyNumberFormat="1">
      <alignment horizontal="right" vertical="center"/>
    </xf>
    <xf borderId="6" fillId="10" fontId="23" numFmtId="4" xfId="0" applyAlignment="1" applyBorder="1" applyFont="1" applyNumberFormat="1">
      <alignment horizontal="right" vertical="center"/>
    </xf>
    <xf borderId="0" fillId="0" fontId="23" numFmtId="4" xfId="0" applyAlignment="1" applyFont="1" applyNumberFormat="1">
      <alignment horizontal="right" vertical="center"/>
    </xf>
    <xf borderId="39" fillId="15" fontId="23" numFmtId="0" xfId="0" applyAlignment="1" applyBorder="1" applyFill="1" applyFont="1">
      <alignment horizontal="left"/>
    </xf>
    <xf borderId="39" fillId="14" fontId="0" numFmtId="0" xfId="0" applyAlignment="1" applyBorder="1" applyFont="1">
      <alignment horizontal="left"/>
    </xf>
    <xf borderId="39" fillId="14" fontId="0" numFmtId="4" xfId="0" applyAlignment="1" applyBorder="1" applyFont="1" applyNumberFormat="1">
      <alignment horizontal="right" vertical="center"/>
    </xf>
    <xf borderId="39" fillId="15" fontId="0" numFmtId="4" xfId="0" applyAlignment="1" applyBorder="1" applyFont="1" applyNumberFormat="1">
      <alignment horizontal="right" vertical="center"/>
    </xf>
    <xf borderId="45" fillId="15" fontId="0" numFmtId="4" xfId="0" applyAlignment="1" applyBorder="1" applyFont="1" applyNumberFormat="1">
      <alignment horizontal="right" vertical="center"/>
    </xf>
    <xf borderId="39" fillId="3" fontId="23" numFmtId="0" xfId="0" applyBorder="1" applyFont="1"/>
    <xf borderId="39" fillId="14" fontId="0" numFmtId="0" xfId="0" applyAlignment="1" applyBorder="1" applyFont="1">
      <alignment horizontal="center"/>
    </xf>
    <xf borderId="39" fillId="3" fontId="0" numFmtId="4" xfId="0" applyAlignment="1" applyBorder="1" applyFont="1" applyNumberFormat="1">
      <alignment horizontal="right" vertical="center"/>
    </xf>
    <xf borderId="45" fillId="3" fontId="0" numFmtId="4" xfId="0" applyAlignment="1" applyBorder="1" applyFont="1" applyNumberFormat="1">
      <alignment horizontal="right" vertical="center"/>
    </xf>
    <xf borderId="46" fillId="0" fontId="23" numFmtId="0" xfId="0" applyAlignment="1" applyBorder="1" applyFont="1">
      <alignment horizontal="center" vertical="center"/>
    </xf>
    <xf borderId="47" fillId="0" fontId="15" numFmtId="0" xfId="0" applyBorder="1" applyFont="1"/>
    <xf borderId="48" fillId="14" fontId="23" numFmtId="0" xfId="0" applyAlignment="1" applyBorder="1" applyFont="1">
      <alignment horizontal="center" vertical="center"/>
    </xf>
    <xf borderId="48" fillId="14" fontId="23" numFmtId="4" xfId="0" applyAlignment="1" applyBorder="1" applyFont="1" applyNumberFormat="1">
      <alignment horizontal="right" vertical="center"/>
    </xf>
    <xf borderId="48" fillId="0" fontId="23" numFmtId="4" xfId="0" applyAlignment="1" applyBorder="1" applyFont="1" applyNumberFormat="1">
      <alignment horizontal="right" vertical="center"/>
    </xf>
    <xf borderId="12" fillId="16" fontId="26" numFmtId="0" xfId="0" applyAlignment="1" applyBorder="1" applyFill="1" applyFont="1">
      <alignment horizontal="center"/>
    </xf>
    <xf borderId="13" fillId="16" fontId="26" numFmtId="0" xfId="0" applyBorder="1" applyFont="1"/>
    <xf borderId="14" fillId="16" fontId="26" numFmtId="0" xfId="0" applyBorder="1" applyFont="1"/>
    <xf borderId="0" fillId="0" fontId="26" numFmtId="0" xfId="0" applyFont="1"/>
    <xf borderId="6" fillId="10" fontId="26" numFmtId="0" xfId="0" applyBorder="1" applyFont="1"/>
    <xf borderId="16" fillId="10" fontId="26" numFmtId="0" xfId="0" applyBorder="1" applyFont="1"/>
    <xf borderId="17" fillId="16" fontId="26" numFmtId="0" xfId="0" applyAlignment="1" applyBorder="1" applyFont="1">
      <alignment horizontal="center"/>
    </xf>
    <xf borderId="6" fillId="16" fontId="26" numFmtId="0" xfId="0" applyBorder="1" applyFont="1"/>
    <xf borderId="18" fillId="16" fontId="26" numFmtId="0" xfId="0" applyBorder="1" applyFont="1"/>
    <xf borderId="6" fillId="16" fontId="26" numFmtId="0" xfId="0" applyAlignment="1" applyBorder="1" applyFont="1">
      <alignment horizontal="left"/>
    </xf>
    <xf borderId="6" fillId="16" fontId="26" numFmtId="4" xfId="0" applyBorder="1" applyFont="1" applyNumberFormat="1"/>
    <xf borderId="20" fillId="16" fontId="26" numFmtId="0" xfId="0" applyAlignment="1" applyBorder="1" applyFont="1">
      <alignment horizontal="center"/>
    </xf>
    <xf borderId="21" fillId="16" fontId="26" numFmtId="0" xfId="0" applyBorder="1" applyFont="1"/>
    <xf borderId="22" fillId="16" fontId="26" numFmtId="0" xfId="0" applyBorder="1" applyFont="1"/>
    <xf borderId="23" fillId="0" fontId="27" numFmtId="0" xfId="0" applyAlignment="1" applyBorder="1" applyFont="1">
      <alignment horizontal="center" shrinkToFit="0" vertical="center" wrapText="1"/>
    </xf>
    <xf borderId="24" fillId="0" fontId="27" numFmtId="0" xfId="0" applyAlignment="1" applyBorder="1" applyFont="1">
      <alignment horizontal="center" shrinkToFit="0" vertical="center" wrapText="1"/>
    </xf>
    <xf borderId="25" fillId="0" fontId="27" numFmtId="0" xfId="0" applyAlignment="1" applyBorder="1" applyFont="1">
      <alignment horizontal="center" shrinkToFit="0" vertical="center" wrapText="1"/>
    </xf>
    <xf borderId="28" fillId="0" fontId="27" numFmtId="0" xfId="0" applyAlignment="1" applyBorder="1" applyFont="1">
      <alignment horizontal="center" shrinkToFit="0" vertical="center" wrapText="1"/>
    </xf>
    <xf borderId="6" fillId="10" fontId="27" numFmtId="0" xfId="0" applyAlignment="1" applyBorder="1" applyFont="1">
      <alignment horizontal="center" shrinkToFit="0" vertical="center" wrapText="1"/>
    </xf>
    <xf borderId="16" fillId="10" fontId="27" numFmtId="0" xfId="0" applyAlignment="1" applyBorder="1" applyFont="1">
      <alignment horizontal="center" shrinkToFit="0" vertical="center" wrapText="1"/>
    </xf>
    <xf borderId="0" fillId="0" fontId="27" numFmtId="0" xfId="0" applyAlignment="1" applyFont="1">
      <alignment horizontal="center" shrinkToFit="0" vertical="center" wrapText="1"/>
    </xf>
    <xf borderId="30" fillId="0" fontId="27" numFmtId="0" xfId="0" applyAlignment="1" applyBorder="1" applyFont="1">
      <alignment horizontal="center" shrinkToFit="0" vertical="center" wrapText="1"/>
    </xf>
    <xf borderId="19" fillId="0" fontId="27" numFmtId="0" xfId="0" applyAlignment="1" applyBorder="1" applyFont="1">
      <alignment horizontal="center" shrinkToFit="0" vertical="center" wrapText="1"/>
    </xf>
    <xf borderId="32" fillId="12" fontId="28" numFmtId="164" xfId="0" applyAlignment="1" applyBorder="1" applyFont="1" applyNumberFormat="1">
      <alignment horizontal="center" vertical="center"/>
    </xf>
    <xf borderId="30" fillId="12" fontId="28" numFmtId="164" xfId="0" applyAlignment="1" applyBorder="1" applyFont="1" applyNumberFormat="1">
      <alignment horizontal="center" vertical="center"/>
    </xf>
    <xf borderId="6" fillId="10" fontId="28" numFmtId="164" xfId="0" applyAlignment="1" applyBorder="1" applyFont="1" applyNumberFormat="1">
      <alignment horizontal="center" vertical="center"/>
    </xf>
    <xf borderId="0" fillId="0" fontId="28" numFmtId="164" xfId="0" applyAlignment="1" applyFont="1" applyNumberFormat="1">
      <alignment horizontal="center" vertical="center"/>
    </xf>
    <xf borderId="33" fillId="0" fontId="28" numFmtId="0" xfId="0" applyAlignment="1" applyBorder="1" applyFont="1">
      <alignment horizontal="center"/>
    </xf>
    <xf borderId="15" fillId="0" fontId="28" numFmtId="0" xfId="0" applyBorder="1" applyFont="1"/>
    <xf borderId="15" fillId="0" fontId="28" numFmtId="0" xfId="0" applyAlignment="1" applyBorder="1" applyFont="1">
      <alignment horizontal="center"/>
    </xf>
    <xf borderId="15" fillId="0" fontId="28" numFmtId="4" xfId="0" applyAlignment="1" applyBorder="1" applyFont="1" applyNumberFormat="1">
      <alignment horizontal="right" vertical="center"/>
    </xf>
    <xf borderId="15" fillId="0" fontId="28" numFmtId="165" xfId="0" applyAlignment="1" applyBorder="1" applyFont="1" applyNumberFormat="1">
      <alignment horizontal="right" vertical="center"/>
    </xf>
    <xf borderId="34" fillId="13" fontId="28" numFmtId="4" xfId="0" applyAlignment="1" applyBorder="1" applyFont="1" applyNumberFormat="1">
      <alignment horizontal="right" vertical="center"/>
    </xf>
    <xf borderId="34" fillId="13" fontId="28" numFmtId="4" xfId="0" applyAlignment="1" applyBorder="1" applyFont="1" applyNumberFormat="1">
      <alignment horizontal="right"/>
    </xf>
    <xf borderId="35" fillId="0" fontId="28" numFmtId="4" xfId="0" applyAlignment="1" applyBorder="1" applyFont="1" applyNumberFormat="1">
      <alignment horizontal="right" vertical="center"/>
    </xf>
    <xf borderId="36" fillId="0" fontId="28" numFmtId="4" xfId="0" applyAlignment="1" applyBorder="1" applyFont="1" applyNumberFormat="1">
      <alignment horizontal="right" vertical="center"/>
    </xf>
    <xf borderId="37" fillId="0" fontId="28" numFmtId="4" xfId="0" applyAlignment="1" applyBorder="1" applyFont="1" applyNumberFormat="1">
      <alignment horizontal="right" vertical="center"/>
    </xf>
    <xf borderId="6" fillId="10" fontId="28" numFmtId="4" xfId="0" applyAlignment="1" applyBorder="1" applyFont="1" applyNumberFormat="1">
      <alignment horizontal="right" vertical="center"/>
    </xf>
    <xf borderId="0" fillId="0" fontId="28" numFmtId="4" xfId="0" applyAlignment="1" applyFont="1" applyNumberFormat="1">
      <alignment horizontal="right" vertical="center"/>
    </xf>
    <xf borderId="38" fillId="0" fontId="28" numFmtId="0" xfId="0" applyAlignment="1" applyBorder="1" applyFont="1">
      <alignment horizontal="center"/>
    </xf>
    <xf borderId="35" fillId="0" fontId="28" numFmtId="0" xfId="0" applyBorder="1" applyFont="1"/>
    <xf borderId="35" fillId="0" fontId="28" numFmtId="0" xfId="0" applyAlignment="1" applyBorder="1" applyFont="1">
      <alignment horizontal="center"/>
    </xf>
    <xf borderId="35" fillId="0" fontId="28" numFmtId="165" xfId="0" applyAlignment="1" applyBorder="1" applyFont="1" applyNumberFormat="1">
      <alignment horizontal="right" vertical="center"/>
    </xf>
    <xf borderId="39" fillId="13" fontId="28" numFmtId="4" xfId="0" applyAlignment="1" applyBorder="1" applyFont="1" applyNumberFormat="1">
      <alignment horizontal="right" vertical="center"/>
    </xf>
    <xf borderId="39" fillId="13" fontId="28" numFmtId="4" xfId="0" applyAlignment="1" applyBorder="1" applyFont="1" applyNumberFormat="1">
      <alignment horizontal="right"/>
    </xf>
    <xf borderId="40" fillId="0" fontId="28" numFmtId="4" xfId="0" applyAlignment="1" applyBorder="1" applyFont="1" applyNumberFormat="1">
      <alignment horizontal="right" vertical="center"/>
    </xf>
    <xf borderId="41" fillId="0" fontId="28" numFmtId="4" xfId="0" applyAlignment="1" applyBorder="1" applyFont="1" applyNumberFormat="1">
      <alignment horizontal="right" vertical="center"/>
    </xf>
    <xf borderId="35" fillId="0" fontId="28" numFmtId="4" xfId="0" applyAlignment="1" applyBorder="1" applyFont="1" applyNumberFormat="1">
      <alignment horizontal="right" readingOrder="0" vertical="center"/>
    </xf>
    <xf borderId="35" fillId="0" fontId="28" numFmtId="166" xfId="0" applyAlignment="1" applyBorder="1" applyFont="1" applyNumberFormat="1">
      <alignment horizontal="right" vertical="center"/>
    </xf>
    <xf borderId="35" fillId="0" fontId="28" numFmtId="0" xfId="0" applyAlignment="1" applyBorder="1" applyFont="1">
      <alignment horizontal="left"/>
    </xf>
    <xf borderId="42" fillId="0" fontId="27" numFmtId="0" xfId="0" applyAlignment="1" applyBorder="1" applyFont="1">
      <alignment horizontal="center" vertical="center"/>
    </xf>
    <xf borderId="44" fillId="14" fontId="27" numFmtId="0" xfId="0" applyAlignment="1" applyBorder="1" applyFont="1">
      <alignment horizontal="center" vertical="center"/>
    </xf>
    <xf borderId="44" fillId="14" fontId="27" numFmtId="4" xfId="0" applyAlignment="1" applyBorder="1" applyFont="1" applyNumberFormat="1">
      <alignment horizontal="right" vertical="center"/>
    </xf>
    <xf borderId="44" fillId="0" fontId="27" numFmtId="4" xfId="0" applyAlignment="1" applyBorder="1" applyFont="1" applyNumberFormat="1">
      <alignment horizontal="right" vertical="center"/>
    </xf>
    <xf borderId="6" fillId="10" fontId="27" numFmtId="4" xfId="0" applyAlignment="1" applyBorder="1" applyFont="1" applyNumberFormat="1">
      <alignment horizontal="right" vertical="center"/>
    </xf>
    <xf borderId="0" fillId="0" fontId="27" numFmtId="4" xfId="0" applyAlignment="1" applyFont="1" applyNumberFormat="1">
      <alignment horizontal="right" vertical="center"/>
    </xf>
    <xf borderId="39" fillId="15" fontId="27" numFmtId="0" xfId="0" applyAlignment="1" applyBorder="1" applyFont="1">
      <alignment horizontal="left"/>
    </xf>
    <xf borderId="39" fillId="14" fontId="28" numFmtId="0" xfId="0" applyAlignment="1" applyBorder="1" applyFont="1">
      <alignment horizontal="left"/>
    </xf>
    <xf borderId="39" fillId="14" fontId="28" numFmtId="4" xfId="0" applyAlignment="1" applyBorder="1" applyFont="1" applyNumberFormat="1">
      <alignment horizontal="right" vertical="center"/>
    </xf>
    <xf borderId="39" fillId="15" fontId="28" numFmtId="4" xfId="0" applyAlignment="1" applyBorder="1" applyFont="1" applyNumberFormat="1">
      <alignment horizontal="right" vertical="center"/>
    </xf>
    <xf borderId="45" fillId="15" fontId="28" numFmtId="4" xfId="0" applyAlignment="1" applyBorder="1" applyFont="1" applyNumberFormat="1">
      <alignment horizontal="right" vertical="center"/>
    </xf>
    <xf borderId="39" fillId="3" fontId="27" numFmtId="0" xfId="0" applyBorder="1" applyFont="1"/>
    <xf borderId="39" fillId="14" fontId="28" numFmtId="0" xfId="0" applyAlignment="1" applyBorder="1" applyFont="1">
      <alignment horizontal="center"/>
    </xf>
    <xf borderId="39" fillId="3" fontId="28" numFmtId="4" xfId="0" applyAlignment="1" applyBorder="1" applyFont="1" applyNumberFormat="1">
      <alignment horizontal="right" vertical="center"/>
    </xf>
    <xf borderId="45" fillId="3" fontId="28" numFmtId="4" xfId="0" applyAlignment="1" applyBorder="1" applyFont="1" applyNumberFormat="1">
      <alignment horizontal="right" vertical="center"/>
    </xf>
    <xf borderId="46" fillId="0" fontId="27" numFmtId="0" xfId="0" applyAlignment="1" applyBorder="1" applyFont="1">
      <alignment horizontal="center" vertical="center"/>
    </xf>
    <xf borderId="48" fillId="14" fontId="27" numFmtId="0" xfId="0" applyAlignment="1" applyBorder="1" applyFont="1">
      <alignment horizontal="center" vertical="center"/>
    </xf>
    <xf borderId="48" fillId="14" fontId="27" numFmtId="4" xfId="0" applyAlignment="1" applyBorder="1" applyFont="1" applyNumberFormat="1">
      <alignment horizontal="right" vertical="center"/>
    </xf>
    <xf borderId="48" fillId="0" fontId="27" numFmtId="4" xfId="0" applyAlignment="1" applyBorder="1" applyFont="1" applyNumberFormat="1">
      <alignment horizontal="right" vertical="center"/>
    </xf>
    <xf borderId="12" fillId="16" fontId="29" numFmtId="0" xfId="0" applyAlignment="1" applyBorder="1" applyFont="1">
      <alignment horizontal="center"/>
    </xf>
    <xf borderId="13" fillId="16" fontId="29" numFmtId="0" xfId="0" applyBorder="1" applyFont="1"/>
    <xf borderId="13" fillId="16" fontId="29" numFmtId="0" xfId="0" applyAlignment="1" applyBorder="1" applyFont="1">
      <alignment readingOrder="0"/>
    </xf>
    <xf borderId="14" fillId="16" fontId="29" numFmtId="0" xfId="0" applyBorder="1" applyFont="1"/>
    <xf borderId="0" fillId="0" fontId="29" numFmtId="0" xfId="0" applyFont="1"/>
    <xf borderId="6" fillId="10" fontId="29" numFmtId="0" xfId="0" applyBorder="1" applyFont="1"/>
    <xf borderId="16" fillId="10" fontId="29" numFmtId="0" xfId="0" applyBorder="1" applyFont="1"/>
    <xf borderId="17" fillId="16" fontId="29" numFmtId="0" xfId="0" applyAlignment="1" applyBorder="1" applyFont="1">
      <alignment horizontal="center"/>
    </xf>
    <xf borderId="6" fillId="16" fontId="29" numFmtId="0" xfId="0" applyBorder="1" applyFont="1"/>
    <xf borderId="18" fillId="16" fontId="29" numFmtId="0" xfId="0" applyBorder="1" applyFont="1"/>
    <xf borderId="6" fillId="16" fontId="29" numFmtId="0" xfId="0" applyAlignment="1" applyBorder="1" applyFont="1">
      <alignment horizontal="left"/>
    </xf>
    <xf borderId="6" fillId="16" fontId="29" numFmtId="4" xfId="0" applyBorder="1" applyFont="1" applyNumberFormat="1"/>
    <xf borderId="20" fillId="16" fontId="29" numFmtId="0" xfId="0" applyAlignment="1" applyBorder="1" applyFont="1">
      <alignment horizontal="center"/>
    </xf>
    <xf borderId="21" fillId="16" fontId="29" numFmtId="0" xfId="0" applyBorder="1" applyFont="1"/>
    <xf borderId="22" fillId="16" fontId="29" numFmtId="0" xfId="0" applyBorder="1" applyFont="1"/>
    <xf borderId="0" fillId="0" fontId="30" numFmtId="0" xfId="0" applyAlignment="1" applyFont="1">
      <alignment horizontal="center"/>
    </xf>
    <xf borderId="0" fillId="0" fontId="30" numFmtId="0" xfId="0" applyFont="1"/>
    <xf borderId="6" fillId="10" fontId="30" numFmtId="0" xfId="0" applyBorder="1" applyFont="1"/>
    <xf borderId="23" fillId="0" fontId="29" numFmtId="0" xfId="0" applyAlignment="1" applyBorder="1" applyFont="1">
      <alignment horizontal="center" shrinkToFit="0" vertical="center" wrapText="1"/>
    </xf>
    <xf borderId="24" fillId="0" fontId="29" numFmtId="0" xfId="0" applyAlignment="1" applyBorder="1" applyFont="1">
      <alignment horizontal="center" shrinkToFit="0" vertical="center" wrapText="1"/>
    </xf>
    <xf borderId="25" fillId="0" fontId="29" numFmtId="0" xfId="0" applyAlignment="1" applyBorder="1" applyFont="1">
      <alignment horizontal="center" shrinkToFit="0" vertical="center" wrapText="1"/>
    </xf>
    <xf borderId="28" fillId="0" fontId="29" numFmtId="0" xfId="0" applyAlignment="1" applyBorder="1" applyFont="1">
      <alignment horizontal="center" shrinkToFit="0" vertical="center" wrapText="1"/>
    </xf>
    <xf borderId="6" fillId="10" fontId="29" numFmtId="0" xfId="0" applyAlignment="1" applyBorder="1" applyFont="1">
      <alignment horizontal="center" shrinkToFit="0" vertical="center" wrapText="1"/>
    </xf>
    <xf borderId="16" fillId="10" fontId="29" numFmtId="0" xfId="0" applyAlignment="1" applyBorder="1" applyFont="1">
      <alignment horizontal="center" shrinkToFit="0" vertical="center" wrapText="1"/>
    </xf>
    <xf borderId="0" fillId="0" fontId="29" numFmtId="0" xfId="0" applyAlignment="1" applyFont="1">
      <alignment horizontal="center" shrinkToFit="0" vertical="center" wrapText="1"/>
    </xf>
    <xf borderId="30" fillId="0" fontId="29" numFmtId="0" xfId="0" applyAlignment="1" applyBorder="1" applyFont="1">
      <alignment horizontal="center" shrinkToFit="0" vertical="center" wrapText="1"/>
    </xf>
    <xf borderId="19" fillId="0" fontId="29" numFmtId="0" xfId="0" applyAlignment="1" applyBorder="1" applyFont="1">
      <alignment horizontal="center" shrinkToFit="0" vertical="center" wrapText="1"/>
    </xf>
    <xf borderId="32" fillId="12" fontId="30" numFmtId="164" xfId="0" applyAlignment="1" applyBorder="1" applyFont="1" applyNumberFormat="1">
      <alignment horizontal="center" vertical="center"/>
    </xf>
    <xf borderId="30" fillId="12" fontId="30" numFmtId="164" xfId="0" applyAlignment="1" applyBorder="1" applyFont="1" applyNumberFormat="1">
      <alignment horizontal="center" vertical="center"/>
    </xf>
    <xf borderId="6" fillId="10" fontId="30" numFmtId="164" xfId="0" applyAlignment="1" applyBorder="1" applyFont="1" applyNumberFormat="1">
      <alignment horizontal="center" vertical="center"/>
    </xf>
    <xf borderId="0" fillId="0" fontId="30" numFmtId="164" xfId="0" applyAlignment="1" applyFont="1" applyNumberFormat="1">
      <alignment horizontal="center" vertical="center"/>
    </xf>
    <xf borderId="33" fillId="0" fontId="30" numFmtId="0" xfId="0" applyAlignment="1" applyBorder="1" applyFont="1">
      <alignment horizontal="center"/>
    </xf>
    <xf borderId="15" fillId="0" fontId="30" numFmtId="0" xfId="0" applyBorder="1" applyFont="1"/>
    <xf borderId="15" fillId="0" fontId="30" numFmtId="0" xfId="0" applyAlignment="1" applyBorder="1" applyFont="1">
      <alignment horizontal="center"/>
    </xf>
    <xf borderId="15" fillId="0" fontId="30" numFmtId="4" xfId="0" applyAlignment="1" applyBorder="1" applyFont="1" applyNumberFormat="1">
      <alignment horizontal="right" vertical="center"/>
    </xf>
    <xf borderId="15" fillId="0" fontId="30" numFmtId="165" xfId="0" applyAlignment="1" applyBorder="1" applyFont="1" applyNumberFormat="1">
      <alignment horizontal="right" vertical="center"/>
    </xf>
    <xf borderId="35" fillId="0" fontId="30" numFmtId="4" xfId="0" applyAlignment="1" applyBorder="1" applyFont="1" applyNumberFormat="1">
      <alignment horizontal="right" vertical="center"/>
    </xf>
    <xf borderId="36" fillId="0" fontId="30" numFmtId="4" xfId="0" applyAlignment="1" applyBorder="1" applyFont="1" applyNumberFormat="1">
      <alignment horizontal="right" vertical="center"/>
    </xf>
    <xf borderId="37" fillId="0" fontId="30" numFmtId="4" xfId="0" applyAlignment="1" applyBorder="1" applyFont="1" applyNumberFormat="1">
      <alignment horizontal="right" vertical="center"/>
    </xf>
    <xf borderId="6" fillId="10" fontId="30" numFmtId="4" xfId="0" applyAlignment="1" applyBorder="1" applyFont="1" applyNumberFormat="1">
      <alignment horizontal="right" vertical="center"/>
    </xf>
    <xf borderId="0" fillId="0" fontId="30" numFmtId="4" xfId="0" applyAlignment="1" applyFont="1" applyNumberFormat="1">
      <alignment horizontal="right" vertical="center"/>
    </xf>
    <xf borderId="38" fillId="0" fontId="30" numFmtId="0" xfId="0" applyAlignment="1" applyBorder="1" applyFont="1">
      <alignment horizontal="center"/>
    </xf>
    <xf borderId="35" fillId="0" fontId="30" numFmtId="0" xfId="0" applyBorder="1" applyFont="1"/>
    <xf borderId="35" fillId="0" fontId="30" numFmtId="0" xfId="0" applyAlignment="1" applyBorder="1" applyFont="1">
      <alignment horizontal="center"/>
    </xf>
    <xf borderId="35" fillId="0" fontId="30" numFmtId="165" xfId="0" applyAlignment="1" applyBorder="1" applyFont="1" applyNumberFormat="1">
      <alignment horizontal="right" vertical="center"/>
    </xf>
    <xf borderId="40" fillId="0" fontId="30" numFmtId="4" xfId="0" applyAlignment="1" applyBorder="1" applyFont="1" applyNumberFormat="1">
      <alignment horizontal="right" vertical="center"/>
    </xf>
    <xf borderId="41" fillId="0" fontId="30" numFmtId="4" xfId="0" applyAlignment="1" applyBorder="1" applyFont="1" applyNumberFormat="1">
      <alignment horizontal="right" vertical="center"/>
    </xf>
    <xf borderId="35" fillId="0" fontId="30" numFmtId="4" xfId="0" applyAlignment="1" applyBorder="1" applyFont="1" applyNumberFormat="1">
      <alignment horizontal="right" readingOrder="0" vertical="center"/>
    </xf>
    <xf borderId="35" fillId="0" fontId="30" numFmtId="0" xfId="0" applyAlignment="1" applyBorder="1" applyFont="1">
      <alignment horizontal="left"/>
    </xf>
    <xf borderId="42" fillId="0" fontId="29" numFmtId="0" xfId="0" applyAlignment="1" applyBorder="1" applyFont="1">
      <alignment horizontal="center" vertical="center"/>
    </xf>
    <xf borderId="44" fillId="14" fontId="29" numFmtId="0" xfId="0" applyAlignment="1" applyBorder="1" applyFont="1">
      <alignment horizontal="center" vertical="center"/>
    </xf>
    <xf borderId="44" fillId="14" fontId="29" numFmtId="4" xfId="0" applyAlignment="1" applyBorder="1" applyFont="1" applyNumberFormat="1">
      <alignment horizontal="right" vertical="center"/>
    </xf>
    <xf borderId="44" fillId="0" fontId="29" numFmtId="4" xfId="0" applyAlignment="1" applyBorder="1" applyFont="1" applyNumberFormat="1">
      <alignment horizontal="right" vertical="center"/>
    </xf>
    <xf borderId="6" fillId="10" fontId="29" numFmtId="4" xfId="0" applyAlignment="1" applyBorder="1" applyFont="1" applyNumberFormat="1">
      <alignment horizontal="right" vertical="center"/>
    </xf>
    <xf borderId="0" fillId="0" fontId="29" numFmtId="4" xfId="0" applyAlignment="1" applyFont="1" applyNumberFormat="1">
      <alignment horizontal="right" vertical="center"/>
    </xf>
    <xf borderId="39" fillId="15" fontId="29" numFmtId="0" xfId="0" applyAlignment="1" applyBorder="1" applyFont="1">
      <alignment horizontal="left"/>
    </xf>
    <xf borderId="39" fillId="14" fontId="30" numFmtId="0" xfId="0" applyAlignment="1" applyBorder="1" applyFont="1">
      <alignment horizontal="left"/>
    </xf>
    <xf borderId="39" fillId="14" fontId="30" numFmtId="4" xfId="0" applyAlignment="1" applyBorder="1" applyFont="1" applyNumberFormat="1">
      <alignment horizontal="right" vertical="center"/>
    </xf>
    <xf borderId="39" fillId="15" fontId="30" numFmtId="4" xfId="0" applyAlignment="1" applyBorder="1" applyFont="1" applyNumberFormat="1">
      <alignment horizontal="right" vertical="center"/>
    </xf>
    <xf borderId="45" fillId="15" fontId="30" numFmtId="4" xfId="0" applyAlignment="1" applyBorder="1" applyFont="1" applyNumberFormat="1">
      <alignment horizontal="right" vertical="center"/>
    </xf>
    <xf borderId="39" fillId="3" fontId="29" numFmtId="0" xfId="0" applyBorder="1" applyFont="1"/>
    <xf borderId="39" fillId="14" fontId="30" numFmtId="0" xfId="0" applyAlignment="1" applyBorder="1" applyFont="1">
      <alignment horizontal="center"/>
    </xf>
    <xf borderId="39" fillId="3" fontId="30" numFmtId="4" xfId="0" applyAlignment="1" applyBorder="1" applyFont="1" applyNumberFormat="1">
      <alignment horizontal="right" vertical="center"/>
    </xf>
    <xf borderId="45" fillId="3" fontId="30" numFmtId="4" xfId="0" applyAlignment="1" applyBorder="1" applyFont="1" applyNumberFormat="1">
      <alignment horizontal="right" vertical="center"/>
    </xf>
    <xf borderId="46" fillId="0" fontId="29" numFmtId="0" xfId="0" applyAlignment="1" applyBorder="1" applyFont="1">
      <alignment horizontal="center" vertical="center"/>
    </xf>
    <xf borderId="48" fillId="14" fontId="29" numFmtId="0" xfId="0" applyAlignment="1" applyBorder="1" applyFont="1">
      <alignment horizontal="center" vertical="center"/>
    </xf>
    <xf borderId="48" fillId="14" fontId="29" numFmtId="4" xfId="0" applyAlignment="1" applyBorder="1" applyFont="1" applyNumberFormat="1">
      <alignment horizontal="right" vertical="center"/>
    </xf>
    <xf borderId="48" fillId="0" fontId="29" numFmtId="4" xfId="0" applyAlignment="1" applyBorder="1" applyFont="1" applyNumberFormat="1">
      <alignment horizontal="right" vertical="center"/>
    </xf>
    <xf borderId="12" fillId="16" fontId="31" numFmtId="0" xfId="0" applyAlignment="1" applyBorder="1" applyFont="1">
      <alignment horizontal="center"/>
    </xf>
    <xf borderId="13" fillId="16" fontId="31" numFmtId="0" xfId="0" applyBorder="1" applyFont="1"/>
    <xf borderId="14" fillId="16" fontId="31" numFmtId="0" xfId="0" applyBorder="1" applyFont="1"/>
    <xf borderId="0" fillId="0" fontId="31" numFmtId="0" xfId="0" applyFont="1"/>
    <xf borderId="6" fillId="10" fontId="31" numFmtId="0" xfId="0" applyBorder="1" applyFont="1"/>
    <xf borderId="16" fillId="10" fontId="31" numFmtId="0" xfId="0" applyBorder="1" applyFont="1"/>
    <xf borderId="17" fillId="16" fontId="31" numFmtId="0" xfId="0" applyAlignment="1" applyBorder="1" applyFont="1">
      <alignment horizontal="center"/>
    </xf>
    <xf borderId="6" fillId="16" fontId="31" numFmtId="0" xfId="0" applyBorder="1" applyFont="1"/>
    <xf borderId="18" fillId="16" fontId="31" numFmtId="0" xfId="0" applyBorder="1" applyFont="1"/>
    <xf borderId="6" fillId="16" fontId="31" numFmtId="0" xfId="0" applyAlignment="1" applyBorder="1" applyFont="1">
      <alignment horizontal="left"/>
    </xf>
    <xf borderId="6" fillId="16" fontId="31" numFmtId="4" xfId="0" applyBorder="1" applyFont="1" applyNumberFormat="1"/>
    <xf borderId="20" fillId="16" fontId="31" numFmtId="0" xfId="0" applyAlignment="1" applyBorder="1" applyFont="1">
      <alignment horizontal="center"/>
    </xf>
    <xf borderId="21" fillId="16" fontId="31" numFmtId="0" xfId="0" applyBorder="1" applyFont="1"/>
    <xf borderId="22" fillId="16" fontId="31" numFmtId="0" xfId="0" applyBorder="1" applyFont="1"/>
    <xf borderId="0" fillId="0" fontId="32" numFmtId="0" xfId="0" applyAlignment="1" applyFont="1">
      <alignment horizontal="center"/>
    </xf>
    <xf borderId="0" fillId="0" fontId="32" numFmtId="0" xfId="0" applyFont="1"/>
    <xf borderId="6" fillId="10" fontId="32" numFmtId="0" xfId="0" applyBorder="1" applyFont="1"/>
    <xf borderId="23" fillId="0" fontId="31" numFmtId="0" xfId="0" applyAlignment="1" applyBorder="1" applyFont="1">
      <alignment horizontal="center" shrinkToFit="0" vertical="center" wrapText="1"/>
    </xf>
    <xf borderId="24" fillId="0" fontId="31" numFmtId="0" xfId="0" applyAlignment="1" applyBorder="1" applyFont="1">
      <alignment horizontal="center" shrinkToFit="0" vertical="center" wrapText="1"/>
    </xf>
    <xf borderId="25" fillId="0" fontId="31" numFmtId="0" xfId="0" applyAlignment="1" applyBorder="1" applyFont="1">
      <alignment horizontal="center" shrinkToFit="0" vertical="center" wrapText="1"/>
    </xf>
    <xf borderId="28" fillId="0" fontId="31" numFmtId="0" xfId="0" applyAlignment="1" applyBorder="1" applyFont="1">
      <alignment horizontal="center" shrinkToFit="0" vertical="center" wrapText="1"/>
    </xf>
    <xf borderId="6" fillId="10" fontId="31" numFmtId="0" xfId="0" applyAlignment="1" applyBorder="1" applyFont="1">
      <alignment horizontal="center" shrinkToFit="0" vertical="center" wrapText="1"/>
    </xf>
    <xf borderId="16" fillId="10" fontId="31" numFmtId="0" xfId="0" applyAlignment="1" applyBorder="1" applyFont="1">
      <alignment horizontal="center" shrinkToFit="0" vertical="center" wrapText="1"/>
    </xf>
    <xf borderId="0" fillId="0" fontId="31" numFmtId="0" xfId="0" applyAlignment="1" applyFont="1">
      <alignment horizontal="center" shrinkToFit="0" vertical="center" wrapText="1"/>
    </xf>
    <xf borderId="30" fillId="0" fontId="31" numFmtId="0" xfId="0" applyAlignment="1" applyBorder="1" applyFont="1">
      <alignment horizontal="center" shrinkToFit="0" vertical="center" wrapText="1"/>
    </xf>
    <xf borderId="19" fillId="0" fontId="31" numFmtId="0" xfId="0" applyAlignment="1" applyBorder="1" applyFont="1">
      <alignment horizontal="center" shrinkToFit="0" vertical="center" wrapText="1"/>
    </xf>
    <xf borderId="32" fillId="12" fontId="32" numFmtId="164" xfId="0" applyAlignment="1" applyBorder="1" applyFont="1" applyNumberFormat="1">
      <alignment horizontal="center" vertical="center"/>
    </xf>
    <xf borderId="30" fillId="12" fontId="32" numFmtId="164" xfId="0" applyAlignment="1" applyBorder="1" applyFont="1" applyNumberFormat="1">
      <alignment horizontal="center" vertical="center"/>
    </xf>
    <xf borderId="6" fillId="10" fontId="32" numFmtId="164" xfId="0" applyAlignment="1" applyBorder="1" applyFont="1" applyNumberFormat="1">
      <alignment horizontal="center" vertical="center"/>
    </xf>
    <xf borderId="0" fillId="0" fontId="32" numFmtId="164" xfId="0" applyAlignment="1" applyFont="1" applyNumberFormat="1">
      <alignment horizontal="center" vertical="center"/>
    </xf>
    <xf borderId="33" fillId="0" fontId="32" numFmtId="0" xfId="0" applyAlignment="1" applyBorder="1" applyFont="1">
      <alignment horizontal="center"/>
    </xf>
    <xf borderId="15" fillId="0" fontId="32" numFmtId="0" xfId="0" applyBorder="1" applyFont="1"/>
    <xf borderId="15" fillId="0" fontId="32" numFmtId="0" xfId="0" applyAlignment="1" applyBorder="1" applyFont="1">
      <alignment horizontal="center"/>
    </xf>
    <xf borderId="15" fillId="0" fontId="32" numFmtId="4" xfId="0" applyAlignment="1" applyBorder="1" applyFont="1" applyNumberFormat="1">
      <alignment horizontal="right" vertical="center"/>
    </xf>
    <xf borderId="15" fillId="0" fontId="32" numFmtId="165" xfId="0" applyAlignment="1" applyBorder="1" applyFont="1" applyNumberFormat="1">
      <alignment horizontal="right" vertical="center"/>
    </xf>
    <xf borderId="35" fillId="0" fontId="32" numFmtId="4" xfId="0" applyAlignment="1" applyBorder="1" applyFont="1" applyNumberFormat="1">
      <alignment horizontal="right" vertical="center"/>
    </xf>
    <xf borderId="36" fillId="0" fontId="32" numFmtId="4" xfId="0" applyAlignment="1" applyBorder="1" applyFont="1" applyNumberFormat="1">
      <alignment horizontal="right" vertical="center"/>
    </xf>
    <xf borderId="37" fillId="0" fontId="32" numFmtId="4" xfId="0" applyAlignment="1" applyBorder="1" applyFont="1" applyNumberFormat="1">
      <alignment horizontal="right" vertical="center"/>
    </xf>
    <xf borderId="6" fillId="10" fontId="32" numFmtId="4" xfId="0" applyAlignment="1" applyBorder="1" applyFont="1" applyNumberFormat="1">
      <alignment horizontal="right" vertical="center"/>
    </xf>
    <xf borderId="0" fillId="0" fontId="32" numFmtId="4" xfId="0" applyAlignment="1" applyFont="1" applyNumberFormat="1">
      <alignment horizontal="right" vertical="center"/>
    </xf>
    <xf borderId="38" fillId="0" fontId="32" numFmtId="0" xfId="0" applyAlignment="1" applyBorder="1" applyFont="1">
      <alignment horizontal="center"/>
    </xf>
    <xf borderId="35" fillId="0" fontId="32" numFmtId="0" xfId="0" applyBorder="1" applyFont="1"/>
    <xf borderId="35" fillId="0" fontId="32" numFmtId="0" xfId="0" applyAlignment="1" applyBorder="1" applyFont="1">
      <alignment horizontal="center"/>
    </xf>
    <xf borderId="35" fillId="0" fontId="32" numFmtId="165" xfId="0" applyAlignment="1" applyBorder="1" applyFont="1" applyNumberFormat="1">
      <alignment horizontal="right" vertical="center"/>
    </xf>
    <xf borderId="40" fillId="0" fontId="32" numFmtId="4" xfId="0" applyAlignment="1" applyBorder="1" applyFont="1" applyNumberFormat="1">
      <alignment horizontal="right" vertical="center"/>
    </xf>
    <xf borderId="41" fillId="0" fontId="32" numFmtId="4" xfId="0" applyAlignment="1" applyBorder="1" applyFont="1" applyNumberFormat="1">
      <alignment horizontal="right" vertical="center"/>
    </xf>
    <xf borderId="35" fillId="0" fontId="32" numFmtId="4" xfId="0" applyAlignment="1" applyBorder="1" applyFont="1" applyNumberFormat="1">
      <alignment horizontal="right" readingOrder="0" vertical="center"/>
    </xf>
    <xf borderId="35" fillId="0" fontId="32" numFmtId="0" xfId="0" applyAlignment="1" applyBorder="1" applyFont="1">
      <alignment horizontal="left"/>
    </xf>
    <xf borderId="42" fillId="0" fontId="31" numFmtId="0" xfId="0" applyAlignment="1" applyBorder="1" applyFont="1">
      <alignment horizontal="center" vertical="center"/>
    </xf>
    <xf borderId="44" fillId="14" fontId="31" numFmtId="0" xfId="0" applyAlignment="1" applyBorder="1" applyFont="1">
      <alignment horizontal="center" vertical="center"/>
    </xf>
    <xf borderId="44" fillId="14" fontId="31" numFmtId="4" xfId="0" applyAlignment="1" applyBorder="1" applyFont="1" applyNumberFormat="1">
      <alignment horizontal="right" vertical="center"/>
    </xf>
    <xf borderId="44" fillId="0" fontId="31" numFmtId="4" xfId="0" applyAlignment="1" applyBorder="1" applyFont="1" applyNumberFormat="1">
      <alignment horizontal="right" vertical="center"/>
    </xf>
    <xf borderId="6" fillId="10" fontId="31" numFmtId="4" xfId="0" applyAlignment="1" applyBorder="1" applyFont="1" applyNumberFormat="1">
      <alignment horizontal="right" vertical="center"/>
    </xf>
    <xf borderId="0" fillId="0" fontId="31" numFmtId="4" xfId="0" applyAlignment="1" applyFont="1" applyNumberFormat="1">
      <alignment horizontal="right" vertical="center"/>
    </xf>
    <xf borderId="39" fillId="15" fontId="31" numFmtId="0" xfId="0" applyAlignment="1" applyBorder="1" applyFont="1">
      <alignment horizontal="left"/>
    </xf>
    <xf borderId="39" fillId="14" fontId="32" numFmtId="0" xfId="0" applyAlignment="1" applyBorder="1" applyFont="1">
      <alignment horizontal="left"/>
    </xf>
    <xf borderId="39" fillId="14" fontId="32" numFmtId="4" xfId="0" applyAlignment="1" applyBorder="1" applyFont="1" applyNumberFormat="1">
      <alignment horizontal="right" vertical="center"/>
    </xf>
    <xf borderId="39" fillId="15" fontId="32" numFmtId="4" xfId="0" applyAlignment="1" applyBorder="1" applyFont="1" applyNumberFormat="1">
      <alignment horizontal="right" vertical="center"/>
    </xf>
    <xf borderId="45" fillId="15" fontId="32" numFmtId="4" xfId="0" applyAlignment="1" applyBorder="1" applyFont="1" applyNumberFormat="1">
      <alignment horizontal="right" vertical="center"/>
    </xf>
    <xf borderId="39" fillId="3" fontId="31" numFmtId="0" xfId="0" applyBorder="1" applyFont="1"/>
    <xf borderId="39" fillId="14" fontId="32" numFmtId="0" xfId="0" applyAlignment="1" applyBorder="1" applyFont="1">
      <alignment horizontal="center"/>
    </xf>
    <xf borderId="39" fillId="3" fontId="32" numFmtId="4" xfId="0" applyAlignment="1" applyBorder="1" applyFont="1" applyNumberFormat="1">
      <alignment horizontal="right" vertical="center"/>
    </xf>
    <xf borderId="45" fillId="3" fontId="32" numFmtId="4" xfId="0" applyAlignment="1" applyBorder="1" applyFont="1" applyNumberFormat="1">
      <alignment horizontal="right" vertical="center"/>
    </xf>
    <xf borderId="46" fillId="0" fontId="31" numFmtId="0" xfId="0" applyAlignment="1" applyBorder="1" applyFont="1">
      <alignment horizontal="center" vertical="center"/>
    </xf>
    <xf borderId="48" fillId="14" fontId="31" numFmtId="0" xfId="0" applyAlignment="1" applyBorder="1" applyFont="1">
      <alignment horizontal="center" vertical="center"/>
    </xf>
    <xf borderId="48" fillId="14" fontId="31" numFmtId="4" xfId="0" applyAlignment="1" applyBorder="1" applyFont="1" applyNumberFormat="1">
      <alignment horizontal="right" vertical="center"/>
    </xf>
    <xf borderId="48" fillId="0" fontId="31" numFmtId="4" xfId="0" applyAlignment="1" applyBorder="1" applyFont="1" applyNumberFormat="1">
      <alignment horizontal="right" vertical="center"/>
    </xf>
    <xf borderId="12" fillId="16" fontId="33" numFmtId="0" xfId="0" applyAlignment="1" applyBorder="1" applyFont="1">
      <alignment horizontal="center"/>
    </xf>
    <xf borderId="13" fillId="16" fontId="33" numFmtId="0" xfId="0" applyBorder="1" applyFont="1"/>
    <xf borderId="14" fillId="16" fontId="33" numFmtId="0" xfId="0" applyBorder="1" applyFont="1"/>
    <xf borderId="0" fillId="0" fontId="33" numFmtId="0" xfId="0" applyFont="1"/>
    <xf borderId="6" fillId="10" fontId="33" numFmtId="0" xfId="0" applyBorder="1" applyFont="1"/>
    <xf borderId="16" fillId="10" fontId="33" numFmtId="0" xfId="0" applyBorder="1" applyFont="1"/>
    <xf borderId="17" fillId="16" fontId="33" numFmtId="0" xfId="0" applyAlignment="1" applyBorder="1" applyFont="1">
      <alignment horizontal="center"/>
    </xf>
    <xf borderId="6" fillId="16" fontId="33" numFmtId="0" xfId="0" applyBorder="1" applyFont="1"/>
    <xf borderId="18" fillId="16" fontId="33" numFmtId="0" xfId="0" applyBorder="1" applyFont="1"/>
    <xf borderId="6" fillId="16" fontId="33" numFmtId="0" xfId="0" applyAlignment="1" applyBorder="1" applyFont="1">
      <alignment horizontal="left"/>
    </xf>
    <xf borderId="6" fillId="16" fontId="33" numFmtId="4" xfId="0" applyBorder="1" applyFont="1" applyNumberFormat="1"/>
    <xf borderId="20" fillId="16" fontId="33" numFmtId="0" xfId="0" applyAlignment="1" applyBorder="1" applyFont="1">
      <alignment horizontal="center"/>
    </xf>
    <xf borderId="21" fillId="16" fontId="33" numFmtId="0" xfId="0" applyBorder="1" applyFont="1"/>
    <xf borderId="22" fillId="16" fontId="33" numFmtId="0" xfId="0" applyBorder="1" applyFont="1"/>
    <xf borderId="0" fillId="0" fontId="34" numFmtId="0" xfId="0" applyAlignment="1" applyFont="1">
      <alignment horizontal="center"/>
    </xf>
    <xf borderId="0" fillId="0" fontId="34" numFmtId="0" xfId="0" applyFont="1"/>
    <xf borderId="6" fillId="10" fontId="34" numFmtId="0" xfId="0" applyBorder="1" applyFont="1"/>
    <xf borderId="23" fillId="0" fontId="33" numFmtId="0" xfId="0" applyAlignment="1" applyBorder="1" applyFont="1">
      <alignment horizontal="center" shrinkToFit="0" vertical="center" wrapText="1"/>
    </xf>
    <xf borderId="24" fillId="0" fontId="33" numFmtId="0" xfId="0" applyAlignment="1" applyBorder="1" applyFont="1">
      <alignment horizontal="center" shrinkToFit="0" vertical="center" wrapText="1"/>
    </xf>
    <xf borderId="25" fillId="0" fontId="33" numFmtId="0" xfId="0" applyAlignment="1" applyBorder="1" applyFont="1">
      <alignment horizontal="center" shrinkToFit="0" vertical="center" wrapText="1"/>
    </xf>
    <xf borderId="28" fillId="0" fontId="33" numFmtId="0" xfId="0" applyAlignment="1" applyBorder="1" applyFont="1">
      <alignment horizontal="center" shrinkToFit="0" vertical="center" wrapText="1"/>
    </xf>
    <xf borderId="6" fillId="10" fontId="33" numFmtId="0" xfId="0" applyAlignment="1" applyBorder="1" applyFont="1">
      <alignment horizontal="center" shrinkToFit="0" vertical="center" wrapText="1"/>
    </xf>
    <xf borderId="16" fillId="10" fontId="33" numFmtId="0" xfId="0" applyAlignment="1" applyBorder="1" applyFont="1">
      <alignment horizontal="center" shrinkToFit="0" vertical="center" wrapText="1"/>
    </xf>
    <xf borderId="0" fillId="0" fontId="33" numFmtId="0" xfId="0" applyAlignment="1" applyFont="1">
      <alignment horizontal="center" shrinkToFit="0" vertical="center" wrapText="1"/>
    </xf>
    <xf borderId="30" fillId="0" fontId="33" numFmtId="0" xfId="0" applyAlignment="1" applyBorder="1" applyFont="1">
      <alignment horizontal="center" shrinkToFit="0" vertical="center" wrapText="1"/>
    </xf>
    <xf borderId="19" fillId="0" fontId="33" numFmtId="0" xfId="0" applyAlignment="1" applyBorder="1" applyFont="1">
      <alignment horizontal="center" shrinkToFit="0" vertical="center" wrapText="1"/>
    </xf>
    <xf borderId="32" fillId="12" fontId="34" numFmtId="164" xfId="0" applyAlignment="1" applyBorder="1" applyFont="1" applyNumberFormat="1">
      <alignment horizontal="center" vertical="center"/>
    </xf>
    <xf borderId="30" fillId="12" fontId="34" numFmtId="164" xfId="0" applyAlignment="1" applyBorder="1" applyFont="1" applyNumberFormat="1">
      <alignment horizontal="center" vertical="center"/>
    </xf>
    <xf borderId="6" fillId="10" fontId="34" numFmtId="164" xfId="0" applyAlignment="1" applyBorder="1" applyFont="1" applyNumberFormat="1">
      <alignment horizontal="center" vertical="center"/>
    </xf>
    <xf borderId="0" fillId="0" fontId="34" numFmtId="164" xfId="0" applyAlignment="1" applyFont="1" applyNumberFormat="1">
      <alignment horizontal="center" vertical="center"/>
    </xf>
    <xf borderId="33" fillId="0" fontId="34" numFmtId="0" xfId="0" applyAlignment="1" applyBorder="1" applyFont="1">
      <alignment horizontal="center"/>
    </xf>
    <xf borderId="15" fillId="0" fontId="34" numFmtId="0" xfId="0" applyBorder="1" applyFont="1"/>
    <xf borderId="15" fillId="0" fontId="34" numFmtId="0" xfId="0" applyAlignment="1" applyBorder="1" applyFont="1">
      <alignment horizontal="center"/>
    </xf>
    <xf borderId="15" fillId="0" fontId="34" numFmtId="4" xfId="0" applyAlignment="1" applyBorder="1" applyFont="1" applyNumberFormat="1">
      <alignment horizontal="right" vertical="center"/>
    </xf>
    <xf borderId="15" fillId="0" fontId="34" numFmtId="165" xfId="0" applyAlignment="1" applyBorder="1" applyFont="1" applyNumberFormat="1">
      <alignment horizontal="right" vertical="center"/>
    </xf>
    <xf borderId="35" fillId="0" fontId="34" numFmtId="4" xfId="0" applyAlignment="1" applyBorder="1" applyFont="1" applyNumberFormat="1">
      <alignment horizontal="right" vertical="center"/>
    </xf>
    <xf borderId="36" fillId="0" fontId="34" numFmtId="4" xfId="0" applyAlignment="1" applyBorder="1" applyFont="1" applyNumberFormat="1">
      <alignment horizontal="right" vertical="center"/>
    </xf>
    <xf borderId="37" fillId="0" fontId="34" numFmtId="4" xfId="0" applyAlignment="1" applyBorder="1" applyFont="1" applyNumberFormat="1">
      <alignment horizontal="right" vertical="center"/>
    </xf>
    <xf borderId="6" fillId="10" fontId="34" numFmtId="4" xfId="0" applyAlignment="1" applyBorder="1" applyFont="1" applyNumberFormat="1">
      <alignment horizontal="right" vertical="center"/>
    </xf>
    <xf borderId="0" fillId="0" fontId="34" numFmtId="4" xfId="0" applyAlignment="1" applyFont="1" applyNumberFormat="1">
      <alignment horizontal="right" vertical="center"/>
    </xf>
    <xf borderId="38" fillId="0" fontId="34" numFmtId="0" xfId="0" applyAlignment="1" applyBorder="1" applyFont="1">
      <alignment horizontal="center"/>
    </xf>
    <xf borderId="35" fillId="0" fontId="34" numFmtId="0" xfId="0" applyBorder="1" applyFont="1"/>
    <xf borderId="35" fillId="0" fontId="34" numFmtId="0" xfId="0" applyAlignment="1" applyBorder="1" applyFont="1">
      <alignment horizontal="center"/>
    </xf>
    <xf borderId="35" fillId="0" fontId="34" numFmtId="165" xfId="0" applyAlignment="1" applyBorder="1" applyFont="1" applyNumberFormat="1">
      <alignment horizontal="right" vertical="center"/>
    </xf>
    <xf borderId="40" fillId="0" fontId="34" numFmtId="4" xfId="0" applyAlignment="1" applyBorder="1" applyFont="1" applyNumberFormat="1">
      <alignment horizontal="right" vertical="center"/>
    </xf>
    <xf borderId="41" fillId="0" fontId="34" numFmtId="4" xfId="0" applyAlignment="1" applyBorder="1" applyFont="1" applyNumberFormat="1">
      <alignment horizontal="right" vertical="center"/>
    </xf>
    <xf borderId="35" fillId="0" fontId="34" numFmtId="4" xfId="0" applyAlignment="1" applyBorder="1" applyFont="1" applyNumberFormat="1">
      <alignment horizontal="right" readingOrder="0" vertical="center"/>
    </xf>
    <xf borderId="35" fillId="0" fontId="34" numFmtId="0" xfId="0" applyAlignment="1" applyBorder="1" applyFont="1">
      <alignment horizontal="left"/>
    </xf>
    <xf borderId="42" fillId="0" fontId="33" numFmtId="0" xfId="0" applyAlignment="1" applyBorder="1" applyFont="1">
      <alignment horizontal="center" vertical="center"/>
    </xf>
    <xf borderId="44" fillId="14" fontId="33" numFmtId="0" xfId="0" applyAlignment="1" applyBorder="1" applyFont="1">
      <alignment horizontal="center" vertical="center"/>
    </xf>
    <xf borderId="44" fillId="14" fontId="33" numFmtId="4" xfId="0" applyAlignment="1" applyBorder="1" applyFont="1" applyNumberFormat="1">
      <alignment horizontal="right" vertical="center"/>
    </xf>
    <xf borderId="44" fillId="0" fontId="33" numFmtId="4" xfId="0" applyAlignment="1" applyBorder="1" applyFont="1" applyNumberFormat="1">
      <alignment horizontal="right" vertical="center"/>
    </xf>
    <xf borderId="6" fillId="10" fontId="33" numFmtId="4" xfId="0" applyAlignment="1" applyBorder="1" applyFont="1" applyNumberFormat="1">
      <alignment horizontal="right" vertical="center"/>
    </xf>
    <xf borderId="0" fillId="0" fontId="33" numFmtId="4" xfId="0" applyAlignment="1" applyFont="1" applyNumberFormat="1">
      <alignment horizontal="right" vertical="center"/>
    </xf>
    <xf borderId="39" fillId="15" fontId="33" numFmtId="0" xfId="0" applyAlignment="1" applyBorder="1" applyFont="1">
      <alignment horizontal="left"/>
    </xf>
    <xf borderId="39" fillId="14" fontId="34" numFmtId="0" xfId="0" applyAlignment="1" applyBorder="1" applyFont="1">
      <alignment horizontal="left"/>
    </xf>
    <xf borderId="39" fillId="14" fontId="34" numFmtId="4" xfId="0" applyAlignment="1" applyBorder="1" applyFont="1" applyNumberFormat="1">
      <alignment horizontal="right" vertical="center"/>
    </xf>
    <xf borderId="39" fillId="15" fontId="34" numFmtId="4" xfId="0" applyAlignment="1" applyBorder="1" applyFont="1" applyNumberFormat="1">
      <alignment horizontal="right" vertical="center"/>
    </xf>
    <xf borderId="45" fillId="15" fontId="34" numFmtId="4" xfId="0" applyAlignment="1" applyBorder="1" applyFont="1" applyNumberFormat="1">
      <alignment horizontal="right" vertical="center"/>
    </xf>
    <xf borderId="39" fillId="3" fontId="33" numFmtId="0" xfId="0" applyBorder="1" applyFont="1"/>
    <xf borderId="39" fillId="14" fontId="34" numFmtId="0" xfId="0" applyAlignment="1" applyBorder="1" applyFont="1">
      <alignment horizontal="center"/>
    </xf>
    <xf borderId="39" fillId="3" fontId="34" numFmtId="4" xfId="0" applyAlignment="1" applyBorder="1" applyFont="1" applyNumberFormat="1">
      <alignment horizontal="right" vertical="center"/>
    </xf>
    <xf borderId="45" fillId="3" fontId="34" numFmtId="4" xfId="0" applyAlignment="1" applyBorder="1" applyFont="1" applyNumberFormat="1">
      <alignment horizontal="right" vertical="center"/>
    </xf>
    <xf borderId="46" fillId="0" fontId="33" numFmtId="0" xfId="0" applyAlignment="1" applyBorder="1" applyFont="1">
      <alignment horizontal="center" vertical="center"/>
    </xf>
    <xf borderId="48" fillId="14" fontId="33" numFmtId="0" xfId="0" applyAlignment="1" applyBorder="1" applyFont="1">
      <alignment horizontal="center" vertical="center"/>
    </xf>
    <xf borderId="48" fillId="14" fontId="33" numFmtId="4" xfId="0" applyAlignment="1" applyBorder="1" applyFont="1" applyNumberFormat="1">
      <alignment horizontal="right" vertical="center"/>
    </xf>
    <xf borderId="48" fillId="0" fontId="33" numFmtId="4" xfId="0" applyAlignment="1" applyBorder="1" applyFont="1" applyNumberFormat="1">
      <alignment horizontal="right" vertical="center"/>
    </xf>
    <xf borderId="12" fillId="16" fontId="23" numFmtId="0" xfId="0" applyAlignment="1" applyBorder="1" applyFont="1">
      <alignment horizontal="center"/>
    </xf>
    <xf borderId="13" fillId="16" fontId="23" numFmtId="0" xfId="0" applyBorder="1" applyFont="1"/>
    <xf borderId="13" fillId="16" fontId="23" numFmtId="0" xfId="0" applyAlignment="1" applyBorder="1" applyFont="1">
      <alignment readingOrder="0"/>
    </xf>
    <xf borderId="14" fillId="16" fontId="23" numFmtId="0" xfId="0" applyBorder="1" applyFont="1"/>
    <xf borderId="17" fillId="16" fontId="23" numFmtId="0" xfId="0" applyAlignment="1" applyBorder="1" applyFont="1">
      <alignment horizontal="center"/>
    </xf>
    <xf borderId="6" fillId="16" fontId="23" numFmtId="0" xfId="0" applyBorder="1" applyFont="1"/>
    <xf borderId="18" fillId="16" fontId="23" numFmtId="0" xfId="0" applyBorder="1" applyFont="1"/>
    <xf borderId="6" fillId="16" fontId="23" numFmtId="0" xfId="0" applyAlignment="1" applyBorder="1" applyFont="1">
      <alignment horizontal="left"/>
    </xf>
    <xf borderId="6" fillId="16" fontId="23" numFmtId="4" xfId="0" applyBorder="1" applyFont="1" applyNumberFormat="1"/>
    <xf borderId="20" fillId="16" fontId="23" numFmtId="0" xfId="0" applyAlignment="1" applyBorder="1" applyFont="1">
      <alignment horizontal="center"/>
    </xf>
    <xf borderId="21" fillId="16" fontId="23" numFmtId="0" xfId="0" applyBorder="1" applyFont="1"/>
    <xf borderId="22" fillId="16" fontId="23" numFmtId="0" xfId="0" applyBorder="1" applyFont="1"/>
    <xf borderId="23" fillId="0" fontId="23" numFmtId="0" xfId="0" applyAlignment="1" applyBorder="1" applyFont="1">
      <alignment horizontal="center" vertical="center"/>
    </xf>
    <xf borderId="25" fillId="0" fontId="23" numFmtId="0" xfId="0" applyAlignment="1" applyBorder="1" applyFont="1">
      <alignment horizontal="center" vertical="center"/>
    </xf>
    <xf borderId="30" fillId="0" fontId="23" numFmtId="0" xfId="0" applyAlignment="1" applyBorder="1" applyFont="1">
      <alignment horizontal="center" vertical="center"/>
    </xf>
    <xf borderId="49" fillId="12" fontId="0" numFmtId="164" xfId="0" applyAlignment="1" applyBorder="1" applyFont="1" applyNumberFormat="1">
      <alignment horizontal="center" vertical="center"/>
    </xf>
    <xf borderId="34" fillId="13" fontId="0" numFmtId="165" xfId="0" applyAlignment="1" applyBorder="1" applyFont="1" applyNumberFormat="1">
      <alignment horizontal="right" vertical="center"/>
    </xf>
    <xf borderId="39" fillId="13" fontId="0" numFmtId="165" xfId="0" applyAlignment="1" applyBorder="1" applyFont="1" applyNumberFormat="1">
      <alignment horizontal="right" vertical="center"/>
    </xf>
    <xf borderId="49" fillId="12" fontId="28" numFmtId="164" xfId="0" applyAlignment="1" applyBorder="1" applyFont="1" applyNumberFormat="1">
      <alignment horizontal="center" vertical="center"/>
    </xf>
    <xf borderId="34" fillId="13" fontId="28" numFmtId="165" xfId="0" applyAlignment="1" applyBorder="1" applyFont="1" applyNumberFormat="1">
      <alignment horizontal="right" vertical="center"/>
    </xf>
    <xf borderId="39" fillId="13" fontId="28" numFmtId="165" xfId="0" applyAlignment="1" applyBorder="1" applyFont="1" applyNumberFormat="1">
      <alignment horizontal="right" vertical="center"/>
    </xf>
    <xf borderId="35" fillId="0" fontId="28" numFmtId="165" xfId="0" applyAlignment="1" applyBorder="1" applyFont="1" applyNumberFormat="1">
      <alignment horizontal="right" readingOrder="0" vertical="center"/>
    </xf>
    <xf borderId="35" fillId="0" fontId="30" numFmtId="165" xfId="0" applyAlignment="1" applyBorder="1" applyFont="1" applyNumberFormat="1">
      <alignment horizontal="right" readingOrder="0" vertical="center"/>
    </xf>
    <xf borderId="35" fillId="0" fontId="32" numFmtId="165" xfId="0" applyAlignment="1" applyBorder="1" applyFont="1" applyNumberFormat="1">
      <alignment horizontal="right" readingOrder="0" vertical="center"/>
    </xf>
    <xf borderId="35" fillId="0" fontId="34" numFmtId="165" xfId="0" applyAlignment="1" applyBorder="1" applyFont="1" applyNumberFormat="1">
      <alignment horizontal="right" readingOrder="0" vertical="center"/>
    </xf>
    <xf borderId="0" fillId="0" fontId="35" numFmtId="0" xfId="0" applyFont="1"/>
    <xf borderId="0" fillId="0" fontId="23" numFmtId="0" xfId="0" applyAlignment="1" applyFont="1">
      <alignment readingOrder="0"/>
    </xf>
    <xf borderId="0" fillId="0" fontId="23" numFmtId="0" xfId="0" applyFont="1"/>
    <xf borderId="0" fillId="0" fontId="36" numFmtId="3" xfId="0" applyAlignment="1" applyFont="1" applyNumberFormat="1">
      <alignment readingOrder="0" shrinkToFit="0" vertical="bottom" wrapText="0"/>
    </xf>
    <xf borderId="50" fillId="0" fontId="23" numFmtId="0" xfId="0" applyAlignment="1" applyBorder="1" applyFont="1">
      <alignment horizontal="left" shrinkToFit="0" vertical="center" wrapText="1"/>
    </xf>
    <xf borderId="51" fillId="0" fontId="15" numFmtId="0" xfId="0" applyBorder="1" applyFont="1"/>
    <xf borderId="52" fillId="17" fontId="23" numFmtId="0" xfId="0" applyAlignment="1" applyBorder="1" applyFill="1" applyFont="1">
      <alignment horizontal="center" vertical="center"/>
    </xf>
    <xf borderId="53" fillId="0" fontId="15" numFmtId="0" xfId="0" applyBorder="1" applyFont="1"/>
    <xf borderId="54" fillId="0" fontId="15" numFmtId="0" xfId="0" applyBorder="1" applyFont="1"/>
    <xf borderId="55" fillId="17" fontId="23" numFmtId="0" xfId="0" applyAlignment="1" applyBorder="1" applyFont="1">
      <alignment horizontal="center" vertical="center"/>
    </xf>
    <xf borderId="0" fillId="0" fontId="23" numFmtId="0" xfId="0" applyAlignment="1" applyFont="1">
      <alignment horizontal="center" vertical="center"/>
    </xf>
    <xf borderId="56" fillId="0" fontId="15" numFmtId="0" xfId="0" applyBorder="1" applyFont="1"/>
    <xf borderId="57" fillId="0" fontId="15" numFmtId="0" xfId="0" applyBorder="1" applyFont="1"/>
    <xf borderId="58" fillId="0" fontId="23" numFmtId="0" xfId="0" applyAlignment="1" applyBorder="1" applyFont="1">
      <alignment horizontal="center" vertical="center"/>
    </xf>
    <xf borderId="59" fillId="0" fontId="23" numFmtId="0" xfId="0" applyAlignment="1" applyBorder="1" applyFont="1">
      <alignment horizontal="center" vertical="center"/>
    </xf>
    <xf borderId="60" fillId="0" fontId="37" numFmtId="0" xfId="0" applyAlignment="1" applyBorder="1" applyFont="1">
      <alignment horizontal="left" readingOrder="0" vertical="bottom"/>
    </xf>
    <xf borderId="61" fillId="11" fontId="38" numFmtId="0" xfId="0" applyAlignment="1" applyBorder="1" applyFont="1">
      <alignment horizontal="center" vertical="center"/>
    </xf>
    <xf borderId="62" fillId="11" fontId="39" numFmtId="0" xfId="0" applyAlignment="1" applyBorder="1" applyFont="1">
      <alignment horizontal="center"/>
    </xf>
    <xf borderId="30" fillId="11" fontId="40" numFmtId="4" xfId="0" applyAlignment="1" applyBorder="1" applyFont="1" applyNumberFormat="1">
      <alignment horizontal="right" vertical="bottom"/>
    </xf>
    <xf borderId="63" fillId="11" fontId="38" numFmtId="4" xfId="0" applyBorder="1" applyFont="1" applyNumberFormat="1"/>
    <xf borderId="63" fillId="11" fontId="38" numFmtId="4" xfId="0" applyAlignment="1" applyBorder="1" applyFont="1" applyNumberFormat="1">
      <alignment readingOrder="0"/>
    </xf>
    <xf borderId="64" fillId="11" fontId="40" numFmtId="4" xfId="0" applyAlignment="1" applyBorder="1" applyFont="1" applyNumberFormat="1">
      <alignment horizontal="right" vertical="bottom"/>
    </xf>
    <xf borderId="0" fillId="0" fontId="38" numFmtId="0" xfId="0" applyFont="1"/>
    <xf borderId="65" fillId="0" fontId="15" numFmtId="0" xfId="0" applyBorder="1" applyFont="1"/>
    <xf borderId="66" fillId="11" fontId="39" numFmtId="0" xfId="0" applyAlignment="1" applyBorder="1" applyFont="1">
      <alignment horizontal="center"/>
    </xf>
    <xf borderId="30" fillId="11" fontId="38" numFmtId="4" xfId="0" applyBorder="1" applyFont="1" applyNumberFormat="1"/>
    <xf borderId="19" fillId="11" fontId="40" numFmtId="4" xfId="0" applyAlignment="1" applyBorder="1" applyFont="1" applyNumberFormat="1">
      <alignment horizontal="right" vertical="bottom"/>
    </xf>
    <xf borderId="60" fillId="0" fontId="41" numFmtId="0" xfId="0" applyAlignment="1" applyBorder="1" applyFont="1">
      <alignment horizontal="left" vertical="bottom"/>
    </xf>
    <xf borderId="67" fillId="18" fontId="0" numFmtId="0" xfId="0" applyAlignment="1" applyBorder="1" applyFill="1" applyFont="1">
      <alignment horizontal="center" vertical="center"/>
    </xf>
    <xf borderId="66" fillId="18" fontId="23" numFmtId="0" xfId="0" applyAlignment="1" applyBorder="1" applyFont="1">
      <alignment horizontal="center"/>
    </xf>
    <xf borderId="30" fillId="18" fontId="4" numFmtId="4" xfId="0" applyAlignment="1" applyBorder="1" applyFont="1" applyNumberFormat="1">
      <alignment horizontal="right" vertical="bottom"/>
    </xf>
    <xf borderId="30" fillId="18" fontId="0" numFmtId="4" xfId="0" applyBorder="1" applyFont="1" applyNumberFormat="1"/>
    <xf borderId="60" fillId="0" fontId="41" numFmtId="0" xfId="0" applyAlignment="1" applyBorder="1" applyFont="1">
      <alignment horizontal="left" vertical="bottom"/>
    </xf>
    <xf borderId="60" fillId="19" fontId="41" numFmtId="0" xfId="0" applyAlignment="1" applyBorder="1" applyFill="1" applyFont="1">
      <alignment horizontal="center" readingOrder="0" vertical="center"/>
    </xf>
    <xf borderId="68" fillId="19" fontId="41" numFmtId="0" xfId="0" applyAlignment="1" applyBorder="1" applyFont="1">
      <alignment horizontal="center" vertical="bottom"/>
    </xf>
    <xf borderId="69" fillId="19" fontId="38" numFmtId="4" xfId="0" applyBorder="1" applyFont="1" applyNumberFormat="1"/>
    <xf borderId="30" fillId="19" fontId="38" numFmtId="4" xfId="0" applyBorder="1" applyFont="1" applyNumberFormat="1"/>
    <xf borderId="30" fillId="19" fontId="38" numFmtId="4" xfId="0" applyAlignment="1" applyBorder="1" applyFont="1" applyNumberFormat="1">
      <alignment readingOrder="0"/>
    </xf>
    <xf borderId="0" fillId="19" fontId="38" numFmtId="0" xfId="0" applyFont="1"/>
    <xf borderId="0" fillId="19" fontId="40" numFmtId="4" xfId="0" applyFont="1" applyNumberFormat="1"/>
    <xf borderId="15" fillId="3" fontId="13" numFmtId="0" xfId="0" applyAlignment="1" applyBorder="1" applyFont="1">
      <alignment horizontal="center" vertical="center"/>
    </xf>
    <xf borderId="66" fillId="3" fontId="13" numFmtId="0" xfId="0" applyAlignment="1" applyBorder="1" applyFont="1">
      <alignment horizontal="center" vertical="bottom"/>
    </xf>
    <xf borderId="70" fillId="3" fontId="42" numFmtId="4" xfId="0" applyAlignment="1" applyBorder="1" applyFont="1" applyNumberFormat="1">
      <alignment horizontal="right" vertical="bottom"/>
    </xf>
    <xf borderId="30" fillId="3" fontId="42" numFmtId="4" xfId="0" applyAlignment="1" applyBorder="1" applyFont="1" applyNumberFormat="1">
      <alignment horizontal="right" vertical="bottom"/>
    </xf>
    <xf borderId="0" fillId="19" fontId="43" numFmtId="0" xfId="0" applyFont="1"/>
    <xf borderId="67" fillId="17" fontId="0" numFmtId="0" xfId="0" applyAlignment="1" applyBorder="1" applyFont="1">
      <alignment horizontal="center" vertical="center"/>
    </xf>
    <xf borderId="66" fillId="17" fontId="44" numFmtId="0" xfId="0" applyAlignment="1" applyBorder="1" applyFont="1">
      <alignment horizontal="center"/>
    </xf>
    <xf borderId="71" fillId="17" fontId="43" numFmtId="4" xfId="0" applyBorder="1" applyFont="1" applyNumberFormat="1"/>
    <xf borderId="30" fillId="17" fontId="43" numFmtId="4" xfId="0" applyBorder="1" applyFont="1" applyNumberFormat="1"/>
    <xf borderId="0" fillId="0" fontId="43" numFmtId="0" xfId="0" applyFont="1"/>
    <xf borderId="67" fillId="0" fontId="0" numFmtId="0" xfId="0" applyAlignment="1" applyBorder="1" applyFont="1">
      <alignment horizontal="center" vertical="center"/>
    </xf>
    <xf borderId="66" fillId="0" fontId="39" numFmtId="0" xfId="0" applyAlignment="1" applyBorder="1" applyFont="1">
      <alignment horizontal="center"/>
    </xf>
    <xf borderId="70" fillId="0" fontId="38" numFmtId="4" xfId="0" applyBorder="1" applyFont="1" applyNumberFormat="1"/>
    <xf borderId="30" fillId="0" fontId="38" numFmtId="4" xfId="0" applyBorder="1" applyFont="1" applyNumberFormat="1"/>
    <xf borderId="66" fillId="0" fontId="23" numFmtId="0" xfId="0" applyAlignment="1" applyBorder="1" applyFont="1">
      <alignment horizontal="center"/>
    </xf>
    <xf borderId="70" fillId="0" fontId="0" numFmtId="4" xfId="0" applyBorder="1" applyFont="1" applyNumberFormat="1"/>
    <xf borderId="30" fillId="0" fontId="0" numFmtId="4" xfId="0" applyBorder="1" applyFont="1" applyNumberFormat="1"/>
    <xf borderId="67" fillId="20" fontId="0" numFmtId="0" xfId="0" applyAlignment="1" applyBorder="1" applyFill="1" applyFont="1">
      <alignment horizontal="center" vertical="center"/>
    </xf>
    <xf borderId="66" fillId="20" fontId="39" numFmtId="0" xfId="0" applyAlignment="1" applyBorder="1" applyFont="1">
      <alignment horizontal="center"/>
    </xf>
    <xf borderId="71" fillId="20" fontId="38" numFmtId="4" xfId="0" applyBorder="1" applyFont="1" applyNumberFormat="1"/>
    <xf borderId="30" fillId="20" fontId="38" numFmtId="4" xfId="0" applyBorder="1" applyFont="1" applyNumberFormat="1"/>
    <xf borderId="66" fillId="20" fontId="23" numFmtId="0" xfId="0" applyAlignment="1" applyBorder="1" applyFont="1">
      <alignment horizontal="center"/>
    </xf>
    <xf borderId="71" fillId="20" fontId="0" numFmtId="4" xfId="0" applyBorder="1" applyFont="1" applyNumberFormat="1"/>
    <xf borderId="30" fillId="20" fontId="0" numFmtId="4" xfId="0" applyBorder="1" applyFont="1" applyNumberFormat="1"/>
    <xf borderId="60" fillId="0" fontId="2" numFmtId="0" xfId="0" applyBorder="1" applyFont="1"/>
    <xf borderId="15" fillId="20" fontId="0" numFmtId="0" xfId="0" applyAlignment="1" applyBorder="1" applyFont="1">
      <alignment horizontal="center" vertical="center"/>
    </xf>
    <xf borderId="30" fillId="0" fontId="0" numFmtId="0" xfId="0" applyBorder="1" applyFont="1"/>
    <xf borderId="70" fillId="0" fontId="0" numFmtId="0" xfId="0" applyBorder="1" applyFont="1"/>
    <xf borderId="6" fillId="21" fontId="0" numFmtId="0" xfId="0" applyBorder="1" applyFill="1" applyFont="1"/>
    <xf borderId="15" fillId="0" fontId="0" numFmtId="0" xfId="0" applyAlignment="1" applyBorder="1" applyFont="1">
      <alignment horizontal="center" vertical="center"/>
    </xf>
    <xf borderId="6" fillId="21" fontId="38" numFmtId="0" xfId="0" applyBorder="1" applyFont="1"/>
    <xf borderId="15" fillId="18" fontId="38" numFmtId="0" xfId="0" applyAlignment="1" applyBorder="1" applyFont="1">
      <alignment horizontal="center" vertical="center"/>
    </xf>
    <xf borderId="66" fillId="18" fontId="39" numFmtId="0" xfId="0" applyAlignment="1" applyBorder="1" applyFont="1">
      <alignment horizontal="center"/>
    </xf>
    <xf borderId="71" fillId="18" fontId="38" numFmtId="4" xfId="0" applyBorder="1" applyFont="1" applyNumberFormat="1"/>
    <xf borderId="30" fillId="18" fontId="38" numFmtId="4" xfId="0" applyBorder="1" applyFont="1" applyNumberFormat="1"/>
    <xf borderId="0" fillId="3" fontId="4" numFmtId="0" xfId="0" applyAlignment="1" applyFont="1">
      <alignment vertical="bottom"/>
    </xf>
    <xf borderId="0" fillId="3" fontId="40" numFmtId="0" xfId="0" applyAlignment="1" applyFont="1">
      <alignment vertical="bottom"/>
    </xf>
    <xf borderId="0" fillId="3" fontId="40" numFmtId="0" xfId="0" applyAlignment="1" applyFont="1">
      <alignment horizontal="right" vertical="bottom"/>
    </xf>
    <xf borderId="0" fillId="0" fontId="4" numFmtId="166" xfId="0" applyAlignment="1" applyFont="1" applyNumberFormat="1">
      <alignment horizontal="right" vertical="bottom"/>
    </xf>
    <xf borderId="0" fillId="0" fontId="4" numFmtId="166" xfId="0" applyAlignment="1" applyFont="1" applyNumberFormat="1">
      <alignment vertical="bottom"/>
    </xf>
    <xf borderId="0" fillId="0" fontId="4" numFmtId="3" xfId="0" applyAlignment="1" applyFont="1" applyNumberFormat="1">
      <alignment horizontal="right" readingOrder="0"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readingOrder="0" vertical="bottom"/>
    </xf>
    <xf borderId="0" fillId="0" fontId="4" numFmtId="4" xfId="0" applyAlignment="1" applyFont="1" applyNumberFormat="1">
      <alignment horizontal="right" vertical="bottom"/>
    </xf>
    <xf borderId="0" fillId="0" fontId="21" numFmtId="0" xfId="0" applyAlignment="1" applyFont="1">
      <alignment readingOrder="0"/>
    </xf>
    <xf borderId="0" fillId="0" fontId="45" numFmtId="0" xfId="0" applyAlignment="1" applyFont="1">
      <alignment horizontal="center"/>
    </xf>
    <xf borderId="15" fillId="0" fontId="45" numFmtId="0" xfId="0" applyAlignment="1" applyBorder="1" applyFont="1">
      <alignment horizontal="center"/>
    </xf>
    <xf borderId="68" fillId="0" fontId="45" numFmtId="0" xfId="0" applyAlignment="1" applyBorder="1" applyFont="1">
      <alignment horizontal="center"/>
    </xf>
    <xf borderId="72" fillId="0" fontId="15" numFmtId="0" xfId="0" applyBorder="1" applyFont="1"/>
    <xf borderId="70" fillId="0" fontId="15" numFmtId="0" xfId="0" applyBorder="1" applyFont="1"/>
    <xf borderId="73" fillId="0" fontId="45" numFmtId="0" xfId="0" applyAlignment="1" applyBorder="1" applyFont="1">
      <alignment horizontal="center"/>
    </xf>
    <xf borderId="73" fillId="0" fontId="15" numFmtId="0" xfId="0" applyBorder="1" applyFont="1"/>
    <xf borderId="74" fillId="0" fontId="15" numFmtId="0" xfId="0" applyBorder="1" applyFont="1"/>
    <xf borderId="75" fillId="0" fontId="45" numFmtId="0" xfId="0" applyAlignment="1" applyBorder="1" applyFont="1">
      <alignment horizontal="center"/>
    </xf>
    <xf borderId="76" fillId="0" fontId="45" numFmtId="0" xfId="0" applyAlignment="1" applyBorder="1" applyFont="1">
      <alignment horizontal="center"/>
    </xf>
    <xf borderId="35" fillId="0" fontId="15" numFmtId="0" xfId="0" applyBorder="1" applyFont="1"/>
    <xf borderId="77" fillId="0" fontId="45" numFmtId="0" xfId="0" applyAlignment="1" applyBorder="1" applyFont="1">
      <alignment horizontal="center"/>
    </xf>
    <xf borderId="19" fillId="0" fontId="46" numFmtId="0" xfId="0" applyAlignment="1" applyBorder="1" applyFont="1">
      <alignment readingOrder="0" vertical="bottom"/>
    </xf>
    <xf borderId="19" fillId="0" fontId="46" numFmtId="4" xfId="0" applyAlignment="1" applyBorder="1" applyFont="1" applyNumberFormat="1">
      <alignment horizontal="right" vertical="bottom"/>
    </xf>
    <xf borderId="65" fillId="0" fontId="46" numFmtId="4" xfId="0" applyAlignment="1" applyBorder="1" applyFont="1" applyNumberFormat="1">
      <alignment horizontal="right" vertical="bottom"/>
    </xf>
    <xf borderId="78" fillId="0" fontId="46" numFmtId="4" xfId="0" applyAlignment="1" applyBorder="1" applyFont="1" applyNumberFormat="1">
      <alignment horizontal="right" vertical="bottom"/>
    </xf>
    <xf borderId="65" fillId="0" fontId="46" numFmtId="4" xfId="0" applyAlignment="1" applyBorder="1" applyFont="1" applyNumberFormat="1">
      <alignment horizontal="right" readingOrder="0" vertical="bottom"/>
    </xf>
    <xf borderId="65" fillId="0" fontId="4" numFmtId="4" xfId="0" applyAlignment="1" applyBorder="1" applyFont="1" applyNumberFormat="1">
      <alignment readingOrder="0" vertical="bottom"/>
    </xf>
    <xf borderId="65" fillId="0" fontId="4" numFmtId="4" xfId="0" applyAlignment="1" applyBorder="1" applyFont="1" applyNumberFormat="1">
      <alignment vertical="bottom"/>
    </xf>
    <xf borderId="19" fillId="0" fontId="46" numFmtId="0" xfId="0" applyAlignment="1" applyBorder="1" applyFont="1">
      <alignment vertical="bottom"/>
    </xf>
    <xf borderId="0" fillId="0" fontId="2" numFmtId="0" xfId="0" applyAlignment="1" applyFont="1">
      <alignment readingOrder="0"/>
    </xf>
    <xf borderId="0" fillId="0" fontId="46" numFmtId="0" xfId="0" applyAlignment="1" applyFont="1">
      <alignment readingOrder="0" vertical="bottom"/>
    </xf>
    <xf borderId="79" fillId="0" fontId="15" numFmtId="0" xfId="0" applyBorder="1" applyFont="1"/>
    <xf borderId="19" fillId="0" fontId="46" numFmtId="4" xfId="0" applyAlignment="1" applyBorder="1" applyFont="1" applyNumberFormat="1">
      <alignment readingOrder="0" vertical="bottom"/>
    </xf>
    <xf borderId="0" fillId="0" fontId="2" numFmtId="4" xfId="0" applyFont="1" applyNumberFormat="1"/>
    <xf borderId="0" fillId="0" fontId="2" numFmtId="4" xfId="0" applyAlignment="1" applyFont="1" applyNumberFormat="1">
      <alignment readingOrder="0"/>
    </xf>
    <xf borderId="0" fillId="0" fontId="2" numFmtId="0" xfId="0" applyFont="1"/>
    <xf borderId="80" fillId="0" fontId="47" numFmtId="0" xfId="0" applyAlignment="1" applyBorder="1" applyFont="1">
      <alignment shrinkToFit="0" vertical="center" wrapText="1"/>
    </xf>
    <xf borderId="81" fillId="0" fontId="15" numFmtId="0" xfId="0" applyBorder="1" applyFont="1"/>
    <xf borderId="82" fillId="0" fontId="15" numFmtId="0" xfId="0" applyBorder="1" applyFont="1"/>
    <xf borderId="83" fillId="0" fontId="13" numFmtId="0" xfId="0" applyAlignment="1" applyBorder="1" applyFont="1">
      <alignment horizontal="center" shrinkToFit="0" wrapText="1"/>
    </xf>
    <xf borderId="61" fillId="0" fontId="13" numFmtId="0" xfId="0" applyAlignment="1" applyBorder="1" applyFont="1">
      <alignment horizontal="center" shrinkToFit="0" wrapText="1"/>
    </xf>
    <xf borderId="72" fillId="0" fontId="13" numFmtId="0" xfId="0" applyAlignment="1" applyBorder="1" applyFont="1">
      <alignment horizontal="center"/>
    </xf>
    <xf borderId="53" fillId="0" fontId="13" numFmtId="0" xfId="0" applyAlignment="1" applyBorder="1" applyFont="1">
      <alignment horizontal="center"/>
    </xf>
    <xf borderId="53" fillId="0" fontId="13" numFmtId="0" xfId="0" applyAlignment="1" applyBorder="1" applyFont="1">
      <alignment horizontal="center" readingOrder="0"/>
    </xf>
    <xf borderId="84" fillId="0" fontId="15" numFmtId="0" xfId="0" applyBorder="1" applyFont="1"/>
    <xf borderId="85" fillId="0" fontId="15" numFmtId="0" xfId="0" applyBorder="1" applyFont="1"/>
    <xf borderId="65" fillId="0" fontId="13" numFmtId="4" xfId="0" applyAlignment="1" applyBorder="1" applyFont="1" applyNumberFormat="1">
      <alignment horizontal="center"/>
    </xf>
    <xf borderId="65" fillId="0" fontId="13" numFmtId="166" xfId="0" applyAlignment="1" applyBorder="1" applyFont="1" applyNumberFormat="1">
      <alignment horizontal="center"/>
    </xf>
    <xf borderId="65" fillId="0" fontId="13" numFmtId="0" xfId="0" applyAlignment="1" applyBorder="1" applyFont="1">
      <alignment horizontal="center"/>
    </xf>
    <xf borderId="78" fillId="0" fontId="13" numFmtId="4" xfId="0" applyAlignment="1" applyBorder="1" applyFont="1" applyNumberFormat="1">
      <alignment horizontal="center"/>
    </xf>
    <xf borderId="78" fillId="0" fontId="13" numFmtId="166" xfId="0" applyAlignment="1" applyBorder="1" applyFont="1" applyNumberFormat="1">
      <alignment horizontal="center"/>
    </xf>
    <xf borderId="78" fillId="0" fontId="41" numFmtId="166" xfId="0" applyAlignment="1" applyBorder="1" applyFont="1" applyNumberFormat="1">
      <alignment horizontal="center"/>
    </xf>
    <xf borderId="78" fillId="0" fontId="41" numFmtId="4" xfId="0" applyAlignment="1" applyBorder="1" applyFont="1" applyNumberFormat="1">
      <alignment horizontal="center"/>
    </xf>
    <xf borderId="65" fillId="0" fontId="41" numFmtId="0" xfId="0" applyAlignment="1" applyBorder="1" applyFont="1">
      <alignment horizontal="center"/>
    </xf>
    <xf borderId="19" fillId="0" fontId="48" numFmtId="37" xfId="0" applyAlignment="1" applyBorder="1" applyFont="1" applyNumberFormat="1">
      <alignment horizontal="center"/>
    </xf>
    <xf borderId="78" fillId="0" fontId="48" numFmtId="37" xfId="0" applyAlignment="1" applyBorder="1" applyFont="1" applyNumberFormat="1">
      <alignment horizontal="center"/>
    </xf>
    <xf borderId="78" fillId="0" fontId="49" numFmtId="37" xfId="0" applyAlignment="1" applyBorder="1" applyFont="1" applyNumberFormat="1">
      <alignment horizontal="center"/>
    </xf>
    <xf borderId="0" fillId="0" fontId="50" numFmtId="4" xfId="0" applyAlignment="1" applyFont="1" applyNumberFormat="1">
      <alignment horizontal="right"/>
    </xf>
    <xf borderId="0" fillId="0" fontId="51" numFmtId="0" xfId="0" applyAlignment="1" applyFont="1">
      <alignment vertical="bottom"/>
    </xf>
    <xf borderId="86" fillId="0" fontId="51" numFmtId="0" xfId="0" applyAlignment="1" applyBorder="1" applyFont="1">
      <alignment vertical="bottom"/>
    </xf>
    <xf borderId="86" fillId="0" fontId="4" numFmtId="0" xfId="0" applyAlignment="1" applyBorder="1" applyFont="1">
      <alignment vertical="bottom"/>
    </xf>
    <xf borderId="86" fillId="0" fontId="50" numFmtId="4" xfId="0" applyAlignment="1" applyBorder="1" applyFont="1" applyNumberFormat="1">
      <alignment horizontal="right"/>
    </xf>
    <xf borderId="0" fillId="0" fontId="4" numFmtId="166" xfId="0" applyFont="1" applyNumberFormat="1"/>
    <xf borderId="60" fillId="0" fontId="4" numFmtId="166" xfId="0" applyBorder="1" applyFont="1" applyNumberFormat="1"/>
    <xf borderId="87" fillId="0" fontId="4" numFmtId="166" xfId="0" applyBorder="1" applyFont="1" applyNumberFormat="1"/>
    <xf borderId="87" fillId="0" fontId="4" numFmtId="4" xfId="0" applyBorder="1" applyFont="1" applyNumberFormat="1"/>
    <xf borderId="87" fillId="0" fontId="51" numFmtId="166" xfId="0" applyAlignment="1" applyBorder="1" applyFont="1" applyNumberFormat="1">
      <alignment horizontal="right"/>
    </xf>
    <xf borderId="87" fillId="0" fontId="51" numFmtId="4" xfId="0" applyAlignment="1" applyBorder="1" applyFont="1" applyNumberFormat="1">
      <alignment horizontal="right"/>
    </xf>
    <xf borderId="87" fillId="0" fontId="52" numFmtId="166" xfId="0" applyAlignment="1" applyBorder="1" applyFont="1" applyNumberFormat="1">
      <alignment horizontal="right" vertical="bottom"/>
    </xf>
    <xf borderId="87" fillId="0" fontId="52" numFmtId="4" xfId="0" applyAlignment="1" applyBorder="1" applyFont="1" applyNumberFormat="1">
      <alignment horizontal="right" vertical="bottom"/>
    </xf>
    <xf borderId="87" fillId="0" fontId="53" numFmtId="166" xfId="0" applyAlignment="1" applyBorder="1" applyFont="1" applyNumberFormat="1">
      <alignment horizontal="right"/>
    </xf>
    <xf borderId="87" fillId="0" fontId="50" numFmtId="166" xfId="0" applyAlignment="1" applyBorder="1" applyFont="1" applyNumberFormat="1">
      <alignment horizontal="right"/>
    </xf>
    <xf borderId="87" fillId="0" fontId="50" numFmtId="4" xfId="0" applyAlignment="1" applyBorder="1" applyFont="1" applyNumberFormat="1">
      <alignment horizontal="right"/>
    </xf>
    <xf borderId="87" fillId="0" fontId="4" numFmtId="166" xfId="0" applyAlignment="1" applyBorder="1" applyFont="1" applyNumberFormat="1">
      <alignment readingOrder="0"/>
    </xf>
    <xf borderId="87" fillId="0" fontId="4" numFmtId="4" xfId="0" applyAlignment="1" applyBorder="1" applyFont="1" applyNumberFormat="1">
      <alignment readingOrder="0"/>
    </xf>
    <xf borderId="0" fillId="0" fontId="51" numFmtId="4" xfId="0" applyAlignment="1" applyFont="1" applyNumberFormat="1">
      <alignment horizontal="right" vertical="bottom"/>
    </xf>
    <xf borderId="0" fillId="22" fontId="51" numFmtId="4" xfId="0" applyAlignment="1" applyFill="1" applyFont="1" applyNumberFormat="1">
      <alignment horizontal="right" vertical="bottom"/>
    </xf>
    <xf borderId="0" fillId="0" fontId="51" numFmtId="4" xfId="0" applyAlignment="1" applyFont="1" applyNumberFormat="1">
      <alignment horizontal="center" vertical="bottom"/>
    </xf>
    <xf borderId="0" fillId="0" fontId="51" numFmtId="0" xfId="0" applyAlignment="1" applyFont="1">
      <alignment shrinkToFit="0" vertical="bottom" wrapText="0"/>
    </xf>
    <xf borderId="0" fillId="0" fontId="4" numFmtId="4" xfId="0" applyFont="1" applyNumberFormat="1"/>
    <xf borderId="0" fillId="0" fontId="4" numFmtId="4" xfId="0" applyAlignment="1" applyFont="1" applyNumberFormat="1">
      <alignment vertical="bottom"/>
    </xf>
    <xf borderId="0" fillId="0" fontId="50" numFmtId="166" xfId="0" applyAlignment="1" applyFont="1" applyNumberFormat="1">
      <alignment horizontal="right"/>
    </xf>
    <xf borderId="0" fillId="0" fontId="50" numFmtId="4" xfId="0" applyAlignment="1" applyFont="1" applyNumberFormat="1">
      <alignment horizontal="center"/>
    </xf>
    <xf borderId="0" fillId="0" fontId="51" numFmtId="0" xfId="0" applyAlignment="1" applyFont="1">
      <alignment horizontal="right" vertical="bottom"/>
    </xf>
    <xf borderId="0" fillId="0" fontId="50" numFmtId="4" xfId="0" applyAlignment="1" applyFont="1" applyNumberFormat="1">
      <alignment horizontal="right" vertical="bottom"/>
    </xf>
    <xf borderId="0" fillId="19" fontId="54" numFmtId="166" xfId="0" applyAlignment="1" applyFont="1" applyNumberFormat="1">
      <alignment horizontal="right" vertical="bottom"/>
    </xf>
    <xf borderId="0" fillId="19" fontId="4" numFmtId="166" xfId="0" applyAlignment="1" applyFont="1" applyNumberFormat="1">
      <alignment vertical="bottom"/>
    </xf>
    <xf borderId="86" fillId="0" fontId="4" numFmtId="4" xfId="0" applyAlignment="1" applyBorder="1" applyFont="1" applyNumberFormat="1">
      <alignment vertical="bottom"/>
    </xf>
    <xf borderId="86" fillId="0" fontId="4" numFmtId="166" xfId="0" applyBorder="1" applyFont="1" applyNumberFormat="1"/>
    <xf borderId="0" fillId="3" fontId="4" numFmtId="4" xfId="0" applyAlignment="1" applyFont="1" applyNumberFormat="1">
      <alignment vertical="bottom"/>
    </xf>
    <xf borderId="0" fillId="3" fontId="51" numFmtId="4" xfId="0" applyAlignment="1" applyFont="1" applyNumberFormat="1">
      <alignment horizontal="right" vertical="bottom"/>
    </xf>
    <xf borderId="60" fillId="3" fontId="51" numFmtId="4" xfId="0" applyAlignment="1" applyBorder="1" applyFont="1" applyNumberFormat="1">
      <alignment horizontal="right" vertical="bottom"/>
    </xf>
    <xf borderId="87" fillId="3" fontId="51" numFmtId="166" xfId="0" applyAlignment="1" applyBorder="1" applyFont="1" applyNumberFormat="1">
      <alignment horizontal="right"/>
    </xf>
    <xf borderId="87" fillId="3" fontId="51" numFmtId="4" xfId="0" applyAlignment="1" applyBorder="1" applyFont="1" applyNumberFormat="1">
      <alignment horizontal="right"/>
    </xf>
    <xf borderId="0" fillId="3" fontId="52" numFmtId="4" xfId="0" applyAlignment="1" applyFont="1" applyNumberFormat="1">
      <alignment horizontal="right" vertical="bottom"/>
    </xf>
    <xf borderId="60" fillId="3" fontId="52" numFmtId="4" xfId="0" applyAlignment="1" applyBorder="1" applyFont="1" applyNumberFormat="1">
      <alignment horizontal="right" vertical="bottom"/>
    </xf>
    <xf borderId="87" fillId="3" fontId="52" numFmtId="166" xfId="0" applyAlignment="1" applyBorder="1" applyFont="1" applyNumberFormat="1">
      <alignment horizontal="right" vertical="bottom"/>
    </xf>
    <xf borderId="87" fillId="3" fontId="52" numFmtId="4" xfId="0" applyAlignment="1" applyBorder="1" applyFont="1" applyNumberFormat="1">
      <alignment horizontal="right" vertical="bottom"/>
    </xf>
    <xf borderId="87" fillId="3" fontId="50" numFmtId="166" xfId="0" applyAlignment="1" applyBorder="1" applyFont="1" applyNumberFormat="1">
      <alignment horizontal="right"/>
    </xf>
    <xf borderId="87" fillId="3" fontId="50" numFmtId="4" xfId="0" applyAlignment="1" applyBorder="1" applyFont="1" applyNumberFormat="1">
      <alignment horizontal="right"/>
    </xf>
    <xf borderId="0" fillId="0" fontId="51" numFmtId="4" xfId="0" applyAlignment="1" applyFont="1" applyNumberFormat="1">
      <alignment vertical="bottom"/>
    </xf>
    <xf borderId="0" fillId="0" fontId="51" numFmtId="4" xfId="0" applyAlignment="1" applyFont="1" applyNumberFormat="1">
      <alignment horizontal="right"/>
    </xf>
    <xf borderId="0" fillId="0" fontId="50" numFmtId="4" xfId="0" applyAlignment="1" applyFont="1" applyNumberFormat="1">
      <alignment horizontal="center" vertical="bottom"/>
    </xf>
    <xf borderId="0" fillId="0" fontId="4" numFmtId="167" xfId="0" applyFont="1" applyNumberFormat="1"/>
    <xf borderId="0" fillId="0" fontId="4" numFmtId="0" xfId="0" applyAlignment="1" applyFont="1">
      <alignment vertical="top"/>
    </xf>
    <xf borderId="87" fillId="0" fontId="55" numFmtId="166" xfId="0" applyAlignment="1" applyBorder="1" applyFont="1" applyNumberFormat="1">
      <alignment horizontal="right" vertical="bottom"/>
    </xf>
    <xf borderId="86" fillId="0" fontId="51" numFmtId="166" xfId="0" applyAlignment="1" applyBorder="1" applyFont="1" applyNumberFormat="1">
      <alignment horizontal="right" vertical="bottom"/>
    </xf>
    <xf borderId="87" fillId="0" fontId="51" numFmtId="4" xfId="0" applyAlignment="1" applyBorder="1" applyFont="1" applyNumberFormat="1">
      <alignment horizontal="right" vertical="bottom"/>
    </xf>
    <xf borderId="0" fillId="0" fontId="51" numFmtId="166" xfId="0" applyAlignment="1" applyFont="1" applyNumberFormat="1">
      <alignment horizontal="right"/>
    </xf>
    <xf borderId="0" fillId="0" fontId="50" numFmtId="165" xfId="0" applyAlignment="1" applyFont="1" applyNumberFormat="1">
      <alignment horizontal="right"/>
    </xf>
    <xf borderId="0" fillId="3" fontId="51" numFmtId="166" xfId="0" applyFont="1" applyNumberFormat="1"/>
    <xf borderId="0" fillId="3" fontId="51" numFmtId="4" xfId="0" applyAlignment="1" applyFont="1" applyNumberFormat="1">
      <alignment horizontal="right"/>
    </xf>
    <xf borderId="0" fillId="3" fontId="4" numFmtId="4" xfId="0" applyFont="1" applyNumberFormat="1"/>
    <xf borderId="0" fillId="0" fontId="51" numFmtId="166" xfId="0" applyAlignment="1" applyFont="1" applyNumberFormat="1">
      <alignment shrinkToFit="0" wrapText="0"/>
    </xf>
    <xf borderId="60" fillId="0" fontId="50" numFmtId="4" xfId="0" applyAlignment="1" applyBorder="1" applyFont="1" applyNumberFormat="1">
      <alignment horizontal="right"/>
    </xf>
    <xf borderId="0" fillId="0" fontId="51" numFmtId="166" xfId="0" applyFont="1" applyNumberFormat="1"/>
    <xf borderId="60" fillId="0" fontId="4" numFmtId="4" xfId="0" applyBorder="1" applyFont="1" applyNumberFormat="1"/>
    <xf borderId="0" fillId="19" fontId="4" numFmtId="0" xfId="0" applyAlignment="1" applyFont="1">
      <alignment vertical="bottom"/>
    </xf>
    <xf borderId="0" fillId="19" fontId="4" numFmtId="4" xfId="0" applyAlignment="1" applyFont="1" applyNumberFormat="1">
      <alignment horizontal="right" vertical="bottom"/>
    </xf>
    <xf borderId="0" fillId="19" fontId="4" numFmtId="0" xfId="0" applyAlignment="1" applyFont="1">
      <alignment shrinkToFit="0" vertical="bottom" wrapText="0"/>
    </xf>
    <xf borderId="0" fillId="3" fontId="51" numFmtId="0" xfId="0" applyAlignment="1" applyFont="1">
      <alignment vertical="bottom"/>
    </xf>
    <xf borderId="0" fillId="3" fontId="51" numFmtId="4" xfId="0" applyAlignment="1" applyFont="1" applyNumberFormat="1">
      <alignment horizontal="center" vertical="bottom"/>
    </xf>
    <xf borderId="0" fillId="3" fontId="50" numFmtId="4" xfId="0" applyAlignment="1" applyFont="1" applyNumberFormat="1">
      <alignment horizontal="right" vertical="bottom"/>
    </xf>
    <xf borderId="0" fillId="3" fontId="50" numFmtId="4" xfId="0" applyAlignment="1" applyFont="1" applyNumberFormat="1">
      <alignment horizontal="center" vertical="bottom"/>
    </xf>
    <xf borderId="0" fillId="0" fontId="51" numFmtId="2" xfId="0" applyAlignment="1" applyFont="1" applyNumberFormat="1">
      <alignment horizontal="right" vertical="bottom"/>
    </xf>
    <xf borderId="0" fillId="0" fontId="51" numFmtId="2" xfId="0" applyAlignment="1" applyFont="1" applyNumberFormat="1">
      <alignment horizontal="center" vertical="bottom"/>
    </xf>
    <xf borderId="0" fillId="0" fontId="4" numFmtId="4" xfId="0" applyAlignment="1" applyFont="1" applyNumberFormat="1">
      <alignment readingOrder="0" vertical="bottom"/>
    </xf>
    <xf borderId="0" fillId="0" fontId="56" numFmtId="4" xfId="0" applyAlignment="1" applyFont="1" applyNumberFormat="1">
      <alignment horizontal="right" vertical="bottom"/>
    </xf>
    <xf borderId="0" fillId="0" fontId="56" numFmtId="4" xfId="0" applyAlignment="1" applyFont="1" applyNumberFormat="1">
      <alignment horizontal="center" vertical="bottom"/>
    </xf>
    <xf borderId="0" fillId="3" fontId="4" numFmtId="0" xfId="0" applyAlignment="1" applyFont="1">
      <alignment shrinkToFit="0" vertical="bottom" wrapText="0"/>
    </xf>
    <xf borderId="0" fillId="23" fontId="4" numFmtId="0" xfId="0" applyAlignment="1" applyFill="1" applyFont="1">
      <alignment vertical="bottom"/>
    </xf>
    <xf borderId="0" fillId="23" fontId="51" numFmtId="0" xfId="0" applyAlignment="1" applyFont="1">
      <alignment vertical="bottom"/>
    </xf>
    <xf borderId="0" fillId="23" fontId="4" numFmtId="4" xfId="0" applyAlignment="1" applyFont="1" applyNumberFormat="1">
      <alignment vertical="bottom"/>
    </xf>
    <xf borderId="0" fillId="3" fontId="51" numFmtId="0" xfId="0" applyAlignment="1" applyFont="1">
      <alignment shrinkToFit="0" vertical="bottom" wrapText="0"/>
    </xf>
    <xf quotePrefix="1" borderId="0" fillId="0" fontId="51" numFmtId="0" xfId="0" applyAlignment="1" applyFont="1">
      <alignment vertical="bottom"/>
    </xf>
    <xf borderId="0" fillId="0" fontId="50" numFmtId="166" xfId="0" applyAlignment="1" applyFont="1" applyNumberFormat="1">
      <alignment horizontal="center"/>
    </xf>
    <xf borderId="0" fillId="24" fontId="4" numFmtId="0" xfId="0" applyAlignment="1" applyFill="1" applyFont="1">
      <alignment vertical="bottom"/>
    </xf>
    <xf borderId="0" fillId="24" fontId="4" numFmtId="4" xfId="0" applyAlignment="1" applyFont="1" applyNumberFormat="1">
      <alignment vertical="bottom"/>
    </xf>
    <xf borderId="0" fillId="24" fontId="51" numFmtId="4" xfId="0" applyAlignment="1" applyFont="1" applyNumberFormat="1">
      <alignment horizontal="right" vertical="bottom"/>
    </xf>
    <xf borderId="0" fillId="24" fontId="50" numFmtId="4" xfId="0" applyAlignment="1" applyFont="1" applyNumberFormat="1">
      <alignment horizontal="right" vertical="bottom"/>
    </xf>
    <xf borderId="0" fillId="24" fontId="51" numFmtId="4" xfId="0" applyAlignment="1" applyFont="1" applyNumberFormat="1">
      <alignment horizontal="center" vertical="bottom"/>
    </xf>
    <xf borderId="0" fillId="24" fontId="50" numFmtId="4" xfId="0" applyAlignment="1" applyFont="1" applyNumberFormat="1">
      <alignment horizontal="center" vertical="bottom"/>
    </xf>
    <xf borderId="78" fillId="0" fontId="4" numFmtId="4" xfId="0" applyAlignment="1" applyBorder="1" applyFont="1" applyNumberFormat="1">
      <alignment vertical="bottom"/>
    </xf>
    <xf borderId="60" fillId="0" fontId="4" numFmtId="167" xfId="0" applyBorder="1" applyFont="1" applyNumberFormat="1"/>
    <xf borderId="65" fillId="0" fontId="4" numFmtId="167" xfId="0" applyBorder="1" applyFont="1" applyNumberFormat="1"/>
    <xf borderId="88" fillId="0" fontId="4" numFmtId="167" xfId="0" applyBorder="1" applyFont="1" applyNumberFormat="1"/>
    <xf borderId="60" fillId="0" fontId="4" numFmtId="4" xfId="0" applyAlignment="1" applyBorder="1" applyFont="1" applyNumberFormat="1">
      <alignment vertical="bottom"/>
    </xf>
    <xf borderId="0" fillId="2" fontId="4" numFmtId="4" xfId="0" applyAlignment="1" applyFont="1" applyNumberFormat="1">
      <alignment vertical="bottom"/>
    </xf>
    <xf borderId="0" fillId="2" fontId="50" numFmtId="4" xfId="0" applyAlignment="1" applyFont="1" applyNumberFormat="1">
      <alignment vertical="bottom"/>
    </xf>
    <xf borderId="0" fillId="2" fontId="57" numFmtId="0" xfId="0" applyAlignment="1" applyFont="1">
      <alignment vertical="bottom"/>
    </xf>
    <xf borderId="0" fillId="2" fontId="51" numFmtId="0" xfId="0" applyAlignment="1" applyFont="1">
      <alignment horizontal="center" vertical="bottom"/>
    </xf>
    <xf borderId="0" fillId="0" fontId="57" numFmtId="4" xfId="0" applyAlignment="1" applyFont="1" applyNumberFormat="1">
      <alignment horizontal="right" vertical="bottom"/>
    </xf>
    <xf borderId="0" fillId="0" fontId="58" numFmtId="4" xfId="0" applyAlignment="1" applyFont="1" applyNumberFormat="1">
      <alignment horizontal="right" vertical="bottom"/>
    </xf>
    <xf borderId="78" fillId="0" fontId="51" numFmtId="0" xfId="0" applyAlignment="1" applyBorder="1" applyFont="1">
      <alignment horizontal="right" vertical="bottom"/>
    </xf>
    <xf borderId="78" fillId="0" fontId="4" numFmtId="0" xfId="0" applyAlignment="1" applyBorder="1" applyFont="1">
      <alignment vertical="bottom"/>
    </xf>
    <xf borderId="78" fillId="0" fontId="51" numFmtId="4" xfId="0" applyAlignment="1" applyBorder="1" applyFont="1" applyNumberFormat="1">
      <alignment horizontal="right" vertical="bottom"/>
    </xf>
    <xf borderId="78" fillId="0" fontId="58" numFmtId="0" xfId="0" applyAlignment="1" applyBorder="1" applyFont="1">
      <alignment horizontal="right" vertical="bottom"/>
    </xf>
    <xf borderId="78" fillId="0" fontId="58" numFmtId="0" xfId="0" applyAlignment="1" applyBorder="1" applyFont="1">
      <alignment vertical="bottom"/>
    </xf>
    <xf borderId="78" fillId="0" fontId="57" numFmtId="4" xfId="0" applyAlignment="1" applyBorder="1" applyFont="1" applyNumberFormat="1">
      <alignment horizontal="right" vertical="bottom"/>
    </xf>
    <xf borderId="78" fillId="0" fontId="58" numFmtId="4" xfId="0" applyAlignment="1" applyBorder="1" applyFont="1" applyNumberFormat="1">
      <alignment horizontal="right" vertical="bottom"/>
    </xf>
    <xf borderId="0" fillId="0" fontId="59" numFmtId="4" xfId="0" applyAlignment="1" applyFont="1" applyNumberFormat="1">
      <alignment horizontal="center" vertical="bottom"/>
    </xf>
    <xf borderId="0" fillId="3" fontId="51" numFmtId="0" xfId="0" applyAlignment="1" applyFont="1">
      <alignment horizontal="right" vertical="bottom"/>
    </xf>
    <xf borderId="0" fillId="3" fontId="57" numFmtId="4" xfId="0" applyAlignment="1" applyFont="1" applyNumberFormat="1">
      <alignment horizontal="right" vertical="bottom"/>
    </xf>
    <xf borderId="0" fillId="3" fontId="58" numFmtId="4" xfId="0" applyAlignment="1" applyFont="1" applyNumberFormat="1">
      <alignment horizontal="right" vertical="bottom"/>
    </xf>
    <xf borderId="78" fillId="0" fontId="51" numFmtId="0" xfId="0" applyAlignment="1" applyBorder="1" applyFont="1">
      <alignment vertical="bottom"/>
    </xf>
    <xf borderId="0" fillId="25" fontId="4" numFmtId="0" xfId="0" applyAlignment="1" applyFill="1" applyFont="1">
      <alignment vertical="bottom"/>
    </xf>
    <xf borderId="0" fillId="25" fontId="57" numFmtId="4" xfId="0" applyAlignment="1" applyFont="1" applyNumberFormat="1">
      <alignment horizontal="right" vertical="bottom"/>
    </xf>
    <xf borderId="0" fillId="25" fontId="58" numFmtId="4" xfId="0" applyAlignment="1" applyFont="1" applyNumberFormat="1">
      <alignment horizontal="right" vertical="bottom"/>
    </xf>
    <xf borderId="0" fillId="25" fontId="4" numFmtId="4" xfId="0" applyAlignment="1" applyFont="1" applyNumberFormat="1">
      <alignment vertical="bottom"/>
    </xf>
    <xf borderId="0" fillId="0" fontId="4" numFmtId="2" xfId="0" applyAlignment="1" applyFont="1" applyNumberFormat="1">
      <alignment vertical="bottom"/>
    </xf>
    <xf borderId="0" fillId="0" fontId="58" numFmtId="0" xfId="0" applyAlignment="1" applyFont="1">
      <alignment horizontal="right" vertical="bottom"/>
    </xf>
    <xf borderId="0" fillId="0" fontId="58" numFmtId="0" xfId="0" applyAlignment="1" applyFont="1">
      <alignment vertical="bottom"/>
    </xf>
    <xf borderId="0" fillId="0" fontId="50" numFmtId="2" xfId="0" applyAlignment="1" applyFont="1" applyNumberFormat="1">
      <alignment horizontal="right" vertical="bottom"/>
    </xf>
    <xf borderId="0" fillId="0" fontId="50" numFmtId="2" xfId="0" applyAlignment="1" applyFont="1" applyNumberFormat="1">
      <alignment horizontal="center" vertical="bottom"/>
    </xf>
    <xf borderId="0" fillId="4" fontId="51" numFmtId="0" xfId="0" applyAlignment="1" applyFont="1">
      <alignment shrinkToFit="0" vertical="bottom" wrapText="1"/>
    </xf>
    <xf borderId="0" fillId="4" fontId="4" numFmtId="4" xfId="0" applyAlignment="1" applyFont="1" applyNumberFormat="1">
      <alignment vertical="bottom"/>
    </xf>
    <xf borderId="0" fillId="0" fontId="50" numFmtId="0" xfId="0" applyAlignment="1" applyFont="1">
      <alignment horizontal="right" vertical="bottom"/>
    </xf>
    <xf borderId="0" fillId="0" fontId="50" numFmtId="0" xfId="0" applyAlignment="1" applyFont="1">
      <alignment horizontal="center" vertical="bottom"/>
    </xf>
    <xf borderId="0" fillId="19" fontId="58" numFmtId="4" xfId="0" applyAlignment="1" applyFont="1" applyNumberFormat="1">
      <alignment horizontal="right" vertical="bottom"/>
    </xf>
    <xf borderId="0" fillId="19" fontId="58" numFmtId="4" xfId="0" applyAlignment="1" applyFont="1" applyNumberFormat="1">
      <alignment horizontal="center" vertical="bottom"/>
    </xf>
    <xf borderId="0" fillId="3" fontId="58" numFmtId="4" xfId="0" applyAlignment="1" applyFont="1" applyNumberFormat="1">
      <alignment horizontal="center" vertical="bottom"/>
    </xf>
    <xf borderId="0" fillId="19" fontId="51" numFmtId="0" xfId="0" applyAlignment="1" applyFont="1">
      <alignment vertical="bottom"/>
    </xf>
    <xf borderId="0" fillId="19" fontId="4" numFmtId="4" xfId="0" applyAlignment="1" applyFont="1" applyNumberFormat="1">
      <alignment vertical="bottom"/>
    </xf>
    <xf borderId="0" fillId="4" fontId="60" numFmtId="0" xfId="0" applyAlignment="1" applyFont="1">
      <alignment horizontal="center" vertical="top"/>
    </xf>
    <xf borderId="0" fillId="4" fontId="60" numFmtId="0" xfId="0" applyAlignment="1" applyFont="1">
      <alignment horizontal="center" shrinkToFit="0" vertical="top" wrapText="1"/>
    </xf>
    <xf borderId="0" fillId="19" fontId="60" numFmtId="0" xfId="0" applyAlignment="1" applyFont="1">
      <alignment vertical="top"/>
    </xf>
    <xf borderId="0" fillId="5" fontId="60" numFmtId="0" xfId="0" applyAlignment="1" applyFont="1">
      <alignment vertical="top"/>
    </xf>
    <xf borderId="0" fillId="5" fontId="61" numFmtId="0" xfId="0" applyAlignment="1" applyFont="1">
      <alignment shrinkToFit="0" vertical="top" wrapText="1"/>
    </xf>
    <xf borderId="0" fillId="0" fontId="60" numFmtId="0" xfId="0" applyAlignment="1" applyFont="1">
      <alignment vertical="bottom"/>
    </xf>
    <xf borderId="0" fillId="26" fontId="2" numFmtId="0" xfId="0" applyAlignment="1" applyFill="1" applyFont="1">
      <alignment horizontal="center"/>
    </xf>
    <xf borderId="0" fillId="26" fontId="60" numFmtId="0" xfId="0" applyAlignment="1" applyFont="1">
      <alignment horizontal="center" vertical="bottom"/>
    </xf>
    <xf borderId="0" fillId="26" fontId="60" numFmtId="4" xfId="0" applyAlignment="1" applyFont="1" applyNumberFormat="1">
      <alignment horizontal="center" vertical="bottom"/>
    </xf>
    <xf borderId="0" fillId="19" fontId="60" numFmtId="0" xfId="0" applyAlignment="1" applyFont="1">
      <alignment vertical="bottom"/>
    </xf>
    <xf borderId="0" fillId="0" fontId="60" numFmtId="0" xfId="0" applyAlignment="1" applyFont="1">
      <alignment horizontal="right" vertical="bottom"/>
    </xf>
    <xf borderId="0" fillId="0" fontId="60" numFmtId="4" xfId="0" applyAlignment="1" applyFont="1" applyNumberFormat="1">
      <alignment horizontal="right" vertical="bottom"/>
    </xf>
    <xf borderId="0" fillId="0" fontId="60" numFmtId="4" xfId="0" applyAlignment="1" applyFont="1" applyNumberFormat="1">
      <alignment vertical="bottom"/>
    </xf>
    <xf borderId="0" fillId="0" fontId="60" numFmtId="0" xfId="0" applyAlignment="1" applyFont="1">
      <alignment readingOrder="0" shrinkToFit="0" vertical="bottom" wrapText="1"/>
    </xf>
    <xf borderId="0" fillId="25" fontId="60" numFmtId="0" xfId="0" applyAlignment="1" applyFont="1">
      <alignment horizontal="right" readingOrder="0" vertical="bottom"/>
    </xf>
    <xf borderId="0" fillId="25" fontId="60" numFmtId="4" xfId="0" applyAlignment="1" applyFont="1" applyNumberFormat="1">
      <alignment horizontal="right" readingOrder="0" vertical="bottom"/>
    </xf>
    <xf borderId="0" fillId="0" fontId="60" numFmtId="4" xfId="0" applyAlignment="1" applyFont="1" applyNumberFormat="1">
      <alignment readingOrder="0" vertical="bottom"/>
    </xf>
    <xf borderId="0" fillId="0" fontId="60" numFmtId="0" xfId="0" applyAlignment="1" applyFont="1">
      <alignment readingOrder="0" vertical="bottom"/>
    </xf>
    <xf borderId="0" fillId="0" fontId="60" numFmtId="4" xfId="0" applyAlignment="1" applyFont="1" applyNumberFormat="1">
      <alignment horizontal="center" vertical="bottom"/>
    </xf>
    <xf borderId="0" fillId="4" fontId="60" numFmtId="0" xfId="0" applyFont="1"/>
    <xf borderId="0" fillId="4" fontId="60" numFmtId="0" xfId="0" applyAlignment="1" applyFont="1">
      <alignment horizontal="center"/>
    </xf>
    <xf borderId="0" fillId="4" fontId="60" numFmtId="0" xfId="0" applyAlignment="1" applyFont="1">
      <alignment shrinkToFit="0" wrapText="1"/>
    </xf>
    <xf borderId="0" fillId="4" fontId="60" numFmtId="0" xfId="0" applyAlignment="1" applyFont="1">
      <alignment horizontal="center" shrinkToFit="0" wrapText="1"/>
    </xf>
    <xf borderId="0" fillId="27" fontId="60" numFmtId="0" xfId="0" applyAlignment="1" applyFill="1" applyFont="1">
      <alignment vertical="bottom"/>
    </xf>
    <xf borderId="0" fillId="27" fontId="60" numFmtId="0" xfId="0" applyAlignment="1" applyFont="1">
      <alignment horizontal="center" readingOrder="0" vertical="bottom"/>
    </xf>
    <xf borderId="0" fillId="19" fontId="2" numFmtId="0" xfId="0" applyFont="1"/>
    <xf borderId="0" fillId="0" fontId="62" numFmtId="0" xfId="0" applyAlignment="1" applyFont="1">
      <alignment readingOrder="0"/>
    </xf>
    <xf borderId="0" fillId="0" fontId="63" numFmtId="0" xfId="0" applyAlignment="1" applyFont="1">
      <alignment horizontal="left" readingOrder="0"/>
    </xf>
    <xf borderId="89" fillId="28" fontId="64" numFmtId="0" xfId="0" applyAlignment="1" applyBorder="1" applyFill="1" applyFont="1">
      <alignment horizontal="left" readingOrder="0" vertical="bottom"/>
    </xf>
    <xf borderId="89" fillId="28" fontId="64" numFmtId="168" xfId="0" applyAlignment="1" applyBorder="1" applyFont="1" applyNumberFormat="1">
      <alignment horizontal="left" readingOrder="0" vertical="bottom"/>
    </xf>
    <xf borderId="90" fillId="29" fontId="65" numFmtId="0" xfId="0" applyAlignment="1" applyBorder="1" applyFill="1" applyFont="1">
      <alignment horizontal="left" readingOrder="0" vertical="top"/>
    </xf>
    <xf borderId="90" fillId="30" fontId="65" numFmtId="0" xfId="0" applyAlignment="1" applyBorder="1" applyFill="1" applyFont="1">
      <alignment horizontal="left" readingOrder="0" vertical="top"/>
    </xf>
    <xf borderId="90" fillId="30" fontId="65" numFmtId="169" xfId="0" applyAlignment="1" applyBorder="1" applyFont="1" applyNumberFormat="1">
      <alignment horizontal="left" readingOrder="0" vertical="top"/>
    </xf>
    <xf borderId="90" fillId="31" fontId="65" numFmtId="0" xfId="0" applyAlignment="1" applyBorder="1" applyFill="1" applyFont="1">
      <alignment horizontal="left" readingOrder="0" vertical="top"/>
    </xf>
    <xf borderId="0" fillId="31" fontId="2" numFmtId="0" xfId="0" applyFont="1"/>
    <xf borderId="90" fillId="29" fontId="65" numFmtId="170" xfId="0" applyAlignment="1" applyBorder="1" applyFont="1" applyNumberFormat="1">
      <alignment horizontal="left" readingOrder="0" vertical="top"/>
    </xf>
    <xf borderId="90" fillId="29" fontId="65" numFmtId="171" xfId="0" applyAlignment="1" applyBorder="1" applyFont="1" applyNumberFormat="1">
      <alignment horizontal="left" readingOrder="0" vertical="top"/>
    </xf>
    <xf borderId="90" fillId="30" fontId="65" numFmtId="171" xfId="0" applyAlignment="1" applyBorder="1" applyFont="1" applyNumberFormat="1">
      <alignment horizontal="left" readingOrder="0" vertical="top"/>
    </xf>
    <xf borderId="90" fillId="30" fontId="65" numFmtId="170" xfId="0" applyAlignment="1" applyBorder="1" applyFont="1" applyNumberFormat="1">
      <alignment horizontal="left" readingOrder="0" vertical="top"/>
    </xf>
    <xf borderId="90" fillId="30" fontId="65" numFmtId="172" xfId="0" applyAlignment="1" applyBorder="1" applyFont="1" applyNumberFormat="1">
      <alignment horizontal="left" readingOrder="0" vertical="top"/>
    </xf>
    <xf borderId="90" fillId="29" fontId="65" numFmtId="172" xfId="0" applyAlignment="1" applyBorder="1" applyFont="1" applyNumberFormat="1">
      <alignment horizontal="left" readingOrder="0" vertical="top"/>
    </xf>
    <xf borderId="90" fillId="29" fontId="65" numFmtId="169" xfId="0" applyAlignment="1" applyBorder="1" applyFont="1" applyNumberFormat="1">
      <alignment horizontal="left" readingOrder="0" vertical="top"/>
    </xf>
    <xf borderId="0" fillId="0" fontId="36" numFmtId="4" xfId="0" applyAlignment="1" applyFont="1" applyNumberForma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0" fontId="1" numFmtId="4" xfId="0" applyAlignment="1" applyFont="1" applyNumberFormat="1">
      <alignment shrinkToFit="0" vertical="bottom" wrapText="0"/>
    </xf>
    <xf borderId="0" fillId="0" fontId="1" numFmtId="165" xfId="0" applyAlignment="1" applyFont="1" applyNumberFormat="1">
      <alignment shrinkToFit="0" vertical="bottom" wrapText="0"/>
    </xf>
    <xf borderId="0" fillId="0" fontId="66" numFmtId="0" xfId="0" applyAlignment="1" applyFont="1">
      <alignment readingOrder="0" shrinkToFit="0" vertical="bottom" wrapText="0"/>
    </xf>
    <xf borderId="0" fillId="0" fontId="36" numFmtId="0" xfId="0" applyAlignment="1" applyFont="1">
      <alignment shrinkToFit="0" vertical="bottom" wrapText="0"/>
    </xf>
    <xf borderId="0" fillId="0" fontId="36" numFmtId="0" xfId="0" applyAlignment="1" applyFont="1">
      <alignment horizontal="right" readingOrder="0" shrinkToFit="0" vertical="bottom" wrapText="0"/>
    </xf>
    <xf borderId="30" fillId="0" fontId="36" numFmtId="0" xfId="0" applyAlignment="1" applyBorder="1" applyFont="1">
      <alignment shrinkToFit="0" vertical="bottom" wrapText="0"/>
    </xf>
    <xf borderId="68" fillId="0" fontId="66" numFmtId="0" xfId="0" applyAlignment="1" applyBorder="1" applyFont="1">
      <alignment horizontal="center" readingOrder="0" shrinkToFit="0" vertical="bottom" wrapText="0"/>
    </xf>
    <xf borderId="68" fillId="32" fontId="1" numFmtId="0" xfId="0" applyAlignment="1" applyBorder="1" applyFill="1" applyFont="1">
      <alignment horizontal="center" readingOrder="0" shrinkToFit="0" wrapText="0"/>
    </xf>
    <xf borderId="30" fillId="32" fontId="1" numFmtId="0" xfId="0" applyAlignment="1" applyBorder="1" applyFont="1">
      <alignment horizontal="center" readingOrder="0" shrinkToFit="0" wrapText="0"/>
    </xf>
    <xf borderId="0" fillId="0" fontId="36" numFmtId="0" xfId="0" applyAlignment="1" applyFont="1">
      <alignment readingOrder="0" shrinkToFit="0" vertical="bottom" wrapText="0"/>
    </xf>
    <xf borderId="15" fillId="0" fontId="1" numFmtId="0" xfId="0" applyAlignment="1" applyBorder="1" applyFont="1">
      <alignment horizontal="center" readingOrder="0" shrinkToFit="0" wrapText="0"/>
    </xf>
    <xf borderId="30" fillId="0" fontId="1" numFmtId="0" xfId="0" applyAlignment="1" applyBorder="1" applyFont="1">
      <alignment readingOrder="0" shrinkToFit="0" vertical="bottom" wrapText="0"/>
    </xf>
    <xf borderId="30" fillId="0" fontId="1" numFmtId="0" xfId="0" applyAlignment="1" applyBorder="1" applyFont="1">
      <alignment horizontal="right" readingOrder="0" shrinkToFit="0" vertical="bottom" wrapText="0"/>
    </xf>
    <xf borderId="30" fillId="0" fontId="1" numFmtId="0" xfId="0" applyAlignment="1" applyBorder="1" applyFont="1">
      <alignment shrinkToFit="0" vertical="bottom" wrapText="0"/>
    </xf>
    <xf borderId="30" fillId="0" fontId="36" numFmtId="0" xfId="0" applyAlignment="1" applyBorder="1" applyFont="1">
      <alignment horizontal="right" readingOrder="0" shrinkToFit="0" vertical="bottom" wrapText="0"/>
    </xf>
    <xf borderId="30" fillId="0" fontId="36" numFmtId="0" xfId="0" applyAlignment="1" applyBorder="1" applyFont="1">
      <alignment readingOrder="0" shrinkToFit="0" vertical="bottom" wrapText="0"/>
    </xf>
    <xf borderId="0" fillId="0" fontId="11" numFmtId="0" xfId="0" applyAlignment="1" applyFont="1">
      <alignment shrinkToFit="0" vertical="bottom" wrapText="0"/>
    </xf>
    <xf borderId="0" fillId="0" fontId="11" numFmtId="0" xfId="0" applyAlignment="1" applyFont="1">
      <alignment readingOrder="0" shrinkToFit="0" vertical="bottom" wrapText="0"/>
    </xf>
    <xf borderId="0" fillId="0" fontId="67" numFmtId="0" xfId="0" applyFont="1"/>
    <xf borderId="0" fillId="33" fontId="36" numFmtId="0" xfId="0" applyAlignment="1" applyFill="1" applyFont="1">
      <alignment shrinkToFit="0" vertical="bottom" wrapText="0"/>
    </xf>
    <xf borderId="0" fillId="33" fontId="36" numFmtId="0" xfId="0" applyAlignment="1" applyFont="1">
      <alignment readingOrder="0" shrinkToFit="0" vertical="bottom" wrapText="0"/>
    </xf>
    <xf borderId="0" fillId="33" fontId="2" numFmtId="0" xfId="0" applyFont="1"/>
    <xf borderId="0" fillId="33" fontId="1" numFmtId="0" xfId="0" applyAlignment="1" applyFont="1">
      <alignment shrinkToFit="0" vertical="bottom" wrapText="0"/>
    </xf>
    <xf borderId="0" fillId="33" fontId="36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23" fontId="36" numFmtId="0" xfId="0" applyAlignment="1" applyFont="1">
      <alignment shrinkToFit="0" vertical="bottom" wrapText="0"/>
    </xf>
    <xf borderId="0" fillId="23" fontId="36" numFmtId="0" xfId="0" applyAlignment="1" applyFont="1">
      <alignment readingOrder="0" shrinkToFit="0" vertical="bottom" wrapText="0"/>
    </xf>
    <xf borderId="0" fillId="23" fontId="1" numFmtId="0" xfId="0" applyAlignment="1" applyFont="1">
      <alignment shrinkToFit="0" vertical="bottom" wrapText="0"/>
    </xf>
    <xf borderId="0" fillId="23" fontId="36" numFmtId="0" xfId="0" applyAlignment="1" applyFont="1">
      <alignment horizontal="right" readingOrder="0" shrinkToFit="0" vertical="bottom" wrapText="0"/>
    </xf>
    <xf borderId="0" fillId="23" fontId="2" numFmtId="0" xfId="0" applyFont="1"/>
    <xf borderId="0" fillId="0" fontId="1" numFmtId="0" xfId="0" applyAlignment="1" applyFont="1">
      <alignment readingOrder="0" shrinkToFit="0" vertical="bottom" wrapText="0"/>
    </xf>
    <xf borderId="0" fillId="0" fontId="36" numFmtId="4" xfId="0" applyAlignment="1" applyFont="1" applyNumberFormat="1">
      <alignment readingOrder="0" shrinkToFit="0" vertical="bottom" wrapText="0"/>
    </xf>
    <xf borderId="0" fillId="0" fontId="2" numFmtId="3" xfId="0" applyAlignment="1" applyFont="1" applyNumberFormat="1">
      <alignment readingOrder="0"/>
    </xf>
    <xf borderId="0" fillId="0" fontId="68" numFmtId="0" xfId="0" applyAlignment="1" applyFont="1">
      <alignment readingOrder="0"/>
    </xf>
    <xf borderId="0" fillId="0" fontId="36" numFmtId="3" xfId="0" applyAlignment="1" applyFont="1" applyNumberFormat="1">
      <alignment shrinkToFit="0" vertical="bottom" wrapText="0"/>
    </xf>
    <xf borderId="0" fillId="0" fontId="1" numFmtId="3" xfId="0" applyAlignment="1" applyFont="1" applyNumberFormat="1">
      <alignment readingOrder="0" shrinkToFit="0" vertical="bottom" wrapText="0"/>
    </xf>
    <xf borderId="0" fillId="0" fontId="69" numFmtId="0" xfId="0" applyAlignment="1" applyFont="1">
      <alignment readingOrder="0"/>
    </xf>
    <xf borderId="0" fillId="0" fontId="4" numFmtId="0" xfId="0" applyAlignment="1" applyFont="1">
      <alignment vertical="bottom"/>
    </xf>
    <xf borderId="91" fillId="17" fontId="4" numFmtId="0" xfId="0" applyAlignment="1" applyBorder="1" applyFont="1">
      <alignment horizontal="center"/>
    </xf>
    <xf borderId="92" fillId="0" fontId="15" numFmtId="0" xfId="0" applyBorder="1" applyFont="1"/>
    <xf borderId="93" fillId="0" fontId="15" numFmtId="0" xfId="0" applyBorder="1" applyFont="1"/>
    <xf borderId="94" fillId="17" fontId="4" numFmtId="0" xfId="0" applyBorder="1" applyFont="1"/>
    <xf borderId="91" fillId="18" fontId="4" numFmtId="0" xfId="0" applyAlignment="1" applyBorder="1" applyFont="1">
      <alignment horizontal="center"/>
    </xf>
    <xf borderId="92" fillId="18" fontId="4" numFmtId="0" xfId="0" applyAlignment="1" applyBorder="1" applyFont="1">
      <alignment horizontal="center"/>
    </xf>
    <xf borderId="93" fillId="18" fontId="4" numFmtId="0" xfId="0" applyAlignment="1" applyBorder="1" applyFont="1">
      <alignment horizontal="center"/>
    </xf>
    <xf borderId="94" fillId="18" fontId="4" numFmtId="0" xfId="0" applyBorder="1" applyFont="1"/>
    <xf borderId="30" fillId="0" fontId="4" numFmtId="0" xfId="0" applyAlignment="1" applyBorder="1" applyFont="1">
      <alignment vertical="bottom"/>
    </xf>
    <xf borderId="68" fillId="0" fontId="4" numFmtId="0" xfId="0" applyAlignment="1" applyBorder="1" applyFont="1">
      <alignment horizontal="center"/>
    </xf>
    <xf borderId="30" fillId="0" fontId="4" numFmtId="0" xfId="0" applyBorder="1" applyFont="1"/>
    <xf borderId="30" fillId="0" fontId="4" numFmtId="0" xfId="0" applyAlignment="1" applyBorder="1" applyFont="1">
      <alignment horizontal="center"/>
    </xf>
    <xf borderId="0" fillId="0" fontId="4" numFmtId="0" xfId="0" applyFont="1"/>
    <xf borderId="30" fillId="0" fontId="4" numFmtId="4" xfId="0" applyAlignment="1" applyBorder="1" applyFont="1" applyNumberFormat="1">
      <alignment horizontal="right" readingOrder="0" vertical="bottom"/>
    </xf>
    <xf borderId="30" fillId="0" fontId="4" numFmtId="4" xfId="0" applyAlignment="1" applyBorder="1" applyFont="1" applyNumberFormat="1">
      <alignment horizontal="right" vertical="bottom"/>
    </xf>
    <xf borderId="30" fillId="34" fontId="4" numFmtId="0" xfId="0" applyAlignment="1" applyBorder="1" applyFill="1" applyFont="1">
      <alignment vertical="bottom"/>
    </xf>
    <xf borderId="30" fillId="34" fontId="4" numFmtId="4" xfId="0" applyAlignment="1" applyBorder="1" applyFont="1" applyNumberFormat="1">
      <alignment horizontal="right" readingOrder="0" vertical="bottom"/>
    </xf>
    <xf borderId="30" fillId="3" fontId="4" numFmtId="4" xfId="0" applyAlignment="1" applyBorder="1" applyFont="1" applyNumberFormat="1">
      <alignment horizontal="right" readingOrder="0" vertical="bottom"/>
    </xf>
    <xf borderId="0" fillId="3" fontId="2" numFmtId="4" xfId="0" applyAlignment="1" applyFont="1" applyNumberFormat="1">
      <alignment readingOrder="0"/>
    </xf>
    <xf borderId="30" fillId="34" fontId="4" numFmtId="4" xfId="0" applyAlignment="1" applyBorder="1" applyFont="1" applyNumberFormat="1">
      <alignment horizontal="right" vertical="bottom"/>
    </xf>
    <xf borderId="30" fillId="34" fontId="4" numFmtId="4" xfId="0" applyAlignment="1" applyBorder="1" applyFont="1" applyNumberFormat="1">
      <alignment vertical="bottom"/>
    </xf>
    <xf borderId="0" fillId="34" fontId="4" numFmtId="0" xfId="0" applyAlignment="1" applyFont="1">
      <alignment vertical="bottom"/>
    </xf>
    <xf borderId="0" fillId="34" fontId="36" numFmtId="0" xfId="0" applyAlignment="1" applyFont="1">
      <alignment shrinkToFit="0" vertical="bottom" wrapText="0"/>
    </xf>
    <xf borderId="0" fillId="34" fontId="2" numFmtId="0" xfId="0" applyFont="1"/>
    <xf borderId="30" fillId="0" fontId="4" numFmtId="0" xfId="0" applyAlignment="1" applyBorder="1" applyFont="1">
      <alignment vertical="bottom"/>
    </xf>
    <xf borderId="30" fillId="35" fontId="13" numFmtId="0" xfId="0" applyAlignment="1" applyBorder="1" applyFill="1" applyFont="1">
      <alignment vertical="bottom"/>
    </xf>
    <xf borderId="30" fillId="35" fontId="13" numFmtId="173" xfId="0" applyAlignment="1" applyBorder="1" applyFont="1" applyNumberFormat="1">
      <alignment horizontal="right" vertical="bottom"/>
    </xf>
    <xf borderId="6" fillId="35" fontId="4" numFmtId="0" xfId="0" applyAlignment="1" applyBorder="1" applyFont="1">
      <alignment vertical="bottom"/>
    </xf>
    <xf borderId="0" fillId="0" fontId="4" numFmtId="2" xfId="0" applyAlignment="1" applyFont="1" applyNumberFormat="1">
      <alignment horizontal="center" vertical="bottom"/>
    </xf>
    <xf borderId="0" fillId="0" fontId="4" numFmtId="173" xfId="0" applyAlignment="1" applyFont="1" applyNumberFormat="1">
      <alignment horizontal="right" vertical="bottom"/>
    </xf>
    <xf borderId="0" fillId="0" fontId="4" numFmtId="167" xfId="0" applyAlignment="1" applyFont="1" applyNumberFormat="1">
      <alignment horizontal="right" vertical="bottom"/>
    </xf>
    <xf borderId="0" fillId="0" fontId="4" numFmtId="173" xfId="0" applyAlignment="1" applyFont="1" applyNumberFormat="1">
      <alignment horizontal="center" vertical="bottom"/>
    </xf>
    <xf borderId="30" fillId="0" fontId="1" numFmtId="4" xfId="0" applyAlignment="1" applyBorder="1" applyFont="1" applyNumberFormat="1">
      <alignment horizontal="right" readingOrder="0" shrinkToFit="0" vertical="bottom" wrapText="0"/>
    </xf>
    <xf borderId="60" fillId="0" fontId="36" numFmtId="0" xfId="0" applyAlignment="1" applyBorder="1" applyFont="1">
      <alignment readingOrder="0" shrinkToFit="0" vertical="bottom" wrapText="0"/>
    </xf>
    <xf borderId="30" fillId="0" fontId="1" numFmtId="4" xfId="0" applyAlignment="1" applyBorder="1" applyFont="1" applyNumberFormat="1">
      <alignment shrinkToFit="0" vertical="bottom" wrapText="0"/>
    </xf>
    <xf borderId="30" fillId="0" fontId="36" numFmtId="4" xfId="0" applyAlignment="1" applyBorder="1" applyFont="1" applyNumberFormat="1">
      <alignment shrinkToFit="0" vertical="bottom" wrapText="0"/>
    </xf>
    <xf borderId="30" fillId="0" fontId="36" numFmtId="4" xfId="0" applyAlignment="1" applyBorder="1" applyFont="1" applyNumberFormat="1">
      <alignment horizontal="right" readingOrder="0" shrinkToFit="0" vertical="bottom" wrapText="0"/>
    </xf>
    <xf borderId="30" fillId="0" fontId="36" numFmtId="4" xfId="0" applyAlignment="1" applyBorder="1" applyFont="1" applyNumberFormat="1">
      <alignment readingOrder="0" shrinkToFit="0" vertical="bottom" wrapText="0"/>
    </xf>
    <xf borderId="0" fillId="34" fontId="36" numFmtId="0" xfId="0" applyAlignment="1" applyFont="1">
      <alignment readingOrder="0" shrinkToFit="0" vertical="bottom" wrapText="0"/>
    </xf>
    <xf borderId="0" fillId="34" fontId="36" numFmtId="4" xfId="0" applyAlignment="1" applyFont="1" applyNumberFormat="1">
      <alignment readingOrder="0" shrinkToFit="0" vertical="bottom" wrapText="0"/>
    </xf>
    <xf borderId="0" fillId="23" fontId="1" numFmtId="4" xfId="0" applyAlignment="1" applyFont="1" applyNumberFormat="1">
      <alignment shrinkToFit="0" vertical="bottom" wrapText="0"/>
    </xf>
    <xf borderId="0" fillId="36" fontId="68" numFmtId="4" xfId="0" applyAlignment="1" applyFill="1" applyFont="1" applyNumberFormat="1">
      <alignment readingOrder="0"/>
    </xf>
    <xf borderId="0" fillId="36" fontId="2" numFmtId="4" xfId="0" applyFont="1" applyNumberFormat="1"/>
    <xf borderId="0" fillId="36" fontId="36" numFmtId="4" xfId="0" applyAlignment="1" applyFont="1" applyNumberFormat="1">
      <alignment shrinkToFit="0" vertical="bottom" wrapText="0"/>
    </xf>
    <xf borderId="0" fillId="36" fontId="1" numFmtId="4" xfId="0" applyAlignment="1" applyFont="1" applyNumberFormat="1">
      <alignment readingOrder="0" shrinkToFit="0" vertical="bottom" wrapText="0"/>
    </xf>
    <xf borderId="0" fillId="36" fontId="1" numFmtId="4" xfId="0" applyAlignment="1" applyFont="1" applyNumberFormat="1">
      <alignment shrinkToFit="0" vertical="bottom" wrapText="0"/>
    </xf>
    <xf borderId="0" fillId="36" fontId="36" numFmtId="4" xfId="0" applyAlignment="1" applyFont="1" applyNumberFormat="1">
      <alignment readingOrder="0" shrinkToFit="0" vertical="bottom" wrapText="0"/>
    </xf>
    <xf borderId="0" fillId="36" fontId="2" numFmtId="4" xfId="0" applyAlignment="1" applyFont="1" applyNumberFormat="1">
      <alignment readingOrder="0"/>
    </xf>
    <xf borderId="0" fillId="0" fontId="68" numFmtId="4" xfId="0" applyAlignment="1" applyFont="1" applyNumberFormat="1">
      <alignment readingOrder="0"/>
    </xf>
    <xf borderId="0" fillId="0" fontId="69" numFmtId="4" xfId="0" applyAlignment="1" applyFont="1" applyNumberFormat="1">
      <alignment readingOrder="0"/>
    </xf>
    <xf borderId="0" fillId="0" fontId="68" numFmtId="4" xfId="0" applyAlignment="1" applyFont="1" applyNumberFormat="1">
      <alignment horizontal="left" readingOrder="0"/>
    </xf>
    <xf borderId="0" fillId="0" fontId="36" numFmtId="4" xfId="0" applyAlignment="1" applyFont="1" applyNumberFormat="1">
      <alignment horizontal="center" readingOrder="0" shrinkToFit="0" vertical="bottom" wrapText="0"/>
    </xf>
    <xf borderId="0" fillId="0" fontId="1" numFmtId="4" xfId="0" applyAlignment="1" applyFont="1" applyNumberFormat="1">
      <alignment horizontal="center" readingOrder="0" shrinkToFit="0" vertical="bottom" wrapText="0"/>
    </xf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161925</xdr:rowOff>
    </xdr:from>
    <xdr:ext cx="866775" cy="86677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47625</xdr:rowOff>
    </xdr:from>
    <xdr:ext cx="276225" cy="27622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47625</xdr:rowOff>
    </xdr:from>
    <xdr:ext cx="276225" cy="276225"/>
    <xdr:pic>
      <xdr:nvPicPr>
        <xdr:cNvPr descr="home.png"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0</xdr:rowOff>
    </xdr:from>
    <xdr:ext cx="228600" cy="228600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inerba.esdm.go.id/harga_acuan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3.86"/>
    <col customWidth="1" min="2" max="26" width="8.71"/>
  </cols>
  <sheetData>
    <row r="1" ht="9.75" customHeight="1">
      <c r="A1" s="1" t="s">
        <v>0</v>
      </c>
      <c r="B1" s="2"/>
    </row>
    <row r="2">
      <c r="B2" s="3" t="s">
        <v>1</v>
      </c>
      <c r="G2" s="4"/>
      <c r="H2" s="5" t="s">
        <v>2</v>
      </c>
      <c r="W2" s="4"/>
      <c r="X2" s="4"/>
      <c r="Y2" s="4"/>
      <c r="Z2" s="4"/>
    </row>
    <row r="3">
      <c r="B3" s="3" t="s">
        <v>3</v>
      </c>
      <c r="G3" s="4"/>
      <c r="W3" s="4"/>
      <c r="X3" s="4"/>
      <c r="Y3" s="4"/>
      <c r="Z3" s="4"/>
    </row>
    <row r="4">
      <c r="B4" s="3" t="s">
        <v>4</v>
      </c>
      <c r="G4" s="4"/>
      <c r="W4" s="4"/>
      <c r="X4" s="4"/>
      <c r="Y4" s="4"/>
      <c r="Z4" s="4"/>
    </row>
    <row r="5">
      <c r="B5" s="3" t="s">
        <v>5</v>
      </c>
      <c r="G5" s="4"/>
      <c r="H5" s="4"/>
      <c r="I5" s="4"/>
      <c r="J5" s="4"/>
      <c r="K5" s="6" t="s">
        <v>6</v>
      </c>
      <c r="L5" s="7"/>
      <c r="M5" s="7"/>
      <c r="N5" s="4"/>
      <c r="O5" s="8" t="s">
        <v>7</v>
      </c>
      <c r="P5" s="9" t="str">
        <f>mid(ADHB!C6,3,100)</f>
        <v>Pertambangan Bijih Logam</v>
      </c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B6" s="3" t="s">
        <v>8</v>
      </c>
      <c r="G6" s="4"/>
      <c r="H6" s="4"/>
      <c r="I6" s="4"/>
      <c r="J6" s="4"/>
      <c r="K6" s="6" t="s">
        <v>9</v>
      </c>
      <c r="L6" s="4"/>
      <c r="M6" s="4"/>
      <c r="N6" s="4"/>
      <c r="O6" s="8" t="s">
        <v>7</v>
      </c>
      <c r="P6" s="9" t="s">
        <v>10</v>
      </c>
      <c r="V6" s="4"/>
      <c r="W6" s="4"/>
      <c r="X6" s="4"/>
      <c r="Y6" s="4"/>
      <c r="Z6" s="4"/>
    </row>
    <row r="7">
      <c r="B7" s="3" t="s">
        <v>11</v>
      </c>
      <c r="G7" s="4"/>
      <c r="H7" s="4"/>
      <c r="I7" s="4"/>
      <c r="J7" s="4"/>
      <c r="K7" s="6" t="s">
        <v>12</v>
      </c>
      <c r="L7" s="4"/>
      <c r="M7" s="4"/>
      <c r="N7" s="4"/>
      <c r="O7" s="8" t="s">
        <v>7</v>
      </c>
      <c r="P7" s="10">
        <f>IFERROR(__xludf.DUMMYFUNCTION("IMPORTRANGE(""https://docs.google.com/spreadsheets/d/14EziMEzuXiAhzZqRuQw8kN9sLyynoE6QsPgaj062Fa0/edit#gid=214337323"",""'LK PDRB Lapus'!E3:E4"")"),2026.0)</f>
        <v>2026</v>
      </c>
      <c r="V7" s="4"/>
      <c r="W7" s="4"/>
      <c r="X7" s="4"/>
      <c r="Y7" s="4"/>
      <c r="Z7" s="4"/>
    </row>
    <row r="8">
      <c r="B8" s="3" t="s">
        <v>13</v>
      </c>
      <c r="G8" s="4"/>
      <c r="H8" s="4"/>
      <c r="I8" s="4"/>
      <c r="J8" s="4"/>
      <c r="K8" s="6" t="s">
        <v>14</v>
      </c>
      <c r="L8" s="4"/>
      <c r="M8" s="4"/>
      <c r="N8" s="4"/>
      <c r="O8" s="8" t="s">
        <v>7</v>
      </c>
      <c r="P8" s="9" t="str">
        <f>IFERROR(__xludf.DUMMYFUNCTION("""COMPUTED_VALUE"""),"I")</f>
        <v>I</v>
      </c>
      <c r="V8" s="4"/>
      <c r="W8" s="4"/>
      <c r="X8" s="4"/>
      <c r="Y8" s="4"/>
      <c r="Z8" s="4"/>
    </row>
    <row r="9" ht="7.5" customHeight="1">
      <c r="A9" s="11"/>
      <c r="B9" s="2"/>
    </row>
    <row r="10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2"/>
      <c r="B11" s="13" t="s">
        <v>15</v>
      </c>
      <c r="J11" s="12"/>
      <c r="K11" s="14" t="s">
        <v>16</v>
      </c>
      <c r="R11" s="12"/>
      <c r="S11" s="12"/>
      <c r="T11" s="15" t="s">
        <v>17</v>
      </c>
    </row>
    <row r="12">
      <c r="A12" s="12"/>
      <c r="J12" s="12"/>
      <c r="R12" s="12"/>
      <c r="S12" s="12"/>
    </row>
    <row r="13">
      <c r="A13" s="12"/>
      <c r="J13" s="12"/>
      <c r="R13" s="12"/>
      <c r="S13" s="12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37.5" customHeight="1">
      <c r="A15" s="16"/>
      <c r="B15" s="17">
        <v>1.0</v>
      </c>
      <c r="C15" s="18" t="s">
        <v>18</v>
      </c>
      <c r="J15" s="16"/>
      <c r="K15" s="19">
        <v>1.0</v>
      </c>
      <c r="L15" s="20" t="s">
        <v>19</v>
      </c>
      <c r="Q15" s="21"/>
      <c r="R15" s="16"/>
      <c r="S15" s="16"/>
      <c r="T15" s="22">
        <v>1.0</v>
      </c>
      <c r="U15" s="23" t="s">
        <v>20</v>
      </c>
      <c r="Z15" s="21"/>
    </row>
    <row r="16" ht="37.5" customHeight="1">
      <c r="A16" s="16"/>
      <c r="B16" s="24">
        <f>B15+1</f>
        <v>2</v>
      </c>
      <c r="C16" s="18" t="s">
        <v>21</v>
      </c>
      <c r="J16" s="16"/>
      <c r="K16" s="25">
        <f>K15+1</f>
        <v>2</v>
      </c>
      <c r="L16" s="26"/>
      <c r="R16" s="16"/>
      <c r="S16" s="16"/>
      <c r="T16" s="27">
        <f>T15+1</f>
        <v>2</v>
      </c>
      <c r="U16" s="28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</sheetData>
  <mergeCells count="23">
    <mergeCell ref="B6:F6"/>
    <mergeCell ref="P6:U6"/>
    <mergeCell ref="B7:F7"/>
    <mergeCell ref="P7:U7"/>
    <mergeCell ref="A1:A8"/>
    <mergeCell ref="B1:Z1"/>
    <mergeCell ref="B2:F2"/>
    <mergeCell ref="H2:V4"/>
    <mergeCell ref="B3:F3"/>
    <mergeCell ref="B4:F4"/>
    <mergeCell ref="B5:F5"/>
    <mergeCell ref="B9:Z9"/>
    <mergeCell ref="C15:I15"/>
    <mergeCell ref="C16:I16"/>
    <mergeCell ref="L16:Q16"/>
    <mergeCell ref="U16:Z16"/>
    <mergeCell ref="B8:F8"/>
    <mergeCell ref="P8:U8"/>
    <mergeCell ref="B11:I13"/>
    <mergeCell ref="K11:Q13"/>
    <mergeCell ref="T11:Z13"/>
    <mergeCell ref="L15:Q15"/>
    <mergeCell ref="U15:Z15"/>
  </mergeCells>
  <hyperlinks>
    <hyperlink display="Lembar Kerja Penghitungan PDRB Atas Dasar Harga Berlaku " location="ADHB!A1" ref="C15"/>
    <hyperlink display="Rekap Angka PDRB Lapangan Usaha" location="Rekap!A1" ref="L15"/>
    <hyperlink display="Lembar Kerja Penghitungan PDRB Atas Dasar Harga Konstan" location="ADHK!A1" ref="C16"/>
  </hyperlink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5.71"/>
    <col customWidth="1" min="2" max="2" width="28.29"/>
    <col customWidth="1" min="3" max="3" width="14.71"/>
    <col customWidth="1" min="4" max="4" width="13.57"/>
    <col customWidth="1" min="5" max="5" width="13.29"/>
    <col customWidth="1" min="6" max="6" width="14.14"/>
    <col customWidth="1" min="7" max="7" width="19.57"/>
    <col customWidth="1" min="8" max="8" width="10.71"/>
    <col customWidth="1" min="9" max="9" width="18.71"/>
    <col customWidth="1" min="10" max="10" width="12.86"/>
    <col customWidth="1" min="11" max="11" width="12.0"/>
    <col customWidth="1" min="12" max="12" width="16.0"/>
    <col customWidth="1" min="13" max="13" width="19.86"/>
    <col customWidth="1" min="14" max="14" width="11.29"/>
    <col customWidth="1" min="15" max="15" width="17.29"/>
    <col customWidth="1" min="16" max="16" width="21.14"/>
    <col customWidth="1" min="17" max="17" width="2.71"/>
    <col customWidth="1" min="18" max="18" width="5.71"/>
    <col customWidth="1" min="19" max="19" width="28.29"/>
    <col customWidth="1" min="20" max="20" width="14.71"/>
    <col customWidth="1" min="21" max="21" width="13.57"/>
    <col customWidth="1" min="22" max="22" width="13.29"/>
    <col customWidth="1" min="23" max="23" width="14.14"/>
    <col customWidth="1" min="24" max="24" width="19.57"/>
    <col customWidth="1" min="25" max="25" width="10.71"/>
    <col customWidth="1" min="26" max="26" width="18.71"/>
    <col customWidth="1" min="27" max="27" width="12.86"/>
    <col customWidth="1" min="28" max="28" width="12.0"/>
    <col customWidth="1" min="29" max="29" width="16.0"/>
    <col customWidth="1" min="30" max="30" width="19.86"/>
    <col customWidth="1" min="31" max="31" width="11.29"/>
    <col customWidth="1" min="32" max="32" width="17.29"/>
    <col customWidth="1" min="33" max="33" width="21.14"/>
    <col customWidth="1" min="34" max="34" width="2.71"/>
    <col customWidth="1" min="35" max="35" width="5.71"/>
    <col customWidth="1" min="36" max="36" width="28.29"/>
    <col customWidth="1" min="37" max="37" width="14.71"/>
    <col customWidth="1" min="38" max="38" width="13.57"/>
    <col customWidth="1" min="39" max="39" width="13.29"/>
    <col customWidth="1" min="40" max="40" width="14.14"/>
    <col customWidth="1" min="41" max="41" width="19.57"/>
    <col customWidth="1" min="42" max="42" width="10.71"/>
    <col customWidth="1" min="43" max="43" width="18.71"/>
    <col customWidth="1" min="44" max="44" width="12.86"/>
    <col customWidth="1" min="45" max="45" width="12.0"/>
    <col customWidth="1" min="46" max="46" width="16.0"/>
    <col customWidth="1" min="47" max="47" width="19.86"/>
    <col customWidth="1" min="48" max="48" width="11.29"/>
    <col customWidth="1" min="49" max="49" width="17.29"/>
    <col customWidth="1" min="50" max="50" width="21.14"/>
    <col customWidth="1" min="51" max="51" width="2.71"/>
    <col customWidth="1" min="52" max="52" width="5.71"/>
    <col customWidth="1" min="53" max="53" width="28.29"/>
    <col customWidth="1" min="54" max="54" width="14.71"/>
    <col customWidth="1" min="55" max="55" width="13.57"/>
    <col customWidth="1" min="56" max="56" width="13.29"/>
    <col customWidth="1" min="57" max="57" width="14.14"/>
    <col customWidth="1" min="58" max="58" width="19.57"/>
    <col customWidth="1" min="59" max="59" width="10.71"/>
    <col customWidth="1" min="60" max="60" width="18.71"/>
    <col customWidth="1" min="61" max="61" width="12.86"/>
    <col customWidth="1" min="62" max="62" width="12.0"/>
    <col customWidth="1" min="63" max="63" width="16.0"/>
    <col customWidth="1" min="64" max="64" width="19.86"/>
    <col customWidth="1" min="65" max="65" width="11.29"/>
    <col customWidth="1" min="66" max="66" width="17.29"/>
    <col customWidth="1" min="67" max="67" width="21.14"/>
    <col customWidth="1" min="68" max="68" width="2.71"/>
    <col customWidth="1" min="69" max="69" width="5.71"/>
    <col customWidth="1" min="70" max="70" width="28.29"/>
    <col customWidth="1" min="71" max="71" width="14.71"/>
    <col customWidth="1" min="72" max="72" width="13.57"/>
    <col customWidth="1" min="73" max="73" width="13.29"/>
    <col customWidth="1" min="74" max="74" width="14.14"/>
    <col customWidth="1" min="75" max="75" width="19.57"/>
    <col customWidth="1" min="76" max="76" width="10.71"/>
    <col customWidth="1" min="77" max="77" width="18.71"/>
    <col customWidth="1" min="78" max="78" width="12.86"/>
    <col customWidth="1" min="79" max="79" width="12.0"/>
    <col customWidth="1" min="80" max="80" width="16.0"/>
    <col customWidth="1" min="81" max="81" width="19.86"/>
    <col customWidth="1" min="82" max="82" width="11.29"/>
    <col customWidth="1" min="83" max="83" width="17.29"/>
    <col customWidth="1" min="84" max="84" width="21.14"/>
    <col customWidth="1" min="85" max="85" width="2.71"/>
    <col customWidth="1" min="86" max="86" width="5.71"/>
    <col customWidth="1" min="87" max="87" width="28.29"/>
    <col customWidth="1" min="88" max="88" width="14.71"/>
    <col customWidth="1" min="89" max="89" width="13.57"/>
    <col customWidth="1" min="90" max="90" width="13.29"/>
    <col customWidth="1" min="91" max="91" width="14.14"/>
    <col customWidth="1" min="92" max="92" width="19.57"/>
    <col customWidth="1" min="93" max="93" width="10.71"/>
    <col customWidth="1" min="94" max="94" width="18.71"/>
    <col customWidth="1" min="95" max="95" width="12.86"/>
    <col customWidth="1" min="96" max="96" width="12.0"/>
    <col customWidth="1" min="97" max="97" width="16.0"/>
    <col customWidth="1" min="98" max="98" width="19.86"/>
    <col customWidth="1" min="99" max="99" width="11.29"/>
    <col customWidth="1" min="100" max="100" width="17.29"/>
    <col customWidth="1" min="101" max="101" width="21.14"/>
    <col customWidth="1" min="102" max="102" width="2.71"/>
    <col customWidth="1" min="103" max="103" width="5.71"/>
    <col customWidth="1" min="104" max="104" width="28.29"/>
    <col customWidth="1" min="105" max="105" width="14.71"/>
    <col customWidth="1" min="106" max="106" width="13.57"/>
    <col customWidth="1" min="107" max="107" width="13.29"/>
    <col customWidth="1" min="108" max="108" width="14.14"/>
    <col customWidth="1" min="109" max="109" width="19.57"/>
    <col customWidth="1" min="110" max="110" width="10.71"/>
    <col customWidth="1" min="111" max="111" width="18.71"/>
    <col customWidth="1" min="112" max="112" width="12.86"/>
    <col customWidth="1" min="113" max="113" width="12.0"/>
    <col customWidth="1" min="114" max="114" width="16.0"/>
    <col customWidth="1" min="115" max="115" width="19.86"/>
    <col customWidth="1" min="116" max="116" width="11.29"/>
    <col customWidth="1" min="117" max="117" width="17.29"/>
    <col customWidth="1" min="118" max="118" width="21.14"/>
    <col customWidth="1" min="119" max="119" width="2.71"/>
    <col customWidth="1" min="120" max="120" width="5.71"/>
    <col customWidth="1" min="121" max="121" width="28.29"/>
    <col customWidth="1" min="122" max="122" width="14.71"/>
    <col customWidth="1" min="123" max="123" width="13.57"/>
    <col customWidth="1" min="124" max="124" width="13.29"/>
    <col customWidth="1" min="125" max="125" width="14.14"/>
    <col customWidth="1" min="126" max="126" width="19.57"/>
    <col customWidth="1" min="127" max="127" width="10.71"/>
    <col customWidth="1" min="128" max="128" width="18.71"/>
    <col customWidth="1" min="129" max="129" width="12.86"/>
    <col customWidth="1" min="130" max="130" width="12.0"/>
    <col customWidth="1" min="131" max="131" width="16.0"/>
    <col customWidth="1" min="132" max="132" width="19.86"/>
    <col customWidth="1" min="133" max="133" width="11.29"/>
    <col customWidth="1" min="134" max="134" width="17.29"/>
    <col customWidth="1" min="135" max="135" width="21.14"/>
    <col customWidth="1" min="136" max="136" width="2.71"/>
    <col customWidth="1" min="137" max="137" width="5.71"/>
    <col customWidth="1" min="138" max="138" width="28.29"/>
    <col customWidth="1" min="139" max="139" width="14.71"/>
    <col customWidth="1" min="140" max="140" width="13.57"/>
    <col customWidth="1" min="141" max="141" width="13.29"/>
    <col customWidth="1" min="142" max="142" width="14.14"/>
    <col customWidth="1" min="143" max="143" width="19.57"/>
    <col customWidth="1" min="144" max="144" width="10.71"/>
    <col customWidth="1" min="145" max="145" width="18.71"/>
    <col customWidth="1" min="146" max="146" width="12.86"/>
    <col customWidth="1" min="147" max="147" width="12.0"/>
    <col customWidth="1" min="148" max="148" width="16.0"/>
    <col customWidth="1" min="149" max="149" width="19.86"/>
    <col customWidth="1" min="150" max="150" width="11.29"/>
    <col customWidth="1" min="151" max="151" width="17.29"/>
    <col customWidth="1" min="152" max="152" width="21.14"/>
    <col customWidth="1" min="153" max="153" width="2.71"/>
    <col customWidth="1" min="154" max="154" width="5.71"/>
    <col customWidth="1" min="155" max="155" width="28.29"/>
    <col customWidth="1" min="156" max="156" width="14.71"/>
    <col customWidth="1" min="157" max="157" width="13.57"/>
    <col customWidth="1" min="158" max="158" width="13.29"/>
    <col customWidth="1" min="159" max="159" width="14.14"/>
    <col customWidth="1" min="160" max="160" width="19.57"/>
    <col customWidth="1" min="161" max="161" width="10.71"/>
    <col customWidth="1" min="162" max="162" width="18.71"/>
    <col customWidth="1" min="163" max="163" width="12.86"/>
    <col customWidth="1" min="164" max="164" width="12.0"/>
    <col customWidth="1" min="165" max="165" width="16.0"/>
    <col customWidth="1" min="166" max="166" width="19.86"/>
    <col customWidth="1" min="167" max="167" width="11.29"/>
    <col customWidth="1" min="168" max="168" width="17.29"/>
    <col customWidth="1" min="169" max="169" width="21.14"/>
    <col customWidth="1" min="170" max="170" width="2.71"/>
    <col customWidth="1" min="171" max="171" width="5.71"/>
    <col customWidth="1" min="172" max="172" width="28.29"/>
    <col customWidth="1" min="173" max="173" width="14.71"/>
    <col customWidth="1" min="174" max="174" width="13.57"/>
    <col customWidth="1" min="175" max="175" width="13.29"/>
    <col customWidth="1" min="176" max="176" width="14.14"/>
    <col customWidth="1" min="177" max="177" width="19.57"/>
    <col customWidth="1" min="178" max="178" width="10.71"/>
    <col customWidth="1" min="179" max="179" width="18.71"/>
    <col customWidth="1" min="180" max="180" width="12.86"/>
    <col customWidth="1" min="181" max="181" width="12.0"/>
    <col customWidth="1" min="182" max="182" width="16.0"/>
    <col customWidth="1" min="183" max="183" width="19.86"/>
    <col customWidth="1" min="184" max="184" width="11.29"/>
    <col customWidth="1" min="185" max="185" width="17.29"/>
    <col customWidth="1" min="186" max="186" width="21.14"/>
    <col customWidth="1" min="187" max="187" width="2.71"/>
    <col customWidth="1" min="188" max="188" width="5.71"/>
    <col customWidth="1" min="189" max="189" width="28.29"/>
    <col customWidth="1" min="190" max="190" width="14.71"/>
    <col customWidth="1" min="191" max="191" width="13.57"/>
    <col customWidth="1" min="192" max="192" width="13.29"/>
    <col customWidth="1" min="193" max="193" width="14.14"/>
    <col customWidth="1" min="194" max="194" width="19.57"/>
    <col customWidth="1" min="195" max="195" width="10.71"/>
    <col customWidth="1" min="196" max="196" width="18.71"/>
    <col customWidth="1" min="197" max="197" width="12.86"/>
    <col customWidth="1" min="198" max="198" width="12.0"/>
    <col customWidth="1" min="199" max="199" width="16.0"/>
    <col customWidth="1" min="200" max="200" width="19.86"/>
    <col customWidth="1" min="201" max="201" width="11.29"/>
    <col customWidth="1" min="202" max="202" width="17.29"/>
    <col customWidth="1" min="203" max="203" width="21.14"/>
    <col customWidth="1" min="204" max="204" width="2.71"/>
    <col customWidth="1" min="205" max="205" width="5.71"/>
    <col customWidth="1" min="206" max="206" width="28.29"/>
    <col customWidth="1" min="207" max="207" width="14.71"/>
    <col customWidth="1" min="208" max="208" width="13.57"/>
    <col customWidth="1" min="209" max="209" width="13.29"/>
    <col customWidth="1" min="210" max="210" width="14.14"/>
    <col customWidth="1" min="211" max="211" width="19.57"/>
    <col customWidth="1" min="212" max="212" width="10.71"/>
    <col customWidth="1" min="213" max="213" width="18.71"/>
    <col customWidth="1" min="214" max="214" width="12.86"/>
    <col customWidth="1" min="215" max="215" width="12.0"/>
    <col customWidth="1" min="216" max="216" width="16.0"/>
    <col customWidth="1" min="217" max="217" width="19.86"/>
    <col customWidth="1" min="218" max="218" width="11.29"/>
    <col customWidth="1" min="219" max="219" width="17.29"/>
    <col customWidth="1" min="220" max="220" width="21.14"/>
    <col customWidth="1" min="221" max="221" width="2.71"/>
    <col customWidth="1" min="222" max="222" width="5.71"/>
    <col customWidth="1" min="223" max="223" width="28.29"/>
    <col customWidth="1" min="224" max="224" width="14.71"/>
    <col customWidth="1" min="225" max="225" width="13.57"/>
    <col customWidth="1" min="226" max="226" width="13.29"/>
    <col customWidth="1" min="227" max="227" width="14.14"/>
    <col customWidth="1" min="228" max="228" width="19.57"/>
    <col customWidth="1" min="229" max="229" width="10.71"/>
    <col customWidth="1" min="230" max="230" width="18.71"/>
    <col customWidth="1" min="231" max="231" width="12.86"/>
    <col customWidth="1" min="232" max="232" width="12.0"/>
    <col customWidth="1" min="233" max="233" width="16.0"/>
    <col customWidth="1" min="234" max="234" width="19.86"/>
    <col customWidth="1" min="235" max="235" width="11.29"/>
    <col customWidth="1" min="236" max="236" width="17.29"/>
    <col customWidth="1" min="237" max="237" width="21.14"/>
    <col customWidth="1" min="238" max="238" width="2.71"/>
    <col customWidth="1" min="239" max="239" width="5.71"/>
    <col customWidth="1" min="240" max="240" width="28.29"/>
    <col customWidth="1" min="241" max="241" width="14.71"/>
    <col customWidth="1" min="242" max="242" width="13.57"/>
    <col customWidth="1" min="243" max="243" width="13.29"/>
    <col customWidth="1" min="244" max="244" width="14.14"/>
    <col customWidth="1" min="245" max="245" width="19.57"/>
    <col customWidth="1" min="246" max="246" width="10.71"/>
    <col customWidth="1" min="247" max="247" width="18.71"/>
    <col customWidth="1" min="248" max="248" width="12.86"/>
    <col customWidth="1" min="249" max="249" width="12.0"/>
    <col customWidth="1" min="250" max="250" width="16.0"/>
    <col customWidth="1" min="251" max="251" width="19.86"/>
    <col customWidth="1" min="252" max="252" width="11.29"/>
    <col customWidth="1" min="253" max="253" width="17.29"/>
    <col customWidth="1" min="254" max="254" width="21.14"/>
    <col customWidth="1" min="255" max="255" width="2.71"/>
    <col customWidth="1" min="256" max="256" width="5.71"/>
    <col customWidth="1" min="257" max="257" width="28.29"/>
    <col customWidth="1" min="258" max="258" width="14.71"/>
    <col customWidth="1" min="259" max="259" width="13.57"/>
    <col customWidth="1" min="260" max="260" width="13.29"/>
    <col customWidth="1" min="261" max="261" width="14.14"/>
    <col customWidth="1" min="262" max="262" width="19.57"/>
    <col customWidth="1" min="263" max="263" width="10.71"/>
    <col customWidth="1" min="264" max="264" width="18.71"/>
    <col customWidth="1" min="265" max="265" width="12.86"/>
    <col customWidth="1" min="266" max="266" width="12.0"/>
    <col customWidth="1" min="267" max="267" width="16.0"/>
    <col customWidth="1" min="268" max="268" width="19.86"/>
    <col customWidth="1" min="269" max="269" width="11.29"/>
    <col customWidth="1" min="270" max="270" width="17.29"/>
    <col customWidth="1" min="271" max="271" width="21.14"/>
    <col customWidth="1" min="272" max="272" width="2.71"/>
    <col customWidth="1" min="273" max="273" width="5.71"/>
    <col customWidth="1" min="274" max="274" width="28.29"/>
    <col customWidth="1" min="275" max="275" width="14.71"/>
    <col customWidth="1" min="276" max="276" width="13.57"/>
    <col customWidth="1" min="277" max="277" width="13.29"/>
    <col customWidth="1" min="278" max="278" width="14.14"/>
    <col customWidth="1" min="279" max="279" width="19.57"/>
    <col customWidth="1" min="280" max="280" width="10.71"/>
    <col customWidth="1" min="281" max="281" width="18.71"/>
    <col customWidth="1" min="282" max="282" width="12.86"/>
    <col customWidth="1" min="283" max="283" width="12.0"/>
    <col customWidth="1" min="284" max="284" width="16.0"/>
    <col customWidth="1" min="285" max="285" width="19.86"/>
    <col customWidth="1" min="286" max="286" width="11.29"/>
    <col customWidth="1" min="287" max="287" width="17.29"/>
    <col customWidth="1" min="288" max="288" width="21.14"/>
    <col customWidth="1" min="289" max="289" width="2.71"/>
    <col customWidth="1" min="290" max="290" width="5.71"/>
    <col customWidth="1" min="291" max="291" width="28.29"/>
    <col customWidth="1" min="292" max="292" width="14.71"/>
    <col customWidth="1" min="293" max="293" width="13.57"/>
    <col customWidth="1" min="294" max="294" width="13.29"/>
    <col customWidth="1" min="295" max="295" width="14.14"/>
    <col customWidth="1" min="296" max="296" width="19.57"/>
    <col customWidth="1" min="297" max="297" width="10.71"/>
    <col customWidth="1" min="298" max="298" width="18.71"/>
    <col customWidth="1" min="299" max="299" width="12.86"/>
    <col customWidth="1" min="300" max="300" width="12.0"/>
    <col customWidth="1" min="301" max="301" width="16.0"/>
    <col customWidth="1" min="302" max="302" width="19.86"/>
    <col customWidth="1" min="303" max="303" width="11.29"/>
    <col customWidth="1" min="304" max="304" width="17.29"/>
    <col customWidth="1" min="305" max="305" width="21.14"/>
    <col customWidth="1" min="306" max="306" width="2.71"/>
    <col customWidth="1" min="307" max="307" width="3.86"/>
  </cols>
  <sheetData>
    <row r="1" ht="21.0" customHeight="1">
      <c r="A1" s="29" t="s">
        <v>22</v>
      </c>
      <c r="B1" s="30" t="s">
        <v>23</v>
      </c>
      <c r="C1" s="31"/>
      <c r="D1" s="32">
        <v>2010.0</v>
      </c>
      <c r="E1" s="32">
        <v>2012.0</v>
      </c>
      <c r="F1" s="32">
        <v>2014.0</v>
      </c>
      <c r="G1" s="32">
        <v>2016.0</v>
      </c>
      <c r="H1" s="32">
        <v>2018.0</v>
      </c>
      <c r="I1" s="32">
        <v>2020.0</v>
      </c>
      <c r="J1" s="32">
        <v>2022.0</v>
      </c>
      <c r="K1" s="32">
        <v>2024.0</v>
      </c>
      <c r="L1" s="33"/>
      <c r="M1" s="34"/>
      <c r="N1" s="35"/>
      <c r="O1" s="35"/>
      <c r="P1" s="36"/>
      <c r="Q1" s="37"/>
      <c r="R1" s="35"/>
      <c r="S1" s="35"/>
      <c r="T1" s="35"/>
      <c r="U1" s="32">
        <v>2010.0</v>
      </c>
      <c r="V1" s="32">
        <v>2012.0</v>
      </c>
      <c r="W1" s="32">
        <v>2014.0</v>
      </c>
      <c r="X1" s="32">
        <v>2016.0</v>
      </c>
      <c r="Y1" s="32">
        <v>2018.0</v>
      </c>
      <c r="Z1" s="32">
        <v>2020.0</v>
      </c>
      <c r="AA1" s="32">
        <v>2022.0</v>
      </c>
      <c r="AB1" s="32">
        <v>2024.0</v>
      </c>
      <c r="AC1" s="35"/>
      <c r="AD1" s="35"/>
      <c r="AE1" s="35"/>
      <c r="AF1" s="35"/>
      <c r="AG1" s="36"/>
      <c r="AH1" s="37"/>
      <c r="AI1" s="35"/>
      <c r="AJ1" s="35"/>
      <c r="AK1" s="35"/>
      <c r="AL1" s="32">
        <v>2010.0</v>
      </c>
      <c r="AM1" s="32">
        <v>2012.0</v>
      </c>
      <c r="AN1" s="32">
        <v>2014.0</v>
      </c>
      <c r="AO1" s="32">
        <v>2016.0</v>
      </c>
      <c r="AP1" s="32">
        <v>2018.0</v>
      </c>
      <c r="AQ1" s="32">
        <v>2020.0</v>
      </c>
      <c r="AR1" s="32">
        <v>2022.0</v>
      </c>
      <c r="AS1" s="32">
        <v>2024.0</v>
      </c>
      <c r="AT1" s="35"/>
      <c r="AU1" s="35"/>
      <c r="AV1" s="35"/>
      <c r="AW1" s="35"/>
      <c r="AX1" s="36"/>
      <c r="AY1" s="37"/>
      <c r="AZ1" s="35"/>
      <c r="BA1" s="35"/>
      <c r="BB1" s="35"/>
      <c r="BC1" s="32">
        <v>2010.0</v>
      </c>
      <c r="BD1" s="32">
        <v>2012.0</v>
      </c>
      <c r="BE1" s="32">
        <v>2014.0</v>
      </c>
      <c r="BF1" s="32">
        <v>2016.0</v>
      </c>
      <c r="BG1" s="32">
        <v>2018.0</v>
      </c>
      <c r="BH1" s="32">
        <v>2020.0</v>
      </c>
      <c r="BI1" s="32">
        <v>2022.0</v>
      </c>
      <c r="BJ1" s="32">
        <v>2024.0</v>
      </c>
      <c r="BK1" s="35"/>
      <c r="BL1" s="35"/>
      <c r="BM1" s="35"/>
      <c r="BN1" s="35"/>
      <c r="BO1" s="36"/>
      <c r="BP1" s="37"/>
      <c r="BQ1" s="35"/>
      <c r="BR1" s="35"/>
      <c r="BS1" s="35"/>
      <c r="BT1" s="32">
        <v>2010.0</v>
      </c>
      <c r="BU1" s="32">
        <v>2012.0</v>
      </c>
      <c r="BV1" s="32">
        <v>2014.0</v>
      </c>
      <c r="BW1" s="32">
        <v>2016.0</v>
      </c>
      <c r="BX1" s="32">
        <v>2018.0</v>
      </c>
      <c r="BY1" s="32">
        <v>2020.0</v>
      </c>
      <c r="BZ1" s="32">
        <v>2022.0</v>
      </c>
      <c r="CA1" s="32">
        <v>2024.0</v>
      </c>
      <c r="CB1" s="35"/>
      <c r="CC1" s="35"/>
      <c r="CD1" s="35"/>
      <c r="CE1" s="35"/>
      <c r="CF1" s="36"/>
      <c r="CG1" s="37"/>
      <c r="CH1" s="35"/>
      <c r="CI1" s="35"/>
      <c r="CJ1" s="35"/>
      <c r="CK1" s="32">
        <v>2010.0</v>
      </c>
      <c r="CL1" s="32">
        <v>2012.0</v>
      </c>
      <c r="CM1" s="32">
        <v>2014.0</v>
      </c>
      <c r="CN1" s="32">
        <v>2016.0</v>
      </c>
      <c r="CO1" s="32">
        <v>2018.0</v>
      </c>
      <c r="CP1" s="32">
        <v>2020.0</v>
      </c>
      <c r="CQ1" s="32">
        <v>2022.0</v>
      </c>
      <c r="CR1" s="32">
        <v>2024.0</v>
      </c>
      <c r="CS1" s="35"/>
      <c r="CT1" s="35"/>
      <c r="CU1" s="35"/>
      <c r="CV1" s="35"/>
      <c r="CW1" s="36"/>
      <c r="CX1" s="37"/>
      <c r="CY1" s="35"/>
      <c r="CZ1" s="35"/>
      <c r="DA1" s="35"/>
      <c r="DB1" s="32">
        <v>2010.0</v>
      </c>
      <c r="DC1" s="32">
        <v>2012.0</v>
      </c>
      <c r="DD1" s="32">
        <v>2014.0</v>
      </c>
      <c r="DE1" s="32">
        <v>2016.0</v>
      </c>
      <c r="DF1" s="32">
        <v>2018.0</v>
      </c>
      <c r="DG1" s="32">
        <v>2020.0</v>
      </c>
      <c r="DH1" s="32">
        <v>2022.0</v>
      </c>
      <c r="DI1" s="32">
        <v>2024.0</v>
      </c>
      <c r="DJ1" s="35"/>
      <c r="DK1" s="35"/>
      <c r="DL1" s="35"/>
      <c r="DM1" s="35"/>
      <c r="DN1" s="36"/>
      <c r="DO1" s="37"/>
      <c r="DP1" s="35"/>
      <c r="DQ1" s="35"/>
      <c r="DR1" s="35"/>
      <c r="DS1" s="32">
        <v>2010.0</v>
      </c>
      <c r="DT1" s="32">
        <v>2012.0</v>
      </c>
      <c r="DU1" s="32">
        <v>2014.0</v>
      </c>
      <c r="DV1" s="32">
        <v>2016.0</v>
      </c>
      <c r="DW1" s="32">
        <v>2018.0</v>
      </c>
      <c r="DX1" s="32">
        <v>2020.0</v>
      </c>
      <c r="DY1" s="32">
        <v>2022.0</v>
      </c>
      <c r="DZ1" s="32">
        <v>2024.0</v>
      </c>
      <c r="EA1" s="35"/>
      <c r="EB1" s="35"/>
      <c r="EC1" s="35"/>
      <c r="ED1" s="35"/>
      <c r="EE1" s="36"/>
      <c r="EF1" s="37"/>
      <c r="EG1" s="35"/>
      <c r="EH1" s="35"/>
      <c r="EI1" s="35"/>
      <c r="EJ1" s="32">
        <v>2010.0</v>
      </c>
      <c r="EK1" s="32">
        <v>2012.0</v>
      </c>
      <c r="EL1" s="32">
        <v>2014.0</v>
      </c>
      <c r="EM1" s="32">
        <v>2016.0</v>
      </c>
      <c r="EN1" s="32">
        <v>2018.0</v>
      </c>
      <c r="EO1" s="32">
        <v>2020.0</v>
      </c>
      <c r="EP1" s="32">
        <v>2022.0</v>
      </c>
      <c r="EQ1" s="32">
        <v>2024.0</v>
      </c>
      <c r="ER1" s="35"/>
      <c r="ES1" s="35"/>
      <c r="ET1" s="35"/>
      <c r="EU1" s="35"/>
      <c r="EV1" s="36"/>
      <c r="EW1" s="37"/>
      <c r="EX1" s="35"/>
      <c r="EY1" s="35"/>
      <c r="EZ1" s="35"/>
      <c r="FA1" s="32">
        <v>2010.0</v>
      </c>
      <c r="FB1" s="32">
        <v>2012.0</v>
      </c>
      <c r="FC1" s="32">
        <v>2014.0</v>
      </c>
      <c r="FD1" s="32">
        <v>2016.0</v>
      </c>
      <c r="FE1" s="32">
        <v>2018.0</v>
      </c>
      <c r="FF1" s="32">
        <v>2020.0</v>
      </c>
      <c r="FG1" s="32">
        <v>2022.0</v>
      </c>
      <c r="FH1" s="32">
        <v>2024.0</v>
      </c>
      <c r="FI1" s="35"/>
      <c r="FJ1" s="35"/>
      <c r="FK1" s="35"/>
      <c r="FL1" s="35"/>
      <c r="FM1" s="36"/>
      <c r="FN1" s="37"/>
      <c r="FO1" s="35"/>
      <c r="FP1" s="35"/>
      <c r="FQ1" s="35"/>
      <c r="FR1" s="32">
        <v>2010.0</v>
      </c>
      <c r="FS1" s="32">
        <v>2012.0</v>
      </c>
      <c r="FT1" s="32">
        <v>2014.0</v>
      </c>
      <c r="FU1" s="32">
        <v>2016.0</v>
      </c>
      <c r="FV1" s="32">
        <v>2018.0</v>
      </c>
      <c r="FW1" s="32">
        <v>2020.0</v>
      </c>
      <c r="FX1" s="32">
        <v>2022.0</v>
      </c>
      <c r="FY1" s="32">
        <v>2024.0</v>
      </c>
      <c r="FZ1" s="35"/>
      <c r="GA1" s="35"/>
      <c r="GB1" s="35"/>
      <c r="GC1" s="35"/>
      <c r="GD1" s="36"/>
      <c r="GE1" s="37"/>
      <c r="GF1" s="35"/>
      <c r="GG1" s="35"/>
      <c r="GH1" s="35"/>
      <c r="GI1" s="32">
        <v>2010.0</v>
      </c>
      <c r="GJ1" s="32">
        <v>2012.0</v>
      </c>
      <c r="GK1" s="32">
        <v>2014.0</v>
      </c>
      <c r="GL1" s="32">
        <v>2016.0</v>
      </c>
      <c r="GM1" s="32">
        <v>2018.0</v>
      </c>
      <c r="GN1" s="32">
        <v>2020.0</v>
      </c>
      <c r="GO1" s="32">
        <v>2022.0</v>
      </c>
      <c r="GP1" s="32">
        <v>2024.0</v>
      </c>
      <c r="GQ1" s="35"/>
      <c r="GR1" s="38">
        <v>312703.4034868826</v>
      </c>
      <c r="GS1" s="35"/>
      <c r="GT1" s="35"/>
      <c r="GU1" s="36"/>
      <c r="GV1" s="37"/>
      <c r="GW1" s="35"/>
      <c r="GX1" s="35"/>
      <c r="GY1" s="35"/>
      <c r="GZ1" s="32">
        <v>2010.0</v>
      </c>
      <c r="HA1" s="32">
        <v>2012.0</v>
      </c>
      <c r="HB1" s="32">
        <v>2014.0</v>
      </c>
      <c r="HC1" s="32">
        <v>2016.0</v>
      </c>
      <c r="HD1" s="32">
        <v>2018.0</v>
      </c>
      <c r="HE1" s="32">
        <v>2020.0</v>
      </c>
      <c r="HF1" s="32">
        <v>2022.0</v>
      </c>
      <c r="HG1" s="32">
        <v>2024.0</v>
      </c>
      <c r="HH1" s="35"/>
      <c r="HI1" s="35"/>
      <c r="HJ1" s="35"/>
      <c r="HK1" s="35"/>
      <c r="HL1" s="36"/>
      <c r="HM1" s="37"/>
      <c r="HN1" s="35"/>
      <c r="HO1" s="35"/>
      <c r="HP1" s="35"/>
      <c r="HQ1" s="32">
        <v>2010.0</v>
      </c>
      <c r="HR1" s="32">
        <v>2012.0</v>
      </c>
      <c r="HS1" s="32">
        <v>2014.0</v>
      </c>
      <c r="HT1" s="32">
        <v>2016.0</v>
      </c>
      <c r="HU1" s="32">
        <v>2018.0</v>
      </c>
      <c r="HV1" s="32">
        <v>2020.0</v>
      </c>
      <c r="HW1" s="32">
        <v>2022.0</v>
      </c>
      <c r="HX1" s="32">
        <v>2024.0</v>
      </c>
      <c r="HY1" s="35"/>
      <c r="HZ1" s="35"/>
      <c r="IA1" s="35"/>
      <c r="IB1" s="35"/>
      <c r="IC1" s="36"/>
      <c r="ID1" s="37"/>
      <c r="IE1" s="35"/>
      <c r="IF1" s="35"/>
      <c r="IG1" s="35"/>
      <c r="IH1" s="32">
        <v>2010.0</v>
      </c>
      <c r="II1" s="32">
        <v>2012.0</v>
      </c>
      <c r="IJ1" s="32">
        <v>2014.0</v>
      </c>
      <c r="IK1" s="32">
        <v>2016.0</v>
      </c>
      <c r="IL1" s="32">
        <v>2018.0</v>
      </c>
      <c r="IM1" s="32">
        <v>2020.0</v>
      </c>
      <c r="IN1" s="32">
        <v>2022.0</v>
      </c>
      <c r="IO1" s="32">
        <v>2024.0</v>
      </c>
      <c r="IP1" s="35"/>
      <c r="IQ1" s="35"/>
      <c r="IR1" s="35"/>
      <c r="IS1" s="35"/>
      <c r="IT1" s="36"/>
      <c r="IU1" s="37"/>
      <c r="IV1" s="35"/>
      <c r="IW1" s="35"/>
      <c r="IX1" s="35"/>
      <c r="IY1" s="32">
        <v>2010.0</v>
      </c>
      <c r="IZ1" s="32">
        <v>2012.0</v>
      </c>
      <c r="JA1" s="32">
        <v>2014.0</v>
      </c>
      <c r="JB1" s="32">
        <v>2016.0</v>
      </c>
      <c r="JC1" s="32">
        <v>2018.0</v>
      </c>
      <c r="JD1" s="32">
        <v>2020.0</v>
      </c>
      <c r="JE1" s="32">
        <v>2022.0</v>
      </c>
      <c r="JF1" s="32">
        <v>2024.0</v>
      </c>
      <c r="JG1" s="35"/>
      <c r="JH1" s="35"/>
      <c r="JI1" s="35"/>
      <c r="JJ1" s="35"/>
      <c r="JK1" s="36"/>
      <c r="JL1" s="37"/>
      <c r="JM1" s="35"/>
      <c r="JN1" s="35"/>
      <c r="JO1" s="35"/>
      <c r="JP1" s="32">
        <v>2010.0</v>
      </c>
      <c r="JQ1" s="32">
        <v>2012.0</v>
      </c>
      <c r="JR1" s="32">
        <v>2014.0</v>
      </c>
      <c r="JS1" s="32">
        <v>2016.0</v>
      </c>
      <c r="JT1" s="32">
        <v>2018.0</v>
      </c>
      <c r="JU1" s="32">
        <v>2020.0</v>
      </c>
      <c r="JV1" s="32">
        <v>2022.0</v>
      </c>
      <c r="JW1" s="32">
        <v>2024.0</v>
      </c>
      <c r="JX1" s="35"/>
      <c r="JY1" s="35"/>
      <c r="JZ1" s="35"/>
      <c r="KA1" s="35"/>
      <c r="KB1" s="36"/>
      <c r="KC1" s="37"/>
      <c r="KD1" s="35"/>
      <c r="KE1" s="35"/>
      <c r="KF1" s="35"/>
      <c r="KG1" s="32">
        <v>2010.0</v>
      </c>
      <c r="KH1" s="32">
        <v>2012.0</v>
      </c>
      <c r="KI1" s="32">
        <v>2014.0</v>
      </c>
      <c r="KJ1" s="32">
        <v>2016.0</v>
      </c>
      <c r="KK1" s="32">
        <v>2018.0</v>
      </c>
      <c r="KL1" s="32">
        <v>2020.0</v>
      </c>
      <c r="KM1" s="32">
        <v>2022.0</v>
      </c>
      <c r="KN1" s="32">
        <v>2024.0</v>
      </c>
      <c r="KO1" s="35"/>
      <c r="KP1" s="35"/>
      <c r="KQ1" s="35"/>
      <c r="KR1" s="35"/>
      <c r="KS1" s="36"/>
      <c r="KT1" s="37"/>
      <c r="KU1" s="36"/>
    </row>
    <row r="2" ht="21.0" customHeight="1">
      <c r="A2" s="39"/>
      <c r="B2" s="40"/>
      <c r="C2" s="41"/>
      <c r="D2" s="42">
        <v>2011.0</v>
      </c>
      <c r="E2" s="42">
        <v>2013.0</v>
      </c>
      <c r="F2" s="42">
        <v>2015.0</v>
      </c>
      <c r="G2" s="42">
        <v>2017.0</v>
      </c>
      <c r="H2" s="42">
        <v>2019.0</v>
      </c>
      <c r="I2" s="42">
        <v>2021.0</v>
      </c>
      <c r="J2" s="42">
        <v>2023.0</v>
      </c>
      <c r="K2" s="42">
        <v>2025.0</v>
      </c>
      <c r="L2" s="43"/>
      <c r="M2" s="34"/>
      <c r="N2" s="35"/>
      <c r="O2" s="35"/>
      <c r="P2" s="36"/>
      <c r="Q2" s="37"/>
      <c r="R2" s="35"/>
      <c r="S2" s="35"/>
      <c r="T2" s="35"/>
      <c r="U2" s="42">
        <v>2011.0</v>
      </c>
      <c r="V2" s="42">
        <v>2013.0</v>
      </c>
      <c r="W2" s="42">
        <v>2015.0</v>
      </c>
      <c r="X2" s="42">
        <v>2017.0</v>
      </c>
      <c r="Y2" s="42">
        <v>2019.0</v>
      </c>
      <c r="Z2" s="42">
        <v>2021.0</v>
      </c>
      <c r="AA2" s="42">
        <v>2023.0</v>
      </c>
      <c r="AB2" s="42">
        <v>2025.0</v>
      </c>
      <c r="AC2" s="35"/>
      <c r="AD2" s="35"/>
      <c r="AE2" s="35"/>
      <c r="AF2" s="35"/>
      <c r="AG2" s="36"/>
      <c r="AH2" s="37"/>
      <c r="AI2" s="35"/>
      <c r="AJ2" s="35"/>
      <c r="AK2" s="35"/>
      <c r="AL2" s="42">
        <v>2011.0</v>
      </c>
      <c r="AM2" s="42">
        <v>2013.0</v>
      </c>
      <c r="AN2" s="42">
        <v>2015.0</v>
      </c>
      <c r="AO2" s="42">
        <v>2017.0</v>
      </c>
      <c r="AP2" s="42">
        <v>2019.0</v>
      </c>
      <c r="AQ2" s="42">
        <v>2021.0</v>
      </c>
      <c r="AR2" s="42">
        <v>2023.0</v>
      </c>
      <c r="AS2" s="42">
        <v>2025.0</v>
      </c>
      <c r="AT2" s="35"/>
      <c r="AU2" s="35"/>
      <c r="AV2" s="35"/>
      <c r="AW2" s="35"/>
      <c r="AX2" s="36"/>
      <c r="AY2" s="37"/>
      <c r="AZ2" s="35"/>
      <c r="BA2" s="35"/>
      <c r="BB2" s="35"/>
      <c r="BC2" s="42">
        <v>2011.0</v>
      </c>
      <c r="BD2" s="42">
        <v>2013.0</v>
      </c>
      <c r="BE2" s="42">
        <v>2015.0</v>
      </c>
      <c r="BF2" s="42">
        <v>2017.0</v>
      </c>
      <c r="BG2" s="42">
        <v>2019.0</v>
      </c>
      <c r="BH2" s="42">
        <v>2021.0</v>
      </c>
      <c r="BI2" s="42">
        <v>2023.0</v>
      </c>
      <c r="BJ2" s="42">
        <v>2025.0</v>
      </c>
      <c r="BK2" s="35"/>
      <c r="BL2" s="35"/>
      <c r="BM2" s="35"/>
      <c r="BN2" s="35"/>
      <c r="BO2" s="36"/>
      <c r="BP2" s="37"/>
      <c r="BQ2" s="35"/>
      <c r="BR2" s="35"/>
      <c r="BS2" s="35"/>
      <c r="BT2" s="42">
        <v>2011.0</v>
      </c>
      <c r="BU2" s="42">
        <v>2013.0</v>
      </c>
      <c r="BV2" s="42">
        <v>2015.0</v>
      </c>
      <c r="BW2" s="42">
        <v>2017.0</v>
      </c>
      <c r="BX2" s="42">
        <v>2019.0</v>
      </c>
      <c r="BY2" s="42">
        <v>2021.0</v>
      </c>
      <c r="BZ2" s="42">
        <v>2023.0</v>
      </c>
      <c r="CA2" s="42">
        <v>2025.0</v>
      </c>
      <c r="CB2" s="35"/>
      <c r="CC2" s="35"/>
      <c r="CD2" s="35"/>
      <c r="CE2" s="35"/>
      <c r="CF2" s="36"/>
      <c r="CG2" s="37"/>
      <c r="CH2" s="35"/>
      <c r="CI2" s="35"/>
      <c r="CJ2" s="35"/>
      <c r="CK2" s="42">
        <v>2011.0</v>
      </c>
      <c r="CL2" s="42">
        <v>2013.0</v>
      </c>
      <c r="CM2" s="42">
        <v>2015.0</v>
      </c>
      <c r="CN2" s="42">
        <v>2017.0</v>
      </c>
      <c r="CO2" s="42">
        <v>2019.0</v>
      </c>
      <c r="CP2" s="42">
        <v>2021.0</v>
      </c>
      <c r="CQ2" s="42">
        <v>2023.0</v>
      </c>
      <c r="CR2" s="42">
        <v>2025.0</v>
      </c>
      <c r="CS2" s="35"/>
      <c r="CT2" s="35"/>
      <c r="CU2" s="35"/>
      <c r="CV2" s="35"/>
      <c r="CW2" s="36"/>
      <c r="CX2" s="37"/>
      <c r="CY2" s="35"/>
      <c r="CZ2" s="35"/>
      <c r="DA2" s="35"/>
      <c r="DB2" s="42">
        <v>2011.0</v>
      </c>
      <c r="DC2" s="42">
        <v>2013.0</v>
      </c>
      <c r="DD2" s="42">
        <v>2015.0</v>
      </c>
      <c r="DE2" s="42">
        <v>2017.0</v>
      </c>
      <c r="DF2" s="42">
        <v>2019.0</v>
      </c>
      <c r="DG2" s="42">
        <v>2021.0</v>
      </c>
      <c r="DH2" s="42">
        <v>2023.0</v>
      </c>
      <c r="DI2" s="42">
        <v>2025.0</v>
      </c>
      <c r="DJ2" s="35"/>
      <c r="DK2" s="35"/>
      <c r="DL2" s="35"/>
      <c r="DM2" s="35"/>
      <c r="DN2" s="36"/>
      <c r="DO2" s="37"/>
      <c r="DP2" s="35"/>
      <c r="DQ2" s="35"/>
      <c r="DR2" s="35"/>
      <c r="DS2" s="42">
        <v>2011.0</v>
      </c>
      <c r="DT2" s="42">
        <v>2013.0</v>
      </c>
      <c r="DU2" s="42">
        <v>2015.0</v>
      </c>
      <c r="DV2" s="42">
        <v>2017.0</v>
      </c>
      <c r="DW2" s="42">
        <v>2019.0</v>
      </c>
      <c r="DX2" s="42">
        <v>2021.0</v>
      </c>
      <c r="DY2" s="42">
        <v>2023.0</v>
      </c>
      <c r="DZ2" s="42">
        <v>2025.0</v>
      </c>
      <c r="EA2" s="35"/>
      <c r="EB2" s="35"/>
      <c r="EC2" s="35"/>
      <c r="ED2" s="35"/>
      <c r="EE2" s="36"/>
      <c r="EF2" s="37"/>
      <c r="EG2" s="35"/>
      <c r="EH2" s="35"/>
      <c r="EI2" s="35"/>
      <c r="EJ2" s="42">
        <v>2011.0</v>
      </c>
      <c r="EK2" s="42">
        <v>2013.0</v>
      </c>
      <c r="EL2" s="42">
        <v>2015.0</v>
      </c>
      <c r="EM2" s="42">
        <v>2017.0</v>
      </c>
      <c r="EN2" s="42">
        <v>2019.0</v>
      </c>
      <c r="EO2" s="42">
        <v>2021.0</v>
      </c>
      <c r="EP2" s="42">
        <v>2023.0</v>
      </c>
      <c r="EQ2" s="42">
        <v>2025.0</v>
      </c>
      <c r="ER2" s="35"/>
      <c r="ES2" s="35"/>
      <c r="ET2" s="35"/>
      <c r="EU2" s="35"/>
      <c r="EV2" s="36"/>
      <c r="EW2" s="37"/>
      <c r="EX2" s="35"/>
      <c r="EY2" s="35"/>
      <c r="EZ2" s="35"/>
      <c r="FA2" s="42">
        <v>2011.0</v>
      </c>
      <c r="FB2" s="42">
        <v>2013.0</v>
      </c>
      <c r="FC2" s="42">
        <v>2015.0</v>
      </c>
      <c r="FD2" s="42">
        <v>2017.0</v>
      </c>
      <c r="FE2" s="42">
        <v>2019.0</v>
      </c>
      <c r="FF2" s="42">
        <v>2021.0</v>
      </c>
      <c r="FG2" s="42">
        <v>2023.0</v>
      </c>
      <c r="FH2" s="42">
        <v>2025.0</v>
      </c>
      <c r="FI2" s="35"/>
      <c r="FJ2" s="35"/>
      <c r="FK2" s="35"/>
      <c r="FL2" s="35"/>
      <c r="FM2" s="36"/>
      <c r="FN2" s="37"/>
      <c r="FO2" s="35"/>
      <c r="FP2" s="35"/>
      <c r="FQ2" s="35"/>
      <c r="FR2" s="42">
        <v>2011.0</v>
      </c>
      <c r="FS2" s="42">
        <v>2013.0</v>
      </c>
      <c r="FT2" s="42">
        <v>2015.0</v>
      </c>
      <c r="FU2" s="42">
        <v>2017.0</v>
      </c>
      <c r="FV2" s="42">
        <v>2019.0</v>
      </c>
      <c r="FW2" s="42">
        <v>2021.0</v>
      </c>
      <c r="FX2" s="42">
        <v>2023.0</v>
      </c>
      <c r="FY2" s="42">
        <v>2025.0</v>
      </c>
      <c r="FZ2" s="35"/>
      <c r="GA2" s="35"/>
      <c r="GB2" s="35"/>
      <c r="GC2" s="35"/>
      <c r="GD2" s="36"/>
      <c r="GE2" s="37"/>
      <c r="GF2" s="35"/>
      <c r="GG2" s="35"/>
      <c r="GH2" s="35"/>
      <c r="GI2" s="42">
        <v>2011.0</v>
      </c>
      <c r="GJ2" s="42">
        <v>2013.0</v>
      </c>
      <c r="GK2" s="42">
        <v>2015.0</v>
      </c>
      <c r="GL2" s="42">
        <v>2017.0</v>
      </c>
      <c r="GM2" s="42">
        <v>2019.0</v>
      </c>
      <c r="GN2" s="42">
        <v>2021.0</v>
      </c>
      <c r="GO2" s="42">
        <v>2023.0</v>
      </c>
      <c r="GP2" s="42">
        <v>2025.0</v>
      </c>
      <c r="GQ2" s="35"/>
      <c r="GR2" s="35"/>
      <c r="GS2" s="35"/>
      <c r="GT2" s="35"/>
      <c r="GU2" s="36"/>
      <c r="GV2" s="37"/>
      <c r="GW2" s="35"/>
      <c r="GX2" s="35"/>
      <c r="GY2" s="35"/>
      <c r="GZ2" s="42">
        <v>2011.0</v>
      </c>
      <c r="HA2" s="42">
        <v>2013.0</v>
      </c>
      <c r="HB2" s="42">
        <v>2015.0</v>
      </c>
      <c r="HC2" s="42">
        <v>2017.0</v>
      </c>
      <c r="HD2" s="42">
        <v>2019.0</v>
      </c>
      <c r="HE2" s="42">
        <v>2021.0</v>
      </c>
      <c r="HF2" s="42">
        <v>2023.0</v>
      </c>
      <c r="HG2" s="42">
        <v>2025.0</v>
      </c>
      <c r="HH2" s="35"/>
      <c r="HI2" s="35"/>
      <c r="HJ2" s="35"/>
      <c r="HK2" s="35"/>
      <c r="HL2" s="36"/>
      <c r="HM2" s="37"/>
      <c r="HN2" s="35"/>
      <c r="HO2" s="35"/>
      <c r="HP2" s="35"/>
      <c r="HQ2" s="42">
        <v>2011.0</v>
      </c>
      <c r="HR2" s="42">
        <v>2013.0</v>
      </c>
      <c r="HS2" s="42">
        <v>2015.0</v>
      </c>
      <c r="HT2" s="42">
        <v>2017.0</v>
      </c>
      <c r="HU2" s="42">
        <v>2019.0</v>
      </c>
      <c r="HV2" s="42">
        <v>2021.0</v>
      </c>
      <c r="HW2" s="42">
        <v>2023.0</v>
      </c>
      <c r="HX2" s="42">
        <v>2025.0</v>
      </c>
      <c r="HY2" s="35"/>
      <c r="HZ2" s="35"/>
      <c r="IA2" s="35"/>
      <c r="IB2" s="35"/>
      <c r="IC2" s="36"/>
      <c r="ID2" s="37"/>
      <c r="IE2" s="35"/>
      <c r="IF2" s="35"/>
      <c r="IG2" s="35"/>
      <c r="IH2" s="42">
        <v>2011.0</v>
      </c>
      <c r="II2" s="42">
        <v>2013.0</v>
      </c>
      <c r="IJ2" s="42">
        <v>2015.0</v>
      </c>
      <c r="IK2" s="42">
        <v>2017.0</v>
      </c>
      <c r="IL2" s="42">
        <v>2019.0</v>
      </c>
      <c r="IM2" s="42">
        <v>2021.0</v>
      </c>
      <c r="IN2" s="42">
        <v>2023.0</v>
      </c>
      <c r="IO2" s="42">
        <v>2025.0</v>
      </c>
      <c r="IP2" s="35"/>
      <c r="IQ2" s="35"/>
      <c r="IR2" s="35"/>
      <c r="IS2" s="35"/>
      <c r="IT2" s="36"/>
      <c r="IU2" s="37"/>
      <c r="IV2" s="35"/>
      <c r="IW2" s="35"/>
      <c r="IX2" s="35"/>
      <c r="IY2" s="42">
        <v>2011.0</v>
      </c>
      <c r="IZ2" s="42">
        <v>2013.0</v>
      </c>
      <c r="JA2" s="42">
        <v>2015.0</v>
      </c>
      <c r="JB2" s="42">
        <v>2017.0</v>
      </c>
      <c r="JC2" s="42">
        <v>2019.0</v>
      </c>
      <c r="JD2" s="42">
        <v>2021.0</v>
      </c>
      <c r="JE2" s="42">
        <v>2023.0</v>
      </c>
      <c r="JF2" s="42">
        <v>2025.0</v>
      </c>
      <c r="JG2" s="35"/>
      <c r="JH2" s="35"/>
      <c r="JI2" s="35"/>
      <c r="JJ2" s="35"/>
      <c r="JK2" s="36"/>
      <c r="JL2" s="37"/>
      <c r="JM2" s="35"/>
      <c r="JN2" s="35"/>
      <c r="JO2" s="35"/>
      <c r="JP2" s="42">
        <v>2011.0</v>
      </c>
      <c r="JQ2" s="42">
        <v>2013.0</v>
      </c>
      <c r="JR2" s="42">
        <v>2015.0</v>
      </c>
      <c r="JS2" s="42">
        <v>2017.0</v>
      </c>
      <c r="JT2" s="42">
        <v>2019.0</v>
      </c>
      <c r="JU2" s="42">
        <v>2021.0</v>
      </c>
      <c r="JV2" s="42">
        <v>2023.0</v>
      </c>
      <c r="JW2" s="42">
        <v>2025.0</v>
      </c>
      <c r="JX2" s="35"/>
      <c r="JY2" s="35"/>
      <c r="JZ2" s="35"/>
      <c r="KA2" s="35"/>
      <c r="KB2" s="36"/>
      <c r="KC2" s="37"/>
      <c r="KD2" s="35"/>
      <c r="KE2" s="35"/>
      <c r="KF2" s="35"/>
      <c r="KG2" s="42">
        <v>2011.0</v>
      </c>
      <c r="KH2" s="42">
        <v>2013.0</v>
      </c>
      <c r="KI2" s="42">
        <v>2015.0</v>
      </c>
      <c r="KJ2" s="42">
        <v>2017.0</v>
      </c>
      <c r="KK2" s="42">
        <v>2019.0</v>
      </c>
      <c r="KL2" s="42">
        <v>2021.0</v>
      </c>
      <c r="KM2" s="42">
        <v>2023.0</v>
      </c>
      <c r="KN2" s="42">
        <v>2025.0</v>
      </c>
      <c r="KO2" s="35"/>
      <c r="KP2" s="35"/>
      <c r="KQ2" s="35"/>
      <c r="KR2" s="35"/>
      <c r="KS2" s="36"/>
      <c r="KT2" s="37"/>
      <c r="KU2" s="36"/>
    </row>
    <row r="3">
      <c r="A3" s="44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7"/>
      <c r="R3" s="44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7"/>
      <c r="AI3" s="44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7"/>
      <c r="AZ3" s="44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7"/>
      <c r="BQ3" s="44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  <c r="CD3" s="36"/>
      <c r="CE3" s="36"/>
      <c r="CF3" s="36"/>
      <c r="CG3" s="37"/>
      <c r="CH3" s="44"/>
      <c r="CI3" s="36"/>
      <c r="CJ3" s="36"/>
      <c r="CK3" s="36"/>
      <c r="CL3" s="36"/>
      <c r="CM3" s="36"/>
      <c r="CN3" s="36"/>
      <c r="CO3" s="36"/>
      <c r="CP3" s="36"/>
      <c r="CQ3" s="36"/>
      <c r="CR3" s="36"/>
      <c r="CS3" s="36"/>
      <c r="CT3" s="36"/>
      <c r="CU3" s="36"/>
      <c r="CV3" s="36"/>
      <c r="CW3" s="36"/>
      <c r="CX3" s="37"/>
      <c r="CY3" s="44"/>
      <c r="CZ3" s="36"/>
      <c r="DA3" s="36"/>
      <c r="DB3" s="36"/>
      <c r="DC3" s="36"/>
      <c r="DD3" s="36"/>
      <c r="DE3" s="36"/>
      <c r="DF3" s="36"/>
      <c r="DG3" s="36"/>
      <c r="DH3" s="36"/>
      <c r="DI3" s="36"/>
      <c r="DJ3" s="36"/>
      <c r="DK3" s="36"/>
      <c r="DL3" s="36"/>
      <c r="DM3" s="36"/>
      <c r="DN3" s="36"/>
      <c r="DO3" s="37"/>
      <c r="DP3" s="44"/>
      <c r="DQ3" s="36"/>
      <c r="DR3" s="36"/>
      <c r="DS3" s="36"/>
      <c r="DT3" s="36"/>
      <c r="DU3" s="36"/>
      <c r="DV3" s="36"/>
      <c r="DW3" s="36"/>
      <c r="DX3" s="36"/>
      <c r="DY3" s="36"/>
      <c r="DZ3" s="36"/>
      <c r="EA3" s="36"/>
      <c r="EB3" s="36"/>
      <c r="EC3" s="36"/>
      <c r="ED3" s="36"/>
      <c r="EE3" s="36"/>
      <c r="EF3" s="37"/>
      <c r="EG3" s="44"/>
      <c r="EH3" s="36"/>
      <c r="EI3" s="36"/>
      <c r="EJ3" s="36"/>
      <c r="EK3" s="36"/>
      <c r="EL3" s="36"/>
      <c r="EM3" s="36"/>
      <c r="EN3" s="36"/>
      <c r="EO3" s="36"/>
      <c r="EP3" s="36"/>
      <c r="EQ3" s="36"/>
      <c r="ER3" s="36"/>
      <c r="ES3" s="36"/>
      <c r="ET3" s="36"/>
      <c r="EU3" s="36"/>
      <c r="EV3" s="36"/>
      <c r="EW3" s="37"/>
      <c r="EX3" s="44"/>
      <c r="EY3" s="36"/>
      <c r="EZ3" s="36"/>
      <c r="FA3" s="36"/>
      <c r="FB3" s="36"/>
      <c r="FC3" s="36"/>
      <c r="FD3" s="36"/>
      <c r="FE3" s="36"/>
      <c r="FF3" s="36"/>
      <c r="FG3" s="36"/>
      <c r="FH3" s="36"/>
      <c r="FI3" s="36"/>
      <c r="FJ3" s="36"/>
      <c r="FK3" s="36"/>
      <c r="FL3" s="36"/>
      <c r="FM3" s="36"/>
      <c r="FN3" s="37"/>
      <c r="FO3" s="44"/>
      <c r="FP3" s="36"/>
      <c r="FQ3" s="36"/>
      <c r="FR3" s="36"/>
      <c r="FS3" s="36"/>
      <c r="FT3" s="36"/>
      <c r="FU3" s="36"/>
      <c r="FV3" s="36"/>
      <c r="FW3" s="36"/>
      <c r="FX3" s="36"/>
      <c r="FY3" s="36"/>
      <c r="FZ3" s="36"/>
      <c r="GA3" s="36"/>
      <c r="GB3" s="36"/>
      <c r="GC3" s="36"/>
      <c r="GD3" s="36"/>
      <c r="GE3" s="37"/>
      <c r="GF3" s="44"/>
      <c r="GG3" s="36"/>
      <c r="GH3" s="36"/>
      <c r="GI3" s="36"/>
      <c r="GJ3" s="36"/>
      <c r="GK3" s="36"/>
      <c r="GL3" s="36"/>
      <c r="GM3" s="36"/>
      <c r="GN3" s="36"/>
      <c r="GO3" s="36"/>
      <c r="GP3" s="36"/>
      <c r="GQ3" s="36"/>
      <c r="GR3" s="36"/>
      <c r="GS3" s="36"/>
      <c r="GT3" s="36"/>
      <c r="GU3" s="36"/>
      <c r="GV3" s="37"/>
      <c r="GW3" s="44"/>
      <c r="GX3" s="36"/>
      <c r="GY3" s="36"/>
      <c r="GZ3" s="36"/>
      <c r="HA3" s="36"/>
      <c r="HB3" s="36"/>
      <c r="HC3" s="36"/>
      <c r="HD3" s="36"/>
      <c r="HE3" s="36"/>
      <c r="HF3" s="36"/>
      <c r="HG3" s="36"/>
      <c r="HH3" s="36"/>
      <c r="HI3" s="36"/>
      <c r="HJ3" s="36"/>
      <c r="HK3" s="36"/>
      <c r="HL3" s="36"/>
      <c r="HM3" s="37"/>
      <c r="HN3" s="44"/>
      <c r="HO3" s="36"/>
      <c r="HP3" s="36"/>
      <c r="HQ3" s="36"/>
      <c r="HR3" s="36"/>
      <c r="HS3" s="36"/>
      <c r="HT3" s="36"/>
      <c r="HU3" s="36"/>
      <c r="HV3" s="36"/>
      <c r="HW3" s="36"/>
      <c r="HX3" s="36"/>
      <c r="HY3" s="36"/>
      <c r="HZ3" s="36"/>
      <c r="IA3" s="36"/>
      <c r="IB3" s="36"/>
      <c r="IC3" s="36"/>
      <c r="ID3" s="37"/>
      <c r="IE3" s="44"/>
      <c r="IF3" s="36"/>
      <c r="IG3" s="36"/>
      <c r="IH3" s="36"/>
      <c r="II3" s="36"/>
      <c r="IJ3" s="36"/>
      <c r="IK3" s="36"/>
      <c r="IL3" s="36"/>
      <c r="IM3" s="36"/>
      <c r="IN3" s="36"/>
      <c r="IO3" s="36"/>
      <c r="IP3" s="36"/>
      <c r="IQ3" s="36"/>
      <c r="IR3" s="36"/>
      <c r="IS3" s="36"/>
      <c r="IT3" s="36"/>
      <c r="IU3" s="37"/>
      <c r="IV3" s="44"/>
      <c r="IW3" s="36"/>
      <c r="IX3" s="36"/>
      <c r="IY3" s="36"/>
      <c r="IZ3" s="36"/>
      <c r="JA3" s="36"/>
      <c r="JB3" s="36"/>
      <c r="JC3" s="36"/>
      <c r="JD3" s="36"/>
      <c r="JE3" s="36"/>
      <c r="JF3" s="36"/>
      <c r="JG3" s="36"/>
      <c r="JH3" s="36"/>
      <c r="JI3" s="36"/>
      <c r="JJ3" s="36"/>
      <c r="JK3" s="36"/>
      <c r="JL3" s="37"/>
      <c r="JM3" s="44"/>
      <c r="JN3" s="36"/>
      <c r="JO3" s="36"/>
      <c r="JP3" s="36"/>
      <c r="JQ3" s="36"/>
      <c r="JR3" s="36"/>
      <c r="JS3" s="36"/>
      <c r="JT3" s="36"/>
      <c r="JU3" s="36"/>
      <c r="JV3" s="36"/>
      <c r="JW3" s="36"/>
      <c r="JX3" s="36"/>
      <c r="JY3" s="36"/>
      <c r="JZ3" s="36"/>
      <c r="KA3" s="36"/>
      <c r="KB3" s="36"/>
      <c r="KC3" s="37"/>
      <c r="KD3" s="44"/>
      <c r="KE3" s="36"/>
      <c r="KF3" s="36"/>
      <c r="KG3" s="36"/>
      <c r="KH3" s="36"/>
      <c r="KI3" s="36"/>
      <c r="KJ3" s="36"/>
      <c r="KK3" s="36"/>
      <c r="KL3" s="36"/>
      <c r="KM3" s="36"/>
      <c r="KN3" s="36"/>
      <c r="KO3" s="36"/>
      <c r="KP3" s="36"/>
      <c r="KQ3" s="36"/>
      <c r="KR3" s="36"/>
      <c r="KS3" s="36"/>
      <c r="KT3" s="37"/>
      <c r="KU3" s="36"/>
    </row>
    <row r="4" ht="15.0" customHeight="1">
      <c r="A4" s="45"/>
      <c r="B4" s="46" t="s">
        <v>24</v>
      </c>
      <c r="C4" s="46" t="str">
        <f>ADHK!C4</f>
        <v>: Provinsi Sulawesi Tenggara</v>
      </c>
      <c r="D4" s="46"/>
      <c r="E4" s="46"/>
      <c r="F4" s="46"/>
      <c r="G4" s="46" t="s">
        <v>25</v>
      </c>
      <c r="H4" s="46"/>
      <c r="I4" s="47"/>
      <c r="J4" s="48"/>
      <c r="K4" s="48"/>
      <c r="L4" s="48"/>
      <c r="M4" s="48"/>
      <c r="N4" s="48"/>
      <c r="O4" s="48"/>
      <c r="P4" s="49" t="s">
        <v>26</v>
      </c>
      <c r="Q4" s="50"/>
      <c r="R4" s="45"/>
      <c r="S4" s="46" t="s">
        <v>24</v>
      </c>
      <c r="T4" s="46" t="str">
        <f t="shared" ref="T4:T7" si="1">C4</f>
        <v>: Provinsi Sulawesi Tenggara</v>
      </c>
      <c r="U4" s="46"/>
      <c r="V4" s="46"/>
      <c r="W4" s="46"/>
      <c r="X4" s="46" t="s">
        <v>25</v>
      </c>
      <c r="Y4" s="46"/>
      <c r="Z4" s="47"/>
      <c r="AA4" s="48"/>
      <c r="AB4" s="48"/>
      <c r="AC4" s="48"/>
      <c r="AD4" s="48"/>
      <c r="AE4" s="48"/>
      <c r="AF4" s="48"/>
      <c r="AG4" s="49" t="s">
        <v>26</v>
      </c>
      <c r="AH4" s="50"/>
      <c r="AI4" s="45"/>
      <c r="AJ4" s="46" t="s">
        <v>24</v>
      </c>
      <c r="AK4" s="46" t="str">
        <f t="shared" ref="AK4:AK7" si="2">T4</f>
        <v>: Provinsi Sulawesi Tenggara</v>
      </c>
      <c r="AL4" s="46"/>
      <c r="AM4" s="46"/>
      <c r="AN4" s="46"/>
      <c r="AO4" s="46" t="s">
        <v>25</v>
      </c>
      <c r="AP4" s="46"/>
      <c r="AQ4" s="47"/>
      <c r="AR4" s="48"/>
      <c r="AS4" s="48"/>
      <c r="AT4" s="48"/>
      <c r="AU4" s="48"/>
      <c r="AV4" s="48"/>
      <c r="AW4" s="48"/>
      <c r="AX4" s="49" t="s">
        <v>26</v>
      </c>
      <c r="AY4" s="50"/>
      <c r="AZ4" s="45"/>
      <c r="BA4" s="46" t="s">
        <v>24</v>
      </c>
      <c r="BB4" s="46" t="str">
        <f t="shared" ref="BB4:BB7" si="3">AK4</f>
        <v>: Provinsi Sulawesi Tenggara</v>
      </c>
      <c r="BC4" s="46"/>
      <c r="BD4" s="46"/>
      <c r="BE4" s="46"/>
      <c r="BF4" s="46" t="s">
        <v>25</v>
      </c>
      <c r="BG4" s="46"/>
      <c r="BH4" s="47"/>
      <c r="BI4" s="48"/>
      <c r="BJ4" s="48"/>
      <c r="BK4" s="48"/>
      <c r="BL4" s="48"/>
      <c r="BM4" s="48"/>
      <c r="BN4" s="48"/>
      <c r="BO4" s="49" t="s">
        <v>26</v>
      </c>
      <c r="BP4" s="50"/>
      <c r="BQ4" s="45"/>
      <c r="BR4" s="46" t="s">
        <v>24</v>
      </c>
      <c r="BS4" s="46" t="str">
        <f t="shared" ref="BS4:BS7" si="4">BB4</f>
        <v>: Provinsi Sulawesi Tenggara</v>
      </c>
      <c r="BT4" s="46"/>
      <c r="BU4" s="46"/>
      <c r="BV4" s="46"/>
      <c r="BW4" s="46" t="s">
        <v>25</v>
      </c>
      <c r="BX4" s="46"/>
      <c r="BY4" s="47"/>
      <c r="BZ4" s="48"/>
      <c r="CA4" s="48"/>
      <c r="CB4" s="48"/>
      <c r="CC4" s="48"/>
      <c r="CD4" s="48"/>
      <c r="CE4" s="48"/>
      <c r="CF4" s="49" t="s">
        <v>26</v>
      </c>
      <c r="CG4" s="50"/>
      <c r="CH4" s="45"/>
      <c r="CI4" s="46" t="s">
        <v>24</v>
      </c>
      <c r="CJ4" s="46" t="str">
        <f t="shared" ref="CJ4:CJ7" si="5">BS4</f>
        <v>: Provinsi Sulawesi Tenggara</v>
      </c>
      <c r="CK4" s="46"/>
      <c r="CL4" s="46"/>
      <c r="CM4" s="46"/>
      <c r="CN4" s="46" t="s">
        <v>25</v>
      </c>
      <c r="CO4" s="46"/>
      <c r="CP4" s="47"/>
      <c r="CQ4" s="48"/>
      <c r="CR4" s="48"/>
      <c r="CS4" s="48"/>
      <c r="CT4" s="48"/>
      <c r="CU4" s="48"/>
      <c r="CV4" s="48"/>
      <c r="CW4" s="49" t="s">
        <v>26</v>
      </c>
      <c r="CX4" s="50"/>
      <c r="CY4" s="45"/>
      <c r="CZ4" s="46" t="s">
        <v>24</v>
      </c>
      <c r="DA4" s="46" t="str">
        <f t="shared" ref="DA4:DA7" si="6">CJ4</f>
        <v>: Provinsi Sulawesi Tenggara</v>
      </c>
      <c r="DB4" s="46"/>
      <c r="DC4" s="46"/>
      <c r="DD4" s="46"/>
      <c r="DE4" s="46" t="s">
        <v>25</v>
      </c>
      <c r="DF4" s="46"/>
      <c r="DG4" s="47"/>
      <c r="DH4" s="48"/>
      <c r="DI4" s="48"/>
      <c r="DJ4" s="48"/>
      <c r="DK4" s="48"/>
      <c r="DL4" s="48"/>
      <c r="DM4" s="48"/>
      <c r="DN4" s="49" t="s">
        <v>26</v>
      </c>
      <c r="DO4" s="50"/>
      <c r="DP4" s="45"/>
      <c r="DQ4" s="46" t="s">
        <v>24</v>
      </c>
      <c r="DR4" s="46" t="str">
        <f t="shared" ref="DR4:DR7" si="7">DA4</f>
        <v>: Provinsi Sulawesi Tenggara</v>
      </c>
      <c r="DS4" s="46"/>
      <c r="DT4" s="46"/>
      <c r="DU4" s="46"/>
      <c r="DV4" s="46" t="s">
        <v>25</v>
      </c>
      <c r="DW4" s="46"/>
      <c r="DX4" s="47"/>
      <c r="DY4" s="48"/>
      <c r="DZ4" s="48"/>
      <c r="EA4" s="48"/>
      <c r="EB4" s="48"/>
      <c r="EC4" s="48"/>
      <c r="ED4" s="48"/>
      <c r="EE4" s="49" t="s">
        <v>26</v>
      </c>
      <c r="EF4" s="50"/>
      <c r="EG4" s="45"/>
      <c r="EH4" s="46" t="s">
        <v>24</v>
      </c>
      <c r="EI4" s="46" t="str">
        <f t="shared" ref="EI4:EI7" si="8">DR4</f>
        <v>: Provinsi Sulawesi Tenggara</v>
      </c>
      <c r="EJ4" s="46"/>
      <c r="EK4" s="46"/>
      <c r="EL4" s="46"/>
      <c r="EM4" s="46" t="s">
        <v>25</v>
      </c>
      <c r="EN4" s="46"/>
      <c r="EO4" s="47"/>
      <c r="EP4" s="48"/>
      <c r="EQ4" s="48"/>
      <c r="ER4" s="48"/>
      <c r="ES4" s="48"/>
      <c r="ET4" s="48"/>
      <c r="EU4" s="48"/>
      <c r="EV4" s="49" t="s">
        <v>26</v>
      </c>
      <c r="EW4" s="50"/>
      <c r="EX4" s="45"/>
      <c r="EY4" s="46" t="s">
        <v>24</v>
      </c>
      <c r="EZ4" s="46" t="str">
        <f t="shared" ref="EZ4:EZ7" si="9">EI4</f>
        <v>: Provinsi Sulawesi Tenggara</v>
      </c>
      <c r="FA4" s="46"/>
      <c r="FB4" s="46"/>
      <c r="FC4" s="46"/>
      <c r="FD4" s="46" t="s">
        <v>25</v>
      </c>
      <c r="FE4" s="46"/>
      <c r="FF4" s="47"/>
      <c r="FG4" s="48"/>
      <c r="FH4" s="48"/>
      <c r="FI4" s="48"/>
      <c r="FJ4" s="48"/>
      <c r="FK4" s="48"/>
      <c r="FL4" s="48"/>
      <c r="FM4" s="49" t="s">
        <v>26</v>
      </c>
      <c r="FN4" s="50"/>
      <c r="FO4" s="45"/>
      <c r="FP4" s="46" t="s">
        <v>24</v>
      </c>
      <c r="FQ4" s="46" t="str">
        <f t="shared" ref="FQ4:FQ7" si="10">EZ4</f>
        <v>: Provinsi Sulawesi Tenggara</v>
      </c>
      <c r="FR4" s="46"/>
      <c r="FS4" s="46"/>
      <c r="FT4" s="46"/>
      <c r="FU4" s="46" t="s">
        <v>25</v>
      </c>
      <c r="FV4" s="46"/>
      <c r="FW4" s="47"/>
      <c r="FX4" s="48"/>
      <c r="FY4" s="48"/>
      <c r="FZ4" s="48"/>
      <c r="GA4" s="48"/>
      <c r="GB4" s="48"/>
      <c r="GC4" s="48"/>
      <c r="GD4" s="49" t="s">
        <v>26</v>
      </c>
      <c r="GE4" s="50"/>
      <c r="GF4" s="45"/>
      <c r="GG4" s="46" t="s">
        <v>24</v>
      </c>
      <c r="GH4" s="46" t="str">
        <f t="shared" ref="GH4:GH7" si="11">FQ4</f>
        <v>: Provinsi Sulawesi Tenggara</v>
      </c>
      <c r="GI4" s="46"/>
      <c r="GJ4" s="46"/>
      <c r="GK4" s="46"/>
      <c r="GL4" s="46" t="s">
        <v>25</v>
      </c>
      <c r="GM4" s="46"/>
      <c r="GN4" s="47"/>
      <c r="GO4" s="48"/>
      <c r="GP4" s="48"/>
      <c r="GQ4" s="48"/>
      <c r="GR4" s="48"/>
      <c r="GS4" s="48"/>
      <c r="GT4" s="48"/>
      <c r="GU4" s="49" t="s">
        <v>26</v>
      </c>
      <c r="GV4" s="50"/>
      <c r="GW4" s="45"/>
      <c r="GX4" s="46" t="s">
        <v>24</v>
      </c>
      <c r="GY4" s="46" t="str">
        <f t="shared" ref="GY4:GY7" si="12">GH4</f>
        <v>: Provinsi Sulawesi Tenggara</v>
      </c>
      <c r="GZ4" s="46"/>
      <c r="HA4" s="46"/>
      <c r="HB4" s="46"/>
      <c r="HC4" s="46" t="s">
        <v>25</v>
      </c>
      <c r="HD4" s="46"/>
      <c r="HE4" s="47"/>
      <c r="HF4" s="48"/>
      <c r="HG4" s="48"/>
      <c r="HH4" s="48"/>
      <c r="HI4" s="48"/>
      <c r="HJ4" s="48"/>
      <c r="HK4" s="48"/>
      <c r="HL4" s="49" t="s">
        <v>26</v>
      </c>
      <c r="HM4" s="50"/>
      <c r="HN4" s="45"/>
      <c r="HO4" s="46" t="s">
        <v>24</v>
      </c>
      <c r="HP4" s="46" t="str">
        <f t="shared" ref="HP4:HP7" si="13">GY4</f>
        <v>: Provinsi Sulawesi Tenggara</v>
      </c>
      <c r="HQ4" s="46"/>
      <c r="HR4" s="46"/>
      <c r="HS4" s="46"/>
      <c r="HT4" s="46" t="s">
        <v>25</v>
      </c>
      <c r="HU4" s="46"/>
      <c r="HV4" s="47"/>
      <c r="HW4" s="48"/>
      <c r="HX4" s="48"/>
      <c r="HY4" s="48"/>
      <c r="HZ4" s="48"/>
      <c r="IA4" s="48"/>
      <c r="IB4" s="48"/>
      <c r="IC4" s="49" t="s">
        <v>26</v>
      </c>
      <c r="ID4" s="50"/>
      <c r="IE4" s="45"/>
      <c r="IF4" s="46" t="s">
        <v>24</v>
      </c>
      <c r="IG4" s="46" t="str">
        <f t="shared" ref="IG4:IG7" si="14">HP4</f>
        <v>: Provinsi Sulawesi Tenggara</v>
      </c>
      <c r="IH4" s="46"/>
      <c r="II4" s="46"/>
      <c r="IJ4" s="46"/>
      <c r="IK4" s="46" t="s">
        <v>25</v>
      </c>
      <c r="IL4" s="46"/>
      <c r="IM4" s="47"/>
      <c r="IN4" s="48"/>
      <c r="IO4" s="48"/>
      <c r="IP4" s="48"/>
      <c r="IQ4" s="48"/>
      <c r="IR4" s="48"/>
      <c r="IS4" s="48"/>
      <c r="IT4" s="49" t="s">
        <v>26</v>
      </c>
      <c r="IU4" s="50"/>
      <c r="IV4" s="45"/>
      <c r="IW4" s="46" t="s">
        <v>24</v>
      </c>
      <c r="IX4" s="46" t="str">
        <f t="shared" ref="IX4:IX7" si="15">IG4</f>
        <v>: Provinsi Sulawesi Tenggara</v>
      </c>
      <c r="IY4" s="46"/>
      <c r="IZ4" s="46"/>
      <c r="JA4" s="46"/>
      <c r="JB4" s="46" t="s">
        <v>25</v>
      </c>
      <c r="JC4" s="46"/>
      <c r="JD4" s="47"/>
      <c r="JE4" s="48"/>
      <c r="JF4" s="48"/>
      <c r="JG4" s="48"/>
      <c r="JH4" s="48"/>
      <c r="JI4" s="48"/>
      <c r="JJ4" s="48"/>
      <c r="JK4" s="49" t="s">
        <v>26</v>
      </c>
      <c r="JL4" s="51"/>
      <c r="JM4" s="45"/>
      <c r="JN4" s="46" t="s">
        <v>24</v>
      </c>
      <c r="JO4" s="46" t="str">
        <f t="shared" ref="JO4:JO7" si="16">IX4</f>
        <v>: Provinsi Sulawesi Tenggara</v>
      </c>
      <c r="JP4" s="46"/>
      <c r="JQ4" s="46"/>
      <c r="JR4" s="46"/>
      <c r="JS4" s="46" t="s">
        <v>25</v>
      </c>
      <c r="JT4" s="46"/>
      <c r="JU4" s="47"/>
      <c r="JV4" s="48"/>
      <c r="JW4" s="48"/>
      <c r="JX4" s="48"/>
      <c r="JY4" s="48"/>
      <c r="JZ4" s="48"/>
      <c r="KA4" s="48"/>
      <c r="KB4" s="49" t="s">
        <v>26</v>
      </c>
      <c r="KC4" s="51"/>
      <c r="KD4" s="45"/>
      <c r="KE4" s="46" t="s">
        <v>24</v>
      </c>
      <c r="KF4" s="46" t="str">
        <f t="shared" ref="KF4:KF7" si="17">JO4</f>
        <v>: Provinsi Sulawesi Tenggara</v>
      </c>
      <c r="KG4" s="46"/>
      <c r="KH4" s="46"/>
      <c r="KI4" s="46"/>
      <c r="KJ4" s="46" t="s">
        <v>25</v>
      </c>
      <c r="KK4" s="46"/>
      <c r="KL4" s="47"/>
      <c r="KM4" s="48"/>
      <c r="KN4" s="48"/>
      <c r="KO4" s="48"/>
      <c r="KP4" s="48"/>
      <c r="KQ4" s="48"/>
      <c r="KR4" s="48"/>
      <c r="KS4" s="49" t="s">
        <v>26</v>
      </c>
      <c r="KT4" s="51"/>
      <c r="KU4" s="48"/>
    </row>
    <row r="5" ht="15.0" customHeight="1">
      <c r="A5" s="52"/>
      <c r="B5" s="53" t="s">
        <v>27</v>
      </c>
      <c r="C5" s="53" t="str">
        <f>ADHK!C5</f>
        <v>: Pertambangan dan Penggalian    </v>
      </c>
      <c r="D5" s="53"/>
      <c r="E5" s="53"/>
      <c r="F5" s="53"/>
      <c r="G5" s="53" t="s">
        <v>28</v>
      </c>
      <c r="H5" s="53"/>
      <c r="I5" s="54"/>
      <c r="J5" s="48"/>
      <c r="K5" s="48"/>
      <c r="L5" s="48"/>
      <c r="M5" s="48"/>
      <c r="N5" s="48"/>
      <c r="O5" s="48"/>
      <c r="P5" s="55"/>
      <c r="Q5" s="50"/>
      <c r="R5" s="52"/>
      <c r="S5" s="53" t="s">
        <v>27</v>
      </c>
      <c r="T5" s="53" t="str">
        <f t="shared" si="1"/>
        <v>: Pertambangan dan Penggalian    </v>
      </c>
      <c r="U5" s="53"/>
      <c r="V5" s="53"/>
      <c r="W5" s="53"/>
      <c r="X5" s="53" t="s">
        <v>28</v>
      </c>
      <c r="Y5" s="53"/>
      <c r="Z5" s="54"/>
      <c r="AA5" s="48"/>
      <c r="AB5" s="48"/>
      <c r="AC5" s="48"/>
      <c r="AD5" s="48"/>
      <c r="AE5" s="48"/>
      <c r="AF5" s="48"/>
      <c r="AG5" s="55"/>
      <c r="AH5" s="50"/>
      <c r="AI5" s="52"/>
      <c r="AJ5" s="53" t="s">
        <v>27</v>
      </c>
      <c r="AK5" s="53" t="str">
        <f t="shared" si="2"/>
        <v>: Pertambangan dan Penggalian    </v>
      </c>
      <c r="AL5" s="53"/>
      <c r="AM5" s="53"/>
      <c r="AN5" s="53"/>
      <c r="AO5" s="53" t="s">
        <v>28</v>
      </c>
      <c r="AP5" s="53"/>
      <c r="AQ5" s="54"/>
      <c r="AR5" s="48"/>
      <c r="AS5" s="48"/>
      <c r="AT5" s="48"/>
      <c r="AU5" s="48"/>
      <c r="AV5" s="48"/>
      <c r="AW5" s="48"/>
      <c r="AX5" s="55"/>
      <c r="AY5" s="50"/>
      <c r="AZ5" s="52"/>
      <c r="BA5" s="53" t="s">
        <v>27</v>
      </c>
      <c r="BB5" s="53" t="str">
        <f t="shared" si="3"/>
        <v>: Pertambangan dan Penggalian    </v>
      </c>
      <c r="BC5" s="53"/>
      <c r="BD5" s="53"/>
      <c r="BE5" s="53"/>
      <c r="BF5" s="53" t="s">
        <v>28</v>
      </c>
      <c r="BG5" s="53"/>
      <c r="BH5" s="54"/>
      <c r="BI5" s="48"/>
      <c r="BJ5" s="48"/>
      <c r="BK5" s="48"/>
      <c r="BL5" s="48"/>
      <c r="BM5" s="48"/>
      <c r="BN5" s="48"/>
      <c r="BO5" s="55"/>
      <c r="BP5" s="50"/>
      <c r="BQ5" s="52"/>
      <c r="BR5" s="53" t="s">
        <v>27</v>
      </c>
      <c r="BS5" s="53" t="str">
        <f t="shared" si="4"/>
        <v>: Pertambangan dan Penggalian    </v>
      </c>
      <c r="BT5" s="53"/>
      <c r="BU5" s="53"/>
      <c r="BV5" s="53"/>
      <c r="BW5" s="53" t="s">
        <v>28</v>
      </c>
      <c r="BX5" s="53"/>
      <c r="BY5" s="54"/>
      <c r="BZ5" s="48"/>
      <c r="CA5" s="48"/>
      <c r="CB5" s="48"/>
      <c r="CC5" s="48"/>
      <c r="CD5" s="48"/>
      <c r="CE5" s="48"/>
      <c r="CF5" s="55"/>
      <c r="CG5" s="50"/>
      <c r="CH5" s="52"/>
      <c r="CI5" s="53" t="s">
        <v>27</v>
      </c>
      <c r="CJ5" s="53" t="str">
        <f t="shared" si="5"/>
        <v>: Pertambangan dan Penggalian    </v>
      </c>
      <c r="CK5" s="53"/>
      <c r="CL5" s="53"/>
      <c r="CM5" s="53"/>
      <c r="CN5" s="53" t="s">
        <v>28</v>
      </c>
      <c r="CO5" s="53"/>
      <c r="CP5" s="54"/>
      <c r="CQ5" s="48"/>
      <c r="CR5" s="48"/>
      <c r="CS5" s="48"/>
      <c r="CT5" s="48"/>
      <c r="CU5" s="48"/>
      <c r="CV5" s="48"/>
      <c r="CW5" s="55"/>
      <c r="CX5" s="50"/>
      <c r="CY5" s="52"/>
      <c r="CZ5" s="53" t="s">
        <v>27</v>
      </c>
      <c r="DA5" s="53" t="str">
        <f t="shared" si="6"/>
        <v>: Pertambangan dan Penggalian    </v>
      </c>
      <c r="DB5" s="53"/>
      <c r="DC5" s="53"/>
      <c r="DD5" s="53"/>
      <c r="DE5" s="53" t="s">
        <v>28</v>
      </c>
      <c r="DF5" s="53"/>
      <c r="DG5" s="54"/>
      <c r="DH5" s="48"/>
      <c r="DI5" s="48"/>
      <c r="DJ5" s="48"/>
      <c r="DK5" s="48"/>
      <c r="DL5" s="48"/>
      <c r="DM5" s="48"/>
      <c r="DN5" s="55"/>
      <c r="DO5" s="50"/>
      <c r="DP5" s="52"/>
      <c r="DQ5" s="53" t="s">
        <v>27</v>
      </c>
      <c r="DR5" s="53" t="str">
        <f t="shared" si="7"/>
        <v>: Pertambangan dan Penggalian    </v>
      </c>
      <c r="DS5" s="53"/>
      <c r="DT5" s="53"/>
      <c r="DU5" s="53"/>
      <c r="DV5" s="53" t="s">
        <v>28</v>
      </c>
      <c r="DW5" s="53"/>
      <c r="DX5" s="54"/>
      <c r="DY5" s="48"/>
      <c r="DZ5" s="48"/>
      <c r="EA5" s="48"/>
      <c r="EB5" s="48"/>
      <c r="EC5" s="48"/>
      <c r="ED5" s="48"/>
      <c r="EE5" s="55"/>
      <c r="EF5" s="50"/>
      <c r="EG5" s="52"/>
      <c r="EH5" s="53" t="s">
        <v>27</v>
      </c>
      <c r="EI5" s="53" t="str">
        <f t="shared" si="8"/>
        <v>: Pertambangan dan Penggalian    </v>
      </c>
      <c r="EJ5" s="53"/>
      <c r="EK5" s="53"/>
      <c r="EL5" s="53"/>
      <c r="EM5" s="53" t="s">
        <v>28</v>
      </c>
      <c r="EN5" s="53"/>
      <c r="EO5" s="54"/>
      <c r="EP5" s="48"/>
      <c r="EQ5" s="48"/>
      <c r="ER5" s="48"/>
      <c r="ES5" s="48"/>
      <c r="ET5" s="48"/>
      <c r="EU5" s="48"/>
      <c r="EV5" s="55"/>
      <c r="EW5" s="50"/>
      <c r="EX5" s="52"/>
      <c r="EY5" s="53" t="s">
        <v>27</v>
      </c>
      <c r="EZ5" s="53" t="str">
        <f t="shared" si="9"/>
        <v>: Pertambangan dan Penggalian    </v>
      </c>
      <c r="FA5" s="53"/>
      <c r="FB5" s="53"/>
      <c r="FC5" s="53"/>
      <c r="FD5" s="53" t="s">
        <v>28</v>
      </c>
      <c r="FE5" s="53"/>
      <c r="FF5" s="54"/>
      <c r="FG5" s="48"/>
      <c r="FH5" s="48"/>
      <c r="FI5" s="48"/>
      <c r="FJ5" s="48"/>
      <c r="FK5" s="48"/>
      <c r="FL5" s="48"/>
      <c r="FM5" s="55"/>
      <c r="FN5" s="50"/>
      <c r="FO5" s="52"/>
      <c r="FP5" s="53" t="s">
        <v>27</v>
      </c>
      <c r="FQ5" s="53" t="str">
        <f t="shared" si="10"/>
        <v>: Pertambangan dan Penggalian    </v>
      </c>
      <c r="FR5" s="53"/>
      <c r="FS5" s="53"/>
      <c r="FT5" s="53"/>
      <c r="FU5" s="53" t="s">
        <v>28</v>
      </c>
      <c r="FV5" s="53"/>
      <c r="FW5" s="54"/>
      <c r="FX5" s="48"/>
      <c r="FY5" s="48"/>
      <c r="FZ5" s="48"/>
      <c r="GA5" s="48"/>
      <c r="GB5" s="48"/>
      <c r="GC5" s="48"/>
      <c r="GD5" s="55"/>
      <c r="GE5" s="50"/>
      <c r="GF5" s="52"/>
      <c r="GG5" s="53" t="s">
        <v>27</v>
      </c>
      <c r="GH5" s="53" t="str">
        <f t="shared" si="11"/>
        <v>: Pertambangan dan Penggalian    </v>
      </c>
      <c r="GI5" s="53"/>
      <c r="GJ5" s="53"/>
      <c r="GK5" s="53"/>
      <c r="GL5" s="53" t="s">
        <v>28</v>
      </c>
      <c r="GM5" s="53"/>
      <c r="GN5" s="54"/>
      <c r="GO5" s="48"/>
      <c r="GP5" s="48"/>
      <c r="GQ5" s="48"/>
      <c r="GR5" s="48"/>
      <c r="GS5" s="48"/>
      <c r="GT5" s="48"/>
      <c r="GU5" s="55"/>
      <c r="GV5" s="50"/>
      <c r="GW5" s="52"/>
      <c r="GX5" s="53" t="s">
        <v>27</v>
      </c>
      <c r="GY5" s="53" t="str">
        <f t="shared" si="12"/>
        <v>: Pertambangan dan Penggalian    </v>
      </c>
      <c r="GZ5" s="53"/>
      <c r="HA5" s="53"/>
      <c r="HB5" s="53"/>
      <c r="HC5" s="53" t="s">
        <v>28</v>
      </c>
      <c r="HD5" s="53"/>
      <c r="HE5" s="54"/>
      <c r="HF5" s="48"/>
      <c r="HG5" s="48"/>
      <c r="HH5" s="48"/>
      <c r="HI5" s="48"/>
      <c r="HJ5" s="48"/>
      <c r="HK5" s="48"/>
      <c r="HL5" s="55"/>
      <c r="HM5" s="50"/>
      <c r="HN5" s="52"/>
      <c r="HO5" s="53" t="s">
        <v>27</v>
      </c>
      <c r="HP5" s="53" t="str">
        <f t="shared" si="13"/>
        <v>: Pertambangan dan Penggalian    </v>
      </c>
      <c r="HQ5" s="53"/>
      <c r="HR5" s="53"/>
      <c r="HS5" s="53"/>
      <c r="HT5" s="53" t="s">
        <v>28</v>
      </c>
      <c r="HU5" s="53"/>
      <c r="HV5" s="54"/>
      <c r="HW5" s="48"/>
      <c r="HX5" s="48"/>
      <c r="HY5" s="48"/>
      <c r="HZ5" s="48"/>
      <c r="IA5" s="48"/>
      <c r="IB5" s="48"/>
      <c r="IC5" s="55"/>
      <c r="ID5" s="50"/>
      <c r="IE5" s="52"/>
      <c r="IF5" s="53" t="s">
        <v>27</v>
      </c>
      <c r="IG5" s="53" t="str">
        <f t="shared" si="14"/>
        <v>: Pertambangan dan Penggalian    </v>
      </c>
      <c r="IH5" s="53"/>
      <c r="II5" s="53"/>
      <c r="IJ5" s="53"/>
      <c r="IK5" s="53" t="s">
        <v>28</v>
      </c>
      <c r="IL5" s="53"/>
      <c r="IM5" s="54"/>
      <c r="IN5" s="48"/>
      <c r="IO5" s="48"/>
      <c r="IP5" s="48"/>
      <c r="IQ5" s="48"/>
      <c r="IR5" s="48"/>
      <c r="IS5" s="48"/>
      <c r="IT5" s="55"/>
      <c r="IU5" s="50"/>
      <c r="IV5" s="52"/>
      <c r="IW5" s="53" t="s">
        <v>27</v>
      </c>
      <c r="IX5" s="53" t="str">
        <f t="shared" si="15"/>
        <v>: Pertambangan dan Penggalian    </v>
      </c>
      <c r="IY5" s="53"/>
      <c r="IZ5" s="53"/>
      <c r="JA5" s="53"/>
      <c r="JB5" s="53" t="s">
        <v>28</v>
      </c>
      <c r="JC5" s="53"/>
      <c r="JD5" s="54"/>
      <c r="JE5" s="48"/>
      <c r="JF5" s="48"/>
      <c r="JG5" s="48"/>
      <c r="JH5" s="48"/>
      <c r="JI5" s="48"/>
      <c r="JJ5" s="48"/>
      <c r="JK5" s="55"/>
      <c r="JL5" s="51"/>
      <c r="JM5" s="52"/>
      <c r="JN5" s="53" t="s">
        <v>27</v>
      </c>
      <c r="JO5" s="53" t="str">
        <f t="shared" si="16"/>
        <v>: Pertambangan dan Penggalian    </v>
      </c>
      <c r="JP5" s="53"/>
      <c r="JQ5" s="53"/>
      <c r="JR5" s="53"/>
      <c r="JS5" s="53" t="s">
        <v>28</v>
      </c>
      <c r="JT5" s="53"/>
      <c r="JU5" s="54"/>
      <c r="JV5" s="48"/>
      <c r="JW5" s="48"/>
      <c r="JX5" s="48"/>
      <c r="JY5" s="48"/>
      <c r="JZ5" s="48"/>
      <c r="KA5" s="48"/>
      <c r="KB5" s="55"/>
      <c r="KC5" s="51"/>
      <c r="KD5" s="52"/>
      <c r="KE5" s="53" t="s">
        <v>27</v>
      </c>
      <c r="KF5" s="53" t="str">
        <f t="shared" si="17"/>
        <v>: Pertambangan dan Penggalian    </v>
      </c>
      <c r="KG5" s="53"/>
      <c r="KH5" s="53"/>
      <c r="KI5" s="53"/>
      <c r="KJ5" s="53" t="s">
        <v>28</v>
      </c>
      <c r="KK5" s="53"/>
      <c r="KL5" s="54"/>
      <c r="KM5" s="48"/>
      <c r="KN5" s="48"/>
      <c r="KO5" s="48"/>
      <c r="KP5" s="48"/>
      <c r="KQ5" s="48"/>
      <c r="KR5" s="48"/>
      <c r="KS5" s="55"/>
      <c r="KT5" s="51"/>
      <c r="KU5" s="48"/>
    </row>
    <row r="6" ht="15.0" customHeight="1">
      <c r="A6" s="52"/>
      <c r="B6" s="53" t="s">
        <v>29</v>
      </c>
      <c r="C6" s="53" t="str">
        <f>ADHK!C6</f>
        <v>: Pertambangan Bijih Logam</v>
      </c>
      <c r="D6" s="53"/>
      <c r="E6" s="53"/>
      <c r="F6" s="53"/>
      <c r="G6" s="56" t="s">
        <v>30</v>
      </c>
      <c r="H6" s="53"/>
      <c r="I6" s="54"/>
      <c r="J6" s="48"/>
      <c r="K6" s="48"/>
      <c r="L6" s="48"/>
      <c r="M6" s="48"/>
      <c r="N6" s="48"/>
      <c r="O6" s="48"/>
      <c r="P6" s="57">
        <v>2010.0</v>
      </c>
      <c r="Q6" s="50"/>
      <c r="R6" s="52"/>
      <c r="S6" s="53" t="s">
        <v>29</v>
      </c>
      <c r="T6" s="53" t="str">
        <f t="shared" si="1"/>
        <v>: Pertambangan Bijih Logam</v>
      </c>
      <c r="U6" s="53"/>
      <c r="V6" s="53"/>
      <c r="W6" s="53"/>
      <c r="X6" s="56" t="s">
        <v>30</v>
      </c>
      <c r="Y6" s="53"/>
      <c r="Z6" s="54"/>
      <c r="AA6" s="48"/>
      <c r="AB6" s="48"/>
      <c r="AC6" s="48"/>
      <c r="AD6" s="48"/>
      <c r="AE6" s="48"/>
      <c r="AF6" s="48"/>
      <c r="AG6" s="57">
        <f>P6+1</f>
        <v>2011</v>
      </c>
      <c r="AH6" s="50"/>
      <c r="AI6" s="52"/>
      <c r="AJ6" s="53" t="s">
        <v>29</v>
      </c>
      <c r="AK6" s="53" t="str">
        <f t="shared" si="2"/>
        <v>: Pertambangan Bijih Logam</v>
      </c>
      <c r="AL6" s="53"/>
      <c r="AM6" s="53"/>
      <c r="AN6" s="53"/>
      <c r="AO6" s="56" t="s">
        <v>30</v>
      </c>
      <c r="AP6" s="53"/>
      <c r="AQ6" s="54"/>
      <c r="AR6" s="48"/>
      <c r="AS6" s="48"/>
      <c r="AT6" s="48"/>
      <c r="AU6" s="48"/>
      <c r="AV6" s="48"/>
      <c r="AW6" s="48"/>
      <c r="AX6" s="57">
        <f>AG6+1</f>
        <v>2012</v>
      </c>
      <c r="AY6" s="50"/>
      <c r="AZ6" s="52"/>
      <c r="BA6" s="53" t="s">
        <v>29</v>
      </c>
      <c r="BB6" s="53" t="str">
        <f t="shared" si="3"/>
        <v>: Pertambangan Bijih Logam</v>
      </c>
      <c r="BC6" s="53"/>
      <c r="BD6" s="53"/>
      <c r="BE6" s="53"/>
      <c r="BF6" s="56" t="s">
        <v>30</v>
      </c>
      <c r="BG6" s="53"/>
      <c r="BH6" s="54"/>
      <c r="BI6" s="48"/>
      <c r="BJ6" s="48"/>
      <c r="BK6" s="48"/>
      <c r="BL6" s="48"/>
      <c r="BM6" s="48"/>
      <c r="BN6" s="48"/>
      <c r="BO6" s="57">
        <f>AX6+1</f>
        <v>2013</v>
      </c>
      <c r="BP6" s="50"/>
      <c r="BQ6" s="52"/>
      <c r="BR6" s="53" t="s">
        <v>29</v>
      </c>
      <c r="BS6" s="53" t="str">
        <f t="shared" si="4"/>
        <v>: Pertambangan Bijih Logam</v>
      </c>
      <c r="BT6" s="53"/>
      <c r="BU6" s="53"/>
      <c r="BV6" s="53"/>
      <c r="BW6" s="56" t="s">
        <v>30</v>
      </c>
      <c r="BX6" s="53"/>
      <c r="BY6" s="54"/>
      <c r="BZ6" s="48"/>
      <c r="CA6" s="48"/>
      <c r="CB6" s="48"/>
      <c r="CC6" s="48"/>
      <c r="CD6" s="48"/>
      <c r="CE6" s="48"/>
      <c r="CF6" s="57">
        <f>BO6+1</f>
        <v>2014</v>
      </c>
      <c r="CG6" s="50"/>
      <c r="CH6" s="52"/>
      <c r="CI6" s="53" t="s">
        <v>29</v>
      </c>
      <c r="CJ6" s="53" t="str">
        <f t="shared" si="5"/>
        <v>: Pertambangan Bijih Logam</v>
      </c>
      <c r="CK6" s="53"/>
      <c r="CL6" s="53"/>
      <c r="CM6" s="53"/>
      <c r="CN6" s="56" t="s">
        <v>30</v>
      </c>
      <c r="CO6" s="53"/>
      <c r="CP6" s="54"/>
      <c r="CQ6" s="48"/>
      <c r="CR6" s="48"/>
      <c r="CS6" s="48"/>
      <c r="CT6" s="48"/>
      <c r="CU6" s="48"/>
      <c r="CV6" s="48"/>
      <c r="CW6" s="57">
        <f>CF6+1</f>
        <v>2015</v>
      </c>
      <c r="CX6" s="50"/>
      <c r="CY6" s="52"/>
      <c r="CZ6" s="53" t="s">
        <v>29</v>
      </c>
      <c r="DA6" s="53" t="str">
        <f t="shared" si="6"/>
        <v>: Pertambangan Bijih Logam</v>
      </c>
      <c r="DB6" s="53"/>
      <c r="DC6" s="53"/>
      <c r="DD6" s="53"/>
      <c r="DE6" s="56" t="s">
        <v>30</v>
      </c>
      <c r="DF6" s="53"/>
      <c r="DG6" s="54"/>
      <c r="DH6" s="48"/>
      <c r="DI6" s="48"/>
      <c r="DJ6" s="48"/>
      <c r="DK6" s="48"/>
      <c r="DL6" s="48"/>
      <c r="DM6" s="48"/>
      <c r="DN6" s="57">
        <f>CW6+1</f>
        <v>2016</v>
      </c>
      <c r="DO6" s="50"/>
      <c r="DP6" s="52"/>
      <c r="DQ6" s="53" t="s">
        <v>29</v>
      </c>
      <c r="DR6" s="53" t="str">
        <f t="shared" si="7"/>
        <v>: Pertambangan Bijih Logam</v>
      </c>
      <c r="DS6" s="53"/>
      <c r="DT6" s="53"/>
      <c r="DU6" s="53"/>
      <c r="DV6" s="56" t="s">
        <v>30</v>
      </c>
      <c r="DW6" s="53"/>
      <c r="DX6" s="54"/>
      <c r="DY6" s="48"/>
      <c r="DZ6" s="48"/>
      <c r="EA6" s="48"/>
      <c r="EB6" s="48"/>
      <c r="EC6" s="48"/>
      <c r="ED6" s="48"/>
      <c r="EE6" s="57">
        <f>DN6+1</f>
        <v>2017</v>
      </c>
      <c r="EF6" s="50"/>
      <c r="EG6" s="52"/>
      <c r="EH6" s="53" t="s">
        <v>29</v>
      </c>
      <c r="EI6" s="53" t="str">
        <f t="shared" si="8"/>
        <v>: Pertambangan Bijih Logam</v>
      </c>
      <c r="EJ6" s="53"/>
      <c r="EK6" s="53"/>
      <c r="EL6" s="53"/>
      <c r="EM6" s="56" t="s">
        <v>30</v>
      </c>
      <c r="EN6" s="53"/>
      <c r="EO6" s="54"/>
      <c r="EP6" s="48"/>
      <c r="EQ6" s="48"/>
      <c r="ER6" s="48"/>
      <c r="ES6" s="48"/>
      <c r="ET6" s="48"/>
      <c r="EU6" s="48"/>
      <c r="EV6" s="57">
        <f>EE6+1</f>
        <v>2018</v>
      </c>
      <c r="EW6" s="50"/>
      <c r="EX6" s="52"/>
      <c r="EY6" s="53" t="s">
        <v>29</v>
      </c>
      <c r="EZ6" s="53" t="str">
        <f t="shared" si="9"/>
        <v>: Pertambangan Bijih Logam</v>
      </c>
      <c r="FA6" s="53"/>
      <c r="FB6" s="53"/>
      <c r="FC6" s="53"/>
      <c r="FD6" s="56" t="s">
        <v>30</v>
      </c>
      <c r="FE6" s="53"/>
      <c r="FF6" s="54"/>
      <c r="FG6" s="48"/>
      <c r="FH6" s="48"/>
      <c r="FI6" s="48"/>
      <c r="FJ6" s="48"/>
      <c r="FK6" s="48"/>
      <c r="FL6" s="48"/>
      <c r="FM6" s="57">
        <f>EV6+1</f>
        <v>2019</v>
      </c>
      <c r="FN6" s="50"/>
      <c r="FO6" s="52"/>
      <c r="FP6" s="53" t="s">
        <v>29</v>
      </c>
      <c r="FQ6" s="53" t="str">
        <f t="shared" si="10"/>
        <v>: Pertambangan Bijih Logam</v>
      </c>
      <c r="FR6" s="53"/>
      <c r="FS6" s="53"/>
      <c r="FT6" s="53"/>
      <c r="FU6" s="56" t="s">
        <v>30</v>
      </c>
      <c r="FV6" s="53"/>
      <c r="FW6" s="54"/>
      <c r="FX6" s="48"/>
      <c r="FY6" s="58"/>
      <c r="FZ6" s="48"/>
      <c r="GA6" s="48"/>
      <c r="GB6" s="48"/>
      <c r="GC6" s="48"/>
      <c r="GD6" s="57">
        <f>FM6+1</f>
        <v>2020</v>
      </c>
      <c r="GE6" s="50"/>
      <c r="GF6" s="52"/>
      <c r="GG6" s="53" t="s">
        <v>29</v>
      </c>
      <c r="GH6" s="53" t="str">
        <f t="shared" si="11"/>
        <v>: Pertambangan Bijih Logam</v>
      </c>
      <c r="GI6" s="53"/>
      <c r="GJ6" s="53"/>
      <c r="GK6" s="53"/>
      <c r="GL6" s="56" t="s">
        <v>30</v>
      </c>
      <c r="GM6" s="53"/>
      <c r="GN6" s="54"/>
      <c r="GO6" s="48"/>
      <c r="GP6" s="48"/>
      <c r="GQ6" s="48"/>
      <c r="GR6" s="48"/>
      <c r="GS6" s="48"/>
      <c r="GT6" s="48"/>
      <c r="GU6" s="57">
        <f>GD6+1</f>
        <v>2021</v>
      </c>
      <c r="GV6" s="50"/>
      <c r="GW6" s="52"/>
      <c r="GX6" s="53" t="s">
        <v>29</v>
      </c>
      <c r="GY6" s="53" t="str">
        <f t="shared" si="12"/>
        <v>: Pertambangan Bijih Logam</v>
      </c>
      <c r="GZ6" s="53"/>
      <c r="HA6" s="53"/>
      <c r="HB6" s="53"/>
      <c r="HC6" s="56" t="s">
        <v>30</v>
      </c>
      <c r="HD6" s="53"/>
      <c r="HE6" s="54"/>
      <c r="HF6" s="48"/>
      <c r="HG6" s="48"/>
      <c r="HH6" s="48"/>
      <c r="HI6" s="48"/>
      <c r="HJ6" s="48"/>
      <c r="HK6" s="48"/>
      <c r="HL6" s="57">
        <f>GU6+1</f>
        <v>2022</v>
      </c>
      <c r="HM6" s="50"/>
      <c r="HN6" s="52"/>
      <c r="HO6" s="53" t="s">
        <v>29</v>
      </c>
      <c r="HP6" s="53" t="str">
        <f t="shared" si="13"/>
        <v>: Pertambangan Bijih Logam</v>
      </c>
      <c r="HQ6" s="53"/>
      <c r="HR6" s="53"/>
      <c r="HS6" s="53"/>
      <c r="HT6" s="56" t="s">
        <v>30</v>
      </c>
      <c r="HU6" s="53"/>
      <c r="HV6" s="54"/>
      <c r="HW6" s="48"/>
      <c r="HX6" s="48"/>
      <c r="HY6" s="48"/>
      <c r="HZ6" s="48"/>
      <c r="IA6" s="48"/>
      <c r="IB6" s="48"/>
      <c r="IC6" s="57">
        <f>HL6+1</f>
        <v>2023</v>
      </c>
      <c r="ID6" s="50"/>
      <c r="IE6" s="52"/>
      <c r="IF6" s="53" t="s">
        <v>29</v>
      </c>
      <c r="IG6" s="53" t="str">
        <f t="shared" si="14"/>
        <v>: Pertambangan Bijih Logam</v>
      </c>
      <c r="IH6" s="53"/>
      <c r="II6" s="53"/>
      <c r="IJ6" s="53"/>
      <c r="IK6" s="56" t="s">
        <v>30</v>
      </c>
      <c r="IL6" s="53"/>
      <c r="IM6" s="54"/>
      <c r="IN6" s="48"/>
      <c r="IO6" s="48"/>
      <c r="IP6" s="48"/>
      <c r="IQ6" s="48"/>
      <c r="IR6" s="48"/>
      <c r="IS6" s="48"/>
      <c r="IT6" s="57">
        <f>IC6+1</f>
        <v>2024</v>
      </c>
      <c r="IU6" s="50"/>
      <c r="IV6" s="52"/>
      <c r="IW6" s="53" t="s">
        <v>29</v>
      </c>
      <c r="IX6" s="53" t="str">
        <f t="shared" si="15"/>
        <v>: Pertambangan Bijih Logam</v>
      </c>
      <c r="IY6" s="53"/>
      <c r="IZ6" s="53"/>
      <c r="JA6" s="53"/>
      <c r="JB6" s="56" t="s">
        <v>30</v>
      </c>
      <c r="JC6" s="53"/>
      <c r="JD6" s="54"/>
      <c r="JE6" s="48"/>
      <c r="JF6" s="48"/>
      <c r="JG6" s="48"/>
      <c r="JH6" s="48"/>
      <c r="JI6" s="48"/>
      <c r="JJ6" s="48"/>
      <c r="JK6" s="57">
        <f>IT6+1</f>
        <v>2025</v>
      </c>
      <c r="JL6" s="51"/>
      <c r="JM6" s="52"/>
      <c r="JN6" s="53" t="s">
        <v>29</v>
      </c>
      <c r="JO6" s="53" t="str">
        <f t="shared" si="16"/>
        <v>: Pertambangan Bijih Logam</v>
      </c>
      <c r="JP6" s="53"/>
      <c r="JQ6" s="53"/>
      <c r="JR6" s="53"/>
      <c r="JS6" s="56" t="s">
        <v>30</v>
      </c>
      <c r="JT6" s="53"/>
      <c r="JU6" s="54"/>
      <c r="JV6" s="48"/>
      <c r="JW6" s="48"/>
      <c r="JX6" s="48"/>
      <c r="JY6" s="48"/>
      <c r="JZ6" s="48"/>
      <c r="KA6" s="48"/>
      <c r="KB6" s="57">
        <f>JK6+1</f>
        <v>2026</v>
      </c>
      <c r="KC6" s="51"/>
      <c r="KD6" s="52"/>
      <c r="KE6" s="53" t="s">
        <v>29</v>
      </c>
      <c r="KF6" s="53" t="str">
        <f t="shared" si="17"/>
        <v>: Pertambangan Bijih Logam</v>
      </c>
      <c r="KG6" s="53"/>
      <c r="KH6" s="53"/>
      <c r="KI6" s="53"/>
      <c r="KJ6" s="56" t="s">
        <v>30</v>
      </c>
      <c r="KK6" s="53"/>
      <c r="KL6" s="54"/>
      <c r="KM6" s="48"/>
      <c r="KN6" s="48"/>
      <c r="KO6" s="48"/>
      <c r="KP6" s="48"/>
      <c r="KQ6" s="48"/>
      <c r="KR6" s="48"/>
      <c r="KS6" s="57">
        <f>KB6+1</f>
        <v>2027</v>
      </c>
      <c r="KT6" s="51"/>
      <c r="KU6" s="48"/>
    </row>
    <row r="7" ht="15.0" customHeight="1">
      <c r="A7" s="52"/>
      <c r="B7" s="53" t="s">
        <v>31</v>
      </c>
      <c r="C7" s="53" t="str">
        <f>ADHK!C7</f>
        <v>: Pertambangan Bijih Logam</v>
      </c>
      <c r="D7" s="53"/>
      <c r="E7" s="53"/>
      <c r="F7" s="53"/>
      <c r="G7" s="59" t="str">
        <f>"Tahun "&amp;P$6</f>
        <v>Tahun 2010</v>
      </c>
      <c r="H7" s="53"/>
      <c r="I7" s="54"/>
      <c r="J7" s="48"/>
      <c r="K7" s="48"/>
      <c r="L7" s="48"/>
      <c r="M7" s="48"/>
      <c r="N7" s="48"/>
      <c r="O7" s="48"/>
      <c r="P7" s="55"/>
      <c r="Q7" s="50"/>
      <c r="R7" s="52"/>
      <c r="S7" s="53" t="s">
        <v>31</v>
      </c>
      <c r="T7" s="53" t="str">
        <f t="shared" si="1"/>
        <v>: Pertambangan Bijih Logam</v>
      </c>
      <c r="U7" s="53"/>
      <c r="V7" s="53"/>
      <c r="W7" s="53"/>
      <c r="X7" s="59" t="str">
        <f>"Tahun "&amp;AG$6</f>
        <v>Tahun 2011</v>
      </c>
      <c r="Y7" s="53"/>
      <c r="Z7" s="54"/>
      <c r="AA7" s="48"/>
      <c r="AB7" s="48"/>
      <c r="AC7" s="48"/>
      <c r="AD7" s="48"/>
      <c r="AE7" s="48"/>
      <c r="AF7" s="48"/>
      <c r="AG7" s="55"/>
      <c r="AH7" s="50"/>
      <c r="AI7" s="52"/>
      <c r="AJ7" s="53" t="s">
        <v>31</v>
      </c>
      <c r="AK7" s="53" t="str">
        <f t="shared" si="2"/>
        <v>: Pertambangan Bijih Logam</v>
      </c>
      <c r="AL7" s="53"/>
      <c r="AM7" s="53"/>
      <c r="AN7" s="53"/>
      <c r="AO7" s="59" t="str">
        <f>"Tahun "&amp;AX$6</f>
        <v>Tahun 2012</v>
      </c>
      <c r="AP7" s="53"/>
      <c r="AQ7" s="54"/>
      <c r="AR7" s="48"/>
      <c r="AS7" s="48"/>
      <c r="AT7" s="48"/>
      <c r="AU7" s="48"/>
      <c r="AV7" s="48"/>
      <c r="AW7" s="48"/>
      <c r="AX7" s="55"/>
      <c r="AY7" s="50"/>
      <c r="AZ7" s="52"/>
      <c r="BA7" s="53" t="s">
        <v>31</v>
      </c>
      <c r="BB7" s="53" t="str">
        <f t="shared" si="3"/>
        <v>: Pertambangan Bijih Logam</v>
      </c>
      <c r="BC7" s="53"/>
      <c r="BD7" s="53"/>
      <c r="BE7" s="53"/>
      <c r="BF7" s="59" t="str">
        <f>"Tahun "&amp;BO$6</f>
        <v>Tahun 2013</v>
      </c>
      <c r="BG7" s="53"/>
      <c r="BH7" s="54"/>
      <c r="BI7" s="48"/>
      <c r="BJ7" s="48"/>
      <c r="BK7" s="48"/>
      <c r="BL7" s="48"/>
      <c r="BM7" s="48"/>
      <c r="BN7" s="48"/>
      <c r="BO7" s="55"/>
      <c r="BP7" s="50"/>
      <c r="BQ7" s="52"/>
      <c r="BR7" s="53" t="s">
        <v>31</v>
      </c>
      <c r="BS7" s="53" t="str">
        <f t="shared" si="4"/>
        <v>: Pertambangan Bijih Logam</v>
      </c>
      <c r="BT7" s="53"/>
      <c r="BU7" s="53"/>
      <c r="BV7" s="53"/>
      <c r="BW7" s="59" t="str">
        <f>"Tahun "&amp;CF$6</f>
        <v>Tahun 2014</v>
      </c>
      <c r="BX7" s="53"/>
      <c r="BY7" s="54"/>
      <c r="BZ7" s="48"/>
      <c r="CA7" s="48"/>
      <c r="CB7" s="48"/>
      <c r="CC7" s="48"/>
      <c r="CD7" s="48"/>
      <c r="CE7" s="48"/>
      <c r="CF7" s="55"/>
      <c r="CG7" s="50"/>
      <c r="CH7" s="52"/>
      <c r="CI7" s="53" t="s">
        <v>31</v>
      </c>
      <c r="CJ7" s="53" t="str">
        <f t="shared" si="5"/>
        <v>: Pertambangan Bijih Logam</v>
      </c>
      <c r="CK7" s="53"/>
      <c r="CL7" s="53"/>
      <c r="CM7" s="53"/>
      <c r="CN7" s="59" t="str">
        <f>"Tahun "&amp;CW$6</f>
        <v>Tahun 2015</v>
      </c>
      <c r="CO7" s="53"/>
      <c r="CP7" s="54"/>
      <c r="CQ7" s="48"/>
      <c r="CR7" s="48"/>
      <c r="CS7" s="48"/>
      <c r="CT7" s="48"/>
      <c r="CU7" s="48"/>
      <c r="CV7" s="48"/>
      <c r="CW7" s="55"/>
      <c r="CX7" s="50"/>
      <c r="CY7" s="52"/>
      <c r="CZ7" s="53" t="s">
        <v>31</v>
      </c>
      <c r="DA7" s="53" t="str">
        <f t="shared" si="6"/>
        <v>: Pertambangan Bijih Logam</v>
      </c>
      <c r="DB7" s="53"/>
      <c r="DC7" s="53"/>
      <c r="DD7" s="53"/>
      <c r="DE7" s="59" t="str">
        <f>"Tahun "&amp;DN$6</f>
        <v>Tahun 2016</v>
      </c>
      <c r="DF7" s="53"/>
      <c r="DG7" s="54"/>
      <c r="DH7" s="48"/>
      <c r="DI7" s="48"/>
      <c r="DJ7" s="48"/>
      <c r="DK7" s="48"/>
      <c r="DL7" s="48"/>
      <c r="DM7" s="48"/>
      <c r="DN7" s="55"/>
      <c r="DO7" s="50"/>
      <c r="DP7" s="52"/>
      <c r="DQ7" s="53" t="s">
        <v>31</v>
      </c>
      <c r="DR7" s="53" t="str">
        <f t="shared" si="7"/>
        <v>: Pertambangan Bijih Logam</v>
      </c>
      <c r="DS7" s="53"/>
      <c r="DT7" s="53"/>
      <c r="DU7" s="53"/>
      <c r="DV7" s="59" t="str">
        <f>"Tahun "&amp;EE$6</f>
        <v>Tahun 2017</v>
      </c>
      <c r="DW7" s="53"/>
      <c r="DX7" s="54"/>
      <c r="DY7" s="48"/>
      <c r="DZ7" s="48"/>
      <c r="EA7" s="48"/>
      <c r="EB7" s="48"/>
      <c r="EC7" s="48"/>
      <c r="ED7" s="48"/>
      <c r="EE7" s="55"/>
      <c r="EF7" s="50"/>
      <c r="EG7" s="52"/>
      <c r="EH7" s="53" t="s">
        <v>31</v>
      </c>
      <c r="EI7" s="53" t="str">
        <f t="shared" si="8"/>
        <v>: Pertambangan Bijih Logam</v>
      </c>
      <c r="EJ7" s="53"/>
      <c r="EK7" s="53"/>
      <c r="EL7" s="53"/>
      <c r="EM7" s="59" t="str">
        <f>"Tahun "&amp;EV$6</f>
        <v>Tahun 2018</v>
      </c>
      <c r="EN7" s="53"/>
      <c r="EO7" s="54"/>
      <c r="EP7" s="48"/>
      <c r="EQ7" s="48"/>
      <c r="ER7" s="48"/>
      <c r="ES7" s="48"/>
      <c r="ET7" s="48"/>
      <c r="EU7" s="48"/>
      <c r="EV7" s="55"/>
      <c r="EW7" s="50"/>
      <c r="EX7" s="52"/>
      <c r="EY7" s="53" t="s">
        <v>31</v>
      </c>
      <c r="EZ7" s="53" t="str">
        <f t="shared" si="9"/>
        <v>: Pertambangan Bijih Logam</v>
      </c>
      <c r="FA7" s="53"/>
      <c r="FB7" s="53"/>
      <c r="FC7" s="53"/>
      <c r="FD7" s="59" t="str">
        <f>"Tahun "&amp;FM$6</f>
        <v>Tahun 2019</v>
      </c>
      <c r="FE7" s="53"/>
      <c r="FF7" s="54"/>
      <c r="FG7" s="48"/>
      <c r="FH7" s="48"/>
      <c r="FI7" s="48"/>
      <c r="FJ7" s="48"/>
      <c r="FK7" s="48"/>
      <c r="FL7" s="48"/>
      <c r="FM7" s="55"/>
      <c r="FN7" s="50"/>
      <c r="FO7" s="52"/>
      <c r="FP7" s="53" t="s">
        <v>31</v>
      </c>
      <c r="FQ7" s="53" t="str">
        <f t="shared" si="10"/>
        <v>: Pertambangan Bijih Logam</v>
      </c>
      <c r="FR7" s="53"/>
      <c r="FS7" s="53"/>
      <c r="FT7" s="53"/>
      <c r="FU7" s="59" t="str">
        <f>"Tahun "&amp;GD$6</f>
        <v>Tahun 2020</v>
      </c>
      <c r="FV7" s="53"/>
      <c r="FW7" s="54"/>
      <c r="FX7" s="48"/>
      <c r="FY7" s="48"/>
      <c r="FZ7" s="48"/>
      <c r="GA7" s="48"/>
      <c r="GB7" s="48"/>
      <c r="GC7" s="48"/>
      <c r="GD7" s="55"/>
      <c r="GE7" s="50"/>
      <c r="GF7" s="52"/>
      <c r="GG7" s="53" t="s">
        <v>31</v>
      </c>
      <c r="GH7" s="53" t="str">
        <f t="shared" si="11"/>
        <v>: Pertambangan Bijih Logam</v>
      </c>
      <c r="GI7" s="53"/>
      <c r="GJ7" s="53"/>
      <c r="GK7" s="53"/>
      <c r="GL7" s="59" t="str">
        <f>"Tahun "&amp;GU$6</f>
        <v>Tahun 2021</v>
      </c>
      <c r="GM7" s="53"/>
      <c r="GN7" s="54"/>
      <c r="GO7" s="48"/>
      <c r="GP7" s="48"/>
      <c r="GQ7" s="48"/>
      <c r="GR7" s="48"/>
      <c r="GS7" s="48"/>
      <c r="GT7" s="48"/>
      <c r="GU7" s="55"/>
      <c r="GV7" s="50"/>
      <c r="GW7" s="52"/>
      <c r="GX7" s="53" t="s">
        <v>31</v>
      </c>
      <c r="GY7" s="53" t="str">
        <f t="shared" si="12"/>
        <v>: Pertambangan Bijih Logam</v>
      </c>
      <c r="GZ7" s="53"/>
      <c r="HA7" s="53"/>
      <c r="HB7" s="53"/>
      <c r="HC7" s="59" t="str">
        <f>"Tahun "&amp;HL$6</f>
        <v>Tahun 2022</v>
      </c>
      <c r="HD7" s="53"/>
      <c r="HE7" s="54"/>
      <c r="HF7" s="48"/>
      <c r="HG7" s="48"/>
      <c r="HH7" s="48"/>
      <c r="HI7" s="48"/>
      <c r="HJ7" s="48"/>
      <c r="HK7" s="48"/>
      <c r="HL7" s="55"/>
      <c r="HM7" s="50"/>
      <c r="HN7" s="52"/>
      <c r="HO7" s="53" t="s">
        <v>31</v>
      </c>
      <c r="HP7" s="53" t="str">
        <f t="shared" si="13"/>
        <v>: Pertambangan Bijih Logam</v>
      </c>
      <c r="HQ7" s="53"/>
      <c r="HR7" s="53"/>
      <c r="HS7" s="53"/>
      <c r="HT7" s="59" t="str">
        <f>"Tahun "&amp;IC$6</f>
        <v>Tahun 2023</v>
      </c>
      <c r="HU7" s="53"/>
      <c r="HV7" s="54"/>
      <c r="HW7" s="48"/>
      <c r="HX7" s="48"/>
      <c r="HY7" s="48"/>
      <c r="HZ7" s="48"/>
      <c r="IA7" s="48"/>
      <c r="IB7" s="48"/>
      <c r="IC7" s="55"/>
      <c r="ID7" s="50"/>
      <c r="IE7" s="52"/>
      <c r="IF7" s="53" t="s">
        <v>31</v>
      </c>
      <c r="IG7" s="53" t="str">
        <f t="shared" si="14"/>
        <v>: Pertambangan Bijih Logam</v>
      </c>
      <c r="IH7" s="53"/>
      <c r="II7" s="53"/>
      <c r="IJ7" s="53"/>
      <c r="IK7" s="59" t="str">
        <f>"Tahun "&amp;IT$6</f>
        <v>Tahun 2024</v>
      </c>
      <c r="IL7" s="53"/>
      <c r="IM7" s="54"/>
      <c r="IN7" s="48"/>
      <c r="IO7" s="48"/>
      <c r="IP7" s="48"/>
      <c r="IQ7" s="48"/>
      <c r="IR7" s="48"/>
      <c r="IS7" s="48"/>
      <c r="IT7" s="55"/>
      <c r="IU7" s="50"/>
      <c r="IV7" s="52"/>
      <c r="IW7" s="53" t="s">
        <v>31</v>
      </c>
      <c r="IX7" s="53" t="str">
        <f t="shared" si="15"/>
        <v>: Pertambangan Bijih Logam</v>
      </c>
      <c r="IY7" s="53"/>
      <c r="IZ7" s="53"/>
      <c r="JA7" s="53"/>
      <c r="JB7" s="59" t="str">
        <f>"Tahun "&amp;JK$6</f>
        <v>Tahun 2025</v>
      </c>
      <c r="JC7" s="53"/>
      <c r="JD7" s="54"/>
      <c r="JE7" s="48"/>
      <c r="JF7" s="48"/>
      <c r="JG7" s="48"/>
      <c r="JH7" s="48"/>
      <c r="JI7" s="48"/>
      <c r="JJ7" s="48"/>
      <c r="JK7" s="55"/>
      <c r="JL7" s="51"/>
      <c r="JM7" s="52"/>
      <c r="JN7" s="53" t="s">
        <v>31</v>
      </c>
      <c r="JO7" s="53" t="str">
        <f t="shared" si="16"/>
        <v>: Pertambangan Bijih Logam</v>
      </c>
      <c r="JP7" s="53"/>
      <c r="JQ7" s="53"/>
      <c r="JR7" s="53"/>
      <c r="JS7" s="59" t="str">
        <f>"Tahun "&amp;KB$6</f>
        <v>Tahun 2026</v>
      </c>
      <c r="JT7" s="53"/>
      <c r="JU7" s="54"/>
      <c r="JV7" s="48"/>
      <c r="JW7" s="48"/>
      <c r="JX7" s="48"/>
      <c r="JY7" s="48"/>
      <c r="JZ7" s="48"/>
      <c r="KA7" s="48"/>
      <c r="KB7" s="55"/>
      <c r="KC7" s="51"/>
      <c r="KD7" s="52"/>
      <c r="KE7" s="53" t="s">
        <v>31</v>
      </c>
      <c r="KF7" s="53" t="str">
        <f t="shared" si="17"/>
        <v>: Pertambangan Bijih Logam</v>
      </c>
      <c r="KG7" s="53"/>
      <c r="KH7" s="53"/>
      <c r="KI7" s="53"/>
      <c r="KJ7" s="59" t="str">
        <f>"Tahun "&amp;KS$6</f>
        <v>Tahun 2027</v>
      </c>
      <c r="KK7" s="53"/>
      <c r="KL7" s="54"/>
      <c r="KM7" s="48"/>
      <c r="KN7" s="48"/>
      <c r="KO7" s="48"/>
      <c r="KP7" s="48"/>
      <c r="KQ7" s="48"/>
      <c r="KR7" s="48"/>
      <c r="KS7" s="55"/>
      <c r="KT7" s="51"/>
      <c r="KU7" s="48"/>
    </row>
    <row r="8">
      <c r="A8" s="60"/>
      <c r="B8" s="61" t="s">
        <v>32</v>
      </c>
      <c r="C8" s="61" t="s">
        <v>33</v>
      </c>
      <c r="D8" s="61"/>
      <c r="E8" s="61"/>
      <c r="F8" s="61"/>
      <c r="G8" s="61"/>
      <c r="H8" s="61"/>
      <c r="I8" s="62"/>
      <c r="J8" s="48"/>
      <c r="K8" s="48"/>
      <c r="L8" s="48"/>
      <c r="M8" s="48"/>
      <c r="N8" s="48"/>
      <c r="O8" s="48"/>
      <c r="P8" s="48"/>
      <c r="Q8" s="50"/>
      <c r="R8" s="60"/>
      <c r="S8" s="61" t="s">
        <v>32</v>
      </c>
      <c r="T8" s="61" t="s">
        <v>33</v>
      </c>
      <c r="U8" s="61"/>
      <c r="V8" s="61"/>
      <c r="W8" s="61"/>
      <c r="X8" s="61"/>
      <c r="Y8" s="61"/>
      <c r="Z8" s="62"/>
      <c r="AA8" s="48"/>
      <c r="AB8" s="48"/>
      <c r="AC8" s="48"/>
      <c r="AD8" s="48"/>
      <c r="AE8" s="48"/>
      <c r="AF8" s="48"/>
      <c r="AG8" s="48"/>
      <c r="AH8" s="50"/>
      <c r="AI8" s="60"/>
      <c r="AJ8" s="61" t="s">
        <v>32</v>
      </c>
      <c r="AK8" s="61" t="s">
        <v>33</v>
      </c>
      <c r="AL8" s="61"/>
      <c r="AM8" s="61"/>
      <c r="AN8" s="61"/>
      <c r="AO8" s="61"/>
      <c r="AP8" s="61"/>
      <c r="AQ8" s="62"/>
      <c r="AR8" s="48"/>
      <c r="AS8" s="48"/>
      <c r="AT8" s="48"/>
      <c r="AU8" s="48"/>
      <c r="AV8" s="48"/>
      <c r="AW8" s="48"/>
      <c r="AX8" s="48"/>
      <c r="AY8" s="50"/>
      <c r="AZ8" s="60"/>
      <c r="BA8" s="61" t="s">
        <v>32</v>
      </c>
      <c r="BB8" s="61" t="s">
        <v>33</v>
      </c>
      <c r="BC8" s="61"/>
      <c r="BD8" s="61"/>
      <c r="BE8" s="61"/>
      <c r="BF8" s="61"/>
      <c r="BG8" s="61"/>
      <c r="BH8" s="62"/>
      <c r="BI8" s="48"/>
      <c r="BJ8" s="48"/>
      <c r="BK8" s="48"/>
      <c r="BL8" s="48"/>
      <c r="BM8" s="48"/>
      <c r="BN8" s="48"/>
      <c r="BO8" s="48"/>
      <c r="BP8" s="50"/>
      <c r="BQ8" s="60"/>
      <c r="BR8" s="61" t="s">
        <v>32</v>
      </c>
      <c r="BS8" s="61" t="s">
        <v>33</v>
      </c>
      <c r="BT8" s="61"/>
      <c r="BU8" s="61"/>
      <c r="BV8" s="61"/>
      <c r="BW8" s="61"/>
      <c r="BX8" s="61"/>
      <c r="BY8" s="62"/>
      <c r="BZ8" s="48"/>
      <c r="CA8" s="48"/>
      <c r="CB8" s="48"/>
      <c r="CC8" s="48"/>
      <c r="CD8" s="48"/>
      <c r="CE8" s="48"/>
      <c r="CF8" s="48"/>
      <c r="CG8" s="50"/>
      <c r="CH8" s="60"/>
      <c r="CI8" s="61" t="s">
        <v>32</v>
      </c>
      <c r="CJ8" s="61" t="s">
        <v>33</v>
      </c>
      <c r="CK8" s="61"/>
      <c r="CL8" s="61"/>
      <c r="CM8" s="61"/>
      <c r="CN8" s="61"/>
      <c r="CO8" s="61"/>
      <c r="CP8" s="62"/>
      <c r="CQ8" s="48"/>
      <c r="CR8" s="48"/>
      <c r="CS8" s="48"/>
      <c r="CT8" s="48"/>
      <c r="CU8" s="48"/>
      <c r="CV8" s="48"/>
      <c r="CW8" s="48"/>
      <c r="CX8" s="50"/>
      <c r="CY8" s="60"/>
      <c r="CZ8" s="61" t="s">
        <v>32</v>
      </c>
      <c r="DA8" s="61" t="s">
        <v>33</v>
      </c>
      <c r="DB8" s="61"/>
      <c r="DC8" s="61"/>
      <c r="DD8" s="61"/>
      <c r="DE8" s="61"/>
      <c r="DF8" s="61"/>
      <c r="DG8" s="62"/>
      <c r="DH8" s="48"/>
      <c r="DI8" s="48"/>
      <c r="DJ8" s="48"/>
      <c r="DK8" s="48"/>
      <c r="DL8" s="48"/>
      <c r="DM8" s="48"/>
      <c r="DN8" s="48"/>
      <c r="DO8" s="50"/>
      <c r="DP8" s="60"/>
      <c r="DQ8" s="61" t="s">
        <v>32</v>
      </c>
      <c r="DR8" s="61" t="s">
        <v>33</v>
      </c>
      <c r="DS8" s="61"/>
      <c r="DT8" s="61"/>
      <c r="DU8" s="61"/>
      <c r="DV8" s="61"/>
      <c r="DW8" s="61"/>
      <c r="DX8" s="62"/>
      <c r="DY8" s="48"/>
      <c r="DZ8" s="48"/>
      <c r="EA8" s="48"/>
      <c r="EB8" s="48"/>
      <c r="EC8" s="48"/>
      <c r="ED8" s="48"/>
      <c r="EE8" s="48"/>
      <c r="EF8" s="50"/>
      <c r="EG8" s="60"/>
      <c r="EH8" s="61" t="s">
        <v>32</v>
      </c>
      <c r="EI8" s="61" t="s">
        <v>33</v>
      </c>
      <c r="EJ8" s="61"/>
      <c r="EK8" s="61"/>
      <c r="EL8" s="61"/>
      <c r="EM8" s="61"/>
      <c r="EN8" s="61"/>
      <c r="EO8" s="62"/>
      <c r="EP8" s="48"/>
      <c r="EQ8" s="48"/>
      <c r="ER8" s="48"/>
      <c r="ES8" s="48"/>
      <c r="ET8" s="48"/>
      <c r="EU8" s="48"/>
      <c r="EV8" s="48"/>
      <c r="EW8" s="50"/>
      <c r="EX8" s="60"/>
      <c r="EY8" s="61" t="s">
        <v>32</v>
      </c>
      <c r="EZ8" s="61" t="s">
        <v>33</v>
      </c>
      <c r="FA8" s="61"/>
      <c r="FB8" s="61"/>
      <c r="FC8" s="61"/>
      <c r="FD8" s="61"/>
      <c r="FE8" s="61"/>
      <c r="FF8" s="62"/>
      <c r="FG8" s="48"/>
      <c r="FH8" s="48"/>
      <c r="FI8" s="48"/>
      <c r="FJ8" s="48"/>
      <c r="FK8" s="48"/>
      <c r="FL8" s="48"/>
      <c r="FM8" s="48"/>
      <c r="FN8" s="50"/>
      <c r="FO8" s="60"/>
      <c r="FP8" s="61" t="s">
        <v>32</v>
      </c>
      <c r="FQ8" s="61" t="s">
        <v>33</v>
      </c>
      <c r="FR8" s="61"/>
      <c r="FS8" s="61"/>
      <c r="FT8" s="61"/>
      <c r="FU8" s="61"/>
      <c r="FV8" s="61"/>
      <c r="FW8" s="62"/>
      <c r="FX8" s="48"/>
      <c r="FY8" s="48"/>
      <c r="FZ8" s="48"/>
      <c r="GA8" s="48"/>
      <c r="GB8" s="48"/>
      <c r="GC8" s="48"/>
      <c r="GD8" s="48"/>
      <c r="GE8" s="50"/>
      <c r="GF8" s="60"/>
      <c r="GG8" s="61" t="s">
        <v>32</v>
      </c>
      <c r="GH8" s="61" t="s">
        <v>33</v>
      </c>
      <c r="GI8" s="61"/>
      <c r="GJ8" s="61"/>
      <c r="GK8" s="61"/>
      <c r="GL8" s="61"/>
      <c r="GM8" s="61"/>
      <c r="GN8" s="62"/>
      <c r="GO8" s="48"/>
      <c r="GP8" s="48"/>
      <c r="GQ8" s="48"/>
      <c r="GR8" s="48"/>
      <c r="GS8" s="48"/>
      <c r="GT8" s="48"/>
      <c r="GU8" s="48"/>
      <c r="GV8" s="50"/>
      <c r="GW8" s="60"/>
      <c r="GX8" s="61" t="s">
        <v>32</v>
      </c>
      <c r="GY8" s="61" t="s">
        <v>33</v>
      </c>
      <c r="GZ8" s="61"/>
      <c r="HA8" s="61"/>
      <c r="HB8" s="61"/>
      <c r="HC8" s="61"/>
      <c r="HD8" s="61"/>
      <c r="HE8" s="62"/>
      <c r="HF8" s="48"/>
      <c r="HG8" s="48"/>
      <c r="HH8" s="48"/>
      <c r="HI8" s="48"/>
      <c r="HJ8" s="48"/>
      <c r="HK8" s="48"/>
      <c r="HL8" s="48"/>
      <c r="HM8" s="50"/>
      <c r="HN8" s="60"/>
      <c r="HO8" s="61" t="s">
        <v>32</v>
      </c>
      <c r="HP8" s="61" t="s">
        <v>33</v>
      </c>
      <c r="HQ8" s="61"/>
      <c r="HR8" s="61"/>
      <c r="HS8" s="61"/>
      <c r="HT8" s="61"/>
      <c r="HU8" s="61"/>
      <c r="HV8" s="62"/>
      <c r="HW8" s="48"/>
      <c r="HX8" s="48"/>
      <c r="HY8" s="48"/>
      <c r="HZ8" s="48"/>
      <c r="IA8" s="48"/>
      <c r="IB8" s="48"/>
      <c r="IC8" s="48"/>
      <c r="ID8" s="50"/>
      <c r="IE8" s="60"/>
      <c r="IF8" s="61" t="s">
        <v>32</v>
      </c>
      <c r="IG8" s="61" t="s">
        <v>33</v>
      </c>
      <c r="IH8" s="61"/>
      <c r="II8" s="61"/>
      <c r="IJ8" s="61"/>
      <c r="IK8" s="61"/>
      <c r="IL8" s="61"/>
      <c r="IM8" s="62"/>
      <c r="IN8" s="48"/>
      <c r="IO8" s="48"/>
      <c r="IP8" s="48"/>
      <c r="IQ8" s="48"/>
      <c r="IR8" s="48"/>
      <c r="IS8" s="48"/>
      <c r="IT8" s="48"/>
      <c r="IU8" s="50"/>
      <c r="IV8" s="60"/>
      <c r="IW8" s="61" t="s">
        <v>32</v>
      </c>
      <c r="IX8" s="61" t="s">
        <v>33</v>
      </c>
      <c r="IY8" s="61"/>
      <c r="IZ8" s="61"/>
      <c r="JA8" s="61"/>
      <c r="JB8" s="61"/>
      <c r="JC8" s="61"/>
      <c r="JD8" s="62"/>
      <c r="JE8" s="48"/>
      <c r="JF8" s="48"/>
      <c r="JG8" s="48"/>
      <c r="JH8" s="48"/>
      <c r="JI8" s="48"/>
      <c r="JJ8" s="48"/>
      <c r="JK8" s="48"/>
      <c r="JL8" s="50"/>
      <c r="JM8" s="60"/>
      <c r="JN8" s="61" t="s">
        <v>32</v>
      </c>
      <c r="JO8" s="61" t="s">
        <v>33</v>
      </c>
      <c r="JP8" s="61"/>
      <c r="JQ8" s="61"/>
      <c r="JR8" s="61"/>
      <c r="JS8" s="61"/>
      <c r="JT8" s="61"/>
      <c r="JU8" s="62"/>
      <c r="JV8" s="48"/>
      <c r="JW8" s="48"/>
      <c r="JX8" s="48"/>
      <c r="JY8" s="48"/>
      <c r="JZ8" s="48"/>
      <c r="KA8" s="48"/>
      <c r="KB8" s="48"/>
      <c r="KC8" s="50"/>
      <c r="KD8" s="60"/>
      <c r="KE8" s="61" t="s">
        <v>32</v>
      </c>
      <c r="KF8" s="61" t="s">
        <v>33</v>
      </c>
      <c r="KG8" s="61"/>
      <c r="KH8" s="61"/>
      <c r="KI8" s="61"/>
      <c r="KJ8" s="61"/>
      <c r="KK8" s="61"/>
      <c r="KL8" s="62"/>
      <c r="KM8" s="48"/>
      <c r="KN8" s="48"/>
      <c r="KO8" s="48"/>
      <c r="KP8" s="48"/>
      <c r="KQ8" s="48"/>
      <c r="KR8" s="48"/>
      <c r="KS8" s="48"/>
      <c r="KT8" s="50"/>
      <c r="KU8" s="48"/>
    </row>
    <row r="9">
      <c r="A9" s="44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7"/>
      <c r="R9" s="44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7"/>
      <c r="AI9" s="44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7"/>
      <c r="AZ9" s="44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7"/>
      <c r="BQ9" s="44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7"/>
      <c r="CH9" s="44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7"/>
      <c r="CY9" s="44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7"/>
      <c r="DP9" s="44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7"/>
      <c r="EG9" s="44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7"/>
      <c r="EX9" s="44"/>
      <c r="EY9" s="36"/>
      <c r="EZ9" s="36"/>
      <c r="FA9" s="36"/>
      <c r="FB9" s="36"/>
      <c r="FC9" s="36"/>
      <c r="FD9" s="36"/>
      <c r="FE9" s="36"/>
      <c r="FF9" s="36"/>
      <c r="FG9" s="36"/>
      <c r="FH9" s="36"/>
      <c r="FI9" s="36"/>
      <c r="FJ9" s="36"/>
      <c r="FK9" s="36"/>
      <c r="FL9" s="36"/>
      <c r="FM9" s="36"/>
      <c r="FN9" s="37"/>
      <c r="FO9" s="44"/>
      <c r="FP9" s="36"/>
      <c r="FQ9" s="36"/>
      <c r="FR9" s="36"/>
      <c r="FS9" s="36"/>
      <c r="FT9" s="36"/>
      <c r="FU9" s="36"/>
      <c r="FV9" s="36"/>
      <c r="FW9" s="36"/>
      <c r="FX9" s="36"/>
      <c r="FY9" s="36"/>
      <c r="FZ9" s="36"/>
      <c r="GA9" s="36"/>
      <c r="GB9" s="36"/>
      <c r="GC9" s="36"/>
      <c r="GD9" s="36"/>
      <c r="GE9" s="37"/>
      <c r="GF9" s="44"/>
      <c r="GG9" s="36"/>
      <c r="GH9" s="36"/>
      <c r="GI9" s="36"/>
      <c r="GJ9" s="36"/>
      <c r="GK9" s="36"/>
      <c r="GL9" s="36"/>
      <c r="GM9" s="36"/>
      <c r="GN9" s="36"/>
      <c r="GO9" s="36"/>
      <c r="GP9" s="36"/>
      <c r="GQ9" s="36"/>
      <c r="GR9" s="36"/>
      <c r="GS9" s="36"/>
      <c r="GT9" s="36"/>
      <c r="GU9" s="36"/>
      <c r="GV9" s="37"/>
      <c r="GW9" s="44"/>
      <c r="GX9" s="36"/>
      <c r="GY9" s="36"/>
      <c r="GZ9" s="36"/>
      <c r="HA9" s="36"/>
      <c r="HB9" s="36"/>
      <c r="HC9" s="36"/>
      <c r="HD9" s="36"/>
      <c r="HE9" s="36"/>
      <c r="HF9" s="36"/>
      <c r="HG9" s="36"/>
      <c r="HH9" s="36"/>
      <c r="HI9" s="36"/>
      <c r="HJ9" s="36"/>
      <c r="HK9" s="36"/>
      <c r="HL9" s="36"/>
      <c r="HM9" s="37"/>
      <c r="HN9" s="44"/>
      <c r="HO9" s="36"/>
      <c r="HP9" s="36"/>
      <c r="HQ9" s="36"/>
      <c r="HR9" s="36"/>
      <c r="HS9" s="36"/>
      <c r="HT9" s="36"/>
      <c r="HU9" s="36"/>
      <c r="HV9" s="36"/>
      <c r="HW9" s="36"/>
      <c r="HX9" s="36"/>
      <c r="HY9" s="36"/>
      <c r="HZ9" s="36"/>
      <c r="IA9" s="36"/>
      <c r="IB9" s="36"/>
      <c r="IC9" s="36"/>
      <c r="ID9" s="37"/>
      <c r="IE9" s="44"/>
      <c r="IF9" s="36"/>
      <c r="IG9" s="36"/>
      <c r="IH9" s="36"/>
      <c r="II9" s="36"/>
      <c r="IJ9" s="36"/>
      <c r="IK9" s="36"/>
      <c r="IL9" s="36"/>
      <c r="IM9" s="36"/>
      <c r="IN9" s="36"/>
      <c r="IO9" s="36"/>
      <c r="IP9" s="36"/>
      <c r="IQ9" s="36"/>
      <c r="IR9" s="36"/>
      <c r="IS9" s="36"/>
      <c r="IT9" s="36"/>
      <c r="IU9" s="37"/>
      <c r="IV9" s="44"/>
      <c r="IW9" s="36"/>
      <c r="IX9" s="36"/>
      <c r="IY9" s="36"/>
      <c r="IZ9" s="36"/>
      <c r="JA9" s="36"/>
      <c r="JB9" s="36"/>
      <c r="JC9" s="36"/>
      <c r="JD9" s="36"/>
      <c r="JE9" s="36"/>
      <c r="JF9" s="36"/>
      <c r="JG9" s="36"/>
      <c r="JH9" s="36"/>
      <c r="JI9" s="36"/>
      <c r="JJ9" s="36"/>
      <c r="JK9" s="36"/>
      <c r="JL9" s="37"/>
      <c r="JM9" s="44"/>
      <c r="JN9" s="36"/>
      <c r="JO9" s="36"/>
      <c r="JP9" s="36"/>
      <c r="JQ9" s="36"/>
      <c r="JR9" s="36"/>
      <c r="JS9" s="36"/>
      <c r="JT9" s="36"/>
      <c r="JU9" s="36"/>
      <c r="JV9" s="36"/>
      <c r="JW9" s="36"/>
      <c r="JX9" s="36"/>
      <c r="JY9" s="36"/>
      <c r="JZ9" s="36"/>
      <c r="KA9" s="36"/>
      <c r="KB9" s="36"/>
      <c r="KC9" s="37"/>
      <c r="KD9" s="44"/>
      <c r="KE9" s="36"/>
      <c r="KF9" s="36"/>
      <c r="KG9" s="36"/>
      <c r="KH9" s="36"/>
      <c r="KI9" s="36"/>
      <c r="KJ9" s="36"/>
      <c r="KK9" s="36"/>
      <c r="KL9" s="36"/>
      <c r="KM9" s="36"/>
      <c r="KN9" s="36"/>
      <c r="KO9" s="36"/>
      <c r="KP9" s="36"/>
      <c r="KQ9" s="36"/>
      <c r="KR9" s="36"/>
      <c r="KS9" s="36"/>
      <c r="KT9" s="37"/>
      <c r="KU9" s="36"/>
    </row>
    <row r="10" ht="33.75" customHeight="1">
      <c r="A10" s="63" t="s">
        <v>34</v>
      </c>
      <c r="B10" s="64" t="s">
        <v>35</v>
      </c>
      <c r="C10" s="65" t="s">
        <v>36</v>
      </c>
      <c r="D10" s="66"/>
      <c r="E10" s="66"/>
      <c r="F10" s="66"/>
      <c r="G10" s="67"/>
      <c r="H10" s="65" t="s">
        <v>37</v>
      </c>
      <c r="I10" s="67"/>
      <c r="J10" s="65" t="s">
        <v>38</v>
      </c>
      <c r="K10" s="66"/>
      <c r="L10" s="67"/>
      <c r="M10" s="64" t="s">
        <v>39</v>
      </c>
      <c r="N10" s="65" t="s">
        <v>40</v>
      </c>
      <c r="O10" s="67"/>
      <c r="P10" s="68" t="s">
        <v>41</v>
      </c>
      <c r="Q10" s="69"/>
      <c r="R10" s="63" t="s">
        <v>34</v>
      </c>
      <c r="S10" s="64" t="s">
        <v>35</v>
      </c>
      <c r="T10" s="65" t="s">
        <v>36</v>
      </c>
      <c r="U10" s="66"/>
      <c r="V10" s="66"/>
      <c r="W10" s="66"/>
      <c r="X10" s="67"/>
      <c r="Y10" s="65" t="s">
        <v>37</v>
      </c>
      <c r="Z10" s="67"/>
      <c r="AA10" s="65" t="s">
        <v>38</v>
      </c>
      <c r="AB10" s="66"/>
      <c r="AC10" s="67"/>
      <c r="AD10" s="64" t="s">
        <v>39</v>
      </c>
      <c r="AE10" s="65" t="s">
        <v>40</v>
      </c>
      <c r="AF10" s="67"/>
      <c r="AG10" s="68" t="s">
        <v>41</v>
      </c>
      <c r="AH10" s="69"/>
      <c r="AI10" s="63" t="s">
        <v>34</v>
      </c>
      <c r="AJ10" s="64" t="s">
        <v>35</v>
      </c>
      <c r="AK10" s="65" t="s">
        <v>36</v>
      </c>
      <c r="AL10" s="66"/>
      <c r="AM10" s="66"/>
      <c r="AN10" s="66"/>
      <c r="AO10" s="67"/>
      <c r="AP10" s="65" t="s">
        <v>37</v>
      </c>
      <c r="AQ10" s="67"/>
      <c r="AR10" s="65" t="s">
        <v>38</v>
      </c>
      <c r="AS10" s="66"/>
      <c r="AT10" s="67"/>
      <c r="AU10" s="64" t="s">
        <v>39</v>
      </c>
      <c r="AV10" s="65" t="s">
        <v>40</v>
      </c>
      <c r="AW10" s="67"/>
      <c r="AX10" s="68" t="s">
        <v>41</v>
      </c>
      <c r="AY10" s="69"/>
      <c r="AZ10" s="63" t="s">
        <v>34</v>
      </c>
      <c r="BA10" s="64" t="s">
        <v>35</v>
      </c>
      <c r="BB10" s="65" t="s">
        <v>36</v>
      </c>
      <c r="BC10" s="66"/>
      <c r="BD10" s="66"/>
      <c r="BE10" s="66"/>
      <c r="BF10" s="67"/>
      <c r="BG10" s="65" t="s">
        <v>37</v>
      </c>
      <c r="BH10" s="67"/>
      <c r="BI10" s="65" t="s">
        <v>38</v>
      </c>
      <c r="BJ10" s="66"/>
      <c r="BK10" s="67"/>
      <c r="BL10" s="64" t="s">
        <v>39</v>
      </c>
      <c r="BM10" s="65" t="s">
        <v>40</v>
      </c>
      <c r="BN10" s="67"/>
      <c r="BO10" s="68" t="s">
        <v>41</v>
      </c>
      <c r="BP10" s="69"/>
      <c r="BQ10" s="63" t="s">
        <v>34</v>
      </c>
      <c r="BR10" s="64" t="s">
        <v>35</v>
      </c>
      <c r="BS10" s="65" t="s">
        <v>36</v>
      </c>
      <c r="BT10" s="66"/>
      <c r="BU10" s="66"/>
      <c r="BV10" s="66"/>
      <c r="BW10" s="67"/>
      <c r="BX10" s="65" t="s">
        <v>37</v>
      </c>
      <c r="BY10" s="67"/>
      <c r="BZ10" s="65" t="s">
        <v>38</v>
      </c>
      <c r="CA10" s="66"/>
      <c r="CB10" s="67"/>
      <c r="CC10" s="64" t="s">
        <v>39</v>
      </c>
      <c r="CD10" s="65" t="s">
        <v>40</v>
      </c>
      <c r="CE10" s="67"/>
      <c r="CF10" s="68" t="s">
        <v>41</v>
      </c>
      <c r="CG10" s="69"/>
      <c r="CH10" s="63" t="s">
        <v>34</v>
      </c>
      <c r="CI10" s="64" t="s">
        <v>35</v>
      </c>
      <c r="CJ10" s="65" t="s">
        <v>36</v>
      </c>
      <c r="CK10" s="66"/>
      <c r="CL10" s="66"/>
      <c r="CM10" s="66"/>
      <c r="CN10" s="67"/>
      <c r="CO10" s="65" t="s">
        <v>37</v>
      </c>
      <c r="CP10" s="67"/>
      <c r="CQ10" s="65" t="s">
        <v>38</v>
      </c>
      <c r="CR10" s="66"/>
      <c r="CS10" s="67"/>
      <c r="CT10" s="64" t="s">
        <v>39</v>
      </c>
      <c r="CU10" s="65" t="s">
        <v>40</v>
      </c>
      <c r="CV10" s="67"/>
      <c r="CW10" s="68" t="s">
        <v>41</v>
      </c>
      <c r="CX10" s="69"/>
      <c r="CY10" s="63" t="s">
        <v>34</v>
      </c>
      <c r="CZ10" s="64" t="s">
        <v>35</v>
      </c>
      <c r="DA10" s="65" t="s">
        <v>36</v>
      </c>
      <c r="DB10" s="66"/>
      <c r="DC10" s="66"/>
      <c r="DD10" s="66"/>
      <c r="DE10" s="67"/>
      <c r="DF10" s="65" t="s">
        <v>37</v>
      </c>
      <c r="DG10" s="67"/>
      <c r="DH10" s="65" t="s">
        <v>38</v>
      </c>
      <c r="DI10" s="66"/>
      <c r="DJ10" s="67"/>
      <c r="DK10" s="64" t="s">
        <v>39</v>
      </c>
      <c r="DL10" s="65" t="s">
        <v>40</v>
      </c>
      <c r="DM10" s="67"/>
      <c r="DN10" s="68" t="s">
        <v>41</v>
      </c>
      <c r="DO10" s="69"/>
      <c r="DP10" s="63" t="s">
        <v>34</v>
      </c>
      <c r="DQ10" s="64" t="s">
        <v>35</v>
      </c>
      <c r="DR10" s="65" t="s">
        <v>36</v>
      </c>
      <c r="DS10" s="66"/>
      <c r="DT10" s="66"/>
      <c r="DU10" s="66"/>
      <c r="DV10" s="67"/>
      <c r="DW10" s="65" t="s">
        <v>37</v>
      </c>
      <c r="DX10" s="67"/>
      <c r="DY10" s="65" t="s">
        <v>38</v>
      </c>
      <c r="DZ10" s="66"/>
      <c r="EA10" s="67"/>
      <c r="EB10" s="64" t="s">
        <v>39</v>
      </c>
      <c r="EC10" s="65" t="s">
        <v>40</v>
      </c>
      <c r="ED10" s="67"/>
      <c r="EE10" s="68" t="s">
        <v>41</v>
      </c>
      <c r="EF10" s="69"/>
      <c r="EG10" s="63" t="s">
        <v>34</v>
      </c>
      <c r="EH10" s="64" t="s">
        <v>35</v>
      </c>
      <c r="EI10" s="65" t="s">
        <v>36</v>
      </c>
      <c r="EJ10" s="66"/>
      <c r="EK10" s="66"/>
      <c r="EL10" s="66"/>
      <c r="EM10" s="67"/>
      <c r="EN10" s="65" t="s">
        <v>37</v>
      </c>
      <c r="EO10" s="67"/>
      <c r="EP10" s="65" t="s">
        <v>38</v>
      </c>
      <c r="EQ10" s="66"/>
      <c r="ER10" s="67"/>
      <c r="ES10" s="64" t="s">
        <v>39</v>
      </c>
      <c r="ET10" s="65" t="s">
        <v>40</v>
      </c>
      <c r="EU10" s="67"/>
      <c r="EV10" s="68" t="s">
        <v>41</v>
      </c>
      <c r="EW10" s="69"/>
      <c r="EX10" s="63" t="s">
        <v>34</v>
      </c>
      <c r="EY10" s="64" t="s">
        <v>35</v>
      </c>
      <c r="EZ10" s="65" t="s">
        <v>36</v>
      </c>
      <c r="FA10" s="66"/>
      <c r="FB10" s="66"/>
      <c r="FC10" s="66"/>
      <c r="FD10" s="67"/>
      <c r="FE10" s="65" t="s">
        <v>37</v>
      </c>
      <c r="FF10" s="67"/>
      <c r="FG10" s="65" t="s">
        <v>38</v>
      </c>
      <c r="FH10" s="66"/>
      <c r="FI10" s="67"/>
      <c r="FJ10" s="64" t="s">
        <v>39</v>
      </c>
      <c r="FK10" s="65" t="s">
        <v>40</v>
      </c>
      <c r="FL10" s="67"/>
      <c r="FM10" s="68" t="s">
        <v>41</v>
      </c>
      <c r="FN10" s="69"/>
      <c r="FO10" s="63" t="s">
        <v>34</v>
      </c>
      <c r="FP10" s="64" t="s">
        <v>35</v>
      </c>
      <c r="FQ10" s="65" t="s">
        <v>36</v>
      </c>
      <c r="FR10" s="66"/>
      <c r="FS10" s="66"/>
      <c r="FT10" s="66"/>
      <c r="FU10" s="67"/>
      <c r="FV10" s="65" t="s">
        <v>37</v>
      </c>
      <c r="FW10" s="67"/>
      <c r="FX10" s="65" t="s">
        <v>38</v>
      </c>
      <c r="FY10" s="66"/>
      <c r="FZ10" s="67"/>
      <c r="GA10" s="64" t="s">
        <v>39</v>
      </c>
      <c r="GB10" s="65" t="s">
        <v>40</v>
      </c>
      <c r="GC10" s="67"/>
      <c r="GD10" s="68" t="s">
        <v>41</v>
      </c>
      <c r="GE10" s="69"/>
      <c r="GF10" s="63" t="s">
        <v>34</v>
      </c>
      <c r="GG10" s="64" t="s">
        <v>35</v>
      </c>
      <c r="GH10" s="65" t="s">
        <v>36</v>
      </c>
      <c r="GI10" s="66"/>
      <c r="GJ10" s="66"/>
      <c r="GK10" s="66"/>
      <c r="GL10" s="67"/>
      <c r="GM10" s="65" t="s">
        <v>37</v>
      </c>
      <c r="GN10" s="67"/>
      <c r="GO10" s="65" t="s">
        <v>38</v>
      </c>
      <c r="GP10" s="66"/>
      <c r="GQ10" s="67"/>
      <c r="GR10" s="64" t="s">
        <v>39</v>
      </c>
      <c r="GS10" s="65" t="s">
        <v>40</v>
      </c>
      <c r="GT10" s="67"/>
      <c r="GU10" s="68" t="s">
        <v>41</v>
      </c>
      <c r="GV10" s="69"/>
      <c r="GW10" s="63" t="s">
        <v>34</v>
      </c>
      <c r="GX10" s="64" t="s">
        <v>35</v>
      </c>
      <c r="GY10" s="65" t="s">
        <v>36</v>
      </c>
      <c r="GZ10" s="66"/>
      <c r="HA10" s="66"/>
      <c r="HB10" s="66"/>
      <c r="HC10" s="67"/>
      <c r="HD10" s="65" t="s">
        <v>37</v>
      </c>
      <c r="HE10" s="67"/>
      <c r="HF10" s="65" t="s">
        <v>38</v>
      </c>
      <c r="HG10" s="66"/>
      <c r="HH10" s="67"/>
      <c r="HI10" s="64" t="s">
        <v>39</v>
      </c>
      <c r="HJ10" s="65" t="s">
        <v>40</v>
      </c>
      <c r="HK10" s="67"/>
      <c r="HL10" s="68" t="s">
        <v>41</v>
      </c>
      <c r="HM10" s="69"/>
      <c r="HN10" s="63" t="s">
        <v>34</v>
      </c>
      <c r="HO10" s="64" t="s">
        <v>35</v>
      </c>
      <c r="HP10" s="65" t="s">
        <v>36</v>
      </c>
      <c r="HQ10" s="66"/>
      <c r="HR10" s="66"/>
      <c r="HS10" s="66"/>
      <c r="HT10" s="67"/>
      <c r="HU10" s="65" t="s">
        <v>37</v>
      </c>
      <c r="HV10" s="67"/>
      <c r="HW10" s="65" t="s">
        <v>38</v>
      </c>
      <c r="HX10" s="66"/>
      <c r="HY10" s="67"/>
      <c r="HZ10" s="64" t="s">
        <v>39</v>
      </c>
      <c r="IA10" s="65" t="s">
        <v>40</v>
      </c>
      <c r="IB10" s="67"/>
      <c r="IC10" s="68" t="s">
        <v>41</v>
      </c>
      <c r="ID10" s="69"/>
      <c r="IE10" s="63" t="s">
        <v>34</v>
      </c>
      <c r="IF10" s="64" t="s">
        <v>35</v>
      </c>
      <c r="IG10" s="65" t="s">
        <v>36</v>
      </c>
      <c r="IH10" s="66"/>
      <c r="II10" s="66"/>
      <c r="IJ10" s="66"/>
      <c r="IK10" s="67"/>
      <c r="IL10" s="65" t="s">
        <v>37</v>
      </c>
      <c r="IM10" s="67"/>
      <c r="IN10" s="65" t="s">
        <v>38</v>
      </c>
      <c r="IO10" s="66"/>
      <c r="IP10" s="67"/>
      <c r="IQ10" s="64" t="s">
        <v>39</v>
      </c>
      <c r="IR10" s="65" t="s">
        <v>40</v>
      </c>
      <c r="IS10" s="67"/>
      <c r="IT10" s="68" t="s">
        <v>41</v>
      </c>
      <c r="IU10" s="69"/>
      <c r="IV10" s="63" t="s">
        <v>34</v>
      </c>
      <c r="IW10" s="64" t="s">
        <v>35</v>
      </c>
      <c r="IX10" s="65" t="s">
        <v>36</v>
      </c>
      <c r="IY10" s="66"/>
      <c r="IZ10" s="66"/>
      <c r="JA10" s="66"/>
      <c r="JB10" s="67"/>
      <c r="JC10" s="65" t="s">
        <v>37</v>
      </c>
      <c r="JD10" s="67"/>
      <c r="JE10" s="65" t="s">
        <v>38</v>
      </c>
      <c r="JF10" s="66"/>
      <c r="JG10" s="67"/>
      <c r="JH10" s="64" t="s">
        <v>39</v>
      </c>
      <c r="JI10" s="65" t="s">
        <v>40</v>
      </c>
      <c r="JJ10" s="67"/>
      <c r="JK10" s="68" t="s">
        <v>41</v>
      </c>
      <c r="JL10" s="70"/>
      <c r="JM10" s="63" t="s">
        <v>34</v>
      </c>
      <c r="JN10" s="64" t="s">
        <v>35</v>
      </c>
      <c r="JO10" s="65" t="s">
        <v>36</v>
      </c>
      <c r="JP10" s="66"/>
      <c r="JQ10" s="66"/>
      <c r="JR10" s="66"/>
      <c r="JS10" s="67"/>
      <c r="JT10" s="65" t="s">
        <v>37</v>
      </c>
      <c r="JU10" s="67"/>
      <c r="JV10" s="65" t="s">
        <v>38</v>
      </c>
      <c r="JW10" s="66"/>
      <c r="JX10" s="67"/>
      <c r="JY10" s="64" t="s">
        <v>39</v>
      </c>
      <c r="JZ10" s="65" t="s">
        <v>40</v>
      </c>
      <c r="KA10" s="67"/>
      <c r="KB10" s="68" t="s">
        <v>41</v>
      </c>
      <c r="KC10" s="70"/>
      <c r="KD10" s="63" t="s">
        <v>34</v>
      </c>
      <c r="KE10" s="64" t="s">
        <v>35</v>
      </c>
      <c r="KF10" s="65" t="s">
        <v>36</v>
      </c>
      <c r="KG10" s="66"/>
      <c r="KH10" s="66"/>
      <c r="KI10" s="66"/>
      <c r="KJ10" s="67"/>
      <c r="KK10" s="65" t="s">
        <v>37</v>
      </c>
      <c r="KL10" s="67"/>
      <c r="KM10" s="65" t="s">
        <v>38</v>
      </c>
      <c r="KN10" s="66"/>
      <c r="KO10" s="67"/>
      <c r="KP10" s="64" t="s">
        <v>39</v>
      </c>
      <c r="KQ10" s="65" t="s">
        <v>40</v>
      </c>
      <c r="KR10" s="67"/>
      <c r="KS10" s="68" t="s">
        <v>41</v>
      </c>
      <c r="KT10" s="70"/>
      <c r="KU10" s="71"/>
    </row>
    <row r="11" ht="66.0" customHeight="1">
      <c r="A11" s="72"/>
      <c r="B11" s="55"/>
      <c r="C11" s="73" t="s">
        <v>42</v>
      </c>
      <c r="D11" s="73" t="s">
        <v>43</v>
      </c>
      <c r="E11" s="73" t="s">
        <v>44</v>
      </c>
      <c r="F11" s="73" t="s">
        <v>45</v>
      </c>
      <c r="G11" s="73" t="s">
        <v>46</v>
      </c>
      <c r="H11" s="74" t="s">
        <v>47</v>
      </c>
      <c r="I11" s="73" t="s">
        <v>48</v>
      </c>
      <c r="J11" s="74" t="str">
        <f>"Total Biaya Perawatan "&amp;G7&amp;" (Juta Rp)"</f>
        <v>Total Biaya Perawatan Tahun 2010 (Juta Rp)</v>
      </c>
      <c r="K11" s="73" t="str">
        <f>"Total Biaya Perawatan Tahun "&amp;P6-1&amp;" (Juta Rp)"</f>
        <v>Total Biaya Perawatan Tahun 2009 (Juta Rp)</v>
      </c>
      <c r="L11" s="73" t="s">
        <v>49</v>
      </c>
      <c r="M11" s="55"/>
      <c r="N11" s="74" t="s">
        <v>47</v>
      </c>
      <c r="O11" s="74" t="s">
        <v>50</v>
      </c>
      <c r="P11" s="75"/>
      <c r="Q11" s="69"/>
      <c r="R11" s="72"/>
      <c r="S11" s="55"/>
      <c r="T11" s="73" t="s">
        <v>42</v>
      </c>
      <c r="U11" s="73" t="s">
        <v>43</v>
      </c>
      <c r="V11" s="73" t="s">
        <v>44</v>
      </c>
      <c r="W11" s="73" t="s">
        <v>45</v>
      </c>
      <c r="X11" s="73" t="s">
        <v>46</v>
      </c>
      <c r="Y11" s="74" t="s">
        <v>47</v>
      </c>
      <c r="Z11" s="73" t="s">
        <v>48</v>
      </c>
      <c r="AA11" s="74" t="str">
        <f>"Total Biaya Perawatan "&amp;X7&amp;" (Juta Rp)"</f>
        <v>Total Biaya Perawatan Tahun 2011 (Juta Rp)</v>
      </c>
      <c r="AB11" s="73" t="str">
        <f>"Total Biaya Perawatan Tahun "&amp;AG6-1&amp;" (Juta Rp)"</f>
        <v>Total Biaya Perawatan Tahun 2010 (Juta Rp)</v>
      </c>
      <c r="AC11" s="73" t="s">
        <v>49</v>
      </c>
      <c r="AD11" s="55"/>
      <c r="AE11" s="74" t="s">
        <v>47</v>
      </c>
      <c r="AF11" s="74" t="s">
        <v>50</v>
      </c>
      <c r="AG11" s="75"/>
      <c r="AH11" s="69"/>
      <c r="AI11" s="72"/>
      <c r="AJ11" s="55"/>
      <c r="AK11" s="73" t="s">
        <v>42</v>
      </c>
      <c r="AL11" s="73" t="s">
        <v>43</v>
      </c>
      <c r="AM11" s="73" t="s">
        <v>44</v>
      </c>
      <c r="AN11" s="73" t="s">
        <v>45</v>
      </c>
      <c r="AO11" s="73" t="s">
        <v>46</v>
      </c>
      <c r="AP11" s="74" t="s">
        <v>47</v>
      </c>
      <c r="AQ11" s="73" t="s">
        <v>48</v>
      </c>
      <c r="AR11" s="74" t="str">
        <f>"Total Biaya Perawatan "&amp;AO7&amp;" (Juta Rp)"</f>
        <v>Total Biaya Perawatan Tahun 2012 (Juta Rp)</v>
      </c>
      <c r="AS11" s="73" t="str">
        <f>"Total Biaya Perawatan Tahun "&amp;AX6-1&amp;" (Juta Rp)"</f>
        <v>Total Biaya Perawatan Tahun 2011 (Juta Rp)</v>
      </c>
      <c r="AT11" s="73" t="s">
        <v>49</v>
      </c>
      <c r="AU11" s="55"/>
      <c r="AV11" s="74" t="s">
        <v>47</v>
      </c>
      <c r="AW11" s="74" t="s">
        <v>50</v>
      </c>
      <c r="AX11" s="75"/>
      <c r="AY11" s="69"/>
      <c r="AZ11" s="72"/>
      <c r="BA11" s="55"/>
      <c r="BB11" s="73" t="s">
        <v>42</v>
      </c>
      <c r="BC11" s="73" t="s">
        <v>43</v>
      </c>
      <c r="BD11" s="73" t="s">
        <v>44</v>
      </c>
      <c r="BE11" s="73" t="s">
        <v>45</v>
      </c>
      <c r="BF11" s="73" t="s">
        <v>46</v>
      </c>
      <c r="BG11" s="74" t="s">
        <v>47</v>
      </c>
      <c r="BH11" s="73" t="s">
        <v>48</v>
      </c>
      <c r="BI11" s="74" t="str">
        <f>"Total Biaya Perawatan "&amp;BF7&amp;" (Juta Rp)"</f>
        <v>Total Biaya Perawatan Tahun 2013 (Juta Rp)</v>
      </c>
      <c r="BJ11" s="73" t="str">
        <f>"Total Biaya Perawatan Tahun "&amp;BO6-1&amp;" (Juta Rp)"</f>
        <v>Total Biaya Perawatan Tahun 2012 (Juta Rp)</v>
      </c>
      <c r="BK11" s="73" t="s">
        <v>49</v>
      </c>
      <c r="BL11" s="55"/>
      <c r="BM11" s="74" t="s">
        <v>47</v>
      </c>
      <c r="BN11" s="74" t="s">
        <v>50</v>
      </c>
      <c r="BO11" s="75"/>
      <c r="BP11" s="69"/>
      <c r="BQ11" s="72"/>
      <c r="BR11" s="55"/>
      <c r="BS11" s="73" t="s">
        <v>42</v>
      </c>
      <c r="BT11" s="73" t="s">
        <v>43</v>
      </c>
      <c r="BU11" s="73" t="s">
        <v>44</v>
      </c>
      <c r="BV11" s="73" t="s">
        <v>45</v>
      </c>
      <c r="BW11" s="73" t="s">
        <v>46</v>
      </c>
      <c r="BX11" s="74" t="s">
        <v>47</v>
      </c>
      <c r="BY11" s="73" t="s">
        <v>48</v>
      </c>
      <c r="BZ11" s="74" t="str">
        <f>"Total Biaya Perawatan "&amp;BW7&amp;" (Juta Rp)"</f>
        <v>Total Biaya Perawatan Tahun 2014 (Juta Rp)</v>
      </c>
      <c r="CA11" s="73" t="str">
        <f>"Total Biaya Perawatan Tahun "&amp;CF6-1&amp;" (Juta Rp)"</f>
        <v>Total Biaya Perawatan Tahun 2013 (Juta Rp)</v>
      </c>
      <c r="CB11" s="73" t="s">
        <v>49</v>
      </c>
      <c r="CC11" s="55"/>
      <c r="CD11" s="74" t="s">
        <v>47</v>
      </c>
      <c r="CE11" s="74" t="s">
        <v>50</v>
      </c>
      <c r="CF11" s="75"/>
      <c r="CG11" s="69"/>
      <c r="CH11" s="72"/>
      <c r="CI11" s="55"/>
      <c r="CJ11" s="73" t="s">
        <v>42</v>
      </c>
      <c r="CK11" s="73" t="s">
        <v>43</v>
      </c>
      <c r="CL11" s="73" t="s">
        <v>44</v>
      </c>
      <c r="CM11" s="73" t="s">
        <v>45</v>
      </c>
      <c r="CN11" s="73" t="s">
        <v>46</v>
      </c>
      <c r="CO11" s="74" t="s">
        <v>47</v>
      </c>
      <c r="CP11" s="73" t="s">
        <v>48</v>
      </c>
      <c r="CQ11" s="74" t="str">
        <f>"Total Biaya Perawatan "&amp;CN7&amp;" (Juta Rp)"</f>
        <v>Total Biaya Perawatan Tahun 2015 (Juta Rp)</v>
      </c>
      <c r="CR11" s="73" t="str">
        <f>"Total Biaya Perawatan Tahun "&amp;CW6-1&amp;" (Juta Rp)"</f>
        <v>Total Biaya Perawatan Tahun 2014 (Juta Rp)</v>
      </c>
      <c r="CS11" s="73" t="s">
        <v>49</v>
      </c>
      <c r="CT11" s="55"/>
      <c r="CU11" s="74" t="s">
        <v>47</v>
      </c>
      <c r="CV11" s="74" t="s">
        <v>50</v>
      </c>
      <c r="CW11" s="75"/>
      <c r="CX11" s="69"/>
      <c r="CY11" s="72"/>
      <c r="CZ11" s="55"/>
      <c r="DA11" s="73" t="s">
        <v>42</v>
      </c>
      <c r="DB11" s="73" t="s">
        <v>43</v>
      </c>
      <c r="DC11" s="73" t="s">
        <v>44</v>
      </c>
      <c r="DD11" s="73" t="s">
        <v>45</v>
      </c>
      <c r="DE11" s="73" t="s">
        <v>46</v>
      </c>
      <c r="DF11" s="74" t="s">
        <v>47</v>
      </c>
      <c r="DG11" s="73" t="s">
        <v>48</v>
      </c>
      <c r="DH11" s="74" t="str">
        <f>"Total Biaya Perawatan "&amp;DE7&amp;" (Juta Rp)"</f>
        <v>Total Biaya Perawatan Tahun 2016 (Juta Rp)</v>
      </c>
      <c r="DI11" s="73" t="str">
        <f>"Total Biaya Perawatan Tahun "&amp;DN6-1&amp;" (Juta Rp)"</f>
        <v>Total Biaya Perawatan Tahun 2015 (Juta Rp)</v>
      </c>
      <c r="DJ11" s="73" t="s">
        <v>49</v>
      </c>
      <c r="DK11" s="55"/>
      <c r="DL11" s="74" t="s">
        <v>47</v>
      </c>
      <c r="DM11" s="74" t="s">
        <v>50</v>
      </c>
      <c r="DN11" s="75"/>
      <c r="DO11" s="69"/>
      <c r="DP11" s="72"/>
      <c r="DQ11" s="55"/>
      <c r="DR11" s="73" t="s">
        <v>42</v>
      </c>
      <c r="DS11" s="73" t="s">
        <v>43</v>
      </c>
      <c r="DT11" s="73" t="s">
        <v>44</v>
      </c>
      <c r="DU11" s="73" t="s">
        <v>45</v>
      </c>
      <c r="DV11" s="73" t="s">
        <v>46</v>
      </c>
      <c r="DW11" s="74" t="s">
        <v>47</v>
      </c>
      <c r="DX11" s="73" t="s">
        <v>48</v>
      </c>
      <c r="DY11" s="74" t="str">
        <f>"Total Biaya Perawatan "&amp;DV7&amp;" (Juta Rp)"</f>
        <v>Total Biaya Perawatan Tahun 2017 (Juta Rp)</v>
      </c>
      <c r="DZ11" s="73" t="str">
        <f>"Total Biaya Perawatan Tahun "&amp;EE6-1&amp;" (Juta Rp)"</f>
        <v>Total Biaya Perawatan Tahun 2016 (Juta Rp)</v>
      </c>
      <c r="EA11" s="73" t="s">
        <v>49</v>
      </c>
      <c r="EB11" s="55"/>
      <c r="EC11" s="74" t="s">
        <v>47</v>
      </c>
      <c r="ED11" s="74" t="s">
        <v>50</v>
      </c>
      <c r="EE11" s="75"/>
      <c r="EF11" s="69"/>
      <c r="EG11" s="72"/>
      <c r="EH11" s="55"/>
      <c r="EI11" s="73" t="s">
        <v>42</v>
      </c>
      <c r="EJ11" s="73" t="s">
        <v>43</v>
      </c>
      <c r="EK11" s="73" t="s">
        <v>44</v>
      </c>
      <c r="EL11" s="73" t="s">
        <v>45</v>
      </c>
      <c r="EM11" s="73" t="s">
        <v>46</v>
      </c>
      <c r="EN11" s="74" t="s">
        <v>47</v>
      </c>
      <c r="EO11" s="73" t="s">
        <v>48</v>
      </c>
      <c r="EP11" s="74" t="str">
        <f>"Total Biaya Perawatan "&amp;EM7&amp;" (Juta Rp)"</f>
        <v>Total Biaya Perawatan Tahun 2018 (Juta Rp)</v>
      </c>
      <c r="EQ11" s="73" t="str">
        <f>"Total Biaya Perawatan Tahun "&amp;EV6-1&amp;" (Juta Rp)"</f>
        <v>Total Biaya Perawatan Tahun 2017 (Juta Rp)</v>
      </c>
      <c r="ER11" s="73" t="s">
        <v>49</v>
      </c>
      <c r="ES11" s="55"/>
      <c r="ET11" s="74" t="s">
        <v>47</v>
      </c>
      <c r="EU11" s="74" t="s">
        <v>50</v>
      </c>
      <c r="EV11" s="75"/>
      <c r="EW11" s="69"/>
      <c r="EX11" s="72"/>
      <c r="EY11" s="55"/>
      <c r="EZ11" s="73" t="s">
        <v>42</v>
      </c>
      <c r="FA11" s="73" t="s">
        <v>43</v>
      </c>
      <c r="FB11" s="73" t="s">
        <v>44</v>
      </c>
      <c r="FC11" s="73" t="s">
        <v>45</v>
      </c>
      <c r="FD11" s="73" t="s">
        <v>46</v>
      </c>
      <c r="FE11" s="74" t="s">
        <v>47</v>
      </c>
      <c r="FF11" s="73" t="s">
        <v>48</v>
      </c>
      <c r="FG11" s="74" t="str">
        <f>"Total Biaya Perawatan "&amp;FD7&amp;" (Juta Rp)"</f>
        <v>Total Biaya Perawatan Tahun 2019 (Juta Rp)</v>
      </c>
      <c r="FH11" s="73" t="str">
        <f>"Total Biaya Perawatan Tahun "&amp;FM6-1&amp;" (Juta Rp)"</f>
        <v>Total Biaya Perawatan Tahun 2018 (Juta Rp)</v>
      </c>
      <c r="FI11" s="73" t="s">
        <v>49</v>
      </c>
      <c r="FJ11" s="55"/>
      <c r="FK11" s="74" t="s">
        <v>47</v>
      </c>
      <c r="FL11" s="74" t="s">
        <v>50</v>
      </c>
      <c r="FM11" s="75"/>
      <c r="FN11" s="69"/>
      <c r="FO11" s="72"/>
      <c r="FP11" s="55"/>
      <c r="FQ11" s="73" t="s">
        <v>42</v>
      </c>
      <c r="FR11" s="73" t="s">
        <v>43</v>
      </c>
      <c r="FS11" s="73" t="s">
        <v>44</v>
      </c>
      <c r="FT11" s="73" t="s">
        <v>45</v>
      </c>
      <c r="FU11" s="73" t="s">
        <v>46</v>
      </c>
      <c r="FV11" s="74" t="s">
        <v>47</v>
      </c>
      <c r="FW11" s="73" t="s">
        <v>48</v>
      </c>
      <c r="FX11" s="74" t="str">
        <f>"Total Biaya Perawatan "&amp;FU7&amp;" (Juta Rp)"</f>
        <v>Total Biaya Perawatan Tahun 2020 (Juta Rp)</v>
      </c>
      <c r="FY11" s="73" t="str">
        <f>"Total Biaya Perawatan Tahun "&amp;GD6-1&amp;" (Juta Rp)"</f>
        <v>Total Biaya Perawatan Tahun 2019 (Juta Rp)</v>
      </c>
      <c r="FZ11" s="73" t="s">
        <v>49</v>
      </c>
      <c r="GA11" s="55"/>
      <c r="GB11" s="74" t="s">
        <v>47</v>
      </c>
      <c r="GC11" s="74" t="s">
        <v>50</v>
      </c>
      <c r="GD11" s="75"/>
      <c r="GE11" s="69"/>
      <c r="GF11" s="72"/>
      <c r="GG11" s="55"/>
      <c r="GH11" s="73" t="s">
        <v>42</v>
      </c>
      <c r="GI11" s="73" t="s">
        <v>43</v>
      </c>
      <c r="GJ11" s="73" t="s">
        <v>44</v>
      </c>
      <c r="GK11" s="73" t="s">
        <v>45</v>
      </c>
      <c r="GL11" s="73" t="s">
        <v>46</v>
      </c>
      <c r="GM11" s="74" t="s">
        <v>47</v>
      </c>
      <c r="GN11" s="73" t="s">
        <v>48</v>
      </c>
      <c r="GO11" s="74" t="str">
        <f>"Total Biaya Perawatan "&amp;GL7&amp;" (Juta Rp)"</f>
        <v>Total Biaya Perawatan Tahun 2021 (Juta Rp)</v>
      </c>
      <c r="GP11" s="73" t="str">
        <f>"Total Biaya Perawatan Tahun "&amp;GU6-1&amp;" (Juta Rp)"</f>
        <v>Total Biaya Perawatan Tahun 2020 (Juta Rp)</v>
      </c>
      <c r="GQ11" s="73" t="s">
        <v>49</v>
      </c>
      <c r="GR11" s="55"/>
      <c r="GS11" s="74" t="s">
        <v>47</v>
      </c>
      <c r="GT11" s="74" t="s">
        <v>50</v>
      </c>
      <c r="GU11" s="75"/>
      <c r="GV11" s="69"/>
      <c r="GW11" s="72"/>
      <c r="GX11" s="55"/>
      <c r="GY11" s="73" t="s">
        <v>42</v>
      </c>
      <c r="GZ11" s="73" t="s">
        <v>43</v>
      </c>
      <c r="HA11" s="73" t="s">
        <v>44</v>
      </c>
      <c r="HB11" s="73" t="s">
        <v>45</v>
      </c>
      <c r="HC11" s="73" t="s">
        <v>46</v>
      </c>
      <c r="HD11" s="74" t="s">
        <v>47</v>
      </c>
      <c r="HE11" s="73" t="s">
        <v>48</v>
      </c>
      <c r="HF11" s="74" t="str">
        <f>"Total Biaya Perawatan "&amp;HC7&amp;" (Juta Rp)"</f>
        <v>Total Biaya Perawatan Tahun 2022 (Juta Rp)</v>
      </c>
      <c r="HG11" s="73" t="str">
        <f>"Total Biaya Perawatan Tahun "&amp;HL6-1&amp;" (Juta Rp)"</f>
        <v>Total Biaya Perawatan Tahun 2021 (Juta Rp)</v>
      </c>
      <c r="HH11" s="73" t="s">
        <v>49</v>
      </c>
      <c r="HI11" s="55"/>
      <c r="HJ11" s="74" t="s">
        <v>47</v>
      </c>
      <c r="HK11" s="74" t="s">
        <v>50</v>
      </c>
      <c r="HL11" s="75"/>
      <c r="HM11" s="69"/>
      <c r="HN11" s="72"/>
      <c r="HO11" s="55"/>
      <c r="HP11" s="73" t="s">
        <v>42</v>
      </c>
      <c r="HQ11" s="73" t="s">
        <v>43</v>
      </c>
      <c r="HR11" s="73" t="s">
        <v>44</v>
      </c>
      <c r="HS11" s="73" t="s">
        <v>45</v>
      </c>
      <c r="HT11" s="73" t="s">
        <v>46</v>
      </c>
      <c r="HU11" s="74" t="s">
        <v>47</v>
      </c>
      <c r="HV11" s="73" t="s">
        <v>48</v>
      </c>
      <c r="HW11" s="74" t="str">
        <f>"Total Biaya Perawatan "&amp;HT7&amp;" (Juta Rp)"</f>
        <v>Total Biaya Perawatan Tahun 2023 (Juta Rp)</v>
      </c>
      <c r="HX11" s="73" t="str">
        <f>"Total Biaya Perawatan Tahun "&amp;IC6-1&amp;" (Juta Rp)"</f>
        <v>Total Biaya Perawatan Tahun 2022 (Juta Rp)</v>
      </c>
      <c r="HY11" s="73" t="s">
        <v>49</v>
      </c>
      <c r="HZ11" s="55"/>
      <c r="IA11" s="74" t="s">
        <v>47</v>
      </c>
      <c r="IB11" s="74" t="s">
        <v>50</v>
      </c>
      <c r="IC11" s="75"/>
      <c r="ID11" s="69"/>
      <c r="IE11" s="72"/>
      <c r="IF11" s="55"/>
      <c r="IG11" s="73" t="s">
        <v>42</v>
      </c>
      <c r="IH11" s="73" t="s">
        <v>43</v>
      </c>
      <c r="II11" s="73" t="s">
        <v>44</v>
      </c>
      <c r="IJ11" s="73" t="s">
        <v>45</v>
      </c>
      <c r="IK11" s="73" t="s">
        <v>46</v>
      </c>
      <c r="IL11" s="74" t="s">
        <v>47</v>
      </c>
      <c r="IM11" s="73" t="s">
        <v>48</v>
      </c>
      <c r="IN11" s="74" t="str">
        <f>"Total Biaya Perawatan "&amp;IK7&amp;" (Juta Rp)"</f>
        <v>Total Biaya Perawatan Tahun 2024 (Juta Rp)</v>
      </c>
      <c r="IO11" s="73" t="str">
        <f>"Total Biaya Perawatan Tahun "&amp;IT6-1&amp;" (Juta Rp)"</f>
        <v>Total Biaya Perawatan Tahun 2023 (Juta Rp)</v>
      </c>
      <c r="IP11" s="73" t="s">
        <v>49</v>
      </c>
      <c r="IQ11" s="55"/>
      <c r="IR11" s="74" t="s">
        <v>47</v>
      </c>
      <c r="IS11" s="74" t="s">
        <v>50</v>
      </c>
      <c r="IT11" s="75"/>
      <c r="IU11" s="69"/>
      <c r="IV11" s="72"/>
      <c r="IW11" s="55"/>
      <c r="IX11" s="73" t="s">
        <v>42</v>
      </c>
      <c r="IY11" s="73" t="s">
        <v>43</v>
      </c>
      <c r="IZ11" s="73" t="s">
        <v>44</v>
      </c>
      <c r="JA11" s="73" t="s">
        <v>45</v>
      </c>
      <c r="JB11" s="73" t="s">
        <v>46</v>
      </c>
      <c r="JC11" s="74" t="s">
        <v>47</v>
      </c>
      <c r="JD11" s="73" t="s">
        <v>48</v>
      </c>
      <c r="JE11" s="74" t="str">
        <f>"Total Biaya Perawatan "&amp;JB7&amp;" (Juta Rp)"</f>
        <v>Total Biaya Perawatan Tahun 2025 (Juta Rp)</v>
      </c>
      <c r="JF11" s="73" t="str">
        <f>"Total Biaya Perawatan Tahun "&amp;JK6-1&amp;" (Juta Rp)"</f>
        <v>Total Biaya Perawatan Tahun 2024 (Juta Rp)</v>
      </c>
      <c r="JG11" s="73" t="s">
        <v>49</v>
      </c>
      <c r="JH11" s="55"/>
      <c r="JI11" s="74" t="s">
        <v>47</v>
      </c>
      <c r="JJ11" s="74" t="s">
        <v>50</v>
      </c>
      <c r="JK11" s="75"/>
      <c r="JL11" s="70"/>
      <c r="JM11" s="72"/>
      <c r="JN11" s="55"/>
      <c r="JO11" s="73" t="s">
        <v>42</v>
      </c>
      <c r="JP11" s="73" t="s">
        <v>43</v>
      </c>
      <c r="JQ11" s="73" t="s">
        <v>44</v>
      </c>
      <c r="JR11" s="73" t="s">
        <v>45</v>
      </c>
      <c r="JS11" s="73" t="s">
        <v>46</v>
      </c>
      <c r="JT11" s="74" t="s">
        <v>47</v>
      </c>
      <c r="JU11" s="73" t="s">
        <v>48</v>
      </c>
      <c r="JV11" s="74" t="str">
        <f>"Total Biaya Perawatan "&amp;JS7&amp;" (Juta Rp)"</f>
        <v>Total Biaya Perawatan Tahun 2026 (Juta Rp)</v>
      </c>
      <c r="JW11" s="73" t="str">
        <f>"Total Biaya Perawatan Tahun "&amp;KB6-1&amp;" (Juta Rp)"</f>
        <v>Total Biaya Perawatan Tahun 2025 (Juta Rp)</v>
      </c>
      <c r="JX11" s="73" t="s">
        <v>49</v>
      </c>
      <c r="JY11" s="55"/>
      <c r="JZ11" s="74" t="s">
        <v>47</v>
      </c>
      <c r="KA11" s="74" t="s">
        <v>50</v>
      </c>
      <c r="KB11" s="75"/>
      <c r="KC11" s="70"/>
      <c r="KD11" s="72"/>
      <c r="KE11" s="55"/>
      <c r="KF11" s="73" t="s">
        <v>42</v>
      </c>
      <c r="KG11" s="73" t="s">
        <v>43</v>
      </c>
      <c r="KH11" s="73" t="s">
        <v>44</v>
      </c>
      <c r="KI11" s="73" t="s">
        <v>45</v>
      </c>
      <c r="KJ11" s="73" t="s">
        <v>46</v>
      </c>
      <c r="KK11" s="74" t="s">
        <v>47</v>
      </c>
      <c r="KL11" s="73" t="s">
        <v>48</v>
      </c>
      <c r="KM11" s="74" t="str">
        <f>"Total Biaya Perawatan "&amp;KJ7&amp;" (Juta Rp)"</f>
        <v>Total Biaya Perawatan Tahun 2027 (Juta Rp)</v>
      </c>
      <c r="KN11" s="73" t="str">
        <f>"Total Biaya Perawatan Tahun "&amp;KS6-1&amp;" (Juta Rp)"</f>
        <v>Total Biaya Perawatan Tahun 2026 (Juta Rp)</v>
      </c>
      <c r="KO11" s="73" t="s">
        <v>49</v>
      </c>
      <c r="KP11" s="55"/>
      <c r="KQ11" s="74" t="s">
        <v>47</v>
      </c>
      <c r="KR11" s="74" t="s">
        <v>50</v>
      </c>
      <c r="KS11" s="75"/>
      <c r="KT11" s="70"/>
      <c r="KU11" s="71"/>
    </row>
    <row r="12">
      <c r="A12" s="76">
        <v>-1.0</v>
      </c>
      <c r="B12" s="77">
        <v>-2.0</v>
      </c>
      <c r="C12" s="77">
        <v>-3.0</v>
      </c>
      <c r="D12" s="77">
        <v>-4.0</v>
      </c>
      <c r="E12" s="77">
        <v>-5.0</v>
      </c>
      <c r="F12" s="77">
        <v>-6.0</v>
      </c>
      <c r="G12" s="77">
        <v>-7.0</v>
      </c>
      <c r="H12" s="77">
        <v>-8.0</v>
      </c>
      <c r="I12" s="77">
        <v>-9.0</v>
      </c>
      <c r="J12" s="77">
        <v>-10.0</v>
      </c>
      <c r="K12" s="77">
        <v>-11.0</v>
      </c>
      <c r="L12" s="77">
        <v>-12.0</v>
      </c>
      <c r="M12" s="77">
        <v>-13.0</v>
      </c>
      <c r="N12" s="77">
        <v>-14.0</v>
      </c>
      <c r="O12" s="77">
        <v>-15.0</v>
      </c>
      <c r="P12" s="77">
        <v>-16.0</v>
      </c>
      <c r="Q12" s="78"/>
      <c r="R12" s="76">
        <v>-1.0</v>
      </c>
      <c r="S12" s="77">
        <v>-2.0</v>
      </c>
      <c r="T12" s="77">
        <v>-3.0</v>
      </c>
      <c r="U12" s="77">
        <v>-4.0</v>
      </c>
      <c r="V12" s="77">
        <v>-5.0</v>
      </c>
      <c r="W12" s="77">
        <v>-6.0</v>
      </c>
      <c r="X12" s="77">
        <v>-7.0</v>
      </c>
      <c r="Y12" s="77">
        <v>-8.0</v>
      </c>
      <c r="Z12" s="77">
        <v>-9.0</v>
      </c>
      <c r="AA12" s="77">
        <v>-10.0</v>
      </c>
      <c r="AB12" s="77">
        <v>-11.0</v>
      </c>
      <c r="AC12" s="77">
        <v>-12.0</v>
      </c>
      <c r="AD12" s="77">
        <v>-13.0</v>
      </c>
      <c r="AE12" s="77">
        <v>-14.0</v>
      </c>
      <c r="AF12" s="77">
        <v>-15.0</v>
      </c>
      <c r="AG12" s="77">
        <v>-16.0</v>
      </c>
      <c r="AH12" s="78"/>
      <c r="AI12" s="76">
        <v>-1.0</v>
      </c>
      <c r="AJ12" s="77">
        <v>-2.0</v>
      </c>
      <c r="AK12" s="77">
        <v>-3.0</v>
      </c>
      <c r="AL12" s="77">
        <v>-4.0</v>
      </c>
      <c r="AM12" s="77">
        <v>-5.0</v>
      </c>
      <c r="AN12" s="77">
        <v>-6.0</v>
      </c>
      <c r="AO12" s="77">
        <v>-7.0</v>
      </c>
      <c r="AP12" s="77">
        <v>-8.0</v>
      </c>
      <c r="AQ12" s="77">
        <v>-9.0</v>
      </c>
      <c r="AR12" s="77">
        <v>-10.0</v>
      </c>
      <c r="AS12" s="77">
        <v>-11.0</v>
      </c>
      <c r="AT12" s="77">
        <v>-12.0</v>
      </c>
      <c r="AU12" s="77">
        <v>-13.0</v>
      </c>
      <c r="AV12" s="77">
        <v>-14.0</v>
      </c>
      <c r="AW12" s="77">
        <v>-15.0</v>
      </c>
      <c r="AX12" s="77">
        <v>-16.0</v>
      </c>
      <c r="AY12" s="78"/>
      <c r="AZ12" s="76">
        <v>-1.0</v>
      </c>
      <c r="BA12" s="77">
        <v>-2.0</v>
      </c>
      <c r="BB12" s="77">
        <v>-3.0</v>
      </c>
      <c r="BC12" s="77">
        <v>-4.0</v>
      </c>
      <c r="BD12" s="77">
        <v>-5.0</v>
      </c>
      <c r="BE12" s="77">
        <v>-6.0</v>
      </c>
      <c r="BF12" s="77">
        <v>-7.0</v>
      </c>
      <c r="BG12" s="77">
        <v>-8.0</v>
      </c>
      <c r="BH12" s="77">
        <v>-9.0</v>
      </c>
      <c r="BI12" s="77">
        <v>-10.0</v>
      </c>
      <c r="BJ12" s="77">
        <v>-11.0</v>
      </c>
      <c r="BK12" s="77">
        <v>-12.0</v>
      </c>
      <c r="BL12" s="77">
        <v>-13.0</v>
      </c>
      <c r="BM12" s="77">
        <v>-14.0</v>
      </c>
      <c r="BN12" s="77">
        <v>-15.0</v>
      </c>
      <c r="BO12" s="77">
        <v>-16.0</v>
      </c>
      <c r="BP12" s="78"/>
      <c r="BQ12" s="76">
        <v>-1.0</v>
      </c>
      <c r="BR12" s="77">
        <v>-2.0</v>
      </c>
      <c r="BS12" s="77">
        <v>-3.0</v>
      </c>
      <c r="BT12" s="77">
        <v>-4.0</v>
      </c>
      <c r="BU12" s="77">
        <v>-5.0</v>
      </c>
      <c r="BV12" s="77">
        <v>-6.0</v>
      </c>
      <c r="BW12" s="77">
        <v>-7.0</v>
      </c>
      <c r="BX12" s="77">
        <v>-8.0</v>
      </c>
      <c r="BY12" s="77">
        <v>-9.0</v>
      </c>
      <c r="BZ12" s="77">
        <v>-10.0</v>
      </c>
      <c r="CA12" s="77">
        <v>-11.0</v>
      </c>
      <c r="CB12" s="77">
        <v>-12.0</v>
      </c>
      <c r="CC12" s="77">
        <v>-13.0</v>
      </c>
      <c r="CD12" s="77">
        <v>-14.0</v>
      </c>
      <c r="CE12" s="77">
        <v>-15.0</v>
      </c>
      <c r="CF12" s="77">
        <v>-16.0</v>
      </c>
      <c r="CG12" s="78"/>
      <c r="CH12" s="76">
        <v>-1.0</v>
      </c>
      <c r="CI12" s="77">
        <v>-2.0</v>
      </c>
      <c r="CJ12" s="77">
        <v>-3.0</v>
      </c>
      <c r="CK12" s="77">
        <v>-4.0</v>
      </c>
      <c r="CL12" s="77">
        <v>-5.0</v>
      </c>
      <c r="CM12" s="77">
        <v>-6.0</v>
      </c>
      <c r="CN12" s="77">
        <v>-7.0</v>
      </c>
      <c r="CO12" s="77">
        <v>-8.0</v>
      </c>
      <c r="CP12" s="77">
        <v>-9.0</v>
      </c>
      <c r="CQ12" s="77">
        <v>-10.0</v>
      </c>
      <c r="CR12" s="77">
        <v>-11.0</v>
      </c>
      <c r="CS12" s="77">
        <v>-12.0</v>
      </c>
      <c r="CT12" s="77">
        <v>-13.0</v>
      </c>
      <c r="CU12" s="77">
        <v>-14.0</v>
      </c>
      <c r="CV12" s="77">
        <v>-15.0</v>
      </c>
      <c r="CW12" s="77">
        <v>-16.0</v>
      </c>
      <c r="CX12" s="78"/>
      <c r="CY12" s="76">
        <v>-1.0</v>
      </c>
      <c r="CZ12" s="77">
        <v>-2.0</v>
      </c>
      <c r="DA12" s="77">
        <v>-3.0</v>
      </c>
      <c r="DB12" s="77">
        <v>-4.0</v>
      </c>
      <c r="DC12" s="77">
        <v>-5.0</v>
      </c>
      <c r="DD12" s="77">
        <v>-6.0</v>
      </c>
      <c r="DE12" s="77">
        <v>-7.0</v>
      </c>
      <c r="DF12" s="77">
        <v>-8.0</v>
      </c>
      <c r="DG12" s="77">
        <v>-9.0</v>
      </c>
      <c r="DH12" s="77">
        <v>-10.0</v>
      </c>
      <c r="DI12" s="77">
        <v>-11.0</v>
      </c>
      <c r="DJ12" s="77">
        <v>-12.0</v>
      </c>
      <c r="DK12" s="77">
        <v>-13.0</v>
      </c>
      <c r="DL12" s="77">
        <v>-14.0</v>
      </c>
      <c r="DM12" s="77">
        <v>-15.0</v>
      </c>
      <c r="DN12" s="77">
        <v>-16.0</v>
      </c>
      <c r="DO12" s="78"/>
      <c r="DP12" s="76">
        <v>-1.0</v>
      </c>
      <c r="DQ12" s="77">
        <v>-2.0</v>
      </c>
      <c r="DR12" s="77">
        <v>-3.0</v>
      </c>
      <c r="DS12" s="77">
        <v>-4.0</v>
      </c>
      <c r="DT12" s="77">
        <v>-5.0</v>
      </c>
      <c r="DU12" s="77">
        <v>-6.0</v>
      </c>
      <c r="DV12" s="77">
        <v>-7.0</v>
      </c>
      <c r="DW12" s="77">
        <v>-8.0</v>
      </c>
      <c r="DX12" s="77">
        <v>-9.0</v>
      </c>
      <c r="DY12" s="77">
        <v>-10.0</v>
      </c>
      <c r="DZ12" s="77">
        <v>-11.0</v>
      </c>
      <c r="EA12" s="77">
        <v>-12.0</v>
      </c>
      <c r="EB12" s="77">
        <v>-13.0</v>
      </c>
      <c r="EC12" s="77">
        <v>-14.0</v>
      </c>
      <c r="ED12" s="77">
        <v>-15.0</v>
      </c>
      <c r="EE12" s="77">
        <v>-16.0</v>
      </c>
      <c r="EF12" s="78"/>
      <c r="EG12" s="76">
        <v>-1.0</v>
      </c>
      <c r="EH12" s="77">
        <v>-2.0</v>
      </c>
      <c r="EI12" s="77">
        <v>-3.0</v>
      </c>
      <c r="EJ12" s="77">
        <v>-4.0</v>
      </c>
      <c r="EK12" s="77">
        <v>-5.0</v>
      </c>
      <c r="EL12" s="77">
        <v>-6.0</v>
      </c>
      <c r="EM12" s="77">
        <v>-7.0</v>
      </c>
      <c r="EN12" s="77">
        <v>-8.0</v>
      </c>
      <c r="EO12" s="77">
        <v>-9.0</v>
      </c>
      <c r="EP12" s="77">
        <v>-10.0</v>
      </c>
      <c r="EQ12" s="77">
        <v>-11.0</v>
      </c>
      <c r="ER12" s="77">
        <v>-12.0</v>
      </c>
      <c r="ES12" s="77">
        <v>-13.0</v>
      </c>
      <c r="ET12" s="77">
        <v>-14.0</v>
      </c>
      <c r="EU12" s="77">
        <v>-15.0</v>
      </c>
      <c r="EV12" s="77">
        <v>-16.0</v>
      </c>
      <c r="EW12" s="78"/>
      <c r="EX12" s="76">
        <v>-1.0</v>
      </c>
      <c r="EY12" s="77">
        <v>-2.0</v>
      </c>
      <c r="EZ12" s="77">
        <v>-3.0</v>
      </c>
      <c r="FA12" s="77">
        <v>-4.0</v>
      </c>
      <c r="FB12" s="77">
        <v>-5.0</v>
      </c>
      <c r="FC12" s="77">
        <v>-6.0</v>
      </c>
      <c r="FD12" s="77">
        <v>-7.0</v>
      </c>
      <c r="FE12" s="77">
        <v>-8.0</v>
      </c>
      <c r="FF12" s="77">
        <v>-9.0</v>
      </c>
      <c r="FG12" s="77">
        <v>-10.0</v>
      </c>
      <c r="FH12" s="77">
        <v>-11.0</v>
      </c>
      <c r="FI12" s="77">
        <v>-12.0</v>
      </c>
      <c r="FJ12" s="77">
        <v>-13.0</v>
      </c>
      <c r="FK12" s="77">
        <v>-14.0</v>
      </c>
      <c r="FL12" s="77">
        <v>-15.0</v>
      </c>
      <c r="FM12" s="77">
        <v>-16.0</v>
      </c>
      <c r="FN12" s="78"/>
      <c r="FO12" s="76">
        <v>-1.0</v>
      </c>
      <c r="FP12" s="77">
        <v>-2.0</v>
      </c>
      <c r="FQ12" s="77">
        <v>-3.0</v>
      </c>
      <c r="FR12" s="77">
        <v>-4.0</v>
      </c>
      <c r="FS12" s="77">
        <v>-5.0</v>
      </c>
      <c r="FT12" s="77">
        <v>-6.0</v>
      </c>
      <c r="FU12" s="77">
        <v>-7.0</v>
      </c>
      <c r="FV12" s="77">
        <v>-8.0</v>
      </c>
      <c r="FW12" s="77">
        <v>-9.0</v>
      </c>
      <c r="FX12" s="77">
        <v>-10.0</v>
      </c>
      <c r="FY12" s="77">
        <v>-11.0</v>
      </c>
      <c r="FZ12" s="77">
        <v>-12.0</v>
      </c>
      <c r="GA12" s="77">
        <v>-13.0</v>
      </c>
      <c r="GB12" s="77">
        <v>-14.0</v>
      </c>
      <c r="GC12" s="77">
        <v>-15.0</v>
      </c>
      <c r="GD12" s="77">
        <v>-16.0</v>
      </c>
      <c r="GE12" s="78"/>
      <c r="GF12" s="76">
        <v>-1.0</v>
      </c>
      <c r="GG12" s="77">
        <v>-2.0</v>
      </c>
      <c r="GH12" s="77">
        <v>-3.0</v>
      </c>
      <c r="GI12" s="77">
        <v>-4.0</v>
      </c>
      <c r="GJ12" s="77">
        <v>-5.0</v>
      </c>
      <c r="GK12" s="77">
        <v>-6.0</v>
      </c>
      <c r="GL12" s="77">
        <v>-7.0</v>
      </c>
      <c r="GM12" s="77">
        <v>-8.0</v>
      </c>
      <c r="GN12" s="77">
        <v>-9.0</v>
      </c>
      <c r="GO12" s="77">
        <v>-10.0</v>
      </c>
      <c r="GP12" s="77">
        <v>-11.0</v>
      </c>
      <c r="GQ12" s="77">
        <v>-12.0</v>
      </c>
      <c r="GR12" s="77">
        <v>-13.0</v>
      </c>
      <c r="GS12" s="77">
        <v>-14.0</v>
      </c>
      <c r="GT12" s="77">
        <v>-15.0</v>
      </c>
      <c r="GU12" s="77">
        <v>-16.0</v>
      </c>
      <c r="GV12" s="78"/>
      <c r="GW12" s="76">
        <v>-1.0</v>
      </c>
      <c r="GX12" s="77">
        <v>-2.0</v>
      </c>
      <c r="GY12" s="77">
        <v>-3.0</v>
      </c>
      <c r="GZ12" s="77">
        <v>-4.0</v>
      </c>
      <c r="HA12" s="77">
        <v>-5.0</v>
      </c>
      <c r="HB12" s="77">
        <v>-6.0</v>
      </c>
      <c r="HC12" s="77">
        <v>-7.0</v>
      </c>
      <c r="HD12" s="77">
        <v>-8.0</v>
      </c>
      <c r="HE12" s="77">
        <v>-9.0</v>
      </c>
      <c r="HF12" s="77">
        <v>-10.0</v>
      </c>
      <c r="HG12" s="77">
        <v>-11.0</v>
      </c>
      <c r="HH12" s="77">
        <v>-12.0</v>
      </c>
      <c r="HI12" s="77">
        <v>-13.0</v>
      </c>
      <c r="HJ12" s="77">
        <v>-14.0</v>
      </c>
      <c r="HK12" s="77">
        <v>-15.0</v>
      </c>
      <c r="HL12" s="77">
        <v>-16.0</v>
      </c>
      <c r="HM12" s="78"/>
      <c r="HN12" s="76">
        <v>-1.0</v>
      </c>
      <c r="HO12" s="77">
        <v>-2.0</v>
      </c>
      <c r="HP12" s="77">
        <v>-3.0</v>
      </c>
      <c r="HQ12" s="77">
        <v>-4.0</v>
      </c>
      <c r="HR12" s="77">
        <v>-5.0</v>
      </c>
      <c r="HS12" s="77">
        <v>-6.0</v>
      </c>
      <c r="HT12" s="77">
        <v>-7.0</v>
      </c>
      <c r="HU12" s="77">
        <v>-8.0</v>
      </c>
      <c r="HV12" s="77">
        <v>-9.0</v>
      </c>
      <c r="HW12" s="77">
        <v>-10.0</v>
      </c>
      <c r="HX12" s="77">
        <v>-11.0</v>
      </c>
      <c r="HY12" s="77">
        <v>-12.0</v>
      </c>
      <c r="HZ12" s="77">
        <v>-13.0</v>
      </c>
      <c r="IA12" s="77">
        <v>-14.0</v>
      </c>
      <c r="IB12" s="77">
        <v>-15.0</v>
      </c>
      <c r="IC12" s="77">
        <v>-16.0</v>
      </c>
      <c r="ID12" s="78"/>
      <c r="IE12" s="76">
        <v>-1.0</v>
      </c>
      <c r="IF12" s="77">
        <v>-2.0</v>
      </c>
      <c r="IG12" s="77">
        <v>-3.0</v>
      </c>
      <c r="IH12" s="77">
        <v>-4.0</v>
      </c>
      <c r="II12" s="77">
        <v>-5.0</v>
      </c>
      <c r="IJ12" s="77">
        <v>-6.0</v>
      </c>
      <c r="IK12" s="77">
        <v>-7.0</v>
      </c>
      <c r="IL12" s="77">
        <v>-8.0</v>
      </c>
      <c r="IM12" s="77">
        <v>-9.0</v>
      </c>
      <c r="IN12" s="77">
        <v>-10.0</v>
      </c>
      <c r="IO12" s="77">
        <v>-11.0</v>
      </c>
      <c r="IP12" s="77">
        <v>-12.0</v>
      </c>
      <c r="IQ12" s="77">
        <v>-13.0</v>
      </c>
      <c r="IR12" s="77">
        <v>-14.0</v>
      </c>
      <c r="IS12" s="77">
        <v>-15.0</v>
      </c>
      <c r="IT12" s="77">
        <v>-16.0</v>
      </c>
      <c r="IU12" s="78"/>
      <c r="IV12" s="76">
        <v>-1.0</v>
      </c>
      <c r="IW12" s="77">
        <v>-2.0</v>
      </c>
      <c r="IX12" s="77">
        <v>-3.0</v>
      </c>
      <c r="IY12" s="77">
        <v>-4.0</v>
      </c>
      <c r="IZ12" s="77">
        <v>-5.0</v>
      </c>
      <c r="JA12" s="77">
        <v>-6.0</v>
      </c>
      <c r="JB12" s="77">
        <v>-7.0</v>
      </c>
      <c r="JC12" s="77">
        <v>-8.0</v>
      </c>
      <c r="JD12" s="77">
        <v>-9.0</v>
      </c>
      <c r="JE12" s="77">
        <v>-10.0</v>
      </c>
      <c r="JF12" s="77">
        <v>-11.0</v>
      </c>
      <c r="JG12" s="77">
        <v>-12.0</v>
      </c>
      <c r="JH12" s="77">
        <v>-13.0</v>
      </c>
      <c r="JI12" s="77">
        <v>-14.0</v>
      </c>
      <c r="JJ12" s="77">
        <v>-15.0</v>
      </c>
      <c r="JK12" s="77">
        <v>-16.0</v>
      </c>
      <c r="JL12" s="78"/>
      <c r="JM12" s="76">
        <v>-1.0</v>
      </c>
      <c r="JN12" s="77">
        <v>-2.0</v>
      </c>
      <c r="JO12" s="77">
        <v>-3.0</v>
      </c>
      <c r="JP12" s="77">
        <v>-4.0</v>
      </c>
      <c r="JQ12" s="77">
        <v>-5.0</v>
      </c>
      <c r="JR12" s="77">
        <v>-6.0</v>
      </c>
      <c r="JS12" s="77">
        <v>-7.0</v>
      </c>
      <c r="JT12" s="77">
        <v>-8.0</v>
      </c>
      <c r="JU12" s="77">
        <v>-9.0</v>
      </c>
      <c r="JV12" s="77">
        <v>-10.0</v>
      </c>
      <c r="JW12" s="77">
        <v>-11.0</v>
      </c>
      <c r="JX12" s="77">
        <v>-12.0</v>
      </c>
      <c r="JY12" s="77">
        <v>-13.0</v>
      </c>
      <c r="JZ12" s="77">
        <v>-14.0</v>
      </c>
      <c r="KA12" s="77">
        <v>-15.0</v>
      </c>
      <c r="KB12" s="77">
        <v>-16.0</v>
      </c>
      <c r="KC12" s="78"/>
      <c r="KD12" s="76">
        <v>-1.0</v>
      </c>
      <c r="KE12" s="77">
        <v>-2.0</v>
      </c>
      <c r="KF12" s="77">
        <v>-3.0</v>
      </c>
      <c r="KG12" s="77">
        <v>-4.0</v>
      </c>
      <c r="KH12" s="77">
        <v>-5.0</v>
      </c>
      <c r="KI12" s="77">
        <v>-6.0</v>
      </c>
      <c r="KJ12" s="77">
        <v>-7.0</v>
      </c>
      <c r="KK12" s="77">
        <v>-8.0</v>
      </c>
      <c r="KL12" s="77">
        <v>-9.0</v>
      </c>
      <c r="KM12" s="77">
        <v>-10.0</v>
      </c>
      <c r="KN12" s="77">
        <v>-11.0</v>
      </c>
      <c r="KO12" s="77">
        <v>-12.0</v>
      </c>
      <c r="KP12" s="77">
        <v>-13.0</v>
      </c>
      <c r="KQ12" s="77">
        <v>-14.0</v>
      </c>
      <c r="KR12" s="77">
        <v>-15.0</v>
      </c>
      <c r="KS12" s="77">
        <v>-16.0</v>
      </c>
      <c r="KT12" s="78"/>
      <c r="KU12" s="79"/>
    </row>
    <row r="13">
      <c r="A13" s="80">
        <v>1.0</v>
      </c>
      <c r="B13" s="81" t="str">
        <f>IFERROR(VLOOKUP($R13,ADHK!$A$13:$D$30,-B$12,FALSE),"")</f>
        <v>Bijih  Emas</v>
      </c>
      <c r="C13" s="82" t="str">
        <f>IFERROR(VLOOKUP($R13,ADHK!$A$13:$D$30,-C$12,FALSE),"")</f>
        <v>Bijih </v>
      </c>
      <c r="D13" s="82" t="str">
        <f>IFERROR(VLOOKUP($R13,ADHK!$A$13:$D$30,-D$12,FALSE),"")</f>
        <v>Kg</v>
      </c>
      <c r="E13" s="83">
        <f t="shared" ref="E13:E29" si="35">E49+E85+E121+E157</f>
        <v>0</v>
      </c>
      <c r="F13" s="83" t="str">
        <f t="shared" ref="F13:F29" si="36">G13/E13*1000000</f>
        <v>#DIV/0!</v>
      </c>
      <c r="G13" s="83">
        <f t="shared" ref="G13:G30" si="37">G49+G85+G121+G157</f>
        <v>0</v>
      </c>
      <c r="H13" s="84"/>
      <c r="I13" s="83">
        <f t="shared" ref="I13:I29" si="38">IFERROR(+G13*H13,"")</f>
        <v>0</v>
      </c>
      <c r="J13" s="85"/>
      <c r="K13" s="85"/>
      <c r="L13" s="86"/>
      <c r="M13" s="87">
        <f t="shared" ref="M13:M29" si="39">IFERROR(+(IF(G13="","0",G13))+(IF(I13="","0",I13))+(IF(L13="","0",L13)),"")</f>
        <v>0</v>
      </c>
      <c r="N13" s="84">
        <f>ADHK!N13</f>
        <v>0.4604471269</v>
      </c>
      <c r="O13" s="88">
        <f t="shared" ref="O13:O29" si="40">IFERROR(+N13*(M13-L13),"")</f>
        <v>0</v>
      </c>
      <c r="P13" s="89">
        <f t="shared" ref="P13:P29" si="41">IFERROR(+(IF(M13="","0",M13))-(IF(O13="","0",O13)),"")</f>
        <v>0</v>
      </c>
      <c r="Q13" s="90"/>
      <c r="R13" s="80">
        <v>1.0</v>
      </c>
      <c r="S13" s="81" t="str">
        <f t="shared" ref="S13:U13" si="18">IFERROR(VLOOKUP($R13,$A$13:$D$30,-S$12,FALSE),"")</f>
        <v>Bijih  Emas</v>
      </c>
      <c r="T13" s="82" t="str">
        <f t="shared" si="18"/>
        <v>Bijih </v>
      </c>
      <c r="U13" s="82" t="str">
        <f t="shared" si="18"/>
        <v>Kg</v>
      </c>
      <c r="V13" s="83">
        <f t="shared" ref="V13:V29" si="43">V49+V85+V121+V157</f>
        <v>0</v>
      </c>
      <c r="W13" s="83" t="str">
        <f t="shared" ref="W13:W29" si="44">X13/V13*1000000</f>
        <v>#DIV/0!</v>
      </c>
      <c r="X13" s="83">
        <f t="shared" ref="X13:X30" si="45">X49+X85+X121+X157</f>
        <v>0</v>
      </c>
      <c r="Y13" s="84"/>
      <c r="Z13" s="83">
        <f t="shared" ref="Z13:Z29" si="46">IFERROR(+X13*Y13,"")</f>
        <v>0</v>
      </c>
      <c r="AA13" s="85"/>
      <c r="AB13" s="85"/>
      <c r="AC13" s="86"/>
      <c r="AD13" s="87">
        <f t="shared" ref="AD13:AD29" si="47">IFERROR(+(IF(X13="","0",X13))+(IF(Z13="","0",Z13))+(IF(AC13="","0",AC13)),"")</f>
        <v>0</v>
      </c>
      <c r="AE13" s="84">
        <f t="shared" ref="AE13:AE29" si="48">N13</f>
        <v>0.4604471269</v>
      </c>
      <c r="AF13" s="88">
        <f t="shared" ref="AF13:AF29" si="49">IFERROR(+AE13*(AD13-AC13),"")</f>
        <v>0</v>
      </c>
      <c r="AG13" s="89">
        <f t="shared" ref="AG13:AG29" si="50">IFERROR(+(IF(AD13="","0",AD13))-(IF(AF13="","0",AF13)),"")</f>
        <v>0</v>
      </c>
      <c r="AH13" s="90"/>
      <c r="AI13" s="80">
        <v>1.0</v>
      </c>
      <c r="AJ13" s="81" t="str">
        <f t="shared" ref="AJ13:AL13" si="19">IFERROR(VLOOKUP($R13,$A$13:$D$30,-AJ$12,FALSE),"")</f>
        <v>Bijih  Emas</v>
      </c>
      <c r="AK13" s="82" t="str">
        <f t="shared" si="19"/>
        <v>Bijih </v>
      </c>
      <c r="AL13" s="82" t="str">
        <f t="shared" si="19"/>
        <v>Kg</v>
      </c>
      <c r="AM13" s="83">
        <f t="shared" ref="AM13:AM29" si="52">AM49+AM85+AM121+AM157</f>
        <v>0</v>
      </c>
      <c r="AN13" s="83" t="str">
        <f t="shared" ref="AN13:AN29" si="53">AO13/AM13*1000000</f>
        <v>#DIV/0!</v>
      </c>
      <c r="AO13" s="83">
        <f t="shared" ref="AO13:AO30" si="54">AO49+AO85+AO121+AO157</f>
        <v>0</v>
      </c>
      <c r="AP13" s="84"/>
      <c r="AQ13" s="83">
        <f t="shared" ref="AQ13:AQ29" si="55">IFERROR(+AO13*AP13,"")</f>
        <v>0</v>
      </c>
      <c r="AR13" s="85"/>
      <c r="AS13" s="85"/>
      <c r="AT13" s="86"/>
      <c r="AU13" s="87">
        <f t="shared" ref="AU13:AU29" si="56">IFERROR(+(IF(AO13="","0",AO13))+(IF(AQ13="","0",AQ13))+(IF(AT13="","0",AT13)),"")</f>
        <v>0</v>
      </c>
      <c r="AV13" s="84">
        <f t="shared" ref="AV13:AV29" si="57">AE13</f>
        <v>0.4604471269</v>
      </c>
      <c r="AW13" s="88">
        <f t="shared" ref="AW13:AW29" si="58">IFERROR(+AV13*(AU13-AT13),"")</f>
        <v>0</v>
      </c>
      <c r="AX13" s="89">
        <f t="shared" ref="AX13:AX29" si="59">IFERROR(+(IF(AU13="","0",AU13))-(IF(AW13="","0",AW13)),"")</f>
        <v>0</v>
      </c>
      <c r="AY13" s="90"/>
      <c r="AZ13" s="80">
        <v>1.0</v>
      </c>
      <c r="BA13" s="81" t="str">
        <f t="shared" ref="BA13:BC13" si="20">IFERROR(VLOOKUP($R13,$A$13:$D$30,-BA$12,FALSE),"")</f>
        <v>Bijih  Emas</v>
      </c>
      <c r="BB13" s="82" t="str">
        <f t="shared" si="20"/>
        <v>Bijih </v>
      </c>
      <c r="BC13" s="82" t="str">
        <f t="shared" si="20"/>
        <v>Kg</v>
      </c>
      <c r="BD13" s="83">
        <f t="shared" ref="BD13:BD29" si="61">BD49+BD85+BD121+BD157</f>
        <v>0</v>
      </c>
      <c r="BE13" s="83" t="str">
        <f t="shared" ref="BE13:BE29" si="62">BF13/BD13*1000000</f>
        <v>#DIV/0!</v>
      </c>
      <c r="BF13" s="83">
        <f t="shared" ref="BF13:BF30" si="63">BF49+BF85+BF121+BF157</f>
        <v>0</v>
      </c>
      <c r="BG13" s="84"/>
      <c r="BH13" s="83">
        <f t="shared" ref="BH13:BH29" si="64">IFERROR(+BF13*BG13,"")</f>
        <v>0</v>
      </c>
      <c r="BI13" s="85"/>
      <c r="BJ13" s="85"/>
      <c r="BK13" s="86"/>
      <c r="BL13" s="87">
        <f t="shared" ref="BL13:BL29" si="65">IFERROR(+(IF(BF13="","0",BF13))+(IF(BH13="","0",BH13))+(IF(BK13="","0",BK13)),"")</f>
        <v>0</v>
      </c>
      <c r="BM13" s="84">
        <f t="shared" ref="BM13:BM29" si="66">AV13</f>
        <v>0.4604471269</v>
      </c>
      <c r="BN13" s="88">
        <f t="shared" ref="BN13:BN29" si="67">IFERROR(+BM13*(BL13-BK13),"")</f>
        <v>0</v>
      </c>
      <c r="BO13" s="89">
        <f t="shared" ref="BO13:BO29" si="68">IFERROR(+(IF(BL13="","0",BL13))-(IF(BN13="","0",BN13)),"")</f>
        <v>0</v>
      </c>
      <c r="BP13" s="90"/>
      <c r="BQ13" s="80">
        <v>1.0</v>
      </c>
      <c r="BR13" s="81" t="str">
        <f t="shared" ref="BR13:BT13" si="21">IFERROR(VLOOKUP($R13,$A$13:$D$30,-BR$12,FALSE),"")</f>
        <v>Bijih  Emas</v>
      </c>
      <c r="BS13" s="82" t="str">
        <f t="shared" si="21"/>
        <v>Bijih </v>
      </c>
      <c r="BT13" s="82" t="str">
        <f t="shared" si="21"/>
        <v>Kg</v>
      </c>
      <c r="BU13" s="83">
        <f t="shared" ref="BU13:BU29" si="70">BU49+BU85+BU121+BU157</f>
        <v>0</v>
      </c>
      <c r="BV13" s="83" t="str">
        <f t="shared" ref="BV13:BV29" si="71">BW13/BU13*1000000</f>
        <v>#DIV/0!</v>
      </c>
      <c r="BW13" s="83">
        <f t="shared" ref="BW13:BW30" si="72">BW49+BW85+BW121+BW157</f>
        <v>0</v>
      </c>
      <c r="BX13" s="84"/>
      <c r="BY13" s="83">
        <f t="shared" ref="BY13:BY29" si="73">IFERROR(+BW13*BX13,"")</f>
        <v>0</v>
      </c>
      <c r="BZ13" s="85"/>
      <c r="CA13" s="85"/>
      <c r="CB13" s="86"/>
      <c r="CC13" s="87">
        <f t="shared" ref="CC13:CC29" si="74">IFERROR(+(IF(BW13="","0",BW13))+(IF(BY13="","0",BY13))+(IF(CB13="","0",CB13)),"")</f>
        <v>0</v>
      </c>
      <c r="CD13" s="84">
        <f t="shared" ref="CD13:CD29" si="75">BM13</f>
        <v>0.4604471269</v>
      </c>
      <c r="CE13" s="88">
        <f t="shared" ref="CE13:CE29" si="76">IFERROR(+CD13*(CC13-CB13),"")</f>
        <v>0</v>
      </c>
      <c r="CF13" s="89">
        <f t="shared" ref="CF13:CF29" si="77">IFERROR(+(IF(CC13="","0",CC13))-(IF(CE13="","0",CE13)),"")</f>
        <v>0</v>
      </c>
      <c r="CG13" s="90"/>
      <c r="CH13" s="80">
        <v>1.0</v>
      </c>
      <c r="CI13" s="81" t="str">
        <f t="shared" ref="CI13:CK13" si="22">IFERROR(VLOOKUP($R13,$A$13:$D$30,-CI$12,FALSE),"")</f>
        <v>Bijih  Emas</v>
      </c>
      <c r="CJ13" s="82" t="str">
        <f t="shared" si="22"/>
        <v>Bijih </v>
      </c>
      <c r="CK13" s="82" t="str">
        <f t="shared" si="22"/>
        <v>Kg</v>
      </c>
      <c r="CL13" s="83">
        <f t="shared" ref="CL13:CL29" si="79">CL49+CL85+CL121+CL157</f>
        <v>0</v>
      </c>
      <c r="CM13" s="83" t="str">
        <f t="shared" ref="CM13:CM29" si="80">CN13/CL13*1000000</f>
        <v>#DIV/0!</v>
      </c>
      <c r="CN13" s="83">
        <f t="shared" ref="CN13:CN30" si="81">CN49+CN85+CN121+CN157</f>
        <v>0</v>
      </c>
      <c r="CO13" s="84"/>
      <c r="CP13" s="83">
        <f t="shared" ref="CP13:CP29" si="82">IFERROR(+CN13*CO13,"")</f>
        <v>0</v>
      </c>
      <c r="CQ13" s="85"/>
      <c r="CR13" s="85"/>
      <c r="CS13" s="86"/>
      <c r="CT13" s="87">
        <f t="shared" ref="CT13:CT29" si="83">IFERROR(+(IF(CN13="","0",CN13))+(IF(CP13="","0",CP13))+(IF(CS13="","0",CS13)),"")</f>
        <v>0</v>
      </c>
      <c r="CU13" s="84">
        <f t="shared" ref="CU13:CU29" si="84">CD13</f>
        <v>0.4604471269</v>
      </c>
      <c r="CV13" s="88">
        <f t="shared" ref="CV13:CV29" si="85">IFERROR(+CU13*(CT13-CS13),"")</f>
        <v>0</v>
      </c>
      <c r="CW13" s="89">
        <f t="shared" ref="CW13:CW29" si="86">IFERROR(+(IF(CT13="","0",CT13))-(IF(CV13="","0",CV13)),"")</f>
        <v>0</v>
      </c>
      <c r="CX13" s="90"/>
      <c r="CY13" s="80">
        <v>1.0</v>
      </c>
      <c r="CZ13" s="81" t="str">
        <f t="shared" ref="CZ13:DB13" si="23">IFERROR(VLOOKUP($R13,$A$13:$D$30,-CZ$12,FALSE),"")</f>
        <v>Bijih  Emas</v>
      </c>
      <c r="DA13" s="82" t="str">
        <f t="shared" si="23"/>
        <v>Bijih </v>
      </c>
      <c r="DB13" s="82" t="str">
        <f t="shared" si="23"/>
        <v>Kg</v>
      </c>
      <c r="DC13" s="83">
        <f t="shared" ref="DC13:DC29" si="88">DC49+DC85+DC121+DC157</f>
        <v>0</v>
      </c>
      <c r="DD13" s="83" t="str">
        <f t="shared" ref="DD13:DD29" si="89">DE13/DC13*1000000</f>
        <v>#DIV/0!</v>
      </c>
      <c r="DE13" s="83">
        <f t="shared" ref="DE13:DE30" si="90">DE49+DE85+DE121+DE157</f>
        <v>0</v>
      </c>
      <c r="DF13" s="84"/>
      <c r="DG13" s="83">
        <f t="shared" ref="DG13:DG29" si="91">IFERROR(+DE13*DF13,"")</f>
        <v>0</v>
      </c>
      <c r="DH13" s="85"/>
      <c r="DI13" s="85"/>
      <c r="DJ13" s="86"/>
      <c r="DK13" s="87">
        <f t="shared" ref="DK13:DK29" si="92">IFERROR(+(IF(DE13="","0",DE13))+(IF(DG13="","0",DG13))+(IF(DJ13="","0",DJ13)),"")</f>
        <v>0</v>
      </c>
      <c r="DL13" s="84">
        <f t="shared" ref="DL13:DL29" si="93">CU13</f>
        <v>0.4604471269</v>
      </c>
      <c r="DM13" s="88">
        <f t="shared" ref="DM13:DM29" si="94">IFERROR(+DL13*(DK13-DJ13),"")</f>
        <v>0</v>
      </c>
      <c r="DN13" s="89">
        <f t="shared" ref="DN13:DN29" si="95">IFERROR(+(IF(DK13="","0",DK13))-(IF(DM13="","0",DM13)),"")</f>
        <v>0</v>
      </c>
      <c r="DO13" s="90"/>
      <c r="DP13" s="80">
        <v>1.0</v>
      </c>
      <c r="DQ13" s="81" t="str">
        <f t="shared" ref="DQ13:DS13" si="24">IFERROR(VLOOKUP($R13,$A$13:$D$30,-DQ$12,FALSE),"")</f>
        <v>Bijih  Emas</v>
      </c>
      <c r="DR13" s="82" t="str">
        <f t="shared" si="24"/>
        <v>Bijih </v>
      </c>
      <c r="DS13" s="82" t="str">
        <f t="shared" si="24"/>
        <v>Kg</v>
      </c>
      <c r="DT13" s="83">
        <f t="shared" ref="DT13:DT29" si="97">DT49+DT85+DT121+DT157</f>
        <v>0</v>
      </c>
      <c r="DU13" s="83" t="str">
        <f t="shared" ref="DU13:DU29" si="98">DV13/DT13*1000000</f>
        <v>#DIV/0!</v>
      </c>
      <c r="DV13" s="83">
        <f t="shared" ref="DV13:DV30" si="99">DV49+DV85+DV121+DV157</f>
        <v>0</v>
      </c>
      <c r="DW13" s="84"/>
      <c r="DX13" s="83">
        <f t="shared" ref="DX13:DX29" si="100">IFERROR(+DV13*DW13,"")</f>
        <v>0</v>
      </c>
      <c r="DY13" s="85"/>
      <c r="DZ13" s="85"/>
      <c r="EA13" s="86"/>
      <c r="EB13" s="87">
        <f t="shared" ref="EB13:EB29" si="101">IFERROR(+(IF(DV13="","0",DV13))+(IF(DX13="","0",DX13))+(IF(EA13="","0",EA13)),"")</f>
        <v>0</v>
      </c>
      <c r="EC13" s="84">
        <f t="shared" ref="EC13:EC29" si="102">DL13</f>
        <v>0.4604471269</v>
      </c>
      <c r="ED13" s="88">
        <f t="shared" ref="ED13:ED29" si="103">IFERROR(+EC13*(EB13-EA13),"")</f>
        <v>0</v>
      </c>
      <c r="EE13" s="89">
        <f t="shared" ref="EE13:EE29" si="104">IFERROR(+(IF(EB13="","0",EB13))-(IF(ED13="","0",ED13)),"")</f>
        <v>0</v>
      </c>
      <c r="EF13" s="90"/>
      <c r="EG13" s="80">
        <v>1.0</v>
      </c>
      <c r="EH13" s="81" t="str">
        <f t="shared" ref="EH13:EJ13" si="25">IFERROR(VLOOKUP($R13,$A$13:$D$30,-EH$12,FALSE),"")</f>
        <v>Bijih  Emas</v>
      </c>
      <c r="EI13" s="82" t="str">
        <f t="shared" si="25"/>
        <v>Bijih </v>
      </c>
      <c r="EJ13" s="82" t="str">
        <f t="shared" si="25"/>
        <v>Kg</v>
      </c>
      <c r="EK13" s="83">
        <f t="shared" ref="EK13:EK29" si="106">EK49+EK85+EK121+EK157</f>
        <v>0</v>
      </c>
      <c r="EL13" s="83" t="str">
        <f t="shared" ref="EL13:EL29" si="107">EM13/EK13*1000000</f>
        <v>#DIV/0!</v>
      </c>
      <c r="EM13" s="83">
        <f t="shared" ref="EM13:EM30" si="108">EM49+EM85+EM121+EM157</f>
        <v>0</v>
      </c>
      <c r="EN13" s="84"/>
      <c r="EO13" s="83">
        <f t="shared" ref="EO13:EO29" si="109">IFERROR(+EM13*EN13,"")</f>
        <v>0</v>
      </c>
      <c r="EP13" s="85"/>
      <c r="EQ13" s="85"/>
      <c r="ER13" s="86"/>
      <c r="ES13" s="87">
        <f t="shared" ref="ES13:ES29" si="110">IFERROR(+(IF(EM13="","0",EM13))+(IF(EO13="","0",EO13))+(IF(ER13="","0",ER13)),"")</f>
        <v>0</v>
      </c>
      <c r="ET13" s="84">
        <f t="shared" ref="ET13:ET29" si="111">EC13</f>
        <v>0.4604471269</v>
      </c>
      <c r="EU13" s="88">
        <f t="shared" ref="EU13:EU29" si="112">IFERROR(+ET13*(ES13-ER13),"")</f>
        <v>0</v>
      </c>
      <c r="EV13" s="89">
        <f t="shared" ref="EV13:EV29" si="113">IFERROR(+(IF(ES13="","0",ES13))-(IF(EU13="","0",EU13)),"")</f>
        <v>0</v>
      </c>
      <c r="EW13" s="90"/>
      <c r="EX13" s="80">
        <v>1.0</v>
      </c>
      <c r="EY13" s="81" t="str">
        <f t="shared" ref="EY13:FA13" si="26">IFERROR(VLOOKUP($R13,$A$13:$D$30,-EY$12,FALSE),"")</f>
        <v>Bijih  Emas</v>
      </c>
      <c r="EZ13" s="82" t="str">
        <f t="shared" si="26"/>
        <v>Bijih </v>
      </c>
      <c r="FA13" s="82" t="str">
        <f t="shared" si="26"/>
        <v>Kg</v>
      </c>
      <c r="FB13" s="83">
        <f t="shared" ref="FB13:FB29" si="115">FB49+FB85+FB121+FB157</f>
        <v>0</v>
      </c>
      <c r="FC13" s="83" t="str">
        <f t="shared" ref="FC13:FC29" si="116">FD13/FB13*1000000</f>
        <v>#DIV/0!</v>
      </c>
      <c r="FD13" s="83">
        <f t="shared" ref="FD13:FD30" si="117">FD49+FD85+FD121+FD157</f>
        <v>0</v>
      </c>
      <c r="FE13" s="84"/>
      <c r="FF13" s="83">
        <f t="shared" ref="FF13:FF29" si="118">IFERROR(+FD13*FE13,"")</f>
        <v>0</v>
      </c>
      <c r="FG13" s="85"/>
      <c r="FH13" s="85"/>
      <c r="FI13" s="86"/>
      <c r="FJ13" s="87">
        <f t="shared" ref="FJ13:FJ29" si="119">IFERROR(+(IF(FD13="","0",FD13))+(IF(FF13="","0",FF13))+(IF(FI13="","0",FI13)),"")</f>
        <v>0</v>
      </c>
      <c r="FK13" s="84">
        <f t="shared" ref="FK13:FK29" si="120">ET13</f>
        <v>0.4604471269</v>
      </c>
      <c r="FL13" s="88">
        <f t="shared" ref="FL13:FL29" si="121">IFERROR(+FK13*(FJ13-FI13),"")</f>
        <v>0</v>
      </c>
      <c r="FM13" s="89">
        <f t="shared" ref="FM13:FM29" si="122">IFERROR(+(IF(FJ13="","0",FJ13))-(IF(FL13="","0",FL13)),"")</f>
        <v>0</v>
      </c>
      <c r="FN13" s="90"/>
      <c r="FO13" s="80">
        <v>1.0</v>
      </c>
      <c r="FP13" s="81" t="str">
        <f t="shared" ref="FP13:FR13" si="27">IFERROR(VLOOKUP($R13,$A$13:$D$30,-FP$12,FALSE),"")</f>
        <v>Bijih  Emas</v>
      </c>
      <c r="FQ13" s="82" t="str">
        <f t="shared" si="27"/>
        <v>Bijih </v>
      </c>
      <c r="FR13" s="82" t="str">
        <f t="shared" si="27"/>
        <v>Kg</v>
      </c>
      <c r="FS13" s="83">
        <f t="shared" ref="FS13:FS29" si="124">FS49+FS85+FS121+FS157</f>
        <v>0</v>
      </c>
      <c r="FT13" s="83" t="str">
        <f t="shared" ref="FT13:FT29" si="125">FU13/FS13*1000000</f>
        <v>#DIV/0!</v>
      </c>
      <c r="FU13" s="83">
        <f t="shared" ref="FU13:FU30" si="126">FU49+FU85+FU121+FU157</f>
        <v>0</v>
      </c>
      <c r="FV13" s="84"/>
      <c r="FW13" s="83">
        <f t="shared" ref="FW13:FW29" si="127">IFERROR(+FU13*FV13,"")</f>
        <v>0</v>
      </c>
      <c r="FX13" s="85"/>
      <c r="FY13" s="85"/>
      <c r="FZ13" s="86"/>
      <c r="GA13" s="87">
        <f t="shared" ref="GA13:GA29" si="128">IFERROR(+(IF(FU13="","0",FU13))+(IF(FW13="","0",FW13))+(IF(FZ13="","0",FZ13)),"")</f>
        <v>0</v>
      </c>
      <c r="GB13" s="84">
        <f t="shared" ref="GB13:GB29" si="129">FK13</f>
        <v>0.4604471269</v>
      </c>
      <c r="GC13" s="88">
        <f t="shared" ref="GC13:GC29" si="130">IFERROR(+GB13*(GA13-FZ13),"")</f>
        <v>0</v>
      </c>
      <c r="GD13" s="89">
        <f t="shared" ref="GD13:GD29" si="131">IFERROR(+(IF(GA13="","0",GA13))-(IF(GC13="","0",GC13)),"")</f>
        <v>0</v>
      </c>
      <c r="GE13" s="90"/>
      <c r="GF13" s="80">
        <v>1.0</v>
      </c>
      <c r="GG13" s="81" t="str">
        <f t="shared" ref="GG13:GI13" si="28">IFERROR(VLOOKUP($R13,$A$13:$D$30,-GG$12,FALSE),"")</f>
        <v>Bijih  Emas</v>
      </c>
      <c r="GH13" s="82" t="str">
        <f t="shared" si="28"/>
        <v>Bijih </v>
      </c>
      <c r="GI13" s="82" t="str">
        <f t="shared" si="28"/>
        <v>Kg</v>
      </c>
      <c r="GJ13" s="83">
        <f t="shared" ref="GJ13:GJ29" si="133">GJ49+GJ85+GJ121+GJ157</f>
        <v>0</v>
      </c>
      <c r="GK13" s="83" t="str">
        <f t="shared" ref="GK13:GK29" si="134">GL13/GJ13*1000000</f>
        <v>#DIV/0!</v>
      </c>
      <c r="GL13" s="83">
        <f t="shared" ref="GL13:GL30" si="135">GL49+GL85+GL121+GL157</f>
        <v>0</v>
      </c>
      <c r="GM13" s="84"/>
      <c r="GN13" s="83">
        <f t="shared" ref="GN13:GN29" si="136">IFERROR(+GL13*GM13,"")</f>
        <v>0</v>
      </c>
      <c r="GO13" s="85"/>
      <c r="GP13" s="85"/>
      <c r="GQ13" s="86"/>
      <c r="GR13" s="87">
        <f t="shared" ref="GR13:GR29" si="137">IFERROR(+(IF(GL13="","0",GL13))+(IF(GN13="","0",GN13))+(IF(GQ13="","0",GQ13)),"")</f>
        <v>0</v>
      </c>
      <c r="GS13" s="84">
        <f t="shared" ref="GS13:GS29" si="138">GB13</f>
        <v>0.4604471269</v>
      </c>
      <c r="GT13" s="88">
        <f t="shared" ref="GT13:GT29" si="139">IFERROR(+GS13*(GR13-GQ13),"")</f>
        <v>0</v>
      </c>
      <c r="GU13" s="89">
        <f t="shared" ref="GU13:GU29" si="140">IFERROR(+(IF(GR13="","0",GR13))-(IF(GT13="","0",GT13)),"")</f>
        <v>0</v>
      </c>
      <c r="GV13" s="90"/>
      <c r="GW13" s="80">
        <v>1.0</v>
      </c>
      <c r="GX13" s="81" t="str">
        <f t="shared" ref="GX13:GZ13" si="29">IFERROR(VLOOKUP($R13,$A$13:$D$30,-GX$12,FALSE),"")</f>
        <v>Bijih  Emas</v>
      </c>
      <c r="GY13" s="82" t="str">
        <f t="shared" si="29"/>
        <v>Bijih </v>
      </c>
      <c r="GZ13" s="82" t="str">
        <f t="shared" si="29"/>
        <v>Kg</v>
      </c>
      <c r="HA13" s="83">
        <f t="shared" ref="HA13:HA29" si="142">HA49+HA85+HA121+HA157</f>
        <v>0</v>
      </c>
      <c r="HB13" s="83" t="str">
        <f t="shared" ref="HB13:HB29" si="143">HC13/HA13*1000000</f>
        <v>#DIV/0!</v>
      </c>
      <c r="HC13" s="83">
        <f t="shared" ref="HC13:HC30" si="144">HC49+HC85+HC121+HC157</f>
        <v>0</v>
      </c>
      <c r="HD13" s="84"/>
      <c r="HE13" s="83">
        <f t="shared" ref="HE13:HE29" si="145">IFERROR(+HC13*HD13,"")</f>
        <v>0</v>
      </c>
      <c r="HF13" s="85"/>
      <c r="HG13" s="85"/>
      <c r="HH13" s="86"/>
      <c r="HI13" s="87">
        <f t="shared" ref="HI13:HI29" si="146">IFERROR(+(IF(HC13="","0",HC13))+(IF(HE13="","0",HE13))+(IF(HH13="","0",HH13)),"")</f>
        <v>0</v>
      </c>
      <c r="HJ13" s="84">
        <f t="shared" ref="HJ13:HJ29" si="147">GS13</f>
        <v>0.4604471269</v>
      </c>
      <c r="HK13" s="88">
        <f t="shared" ref="HK13:HK29" si="148">IFERROR(+HJ13*(HI13-HH13),"")</f>
        <v>0</v>
      </c>
      <c r="HL13" s="89">
        <f t="shared" ref="HL13:HL29" si="149">IFERROR(+(IF(HI13="","0",HI13))-(IF(HK13="","0",HK13)),"")</f>
        <v>0</v>
      </c>
      <c r="HM13" s="90"/>
      <c r="HN13" s="80">
        <v>1.0</v>
      </c>
      <c r="HO13" s="81" t="str">
        <f t="shared" ref="HO13:HQ13" si="30">IFERROR(VLOOKUP($R13,$A$13:$D$30,-HO$12,FALSE),"")</f>
        <v>Bijih  Emas</v>
      </c>
      <c r="HP13" s="82" t="str">
        <f t="shared" si="30"/>
        <v>Bijih </v>
      </c>
      <c r="HQ13" s="82" t="str">
        <f t="shared" si="30"/>
        <v>Kg</v>
      </c>
      <c r="HR13" s="83">
        <f t="shared" ref="HR13:HR29" si="151">HR49+HR85+HR121+HR157</f>
        <v>0</v>
      </c>
      <c r="HS13" s="83" t="str">
        <f t="shared" ref="HS13:HS29" si="152">HT13/HR13*1000000</f>
        <v>#DIV/0!</v>
      </c>
      <c r="HT13" s="83">
        <f t="shared" ref="HT13:HT30" si="153">HT49+HT85+HT121+HT157</f>
        <v>0</v>
      </c>
      <c r="HU13" s="84"/>
      <c r="HV13" s="83">
        <f t="shared" ref="HV13:HV29" si="154">IFERROR(+HT13*HU13,"")</f>
        <v>0</v>
      </c>
      <c r="HW13" s="85"/>
      <c r="HX13" s="85"/>
      <c r="HY13" s="86"/>
      <c r="HZ13" s="87">
        <f t="shared" ref="HZ13:HZ29" si="155">IFERROR(+(IF(HT13="","0",HT13))+(IF(HV13="","0",HV13))+(IF(HY13="","0",HY13)),"")</f>
        <v>0</v>
      </c>
      <c r="IA13" s="84">
        <f t="shared" ref="IA13:IA29" si="156">HJ13</f>
        <v>0.4604471269</v>
      </c>
      <c r="IB13" s="88">
        <f t="shared" ref="IB13:IB29" si="157">IFERROR(+IA13*(HZ13-HY13),"")</f>
        <v>0</v>
      </c>
      <c r="IC13" s="89">
        <f t="shared" ref="IC13:IC29" si="158">IFERROR(+(IF(HZ13="","0",HZ13))-(IF(IB13="","0",IB13)),"")</f>
        <v>0</v>
      </c>
      <c r="ID13" s="90"/>
      <c r="IE13" s="80">
        <v>1.0</v>
      </c>
      <c r="IF13" s="81" t="str">
        <f t="shared" ref="IF13:IH13" si="31">IFERROR(VLOOKUP($R13,$A$13:$D$30,-IF$12,FALSE),"")</f>
        <v>Bijih  Emas</v>
      </c>
      <c r="IG13" s="82" t="str">
        <f t="shared" si="31"/>
        <v>Bijih </v>
      </c>
      <c r="IH13" s="82" t="str">
        <f t="shared" si="31"/>
        <v>Kg</v>
      </c>
      <c r="II13" s="83">
        <f t="shared" ref="II13:II29" si="160">II49+II85+II121+II157</f>
        <v>0</v>
      </c>
      <c r="IJ13" s="83" t="str">
        <f t="shared" ref="IJ13:IJ29" si="161">IK13/II13*1000000</f>
        <v>#DIV/0!</v>
      </c>
      <c r="IK13" s="83">
        <f t="shared" ref="IK13:IK30" si="162">IK49+IK85+IK121+IK157</f>
        <v>0</v>
      </c>
      <c r="IL13" s="84"/>
      <c r="IM13" s="83">
        <f t="shared" ref="IM13:IM29" si="163">IFERROR(+IK13*IL13,"")</f>
        <v>0</v>
      </c>
      <c r="IN13" s="85"/>
      <c r="IO13" s="85"/>
      <c r="IP13" s="86"/>
      <c r="IQ13" s="87">
        <f t="shared" ref="IQ13:IQ29" si="164">IFERROR(+(IF(IK13="","0",IK13))+(IF(IM13="","0",IM13))+(IF(IP13="","0",IP13)),"")</f>
        <v>0</v>
      </c>
      <c r="IR13" s="84">
        <f t="shared" ref="IR13:IR29" si="165">IA13</f>
        <v>0.4604471269</v>
      </c>
      <c r="IS13" s="88">
        <f t="shared" ref="IS13:IS29" si="166">IFERROR(+IR13*(IQ13-IP13),"")</f>
        <v>0</v>
      </c>
      <c r="IT13" s="89">
        <f t="shared" ref="IT13:IT29" si="167">IFERROR(+(IF(IQ13="","0",IQ13))-(IF(IS13="","0",IS13)),"")</f>
        <v>0</v>
      </c>
      <c r="IU13" s="90"/>
      <c r="IV13" s="80">
        <v>1.0</v>
      </c>
      <c r="IW13" s="81" t="str">
        <f t="shared" ref="IW13:IY13" si="32">IFERROR(VLOOKUP($R13,$A$13:$D$30,-IW$12,FALSE),"")</f>
        <v>Bijih  Emas</v>
      </c>
      <c r="IX13" s="82" t="str">
        <f t="shared" si="32"/>
        <v>Bijih </v>
      </c>
      <c r="IY13" s="82" t="str">
        <f t="shared" si="32"/>
        <v>Kg</v>
      </c>
      <c r="IZ13" s="83">
        <f t="shared" ref="IZ13:IZ29" si="169">IZ49+IZ85+IZ121+IZ157</f>
        <v>0</v>
      </c>
      <c r="JA13" s="83" t="str">
        <f t="shared" ref="JA13:JA29" si="170">JB13/IZ13*1000000</f>
        <v>#DIV/0!</v>
      </c>
      <c r="JB13" s="83">
        <f t="shared" ref="JB13:JB30" si="171">JB49+JB85+JB121+JB157</f>
        <v>0</v>
      </c>
      <c r="JC13" s="84"/>
      <c r="JD13" s="83">
        <f t="shared" ref="JD13:JD29" si="172">IFERROR(+JB13*JC13,"")</f>
        <v>0</v>
      </c>
      <c r="JE13" s="85"/>
      <c r="JF13" s="85"/>
      <c r="JG13" s="86"/>
      <c r="JH13" s="87">
        <f t="shared" ref="JH13:JH29" si="173">IFERROR(+(IF(JB13="","0",JB13))+(IF(JD13="","0",JD13))+(IF(JG13="","0",JG13)),"")</f>
        <v>0</v>
      </c>
      <c r="JI13" s="84">
        <f t="shared" ref="JI13:JI29" si="174">IR13</f>
        <v>0.4604471269</v>
      </c>
      <c r="JJ13" s="88">
        <f t="shared" ref="JJ13:JJ29" si="175">IFERROR(+JI13*(JH13-JG13),"")</f>
        <v>0</v>
      </c>
      <c r="JK13" s="89">
        <f t="shared" ref="JK13:JK29" si="176">IFERROR(+(IF(JH13="","0",JH13))-(IF(JJ13="","0",JJ13)),"")</f>
        <v>0</v>
      </c>
      <c r="JL13" s="90"/>
      <c r="JM13" s="80">
        <v>1.0</v>
      </c>
      <c r="JN13" s="81" t="str">
        <f t="shared" ref="JN13:JP13" si="33">IFERROR(VLOOKUP($R13,$A$13:$D$30,-JN$12,FALSE),"")</f>
        <v>Bijih  Emas</v>
      </c>
      <c r="JO13" s="82" t="str">
        <f t="shared" si="33"/>
        <v>Bijih </v>
      </c>
      <c r="JP13" s="82" t="str">
        <f t="shared" si="33"/>
        <v>Kg</v>
      </c>
      <c r="JQ13" s="83">
        <f t="shared" ref="JQ13:JQ29" si="178">JQ49+JQ85+JQ121+JQ157</f>
        <v>0</v>
      </c>
      <c r="JR13" s="83" t="str">
        <f t="shared" ref="JR13:JR29" si="179">JS13/JQ13*1000000</f>
        <v>#DIV/0!</v>
      </c>
      <c r="JS13" s="83">
        <f t="shared" ref="JS13:JS30" si="180">JS49+JS85+JS121+JS157</f>
        <v>0</v>
      </c>
      <c r="JT13" s="84"/>
      <c r="JU13" s="83">
        <f t="shared" ref="JU13:JU29" si="181">IFERROR(+JS13*JT13,"")</f>
        <v>0</v>
      </c>
      <c r="JV13" s="85"/>
      <c r="JW13" s="85"/>
      <c r="JX13" s="86"/>
      <c r="JY13" s="87">
        <f t="shared" ref="JY13:JY29" si="182">IFERROR(+(IF(JS13="","0",JS13))+(IF(JU13="","0",JU13))+(IF(JX13="","0",JX13)),"")</f>
        <v>0</v>
      </c>
      <c r="JZ13" s="84">
        <f t="shared" ref="JZ13:JZ29" si="183">JI13</f>
        <v>0.4604471269</v>
      </c>
      <c r="KA13" s="88">
        <f t="shared" ref="KA13:KA29" si="184">IFERROR(+JZ13*(JY13-JX13),"")</f>
        <v>0</v>
      </c>
      <c r="KB13" s="89">
        <f t="shared" ref="KB13:KB29" si="185">IFERROR(+(IF(JY13="","0",JY13))-(IF(KA13="","0",KA13)),"")</f>
        <v>0</v>
      </c>
      <c r="KC13" s="90"/>
      <c r="KD13" s="80">
        <v>1.0</v>
      </c>
      <c r="KE13" s="81" t="str">
        <f t="shared" ref="KE13:KG13" si="34">IFERROR(VLOOKUP($R13,$A$13:$D$30,-KE$12,FALSE),"")</f>
        <v>Bijih  Emas</v>
      </c>
      <c r="KF13" s="82" t="str">
        <f t="shared" si="34"/>
        <v>Bijih </v>
      </c>
      <c r="KG13" s="82" t="str">
        <f t="shared" si="34"/>
        <v>Kg</v>
      </c>
      <c r="KH13" s="83">
        <f t="shared" ref="KH13:KH29" si="187">KH49+KH85+KH121+KH157</f>
        <v>0</v>
      </c>
      <c r="KI13" s="83" t="str">
        <f t="shared" ref="KI13:KI29" si="188">KJ13/KH13*1000000</f>
        <v>#DIV/0!</v>
      </c>
      <c r="KJ13" s="83">
        <f t="shared" ref="KJ13:KJ30" si="189">KJ49+KJ85+KJ121+KJ157</f>
        <v>0</v>
      </c>
      <c r="KK13" s="84"/>
      <c r="KL13" s="83">
        <f t="shared" ref="KL13:KL29" si="190">IFERROR(+KJ13*KK13,"")</f>
        <v>0</v>
      </c>
      <c r="KM13" s="85"/>
      <c r="KN13" s="85"/>
      <c r="KO13" s="86"/>
      <c r="KP13" s="87">
        <f t="shared" ref="KP13:KP29" si="191">IFERROR(+(IF(KJ13="","0",KJ13))+(IF(KL13="","0",KL13))+(IF(KO13="","0",KO13)),"")</f>
        <v>0</v>
      </c>
      <c r="KQ13" s="84">
        <f t="shared" ref="KQ13:KQ29" si="192">JZ13</f>
        <v>0.4604471269</v>
      </c>
      <c r="KR13" s="88">
        <f t="shared" ref="KR13:KR29" si="193">IFERROR(+KQ13*(KP13-KO13),"")</f>
        <v>0</v>
      </c>
      <c r="KS13" s="89">
        <f t="shared" ref="KS13:KS29" si="194">IFERROR(+(IF(KP13="","0",KP13))-(IF(KR13="","0",KR13)),"")</f>
        <v>0</v>
      </c>
      <c r="KT13" s="90"/>
      <c r="KU13" s="91"/>
    </row>
    <row r="14">
      <c r="A14" s="92">
        <f t="shared" ref="A14:A29" si="195">A13+1</f>
        <v>2</v>
      </c>
      <c r="B14" s="93" t="str">
        <f>IFERROR(VLOOKUP($R14,ADHK!$A$13:$D$30,-B$12,FALSE),"")</f>
        <v>Bijih  Perak</v>
      </c>
      <c r="C14" s="94" t="str">
        <f>IFERROR(VLOOKUP($R14,ADHK!$A$13:$D$30,-C$12,FALSE),"")</f>
        <v>Bijih </v>
      </c>
      <c r="D14" s="94" t="str">
        <f>IFERROR(VLOOKUP($R14,ADHK!$A$13:$D$30,-D$12,FALSE),"")</f>
        <v>Kg</v>
      </c>
      <c r="E14" s="87">
        <f t="shared" si="35"/>
        <v>0</v>
      </c>
      <c r="F14" s="87" t="str">
        <f t="shared" si="36"/>
        <v>#DIV/0!</v>
      </c>
      <c r="G14" s="87">
        <f t="shared" si="37"/>
        <v>0</v>
      </c>
      <c r="H14" s="95"/>
      <c r="I14" s="87">
        <f t="shared" si="38"/>
        <v>0</v>
      </c>
      <c r="J14" s="96"/>
      <c r="K14" s="96"/>
      <c r="L14" s="97"/>
      <c r="M14" s="87">
        <f t="shared" si="39"/>
        <v>0</v>
      </c>
      <c r="N14" s="95">
        <f>ADHK!N14</f>
        <v>0.4604471269</v>
      </c>
      <c r="O14" s="98">
        <f t="shared" si="40"/>
        <v>0</v>
      </c>
      <c r="P14" s="99">
        <f t="shared" si="41"/>
        <v>0</v>
      </c>
      <c r="Q14" s="90"/>
      <c r="R14" s="92">
        <f t="shared" ref="R14:R29" si="196">R13+1</f>
        <v>2</v>
      </c>
      <c r="S14" s="93" t="str">
        <f t="shared" ref="S14:U14" si="42">IFERROR(VLOOKUP($R14,$A$13:$D$30,-S$12,FALSE),"")</f>
        <v>Bijih  Perak</v>
      </c>
      <c r="T14" s="94" t="str">
        <f t="shared" si="42"/>
        <v>Bijih </v>
      </c>
      <c r="U14" s="94" t="str">
        <f t="shared" si="42"/>
        <v>Kg</v>
      </c>
      <c r="V14" s="87">
        <f t="shared" si="43"/>
        <v>0</v>
      </c>
      <c r="W14" s="87" t="str">
        <f t="shared" si="44"/>
        <v>#DIV/0!</v>
      </c>
      <c r="X14" s="87">
        <f t="shared" si="45"/>
        <v>0</v>
      </c>
      <c r="Y14" s="95"/>
      <c r="Z14" s="87">
        <f t="shared" si="46"/>
        <v>0</v>
      </c>
      <c r="AA14" s="96"/>
      <c r="AB14" s="96"/>
      <c r="AC14" s="97"/>
      <c r="AD14" s="87">
        <f t="shared" si="47"/>
        <v>0</v>
      </c>
      <c r="AE14" s="95">
        <f t="shared" si="48"/>
        <v>0.4604471269</v>
      </c>
      <c r="AF14" s="98">
        <f t="shared" si="49"/>
        <v>0</v>
      </c>
      <c r="AG14" s="99">
        <f t="shared" si="50"/>
        <v>0</v>
      </c>
      <c r="AH14" s="90"/>
      <c r="AI14" s="92">
        <f t="shared" ref="AI14:AI29" si="198">AI13+1</f>
        <v>2</v>
      </c>
      <c r="AJ14" s="93" t="str">
        <f t="shared" ref="AJ14:AL14" si="51">IFERROR(VLOOKUP($R14,$A$13:$D$30,-AJ$12,FALSE),"")</f>
        <v>Bijih  Perak</v>
      </c>
      <c r="AK14" s="94" t="str">
        <f t="shared" si="51"/>
        <v>Bijih </v>
      </c>
      <c r="AL14" s="94" t="str">
        <f t="shared" si="51"/>
        <v>Kg</v>
      </c>
      <c r="AM14" s="87">
        <f t="shared" si="52"/>
        <v>0</v>
      </c>
      <c r="AN14" s="87" t="str">
        <f t="shared" si="53"/>
        <v>#DIV/0!</v>
      </c>
      <c r="AO14" s="87">
        <f t="shared" si="54"/>
        <v>0</v>
      </c>
      <c r="AP14" s="95"/>
      <c r="AQ14" s="87">
        <f t="shared" si="55"/>
        <v>0</v>
      </c>
      <c r="AR14" s="96"/>
      <c r="AS14" s="96"/>
      <c r="AT14" s="97"/>
      <c r="AU14" s="87">
        <f t="shared" si="56"/>
        <v>0</v>
      </c>
      <c r="AV14" s="95">
        <f t="shared" si="57"/>
        <v>0.4604471269</v>
      </c>
      <c r="AW14" s="98">
        <f t="shared" si="58"/>
        <v>0</v>
      </c>
      <c r="AX14" s="99">
        <f t="shared" si="59"/>
        <v>0</v>
      </c>
      <c r="AY14" s="90"/>
      <c r="AZ14" s="92">
        <f t="shared" ref="AZ14:AZ29" si="200">AZ13+1</f>
        <v>2</v>
      </c>
      <c r="BA14" s="93" t="str">
        <f t="shared" ref="BA14:BC14" si="60">IFERROR(VLOOKUP($R14,$A$13:$D$30,-BA$12,FALSE),"")</f>
        <v>Bijih  Perak</v>
      </c>
      <c r="BB14" s="94" t="str">
        <f t="shared" si="60"/>
        <v>Bijih </v>
      </c>
      <c r="BC14" s="94" t="str">
        <f t="shared" si="60"/>
        <v>Kg</v>
      </c>
      <c r="BD14" s="87">
        <f t="shared" si="61"/>
        <v>0</v>
      </c>
      <c r="BE14" s="87" t="str">
        <f t="shared" si="62"/>
        <v>#DIV/0!</v>
      </c>
      <c r="BF14" s="87">
        <f t="shared" si="63"/>
        <v>0</v>
      </c>
      <c r="BG14" s="95"/>
      <c r="BH14" s="87">
        <f t="shared" si="64"/>
        <v>0</v>
      </c>
      <c r="BI14" s="96"/>
      <c r="BJ14" s="96"/>
      <c r="BK14" s="97"/>
      <c r="BL14" s="87">
        <f t="shared" si="65"/>
        <v>0</v>
      </c>
      <c r="BM14" s="95">
        <f t="shared" si="66"/>
        <v>0.4604471269</v>
      </c>
      <c r="BN14" s="98">
        <f t="shared" si="67"/>
        <v>0</v>
      </c>
      <c r="BO14" s="99">
        <f t="shared" si="68"/>
        <v>0</v>
      </c>
      <c r="BP14" s="90"/>
      <c r="BQ14" s="92">
        <f t="shared" ref="BQ14:BQ29" si="202">BQ13+1</f>
        <v>2</v>
      </c>
      <c r="BR14" s="93" t="str">
        <f t="shared" ref="BR14:BT14" si="69">IFERROR(VLOOKUP($R14,$A$13:$D$30,-BR$12,FALSE),"")</f>
        <v>Bijih  Perak</v>
      </c>
      <c r="BS14" s="94" t="str">
        <f t="shared" si="69"/>
        <v>Bijih </v>
      </c>
      <c r="BT14" s="94" t="str">
        <f t="shared" si="69"/>
        <v>Kg</v>
      </c>
      <c r="BU14" s="87">
        <f t="shared" si="70"/>
        <v>0</v>
      </c>
      <c r="BV14" s="87" t="str">
        <f t="shared" si="71"/>
        <v>#DIV/0!</v>
      </c>
      <c r="BW14" s="87">
        <f t="shared" si="72"/>
        <v>0</v>
      </c>
      <c r="BX14" s="95"/>
      <c r="BY14" s="87">
        <f t="shared" si="73"/>
        <v>0</v>
      </c>
      <c r="BZ14" s="96"/>
      <c r="CA14" s="96"/>
      <c r="CB14" s="97"/>
      <c r="CC14" s="87">
        <f t="shared" si="74"/>
        <v>0</v>
      </c>
      <c r="CD14" s="95">
        <f t="shared" si="75"/>
        <v>0.4604471269</v>
      </c>
      <c r="CE14" s="98">
        <f t="shared" si="76"/>
        <v>0</v>
      </c>
      <c r="CF14" s="99">
        <f t="shared" si="77"/>
        <v>0</v>
      </c>
      <c r="CG14" s="90"/>
      <c r="CH14" s="92">
        <f t="shared" ref="CH14:CH29" si="204">CH13+1</f>
        <v>2</v>
      </c>
      <c r="CI14" s="93" t="str">
        <f t="shared" ref="CI14:CK14" si="78">IFERROR(VLOOKUP($R14,$A$13:$D$30,-CI$12,FALSE),"")</f>
        <v>Bijih  Perak</v>
      </c>
      <c r="CJ14" s="94" t="str">
        <f t="shared" si="78"/>
        <v>Bijih </v>
      </c>
      <c r="CK14" s="94" t="str">
        <f t="shared" si="78"/>
        <v>Kg</v>
      </c>
      <c r="CL14" s="87">
        <f t="shared" si="79"/>
        <v>0</v>
      </c>
      <c r="CM14" s="87" t="str">
        <f t="shared" si="80"/>
        <v>#DIV/0!</v>
      </c>
      <c r="CN14" s="87">
        <f t="shared" si="81"/>
        <v>0</v>
      </c>
      <c r="CO14" s="95"/>
      <c r="CP14" s="87">
        <f t="shared" si="82"/>
        <v>0</v>
      </c>
      <c r="CQ14" s="96"/>
      <c r="CR14" s="96"/>
      <c r="CS14" s="97"/>
      <c r="CT14" s="87">
        <f t="shared" si="83"/>
        <v>0</v>
      </c>
      <c r="CU14" s="95">
        <f t="shared" si="84"/>
        <v>0.4604471269</v>
      </c>
      <c r="CV14" s="98">
        <f t="shared" si="85"/>
        <v>0</v>
      </c>
      <c r="CW14" s="99">
        <f t="shared" si="86"/>
        <v>0</v>
      </c>
      <c r="CX14" s="90"/>
      <c r="CY14" s="92">
        <f t="shared" ref="CY14:CY29" si="206">CY13+1</f>
        <v>2</v>
      </c>
      <c r="CZ14" s="93" t="str">
        <f t="shared" ref="CZ14:DB14" si="87">IFERROR(VLOOKUP($R14,$A$13:$D$30,-CZ$12,FALSE),"")</f>
        <v>Bijih  Perak</v>
      </c>
      <c r="DA14" s="94" t="str">
        <f t="shared" si="87"/>
        <v>Bijih </v>
      </c>
      <c r="DB14" s="94" t="str">
        <f t="shared" si="87"/>
        <v>Kg</v>
      </c>
      <c r="DC14" s="87">
        <f t="shared" si="88"/>
        <v>0</v>
      </c>
      <c r="DD14" s="87" t="str">
        <f t="shared" si="89"/>
        <v>#DIV/0!</v>
      </c>
      <c r="DE14" s="87">
        <f t="shared" si="90"/>
        <v>0</v>
      </c>
      <c r="DF14" s="95"/>
      <c r="DG14" s="87">
        <f t="shared" si="91"/>
        <v>0</v>
      </c>
      <c r="DH14" s="96"/>
      <c r="DI14" s="96"/>
      <c r="DJ14" s="97"/>
      <c r="DK14" s="87">
        <f t="shared" si="92"/>
        <v>0</v>
      </c>
      <c r="DL14" s="95">
        <f t="shared" si="93"/>
        <v>0.4604471269</v>
      </c>
      <c r="DM14" s="98">
        <f t="shared" si="94"/>
        <v>0</v>
      </c>
      <c r="DN14" s="99">
        <f t="shared" si="95"/>
        <v>0</v>
      </c>
      <c r="DO14" s="90"/>
      <c r="DP14" s="92">
        <f t="shared" ref="DP14:DP29" si="208">DP13+1</f>
        <v>2</v>
      </c>
      <c r="DQ14" s="93" t="str">
        <f t="shared" ref="DQ14:DS14" si="96">IFERROR(VLOOKUP($R14,$A$13:$D$30,-DQ$12,FALSE),"")</f>
        <v>Bijih  Perak</v>
      </c>
      <c r="DR14" s="94" t="str">
        <f t="shared" si="96"/>
        <v>Bijih </v>
      </c>
      <c r="DS14" s="94" t="str">
        <f t="shared" si="96"/>
        <v>Kg</v>
      </c>
      <c r="DT14" s="87">
        <f t="shared" si="97"/>
        <v>0</v>
      </c>
      <c r="DU14" s="87" t="str">
        <f t="shared" si="98"/>
        <v>#DIV/0!</v>
      </c>
      <c r="DV14" s="87">
        <f t="shared" si="99"/>
        <v>0</v>
      </c>
      <c r="DW14" s="95"/>
      <c r="DX14" s="87">
        <f t="shared" si="100"/>
        <v>0</v>
      </c>
      <c r="DY14" s="96"/>
      <c r="DZ14" s="96"/>
      <c r="EA14" s="97"/>
      <c r="EB14" s="87">
        <f t="shared" si="101"/>
        <v>0</v>
      </c>
      <c r="EC14" s="95">
        <f t="shared" si="102"/>
        <v>0.4604471269</v>
      </c>
      <c r="ED14" s="98">
        <f t="shared" si="103"/>
        <v>0</v>
      </c>
      <c r="EE14" s="99">
        <f t="shared" si="104"/>
        <v>0</v>
      </c>
      <c r="EF14" s="90"/>
      <c r="EG14" s="92">
        <f t="shared" ref="EG14:EG29" si="210">EG13+1</f>
        <v>2</v>
      </c>
      <c r="EH14" s="93" t="str">
        <f t="shared" ref="EH14:EJ14" si="105">IFERROR(VLOOKUP($R14,$A$13:$D$30,-EH$12,FALSE),"")</f>
        <v>Bijih  Perak</v>
      </c>
      <c r="EI14" s="94" t="str">
        <f t="shared" si="105"/>
        <v>Bijih </v>
      </c>
      <c r="EJ14" s="94" t="str">
        <f t="shared" si="105"/>
        <v>Kg</v>
      </c>
      <c r="EK14" s="87">
        <f t="shared" si="106"/>
        <v>0</v>
      </c>
      <c r="EL14" s="87" t="str">
        <f t="shared" si="107"/>
        <v>#DIV/0!</v>
      </c>
      <c r="EM14" s="87">
        <f t="shared" si="108"/>
        <v>0</v>
      </c>
      <c r="EN14" s="95"/>
      <c r="EO14" s="87">
        <f t="shared" si="109"/>
        <v>0</v>
      </c>
      <c r="EP14" s="96"/>
      <c r="EQ14" s="96"/>
      <c r="ER14" s="97"/>
      <c r="ES14" s="87">
        <f t="shared" si="110"/>
        <v>0</v>
      </c>
      <c r="ET14" s="95">
        <f t="shared" si="111"/>
        <v>0.4604471269</v>
      </c>
      <c r="EU14" s="98">
        <f t="shared" si="112"/>
        <v>0</v>
      </c>
      <c r="EV14" s="99">
        <f t="shared" si="113"/>
        <v>0</v>
      </c>
      <c r="EW14" s="90"/>
      <c r="EX14" s="92">
        <f t="shared" ref="EX14:EX29" si="212">EX13+1</f>
        <v>2</v>
      </c>
      <c r="EY14" s="93" t="str">
        <f t="shared" ref="EY14:FA14" si="114">IFERROR(VLOOKUP($R14,$A$13:$D$30,-EY$12,FALSE),"")</f>
        <v>Bijih  Perak</v>
      </c>
      <c r="EZ14" s="94" t="str">
        <f t="shared" si="114"/>
        <v>Bijih </v>
      </c>
      <c r="FA14" s="94" t="str">
        <f t="shared" si="114"/>
        <v>Kg</v>
      </c>
      <c r="FB14" s="87">
        <f t="shared" si="115"/>
        <v>0</v>
      </c>
      <c r="FC14" s="87" t="str">
        <f t="shared" si="116"/>
        <v>#DIV/0!</v>
      </c>
      <c r="FD14" s="87">
        <f t="shared" si="117"/>
        <v>0</v>
      </c>
      <c r="FE14" s="95"/>
      <c r="FF14" s="87">
        <f t="shared" si="118"/>
        <v>0</v>
      </c>
      <c r="FG14" s="96"/>
      <c r="FH14" s="96"/>
      <c r="FI14" s="97"/>
      <c r="FJ14" s="87">
        <f t="shared" si="119"/>
        <v>0</v>
      </c>
      <c r="FK14" s="95">
        <f t="shared" si="120"/>
        <v>0.4604471269</v>
      </c>
      <c r="FL14" s="98">
        <f t="shared" si="121"/>
        <v>0</v>
      </c>
      <c r="FM14" s="99">
        <f t="shared" si="122"/>
        <v>0</v>
      </c>
      <c r="FN14" s="90"/>
      <c r="FO14" s="92">
        <f t="shared" ref="FO14:FO29" si="214">FO13+1</f>
        <v>2</v>
      </c>
      <c r="FP14" s="93" t="str">
        <f t="shared" ref="FP14:FR14" si="123">IFERROR(VLOOKUP($R14,$A$13:$D$30,-FP$12,FALSE),"")</f>
        <v>Bijih  Perak</v>
      </c>
      <c r="FQ14" s="94" t="str">
        <f t="shared" si="123"/>
        <v>Bijih </v>
      </c>
      <c r="FR14" s="94" t="str">
        <f t="shared" si="123"/>
        <v>Kg</v>
      </c>
      <c r="FS14" s="87">
        <f t="shared" si="124"/>
        <v>0</v>
      </c>
      <c r="FT14" s="87" t="str">
        <f t="shared" si="125"/>
        <v>#DIV/0!</v>
      </c>
      <c r="FU14" s="87">
        <f t="shared" si="126"/>
        <v>0</v>
      </c>
      <c r="FV14" s="95"/>
      <c r="FW14" s="87">
        <f t="shared" si="127"/>
        <v>0</v>
      </c>
      <c r="FX14" s="96"/>
      <c r="FY14" s="96"/>
      <c r="FZ14" s="97"/>
      <c r="GA14" s="87">
        <f t="shared" si="128"/>
        <v>0</v>
      </c>
      <c r="GB14" s="95">
        <f t="shared" si="129"/>
        <v>0.4604471269</v>
      </c>
      <c r="GC14" s="98">
        <f t="shared" si="130"/>
        <v>0</v>
      </c>
      <c r="GD14" s="99">
        <f t="shared" si="131"/>
        <v>0</v>
      </c>
      <c r="GE14" s="90"/>
      <c r="GF14" s="92">
        <f t="shared" ref="GF14:GF29" si="216">GF13+1</f>
        <v>2</v>
      </c>
      <c r="GG14" s="93" t="str">
        <f t="shared" ref="GG14:GI14" si="132">IFERROR(VLOOKUP($R14,$A$13:$D$30,-GG$12,FALSE),"")</f>
        <v>Bijih  Perak</v>
      </c>
      <c r="GH14" s="94" t="str">
        <f t="shared" si="132"/>
        <v>Bijih </v>
      </c>
      <c r="GI14" s="94" t="str">
        <f t="shared" si="132"/>
        <v>Kg</v>
      </c>
      <c r="GJ14" s="87">
        <f t="shared" si="133"/>
        <v>0</v>
      </c>
      <c r="GK14" s="87" t="str">
        <f t="shared" si="134"/>
        <v>#DIV/0!</v>
      </c>
      <c r="GL14" s="87">
        <f t="shared" si="135"/>
        <v>0</v>
      </c>
      <c r="GM14" s="95"/>
      <c r="GN14" s="87">
        <f t="shared" si="136"/>
        <v>0</v>
      </c>
      <c r="GO14" s="96"/>
      <c r="GP14" s="96"/>
      <c r="GQ14" s="97"/>
      <c r="GR14" s="87">
        <f t="shared" si="137"/>
        <v>0</v>
      </c>
      <c r="GS14" s="95">
        <f t="shared" si="138"/>
        <v>0.4604471269</v>
      </c>
      <c r="GT14" s="98">
        <f t="shared" si="139"/>
        <v>0</v>
      </c>
      <c r="GU14" s="99">
        <f t="shared" si="140"/>
        <v>0</v>
      </c>
      <c r="GV14" s="90"/>
      <c r="GW14" s="92">
        <f t="shared" ref="GW14:GW29" si="218">GW13+1</f>
        <v>2</v>
      </c>
      <c r="GX14" s="93" t="str">
        <f t="shared" ref="GX14:GZ14" si="141">IFERROR(VLOOKUP($R14,$A$13:$D$30,-GX$12,FALSE),"")</f>
        <v>Bijih  Perak</v>
      </c>
      <c r="GY14" s="94" t="str">
        <f t="shared" si="141"/>
        <v>Bijih </v>
      </c>
      <c r="GZ14" s="94" t="str">
        <f t="shared" si="141"/>
        <v>Kg</v>
      </c>
      <c r="HA14" s="87">
        <f t="shared" si="142"/>
        <v>0</v>
      </c>
      <c r="HB14" s="87" t="str">
        <f t="shared" si="143"/>
        <v>#DIV/0!</v>
      </c>
      <c r="HC14" s="87">
        <f t="shared" si="144"/>
        <v>0</v>
      </c>
      <c r="HD14" s="95"/>
      <c r="HE14" s="87">
        <f t="shared" si="145"/>
        <v>0</v>
      </c>
      <c r="HF14" s="96"/>
      <c r="HG14" s="96"/>
      <c r="HH14" s="97"/>
      <c r="HI14" s="87">
        <f t="shared" si="146"/>
        <v>0</v>
      </c>
      <c r="HJ14" s="95">
        <f t="shared" si="147"/>
        <v>0.4604471269</v>
      </c>
      <c r="HK14" s="98">
        <f t="shared" si="148"/>
        <v>0</v>
      </c>
      <c r="HL14" s="99">
        <f t="shared" si="149"/>
        <v>0</v>
      </c>
      <c r="HM14" s="90"/>
      <c r="HN14" s="92">
        <f t="shared" ref="HN14:HN29" si="220">HN13+1</f>
        <v>2</v>
      </c>
      <c r="HO14" s="93" t="str">
        <f t="shared" ref="HO14:HQ14" si="150">IFERROR(VLOOKUP($R14,$A$13:$D$30,-HO$12,FALSE),"")</f>
        <v>Bijih  Perak</v>
      </c>
      <c r="HP14" s="94" t="str">
        <f t="shared" si="150"/>
        <v>Bijih </v>
      </c>
      <c r="HQ14" s="94" t="str">
        <f t="shared" si="150"/>
        <v>Kg</v>
      </c>
      <c r="HR14" s="87">
        <f t="shared" si="151"/>
        <v>0</v>
      </c>
      <c r="HS14" s="87" t="str">
        <f t="shared" si="152"/>
        <v>#DIV/0!</v>
      </c>
      <c r="HT14" s="87">
        <f t="shared" si="153"/>
        <v>0</v>
      </c>
      <c r="HU14" s="95"/>
      <c r="HV14" s="87">
        <f t="shared" si="154"/>
        <v>0</v>
      </c>
      <c r="HW14" s="96"/>
      <c r="HX14" s="96"/>
      <c r="HY14" s="97"/>
      <c r="HZ14" s="87">
        <f t="shared" si="155"/>
        <v>0</v>
      </c>
      <c r="IA14" s="95">
        <f t="shared" si="156"/>
        <v>0.4604471269</v>
      </c>
      <c r="IB14" s="98">
        <f t="shared" si="157"/>
        <v>0</v>
      </c>
      <c r="IC14" s="99">
        <f t="shared" si="158"/>
        <v>0</v>
      </c>
      <c r="ID14" s="90"/>
      <c r="IE14" s="92">
        <f t="shared" ref="IE14:IE29" si="222">IE13+1</f>
        <v>2</v>
      </c>
      <c r="IF14" s="93" t="str">
        <f t="shared" ref="IF14:IH14" si="159">IFERROR(VLOOKUP($R14,$A$13:$D$30,-IF$12,FALSE),"")</f>
        <v>Bijih  Perak</v>
      </c>
      <c r="IG14" s="94" t="str">
        <f t="shared" si="159"/>
        <v>Bijih </v>
      </c>
      <c r="IH14" s="94" t="str">
        <f t="shared" si="159"/>
        <v>Kg</v>
      </c>
      <c r="II14" s="87">
        <f t="shared" si="160"/>
        <v>0</v>
      </c>
      <c r="IJ14" s="87" t="str">
        <f t="shared" si="161"/>
        <v>#DIV/0!</v>
      </c>
      <c r="IK14" s="87">
        <f t="shared" si="162"/>
        <v>0</v>
      </c>
      <c r="IL14" s="95"/>
      <c r="IM14" s="87">
        <f t="shared" si="163"/>
        <v>0</v>
      </c>
      <c r="IN14" s="96"/>
      <c r="IO14" s="96"/>
      <c r="IP14" s="97"/>
      <c r="IQ14" s="87">
        <f t="shared" si="164"/>
        <v>0</v>
      </c>
      <c r="IR14" s="95">
        <f t="shared" si="165"/>
        <v>0.4604471269</v>
      </c>
      <c r="IS14" s="98">
        <f t="shared" si="166"/>
        <v>0</v>
      </c>
      <c r="IT14" s="99">
        <f t="shared" si="167"/>
        <v>0</v>
      </c>
      <c r="IU14" s="90"/>
      <c r="IV14" s="92">
        <f t="shared" ref="IV14:IV29" si="224">IV13+1</f>
        <v>2</v>
      </c>
      <c r="IW14" s="93" t="str">
        <f t="shared" ref="IW14:IY14" si="168">IFERROR(VLOOKUP($R14,$A$13:$D$30,-IW$12,FALSE),"")</f>
        <v>Bijih  Perak</v>
      </c>
      <c r="IX14" s="94" t="str">
        <f t="shared" si="168"/>
        <v>Bijih </v>
      </c>
      <c r="IY14" s="94" t="str">
        <f t="shared" si="168"/>
        <v>Kg</v>
      </c>
      <c r="IZ14" s="87">
        <f t="shared" si="169"/>
        <v>0</v>
      </c>
      <c r="JA14" s="87" t="str">
        <f t="shared" si="170"/>
        <v>#DIV/0!</v>
      </c>
      <c r="JB14" s="87">
        <f t="shared" si="171"/>
        <v>0</v>
      </c>
      <c r="JC14" s="95"/>
      <c r="JD14" s="87">
        <f t="shared" si="172"/>
        <v>0</v>
      </c>
      <c r="JE14" s="96"/>
      <c r="JF14" s="96"/>
      <c r="JG14" s="97"/>
      <c r="JH14" s="87">
        <f t="shared" si="173"/>
        <v>0</v>
      </c>
      <c r="JI14" s="95">
        <f t="shared" si="174"/>
        <v>0.4604471269</v>
      </c>
      <c r="JJ14" s="98">
        <f t="shared" si="175"/>
        <v>0</v>
      </c>
      <c r="JK14" s="99">
        <f t="shared" si="176"/>
        <v>0</v>
      </c>
      <c r="JL14" s="90"/>
      <c r="JM14" s="92">
        <f t="shared" ref="JM14:JM29" si="226">JM13+1</f>
        <v>2</v>
      </c>
      <c r="JN14" s="93" t="str">
        <f t="shared" ref="JN14:JP14" si="177">IFERROR(VLOOKUP($R14,$A$13:$D$30,-JN$12,FALSE),"")</f>
        <v>Bijih  Perak</v>
      </c>
      <c r="JO14" s="94" t="str">
        <f t="shared" si="177"/>
        <v>Bijih </v>
      </c>
      <c r="JP14" s="94" t="str">
        <f t="shared" si="177"/>
        <v>Kg</v>
      </c>
      <c r="JQ14" s="87">
        <f t="shared" si="178"/>
        <v>0</v>
      </c>
      <c r="JR14" s="87" t="str">
        <f t="shared" si="179"/>
        <v>#DIV/0!</v>
      </c>
      <c r="JS14" s="87">
        <f t="shared" si="180"/>
        <v>0</v>
      </c>
      <c r="JT14" s="95"/>
      <c r="JU14" s="87">
        <f t="shared" si="181"/>
        <v>0</v>
      </c>
      <c r="JV14" s="96"/>
      <c r="JW14" s="96"/>
      <c r="JX14" s="97"/>
      <c r="JY14" s="87">
        <f t="shared" si="182"/>
        <v>0</v>
      </c>
      <c r="JZ14" s="95">
        <f t="shared" si="183"/>
        <v>0.4604471269</v>
      </c>
      <c r="KA14" s="98">
        <f t="shared" si="184"/>
        <v>0</v>
      </c>
      <c r="KB14" s="99">
        <f t="shared" si="185"/>
        <v>0</v>
      </c>
      <c r="KC14" s="90"/>
      <c r="KD14" s="92">
        <f t="shared" ref="KD14:KD29" si="228">KD13+1</f>
        <v>2</v>
      </c>
      <c r="KE14" s="93" t="str">
        <f t="shared" ref="KE14:KG14" si="186">IFERROR(VLOOKUP($R14,$A$13:$D$30,-KE$12,FALSE),"")</f>
        <v>Bijih  Perak</v>
      </c>
      <c r="KF14" s="94" t="str">
        <f t="shared" si="186"/>
        <v>Bijih </v>
      </c>
      <c r="KG14" s="94" t="str">
        <f t="shared" si="186"/>
        <v>Kg</v>
      </c>
      <c r="KH14" s="87">
        <f t="shared" si="187"/>
        <v>0</v>
      </c>
      <c r="KI14" s="87" t="str">
        <f t="shared" si="188"/>
        <v>#DIV/0!</v>
      </c>
      <c r="KJ14" s="87">
        <f t="shared" si="189"/>
        <v>0</v>
      </c>
      <c r="KK14" s="95"/>
      <c r="KL14" s="87">
        <f t="shared" si="190"/>
        <v>0</v>
      </c>
      <c r="KM14" s="96"/>
      <c r="KN14" s="96"/>
      <c r="KO14" s="97"/>
      <c r="KP14" s="87">
        <f t="shared" si="191"/>
        <v>0</v>
      </c>
      <c r="KQ14" s="95">
        <f t="shared" si="192"/>
        <v>0.4604471269</v>
      </c>
      <c r="KR14" s="98">
        <f t="shared" si="193"/>
        <v>0</v>
      </c>
      <c r="KS14" s="99">
        <f t="shared" si="194"/>
        <v>0</v>
      </c>
      <c r="KT14" s="90"/>
      <c r="KU14" s="91"/>
    </row>
    <row r="15">
      <c r="A15" s="92">
        <f t="shared" si="195"/>
        <v>3</v>
      </c>
      <c r="B15" s="93" t="str">
        <f>IFERROR(VLOOKUP($R15,ADHK!$A$13:$D$30,-B$12,FALSE),"")</f>
        <v>Tembaga</v>
      </c>
      <c r="C15" s="94" t="str">
        <f>IFERROR(VLOOKUP($R15,ADHK!$A$13:$D$30,-C$12,FALSE),"")</f>
        <v>Bijih </v>
      </c>
      <c r="D15" s="94" t="str">
        <f>IFERROR(VLOOKUP($R15,ADHK!$A$13:$D$30,-D$12,FALSE),"")</f>
        <v>Ton </v>
      </c>
      <c r="E15" s="87">
        <f t="shared" si="35"/>
        <v>0</v>
      </c>
      <c r="F15" s="87" t="str">
        <f t="shared" si="36"/>
        <v>#DIV/0!</v>
      </c>
      <c r="G15" s="87">
        <f t="shared" si="37"/>
        <v>0</v>
      </c>
      <c r="H15" s="95"/>
      <c r="I15" s="87">
        <f t="shared" si="38"/>
        <v>0</v>
      </c>
      <c r="J15" s="96"/>
      <c r="K15" s="96"/>
      <c r="L15" s="97"/>
      <c r="M15" s="87">
        <f t="shared" si="39"/>
        <v>0</v>
      </c>
      <c r="N15" s="95">
        <f>ADHK!N15</f>
        <v>0.4604471269</v>
      </c>
      <c r="O15" s="98">
        <f t="shared" si="40"/>
        <v>0</v>
      </c>
      <c r="P15" s="99">
        <f t="shared" si="41"/>
        <v>0</v>
      </c>
      <c r="Q15" s="90"/>
      <c r="R15" s="92">
        <f t="shared" si="196"/>
        <v>3</v>
      </c>
      <c r="S15" s="93" t="str">
        <f t="shared" ref="S15:U15" si="197">IFERROR(VLOOKUP($R15,$A$13:$D$30,-S$12,FALSE),"")</f>
        <v>Tembaga</v>
      </c>
      <c r="T15" s="94" t="str">
        <f t="shared" si="197"/>
        <v>Bijih </v>
      </c>
      <c r="U15" s="94" t="str">
        <f t="shared" si="197"/>
        <v>Ton </v>
      </c>
      <c r="V15" s="87">
        <f t="shared" si="43"/>
        <v>0</v>
      </c>
      <c r="W15" s="87" t="str">
        <f t="shared" si="44"/>
        <v>#DIV/0!</v>
      </c>
      <c r="X15" s="87">
        <f t="shared" si="45"/>
        <v>0</v>
      </c>
      <c r="Y15" s="95"/>
      <c r="Z15" s="87">
        <f t="shared" si="46"/>
        <v>0</v>
      </c>
      <c r="AA15" s="96"/>
      <c r="AB15" s="96"/>
      <c r="AC15" s="97"/>
      <c r="AD15" s="87">
        <f t="shared" si="47"/>
        <v>0</v>
      </c>
      <c r="AE15" s="95">
        <f t="shared" si="48"/>
        <v>0.4604471269</v>
      </c>
      <c r="AF15" s="98">
        <f t="shared" si="49"/>
        <v>0</v>
      </c>
      <c r="AG15" s="99">
        <f t="shared" si="50"/>
        <v>0</v>
      </c>
      <c r="AH15" s="90"/>
      <c r="AI15" s="92">
        <f t="shared" si="198"/>
        <v>3</v>
      </c>
      <c r="AJ15" s="93" t="str">
        <f t="shared" ref="AJ15:AL15" si="199">IFERROR(VLOOKUP($R15,$A$13:$D$30,-AJ$12,FALSE),"")</f>
        <v>Tembaga</v>
      </c>
      <c r="AK15" s="94" t="str">
        <f t="shared" si="199"/>
        <v>Bijih </v>
      </c>
      <c r="AL15" s="94" t="str">
        <f t="shared" si="199"/>
        <v>Ton </v>
      </c>
      <c r="AM15" s="87">
        <f t="shared" si="52"/>
        <v>0</v>
      </c>
      <c r="AN15" s="87" t="str">
        <f t="shared" si="53"/>
        <v>#DIV/0!</v>
      </c>
      <c r="AO15" s="87">
        <f t="shared" si="54"/>
        <v>0</v>
      </c>
      <c r="AP15" s="95"/>
      <c r="AQ15" s="87">
        <f t="shared" si="55"/>
        <v>0</v>
      </c>
      <c r="AR15" s="96"/>
      <c r="AS15" s="96"/>
      <c r="AT15" s="97"/>
      <c r="AU15" s="87">
        <f t="shared" si="56"/>
        <v>0</v>
      </c>
      <c r="AV15" s="95">
        <f t="shared" si="57"/>
        <v>0.4604471269</v>
      </c>
      <c r="AW15" s="98">
        <f t="shared" si="58"/>
        <v>0</v>
      </c>
      <c r="AX15" s="99">
        <f t="shared" si="59"/>
        <v>0</v>
      </c>
      <c r="AY15" s="90"/>
      <c r="AZ15" s="92">
        <f t="shared" si="200"/>
        <v>3</v>
      </c>
      <c r="BA15" s="93" t="str">
        <f t="shared" ref="BA15:BC15" si="201">IFERROR(VLOOKUP($R15,$A$13:$D$30,-BA$12,FALSE),"")</f>
        <v>Tembaga</v>
      </c>
      <c r="BB15" s="94" t="str">
        <f t="shared" si="201"/>
        <v>Bijih </v>
      </c>
      <c r="BC15" s="94" t="str">
        <f t="shared" si="201"/>
        <v>Ton </v>
      </c>
      <c r="BD15" s="87">
        <f t="shared" si="61"/>
        <v>0</v>
      </c>
      <c r="BE15" s="87" t="str">
        <f t="shared" si="62"/>
        <v>#DIV/0!</v>
      </c>
      <c r="BF15" s="87">
        <f t="shared" si="63"/>
        <v>0</v>
      </c>
      <c r="BG15" s="95"/>
      <c r="BH15" s="87">
        <f t="shared" si="64"/>
        <v>0</v>
      </c>
      <c r="BI15" s="96"/>
      <c r="BJ15" s="96"/>
      <c r="BK15" s="97"/>
      <c r="BL15" s="87">
        <f t="shared" si="65"/>
        <v>0</v>
      </c>
      <c r="BM15" s="95">
        <f t="shared" si="66"/>
        <v>0.4604471269</v>
      </c>
      <c r="BN15" s="98">
        <f t="shared" si="67"/>
        <v>0</v>
      </c>
      <c r="BO15" s="99">
        <f t="shared" si="68"/>
        <v>0</v>
      </c>
      <c r="BP15" s="90"/>
      <c r="BQ15" s="92">
        <f t="shared" si="202"/>
        <v>3</v>
      </c>
      <c r="BR15" s="93" t="str">
        <f t="shared" ref="BR15:BT15" si="203">IFERROR(VLOOKUP($R15,$A$13:$D$30,-BR$12,FALSE),"")</f>
        <v>Tembaga</v>
      </c>
      <c r="BS15" s="94" t="str">
        <f t="shared" si="203"/>
        <v>Bijih </v>
      </c>
      <c r="BT15" s="94" t="str">
        <f t="shared" si="203"/>
        <v>Ton </v>
      </c>
      <c r="BU15" s="87">
        <f t="shared" si="70"/>
        <v>0</v>
      </c>
      <c r="BV15" s="87" t="str">
        <f t="shared" si="71"/>
        <v>#DIV/0!</v>
      </c>
      <c r="BW15" s="87">
        <f t="shared" si="72"/>
        <v>0</v>
      </c>
      <c r="BX15" s="95"/>
      <c r="BY15" s="87">
        <f t="shared" si="73"/>
        <v>0</v>
      </c>
      <c r="BZ15" s="96"/>
      <c r="CA15" s="96"/>
      <c r="CB15" s="97"/>
      <c r="CC15" s="87">
        <f t="shared" si="74"/>
        <v>0</v>
      </c>
      <c r="CD15" s="95">
        <f t="shared" si="75"/>
        <v>0.4604471269</v>
      </c>
      <c r="CE15" s="98">
        <f t="shared" si="76"/>
        <v>0</v>
      </c>
      <c r="CF15" s="99">
        <f t="shared" si="77"/>
        <v>0</v>
      </c>
      <c r="CG15" s="90"/>
      <c r="CH15" s="92">
        <f t="shared" si="204"/>
        <v>3</v>
      </c>
      <c r="CI15" s="93" t="str">
        <f t="shared" ref="CI15:CK15" si="205">IFERROR(VLOOKUP($R15,$A$13:$D$30,-CI$12,FALSE),"")</f>
        <v>Tembaga</v>
      </c>
      <c r="CJ15" s="94" t="str">
        <f t="shared" si="205"/>
        <v>Bijih </v>
      </c>
      <c r="CK15" s="94" t="str">
        <f t="shared" si="205"/>
        <v>Ton </v>
      </c>
      <c r="CL15" s="87">
        <f t="shared" si="79"/>
        <v>0</v>
      </c>
      <c r="CM15" s="87" t="str">
        <f t="shared" si="80"/>
        <v>#DIV/0!</v>
      </c>
      <c r="CN15" s="87">
        <f t="shared" si="81"/>
        <v>0</v>
      </c>
      <c r="CO15" s="95"/>
      <c r="CP15" s="87">
        <f t="shared" si="82"/>
        <v>0</v>
      </c>
      <c r="CQ15" s="96"/>
      <c r="CR15" s="96"/>
      <c r="CS15" s="97"/>
      <c r="CT15" s="87">
        <f t="shared" si="83"/>
        <v>0</v>
      </c>
      <c r="CU15" s="95">
        <f t="shared" si="84"/>
        <v>0.4604471269</v>
      </c>
      <c r="CV15" s="98">
        <f t="shared" si="85"/>
        <v>0</v>
      </c>
      <c r="CW15" s="99">
        <f t="shared" si="86"/>
        <v>0</v>
      </c>
      <c r="CX15" s="90"/>
      <c r="CY15" s="92">
        <f t="shared" si="206"/>
        <v>3</v>
      </c>
      <c r="CZ15" s="93" t="str">
        <f t="shared" ref="CZ15:DB15" si="207">IFERROR(VLOOKUP($R15,$A$13:$D$30,-CZ$12,FALSE),"")</f>
        <v>Tembaga</v>
      </c>
      <c r="DA15" s="94" t="str">
        <f t="shared" si="207"/>
        <v>Bijih </v>
      </c>
      <c r="DB15" s="94" t="str">
        <f t="shared" si="207"/>
        <v>Ton </v>
      </c>
      <c r="DC15" s="87">
        <f t="shared" si="88"/>
        <v>0</v>
      </c>
      <c r="DD15" s="87" t="str">
        <f t="shared" si="89"/>
        <v>#DIV/0!</v>
      </c>
      <c r="DE15" s="87">
        <f t="shared" si="90"/>
        <v>0</v>
      </c>
      <c r="DF15" s="95"/>
      <c r="DG15" s="87">
        <f t="shared" si="91"/>
        <v>0</v>
      </c>
      <c r="DH15" s="96"/>
      <c r="DI15" s="96"/>
      <c r="DJ15" s="97"/>
      <c r="DK15" s="87">
        <f t="shared" si="92"/>
        <v>0</v>
      </c>
      <c r="DL15" s="95">
        <f t="shared" si="93"/>
        <v>0.4604471269</v>
      </c>
      <c r="DM15" s="98">
        <f t="shared" si="94"/>
        <v>0</v>
      </c>
      <c r="DN15" s="99">
        <f t="shared" si="95"/>
        <v>0</v>
      </c>
      <c r="DO15" s="90"/>
      <c r="DP15" s="92">
        <f t="shared" si="208"/>
        <v>3</v>
      </c>
      <c r="DQ15" s="93" t="str">
        <f t="shared" ref="DQ15:DS15" si="209">IFERROR(VLOOKUP($R15,$A$13:$D$30,-DQ$12,FALSE),"")</f>
        <v>Tembaga</v>
      </c>
      <c r="DR15" s="94" t="str">
        <f t="shared" si="209"/>
        <v>Bijih </v>
      </c>
      <c r="DS15" s="94" t="str">
        <f t="shared" si="209"/>
        <v>Ton </v>
      </c>
      <c r="DT15" s="87">
        <f t="shared" si="97"/>
        <v>0</v>
      </c>
      <c r="DU15" s="87" t="str">
        <f t="shared" si="98"/>
        <v>#DIV/0!</v>
      </c>
      <c r="DV15" s="87">
        <f t="shared" si="99"/>
        <v>0</v>
      </c>
      <c r="DW15" s="95"/>
      <c r="DX15" s="87">
        <f t="shared" si="100"/>
        <v>0</v>
      </c>
      <c r="DY15" s="96"/>
      <c r="DZ15" s="96"/>
      <c r="EA15" s="97"/>
      <c r="EB15" s="87">
        <f t="shared" si="101"/>
        <v>0</v>
      </c>
      <c r="EC15" s="95">
        <f t="shared" si="102"/>
        <v>0.4604471269</v>
      </c>
      <c r="ED15" s="98">
        <f t="shared" si="103"/>
        <v>0</v>
      </c>
      <c r="EE15" s="99">
        <f t="shared" si="104"/>
        <v>0</v>
      </c>
      <c r="EF15" s="90"/>
      <c r="EG15" s="92">
        <f t="shared" si="210"/>
        <v>3</v>
      </c>
      <c r="EH15" s="93" t="str">
        <f t="shared" ref="EH15:EJ15" si="211">IFERROR(VLOOKUP($R15,$A$13:$D$30,-EH$12,FALSE),"")</f>
        <v>Tembaga</v>
      </c>
      <c r="EI15" s="94" t="str">
        <f t="shared" si="211"/>
        <v>Bijih </v>
      </c>
      <c r="EJ15" s="94" t="str">
        <f t="shared" si="211"/>
        <v>Ton </v>
      </c>
      <c r="EK15" s="87">
        <f t="shared" si="106"/>
        <v>0</v>
      </c>
      <c r="EL15" s="87" t="str">
        <f t="shared" si="107"/>
        <v>#DIV/0!</v>
      </c>
      <c r="EM15" s="87">
        <f t="shared" si="108"/>
        <v>0</v>
      </c>
      <c r="EN15" s="95"/>
      <c r="EO15" s="87">
        <f t="shared" si="109"/>
        <v>0</v>
      </c>
      <c r="EP15" s="96"/>
      <c r="EQ15" s="96"/>
      <c r="ER15" s="97"/>
      <c r="ES15" s="87">
        <f t="shared" si="110"/>
        <v>0</v>
      </c>
      <c r="ET15" s="95">
        <f t="shared" si="111"/>
        <v>0.4604471269</v>
      </c>
      <c r="EU15" s="98">
        <f t="shared" si="112"/>
        <v>0</v>
      </c>
      <c r="EV15" s="99">
        <f t="shared" si="113"/>
        <v>0</v>
      </c>
      <c r="EW15" s="90"/>
      <c r="EX15" s="92">
        <f t="shared" si="212"/>
        <v>3</v>
      </c>
      <c r="EY15" s="93" t="str">
        <f t="shared" ref="EY15:FA15" si="213">IFERROR(VLOOKUP($R15,$A$13:$D$30,-EY$12,FALSE),"")</f>
        <v>Tembaga</v>
      </c>
      <c r="EZ15" s="94" t="str">
        <f t="shared" si="213"/>
        <v>Bijih </v>
      </c>
      <c r="FA15" s="94" t="str">
        <f t="shared" si="213"/>
        <v>Ton </v>
      </c>
      <c r="FB15" s="87">
        <f t="shared" si="115"/>
        <v>0</v>
      </c>
      <c r="FC15" s="87" t="str">
        <f t="shared" si="116"/>
        <v>#DIV/0!</v>
      </c>
      <c r="FD15" s="87">
        <f t="shared" si="117"/>
        <v>0</v>
      </c>
      <c r="FE15" s="95"/>
      <c r="FF15" s="87">
        <f t="shared" si="118"/>
        <v>0</v>
      </c>
      <c r="FG15" s="96"/>
      <c r="FH15" s="96"/>
      <c r="FI15" s="97"/>
      <c r="FJ15" s="87">
        <f t="shared" si="119"/>
        <v>0</v>
      </c>
      <c r="FK15" s="95">
        <f t="shared" si="120"/>
        <v>0.4604471269</v>
      </c>
      <c r="FL15" s="98">
        <f t="shared" si="121"/>
        <v>0</v>
      </c>
      <c r="FM15" s="99">
        <f t="shared" si="122"/>
        <v>0</v>
      </c>
      <c r="FN15" s="90"/>
      <c r="FO15" s="92">
        <f t="shared" si="214"/>
        <v>3</v>
      </c>
      <c r="FP15" s="93" t="str">
        <f t="shared" ref="FP15:FR15" si="215">IFERROR(VLOOKUP($R15,$A$13:$D$30,-FP$12,FALSE),"")</f>
        <v>Tembaga</v>
      </c>
      <c r="FQ15" s="94" t="str">
        <f t="shared" si="215"/>
        <v>Bijih </v>
      </c>
      <c r="FR15" s="94" t="str">
        <f t="shared" si="215"/>
        <v>Ton </v>
      </c>
      <c r="FS15" s="87">
        <f t="shared" si="124"/>
        <v>0</v>
      </c>
      <c r="FT15" s="87" t="str">
        <f t="shared" si="125"/>
        <v>#DIV/0!</v>
      </c>
      <c r="FU15" s="87">
        <f t="shared" si="126"/>
        <v>0</v>
      </c>
      <c r="FV15" s="95"/>
      <c r="FW15" s="87">
        <f t="shared" si="127"/>
        <v>0</v>
      </c>
      <c r="FX15" s="96"/>
      <c r="FY15" s="96"/>
      <c r="FZ15" s="97"/>
      <c r="GA15" s="87">
        <f t="shared" si="128"/>
        <v>0</v>
      </c>
      <c r="GB15" s="95">
        <f t="shared" si="129"/>
        <v>0.4604471269</v>
      </c>
      <c r="GC15" s="98">
        <f t="shared" si="130"/>
        <v>0</v>
      </c>
      <c r="GD15" s="99">
        <f t="shared" si="131"/>
        <v>0</v>
      </c>
      <c r="GE15" s="90"/>
      <c r="GF15" s="92">
        <f t="shared" si="216"/>
        <v>3</v>
      </c>
      <c r="GG15" s="93" t="str">
        <f t="shared" ref="GG15:GI15" si="217">IFERROR(VLOOKUP($R15,$A$13:$D$30,-GG$12,FALSE),"")</f>
        <v>Tembaga</v>
      </c>
      <c r="GH15" s="94" t="str">
        <f t="shared" si="217"/>
        <v>Bijih </v>
      </c>
      <c r="GI15" s="94" t="str">
        <f t="shared" si="217"/>
        <v>Ton </v>
      </c>
      <c r="GJ15" s="87">
        <f t="shared" si="133"/>
        <v>0</v>
      </c>
      <c r="GK15" s="87" t="str">
        <f t="shared" si="134"/>
        <v>#DIV/0!</v>
      </c>
      <c r="GL15" s="87">
        <f t="shared" si="135"/>
        <v>0</v>
      </c>
      <c r="GM15" s="95"/>
      <c r="GN15" s="87">
        <f t="shared" si="136"/>
        <v>0</v>
      </c>
      <c r="GO15" s="96"/>
      <c r="GP15" s="96"/>
      <c r="GQ15" s="97"/>
      <c r="GR15" s="87">
        <f t="shared" si="137"/>
        <v>0</v>
      </c>
      <c r="GS15" s="95">
        <f t="shared" si="138"/>
        <v>0.4604471269</v>
      </c>
      <c r="GT15" s="98">
        <f t="shared" si="139"/>
        <v>0</v>
      </c>
      <c r="GU15" s="99">
        <f t="shared" si="140"/>
        <v>0</v>
      </c>
      <c r="GV15" s="90"/>
      <c r="GW15" s="92">
        <f t="shared" si="218"/>
        <v>3</v>
      </c>
      <c r="GX15" s="93" t="str">
        <f t="shared" ref="GX15:GZ15" si="219">IFERROR(VLOOKUP($R15,$A$13:$D$30,-GX$12,FALSE),"")</f>
        <v>Tembaga</v>
      </c>
      <c r="GY15" s="94" t="str">
        <f t="shared" si="219"/>
        <v>Bijih </v>
      </c>
      <c r="GZ15" s="94" t="str">
        <f t="shared" si="219"/>
        <v>Ton </v>
      </c>
      <c r="HA15" s="87">
        <f t="shared" si="142"/>
        <v>0</v>
      </c>
      <c r="HB15" s="87" t="str">
        <f t="shared" si="143"/>
        <v>#DIV/0!</v>
      </c>
      <c r="HC15" s="87">
        <f t="shared" si="144"/>
        <v>0</v>
      </c>
      <c r="HD15" s="95"/>
      <c r="HE15" s="87">
        <f t="shared" si="145"/>
        <v>0</v>
      </c>
      <c r="HF15" s="96"/>
      <c r="HG15" s="96"/>
      <c r="HH15" s="97"/>
      <c r="HI15" s="87">
        <f t="shared" si="146"/>
        <v>0</v>
      </c>
      <c r="HJ15" s="95">
        <f t="shared" si="147"/>
        <v>0.4604471269</v>
      </c>
      <c r="HK15" s="98">
        <f t="shared" si="148"/>
        <v>0</v>
      </c>
      <c r="HL15" s="99">
        <f t="shared" si="149"/>
        <v>0</v>
      </c>
      <c r="HM15" s="90"/>
      <c r="HN15" s="92">
        <f t="shared" si="220"/>
        <v>3</v>
      </c>
      <c r="HO15" s="93" t="str">
        <f t="shared" ref="HO15:HQ15" si="221">IFERROR(VLOOKUP($R15,$A$13:$D$30,-HO$12,FALSE),"")</f>
        <v>Tembaga</v>
      </c>
      <c r="HP15" s="94" t="str">
        <f t="shared" si="221"/>
        <v>Bijih </v>
      </c>
      <c r="HQ15" s="94" t="str">
        <f t="shared" si="221"/>
        <v>Ton </v>
      </c>
      <c r="HR15" s="87">
        <f t="shared" si="151"/>
        <v>0</v>
      </c>
      <c r="HS15" s="87" t="str">
        <f t="shared" si="152"/>
        <v>#DIV/0!</v>
      </c>
      <c r="HT15" s="87">
        <f t="shared" si="153"/>
        <v>0</v>
      </c>
      <c r="HU15" s="95"/>
      <c r="HV15" s="87">
        <f t="shared" si="154"/>
        <v>0</v>
      </c>
      <c r="HW15" s="96"/>
      <c r="HX15" s="96"/>
      <c r="HY15" s="97"/>
      <c r="HZ15" s="87">
        <f t="shared" si="155"/>
        <v>0</v>
      </c>
      <c r="IA15" s="95">
        <f t="shared" si="156"/>
        <v>0.4604471269</v>
      </c>
      <c r="IB15" s="98">
        <f t="shared" si="157"/>
        <v>0</v>
      </c>
      <c r="IC15" s="99">
        <f t="shared" si="158"/>
        <v>0</v>
      </c>
      <c r="ID15" s="90"/>
      <c r="IE15" s="92">
        <f t="shared" si="222"/>
        <v>3</v>
      </c>
      <c r="IF15" s="93" t="str">
        <f t="shared" ref="IF15:IH15" si="223">IFERROR(VLOOKUP($R15,$A$13:$D$30,-IF$12,FALSE),"")</f>
        <v>Tembaga</v>
      </c>
      <c r="IG15" s="94" t="str">
        <f t="shared" si="223"/>
        <v>Bijih </v>
      </c>
      <c r="IH15" s="94" t="str">
        <f t="shared" si="223"/>
        <v>Ton </v>
      </c>
      <c r="II15" s="87">
        <f t="shared" si="160"/>
        <v>0</v>
      </c>
      <c r="IJ15" s="87" t="str">
        <f t="shared" si="161"/>
        <v>#DIV/0!</v>
      </c>
      <c r="IK15" s="87">
        <f t="shared" si="162"/>
        <v>0</v>
      </c>
      <c r="IL15" s="95"/>
      <c r="IM15" s="87">
        <f t="shared" si="163"/>
        <v>0</v>
      </c>
      <c r="IN15" s="96"/>
      <c r="IO15" s="96"/>
      <c r="IP15" s="97"/>
      <c r="IQ15" s="87">
        <f t="shared" si="164"/>
        <v>0</v>
      </c>
      <c r="IR15" s="95">
        <f t="shared" si="165"/>
        <v>0.4604471269</v>
      </c>
      <c r="IS15" s="98">
        <f t="shared" si="166"/>
        <v>0</v>
      </c>
      <c r="IT15" s="99">
        <f t="shared" si="167"/>
        <v>0</v>
      </c>
      <c r="IU15" s="90"/>
      <c r="IV15" s="92">
        <f t="shared" si="224"/>
        <v>3</v>
      </c>
      <c r="IW15" s="93" t="str">
        <f t="shared" ref="IW15:IY15" si="225">IFERROR(VLOOKUP($R15,$A$13:$D$30,-IW$12,FALSE),"")</f>
        <v>Tembaga</v>
      </c>
      <c r="IX15" s="94" t="str">
        <f t="shared" si="225"/>
        <v>Bijih </v>
      </c>
      <c r="IY15" s="94" t="str">
        <f t="shared" si="225"/>
        <v>Ton </v>
      </c>
      <c r="IZ15" s="87">
        <f t="shared" si="169"/>
        <v>0</v>
      </c>
      <c r="JA15" s="87" t="str">
        <f t="shared" si="170"/>
        <v>#DIV/0!</v>
      </c>
      <c r="JB15" s="87">
        <f t="shared" si="171"/>
        <v>0</v>
      </c>
      <c r="JC15" s="95"/>
      <c r="JD15" s="87">
        <f t="shared" si="172"/>
        <v>0</v>
      </c>
      <c r="JE15" s="96"/>
      <c r="JF15" s="96"/>
      <c r="JG15" s="97"/>
      <c r="JH15" s="87">
        <f t="shared" si="173"/>
        <v>0</v>
      </c>
      <c r="JI15" s="95">
        <f t="shared" si="174"/>
        <v>0.4604471269</v>
      </c>
      <c r="JJ15" s="98">
        <f t="shared" si="175"/>
        <v>0</v>
      </c>
      <c r="JK15" s="99">
        <f t="shared" si="176"/>
        <v>0</v>
      </c>
      <c r="JL15" s="90"/>
      <c r="JM15" s="92">
        <f t="shared" si="226"/>
        <v>3</v>
      </c>
      <c r="JN15" s="93" t="str">
        <f t="shared" ref="JN15:JP15" si="227">IFERROR(VLOOKUP($R15,$A$13:$D$30,-JN$12,FALSE),"")</f>
        <v>Tembaga</v>
      </c>
      <c r="JO15" s="94" t="str">
        <f t="shared" si="227"/>
        <v>Bijih </v>
      </c>
      <c r="JP15" s="94" t="str">
        <f t="shared" si="227"/>
        <v>Ton </v>
      </c>
      <c r="JQ15" s="87">
        <f t="shared" si="178"/>
        <v>0</v>
      </c>
      <c r="JR15" s="87" t="str">
        <f t="shared" si="179"/>
        <v>#DIV/0!</v>
      </c>
      <c r="JS15" s="87">
        <f t="shared" si="180"/>
        <v>0</v>
      </c>
      <c r="JT15" s="95"/>
      <c r="JU15" s="87">
        <f t="shared" si="181"/>
        <v>0</v>
      </c>
      <c r="JV15" s="96"/>
      <c r="JW15" s="96"/>
      <c r="JX15" s="97"/>
      <c r="JY15" s="87">
        <f t="shared" si="182"/>
        <v>0</v>
      </c>
      <c r="JZ15" s="95">
        <f t="shared" si="183"/>
        <v>0.4604471269</v>
      </c>
      <c r="KA15" s="98">
        <f t="shared" si="184"/>
        <v>0</v>
      </c>
      <c r="KB15" s="99">
        <f t="shared" si="185"/>
        <v>0</v>
      </c>
      <c r="KC15" s="90"/>
      <c r="KD15" s="92">
        <f t="shared" si="228"/>
        <v>3</v>
      </c>
      <c r="KE15" s="93" t="str">
        <f t="shared" ref="KE15:KG15" si="229">IFERROR(VLOOKUP($R15,$A$13:$D$30,-KE$12,FALSE),"")</f>
        <v>Tembaga</v>
      </c>
      <c r="KF15" s="94" t="str">
        <f t="shared" si="229"/>
        <v>Bijih </v>
      </c>
      <c r="KG15" s="94" t="str">
        <f t="shared" si="229"/>
        <v>Ton </v>
      </c>
      <c r="KH15" s="87">
        <f t="shared" si="187"/>
        <v>0</v>
      </c>
      <c r="KI15" s="87" t="str">
        <f t="shared" si="188"/>
        <v>#DIV/0!</v>
      </c>
      <c r="KJ15" s="87">
        <f t="shared" si="189"/>
        <v>0</v>
      </c>
      <c r="KK15" s="95"/>
      <c r="KL15" s="87">
        <f t="shared" si="190"/>
        <v>0</v>
      </c>
      <c r="KM15" s="96"/>
      <c r="KN15" s="96"/>
      <c r="KO15" s="97"/>
      <c r="KP15" s="87">
        <f t="shared" si="191"/>
        <v>0</v>
      </c>
      <c r="KQ15" s="95">
        <f t="shared" si="192"/>
        <v>0.4604471269</v>
      </c>
      <c r="KR15" s="98">
        <f t="shared" si="193"/>
        <v>0</v>
      </c>
      <c r="KS15" s="99">
        <f t="shared" si="194"/>
        <v>0</v>
      </c>
      <c r="KT15" s="90"/>
      <c r="KU15" s="91"/>
    </row>
    <row r="16">
      <c r="A16" s="92">
        <f t="shared" si="195"/>
        <v>4</v>
      </c>
      <c r="B16" s="93" t="str">
        <f>IFERROR(VLOOKUP($R16,ADHK!$A$13:$D$30,-B$12,FALSE),"")</f>
        <v>Bauksit </v>
      </c>
      <c r="C16" s="94" t="str">
        <f>IFERROR(VLOOKUP($R16,ADHK!$A$13:$D$30,-C$12,FALSE),"")</f>
        <v>Bijih </v>
      </c>
      <c r="D16" s="94" t="str">
        <f>IFERROR(VLOOKUP($R16,ADHK!$A$13:$D$30,-D$12,FALSE),"")</f>
        <v>Ton </v>
      </c>
      <c r="E16" s="87">
        <f t="shared" si="35"/>
        <v>0</v>
      </c>
      <c r="F16" s="87" t="str">
        <f t="shared" si="36"/>
        <v>#DIV/0!</v>
      </c>
      <c r="G16" s="87">
        <f t="shared" si="37"/>
        <v>0</v>
      </c>
      <c r="H16" s="95"/>
      <c r="I16" s="87">
        <f t="shared" si="38"/>
        <v>0</v>
      </c>
      <c r="J16" s="96"/>
      <c r="K16" s="96"/>
      <c r="L16" s="97"/>
      <c r="M16" s="87">
        <f t="shared" si="39"/>
        <v>0</v>
      </c>
      <c r="N16" s="95">
        <f>ADHK!N16</f>
        <v>0.4604471269</v>
      </c>
      <c r="O16" s="98">
        <f t="shared" si="40"/>
        <v>0</v>
      </c>
      <c r="P16" s="99">
        <f t="shared" si="41"/>
        <v>0</v>
      </c>
      <c r="Q16" s="90"/>
      <c r="R16" s="92">
        <f t="shared" si="196"/>
        <v>4</v>
      </c>
      <c r="S16" s="93" t="str">
        <f t="shared" ref="S16:U16" si="230">IFERROR(VLOOKUP($R16,$A$13:$D$30,-S$12,FALSE),"")</f>
        <v>Bauksit </v>
      </c>
      <c r="T16" s="94" t="str">
        <f t="shared" si="230"/>
        <v>Bijih </v>
      </c>
      <c r="U16" s="94" t="str">
        <f t="shared" si="230"/>
        <v>Ton </v>
      </c>
      <c r="V16" s="87">
        <f t="shared" si="43"/>
        <v>0</v>
      </c>
      <c r="W16" s="87" t="str">
        <f t="shared" si="44"/>
        <v>#DIV/0!</v>
      </c>
      <c r="X16" s="87">
        <f t="shared" si="45"/>
        <v>0</v>
      </c>
      <c r="Y16" s="95"/>
      <c r="Z16" s="87">
        <f t="shared" si="46"/>
        <v>0</v>
      </c>
      <c r="AA16" s="96"/>
      <c r="AB16" s="96"/>
      <c r="AC16" s="97"/>
      <c r="AD16" s="87">
        <f t="shared" si="47"/>
        <v>0</v>
      </c>
      <c r="AE16" s="95">
        <f t="shared" si="48"/>
        <v>0.4604471269</v>
      </c>
      <c r="AF16" s="98">
        <f t="shared" si="49"/>
        <v>0</v>
      </c>
      <c r="AG16" s="99">
        <f t="shared" si="50"/>
        <v>0</v>
      </c>
      <c r="AH16" s="90"/>
      <c r="AI16" s="92">
        <f t="shared" si="198"/>
        <v>4</v>
      </c>
      <c r="AJ16" s="93" t="str">
        <f t="shared" ref="AJ16:AL16" si="231">IFERROR(VLOOKUP($R16,$A$13:$D$30,-AJ$12,FALSE),"")</f>
        <v>Bauksit </v>
      </c>
      <c r="AK16" s="94" t="str">
        <f t="shared" si="231"/>
        <v>Bijih </v>
      </c>
      <c r="AL16" s="94" t="str">
        <f t="shared" si="231"/>
        <v>Ton </v>
      </c>
      <c r="AM16" s="87">
        <f t="shared" si="52"/>
        <v>0</v>
      </c>
      <c r="AN16" s="87" t="str">
        <f t="shared" si="53"/>
        <v>#DIV/0!</v>
      </c>
      <c r="AO16" s="87">
        <f t="shared" si="54"/>
        <v>0</v>
      </c>
      <c r="AP16" s="95"/>
      <c r="AQ16" s="87">
        <f t="shared" si="55"/>
        <v>0</v>
      </c>
      <c r="AR16" s="96"/>
      <c r="AS16" s="96"/>
      <c r="AT16" s="97"/>
      <c r="AU16" s="87">
        <f t="shared" si="56"/>
        <v>0</v>
      </c>
      <c r="AV16" s="95">
        <f t="shared" si="57"/>
        <v>0.4604471269</v>
      </c>
      <c r="AW16" s="98">
        <f t="shared" si="58"/>
        <v>0</v>
      </c>
      <c r="AX16" s="99">
        <f t="shared" si="59"/>
        <v>0</v>
      </c>
      <c r="AY16" s="90"/>
      <c r="AZ16" s="92">
        <f t="shared" si="200"/>
        <v>4</v>
      </c>
      <c r="BA16" s="93" t="str">
        <f t="shared" ref="BA16:BC16" si="232">IFERROR(VLOOKUP($R16,$A$13:$D$30,-BA$12,FALSE),"")</f>
        <v>Bauksit </v>
      </c>
      <c r="BB16" s="94" t="str">
        <f t="shared" si="232"/>
        <v>Bijih </v>
      </c>
      <c r="BC16" s="94" t="str">
        <f t="shared" si="232"/>
        <v>Ton </v>
      </c>
      <c r="BD16" s="87">
        <f t="shared" si="61"/>
        <v>0</v>
      </c>
      <c r="BE16" s="87" t="str">
        <f t="shared" si="62"/>
        <v>#DIV/0!</v>
      </c>
      <c r="BF16" s="87">
        <f t="shared" si="63"/>
        <v>0</v>
      </c>
      <c r="BG16" s="95"/>
      <c r="BH16" s="87">
        <f t="shared" si="64"/>
        <v>0</v>
      </c>
      <c r="BI16" s="96"/>
      <c r="BJ16" s="96"/>
      <c r="BK16" s="97"/>
      <c r="BL16" s="87">
        <f t="shared" si="65"/>
        <v>0</v>
      </c>
      <c r="BM16" s="95">
        <f t="shared" si="66"/>
        <v>0.4604471269</v>
      </c>
      <c r="BN16" s="98">
        <f t="shared" si="67"/>
        <v>0</v>
      </c>
      <c r="BO16" s="99">
        <f t="shared" si="68"/>
        <v>0</v>
      </c>
      <c r="BP16" s="90"/>
      <c r="BQ16" s="92">
        <f t="shared" si="202"/>
        <v>4</v>
      </c>
      <c r="BR16" s="93" t="str">
        <f t="shared" ref="BR16:BT16" si="233">IFERROR(VLOOKUP($R16,$A$13:$D$30,-BR$12,FALSE),"")</f>
        <v>Bauksit </v>
      </c>
      <c r="BS16" s="94" t="str">
        <f t="shared" si="233"/>
        <v>Bijih </v>
      </c>
      <c r="BT16" s="94" t="str">
        <f t="shared" si="233"/>
        <v>Ton </v>
      </c>
      <c r="BU16" s="87">
        <f t="shared" si="70"/>
        <v>0</v>
      </c>
      <c r="BV16" s="87" t="str">
        <f t="shared" si="71"/>
        <v>#DIV/0!</v>
      </c>
      <c r="BW16" s="87">
        <f t="shared" si="72"/>
        <v>0</v>
      </c>
      <c r="BX16" s="95"/>
      <c r="BY16" s="87">
        <f t="shared" si="73"/>
        <v>0</v>
      </c>
      <c r="BZ16" s="96"/>
      <c r="CA16" s="96"/>
      <c r="CB16" s="97"/>
      <c r="CC16" s="87">
        <f t="shared" si="74"/>
        <v>0</v>
      </c>
      <c r="CD16" s="95">
        <f t="shared" si="75"/>
        <v>0.4604471269</v>
      </c>
      <c r="CE16" s="98">
        <f t="shared" si="76"/>
        <v>0</v>
      </c>
      <c r="CF16" s="99">
        <f t="shared" si="77"/>
        <v>0</v>
      </c>
      <c r="CG16" s="90"/>
      <c r="CH16" s="92">
        <f t="shared" si="204"/>
        <v>4</v>
      </c>
      <c r="CI16" s="93" t="str">
        <f t="shared" ref="CI16:CK16" si="234">IFERROR(VLOOKUP($R16,$A$13:$D$30,-CI$12,FALSE),"")</f>
        <v>Bauksit </v>
      </c>
      <c r="CJ16" s="94" t="str">
        <f t="shared" si="234"/>
        <v>Bijih </v>
      </c>
      <c r="CK16" s="94" t="str">
        <f t="shared" si="234"/>
        <v>Ton </v>
      </c>
      <c r="CL16" s="87">
        <f t="shared" si="79"/>
        <v>0</v>
      </c>
      <c r="CM16" s="87" t="str">
        <f t="shared" si="80"/>
        <v>#DIV/0!</v>
      </c>
      <c r="CN16" s="87">
        <f t="shared" si="81"/>
        <v>0</v>
      </c>
      <c r="CO16" s="95"/>
      <c r="CP16" s="87">
        <f t="shared" si="82"/>
        <v>0</v>
      </c>
      <c r="CQ16" s="96"/>
      <c r="CR16" s="96"/>
      <c r="CS16" s="97"/>
      <c r="CT16" s="87">
        <f t="shared" si="83"/>
        <v>0</v>
      </c>
      <c r="CU16" s="95">
        <f t="shared" si="84"/>
        <v>0.4604471269</v>
      </c>
      <c r="CV16" s="98">
        <f t="shared" si="85"/>
        <v>0</v>
      </c>
      <c r="CW16" s="99">
        <f t="shared" si="86"/>
        <v>0</v>
      </c>
      <c r="CX16" s="90"/>
      <c r="CY16" s="92">
        <f t="shared" si="206"/>
        <v>4</v>
      </c>
      <c r="CZ16" s="93" t="str">
        <f t="shared" ref="CZ16:DB16" si="235">IFERROR(VLOOKUP($R16,$A$13:$D$30,-CZ$12,FALSE),"")</f>
        <v>Bauksit </v>
      </c>
      <c r="DA16" s="94" t="str">
        <f t="shared" si="235"/>
        <v>Bijih </v>
      </c>
      <c r="DB16" s="94" t="str">
        <f t="shared" si="235"/>
        <v>Ton </v>
      </c>
      <c r="DC16" s="87">
        <f t="shared" si="88"/>
        <v>0</v>
      </c>
      <c r="DD16" s="87" t="str">
        <f t="shared" si="89"/>
        <v>#DIV/0!</v>
      </c>
      <c r="DE16" s="87">
        <f t="shared" si="90"/>
        <v>0</v>
      </c>
      <c r="DF16" s="95"/>
      <c r="DG16" s="87">
        <f t="shared" si="91"/>
        <v>0</v>
      </c>
      <c r="DH16" s="96"/>
      <c r="DI16" s="96"/>
      <c r="DJ16" s="97"/>
      <c r="DK16" s="87">
        <f t="shared" si="92"/>
        <v>0</v>
      </c>
      <c r="DL16" s="95">
        <f t="shared" si="93"/>
        <v>0.4604471269</v>
      </c>
      <c r="DM16" s="98">
        <f t="shared" si="94"/>
        <v>0</v>
      </c>
      <c r="DN16" s="99">
        <f t="shared" si="95"/>
        <v>0</v>
      </c>
      <c r="DO16" s="90"/>
      <c r="DP16" s="92">
        <f t="shared" si="208"/>
        <v>4</v>
      </c>
      <c r="DQ16" s="93" t="str">
        <f t="shared" ref="DQ16:DS16" si="236">IFERROR(VLOOKUP($R16,$A$13:$D$30,-DQ$12,FALSE),"")</f>
        <v>Bauksit </v>
      </c>
      <c r="DR16" s="94" t="str">
        <f t="shared" si="236"/>
        <v>Bijih </v>
      </c>
      <c r="DS16" s="94" t="str">
        <f t="shared" si="236"/>
        <v>Ton </v>
      </c>
      <c r="DT16" s="87">
        <f t="shared" si="97"/>
        <v>0</v>
      </c>
      <c r="DU16" s="87" t="str">
        <f t="shared" si="98"/>
        <v>#DIV/0!</v>
      </c>
      <c r="DV16" s="87">
        <f t="shared" si="99"/>
        <v>0</v>
      </c>
      <c r="DW16" s="95"/>
      <c r="DX16" s="87">
        <f t="shared" si="100"/>
        <v>0</v>
      </c>
      <c r="DY16" s="96"/>
      <c r="DZ16" s="96"/>
      <c r="EA16" s="97"/>
      <c r="EB16" s="87">
        <f t="shared" si="101"/>
        <v>0</v>
      </c>
      <c r="EC16" s="95">
        <f t="shared" si="102"/>
        <v>0.4604471269</v>
      </c>
      <c r="ED16" s="98">
        <f t="shared" si="103"/>
        <v>0</v>
      </c>
      <c r="EE16" s="99">
        <f t="shared" si="104"/>
        <v>0</v>
      </c>
      <c r="EF16" s="90"/>
      <c r="EG16" s="92">
        <f t="shared" si="210"/>
        <v>4</v>
      </c>
      <c r="EH16" s="93" t="str">
        <f t="shared" ref="EH16:EJ16" si="237">IFERROR(VLOOKUP($R16,$A$13:$D$30,-EH$12,FALSE),"")</f>
        <v>Bauksit </v>
      </c>
      <c r="EI16" s="94" t="str">
        <f t="shared" si="237"/>
        <v>Bijih </v>
      </c>
      <c r="EJ16" s="94" t="str">
        <f t="shared" si="237"/>
        <v>Ton </v>
      </c>
      <c r="EK16" s="87">
        <f t="shared" si="106"/>
        <v>0</v>
      </c>
      <c r="EL16" s="87" t="str">
        <f t="shared" si="107"/>
        <v>#DIV/0!</v>
      </c>
      <c r="EM16" s="87">
        <f t="shared" si="108"/>
        <v>0</v>
      </c>
      <c r="EN16" s="95"/>
      <c r="EO16" s="87">
        <f t="shared" si="109"/>
        <v>0</v>
      </c>
      <c r="EP16" s="96"/>
      <c r="EQ16" s="96"/>
      <c r="ER16" s="97"/>
      <c r="ES16" s="87">
        <f t="shared" si="110"/>
        <v>0</v>
      </c>
      <c r="ET16" s="95">
        <f t="shared" si="111"/>
        <v>0.4604471269</v>
      </c>
      <c r="EU16" s="98">
        <f t="shared" si="112"/>
        <v>0</v>
      </c>
      <c r="EV16" s="99">
        <f t="shared" si="113"/>
        <v>0</v>
      </c>
      <c r="EW16" s="90"/>
      <c r="EX16" s="92">
        <f t="shared" si="212"/>
        <v>4</v>
      </c>
      <c r="EY16" s="93" t="str">
        <f t="shared" ref="EY16:FA16" si="238">IFERROR(VLOOKUP($R16,$A$13:$D$30,-EY$12,FALSE),"")</f>
        <v>Bauksit </v>
      </c>
      <c r="EZ16" s="94" t="str">
        <f t="shared" si="238"/>
        <v>Bijih </v>
      </c>
      <c r="FA16" s="94" t="str">
        <f t="shared" si="238"/>
        <v>Ton </v>
      </c>
      <c r="FB16" s="87">
        <f t="shared" si="115"/>
        <v>0</v>
      </c>
      <c r="FC16" s="87" t="str">
        <f t="shared" si="116"/>
        <v>#DIV/0!</v>
      </c>
      <c r="FD16" s="87">
        <f t="shared" si="117"/>
        <v>0</v>
      </c>
      <c r="FE16" s="95"/>
      <c r="FF16" s="87">
        <f t="shared" si="118"/>
        <v>0</v>
      </c>
      <c r="FG16" s="96"/>
      <c r="FH16" s="96"/>
      <c r="FI16" s="97"/>
      <c r="FJ16" s="87">
        <f t="shared" si="119"/>
        <v>0</v>
      </c>
      <c r="FK16" s="95">
        <f t="shared" si="120"/>
        <v>0.4604471269</v>
      </c>
      <c r="FL16" s="98">
        <f t="shared" si="121"/>
        <v>0</v>
      </c>
      <c r="FM16" s="99">
        <f t="shared" si="122"/>
        <v>0</v>
      </c>
      <c r="FN16" s="90"/>
      <c r="FO16" s="92">
        <f t="shared" si="214"/>
        <v>4</v>
      </c>
      <c r="FP16" s="93" t="str">
        <f t="shared" ref="FP16:FR16" si="239">IFERROR(VLOOKUP($R16,$A$13:$D$30,-FP$12,FALSE),"")</f>
        <v>Bauksit </v>
      </c>
      <c r="FQ16" s="94" t="str">
        <f t="shared" si="239"/>
        <v>Bijih </v>
      </c>
      <c r="FR16" s="94" t="str">
        <f t="shared" si="239"/>
        <v>Ton </v>
      </c>
      <c r="FS16" s="87">
        <f t="shared" si="124"/>
        <v>0</v>
      </c>
      <c r="FT16" s="87" t="str">
        <f t="shared" si="125"/>
        <v>#DIV/0!</v>
      </c>
      <c r="FU16" s="87">
        <f t="shared" si="126"/>
        <v>0</v>
      </c>
      <c r="FV16" s="95"/>
      <c r="FW16" s="87">
        <f t="shared" si="127"/>
        <v>0</v>
      </c>
      <c r="FX16" s="96"/>
      <c r="FY16" s="96"/>
      <c r="FZ16" s="97"/>
      <c r="GA16" s="87">
        <f t="shared" si="128"/>
        <v>0</v>
      </c>
      <c r="GB16" s="95">
        <f t="shared" si="129"/>
        <v>0.4604471269</v>
      </c>
      <c r="GC16" s="98">
        <f t="shared" si="130"/>
        <v>0</v>
      </c>
      <c r="GD16" s="99">
        <f t="shared" si="131"/>
        <v>0</v>
      </c>
      <c r="GE16" s="90"/>
      <c r="GF16" s="92">
        <f t="shared" si="216"/>
        <v>4</v>
      </c>
      <c r="GG16" s="93" t="str">
        <f t="shared" ref="GG16:GI16" si="240">IFERROR(VLOOKUP($R16,$A$13:$D$30,-GG$12,FALSE),"")</f>
        <v>Bauksit </v>
      </c>
      <c r="GH16" s="94" t="str">
        <f t="shared" si="240"/>
        <v>Bijih </v>
      </c>
      <c r="GI16" s="94" t="str">
        <f t="shared" si="240"/>
        <v>Ton </v>
      </c>
      <c r="GJ16" s="87">
        <f t="shared" si="133"/>
        <v>0</v>
      </c>
      <c r="GK16" s="87" t="str">
        <f t="shared" si="134"/>
        <v>#DIV/0!</v>
      </c>
      <c r="GL16" s="87">
        <f t="shared" si="135"/>
        <v>0</v>
      </c>
      <c r="GM16" s="95"/>
      <c r="GN16" s="87">
        <f t="shared" si="136"/>
        <v>0</v>
      </c>
      <c r="GO16" s="96"/>
      <c r="GP16" s="96"/>
      <c r="GQ16" s="97"/>
      <c r="GR16" s="87">
        <f t="shared" si="137"/>
        <v>0</v>
      </c>
      <c r="GS16" s="95">
        <f t="shared" si="138"/>
        <v>0.4604471269</v>
      </c>
      <c r="GT16" s="98">
        <f t="shared" si="139"/>
        <v>0</v>
      </c>
      <c r="GU16" s="99">
        <f t="shared" si="140"/>
        <v>0</v>
      </c>
      <c r="GV16" s="90"/>
      <c r="GW16" s="92">
        <f t="shared" si="218"/>
        <v>4</v>
      </c>
      <c r="GX16" s="93" t="str">
        <f t="shared" ref="GX16:GZ16" si="241">IFERROR(VLOOKUP($R16,$A$13:$D$30,-GX$12,FALSE),"")</f>
        <v>Bauksit </v>
      </c>
      <c r="GY16" s="94" t="str">
        <f t="shared" si="241"/>
        <v>Bijih </v>
      </c>
      <c r="GZ16" s="94" t="str">
        <f t="shared" si="241"/>
        <v>Ton </v>
      </c>
      <c r="HA16" s="87">
        <f t="shared" si="142"/>
        <v>0</v>
      </c>
      <c r="HB16" s="87" t="str">
        <f t="shared" si="143"/>
        <v>#DIV/0!</v>
      </c>
      <c r="HC16" s="87">
        <f t="shared" si="144"/>
        <v>0</v>
      </c>
      <c r="HD16" s="95"/>
      <c r="HE16" s="87">
        <f t="shared" si="145"/>
        <v>0</v>
      </c>
      <c r="HF16" s="96"/>
      <c r="HG16" s="96"/>
      <c r="HH16" s="97"/>
      <c r="HI16" s="87">
        <f t="shared" si="146"/>
        <v>0</v>
      </c>
      <c r="HJ16" s="95">
        <f t="shared" si="147"/>
        <v>0.4604471269</v>
      </c>
      <c r="HK16" s="98">
        <f t="shared" si="148"/>
        <v>0</v>
      </c>
      <c r="HL16" s="99">
        <f t="shared" si="149"/>
        <v>0</v>
      </c>
      <c r="HM16" s="90"/>
      <c r="HN16" s="92">
        <f t="shared" si="220"/>
        <v>4</v>
      </c>
      <c r="HO16" s="93" t="str">
        <f t="shared" ref="HO16:HQ16" si="242">IFERROR(VLOOKUP($R16,$A$13:$D$30,-HO$12,FALSE),"")</f>
        <v>Bauksit </v>
      </c>
      <c r="HP16" s="94" t="str">
        <f t="shared" si="242"/>
        <v>Bijih </v>
      </c>
      <c r="HQ16" s="94" t="str">
        <f t="shared" si="242"/>
        <v>Ton </v>
      </c>
      <c r="HR16" s="87">
        <f t="shared" si="151"/>
        <v>0</v>
      </c>
      <c r="HS16" s="87" t="str">
        <f t="shared" si="152"/>
        <v>#DIV/0!</v>
      </c>
      <c r="HT16" s="87">
        <f t="shared" si="153"/>
        <v>0</v>
      </c>
      <c r="HU16" s="95"/>
      <c r="HV16" s="87">
        <f t="shared" si="154"/>
        <v>0</v>
      </c>
      <c r="HW16" s="96"/>
      <c r="HX16" s="96"/>
      <c r="HY16" s="97"/>
      <c r="HZ16" s="87">
        <f t="shared" si="155"/>
        <v>0</v>
      </c>
      <c r="IA16" s="95">
        <f t="shared" si="156"/>
        <v>0.4604471269</v>
      </c>
      <c r="IB16" s="98">
        <f t="shared" si="157"/>
        <v>0</v>
      </c>
      <c r="IC16" s="99">
        <f t="shared" si="158"/>
        <v>0</v>
      </c>
      <c r="ID16" s="90"/>
      <c r="IE16" s="92">
        <f t="shared" si="222"/>
        <v>4</v>
      </c>
      <c r="IF16" s="93" t="str">
        <f t="shared" ref="IF16:IH16" si="243">IFERROR(VLOOKUP($R16,$A$13:$D$30,-IF$12,FALSE),"")</f>
        <v>Bauksit </v>
      </c>
      <c r="IG16" s="94" t="str">
        <f t="shared" si="243"/>
        <v>Bijih </v>
      </c>
      <c r="IH16" s="94" t="str">
        <f t="shared" si="243"/>
        <v>Ton </v>
      </c>
      <c r="II16" s="87">
        <f t="shared" si="160"/>
        <v>0</v>
      </c>
      <c r="IJ16" s="87" t="str">
        <f t="shared" si="161"/>
        <v>#DIV/0!</v>
      </c>
      <c r="IK16" s="87">
        <f t="shared" si="162"/>
        <v>0</v>
      </c>
      <c r="IL16" s="95"/>
      <c r="IM16" s="87">
        <f t="shared" si="163"/>
        <v>0</v>
      </c>
      <c r="IN16" s="96"/>
      <c r="IO16" s="96"/>
      <c r="IP16" s="97"/>
      <c r="IQ16" s="87">
        <f t="shared" si="164"/>
        <v>0</v>
      </c>
      <c r="IR16" s="95">
        <f t="shared" si="165"/>
        <v>0.4604471269</v>
      </c>
      <c r="IS16" s="98">
        <f t="shared" si="166"/>
        <v>0</v>
      </c>
      <c r="IT16" s="99">
        <f t="shared" si="167"/>
        <v>0</v>
      </c>
      <c r="IU16" s="90"/>
      <c r="IV16" s="92">
        <f t="shared" si="224"/>
        <v>4</v>
      </c>
      <c r="IW16" s="93" t="str">
        <f t="shared" ref="IW16:IY16" si="244">IFERROR(VLOOKUP($R16,$A$13:$D$30,-IW$12,FALSE),"")</f>
        <v>Bauksit </v>
      </c>
      <c r="IX16" s="94" t="str">
        <f t="shared" si="244"/>
        <v>Bijih </v>
      </c>
      <c r="IY16" s="94" t="str">
        <f t="shared" si="244"/>
        <v>Ton </v>
      </c>
      <c r="IZ16" s="87">
        <f t="shared" si="169"/>
        <v>0</v>
      </c>
      <c r="JA16" s="87" t="str">
        <f t="shared" si="170"/>
        <v>#DIV/0!</v>
      </c>
      <c r="JB16" s="87">
        <f t="shared" si="171"/>
        <v>0</v>
      </c>
      <c r="JC16" s="95"/>
      <c r="JD16" s="87">
        <f t="shared" si="172"/>
        <v>0</v>
      </c>
      <c r="JE16" s="96"/>
      <c r="JF16" s="96"/>
      <c r="JG16" s="97"/>
      <c r="JH16" s="87">
        <f t="shared" si="173"/>
        <v>0</v>
      </c>
      <c r="JI16" s="95">
        <f t="shared" si="174"/>
        <v>0.4604471269</v>
      </c>
      <c r="JJ16" s="98">
        <f t="shared" si="175"/>
        <v>0</v>
      </c>
      <c r="JK16" s="99">
        <f t="shared" si="176"/>
        <v>0</v>
      </c>
      <c r="JL16" s="90"/>
      <c r="JM16" s="92">
        <f t="shared" si="226"/>
        <v>4</v>
      </c>
      <c r="JN16" s="93" t="str">
        <f t="shared" ref="JN16:JP16" si="245">IFERROR(VLOOKUP($R16,$A$13:$D$30,-JN$12,FALSE),"")</f>
        <v>Bauksit </v>
      </c>
      <c r="JO16" s="94" t="str">
        <f t="shared" si="245"/>
        <v>Bijih </v>
      </c>
      <c r="JP16" s="94" t="str">
        <f t="shared" si="245"/>
        <v>Ton </v>
      </c>
      <c r="JQ16" s="87">
        <f t="shared" si="178"/>
        <v>0</v>
      </c>
      <c r="JR16" s="87" t="str">
        <f t="shared" si="179"/>
        <v>#DIV/0!</v>
      </c>
      <c r="JS16" s="87">
        <f t="shared" si="180"/>
        <v>0</v>
      </c>
      <c r="JT16" s="95"/>
      <c r="JU16" s="87">
        <f t="shared" si="181"/>
        <v>0</v>
      </c>
      <c r="JV16" s="96"/>
      <c r="JW16" s="96"/>
      <c r="JX16" s="97"/>
      <c r="JY16" s="87">
        <f t="shared" si="182"/>
        <v>0</v>
      </c>
      <c r="JZ16" s="95">
        <f t="shared" si="183"/>
        <v>0.4604471269</v>
      </c>
      <c r="KA16" s="98">
        <f t="shared" si="184"/>
        <v>0</v>
      </c>
      <c r="KB16" s="99">
        <f t="shared" si="185"/>
        <v>0</v>
      </c>
      <c r="KC16" s="90"/>
      <c r="KD16" s="92">
        <f t="shared" si="228"/>
        <v>4</v>
      </c>
      <c r="KE16" s="93" t="str">
        <f t="shared" ref="KE16:KG16" si="246">IFERROR(VLOOKUP($R16,$A$13:$D$30,-KE$12,FALSE),"")</f>
        <v>Bauksit </v>
      </c>
      <c r="KF16" s="94" t="str">
        <f t="shared" si="246"/>
        <v>Bijih </v>
      </c>
      <c r="KG16" s="94" t="str">
        <f t="shared" si="246"/>
        <v>Ton </v>
      </c>
      <c r="KH16" s="87">
        <f t="shared" si="187"/>
        <v>0</v>
      </c>
      <c r="KI16" s="87" t="str">
        <f t="shared" si="188"/>
        <v>#DIV/0!</v>
      </c>
      <c r="KJ16" s="87">
        <f t="shared" si="189"/>
        <v>0</v>
      </c>
      <c r="KK16" s="95"/>
      <c r="KL16" s="87">
        <f t="shared" si="190"/>
        <v>0</v>
      </c>
      <c r="KM16" s="96"/>
      <c r="KN16" s="96"/>
      <c r="KO16" s="97"/>
      <c r="KP16" s="87">
        <f t="shared" si="191"/>
        <v>0</v>
      </c>
      <c r="KQ16" s="95">
        <f t="shared" si="192"/>
        <v>0.4604471269</v>
      </c>
      <c r="KR16" s="98">
        <f t="shared" si="193"/>
        <v>0</v>
      </c>
      <c r="KS16" s="99">
        <f t="shared" si="194"/>
        <v>0</v>
      </c>
      <c r="KT16" s="90"/>
      <c r="KU16" s="91"/>
    </row>
    <row r="17">
      <c r="A17" s="92">
        <f t="shared" si="195"/>
        <v>5</v>
      </c>
      <c r="B17" s="93" t="str">
        <f>IFERROR(VLOOKUP($R17,ADHK!$A$13:$D$30,-B$12,FALSE),"")</f>
        <v>Bijih Nikel </v>
      </c>
      <c r="C17" s="94" t="str">
        <f>IFERROR(VLOOKUP($R17,ADHK!$A$13:$D$30,-C$12,FALSE),"")</f>
        <v>Bijih </v>
      </c>
      <c r="D17" s="94" t="str">
        <f>IFERROR(VLOOKUP($R17,ADHK!$A$13:$D$30,-D$12,FALSE),"")</f>
        <v>WMT</v>
      </c>
      <c r="E17" s="87">
        <f t="shared" si="35"/>
        <v>0</v>
      </c>
      <c r="F17" s="87" t="str">
        <f t="shared" si="36"/>
        <v>#DIV/0!</v>
      </c>
      <c r="G17" s="87">
        <f t="shared" si="37"/>
        <v>0</v>
      </c>
      <c r="H17" s="95"/>
      <c r="I17" s="87">
        <f t="shared" si="38"/>
        <v>0</v>
      </c>
      <c r="J17" s="96"/>
      <c r="K17" s="96"/>
      <c r="L17" s="97"/>
      <c r="M17" s="87">
        <f t="shared" si="39"/>
        <v>0</v>
      </c>
      <c r="N17" s="95">
        <f>ADHK!N17</f>
        <v>0.4604471269</v>
      </c>
      <c r="O17" s="98">
        <f t="shared" si="40"/>
        <v>0</v>
      </c>
      <c r="P17" s="99">
        <f t="shared" si="41"/>
        <v>0</v>
      </c>
      <c r="Q17" s="90"/>
      <c r="R17" s="92">
        <f t="shared" si="196"/>
        <v>5</v>
      </c>
      <c r="S17" s="93" t="str">
        <f t="shared" ref="S17:U17" si="247">IFERROR(VLOOKUP($R17,$A$13:$D$30,-S$12,FALSE),"")</f>
        <v>Bijih Nikel </v>
      </c>
      <c r="T17" s="94" t="str">
        <f t="shared" si="247"/>
        <v>Bijih </v>
      </c>
      <c r="U17" s="94" t="str">
        <f t="shared" si="247"/>
        <v>WMT</v>
      </c>
      <c r="V17" s="87">
        <f t="shared" si="43"/>
        <v>0</v>
      </c>
      <c r="W17" s="87" t="str">
        <f t="shared" si="44"/>
        <v>#DIV/0!</v>
      </c>
      <c r="X17" s="87">
        <f t="shared" si="45"/>
        <v>0</v>
      </c>
      <c r="Y17" s="95"/>
      <c r="Z17" s="87">
        <f t="shared" si="46"/>
        <v>0</v>
      </c>
      <c r="AA17" s="96"/>
      <c r="AB17" s="96"/>
      <c r="AC17" s="97"/>
      <c r="AD17" s="87">
        <f t="shared" si="47"/>
        <v>0</v>
      </c>
      <c r="AE17" s="95">
        <f t="shared" si="48"/>
        <v>0.4604471269</v>
      </c>
      <c r="AF17" s="98">
        <f t="shared" si="49"/>
        <v>0</v>
      </c>
      <c r="AG17" s="99">
        <f t="shared" si="50"/>
        <v>0</v>
      </c>
      <c r="AH17" s="90"/>
      <c r="AI17" s="92">
        <f t="shared" si="198"/>
        <v>5</v>
      </c>
      <c r="AJ17" s="93" t="str">
        <f t="shared" ref="AJ17:AL17" si="248">IFERROR(VLOOKUP($R17,$A$13:$D$30,-AJ$12,FALSE),"")</f>
        <v>Bijih Nikel </v>
      </c>
      <c r="AK17" s="94" t="str">
        <f t="shared" si="248"/>
        <v>Bijih </v>
      </c>
      <c r="AL17" s="94" t="str">
        <f t="shared" si="248"/>
        <v>WMT</v>
      </c>
      <c r="AM17" s="87">
        <f t="shared" si="52"/>
        <v>0</v>
      </c>
      <c r="AN17" s="87" t="str">
        <f t="shared" si="53"/>
        <v>#DIV/0!</v>
      </c>
      <c r="AO17" s="87">
        <f t="shared" si="54"/>
        <v>0</v>
      </c>
      <c r="AP17" s="95"/>
      <c r="AQ17" s="87">
        <f t="shared" si="55"/>
        <v>0</v>
      </c>
      <c r="AR17" s="96"/>
      <c r="AS17" s="96"/>
      <c r="AT17" s="97"/>
      <c r="AU17" s="87">
        <f t="shared" si="56"/>
        <v>0</v>
      </c>
      <c r="AV17" s="95">
        <f t="shared" si="57"/>
        <v>0.4604471269</v>
      </c>
      <c r="AW17" s="98">
        <f t="shared" si="58"/>
        <v>0</v>
      </c>
      <c r="AX17" s="99">
        <f t="shared" si="59"/>
        <v>0</v>
      </c>
      <c r="AY17" s="90"/>
      <c r="AZ17" s="92">
        <f t="shared" si="200"/>
        <v>5</v>
      </c>
      <c r="BA17" s="93" t="str">
        <f t="shared" ref="BA17:BC17" si="249">IFERROR(VLOOKUP($R17,$A$13:$D$30,-BA$12,FALSE),"")</f>
        <v>Bijih Nikel </v>
      </c>
      <c r="BB17" s="94" t="str">
        <f t="shared" si="249"/>
        <v>Bijih </v>
      </c>
      <c r="BC17" s="94" t="str">
        <f t="shared" si="249"/>
        <v>WMT</v>
      </c>
      <c r="BD17" s="87">
        <f t="shared" si="61"/>
        <v>0</v>
      </c>
      <c r="BE17" s="87" t="str">
        <f t="shared" si="62"/>
        <v>#DIV/0!</v>
      </c>
      <c r="BF17" s="87">
        <f t="shared" si="63"/>
        <v>0</v>
      </c>
      <c r="BG17" s="95"/>
      <c r="BH17" s="87">
        <f t="shared" si="64"/>
        <v>0</v>
      </c>
      <c r="BI17" s="96"/>
      <c r="BJ17" s="96"/>
      <c r="BK17" s="97"/>
      <c r="BL17" s="87">
        <f t="shared" si="65"/>
        <v>0</v>
      </c>
      <c r="BM17" s="95">
        <f t="shared" si="66"/>
        <v>0.4604471269</v>
      </c>
      <c r="BN17" s="98">
        <f t="shared" si="67"/>
        <v>0</v>
      </c>
      <c r="BO17" s="99">
        <f t="shared" si="68"/>
        <v>0</v>
      </c>
      <c r="BP17" s="90"/>
      <c r="BQ17" s="92">
        <f t="shared" si="202"/>
        <v>5</v>
      </c>
      <c r="BR17" s="93" t="str">
        <f t="shared" ref="BR17:BT17" si="250">IFERROR(VLOOKUP($R17,$A$13:$D$30,-BR$12,FALSE),"")</f>
        <v>Bijih Nikel </v>
      </c>
      <c r="BS17" s="94" t="str">
        <f t="shared" si="250"/>
        <v>Bijih </v>
      </c>
      <c r="BT17" s="94" t="str">
        <f t="shared" si="250"/>
        <v>WMT</v>
      </c>
      <c r="BU17" s="87">
        <f t="shared" si="70"/>
        <v>0</v>
      </c>
      <c r="BV17" s="87" t="str">
        <f t="shared" si="71"/>
        <v>#DIV/0!</v>
      </c>
      <c r="BW17" s="87">
        <f t="shared" si="72"/>
        <v>0</v>
      </c>
      <c r="BX17" s="95"/>
      <c r="BY17" s="87">
        <f t="shared" si="73"/>
        <v>0</v>
      </c>
      <c r="BZ17" s="96"/>
      <c r="CA17" s="96"/>
      <c r="CB17" s="97"/>
      <c r="CC17" s="87">
        <f t="shared" si="74"/>
        <v>0</v>
      </c>
      <c r="CD17" s="95">
        <f t="shared" si="75"/>
        <v>0.4604471269</v>
      </c>
      <c r="CE17" s="98">
        <f t="shared" si="76"/>
        <v>0</v>
      </c>
      <c r="CF17" s="99">
        <f t="shared" si="77"/>
        <v>0</v>
      </c>
      <c r="CG17" s="90"/>
      <c r="CH17" s="92">
        <f t="shared" si="204"/>
        <v>5</v>
      </c>
      <c r="CI17" s="93" t="str">
        <f t="shared" ref="CI17:CK17" si="251">IFERROR(VLOOKUP($R17,$A$13:$D$30,-CI$12,FALSE),"")</f>
        <v>Bijih Nikel </v>
      </c>
      <c r="CJ17" s="94" t="str">
        <f t="shared" si="251"/>
        <v>Bijih </v>
      </c>
      <c r="CK17" s="94" t="str">
        <f t="shared" si="251"/>
        <v>WMT</v>
      </c>
      <c r="CL17" s="87">
        <f t="shared" si="79"/>
        <v>0</v>
      </c>
      <c r="CM17" s="87" t="str">
        <f t="shared" si="80"/>
        <v>#DIV/0!</v>
      </c>
      <c r="CN17" s="87">
        <f t="shared" si="81"/>
        <v>0</v>
      </c>
      <c r="CO17" s="95"/>
      <c r="CP17" s="87">
        <f t="shared" si="82"/>
        <v>0</v>
      </c>
      <c r="CQ17" s="96"/>
      <c r="CR17" s="96"/>
      <c r="CS17" s="97"/>
      <c r="CT17" s="87">
        <f t="shared" si="83"/>
        <v>0</v>
      </c>
      <c r="CU17" s="95">
        <f t="shared" si="84"/>
        <v>0.4604471269</v>
      </c>
      <c r="CV17" s="98">
        <f t="shared" si="85"/>
        <v>0</v>
      </c>
      <c r="CW17" s="99">
        <f t="shared" si="86"/>
        <v>0</v>
      </c>
      <c r="CX17" s="90"/>
      <c r="CY17" s="92">
        <f t="shared" si="206"/>
        <v>5</v>
      </c>
      <c r="CZ17" s="93" t="str">
        <f t="shared" ref="CZ17:DB17" si="252">IFERROR(VLOOKUP($R17,$A$13:$D$30,-CZ$12,FALSE),"")</f>
        <v>Bijih Nikel </v>
      </c>
      <c r="DA17" s="94" t="str">
        <f t="shared" si="252"/>
        <v>Bijih </v>
      </c>
      <c r="DB17" s="94" t="str">
        <f t="shared" si="252"/>
        <v>WMT</v>
      </c>
      <c r="DC17" s="87">
        <f t="shared" si="88"/>
        <v>0</v>
      </c>
      <c r="DD17" s="87" t="str">
        <f t="shared" si="89"/>
        <v>#DIV/0!</v>
      </c>
      <c r="DE17" s="87">
        <f t="shared" si="90"/>
        <v>0</v>
      </c>
      <c r="DF17" s="95"/>
      <c r="DG17" s="87">
        <f t="shared" si="91"/>
        <v>0</v>
      </c>
      <c r="DH17" s="96"/>
      <c r="DI17" s="96"/>
      <c r="DJ17" s="97"/>
      <c r="DK17" s="87">
        <f t="shared" si="92"/>
        <v>0</v>
      </c>
      <c r="DL17" s="95">
        <f t="shared" si="93"/>
        <v>0.4604471269</v>
      </c>
      <c r="DM17" s="98">
        <f t="shared" si="94"/>
        <v>0</v>
      </c>
      <c r="DN17" s="99">
        <f t="shared" si="95"/>
        <v>0</v>
      </c>
      <c r="DO17" s="90"/>
      <c r="DP17" s="92">
        <f t="shared" si="208"/>
        <v>5</v>
      </c>
      <c r="DQ17" s="93" t="str">
        <f t="shared" ref="DQ17:DS17" si="253">IFERROR(VLOOKUP($R17,$A$13:$D$30,-DQ$12,FALSE),"")</f>
        <v>Bijih Nikel </v>
      </c>
      <c r="DR17" s="94" t="str">
        <f t="shared" si="253"/>
        <v>Bijih </v>
      </c>
      <c r="DS17" s="94" t="str">
        <f t="shared" si="253"/>
        <v>WMT</v>
      </c>
      <c r="DT17" s="87">
        <f t="shared" si="97"/>
        <v>0</v>
      </c>
      <c r="DU17" s="87" t="str">
        <f t="shared" si="98"/>
        <v>#DIV/0!</v>
      </c>
      <c r="DV17" s="87">
        <f t="shared" si="99"/>
        <v>0</v>
      </c>
      <c r="DW17" s="95"/>
      <c r="DX17" s="87">
        <f t="shared" si="100"/>
        <v>0</v>
      </c>
      <c r="DY17" s="96"/>
      <c r="DZ17" s="96"/>
      <c r="EA17" s="97"/>
      <c r="EB17" s="87">
        <f t="shared" si="101"/>
        <v>0</v>
      </c>
      <c r="EC17" s="95">
        <f t="shared" si="102"/>
        <v>0.4604471269</v>
      </c>
      <c r="ED17" s="98">
        <f t="shared" si="103"/>
        <v>0</v>
      </c>
      <c r="EE17" s="99">
        <f t="shared" si="104"/>
        <v>0</v>
      </c>
      <c r="EF17" s="90"/>
      <c r="EG17" s="92">
        <f t="shared" si="210"/>
        <v>5</v>
      </c>
      <c r="EH17" s="93" t="str">
        <f t="shared" ref="EH17:EJ17" si="254">IFERROR(VLOOKUP($R17,$A$13:$D$30,-EH$12,FALSE),"")</f>
        <v>Bijih Nikel </v>
      </c>
      <c r="EI17" s="94" t="str">
        <f t="shared" si="254"/>
        <v>Bijih </v>
      </c>
      <c r="EJ17" s="94" t="str">
        <f t="shared" si="254"/>
        <v>WMT</v>
      </c>
      <c r="EK17" s="87">
        <f t="shared" si="106"/>
        <v>0</v>
      </c>
      <c r="EL17" s="87" t="str">
        <f t="shared" si="107"/>
        <v>#DIV/0!</v>
      </c>
      <c r="EM17" s="87">
        <f t="shared" si="108"/>
        <v>0</v>
      </c>
      <c r="EN17" s="95"/>
      <c r="EO17" s="87">
        <f t="shared" si="109"/>
        <v>0</v>
      </c>
      <c r="EP17" s="96"/>
      <c r="EQ17" s="96"/>
      <c r="ER17" s="97"/>
      <c r="ES17" s="87">
        <f t="shared" si="110"/>
        <v>0</v>
      </c>
      <c r="ET17" s="95">
        <f t="shared" si="111"/>
        <v>0.4604471269</v>
      </c>
      <c r="EU17" s="98">
        <f t="shared" si="112"/>
        <v>0</v>
      </c>
      <c r="EV17" s="99">
        <f t="shared" si="113"/>
        <v>0</v>
      </c>
      <c r="EW17" s="90"/>
      <c r="EX17" s="92">
        <f t="shared" si="212"/>
        <v>5</v>
      </c>
      <c r="EY17" s="93" t="str">
        <f t="shared" ref="EY17:FA17" si="255">IFERROR(VLOOKUP($R17,$A$13:$D$30,-EY$12,FALSE),"")</f>
        <v>Bijih Nikel </v>
      </c>
      <c r="EZ17" s="94" t="str">
        <f t="shared" si="255"/>
        <v>Bijih </v>
      </c>
      <c r="FA17" s="94" t="str">
        <f t="shared" si="255"/>
        <v>WMT</v>
      </c>
      <c r="FB17" s="87">
        <f t="shared" si="115"/>
        <v>0</v>
      </c>
      <c r="FC17" s="87" t="str">
        <f t="shared" si="116"/>
        <v>#DIV/0!</v>
      </c>
      <c r="FD17" s="87">
        <f t="shared" si="117"/>
        <v>0</v>
      </c>
      <c r="FE17" s="95"/>
      <c r="FF17" s="87">
        <f t="shared" si="118"/>
        <v>0</v>
      </c>
      <c r="FG17" s="96"/>
      <c r="FH17" s="96"/>
      <c r="FI17" s="97"/>
      <c r="FJ17" s="87">
        <f t="shared" si="119"/>
        <v>0</v>
      </c>
      <c r="FK17" s="95">
        <f t="shared" si="120"/>
        <v>0.4604471269</v>
      </c>
      <c r="FL17" s="98">
        <f t="shared" si="121"/>
        <v>0</v>
      </c>
      <c r="FM17" s="99">
        <f t="shared" si="122"/>
        <v>0</v>
      </c>
      <c r="FN17" s="90"/>
      <c r="FO17" s="92">
        <f t="shared" si="214"/>
        <v>5</v>
      </c>
      <c r="FP17" s="93" t="str">
        <f t="shared" ref="FP17:FR17" si="256">IFERROR(VLOOKUP($R17,$A$13:$D$30,-FP$12,FALSE),"")</f>
        <v>Bijih Nikel </v>
      </c>
      <c r="FQ17" s="94" t="str">
        <f t="shared" si="256"/>
        <v>Bijih </v>
      </c>
      <c r="FR17" s="94" t="str">
        <f t="shared" si="256"/>
        <v>WMT</v>
      </c>
      <c r="FS17" s="87">
        <f t="shared" si="124"/>
        <v>20174612.75</v>
      </c>
      <c r="FT17" s="87">
        <f t="shared" si="125"/>
        <v>276207.2121</v>
      </c>
      <c r="FU17" s="87">
        <f t="shared" si="126"/>
        <v>5572373.543</v>
      </c>
      <c r="FV17" s="95"/>
      <c r="FW17" s="87">
        <f t="shared" si="127"/>
        <v>0</v>
      </c>
      <c r="FX17" s="96"/>
      <c r="FY17" s="96"/>
      <c r="FZ17" s="97"/>
      <c r="GA17" s="87">
        <f t="shared" si="128"/>
        <v>5572373.543</v>
      </c>
      <c r="GB17" s="95">
        <f t="shared" si="129"/>
        <v>0.4604471269</v>
      </c>
      <c r="GC17" s="98">
        <f t="shared" si="130"/>
        <v>2565783.388</v>
      </c>
      <c r="GD17" s="99">
        <f t="shared" si="131"/>
        <v>3006590.155</v>
      </c>
      <c r="GE17" s="90"/>
      <c r="GF17" s="92">
        <f t="shared" si="216"/>
        <v>5</v>
      </c>
      <c r="GG17" s="93" t="str">
        <f t="shared" ref="GG17:GI17" si="257">IFERROR(VLOOKUP($R17,$A$13:$D$30,-GG$12,FALSE),"")</f>
        <v>Bijih Nikel </v>
      </c>
      <c r="GH17" s="94" t="str">
        <f t="shared" si="257"/>
        <v>Bijih </v>
      </c>
      <c r="GI17" s="94" t="str">
        <f t="shared" si="257"/>
        <v>WMT</v>
      </c>
      <c r="GJ17" s="87">
        <f t="shared" si="133"/>
        <v>22956838</v>
      </c>
      <c r="GK17" s="87">
        <f t="shared" si="134"/>
        <v>312703.4035</v>
      </c>
      <c r="GL17" s="87">
        <f t="shared" si="135"/>
        <v>7178681.376</v>
      </c>
      <c r="GM17" s="95"/>
      <c r="GN17" s="87">
        <f t="shared" si="136"/>
        <v>0</v>
      </c>
      <c r="GO17" s="96"/>
      <c r="GP17" s="96"/>
      <c r="GQ17" s="97"/>
      <c r="GR17" s="87">
        <f t="shared" si="137"/>
        <v>7178681.376</v>
      </c>
      <c r="GS17" s="95">
        <f t="shared" si="138"/>
        <v>0.4604471269</v>
      </c>
      <c r="GT17" s="98">
        <f t="shared" si="139"/>
        <v>3305403.214</v>
      </c>
      <c r="GU17" s="99">
        <f t="shared" si="140"/>
        <v>3873278.161</v>
      </c>
      <c r="GV17" s="90"/>
      <c r="GW17" s="92">
        <f t="shared" si="218"/>
        <v>5</v>
      </c>
      <c r="GX17" s="93" t="str">
        <f t="shared" ref="GX17:GZ17" si="258">IFERROR(VLOOKUP($R17,$A$13:$D$30,-GX$12,FALSE),"")</f>
        <v>Bijih Nikel </v>
      </c>
      <c r="GY17" s="94" t="str">
        <f t="shared" si="258"/>
        <v>Bijih </v>
      </c>
      <c r="GZ17" s="94" t="str">
        <f t="shared" si="258"/>
        <v>WMT</v>
      </c>
      <c r="HA17" s="87">
        <f t="shared" si="142"/>
        <v>30166799.26</v>
      </c>
      <c r="HB17" s="87">
        <f t="shared" si="143"/>
        <v>210371.7422</v>
      </c>
      <c r="HC17" s="87">
        <f t="shared" si="144"/>
        <v>6346242.115</v>
      </c>
      <c r="HD17" s="95"/>
      <c r="HE17" s="87">
        <f t="shared" si="145"/>
        <v>0</v>
      </c>
      <c r="HF17" s="96"/>
      <c r="HG17" s="96"/>
      <c r="HH17" s="97"/>
      <c r="HI17" s="87">
        <f t="shared" si="146"/>
        <v>6346242.115</v>
      </c>
      <c r="HJ17" s="95">
        <f t="shared" si="147"/>
        <v>0.4604471269</v>
      </c>
      <c r="HK17" s="98">
        <f t="shared" si="148"/>
        <v>2922108.949</v>
      </c>
      <c r="HL17" s="99">
        <f t="shared" si="149"/>
        <v>3424133.167</v>
      </c>
      <c r="HM17" s="90"/>
      <c r="HN17" s="92">
        <f t="shared" si="220"/>
        <v>5</v>
      </c>
      <c r="HO17" s="93" t="str">
        <f t="shared" ref="HO17:HQ17" si="259">IFERROR(VLOOKUP($R17,$A$13:$D$30,-HO$12,FALSE),"")</f>
        <v>Bijih Nikel </v>
      </c>
      <c r="HP17" s="94" t="str">
        <f t="shared" si="259"/>
        <v>Bijih </v>
      </c>
      <c r="HQ17" s="94" t="str">
        <f t="shared" si="259"/>
        <v>WMT</v>
      </c>
      <c r="HR17" s="87">
        <f t="shared" si="151"/>
        <v>43202621.87</v>
      </c>
      <c r="HS17" s="87">
        <f t="shared" si="152"/>
        <v>246473.6343</v>
      </c>
      <c r="HT17" s="87">
        <f t="shared" si="153"/>
        <v>10648307.22</v>
      </c>
      <c r="HU17" s="95"/>
      <c r="HV17" s="87">
        <f t="shared" si="154"/>
        <v>0</v>
      </c>
      <c r="HW17" s="96"/>
      <c r="HX17" s="96"/>
      <c r="HY17" s="97"/>
      <c r="HZ17" s="87">
        <f t="shared" si="155"/>
        <v>10648307.22</v>
      </c>
      <c r="IA17" s="95">
        <f t="shared" si="156"/>
        <v>0.4604471269</v>
      </c>
      <c r="IB17" s="98">
        <f t="shared" si="157"/>
        <v>4902982.467</v>
      </c>
      <c r="IC17" s="99">
        <f t="shared" si="158"/>
        <v>5745324.756</v>
      </c>
      <c r="ID17" s="90"/>
      <c r="IE17" s="92">
        <f t="shared" si="222"/>
        <v>5</v>
      </c>
      <c r="IF17" s="93" t="str">
        <f t="shared" ref="IF17:IH17" si="260">IFERROR(VLOOKUP($R17,$A$13:$D$30,-IF$12,FALSE),"")</f>
        <v>Bijih Nikel </v>
      </c>
      <c r="IG17" s="94" t="str">
        <f t="shared" si="260"/>
        <v>Bijih </v>
      </c>
      <c r="IH17" s="94" t="str">
        <f t="shared" si="260"/>
        <v>WMT</v>
      </c>
      <c r="II17" s="87">
        <f t="shared" si="160"/>
        <v>72858506.28</v>
      </c>
      <c r="IJ17" s="87">
        <f t="shared" si="161"/>
        <v>223597.9182</v>
      </c>
      <c r="IK17" s="87">
        <f t="shared" si="162"/>
        <v>16291010.33</v>
      </c>
      <c r="IL17" s="95"/>
      <c r="IM17" s="87">
        <f t="shared" si="163"/>
        <v>0</v>
      </c>
      <c r="IN17" s="96"/>
      <c r="IO17" s="96"/>
      <c r="IP17" s="97"/>
      <c r="IQ17" s="87">
        <f t="shared" si="164"/>
        <v>16291010.33</v>
      </c>
      <c r="IR17" s="95">
        <f t="shared" si="165"/>
        <v>0.4604471269</v>
      </c>
      <c r="IS17" s="98">
        <f t="shared" si="166"/>
        <v>7501148.9</v>
      </c>
      <c r="IT17" s="99">
        <f t="shared" si="167"/>
        <v>8789861.428</v>
      </c>
      <c r="IU17" s="90"/>
      <c r="IV17" s="92">
        <f t="shared" si="224"/>
        <v>5</v>
      </c>
      <c r="IW17" s="93" t="str">
        <f t="shared" ref="IW17:IY17" si="261">IFERROR(VLOOKUP($R17,$A$13:$D$30,-IW$12,FALSE),"")</f>
        <v>Bijih Nikel </v>
      </c>
      <c r="IX17" s="94" t="str">
        <f t="shared" si="261"/>
        <v>Bijih </v>
      </c>
      <c r="IY17" s="94" t="str">
        <f t="shared" si="261"/>
        <v>WMT</v>
      </c>
      <c r="IZ17" s="87">
        <f t="shared" si="169"/>
        <v>89815551.02</v>
      </c>
      <c r="JA17" s="87">
        <f t="shared" si="170"/>
        <v>205569.0871</v>
      </c>
      <c r="JB17" s="87">
        <f t="shared" si="171"/>
        <v>18463300.83</v>
      </c>
      <c r="JC17" s="95"/>
      <c r="JD17" s="87">
        <f t="shared" si="172"/>
        <v>0</v>
      </c>
      <c r="JE17" s="96"/>
      <c r="JF17" s="96"/>
      <c r="JG17" s="97"/>
      <c r="JH17" s="87">
        <f t="shared" si="173"/>
        <v>18463300.83</v>
      </c>
      <c r="JI17" s="95">
        <f t="shared" si="174"/>
        <v>0.4604471269</v>
      </c>
      <c r="JJ17" s="98">
        <f t="shared" si="175"/>
        <v>8501373.819</v>
      </c>
      <c r="JK17" s="99">
        <f t="shared" si="176"/>
        <v>9961927.009</v>
      </c>
      <c r="JL17" s="90"/>
      <c r="JM17" s="92">
        <f t="shared" si="226"/>
        <v>5</v>
      </c>
      <c r="JN17" s="93" t="str">
        <f t="shared" ref="JN17:JP17" si="262">IFERROR(VLOOKUP($R17,$A$13:$D$30,-JN$12,FALSE),"")</f>
        <v>Bijih Nikel </v>
      </c>
      <c r="JO17" s="94" t="str">
        <f t="shared" si="262"/>
        <v>Bijih </v>
      </c>
      <c r="JP17" s="94" t="str">
        <f t="shared" si="262"/>
        <v>WMT</v>
      </c>
      <c r="JQ17" s="87">
        <f t="shared" si="178"/>
        <v>21210240.34</v>
      </c>
      <c r="JR17" s="87">
        <f t="shared" si="179"/>
        <v>222937.3339</v>
      </c>
      <c r="JS17" s="87">
        <f t="shared" si="180"/>
        <v>4728554.432</v>
      </c>
      <c r="JT17" s="95"/>
      <c r="JU17" s="87">
        <f t="shared" si="181"/>
        <v>0</v>
      </c>
      <c r="JV17" s="96"/>
      <c r="JW17" s="96"/>
      <c r="JX17" s="97"/>
      <c r="JY17" s="87">
        <f t="shared" si="182"/>
        <v>4728554.432</v>
      </c>
      <c r="JZ17" s="95">
        <f t="shared" si="183"/>
        <v>0.4604471269</v>
      </c>
      <c r="KA17" s="98">
        <f t="shared" si="184"/>
        <v>2177249.302</v>
      </c>
      <c r="KB17" s="99">
        <f t="shared" si="185"/>
        <v>2551305.129</v>
      </c>
      <c r="KC17" s="90"/>
      <c r="KD17" s="92">
        <f t="shared" si="228"/>
        <v>5</v>
      </c>
      <c r="KE17" s="93" t="str">
        <f t="shared" ref="KE17:KG17" si="263">IFERROR(VLOOKUP($R17,$A$13:$D$30,-KE$12,FALSE),"")</f>
        <v>Bijih Nikel </v>
      </c>
      <c r="KF17" s="94" t="str">
        <f t="shared" si="263"/>
        <v>Bijih </v>
      </c>
      <c r="KG17" s="94" t="str">
        <f t="shared" si="263"/>
        <v>WMT</v>
      </c>
      <c r="KH17" s="87">
        <f t="shared" si="187"/>
        <v>0</v>
      </c>
      <c r="KI17" s="87" t="str">
        <f t="shared" si="188"/>
        <v>#DIV/0!</v>
      </c>
      <c r="KJ17" s="87">
        <f t="shared" si="189"/>
        <v>0</v>
      </c>
      <c r="KK17" s="95"/>
      <c r="KL17" s="87">
        <f t="shared" si="190"/>
        <v>0</v>
      </c>
      <c r="KM17" s="96"/>
      <c r="KN17" s="96"/>
      <c r="KO17" s="97"/>
      <c r="KP17" s="87">
        <f t="shared" si="191"/>
        <v>0</v>
      </c>
      <c r="KQ17" s="95">
        <f t="shared" si="192"/>
        <v>0.4604471269</v>
      </c>
      <c r="KR17" s="98">
        <f t="shared" si="193"/>
        <v>0</v>
      </c>
      <c r="KS17" s="99">
        <f t="shared" si="194"/>
        <v>0</v>
      </c>
      <c r="KT17" s="90"/>
      <c r="KU17" s="91"/>
    </row>
    <row r="18">
      <c r="A18" s="92">
        <f t="shared" si="195"/>
        <v>6</v>
      </c>
      <c r="B18" s="93" t="str">
        <f>IFERROR(VLOOKUP($R18,ADHK!$A$13:$D$30,-B$12,FALSE),"")</f>
        <v>Pasir Besi </v>
      </c>
      <c r="C18" s="94" t="str">
        <f>IFERROR(VLOOKUP($R18,ADHK!$A$13:$D$30,-C$12,FALSE),"")</f>
        <v>Bijih </v>
      </c>
      <c r="D18" s="94" t="str">
        <f>IFERROR(VLOOKUP($R18,ADHK!$A$13:$D$30,-D$12,FALSE),"")</f>
        <v>Ton </v>
      </c>
      <c r="E18" s="87">
        <f t="shared" si="35"/>
        <v>0</v>
      </c>
      <c r="F18" s="87" t="str">
        <f t="shared" si="36"/>
        <v>#DIV/0!</v>
      </c>
      <c r="G18" s="87">
        <f t="shared" si="37"/>
        <v>0</v>
      </c>
      <c r="H18" s="95"/>
      <c r="I18" s="87">
        <f t="shared" si="38"/>
        <v>0</v>
      </c>
      <c r="J18" s="96"/>
      <c r="K18" s="96"/>
      <c r="L18" s="97"/>
      <c r="M18" s="87">
        <f t="shared" si="39"/>
        <v>0</v>
      </c>
      <c r="N18" s="95">
        <f>ADHK!N18</f>
        <v>0.4604471269</v>
      </c>
      <c r="O18" s="98">
        <f t="shared" si="40"/>
        <v>0</v>
      </c>
      <c r="P18" s="99">
        <f t="shared" si="41"/>
        <v>0</v>
      </c>
      <c r="Q18" s="90"/>
      <c r="R18" s="92">
        <f t="shared" si="196"/>
        <v>6</v>
      </c>
      <c r="S18" s="93" t="str">
        <f t="shared" ref="S18:U18" si="264">IFERROR(VLOOKUP($R18,$A$13:$D$30,-S$12,FALSE),"")</f>
        <v>Pasir Besi </v>
      </c>
      <c r="T18" s="94" t="str">
        <f t="shared" si="264"/>
        <v>Bijih </v>
      </c>
      <c r="U18" s="94" t="str">
        <f t="shared" si="264"/>
        <v>Ton </v>
      </c>
      <c r="V18" s="87">
        <f t="shared" si="43"/>
        <v>0</v>
      </c>
      <c r="W18" s="87" t="str">
        <f t="shared" si="44"/>
        <v>#DIV/0!</v>
      </c>
      <c r="X18" s="87">
        <f t="shared" si="45"/>
        <v>0</v>
      </c>
      <c r="Y18" s="95"/>
      <c r="Z18" s="87">
        <f t="shared" si="46"/>
        <v>0</v>
      </c>
      <c r="AA18" s="96"/>
      <c r="AB18" s="96"/>
      <c r="AC18" s="97"/>
      <c r="AD18" s="87">
        <f t="shared" si="47"/>
        <v>0</v>
      </c>
      <c r="AE18" s="95">
        <f t="shared" si="48"/>
        <v>0.4604471269</v>
      </c>
      <c r="AF18" s="98">
        <f t="shared" si="49"/>
        <v>0</v>
      </c>
      <c r="AG18" s="99">
        <f t="shared" si="50"/>
        <v>0</v>
      </c>
      <c r="AH18" s="90"/>
      <c r="AI18" s="92">
        <f t="shared" si="198"/>
        <v>6</v>
      </c>
      <c r="AJ18" s="93" t="str">
        <f t="shared" ref="AJ18:AL18" si="265">IFERROR(VLOOKUP($R18,$A$13:$D$30,-AJ$12,FALSE),"")</f>
        <v>Pasir Besi </v>
      </c>
      <c r="AK18" s="94" t="str">
        <f t="shared" si="265"/>
        <v>Bijih </v>
      </c>
      <c r="AL18" s="94" t="str">
        <f t="shared" si="265"/>
        <v>Ton </v>
      </c>
      <c r="AM18" s="87">
        <f t="shared" si="52"/>
        <v>0</v>
      </c>
      <c r="AN18" s="87" t="str">
        <f t="shared" si="53"/>
        <v>#DIV/0!</v>
      </c>
      <c r="AO18" s="87">
        <f t="shared" si="54"/>
        <v>0</v>
      </c>
      <c r="AP18" s="95"/>
      <c r="AQ18" s="87">
        <f t="shared" si="55"/>
        <v>0</v>
      </c>
      <c r="AR18" s="96"/>
      <c r="AS18" s="96"/>
      <c r="AT18" s="97"/>
      <c r="AU18" s="87">
        <f t="shared" si="56"/>
        <v>0</v>
      </c>
      <c r="AV18" s="95">
        <f t="shared" si="57"/>
        <v>0.4604471269</v>
      </c>
      <c r="AW18" s="98">
        <f t="shared" si="58"/>
        <v>0</v>
      </c>
      <c r="AX18" s="99">
        <f t="shared" si="59"/>
        <v>0</v>
      </c>
      <c r="AY18" s="90"/>
      <c r="AZ18" s="92">
        <f t="shared" si="200"/>
        <v>6</v>
      </c>
      <c r="BA18" s="93" t="str">
        <f t="shared" ref="BA18:BC18" si="266">IFERROR(VLOOKUP($R18,$A$13:$D$30,-BA$12,FALSE),"")</f>
        <v>Pasir Besi </v>
      </c>
      <c r="BB18" s="94" t="str">
        <f t="shared" si="266"/>
        <v>Bijih </v>
      </c>
      <c r="BC18" s="94" t="str">
        <f t="shared" si="266"/>
        <v>Ton </v>
      </c>
      <c r="BD18" s="87">
        <f t="shared" si="61"/>
        <v>0</v>
      </c>
      <c r="BE18" s="87" t="str">
        <f t="shared" si="62"/>
        <v>#DIV/0!</v>
      </c>
      <c r="BF18" s="87">
        <f t="shared" si="63"/>
        <v>0</v>
      </c>
      <c r="BG18" s="95"/>
      <c r="BH18" s="87">
        <f t="shared" si="64"/>
        <v>0</v>
      </c>
      <c r="BI18" s="96"/>
      <c r="BJ18" s="96"/>
      <c r="BK18" s="97"/>
      <c r="BL18" s="87">
        <f t="shared" si="65"/>
        <v>0</v>
      </c>
      <c r="BM18" s="95">
        <f t="shared" si="66"/>
        <v>0.4604471269</v>
      </c>
      <c r="BN18" s="98">
        <f t="shared" si="67"/>
        <v>0</v>
      </c>
      <c r="BO18" s="99">
        <f t="shared" si="68"/>
        <v>0</v>
      </c>
      <c r="BP18" s="90"/>
      <c r="BQ18" s="92">
        <f t="shared" si="202"/>
        <v>6</v>
      </c>
      <c r="BR18" s="93" t="str">
        <f t="shared" ref="BR18:BT18" si="267">IFERROR(VLOOKUP($R18,$A$13:$D$30,-BR$12,FALSE),"")</f>
        <v>Pasir Besi </v>
      </c>
      <c r="BS18" s="94" t="str">
        <f t="shared" si="267"/>
        <v>Bijih </v>
      </c>
      <c r="BT18" s="94" t="str">
        <f t="shared" si="267"/>
        <v>Ton </v>
      </c>
      <c r="BU18" s="87">
        <f t="shared" si="70"/>
        <v>0</v>
      </c>
      <c r="BV18" s="87" t="str">
        <f t="shared" si="71"/>
        <v>#DIV/0!</v>
      </c>
      <c r="BW18" s="87">
        <f t="shared" si="72"/>
        <v>0</v>
      </c>
      <c r="BX18" s="95"/>
      <c r="BY18" s="87">
        <f t="shared" si="73"/>
        <v>0</v>
      </c>
      <c r="BZ18" s="96"/>
      <c r="CA18" s="96"/>
      <c r="CB18" s="97"/>
      <c r="CC18" s="87">
        <f t="shared" si="74"/>
        <v>0</v>
      </c>
      <c r="CD18" s="95">
        <f t="shared" si="75"/>
        <v>0.4604471269</v>
      </c>
      <c r="CE18" s="98">
        <f t="shared" si="76"/>
        <v>0</v>
      </c>
      <c r="CF18" s="99">
        <f t="shared" si="77"/>
        <v>0</v>
      </c>
      <c r="CG18" s="90"/>
      <c r="CH18" s="92">
        <f t="shared" si="204"/>
        <v>6</v>
      </c>
      <c r="CI18" s="93" t="str">
        <f t="shared" ref="CI18:CK18" si="268">IFERROR(VLOOKUP($R18,$A$13:$D$30,-CI$12,FALSE),"")</f>
        <v>Pasir Besi </v>
      </c>
      <c r="CJ18" s="94" t="str">
        <f t="shared" si="268"/>
        <v>Bijih </v>
      </c>
      <c r="CK18" s="94" t="str">
        <f t="shared" si="268"/>
        <v>Ton </v>
      </c>
      <c r="CL18" s="87">
        <f t="shared" si="79"/>
        <v>0</v>
      </c>
      <c r="CM18" s="87" t="str">
        <f t="shared" si="80"/>
        <v>#DIV/0!</v>
      </c>
      <c r="CN18" s="87">
        <f t="shared" si="81"/>
        <v>0</v>
      </c>
      <c r="CO18" s="95"/>
      <c r="CP18" s="87">
        <f t="shared" si="82"/>
        <v>0</v>
      </c>
      <c r="CQ18" s="96"/>
      <c r="CR18" s="96"/>
      <c r="CS18" s="97"/>
      <c r="CT18" s="87">
        <f t="shared" si="83"/>
        <v>0</v>
      </c>
      <c r="CU18" s="95">
        <f t="shared" si="84"/>
        <v>0.4604471269</v>
      </c>
      <c r="CV18" s="98">
        <f t="shared" si="85"/>
        <v>0</v>
      </c>
      <c r="CW18" s="99">
        <f t="shared" si="86"/>
        <v>0</v>
      </c>
      <c r="CX18" s="90"/>
      <c r="CY18" s="92">
        <f t="shared" si="206"/>
        <v>6</v>
      </c>
      <c r="CZ18" s="93" t="str">
        <f t="shared" ref="CZ18:DB18" si="269">IFERROR(VLOOKUP($R18,$A$13:$D$30,-CZ$12,FALSE),"")</f>
        <v>Pasir Besi </v>
      </c>
      <c r="DA18" s="94" t="str">
        <f t="shared" si="269"/>
        <v>Bijih </v>
      </c>
      <c r="DB18" s="94" t="str">
        <f t="shared" si="269"/>
        <v>Ton </v>
      </c>
      <c r="DC18" s="87">
        <f t="shared" si="88"/>
        <v>0</v>
      </c>
      <c r="DD18" s="87" t="str">
        <f t="shared" si="89"/>
        <v>#DIV/0!</v>
      </c>
      <c r="DE18" s="87">
        <f t="shared" si="90"/>
        <v>0</v>
      </c>
      <c r="DF18" s="95"/>
      <c r="DG18" s="87">
        <f t="shared" si="91"/>
        <v>0</v>
      </c>
      <c r="DH18" s="96"/>
      <c r="DI18" s="96"/>
      <c r="DJ18" s="97"/>
      <c r="DK18" s="87">
        <f t="shared" si="92"/>
        <v>0</v>
      </c>
      <c r="DL18" s="95">
        <f t="shared" si="93"/>
        <v>0.4604471269</v>
      </c>
      <c r="DM18" s="98">
        <f t="shared" si="94"/>
        <v>0</v>
      </c>
      <c r="DN18" s="99">
        <f t="shared" si="95"/>
        <v>0</v>
      </c>
      <c r="DO18" s="90"/>
      <c r="DP18" s="92">
        <f t="shared" si="208"/>
        <v>6</v>
      </c>
      <c r="DQ18" s="93" t="str">
        <f t="shared" ref="DQ18:DS18" si="270">IFERROR(VLOOKUP($R18,$A$13:$D$30,-DQ$12,FALSE),"")</f>
        <v>Pasir Besi </v>
      </c>
      <c r="DR18" s="94" t="str">
        <f t="shared" si="270"/>
        <v>Bijih </v>
      </c>
      <c r="DS18" s="94" t="str">
        <f t="shared" si="270"/>
        <v>Ton </v>
      </c>
      <c r="DT18" s="87">
        <f t="shared" si="97"/>
        <v>0</v>
      </c>
      <c r="DU18" s="87" t="str">
        <f t="shared" si="98"/>
        <v>#DIV/0!</v>
      </c>
      <c r="DV18" s="87">
        <f t="shared" si="99"/>
        <v>0</v>
      </c>
      <c r="DW18" s="95"/>
      <c r="DX18" s="87">
        <f t="shared" si="100"/>
        <v>0</v>
      </c>
      <c r="DY18" s="96"/>
      <c r="DZ18" s="96"/>
      <c r="EA18" s="97"/>
      <c r="EB18" s="87">
        <f t="shared" si="101"/>
        <v>0</v>
      </c>
      <c r="EC18" s="95">
        <f t="shared" si="102"/>
        <v>0.4604471269</v>
      </c>
      <c r="ED18" s="98">
        <f t="shared" si="103"/>
        <v>0</v>
      </c>
      <c r="EE18" s="99">
        <f t="shared" si="104"/>
        <v>0</v>
      </c>
      <c r="EF18" s="90"/>
      <c r="EG18" s="92">
        <f t="shared" si="210"/>
        <v>6</v>
      </c>
      <c r="EH18" s="93" t="str">
        <f t="shared" ref="EH18:EJ18" si="271">IFERROR(VLOOKUP($R18,$A$13:$D$30,-EH$12,FALSE),"")</f>
        <v>Pasir Besi </v>
      </c>
      <c r="EI18" s="94" t="str">
        <f t="shared" si="271"/>
        <v>Bijih </v>
      </c>
      <c r="EJ18" s="94" t="str">
        <f t="shared" si="271"/>
        <v>Ton </v>
      </c>
      <c r="EK18" s="87">
        <f t="shared" si="106"/>
        <v>0</v>
      </c>
      <c r="EL18" s="87" t="str">
        <f t="shared" si="107"/>
        <v>#DIV/0!</v>
      </c>
      <c r="EM18" s="87">
        <f t="shared" si="108"/>
        <v>0</v>
      </c>
      <c r="EN18" s="95"/>
      <c r="EO18" s="87">
        <f t="shared" si="109"/>
        <v>0</v>
      </c>
      <c r="EP18" s="96"/>
      <c r="EQ18" s="96"/>
      <c r="ER18" s="97"/>
      <c r="ES18" s="87">
        <f t="shared" si="110"/>
        <v>0</v>
      </c>
      <c r="ET18" s="95">
        <f t="shared" si="111"/>
        <v>0.4604471269</v>
      </c>
      <c r="EU18" s="98">
        <f t="shared" si="112"/>
        <v>0</v>
      </c>
      <c r="EV18" s="99">
        <f t="shared" si="113"/>
        <v>0</v>
      </c>
      <c r="EW18" s="90"/>
      <c r="EX18" s="92">
        <f t="shared" si="212"/>
        <v>6</v>
      </c>
      <c r="EY18" s="93" t="str">
        <f t="shared" ref="EY18:FA18" si="272">IFERROR(VLOOKUP($R18,$A$13:$D$30,-EY$12,FALSE),"")</f>
        <v>Pasir Besi </v>
      </c>
      <c r="EZ18" s="94" t="str">
        <f t="shared" si="272"/>
        <v>Bijih </v>
      </c>
      <c r="FA18" s="94" t="str">
        <f t="shared" si="272"/>
        <v>Ton </v>
      </c>
      <c r="FB18" s="87">
        <f t="shared" si="115"/>
        <v>0</v>
      </c>
      <c r="FC18" s="87" t="str">
        <f t="shared" si="116"/>
        <v>#DIV/0!</v>
      </c>
      <c r="FD18" s="87">
        <f t="shared" si="117"/>
        <v>0</v>
      </c>
      <c r="FE18" s="95"/>
      <c r="FF18" s="87">
        <f t="shared" si="118"/>
        <v>0</v>
      </c>
      <c r="FG18" s="96"/>
      <c r="FH18" s="96"/>
      <c r="FI18" s="97"/>
      <c r="FJ18" s="87">
        <f t="shared" si="119"/>
        <v>0</v>
      </c>
      <c r="FK18" s="95">
        <f t="shared" si="120"/>
        <v>0.4604471269</v>
      </c>
      <c r="FL18" s="98">
        <f t="shared" si="121"/>
        <v>0</v>
      </c>
      <c r="FM18" s="99">
        <f t="shared" si="122"/>
        <v>0</v>
      </c>
      <c r="FN18" s="90"/>
      <c r="FO18" s="92">
        <f t="shared" si="214"/>
        <v>6</v>
      </c>
      <c r="FP18" s="93" t="str">
        <f t="shared" ref="FP18:FR18" si="273">IFERROR(VLOOKUP($R18,$A$13:$D$30,-FP$12,FALSE),"")</f>
        <v>Pasir Besi </v>
      </c>
      <c r="FQ18" s="94" t="str">
        <f t="shared" si="273"/>
        <v>Bijih </v>
      </c>
      <c r="FR18" s="94" t="str">
        <f t="shared" si="273"/>
        <v>Ton </v>
      </c>
      <c r="FS18" s="87">
        <f t="shared" si="124"/>
        <v>0</v>
      </c>
      <c r="FT18" s="87" t="str">
        <f t="shared" si="125"/>
        <v>#DIV/0!</v>
      </c>
      <c r="FU18" s="87">
        <f t="shared" si="126"/>
        <v>0</v>
      </c>
      <c r="FV18" s="95"/>
      <c r="FW18" s="87">
        <f t="shared" si="127"/>
        <v>0</v>
      </c>
      <c r="FX18" s="96"/>
      <c r="FY18" s="96"/>
      <c r="FZ18" s="97"/>
      <c r="GA18" s="87">
        <f t="shared" si="128"/>
        <v>0</v>
      </c>
      <c r="GB18" s="95">
        <f t="shared" si="129"/>
        <v>0.4604471269</v>
      </c>
      <c r="GC18" s="98">
        <f t="shared" si="130"/>
        <v>0</v>
      </c>
      <c r="GD18" s="99">
        <f t="shared" si="131"/>
        <v>0</v>
      </c>
      <c r="GE18" s="90"/>
      <c r="GF18" s="92">
        <f t="shared" si="216"/>
        <v>6</v>
      </c>
      <c r="GG18" s="93" t="str">
        <f t="shared" ref="GG18:GI18" si="274">IFERROR(VLOOKUP($R18,$A$13:$D$30,-GG$12,FALSE),"")</f>
        <v>Pasir Besi </v>
      </c>
      <c r="GH18" s="94" t="str">
        <f t="shared" si="274"/>
        <v>Bijih </v>
      </c>
      <c r="GI18" s="94" t="str">
        <f t="shared" si="274"/>
        <v>Ton </v>
      </c>
      <c r="GJ18" s="87">
        <f t="shared" si="133"/>
        <v>0</v>
      </c>
      <c r="GK18" s="87" t="str">
        <f t="shared" si="134"/>
        <v>#DIV/0!</v>
      </c>
      <c r="GL18" s="87">
        <f t="shared" si="135"/>
        <v>0</v>
      </c>
      <c r="GM18" s="95"/>
      <c r="GN18" s="87">
        <f t="shared" si="136"/>
        <v>0</v>
      </c>
      <c r="GO18" s="96"/>
      <c r="GP18" s="96"/>
      <c r="GQ18" s="97"/>
      <c r="GR18" s="87">
        <f t="shared" si="137"/>
        <v>0</v>
      </c>
      <c r="GS18" s="95">
        <f t="shared" si="138"/>
        <v>0.4604471269</v>
      </c>
      <c r="GT18" s="98">
        <f t="shared" si="139"/>
        <v>0</v>
      </c>
      <c r="GU18" s="99">
        <f t="shared" si="140"/>
        <v>0</v>
      </c>
      <c r="GV18" s="90"/>
      <c r="GW18" s="92">
        <f t="shared" si="218"/>
        <v>6</v>
      </c>
      <c r="GX18" s="93" t="str">
        <f t="shared" ref="GX18:GZ18" si="275">IFERROR(VLOOKUP($R18,$A$13:$D$30,-GX$12,FALSE),"")</f>
        <v>Pasir Besi </v>
      </c>
      <c r="GY18" s="94" t="str">
        <f t="shared" si="275"/>
        <v>Bijih </v>
      </c>
      <c r="GZ18" s="94" t="str">
        <f t="shared" si="275"/>
        <v>Ton </v>
      </c>
      <c r="HA18" s="87">
        <f t="shared" si="142"/>
        <v>0</v>
      </c>
      <c r="HB18" s="87" t="str">
        <f t="shared" si="143"/>
        <v>#DIV/0!</v>
      </c>
      <c r="HC18" s="87">
        <f t="shared" si="144"/>
        <v>0</v>
      </c>
      <c r="HD18" s="95"/>
      <c r="HE18" s="87">
        <f t="shared" si="145"/>
        <v>0</v>
      </c>
      <c r="HF18" s="96"/>
      <c r="HG18" s="96"/>
      <c r="HH18" s="97"/>
      <c r="HI18" s="87">
        <f t="shared" si="146"/>
        <v>0</v>
      </c>
      <c r="HJ18" s="95">
        <f t="shared" si="147"/>
        <v>0.4604471269</v>
      </c>
      <c r="HK18" s="98">
        <f t="shared" si="148"/>
        <v>0</v>
      </c>
      <c r="HL18" s="99">
        <f t="shared" si="149"/>
        <v>0</v>
      </c>
      <c r="HM18" s="90"/>
      <c r="HN18" s="92">
        <f t="shared" si="220"/>
        <v>6</v>
      </c>
      <c r="HO18" s="93" t="str">
        <f t="shared" ref="HO18:HQ18" si="276">IFERROR(VLOOKUP($R18,$A$13:$D$30,-HO$12,FALSE),"")</f>
        <v>Pasir Besi </v>
      </c>
      <c r="HP18" s="94" t="str">
        <f t="shared" si="276"/>
        <v>Bijih </v>
      </c>
      <c r="HQ18" s="94" t="str">
        <f t="shared" si="276"/>
        <v>Ton </v>
      </c>
      <c r="HR18" s="87">
        <f t="shared" si="151"/>
        <v>0</v>
      </c>
      <c r="HS18" s="87" t="str">
        <f t="shared" si="152"/>
        <v>#DIV/0!</v>
      </c>
      <c r="HT18" s="87">
        <f t="shared" si="153"/>
        <v>0</v>
      </c>
      <c r="HU18" s="95"/>
      <c r="HV18" s="87">
        <f t="shared" si="154"/>
        <v>0</v>
      </c>
      <c r="HW18" s="96"/>
      <c r="HX18" s="96"/>
      <c r="HY18" s="97"/>
      <c r="HZ18" s="87">
        <f t="shared" si="155"/>
        <v>0</v>
      </c>
      <c r="IA18" s="95">
        <f t="shared" si="156"/>
        <v>0.4604471269</v>
      </c>
      <c r="IB18" s="98">
        <f t="shared" si="157"/>
        <v>0</v>
      </c>
      <c r="IC18" s="99">
        <f t="shared" si="158"/>
        <v>0</v>
      </c>
      <c r="ID18" s="90"/>
      <c r="IE18" s="92">
        <f t="shared" si="222"/>
        <v>6</v>
      </c>
      <c r="IF18" s="93" t="str">
        <f t="shared" ref="IF18:IH18" si="277">IFERROR(VLOOKUP($R18,$A$13:$D$30,-IF$12,FALSE),"")</f>
        <v>Pasir Besi </v>
      </c>
      <c r="IG18" s="94" t="str">
        <f t="shared" si="277"/>
        <v>Bijih </v>
      </c>
      <c r="IH18" s="94" t="str">
        <f t="shared" si="277"/>
        <v>Ton </v>
      </c>
      <c r="II18" s="87">
        <f t="shared" si="160"/>
        <v>0</v>
      </c>
      <c r="IJ18" s="87" t="str">
        <f t="shared" si="161"/>
        <v>#DIV/0!</v>
      </c>
      <c r="IK18" s="87">
        <f t="shared" si="162"/>
        <v>0</v>
      </c>
      <c r="IL18" s="95"/>
      <c r="IM18" s="87">
        <f t="shared" si="163"/>
        <v>0</v>
      </c>
      <c r="IN18" s="96"/>
      <c r="IO18" s="96"/>
      <c r="IP18" s="97"/>
      <c r="IQ18" s="87">
        <f t="shared" si="164"/>
        <v>0</v>
      </c>
      <c r="IR18" s="95">
        <f t="shared" si="165"/>
        <v>0.4604471269</v>
      </c>
      <c r="IS18" s="98">
        <f t="shared" si="166"/>
        <v>0</v>
      </c>
      <c r="IT18" s="99">
        <f t="shared" si="167"/>
        <v>0</v>
      </c>
      <c r="IU18" s="90"/>
      <c r="IV18" s="92">
        <f t="shared" si="224"/>
        <v>6</v>
      </c>
      <c r="IW18" s="93" t="str">
        <f t="shared" ref="IW18:IY18" si="278">IFERROR(VLOOKUP($R18,$A$13:$D$30,-IW$12,FALSE),"")</f>
        <v>Pasir Besi </v>
      </c>
      <c r="IX18" s="94" t="str">
        <f t="shared" si="278"/>
        <v>Bijih </v>
      </c>
      <c r="IY18" s="94" t="str">
        <f t="shared" si="278"/>
        <v>Ton </v>
      </c>
      <c r="IZ18" s="87">
        <f t="shared" si="169"/>
        <v>0</v>
      </c>
      <c r="JA18" s="87" t="str">
        <f t="shared" si="170"/>
        <v>#DIV/0!</v>
      </c>
      <c r="JB18" s="87">
        <f t="shared" si="171"/>
        <v>0</v>
      </c>
      <c r="JC18" s="95"/>
      <c r="JD18" s="87">
        <f t="shared" si="172"/>
        <v>0</v>
      </c>
      <c r="JE18" s="96"/>
      <c r="JF18" s="96"/>
      <c r="JG18" s="97"/>
      <c r="JH18" s="87">
        <f t="shared" si="173"/>
        <v>0</v>
      </c>
      <c r="JI18" s="95">
        <f t="shared" si="174"/>
        <v>0.4604471269</v>
      </c>
      <c r="JJ18" s="98">
        <f t="shared" si="175"/>
        <v>0</v>
      </c>
      <c r="JK18" s="99">
        <f t="shared" si="176"/>
        <v>0</v>
      </c>
      <c r="JL18" s="90"/>
      <c r="JM18" s="92">
        <f t="shared" si="226"/>
        <v>6</v>
      </c>
      <c r="JN18" s="93" t="str">
        <f t="shared" ref="JN18:JP18" si="279">IFERROR(VLOOKUP($R18,$A$13:$D$30,-JN$12,FALSE),"")</f>
        <v>Pasir Besi </v>
      </c>
      <c r="JO18" s="94" t="str">
        <f t="shared" si="279"/>
        <v>Bijih </v>
      </c>
      <c r="JP18" s="94" t="str">
        <f t="shared" si="279"/>
        <v>Ton </v>
      </c>
      <c r="JQ18" s="87">
        <f t="shared" si="178"/>
        <v>0</v>
      </c>
      <c r="JR18" s="87" t="str">
        <f t="shared" si="179"/>
        <v>#DIV/0!</v>
      </c>
      <c r="JS18" s="87">
        <f t="shared" si="180"/>
        <v>0</v>
      </c>
      <c r="JT18" s="95"/>
      <c r="JU18" s="87">
        <f t="shared" si="181"/>
        <v>0</v>
      </c>
      <c r="JV18" s="96"/>
      <c r="JW18" s="96"/>
      <c r="JX18" s="97"/>
      <c r="JY18" s="87">
        <f t="shared" si="182"/>
        <v>0</v>
      </c>
      <c r="JZ18" s="95">
        <f t="shared" si="183"/>
        <v>0.4604471269</v>
      </c>
      <c r="KA18" s="98">
        <f t="shared" si="184"/>
        <v>0</v>
      </c>
      <c r="KB18" s="99">
        <f t="shared" si="185"/>
        <v>0</v>
      </c>
      <c r="KC18" s="90"/>
      <c r="KD18" s="92">
        <f t="shared" si="228"/>
        <v>6</v>
      </c>
      <c r="KE18" s="93" t="str">
        <f t="shared" ref="KE18:KG18" si="280">IFERROR(VLOOKUP($R18,$A$13:$D$30,-KE$12,FALSE),"")</f>
        <v>Pasir Besi </v>
      </c>
      <c r="KF18" s="94" t="str">
        <f t="shared" si="280"/>
        <v>Bijih </v>
      </c>
      <c r="KG18" s="94" t="str">
        <f t="shared" si="280"/>
        <v>Ton </v>
      </c>
      <c r="KH18" s="87">
        <f t="shared" si="187"/>
        <v>0</v>
      </c>
      <c r="KI18" s="87" t="str">
        <f t="shared" si="188"/>
        <v>#DIV/0!</v>
      </c>
      <c r="KJ18" s="87">
        <f t="shared" si="189"/>
        <v>0</v>
      </c>
      <c r="KK18" s="95"/>
      <c r="KL18" s="87">
        <f t="shared" si="190"/>
        <v>0</v>
      </c>
      <c r="KM18" s="96"/>
      <c r="KN18" s="96"/>
      <c r="KO18" s="97"/>
      <c r="KP18" s="87">
        <f t="shared" si="191"/>
        <v>0</v>
      </c>
      <c r="KQ18" s="95">
        <f t="shared" si="192"/>
        <v>0.4604471269</v>
      </c>
      <c r="KR18" s="98">
        <f t="shared" si="193"/>
        <v>0</v>
      </c>
      <c r="KS18" s="99">
        <f t="shared" si="194"/>
        <v>0</v>
      </c>
      <c r="KT18" s="90"/>
      <c r="KU18" s="91"/>
    </row>
    <row r="19">
      <c r="A19" s="92">
        <f t="shared" si="195"/>
        <v>7</v>
      </c>
      <c r="B19" s="93" t="str">
        <f>IFERROR(VLOOKUP($R19,ADHK!$A$13:$D$30,-B$12,FALSE),"")</f>
        <v>Timah</v>
      </c>
      <c r="C19" s="94" t="str">
        <f>IFERROR(VLOOKUP($R19,ADHK!$A$13:$D$30,-C$12,FALSE),"")</f>
        <v>Bijih </v>
      </c>
      <c r="D19" s="94" t="str">
        <f>IFERROR(VLOOKUP($R19,ADHK!$A$13:$D$30,-D$12,FALSE),"")</f>
        <v>Ton </v>
      </c>
      <c r="E19" s="87">
        <f t="shared" si="35"/>
        <v>0</v>
      </c>
      <c r="F19" s="87" t="str">
        <f t="shared" si="36"/>
        <v>#DIV/0!</v>
      </c>
      <c r="G19" s="87">
        <f t="shared" si="37"/>
        <v>0</v>
      </c>
      <c r="H19" s="95"/>
      <c r="I19" s="87">
        <f t="shared" si="38"/>
        <v>0</v>
      </c>
      <c r="J19" s="96"/>
      <c r="K19" s="96"/>
      <c r="L19" s="97"/>
      <c r="M19" s="87">
        <f t="shared" si="39"/>
        <v>0</v>
      </c>
      <c r="N19" s="95">
        <f>ADHK!N19</f>
        <v>0.4604471269</v>
      </c>
      <c r="O19" s="98">
        <f t="shared" si="40"/>
        <v>0</v>
      </c>
      <c r="P19" s="99">
        <f t="shared" si="41"/>
        <v>0</v>
      </c>
      <c r="Q19" s="90"/>
      <c r="R19" s="92">
        <f t="shared" si="196"/>
        <v>7</v>
      </c>
      <c r="S19" s="93" t="str">
        <f t="shared" ref="S19:U19" si="281">IFERROR(VLOOKUP($R19,$A$13:$D$30,-S$12,FALSE),"")</f>
        <v>Timah</v>
      </c>
      <c r="T19" s="94" t="str">
        <f t="shared" si="281"/>
        <v>Bijih </v>
      </c>
      <c r="U19" s="94" t="str">
        <f t="shared" si="281"/>
        <v>Ton </v>
      </c>
      <c r="V19" s="87">
        <f t="shared" si="43"/>
        <v>0</v>
      </c>
      <c r="W19" s="87" t="str">
        <f t="shared" si="44"/>
        <v>#DIV/0!</v>
      </c>
      <c r="X19" s="87">
        <f t="shared" si="45"/>
        <v>0</v>
      </c>
      <c r="Y19" s="95"/>
      <c r="Z19" s="87">
        <f t="shared" si="46"/>
        <v>0</v>
      </c>
      <c r="AA19" s="96"/>
      <c r="AB19" s="96"/>
      <c r="AC19" s="97"/>
      <c r="AD19" s="87">
        <f t="shared" si="47"/>
        <v>0</v>
      </c>
      <c r="AE19" s="95">
        <f t="shared" si="48"/>
        <v>0.4604471269</v>
      </c>
      <c r="AF19" s="98">
        <f t="shared" si="49"/>
        <v>0</v>
      </c>
      <c r="AG19" s="99">
        <f t="shared" si="50"/>
        <v>0</v>
      </c>
      <c r="AH19" s="90"/>
      <c r="AI19" s="92">
        <f t="shared" si="198"/>
        <v>7</v>
      </c>
      <c r="AJ19" s="93" t="str">
        <f t="shared" ref="AJ19:AL19" si="282">IFERROR(VLOOKUP($R19,$A$13:$D$30,-AJ$12,FALSE),"")</f>
        <v>Timah</v>
      </c>
      <c r="AK19" s="94" t="str">
        <f t="shared" si="282"/>
        <v>Bijih </v>
      </c>
      <c r="AL19" s="94" t="str">
        <f t="shared" si="282"/>
        <v>Ton </v>
      </c>
      <c r="AM19" s="87">
        <f t="shared" si="52"/>
        <v>0</v>
      </c>
      <c r="AN19" s="87" t="str">
        <f t="shared" si="53"/>
        <v>#DIV/0!</v>
      </c>
      <c r="AO19" s="87">
        <f t="shared" si="54"/>
        <v>0</v>
      </c>
      <c r="AP19" s="95"/>
      <c r="AQ19" s="87">
        <f t="shared" si="55"/>
        <v>0</v>
      </c>
      <c r="AR19" s="96"/>
      <c r="AS19" s="96"/>
      <c r="AT19" s="97"/>
      <c r="AU19" s="87">
        <f t="shared" si="56"/>
        <v>0</v>
      </c>
      <c r="AV19" s="95">
        <f t="shared" si="57"/>
        <v>0.4604471269</v>
      </c>
      <c r="AW19" s="98">
        <f t="shared" si="58"/>
        <v>0</v>
      </c>
      <c r="AX19" s="99">
        <f t="shared" si="59"/>
        <v>0</v>
      </c>
      <c r="AY19" s="90"/>
      <c r="AZ19" s="92">
        <f t="shared" si="200"/>
        <v>7</v>
      </c>
      <c r="BA19" s="93" t="str">
        <f t="shared" ref="BA19:BC19" si="283">IFERROR(VLOOKUP($R19,$A$13:$D$30,-BA$12,FALSE),"")</f>
        <v>Timah</v>
      </c>
      <c r="BB19" s="94" t="str">
        <f t="shared" si="283"/>
        <v>Bijih </v>
      </c>
      <c r="BC19" s="94" t="str">
        <f t="shared" si="283"/>
        <v>Ton </v>
      </c>
      <c r="BD19" s="87">
        <f t="shared" si="61"/>
        <v>0</v>
      </c>
      <c r="BE19" s="87" t="str">
        <f t="shared" si="62"/>
        <v>#DIV/0!</v>
      </c>
      <c r="BF19" s="87">
        <f t="shared" si="63"/>
        <v>0</v>
      </c>
      <c r="BG19" s="95"/>
      <c r="BH19" s="87">
        <f t="shared" si="64"/>
        <v>0</v>
      </c>
      <c r="BI19" s="96"/>
      <c r="BJ19" s="96"/>
      <c r="BK19" s="97"/>
      <c r="BL19" s="87">
        <f t="shared" si="65"/>
        <v>0</v>
      </c>
      <c r="BM19" s="95">
        <f t="shared" si="66"/>
        <v>0.4604471269</v>
      </c>
      <c r="BN19" s="98">
        <f t="shared" si="67"/>
        <v>0</v>
      </c>
      <c r="BO19" s="99">
        <f t="shared" si="68"/>
        <v>0</v>
      </c>
      <c r="BP19" s="90"/>
      <c r="BQ19" s="92">
        <f t="shared" si="202"/>
        <v>7</v>
      </c>
      <c r="BR19" s="93" t="str">
        <f t="shared" ref="BR19:BT19" si="284">IFERROR(VLOOKUP($R19,$A$13:$D$30,-BR$12,FALSE),"")</f>
        <v>Timah</v>
      </c>
      <c r="BS19" s="94" t="str">
        <f t="shared" si="284"/>
        <v>Bijih </v>
      </c>
      <c r="BT19" s="94" t="str">
        <f t="shared" si="284"/>
        <v>Ton </v>
      </c>
      <c r="BU19" s="87">
        <f t="shared" si="70"/>
        <v>0</v>
      </c>
      <c r="BV19" s="87" t="str">
        <f t="shared" si="71"/>
        <v>#DIV/0!</v>
      </c>
      <c r="BW19" s="87">
        <f t="shared" si="72"/>
        <v>0</v>
      </c>
      <c r="BX19" s="95"/>
      <c r="BY19" s="87">
        <f t="shared" si="73"/>
        <v>0</v>
      </c>
      <c r="BZ19" s="96"/>
      <c r="CA19" s="96"/>
      <c r="CB19" s="97"/>
      <c r="CC19" s="87">
        <f t="shared" si="74"/>
        <v>0</v>
      </c>
      <c r="CD19" s="95">
        <f t="shared" si="75"/>
        <v>0.4604471269</v>
      </c>
      <c r="CE19" s="98">
        <f t="shared" si="76"/>
        <v>0</v>
      </c>
      <c r="CF19" s="99">
        <f t="shared" si="77"/>
        <v>0</v>
      </c>
      <c r="CG19" s="90"/>
      <c r="CH19" s="92">
        <f t="shared" si="204"/>
        <v>7</v>
      </c>
      <c r="CI19" s="93" t="str">
        <f t="shared" ref="CI19:CK19" si="285">IFERROR(VLOOKUP($R19,$A$13:$D$30,-CI$12,FALSE),"")</f>
        <v>Timah</v>
      </c>
      <c r="CJ19" s="94" t="str">
        <f t="shared" si="285"/>
        <v>Bijih </v>
      </c>
      <c r="CK19" s="94" t="str">
        <f t="shared" si="285"/>
        <v>Ton </v>
      </c>
      <c r="CL19" s="87">
        <f t="shared" si="79"/>
        <v>0</v>
      </c>
      <c r="CM19" s="87" t="str">
        <f t="shared" si="80"/>
        <v>#DIV/0!</v>
      </c>
      <c r="CN19" s="87">
        <f t="shared" si="81"/>
        <v>0</v>
      </c>
      <c r="CO19" s="95"/>
      <c r="CP19" s="87">
        <f t="shared" si="82"/>
        <v>0</v>
      </c>
      <c r="CQ19" s="96"/>
      <c r="CR19" s="96"/>
      <c r="CS19" s="97"/>
      <c r="CT19" s="87">
        <f t="shared" si="83"/>
        <v>0</v>
      </c>
      <c r="CU19" s="95">
        <f t="shared" si="84"/>
        <v>0.4604471269</v>
      </c>
      <c r="CV19" s="98">
        <f t="shared" si="85"/>
        <v>0</v>
      </c>
      <c r="CW19" s="99">
        <f t="shared" si="86"/>
        <v>0</v>
      </c>
      <c r="CX19" s="90"/>
      <c r="CY19" s="92">
        <f t="shared" si="206"/>
        <v>7</v>
      </c>
      <c r="CZ19" s="93" t="str">
        <f t="shared" ref="CZ19:DB19" si="286">IFERROR(VLOOKUP($R19,$A$13:$D$30,-CZ$12,FALSE),"")</f>
        <v>Timah</v>
      </c>
      <c r="DA19" s="94" t="str">
        <f t="shared" si="286"/>
        <v>Bijih </v>
      </c>
      <c r="DB19" s="94" t="str">
        <f t="shared" si="286"/>
        <v>Ton </v>
      </c>
      <c r="DC19" s="87">
        <f t="shared" si="88"/>
        <v>0</v>
      </c>
      <c r="DD19" s="87" t="str">
        <f t="shared" si="89"/>
        <v>#DIV/0!</v>
      </c>
      <c r="DE19" s="87">
        <f t="shared" si="90"/>
        <v>0</v>
      </c>
      <c r="DF19" s="95"/>
      <c r="DG19" s="87">
        <f t="shared" si="91"/>
        <v>0</v>
      </c>
      <c r="DH19" s="96"/>
      <c r="DI19" s="96"/>
      <c r="DJ19" s="97"/>
      <c r="DK19" s="87">
        <f t="shared" si="92"/>
        <v>0</v>
      </c>
      <c r="DL19" s="95">
        <f t="shared" si="93"/>
        <v>0.4604471269</v>
      </c>
      <c r="DM19" s="98">
        <f t="shared" si="94"/>
        <v>0</v>
      </c>
      <c r="DN19" s="99">
        <f t="shared" si="95"/>
        <v>0</v>
      </c>
      <c r="DO19" s="90"/>
      <c r="DP19" s="92">
        <f t="shared" si="208"/>
        <v>7</v>
      </c>
      <c r="DQ19" s="93" t="str">
        <f t="shared" ref="DQ19:DS19" si="287">IFERROR(VLOOKUP($R19,$A$13:$D$30,-DQ$12,FALSE),"")</f>
        <v>Timah</v>
      </c>
      <c r="DR19" s="94" t="str">
        <f t="shared" si="287"/>
        <v>Bijih </v>
      </c>
      <c r="DS19" s="94" t="str">
        <f t="shared" si="287"/>
        <v>Ton </v>
      </c>
      <c r="DT19" s="87">
        <f t="shared" si="97"/>
        <v>0</v>
      </c>
      <c r="DU19" s="87" t="str">
        <f t="shared" si="98"/>
        <v>#DIV/0!</v>
      </c>
      <c r="DV19" s="87">
        <f t="shared" si="99"/>
        <v>0</v>
      </c>
      <c r="DW19" s="95"/>
      <c r="DX19" s="87">
        <f t="shared" si="100"/>
        <v>0</v>
      </c>
      <c r="DY19" s="96"/>
      <c r="DZ19" s="96"/>
      <c r="EA19" s="97"/>
      <c r="EB19" s="87">
        <f t="shared" si="101"/>
        <v>0</v>
      </c>
      <c r="EC19" s="95">
        <f t="shared" si="102"/>
        <v>0.4604471269</v>
      </c>
      <c r="ED19" s="98">
        <f t="shared" si="103"/>
        <v>0</v>
      </c>
      <c r="EE19" s="99">
        <f t="shared" si="104"/>
        <v>0</v>
      </c>
      <c r="EF19" s="90"/>
      <c r="EG19" s="92">
        <f t="shared" si="210"/>
        <v>7</v>
      </c>
      <c r="EH19" s="93" t="str">
        <f t="shared" ref="EH19:EJ19" si="288">IFERROR(VLOOKUP($R19,$A$13:$D$30,-EH$12,FALSE),"")</f>
        <v>Timah</v>
      </c>
      <c r="EI19" s="94" t="str">
        <f t="shared" si="288"/>
        <v>Bijih </v>
      </c>
      <c r="EJ19" s="94" t="str">
        <f t="shared" si="288"/>
        <v>Ton </v>
      </c>
      <c r="EK19" s="87">
        <f t="shared" si="106"/>
        <v>0</v>
      </c>
      <c r="EL19" s="87" t="str">
        <f t="shared" si="107"/>
        <v>#DIV/0!</v>
      </c>
      <c r="EM19" s="87">
        <f t="shared" si="108"/>
        <v>0</v>
      </c>
      <c r="EN19" s="95"/>
      <c r="EO19" s="87">
        <f t="shared" si="109"/>
        <v>0</v>
      </c>
      <c r="EP19" s="96"/>
      <c r="EQ19" s="96"/>
      <c r="ER19" s="97"/>
      <c r="ES19" s="87">
        <f t="shared" si="110"/>
        <v>0</v>
      </c>
      <c r="ET19" s="95">
        <f t="shared" si="111"/>
        <v>0.4604471269</v>
      </c>
      <c r="EU19" s="98">
        <f t="shared" si="112"/>
        <v>0</v>
      </c>
      <c r="EV19" s="99">
        <f t="shared" si="113"/>
        <v>0</v>
      </c>
      <c r="EW19" s="90"/>
      <c r="EX19" s="92">
        <f t="shared" si="212"/>
        <v>7</v>
      </c>
      <c r="EY19" s="93" t="str">
        <f t="shared" ref="EY19:FA19" si="289">IFERROR(VLOOKUP($R19,$A$13:$D$30,-EY$12,FALSE),"")</f>
        <v>Timah</v>
      </c>
      <c r="EZ19" s="94" t="str">
        <f t="shared" si="289"/>
        <v>Bijih </v>
      </c>
      <c r="FA19" s="94" t="str">
        <f t="shared" si="289"/>
        <v>Ton </v>
      </c>
      <c r="FB19" s="87">
        <f t="shared" si="115"/>
        <v>0</v>
      </c>
      <c r="FC19" s="87" t="str">
        <f t="shared" si="116"/>
        <v>#DIV/0!</v>
      </c>
      <c r="FD19" s="87">
        <f t="shared" si="117"/>
        <v>0</v>
      </c>
      <c r="FE19" s="95"/>
      <c r="FF19" s="87">
        <f t="shared" si="118"/>
        <v>0</v>
      </c>
      <c r="FG19" s="96"/>
      <c r="FH19" s="96"/>
      <c r="FI19" s="97"/>
      <c r="FJ19" s="87">
        <f t="shared" si="119"/>
        <v>0</v>
      </c>
      <c r="FK19" s="95">
        <f t="shared" si="120"/>
        <v>0.4604471269</v>
      </c>
      <c r="FL19" s="98">
        <f t="shared" si="121"/>
        <v>0</v>
      </c>
      <c r="FM19" s="99">
        <f t="shared" si="122"/>
        <v>0</v>
      </c>
      <c r="FN19" s="90"/>
      <c r="FO19" s="92">
        <f t="shared" si="214"/>
        <v>7</v>
      </c>
      <c r="FP19" s="93" t="str">
        <f t="shared" ref="FP19:FR19" si="290">IFERROR(VLOOKUP($R19,$A$13:$D$30,-FP$12,FALSE),"")</f>
        <v>Timah</v>
      </c>
      <c r="FQ19" s="94" t="str">
        <f t="shared" si="290"/>
        <v>Bijih </v>
      </c>
      <c r="FR19" s="94" t="str">
        <f t="shared" si="290"/>
        <v>Ton </v>
      </c>
      <c r="FS19" s="87">
        <f t="shared" si="124"/>
        <v>0</v>
      </c>
      <c r="FT19" s="87" t="str">
        <f t="shared" si="125"/>
        <v>#DIV/0!</v>
      </c>
      <c r="FU19" s="87">
        <f t="shared" si="126"/>
        <v>0</v>
      </c>
      <c r="FV19" s="95"/>
      <c r="FW19" s="87">
        <f t="shared" si="127"/>
        <v>0</v>
      </c>
      <c r="FX19" s="96"/>
      <c r="FY19" s="96"/>
      <c r="FZ19" s="97"/>
      <c r="GA19" s="87">
        <f t="shared" si="128"/>
        <v>0</v>
      </c>
      <c r="GB19" s="95">
        <f t="shared" si="129"/>
        <v>0.4604471269</v>
      </c>
      <c r="GC19" s="98">
        <f t="shared" si="130"/>
        <v>0</v>
      </c>
      <c r="GD19" s="99">
        <f t="shared" si="131"/>
        <v>0</v>
      </c>
      <c r="GE19" s="90"/>
      <c r="GF19" s="92">
        <f t="shared" si="216"/>
        <v>7</v>
      </c>
      <c r="GG19" s="93" t="str">
        <f t="shared" ref="GG19:GI19" si="291">IFERROR(VLOOKUP($R19,$A$13:$D$30,-GG$12,FALSE),"")</f>
        <v>Timah</v>
      </c>
      <c r="GH19" s="94" t="str">
        <f t="shared" si="291"/>
        <v>Bijih </v>
      </c>
      <c r="GI19" s="94" t="str">
        <f t="shared" si="291"/>
        <v>Ton </v>
      </c>
      <c r="GJ19" s="87">
        <f t="shared" si="133"/>
        <v>0</v>
      </c>
      <c r="GK19" s="87" t="str">
        <f t="shared" si="134"/>
        <v>#DIV/0!</v>
      </c>
      <c r="GL19" s="87">
        <f t="shared" si="135"/>
        <v>0</v>
      </c>
      <c r="GM19" s="95"/>
      <c r="GN19" s="87">
        <f t="shared" si="136"/>
        <v>0</v>
      </c>
      <c r="GO19" s="96"/>
      <c r="GP19" s="96"/>
      <c r="GQ19" s="97"/>
      <c r="GR19" s="87">
        <f t="shared" si="137"/>
        <v>0</v>
      </c>
      <c r="GS19" s="95">
        <f t="shared" si="138"/>
        <v>0.4604471269</v>
      </c>
      <c r="GT19" s="98">
        <f t="shared" si="139"/>
        <v>0</v>
      </c>
      <c r="GU19" s="99">
        <f t="shared" si="140"/>
        <v>0</v>
      </c>
      <c r="GV19" s="90"/>
      <c r="GW19" s="92">
        <f t="shared" si="218"/>
        <v>7</v>
      </c>
      <c r="GX19" s="93" t="str">
        <f t="shared" ref="GX19:GZ19" si="292">IFERROR(VLOOKUP($R19,$A$13:$D$30,-GX$12,FALSE),"")</f>
        <v>Timah</v>
      </c>
      <c r="GY19" s="94" t="str">
        <f t="shared" si="292"/>
        <v>Bijih </v>
      </c>
      <c r="GZ19" s="94" t="str">
        <f t="shared" si="292"/>
        <v>Ton </v>
      </c>
      <c r="HA19" s="87">
        <f t="shared" si="142"/>
        <v>0</v>
      </c>
      <c r="HB19" s="87" t="str">
        <f t="shared" si="143"/>
        <v>#DIV/0!</v>
      </c>
      <c r="HC19" s="87">
        <f t="shared" si="144"/>
        <v>0</v>
      </c>
      <c r="HD19" s="95"/>
      <c r="HE19" s="87">
        <f t="shared" si="145"/>
        <v>0</v>
      </c>
      <c r="HF19" s="96"/>
      <c r="HG19" s="96"/>
      <c r="HH19" s="97"/>
      <c r="HI19" s="87">
        <f t="shared" si="146"/>
        <v>0</v>
      </c>
      <c r="HJ19" s="95">
        <f t="shared" si="147"/>
        <v>0.4604471269</v>
      </c>
      <c r="HK19" s="98">
        <f t="shared" si="148"/>
        <v>0</v>
      </c>
      <c r="HL19" s="99">
        <f t="shared" si="149"/>
        <v>0</v>
      </c>
      <c r="HM19" s="90"/>
      <c r="HN19" s="92">
        <f t="shared" si="220"/>
        <v>7</v>
      </c>
      <c r="HO19" s="93" t="str">
        <f t="shared" ref="HO19:HQ19" si="293">IFERROR(VLOOKUP($R19,$A$13:$D$30,-HO$12,FALSE),"")</f>
        <v>Timah</v>
      </c>
      <c r="HP19" s="94" t="str">
        <f t="shared" si="293"/>
        <v>Bijih </v>
      </c>
      <c r="HQ19" s="94" t="str">
        <f t="shared" si="293"/>
        <v>Ton </v>
      </c>
      <c r="HR19" s="87">
        <f t="shared" si="151"/>
        <v>0</v>
      </c>
      <c r="HS19" s="87" t="str">
        <f t="shared" si="152"/>
        <v>#DIV/0!</v>
      </c>
      <c r="HT19" s="87">
        <f t="shared" si="153"/>
        <v>0</v>
      </c>
      <c r="HU19" s="95"/>
      <c r="HV19" s="87">
        <f t="shared" si="154"/>
        <v>0</v>
      </c>
      <c r="HW19" s="96"/>
      <c r="HX19" s="96"/>
      <c r="HY19" s="97"/>
      <c r="HZ19" s="87">
        <f t="shared" si="155"/>
        <v>0</v>
      </c>
      <c r="IA19" s="95">
        <f t="shared" si="156"/>
        <v>0.4604471269</v>
      </c>
      <c r="IB19" s="98">
        <f t="shared" si="157"/>
        <v>0</v>
      </c>
      <c r="IC19" s="99">
        <f t="shared" si="158"/>
        <v>0</v>
      </c>
      <c r="ID19" s="90"/>
      <c r="IE19" s="92">
        <f t="shared" si="222"/>
        <v>7</v>
      </c>
      <c r="IF19" s="93" t="str">
        <f t="shared" ref="IF19:IH19" si="294">IFERROR(VLOOKUP($R19,$A$13:$D$30,-IF$12,FALSE),"")</f>
        <v>Timah</v>
      </c>
      <c r="IG19" s="94" t="str">
        <f t="shared" si="294"/>
        <v>Bijih </v>
      </c>
      <c r="IH19" s="94" t="str">
        <f t="shared" si="294"/>
        <v>Ton </v>
      </c>
      <c r="II19" s="87">
        <f t="shared" si="160"/>
        <v>0</v>
      </c>
      <c r="IJ19" s="87" t="str">
        <f t="shared" si="161"/>
        <v>#DIV/0!</v>
      </c>
      <c r="IK19" s="87">
        <f t="shared" si="162"/>
        <v>0</v>
      </c>
      <c r="IL19" s="95"/>
      <c r="IM19" s="87">
        <f t="shared" si="163"/>
        <v>0</v>
      </c>
      <c r="IN19" s="96"/>
      <c r="IO19" s="96"/>
      <c r="IP19" s="97"/>
      <c r="IQ19" s="87">
        <f t="shared" si="164"/>
        <v>0</v>
      </c>
      <c r="IR19" s="95">
        <f t="shared" si="165"/>
        <v>0.4604471269</v>
      </c>
      <c r="IS19" s="98">
        <f t="shared" si="166"/>
        <v>0</v>
      </c>
      <c r="IT19" s="99">
        <f t="shared" si="167"/>
        <v>0</v>
      </c>
      <c r="IU19" s="90"/>
      <c r="IV19" s="92">
        <f t="shared" si="224"/>
        <v>7</v>
      </c>
      <c r="IW19" s="93" t="str">
        <f t="shared" ref="IW19:IY19" si="295">IFERROR(VLOOKUP($R19,$A$13:$D$30,-IW$12,FALSE),"")</f>
        <v>Timah</v>
      </c>
      <c r="IX19" s="94" t="str">
        <f t="shared" si="295"/>
        <v>Bijih </v>
      </c>
      <c r="IY19" s="94" t="str">
        <f t="shared" si="295"/>
        <v>Ton </v>
      </c>
      <c r="IZ19" s="87">
        <f t="shared" si="169"/>
        <v>0</v>
      </c>
      <c r="JA19" s="87" t="str">
        <f t="shared" si="170"/>
        <v>#DIV/0!</v>
      </c>
      <c r="JB19" s="87">
        <f t="shared" si="171"/>
        <v>0</v>
      </c>
      <c r="JC19" s="95"/>
      <c r="JD19" s="87">
        <f t="shared" si="172"/>
        <v>0</v>
      </c>
      <c r="JE19" s="96"/>
      <c r="JF19" s="96"/>
      <c r="JG19" s="97"/>
      <c r="JH19" s="87">
        <f t="shared" si="173"/>
        <v>0</v>
      </c>
      <c r="JI19" s="95">
        <f t="shared" si="174"/>
        <v>0.4604471269</v>
      </c>
      <c r="JJ19" s="98">
        <f t="shared" si="175"/>
        <v>0</v>
      </c>
      <c r="JK19" s="99">
        <f t="shared" si="176"/>
        <v>0</v>
      </c>
      <c r="JL19" s="90"/>
      <c r="JM19" s="92">
        <f t="shared" si="226"/>
        <v>7</v>
      </c>
      <c r="JN19" s="93" t="str">
        <f t="shared" ref="JN19:JP19" si="296">IFERROR(VLOOKUP($R19,$A$13:$D$30,-JN$12,FALSE),"")</f>
        <v>Timah</v>
      </c>
      <c r="JO19" s="94" t="str">
        <f t="shared" si="296"/>
        <v>Bijih </v>
      </c>
      <c r="JP19" s="94" t="str">
        <f t="shared" si="296"/>
        <v>Ton </v>
      </c>
      <c r="JQ19" s="87">
        <f t="shared" si="178"/>
        <v>0</v>
      </c>
      <c r="JR19" s="87" t="str">
        <f t="shared" si="179"/>
        <v>#DIV/0!</v>
      </c>
      <c r="JS19" s="87">
        <f t="shared" si="180"/>
        <v>0</v>
      </c>
      <c r="JT19" s="95"/>
      <c r="JU19" s="87">
        <f t="shared" si="181"/>
        <v>0</v>
      </c>
      <c r="JV19" s="96"/>
      <c r="JW19" s="96"/>
      <c r="JX19" s="97"/>
      <c r="JY19" s="87">
        <f t="shared" si="182"/>
        <v>0</v>
      </c>
      <c r="JZ19" s="95">
        <f t="shared" si="183"/>
        <v>0.4604471269</v>
      </c>
      <c r="KA19" s="98">
        <f t="shared" si="184"/>
        <v>0</v>
      </c>
      <c r="KB19" s="99">
        <f t="shared" si="185"/>
        <v>0</v>
      </c>
      <c r="KC19" s="90"/>
      <c r="KD19" s="92">
        <f t="shared" si="228"/>
        <v>7</v>
      </c>
      <c r="KE19" s="93" t="str">
        <f t="shared" ref="KE19:KG19" si="297">IFERROR(VLOOKUP($R19,$A$13:$D$30,-KE$12,FALSE),"")</f>
        <v>Timah</v>
      </c>
      <c r="KF19" s="94" t="str">
        <f t="shared" si="297"/>
        <v>Bijih </v>
      </c>
      <c r="KG19" s="94" t="str">
        <f t="shared" si="297"/>
        <v>Ton </v>
      </c>
      <c r="KH19" s="87">
        <f t="shared" si="187"/>
        <v>0</v>
      </c>
      <c r="KI19" s="87" t="str">
        <f t="shared" si="188"/>
        <v>#DIV/0!</v>
      </c>
      <c r="KJ19" s="87">
        <f t="shared" si="189"/>
        <v>0</v>
      </c>
      <c r="KK19" s="95"/>
      <c r="KL19" s="87">
        <f t="shared" si="190"/>
        <v>0</v>
      </c>
      <c r="KM19" s="96"/>
      <c r="KN19" s="96"/>
      <c r="KO19" s="97"/>
      <c r="KP19" s="87">
        <f t="shared" si="191"/>
        <v>0</v>
      </c>
      <c r="KQ19" s="95">
        <f t="shared" si="192"/>
        <v>0.4604471269</v>
      </c>
      <c r="KR19" s="98">
        <f t="shared" si="193"/>
        <v>0</v>
      </c>
      <c r="KS19" s="99">
        <f t="shared" si="194"/>
        <v>0</v>
      </c>
      <c r="KT19" s="90"/>
      <c r="KU19" s="91"/>
    </row>
    <row r="20">
      <c r="A20" s="92">
        <f t="shared" si="195"/>
        <v>8</v>
      </c>
      <c r="B20" s="93" t="str">
        <f>IFERROR(VLOOKUP($R20,ADHK!$A$13:$D$30,-B$12,FALSE),"")</f>
        <v>Mangan</v>
      </c>
      <c r="C20" s="94" t="str">
        <f>IFERROR(VLOOKUP($R20,ADHK!$A$13:$D$30,-C$12,FALSE),"")</f>
        <v>Bijih </v>
      </c>
      <c r="D20" s="94" t="str">
        <f>IFERROR(VLOOKUP($R20,ADHK!$A$13:$D$30,-D$12,FALSE),"")</f>
        <v>Ton </v>
      </c>
      <c r="E20" s="87">
        <f t="shared" si="35"/>
        <v>0</v>
      </c>
      <c r="F20" s="87" t="str">
        <f t="shared" si="36"/>
        <v>#DIV/0!</v>
      </c>
      <c r="G20" s="87">
        <f t="shared" si="37"/>
        <v>0</v>
      </c>
      <c r="H20" s="95"/>
      <c r="I20" s="87">
        <f t="shared" si="38"/>
        <v>0</v>
      </c>
      <c r="J20" s="96"/>
      <c r="K20" s="96"/>
      <c r="L20" s="97"/>
      <c r="M20" s="87">
        <f t="shared" si="39"/>
        <v>0</v>
      </c>
      <c r="N20" s="95">
        <f>ADHK!N20</f>
        <v>0.4604471269</v>
      </c>
      <c r="O20" s="98">
        <f t="shared" si="40"/>
        <v>0</v>
      </c>
      <c r="P20" s="99">
        <f t="shared" si="41"/>
        <v>0</v>
      </c>
      <c r="Q20" s="90"/>
      <c r="R20" s="92">
        <f t="shared" si="196"/>
        <v>8</v>
      </c>
      <c r="S20" s="93" t="str">
        <f t="shared" ref="S20:U20" si="298">IFERROR(VLOOKUP($R20,$A$13:$D$30,-S$12,FALSE),"")</f>
        <v>Mangan</v>
      </c>
      <c r="T20" s="94" t="str">
        <f t="shared" si="298"/>
        <v>Bijih </v>
      </c>
      <c r="U20" s="94" t="str">
        <f t="shared" si="298"/>
        <v>Ton </v>
      </c>
      <c r="V20" s="87">
        <f t="shared" si="43"/>
        <v>0</v>
      </c>
      <c r="W20" s="87" t="str">
        <f t="shared" si="44"/>
        <v>#DIV/0!</v>
      </c>
      <c r="X20" s="87">
        <f t="shared" si="45"/>
        <v>0</v>
      </c>
      <c r="Y20" s="95"/>
      <c r="Z20" s="87">
        <f t="shared" si="46"/>
        <v>0</v>
      </c>
      <c r="AA20" s="96"/>
      <c r="AB20" s="96"/>
      <c r="AC20" s="97"/>
      <c r="AD20" s="87">
        <f t="shared" si="47"/>
        <v>0</v>
      </c>
      <c r="AE20" s="95">
        <f t="shared" si="48"/>
        <v>0.4604471269</v>
      </c>
      <c r="AF20" s="98">
        <f t="shared" si="49"/>
        <v>0</v>
      </c>
      <c r="AG20" s="99">
        <f t="shared" si="50"/>
        <v>0</v>
      </c>
      <c r="AH20" s="90"/>
      <c r="AI20" s="92">
        <f t="shared" si="198"/>
        <v>8</v>
      </c>
      <c r="AJ20" s="93" t="str">
        <f t="shared" ref="AJ20:AL20" si="299">IFERROR(VLOOKUP($R20,$A$13:$D$30,-AJ$12,FALSE),"")</f>
        <v>Mangan</v>
      </c>
      <c r="AK20" s="94" t="str">
        <f t="shared" si="299"/>
        <v>Bijih </v>
      </c>
      <c r="AL20" s="94" t="str">
        <f t="shared" si="299"/>
        <v>Ton </v>
      </c>
      <c r="AM20" s="87">
        <f t="shared" si="52"/>
        <v>0</v>
      </c>
      <c r="AN20" s="87" t="str">
        <f t="shared" si="53"/>
        <v>#DIV/0!</v>
      </c>
      <c r="AO20" s="87">
        <f t="shared" si="54"/>
        <v>0</v>
      </c>
      <c r="AP20" s="95"/>
      <c r="AQ20" s="87">
        <f t="shared" si="55"/>
        <v>0</v>
      </c>
      <c r="AR20" s="96"/>
      <c r="AS20" s="96"/>
      <c r="AT20" s="97"/>
      <c r="AU20" s="87">
        <f t="shared" si="56"/>
        <v>0</v>
      </c>
      <c r="AV20" s="95">
        <f t="shared" si="57"/>
        <v>0.4604471269</v>
      </c>
      <c r="AW20" s="98">
        <f t="shared" si="58"/>
        <v>0</v>
      </c>
      <c r="AX20" s="99">
        <f t="shared" si="59"/>
        <v>0</v>
      </c>
      <c r="AY20" s="90"/>
      <c r="AZ20" s="92">
        <f t="shared" si="200"/>
        <v>8</v>
      </c>
      <c r="BA20" s="93" t="str">
        <f t="shared" ref="BA20:BC20" si="300">IFERROR(VLOOKUP($R20,$A$13:$D$30,-BA$12,FALSE),"")</f>
        <v>Mangan</v>
      </c>
      <c r="BB20" s="94" t="str">
        <f t="shared" si="300"/>
        <v>Bijih </v>
      </c>
      <c r="BC20" s="94" t="str">
        <f t="shared" si="300"/>
        <v>Ton </v>
      </c>
      <c r="BD20" s="87">
        <f t="shared" si="61"/>
        <v>0</v>
      </c>
      <c r="BE20" s="87" t="str">
        <f t="shared" si="62"/>
        <v>#DIV/0!</v>
      </c>
      <c r="BF20" s="87">
        <f t="shared" si="63"/>
        <v>0</v>
      </c>
      <c r="BG20" s="95"/>
      <c r="BH20" s="87">
        <f t="shared" si="64"/>
        <v>0</v>
      </c>
      <c r="BI20" s="96"/>
      <c r="BJ20" s="96"/>
      <c r="BK20" s="97"/>
      <c r="BL20" s="87">
        <f t="shared" si="65"/>
        <v>0</v>
      </c>
      <c r="BM20" s="95">
        <f t="shared" si="66"/>
        <v>0.4604471269</v>
      </c>
      <c r="BN20" s="98">
        <f t="shared" si="67"/>
        <v>0</v>
      </c>
      <c r="BO20" s="99">
        <f t="shared" si="68"/>
        <v>0</v>
      </c>
      <c r="BP20" s="90"/>
      <c r="BQ20" s="92">
        <f t="shared" si="202"/>
        <v>8</v>
      </c>
      <c r="BR20" s="93" t="str">
        <f t="shared" ref="BR20:BT20" si="301">IFERROR(VLOOKUP($R20,$A$13:$D$30,-BR$12,FALSE),"")</f>
        <v>Mangan</v>
      </c>
      <c r="BS20" s="94" t="str">
        <f t="shared" si="301"/>
        <v>Bijih </v>
      </c>
      <c r="BT20" s="94" t="str">
        <f t="shared" si="301"/>
        <v>Ton </v>
      </c>
      <c r="BU20" s="87">
        <f t="shared" si="70"/>
        <v>0</v>
      </c>
      <c r="BV20" s="87" t="str">
        <f t="shared" si="71"/>
        <v>#DIV/0!</v>
      </c>
      <c r="BW20" s="87">
        <f t="shared" si="72"/>
        <v>0</v>
      </c>
      <c r="BX20" s="95"/>
      <c r="BY20" s="87">
        <f t="shared" si="73"/>
        <v>0</v>
      </c>
      <c r="BZ20" s="96"/>
      <c r="CA20" s="96"/>
      <c r="CB20" s="97"/>
      <c r="CC20" s="87">
        <f t="shared" si="74"/>
        <v>0</v>
      </c>
      <c r="CD20" s="95">
        <f t="shared" si="75"/>
        <v>0.4604471269</v>
      </c>
      <c r="CE20" s="98">
        <f t="shared" si="76"/>
        <v>0</v>
      </c>
      <c r="CF20" s="99">
        <f t="shared" si="77"/>
        <v>0</v>
      </c>
      <c r="CG20" s="90"/>
      <c r="CH20" s="92">
        <f t="shared" si="204"/>
        <v>8</v>
      </c>
      <c r="CI20" s="93" t="str">
        <f t="shared" ref="CI20:CK20" si="302">IFERROR(VLOOKUP($R20,$A$13:$D$30,-CI$12,FALSE),"")</f>
        <v>Mangan</v>
      </c>
      <c r="CJ20" s="94" t="str">
        <f t="shared" si="302"/>
        <v>Bijih </v>
      </c>
      <c r="CK20" s="94" t="str">
        <f t="shared" si="302"/>
        <v>Ton </v>
      </c>
      <c r="CL20" s="87">
        <f t="shared" si="79"/>
        <v>0</v>
      </c>
      <c r="CM20" s="87" t="str">
        <f t="shared" si="80"/>
        <v>#DIV/0!</v>
      </c>
      <c r="CN20" s="87">
        <f t="shared" si="81"/>
        <v>0</v>
      </c>
      <c r="CO20" s="95"/>
      <c r="CP20" s="87">
        <f t="shared" si="82"/>
        <v>0</v>
      </c>
      <c r="CQ20" s="96"/>
      <c r="CR20" s="96"/>
      <c r="CS20" s="97"/>
      <c r="CT20" s="87">
        <f t="shared" si="83"/>
        <v>0</v>
      </c>
      <c r="CU20" s="95">
        <f t="shared" si="84"/>
        <v>0.4604471269</v>
      </c>
      <c r="CV20" s="98">
        <f t="shared" si="85"/>
        <v>0</v>
      </c>
      <c r="CW20" s="99">
        <f t="shared" si="86"/>
        <v>0</v>
      </c>
      <c r="CX20" s="90"/>
      <c r="CY20" s="92">
        <f t="shared" si="206"/>
        <v>8</v>
      </c>
      <c r="CZ20" s="93" t="str">
        <f t="shared" ref="CZ20:DB20" si="303">IFERROR(VLOOKUP($R20,$A$13:$D$30,-CZ$12,FALSE),"")</f>
        <v>Mangan</v>
      </c>
      <c r="DA20" s="94" t="str">
        <f t="shared" si="303"/>
        <v>Bijih </v>
      </c>
      <c r="DB20" s="94" t="str">
        <f t="shared" si="303"/>
        <v>Ton </v>
      </c>
      <c r="DC20" s="87">
        <f t="shared" si="88"/>
        <v>0</v>
      </c>
      <c r="DD20" s="87" t="str">
        <f t="shared" si="89"/>
        <v>#DIV/0!</v>
      </c>
      <c r="DE20" s="87">
        <f t="shared" si="90"/>
        <v>0</v>
      </c>
      <c r="DF20" s="95"/>
      <c r="DG20" s="87">
        <f t="shared" si="91"/>
        <v>0</v>
      </c>
      <c r="DH20" s="96"/>
      <c r="DI20" s="96"/>
      <c r="DJ20" s="97"/>
      <c r="DK20" s="87">
        <f t="shared" si="92"/>
        <v>0</v>
      </c>
      <c r="DL20" s="95">
        <f t="shared" si="93"/>
        <v>0.4604471269</v>
      </c>
      <c r="DM20" s="98">
        <f t="shared" si="94"/>
        <v>0</v>
      </c>
      <c r="DN20" s="99">
        <f t="shared" si="95"/>
        <v>0</v>
      </c>
      <c r="DO20" s="90"/>
      <c r="DP20" s="92">
        <f t="shared" si="208"/>
        <v>8</v>
      </c>
      <c r="DQ20" s="93" t="str">
        <f t="shared" ref="DQ20:DS20" si="304">IFERROR(VLOOKUP($R20,$A$13:$D$30,-DQ$12,FALSE),"")</f>
        <v>Mangan</v>
      </c>
      <c r="DR20" s="94" t="str">
        <f t="shared" si="304"/>
        <v>Bijih </v>
      </c>
      <c r="DS20" s="94" t="str">
        <f t="shared" si="304"/>
        <v>Ton </v>
      </c>
      <c r="DT20" s="87">
        <f t="shared" si="97"/>
        <v>0</v>
      </c>
      <c r="DU20" s="87" t="str">
        <f t="shared" si="98"/>
        <v>#DIV/0!</v>
      </c>
      <c r="DV20" s="87">
        <f t="shared" si="99"/>
        <v>0</v>
      </c>
      <c r="DW20" s="95"/>
      <c r="DX20" s="87">
        <f t="shared" si="100"/>
        <v>0</v>
      </c>
      <c r="DY20" s="96"/>
      <c r="DZ20" s="96"/>
      <c r="EA20" s="97"/>
      <c r="EB20" s="87">
        <f t="shared" si="101"/>
        <v>0</v>
      </c>
      <c r="EC20" s="95">
        <f t="shared" si="102"/>
        <v>0.4604471269</v>
      </c>
      <c r="ED20" s="98">
        <f t="shared" si="103"/>
        <v>0</v>
      </c>
      <c r="EE20" s="99">
        <f t="shared" si="104"/>
        <v>0</v>
      </c>
      <c r="EF20" s="90"/>
      <c r="EG20" s="92">
        <f t="shared" si="210"/>
        <v>8</v>
      </c>
      <c r="EH20" s="93" t="str">
        <f t="shared" ref="EH20:EJ20" si="305">IFERROR(VLOOKUP($R20,$A$13:$D$30,-EH$12,FALSE),"")</f>
        <v>Mangan</v>
      </c>
      <c r="EI20" s="94" t="str">
        <f t="shared" si="305"/>
        <v>Bijih </v>
      </c>
      <c r="EJ20" s="94" t="str">
        <f t="shared" si="305"/>
        <v>Ton </v>
      </c>
      <c r="EK20" s="87">
        <f t="shared" si="106"/>
        <v>0</v>
      </c>
      <c r="EL20" s="87" t="str">
        <f t="shared" si="107"/>
        <v>#DIV/0!</v>
      </c>
      <c r="EM20" s="87">
        <f t="shared" si="108"/>
        <v>0</v>
      </c>
      <c r="EN20" s="95"/>
      <c r="EO20" s="87">
        <f t="shared" si="109"/>
        <v>0</v>
      </c>
      <c r="EP20" s="96"/>
      <c r="EQ20" s="96"/>
      <c r="ER20" s="97"/>
      <c r="ES20" s="87">
        <f t="shared" si="110"/>
        <v>0</v>
      </c>
      <c r="ET20" s="95">
        <f t="shared" si="111"/>
        <v>0.4604471269</v>
      </c>
      <c r="EU20" s="98">
        <f t="shared" si="112"/>
        <v>0</v>
      </c>
      <c r="EV20" s="99">
        <f t="shared" si="113"/>
        <v>0</v>
      </c>
      <c r="EW20" s="90"/>
      <c r="EX20" s="92">
        <f t="shared" si="212"/>
        <v>8</v>
      </c>
      <c r="EY20" s="93" t="str">
        <f t="shared" ref="EY20:FA20" si="306">IFERROR(VLOOKUP($R20,$A$13:$D$30,-EY$12,FALSE),"")</f>
        <v>Mangan</v>
      </c>
      <c r="EZ20" s="94" t="str">
        <f t="shared" si="306"/>
        <v>Bijih </v>
      </c>
      <c r="FA20" s="94" t="str">
        <f t="shared" si="306"/>
        <v>Ton </v>
      </c>
      <c r="FB20" s="87">
        <f t="shared" si="115"/>
        <v>0</v>
      </c>
      <c r="FC20" s="87" t="str">
        <f t="shared" si="116"/>
        <v>#DIV/0!</v>
      </c>
      <c r="FD20" s="87">
        <f t="shared" si="117"/>
        <v>0</v>
      </c>
      <c r="FE20" s="95"/>
      <c r="FF20" s="87">
        <f t="shared" si="118"/>
        <v>0</v>
      </c>
      <c r="FG20" s="96"/>
      <c r="FH20" s="96"/>
      <c r="FI20" s="97"/>
      <c r="FJ20" s="87">
        <f t="shared" si="119"/>
        <v>0</v>
      </c>
      <c r="FK20" s="95">
        <f t="shared" si="120"/>
        <v>0.4604471269</v>
      </c>
      <c r="FL20" s="98">
        <f t="shared" si="121"/>
        <v>0</v>
      </c>
      <c r="FM20" s="99">
        <f t="shared" si="122"/>
        <v>0</v>
      </c>
      <c r="FN20" s="90"/>
      <c r="FO20" s="92">
        <f t="shared" si="214"/>
        <v>8</v>
      </c>
      <c r="FP20" s="93" t="str">
        <f t="shared" ref="FP20:FR20" si="307">IFERROR(VLOOKUP($R20,$A$13:$D$30,-FP$12,FALSE),"")</f>
        <v>Mangan</v>
      </c>
      <c r="FQ20" s="94" t="str">
        <f t="shared" si="307"/>
        <v>Bijih </v>
      </c>
      <c r="FR20" s="94" t="str">
        <f t="shared" si="307"/>
        <v>Ton </v>
      </c>
      <c r="FS20" s="87">
        <f t="shared" si="124"/>
        <v>0</v>
      </c>
      <c r="FT20" s="87" t="str">
        <f t="shared" si="125"/>
        <v>#DIV/0!</v>
      </c>
      <c r="FU20" s="87">
        <f t="shared" si="126"/>
        <v>0</v>
      </c>
      <c r="FV20" s="95"/>
      <c r="FW20" s="87">
        <f t="shared" si="127"/>
        <v>0</v>
      </c>
      <c r="FX20" s="96"/>
      <c r="FY20" s="96"/>
      <c r="FZ20" s="97"/>
      <c r="GA20" s="87">
        <f t="shared" si="128"/>
        <v>0</v>
      </c>
      <c r="GB20" s="95">
        <f t="shared" si="129"/>
        <v>0.4604471269</v>
      </c>
      <c r="GC20" s="98">
        <f t="shared" si="130"/>
        <v>0</v>
      </c>
      <c r="GD20" s="99">
        <f t="shared" si="131"/>
        <v>0</v>
      </c>
      <c r="GE20" s="90"/>
      <c r="GF20" s="92">
        <f t="shared" si="216"/>
        <v>8</v>
      </c>
      <c r="GG20" s="93" t="str">
        <f t="shared" ref="GG20:GI20" si="308">IFERROR(VLOOKUP($R20,$A$13:$D$30,-GG$12,FALSE),"")</f>
        <v>Mangan</v>
      </c>
      <c r="GH20" s="94" t="str">
        <f t="shared" si="308"/>
        <v>Bijih </v>
      </c>
      <c r="GI20" s="94" t="str">
        <f t="shared" si="308"/>
        <v>Ton </v>
      </c>
      <c r="GJ20" s="87">
        <f t="shared" si="133"/>
        <v>0</v>
      </c>
      <c r="GK20" s="87" t="str">
        <f t="shared" si="134"/>
        <v>#DIV/0!</v>
      </c>
      <c r="GL20" s="87">
        <f t="shared" si="135"/>
        <v>0</v>
      </c>
      <c r="GM20" s="95"/>
      <c r="GN20" s="87">
        <f t="shared" si="136"/>
        <v>0</v>
      </c>
      <c r="GO20" s="96"/>
      <c r="GP20" s="96"/>
      <c r="GQ20" s="97"/>
      <c r="GR20" s="87">
        <f t="shared" si="137"/>
        <v>0</v>
      </c>
      <c r="GS20" s="95">
        <f t="shared" si="138"/>
        <v>0.4604471269</v>
      </c>
      <c r="GT20" s="98">
        <f t="shared" si="139"/>
        <v>0</v>
      </c>
      <c r="GU20" s="99">
        <f t="shared" si="140"/>
        <v>0</v>
      </c>
      <c r="GV20" s="90"/>
      <c r="GW20" s="92">
        <f t="shared" si="218"/>
        <v>8</v>
      </c>
      <c r="GX20" s="93" t="str">
        <f t="shared" ref="GX20:GZ20" si="309">IFERROR(VLOOKUP($R20,$A$13:$D$30,-GX$12,FALSE),"")</f>
        <v>Mangan</v>
      </c>
      <c r="GY20" s="94" t="str">
        <f t="shared" si="309"/>
        <v>Bijih </v>
      </c>
      <c r="GZ20" s="94" t="str">
        <f t="shared" si="309"/>
        <v>Ton </v>
      </c>
      <c r="HA20" s="87">
        <f t="shared" si="142"/>
        <v>0</v>
      </c>
      <c r="HB20" s="87" t="str">
        <f t="shared" si="143"/>
        <v>#DIV/0!</v>
      </c>
      <c r="HC20" s="87">
        <f t="shared" si="144"/>
        <v>0</v>
      </c>
      <c r="HD20" s="95"/>
      <c r="HE20" s="87">
        <f t="shared" si="145"/>
        <v>0</v>
      </c>
      <c r="HF20" s="96"/>
      <c r="HG20" s="96"/>
      <c r="HH20" s="97"/>
      <c r="HI20" s="87">
        <f t="shared" si="146"/>
        <v>0</v>
      </c>
      <c r="HJ20" s="95">
        <f t="shared" si="147"/>
        <v>0.4604471269</v>
      </c>
      <c r="HK20" s="98">
        <f t="shared" si="148"/>
        <v>0</v>
      </c>
      <c r="HL20" s="99">
        <f t="shared" si="149"/>
        <v>0</v>
      </c>
      <c r="HM20" s="90"/>
      <c r="HN20" s="92">
        <f t="shared" si="220"/>
        <v>8</v>
      </c>
      <c r="HO20" s="93" t="str">
        <f t="shared" ref="HO20:HQ20" si="310">IFERROR(VLOOKUP($R20,$A$13:$D$30,-HO$12,FALSE),"")</f>
        <v>Mangan</v>
      </c>
      <c r="HP20" s="94" t="str">
        <f t="shared" si="310"/>
        <v>Bijih </v>
      </c>
      <c r="HQ20" s="94" t="str">
        <f t="shared" si="310"/>
        <v>Ton </v>
      </c>
      <c r="HR20" s="87">
        <f t="shared" si="151"/>
        <v>0</v>
      </c>
      <c r="HS20" s="87" t="str">
        <f t="shared" si="152"/>
        <v>#DIV/0!</v>
      </c>
      <c r="HT20" s="87">
        <f t="shared" si="153"/>
        <v>0</v>
      </c>
      <c r="HU20" s="95"/>
      <c r="HV20" s="87">
        <f t="shared" si="154"/>
        <v>0</v>
      </c>
      <c r="HW20" s="96"/>
      <c r="HX20" s="96"/>
      <c r="HY20" s="97"/>
      <c r="HZ20" s="87">
        <f t="shared" si="155"/>
        <v>0</v>
      </c>
      <c r="IA20" s="95">
        <f t="shared" si="156"/>
        <v>0.4604471269</v>
      </c>
      <c r="IB20" s="98">
        <f t="shared" si="157"/>
        <v>0</v>
      </c>
      <c r="IC20" s="99">
        <f t="shared" si="158"/>
        <v>0</v>
      </c>
      <c r="ID20" s="90"/>
      <c r="IE20" s="92">
        <f t="shared" si="222"/>
        <v>8</v>
      </c>
      <c r="IF20" s="93" t="str">
        <f t="shared" ref="IF20:IH20" si="311">IFERROR(VLOOKUP($R20,$A$13:$D$30,-IF$12,FALSE),"")</f>
        <v>Mangan</v>
      </c>
      <c r="IG20" s="94" t="str">
        <f t="shared" si="311"/>
        <v>Bijih </v>
      </c>
      <c r="IH20" s="94" t="str">
        <f t="shared" si="311"/>
        <v>Ton </v>
      </c>
      <c r="II20" s="87">
        <f t="shared" si="160"/>
        <v>0</v>
      </c>
      <c r="IJ20" s="87" t="str">
        <f t="shared" si="161"/>
        <v>#DIV/0!</v>
      </c>
      <c r="IK20" s="87">
        <f t="shared" si="162"/>
        <v>0</v>
      </c>
      <c r="IL20" s="95"/>
      <c r="IM20" s="87">
        <f t="shared" si="163"/>
        <v>0</v>
      </c>
      <c r="IN20" s="96"/>
      <c r="IO20" s="96"/>
      <c r="IP20" s="97"/>
      <c r="IQ20" s="87">
        <f t="shared" si="164"/>
        <v>0</v>
      </c>
      <c r="IR20" s="95">
        <f t="shared" si="165"/>
        <v>0.4604471269</v>
      </c>
      <c r="IS20" s="98">
        <f t="shared" si="166"/>
        <v>0</v>
      </c>
      <c r="IT20" s="99">
        <f t="shared" si="167"/>
        <v>0</v>
      </c>
      <c r="IU20" s="90"/>
      <c r="IV20" s="92">
        <f t="shared" si="224"/>
        <v>8</v>
      </c>
      <c r="IW20" s="93" t="str">
        <f t="shared" ref="IW20:IY20" si="312">IFERROR(VLOOKUP($R20,$A$13:$D$30,-IW$12,FALSE),"")</f>
        <v>Mangan</v>
      </c>
      <c r="IX20" s="94" t="str">
        <f t="shared" si="312"/>
        <v>Bijih </v>
      </c>
      <c r="IY20" s="94" t="str">
        <f t="shared" si="312"/>
        <v>Ton </v>
      </c>
      <c r="IZ20" s="87">
        <f t="shared" si="169"/>
        <v>0</v>
      </c>
      <c r="JA20" s="87" t="str">
        <f t="shared" si="170"/>
        <v>#DIV/0!</v>
      </c>
      <c r="JB20" s="87">
        <f t="shared" si="171"/>
        <v>0</v>
      </c>
      <c r="JC20" s="95"/>
      <c r="JD20" s="87">
        <f t="shared" si="172"/>
        <v>0</v>
      </c>
      <c r="JE20" s="96"/>
      <c r="JF20" s="96"/>
      <c r="JG20" s="97"/>
      <c r="JH20" s="87">
        <f t="shared" si="173"/>
        <v>0</v>
      </c>
      <c r="JI20" s="95">
        <f t="shared" si="174"/>
        <v>0.4604471269</v>
      </c>
      <c r="JJ20" s="98">
        <f t="shared" si="175"/>
        <v>0</v>
      </c>
      <c r="JK20" s="99">
        <f t="shared" si="176"/>
        <v>0</v>
      </c>
      <c r="JL20" s="90"/>
      <c r="JM20" s="92">
        <f t="shared" si="226"/>
        <v>8</v>
      </c>
      <c r="JN20" s="93" t="str">
        <f t="shared" ref="JN20:JP20" si="313">IFERROR(VLOOKUP($R20,$A$13:$D$30,-JN$12,FALSE),"")</f>
        <v>Mangan</v>
      </c>
      <c r="JO20" s="94" t="str">
        <f t="shared" si="313"/>
        <v>Bijih </v>
      </c>
      <c r="JP20" s="94" t="str">
        <f t="shared" si="313"/>
        <v>Ton </v>
      </c>
      <c r="JQ20" s="87">
        <f t="shared" si="178"/>
        <v>0</v>
      </c>
      <c r="JR20" s="87" t="str">
        <f t="shared" si="179"/>
        <v>#DIV/0!</v>
      </c>
      <c r="JS20" s="87">
        <f t="shared" si="180"/>
        <v>0</v>
      </c>
      <c r="JT20" s="95"/>
      <c r="JU20" s="87">
        <f t="shared" si="181"/>
        <v>0</v>
      </c>
      <c r="JV20" s="96"/>
      <c r="JW20" s="96"/>
      <c r="JX20" s="97"/>
      <c r="JY20" s="87">
        <f t="shared" si="182"/>
        <v>0</v>
      </c>
      <c r="JZ20" s="95">
        <f t="shared" si="183"/>
        <v>0.4604471269</v>
      </c>
      <c r="KA20" s="98">
        <f t="shared" si="184"/>
        <v>0</v>
      </c>
      <c r="KB20" s="99">
        <f t="shared" si="185"/>
        <v>0</v>
      </c>
      <c r="KC20" s="90"/>
      <c r="KD20" s="92">
        <f t="shared" si="228"/>
        <v>8</v>
      </c>
      <c r="KE20" s="93" t="str">
        <f t="shared" ref="KE20:KG20" si="314">IFERROR(VLOOKUP($R20,$A$13:$D$30,-KE$12,FALSE),"")</f>
        <v>Mangan</v>
      </c>
      <c r="KF20" s="94" t="str">
        <f t="shared" si="314"/>
        <v>Bijih </v>
      </c>
      <c r="KG20" s="94" t="str">
        <f t="shared" si="314"/>
        <v>Ton </v>
      </c>
      <c r="KH20" s="87">
        <f t="shared" si="187"/>
        <v>0</v>
      </c>
      <c r="KI20" s="87" t="str">
        <f t="shared" si="188"/>
        <v>#DIV/0!</v>
      </c>
      <c r="KJ20" s="87">
        <f t="shared" si="189"/>
        <v>0</v>
      </c>
      <c r="KK20" s="95"/>
      <c r="KL20" s="87">
        <f t="shared" si="190"/>
        <v>0</v>
      </c>
      <c r="KM20" s="96"/>
      <c r="KN20" s="96"/>
      <c r="KO20" s="97"/>
      <c r="KP20" s="87">
        <f t="shared" si="191"/>
        <v>0</v>
      </c>
      <c r="KQ20" s="95">
        <f t="shared" si="192"/>
        <v>0.4604471269</v>
      </c>
      <c r="KR20" s="98">
        <f t="shared" si="193"/>
        <v>0</v>
      </c>
      <c r="KS20" s="99">
        <f t="shared" si="194"/>
        <v>0</v>
      </c>
      <c r="KT20" s="90"/>
      <c r="KU20" s="91"/>
    </row>
    <row r="21" ht="15.75" customHeight="1">
      <c r="A21" s="92">
        <f t="shared" si="195"/>
        <v>9</v>
      </c>
      <c r="B21" s="93" t="str">
        <f>IFERROR(VLOOKUP($R21,ADHK!$A$13:$D$30,-B$12,FALSE),"")</f>
        <v>Lainnya 2.3 (1) ……..</v>
      </c>
      <c r="C21" s="94" t="str">
        <f>IFERROR(VLOOKUP($R21,ADHK!$A$13:$D$30,-C$12,FALSE),"")</f>
        <v>Bijih </v>
      </c>
      <c r="D21" s="94" t="str">
        <f>IFERROR(VLOOKUP($R21,ADHK!$A$13:$D$30,-D$12,FALSE),"")</f>
        <v>Ton </v>
      </c>
      <c r="E21" s="87">
        <f t="shared" si="35"/>
        <v>0</v>
      </c>
      <c r="F21" s="87" t="str">
        <f t="shared" si="36"/>
        <v>#DIV/0!</v>
      </c>
      <c r="G21" s="87">
        <f t="shared" si="37"/>
        <v>0</v>
      </c>
      <c r="H21" s="95"/>
      <c r="I21" s="87">
        <f t="shared" si="38"/>
        <v>0</v>
      </c>
      <c r="J21" s="96"/>
      <c r="K21" s="96"/>
      <c r="L21" s="97"/>
      <c r="M21" s="87">
        <f t="shared" si="39"/>
        <v>0</v>
      </c>
      <c r="N21" s="95">
        <f>ADHK!N21</f>
        <v>0.4604471269</v>
      </c>
      <c r="O21" s="98">
        <f t="shared" si="40"/>
        <v>0</v>
      </c>
      <c r="P21" s="99">
        <f t="shared" si="41"/>
        <v>0</v>
      </c>
      <c r="Q21" s="90"/>
      <c r="R21" s="92">
        <f t="shared" si="196"/>
        <v>9</v>
      </c>
      <c r="S21" s="93" t="str">
        <f t="shared" ref="S21:U21" si="315">IFERROR(VLOOKUP($R21,$A$13:$D$30,-S$12,FALSE),"")</f>
        <v>Lainnya 2.3 (1) ……..</v>
      </c>
      <c r="T21" s="94" t="str">
        <f t="shared" si="315"/>
        <v>Bijih </v>
      </c>
      <c r="U21" s="94" t="str">
        <f t="shared" si="315"/>
        <v>Ton </v>
      </c>
      <c r="V21" s="87">
        <f t="shared" si="43"/>
        <v>0</v>
      </c>
      <c r="W21" s="87" t="str">
        <f t="shared" si="44"/>
        <v>#DIV/0!</v>
      </c>
      <c r="X21" s="87">
        <f t="shared" si="45"/>
        <v>0</v>
      </c>
      <c r="Y21" s="95"/>
      <c r="Z21" s="87">
        <f t="shared" si="46"/>
        <v>0</v>
      </c>
      <c r="AA21" s="96"/>
      <c r="AB21" s="96"/>
      <c r="AC21" s="97"/>
      <c r="AD21" s="87">
        <f t="shared" si="47"/>
        <v>0</v>
      </c>
      <c r="AE21" s="95">
        <f t="shared" si="48"/>
        <v>0.4604471269</v>
      </c>
      <c r="AF21" s="98">
        <f t="shared" si="49"/>
        <v>0</v>
      </c>
      <c r="AG21" s="99">
        <f t="shared" si="50"/>
        <v>0</v>
      </c>
      <c r="AH21" s="90"/>
      <c r="AI21" s="92">
        <f t="shared" si="198"/>
        <v>9</v>
      </c>
      <c r="AJ21" s="93" t="str">
        <f t="shared" ref="AJ21:AL21" si="316">IFERROR(VLOOKUP($R21,$A$13:$D$30,-AJ$12,FALSE),"")</f>
        <v>Lainnya 2.3 (1) ……..</v>
      </c>
      <c r="AK21" s="94" t="str">
        <f t="shared" si="316"/>
        <v>Bijih </v>
      </c>
      <c r="AL21" s="94" t="str">
        <f t="shared" si="316"/>
        <v>Ton </v>
      </c>
      <c r="AM21" s="87">
        <f t="shared" si="52"/>
        <v>0</v>
      </c>
      <c r="AN21" s="87" t="str">
        <f t="shared" si="53"/>
        <v>#DIV/0!</v>
      </c>
      <c r="AO21" s="87">
        <f t="shared" si="54"/>
        <v>0</v>
      </c>
      <c r="AP21" s="95"/>
      <c r="AQ21" s="87">
        <f t="shared" si="55"/>
        <v>0</v>
      </c>
      <c r="AR21" s="96"/>
      <c r="AS21" s="96"/>
      <c r="AT21" s="97"/>
      <c r="AU21" s="87">
        <f t="shared" si="56"/>
        <v>0</v>
      </c>
      <c r="AV21" s="95">
        <f t="shared" si="57"/>
        <v>0.4604471269</v>
      </c>
      <c r="AW21" s="98">
        <f t="shared" si="58"/>
        <v>0</v>
      </c>
      <c r="AX21" s="99">
        <f t="shared" si="59"/>
        <v>0</v>
      </c>
      <c r="AY21" s="90"/>
      <c r="AZ21" s="92">
        <f t="shared" si="200"/>
        <v>9</v>
      </c>
      <c r="BA21" s="93" t="str">
        <f t="shared" ref="BA21:BC21" si="317">IFERROR(VLOOKUP($R21,$A$13:$D$30,-BA$12,FALSE),"")</f>
        <v>Lainnya 2.3 (1) ……..</v>
      </c>
      <c r="BB21" s="94" t="str">
        <f t="shared" si="317"/>
        <v>Bijih </v>
      </c>
      <c r="BC21" s="94" t="str">
        <f t="shared" si="317"/>
        <v>Ton </v>
      </c>
      <c r="BD21" s="87">
        <f t="shared" si="61"/>
        <v>0</v>
      </c>
      <c r="BE21" s="87" t="str">
        <f t="shared" si="62"/>
        <v>#DIV/0!</v>
      </c>
      <c r="BF21" s="87">
        <f t="shared" si="63"/>
        <v>0</v>
      </c>
      <c r="BG21" s="95"/>
      <c r="BH21" s="87">
        <f t="shared" si="64"/>
        <v>0</v>
      </c>
      <c r="BI21" s="96"/>
      <c r="BJ21" s="96"/>
      <c r="BK21" s="97"/>
      <c r="BL21" s="87">
        <f t="shared" si="65"/>
        <v>0</v>
      </c>
      <c r="BM21" s="95">
        <f t="shared" si="66"/>
        <v>0.4604471269</v>
      </c>
      <c r="BN21" s="98">
        <f t="shared" si="67"/>
        <v>0</v>
      </c>
      <c r="BO21" s="99">
        <f t="shared" si="68"/>
        <v>0</v>
      </c>
      <c r="BP21" s="90"/>
      <c r="BQ21" s="92">
        <f t="shared" si="202"/>
        <v>9</v>
      </c>
      <c r="BR21" s="93" t="str">
        <f t="shared" ref="BR21:BT21" si="318">IFERROR(VLOOKUP($R21,$A$13:$D$30,-BR$12,FALSE),"")</f>
        <v>Lainnya 2.3 (1) ……..</v>
      </c>
      <c r="BS21" s="94" t="str">
        <f t="shared" si="318"/>
        <v>Bijih </v>
      </c>
      <c r="BT21" s="94" t="str">
        <f t="shared" si="318"/>
        <v>Ton </v>
      </c>
      <c r="BU21" s="87">
        <f t="shared" si="70"/>
        <v>0</v>
      </c>
      <c r="BV21" s="87" t="str">
        <f t="shared" si="71"/>
        <v>#DIV/0!</v>
      </c>
      <c r="BW21" s="87">
        <f t="shared" si="72"/>
        <v>0</v>
      </c>
      <c r="BX21" s="95"/>
      <c r="BY21" s="87">
        <f t="shared" si="73"/>
        <v>0</v>
      </c>
      <c r="BZ21" s="96"/>
      <c r="CA21" s="96"/>
      <c r="CB21" s="97"/>
      <c r="CC21" s="87">
        <f t="shared" si="74"/>
        <v>0</v>
      </c>
      <c r="CD21" s="95">
        <f t="shared" si="75"/>
        <v>0.4604471269</v>
      </c>
      <c r="CE21" s="98">
        <f t="shared" si="76"/>
        <v>0</v>
      </c>
      <c r="CF21" s="99">
        <f t="shared" si="77"/>
        <v>0</v>
      </c>
      <c r="CG21" s="90"/>
      <c r="CH21" s="92">
        <f t="shared" si="204"/>
        <v>9</v>
      </c>
      <c r="CI21" s="93" t="str">
        <f t="shared" ref="CI21:CK21" si="319">IFERROR(VLOOKUP($R21,$A$13:$D$30,-CI$12,FALSE),"")</f>
        <v>Lainnya 2.3 (1) ……..</v>
      </c>
      <c r="CJ21" s="94" t="str">
        <f t="shared" si="319"/>
        <v>Bijih </v>
      </c>
      <c r="CK21" s="94" t="str">
        <f t="shared" si="319"/>
        <v>Ton </v>
      </c>
      <c r="CL21" s="87">
        <f t="shared" si="79"/>
        <v>0</v>
      </c>
      <c r="CM21" s="87" t="str">
        <f t="shared" si="80"/>
        <v>#DIV/0!</v>
      </c>
      <c r="CN21" s="87">
        <f t="shared" si="81"/>
        <v>0</v>
      </c>
      <c r="CO21" s="95"/>
      <c r="CP21" s="87">
        <f t="shared" si="82"/>
        <v>0</v>
      </c>
      <c r="CQ21" s="96"/>
      <c r="CR21" s="96"/>
      <c r="CS21" s="97"/>
      <c r="CT21" s="87">
        <f t="shared" si="83"/>
        <v>0</v>
      </c>
      <c r="CU21" s="95">
        <f t="shared" si="84"/>
        <v>0.4604471269</v>
      </c>
      <c r="CV21" s="98">
        <f t="shared" si="85"/>
        <v>0</v>
      </c>
      <c r="CW21" s="99">
        <f t="shared" si="86"/>
        <v>0</v>
      </c>
      <c r="CX21" s="90"/>
      <c r="CY21" s="92">
        <f t="shared" si="206"/>
        <v>9</v>
      </c>
      <c r="CZ21" s="93" t="str">
        <f t="shared" ref="CZ21:DB21" si="320">IFERROR(VLOOKUP($R21,$A$13:$D$30,-CZ$12,FALSE),"")</f>
        <v>Lainnya 2.3 (1) ……..</v>
      </c>
      <c r="DA21" s="94" t="str">
        <f t="shared" si="320"/>
        <v>Bijih </v>
      </c>
      <c r="DB21" s="94" t="str">
        <f t="shared" si="320"/>
        <v>Ton </v>
      </c>
      <c r="DC21" s="87">
        <f t="shared" si="88"/>
        <v>0</v>
      </c>
      <c r="DD21" s="87" t="str">
        <f t="shared" si="89"/>
        <v>#DIV/0!</v>
      </c>
      <c r="DE21" s="87">
        <f t="shared" si="90"/>
        <v>0</v>
      </c>
      <c r="DF21" s="95"/>
      <c r="DG21" s="87">
        <f t="shared" si="91"/>
        <v>0</v>
      </c>
      <c r="DH21" s="96"/>
      <c r="DI21" s="96"/>
      <c r="DJ21" s="97"/>
      <c r="DK21" s="87">
        <f t="shared" si="92"/>
        <v>0</v>
      </c>
      <c r="DL21" s="95">
        <f t="shared" si="93"/>
        <v>0.4604471269</v>
      </c>
      <c r="DM21" s="98">
        <f t="shared" si="94"/>
        <v>0</v>
      </c>
      <c r="DN21" s="99">
        <f t="shared" si="95"/>
        <v>0</v>
      </c>
      <c r="DO21" s="90"/>
      <c r="DP21" s="92">
        <f t="shared" si="208"/>
        <v>9</v>
      </c>
      <c r="DQ21" s="93" t="str">
        <f t="shared" ref="DQ21:DS21" si="321">IFERROR(VLOOKUP($R21,$A$13:$D$30,-DQ$12,FALSE),"")</f>
        <v>Lainnya 2.3 (1) ……..</v>
      </c>
      <c r="DR21" s="94" t="str">
        <f t="shared" si="321"/>
        <v>Bijih </v>
      </c>
      <c r="DS21" s="94" t="str">
        <f t="shared" si="321"/>
        <v>Ton </v>
      </c>
      <c r="DT21" s="87">
        <f t="shared" si="97"/>
        <v>0</v>
      </c>
      <c r="DU21" s="87" t="str">
        <f t="shared" si="98"/>
        <v>#DIV/0!</v>
      </c>
      <c r="DV21" s="87">
        <f t="shared" si="99"/>
        <v>0</v>
      </c>
      <c r="DW21" s="95"/>
      <c r="DX21" s="87">
        <f t="shared" si="100"/>
        <v>0</v>
      </c>
      <c r="DY21" s="96"/>
      <c r="DZ21" s="96"/>
      <c r="EA21" s="97"/>
      <c r="EB21" s="87">
        <f t="shared" si="101"/>
        <v>0</v>
      </c>
      <c r="EC21" s="95">
        <f t="shared" si="102"/>
        <v>0.4604471269</v>
      </c>
      <c r="ED21" s="98">
        <f t="shared" si="103"/>
        <v>0</v>
      </c>
      <c r="EE21" s="99">
        <f t="shared" si="104"/>
        <v>0</v>
      </c>
      <c r="EF21" s="90"/>
      <c r="EG21" s="92">
        <f t="shared" si="210"/>
        <v>9</v>
      </c>
      <c r="EH21" s="93" t="str">
        <f t="shared" ref="EH21:EJ21" si="322">IFERROR(VLOOKUP($R21,$A$13:$D$30,-EH$12,FALSE),"")</f>
        <v>Lainnya 2.3 (1) ……..</v>
      </c>
      <c r="EI21" s="94" t="str">
        <f t="shared" si="322"/>
        <v>Bijih </v>
      </c>
      <c r="EJ21" s="94" t="str">
        <f t="shared" si="322"/>
        <v>Ton </v>
      </c>
      <c r="EK21" s="87">
        <f t="shared" si="106"/>
        <v>0</v>
      </c>
      <c r="EL21" s="87" t="str">
        <f t="shared" si="107"/>
        <v>#DIV/0!</v>
      </c>
      <c r="EM21" s="87">
        <f t="shared" si="108"/>
        <v>0</v>
      </c>
      <c r="EN21" s="95"/>
      <c r="EO21" s="87">
        <f t="shared" si="109"/>
        <v>0</v>
      </c>
      <c r="EP21" s="96"/>
      <c r="EQ21" s="96"/>
      <c r="ER21" s="97"/>
      <c r="ES21" s="87">
        <f t="shared" si="110"/>
        <v>0</v>
      </c>
      <c r="ET21" s="95">
        <f t="shared" si="111"/>
        <v>0.4604471269</v>
      </c>
      <c r="EU21" s="98">
        <f t="shared" si="112"/>
        <v>0</v>
      </c>
      <c r="EV21" s="99">
        <f t="shared" si="113"/>
        <v>0</v>
      </c>
      <c r="EW21" s="90"/>
      <c r="EX21" s="92">
        <f t="shared" si="212"/>
        <v>9</v>
      </c>
      <c r="EY21" s="93" t="str">
        <f t="shared" ref="EY21:FA21" si="323">IFERROR(VLOOKUP($R21,$A$13:$D$30,-EY$12,FALSE),"")</f>
        <v>Lainnya 2.3 (1) ……..</v>
      </c>
      <c r="EZ21" s="94" t="str">
        <f t="shared" si="323"/>
        <v>Bijih </v>
      </c>
      <c r="FA21" s="94" t="str">
        <f t="shared" si="323"/>
        <v>Ton </v>
      </c>
      <c r="FB21" s="87">
        <f t="shared" si="115"/>
        <v>0</v>
      </c>
      <c r="FC21" s="87" t="str">
        <f t="shared" si="116"/>
        <v>#DIV/0!</v>
      </c>
      <c r="FD21" s="87">
        <f t="shared" si="117"/>
        <v>0</v>
      </c>
      <c r="FE21" s="95"/>
      <c r="FF21" s="87">
        <f t="shared" si="118"/>
        <v>0</v>
      </c>
      <c r="FG21" s="96"/>
      <c r="FH21" s="96"/>
      <c r="FI21" s="97"/>
      <c r="FJ21" s="87">
        <f t="shared" si="119"/>
        <v>0</v>
      </c>
      <c r="FK21" s="95">
        <f t="shared" si="120"/>
        <v>0.4604471269</v>
      </c>
      <c r="FL21" s="98">
        <f t="shared" si="121"/>
        <v>0</v>
      </c>
      <c r="FM21" s="99">
        <f t="shared" si="122"/>
        <v>0</v>
      </c>
      <c r="FN21" s="90"/>
      <c r="FO21" s="92">
        <f t="shared" si="214"/>
        <v>9</v>
      </c>
      <c r="FP21" s="93" t="str">
        <f t="shared" ref="FP21:FR21" si="324">IFERROR(VLOOKUP($R21,$A$13:$D$30,-FP$12,FALSE),"")</f>
        <v>Lainnya 2.3 (1) ……..</v>
      </c>
      <c r="FQ21" s="94" t="str">
        <f t="shared" si="324"/>
        <v>Bijih </v>
      </c>
      <c r="FR21" s="94" t="str">
        <f t="shared" si="324"/>
        <v>Ton </v>
      </c>
      <c r="FS21" s="87">
        <f t="shared" si="124"/>
        <v>0</v>
      </c>
      <c r="FT21" s="87" t="str">
        <f t="shared" si="125"/>
        <v>#DIV/0!</v>
      </c>
      <c r="FU21" s="87">
        <f t="shared" si="126"/>
        <v>0</v>
      </c>
      <c r="FV21" s="95"/>
      <c r="FW21" s="87">
        <f t="shared" si="127"/>
        <v>0</v>
      </c>
      <c r="FX21" s="96"/>
      <c r="FY21" s="96"/>
      <c r="FZ21" s="97"/>
      <c r="GA21" s="87">
        <f t="shared" si="128"/>
        <v>0</v>
      </c>
      <c r="GB21" s="95">
        <f t="shared" si="129"/>
        <v>0.4604471269</v>
      </c>
      <c r="GC21" s="98">
        <f t="shared" si="130"/>
        <v>0</v>
      </c>
      <c r="GD21" s="99">
        <f t="shared" si="131"/>
        <v>0</v>
      </c>
      <c r="GE21" s="90"/>
      <c r="GF21" s="92">
        <f t="shared" si="216"/>
        <v>9</v>
      </c>
      <c r="GG21" s="93" t="str">
        <f t="shared" ref="GG21:GI21" si="325">IFERROR(VLOOKUP($R21,$A$13:$D$30,-GG$12,FALSE),"")</f>
        <v>Lainnya 2.3 (1) ……..</v>
      </c>
      <c r="GH21" s="94" t="str">
        <f t="shared" si="325"/>
        <v>Bijih </v>
      </c>
      <c r="GI21" s="94" t="str">
        <f t="shared" si="325"/>
        <v>Ton </v>
      </c>
      <c r="GJ21" s="87">
        <f t="shared" si="133"/>
        <v>2034628</v>
      </c>
      <c r="GK21" s="87">
        <f t="shared" si="134"/>
        <v>187436.6734</v>
      </c>
      <c r="GL21" s="87">
        <f t="shared" si="135"/>
        <v>381363.9039</v>
      </c>
      <c r="GM21" s="95"/>
      <c r="GN21" s="87">
        <f t="shared" si="136"/>
        <v>0</v>
      </c>
      <c r="GO21" s="96"/>
      <c r="GP21" s="96"/>
      <c r="GQ21" s="97"/>
      <c r="GR21" s="87">
        <f t="shared" si="137"/>
        <v>381363.9039</v>
      </c>
      <c r="GS21" s="95">
        <f t="shared" si="138"/>
        <v>0.4604471269</v>
      </c>
      <c r="GT21" s="98">
        <f t="shared" si="139"/>
        <v>175597.9138</v>
      </c>
      <c r="GU21" s="99">
        <f t="shared" si="140"/>
        <v>205765.99</v>
      </c>
      <c r="GV21" s="90"/>
      <c r="GW21" s="92">
        <f t="shared" si="218"/>
        <v>9</v>
      </c>
      <c r="GX21" s="93" t="str">
        <f t="shared" ref="GX21:GZ21" si="326">IFERROR(VLOOKUP($R21,$A$13:$D$30,-GX$12,FALSE),"")</f>
        <v>Lainnya 2.3 (1) ……..</v>
      </c>
      <c r="GY21" s="94" t="str">
        <f t="shared" si="326"/>
        <v>Bijih </v>
      </c>
      <c r="GZ21" s="94" t="str">
        <f t="shared" si="326"/>
        <v>Ton </v>
      </c>
      <c r="HA21" s="87">
        <f t="shared" si="142"/>
        <v>341476</v>
      </c>
      <c r="HB21" s="87">
        <f t="shared" si="143"/>
        <v>32146.78714</v>
      </c>
      <c r="HC21" s="87">
        <f t="shared" si="144"/>
        <v>10977.35629</v>
      </c>
      <c r="HD21" s="95"/>
      <c r="HE21" s="87">
        <f t="shared" si="145"/>
        <v>0</v>
      </c>
      <c r="HF21" s="96"/>
      <c r="HG21" s="96"/>
      <c r="HH21" s="97"/>
      <c r="HI21" s="87">
        <f t="shared" si="146"/>
        <v>10977.35629</v>
      </c>
      <c r="HJ21" s="95">
        <f t="shared" si="147"/>
        <v>0.4604471269</v>
      </c>
      <c r="HK21" s="98">
        <f t="shared" si="148"/>
        <v>5054.492163</v>
      </c>
      <c r="HL21" s="99">
        <f t="shared" si="149"/>
        <v>5922.864124</v>
      </c>
      <c r="HM21" s="90"/>
      <c r="HN21" s="92">
        <f t="shared" si="220"/>
        <v>9</v>
      </c>
      <c r="HO21" s="93" t="str">
        <f t="shared" ref="HO21:HQ21" si="327">IFERROR(VLOOKUP($R21,$A$13:$D$30,-HO$12,FALSE),"")</f>
        <v>Lainnya 2.3 (1) ……..</v>
      </c>
      <c r="HP21" s="94" t="str">
        <f t="shared" si="327"/>
        <v>Bijih </v>
      </c>
      <c r="HQ21" s="94" t="str">
        <f t="shared" si="327"/>
        <v>Ton </v>
      </c>
      <c r="HR21" s="87">
        <f t="shared" si="151"/>
        <v>820659.0911</v>
      </c>
      <c r="HS21" s="87">
        <f t="shared" si="152"/>
        <v>46138.86575</v>
      </c>
      <c r="HT21" s="87">
        <f t="shared" si="153"/>
        <v>37864.27964</v>
      </c>
      <c r="HU21" s="95"/>
      <c r="HV21" s="87">
        <f t="shared" si="154"/>
        <v>0</v>
      </c>
      <c r="HW21" s="96"/>
      <c r="HX21" s="96"/>
      <c r="HY21" s="97"/>
      <c r="HZ21" s="87">
        <f t="shared" si="155"/>
        <v>37864.27964</v>
      </c>
      <c r="IA21" s="95">
        <f t="shared" si="156"/>
        <v>0.4604471269</v>
      </c>
      <c r="IB21" s="98">
        <f t="shared" si="157"/>
        <v>17434.49877</v>
      </c>
      <c r="IC21" s="99">
        <f t="shared" si="158"/>
        <v>20429.78087</v>
      </c>
      <c r="ID21" s="90"/>
      <c r="IE21" s="92">
        <f t="shared" si="222"/>
        <v>9</v>
      </c>
      <c r="IF21" s="93" t="str">
        <f t="shared" ref="IF21:IH21" si="328">IFERROR(VLOOKUP($R21,$A$13:$D$30,-IF$12,FALSE),"")</f>
        <v>Lainnya 2.3 (1) ……..</v>
      </c>
      <c r="IG21" s="94" t="str">
        <f t="shared" si="328"/>
        <v>Bijih </v>
      </c>
      <c r="IH21" s="94" t="str">
        <f t="shared" si="328"/>
        <v>Ton </v>
      </c>
      <c r="II21" s="87">
        <f t="shared" si="160"/>
        <v>0</v>
      </c>
      <c r="IJ21" s="87" t="str">
        <f t="shared" si="161"/>
        <v>#DIV/0!</v>
      </c>
      <c r="IK21" s="87">
        <f t="shared" si="162"/>
        <v>0</v>
      </c>
      <c r="IL21" s="95"/>
      <c r="IM21" s="87">
        <f t="shared" si="163"/>
        <v>0</v>
      </c>
      <c r="IN21" s="96"/>
      <c r="IO21" s="96"/>
      <c r="IP21" s="97"/>
      <c r="IQ21" s="87">
        <f t="shared" si="164"/>
        <v>0</v>
      </c>
      <c r="IR21" s="95">
        <f t="shared" si="165"/>
        <v>0.4604471269</v>
      </c>
      <c r="IS21" s="98">
        <f t="shared" si="166"/>
        <v>0</v>
      </c>
      <c r="IT21" s="99">
        <f t="shared" si="167"/>
        <v>0</v>
      </c>
      <c r="IU21" s="90"/>
      <c r="IV21" s="92">
        <f t="shared" si="224"/>
        <v>9</v>
      </c>
      <c r="IW21" s="93" t="str">
        <f t="shared" ref="IW21:IY21" si="329">IFERROR(VLOOKUP($R21,$A$13:$D$30,-IW$12,FALSE),"")</f>
        <v>Lainnya 2.3 (1) ……..</v>
      </c>
      <c r="IX21" s="94" t="str">
        <f t="shared" si="329"/>
        <v>Bijih </v>
      </c>
      <c r="IY21" s="94" t="str">
        <f t="shared" si="329"/>
        <v>Ton </v>
      </c>
      <c r="IZ21" s="87">
        <f t="shared" si="169"/>
        <v>0</v>
      </c>
      <c r="JA21" s="87" t="str">
        <f t="shared" si="170"/>
        <v>#DIV/0!</v>
      </c>
      <c r="JB21" s="87">
        <f t="shared" si="171"/>
        <v>0</v>
      </c>
      <c r="JC21" s="95"/>
      <c r="JD21" s="87">
        <f t="shared" si="172"/>
        <v>0</v>
      </c>
      <c r="JE21" s="96"/>
      <c r="JF21" s="96"/>
      <c r="JG21" s="97"/>
      <c r="JH21" s="87">
        <f t="shared" si="173"/>
        <v>0</v>
      </c>
      <c r="JI21" s="95">
        <f t="shared" si="174"/>
        <v>0.4604471269</v>
      </c>
      <c r="JJ21" s="98">
        <f t="shared" si="175"/>
        <v>0</v>
      </c>
      <c r="JK21" s="99">
        <f t="shared" si="176"/>
        <v>0</v>
      </c>
      <c r="JL21" s="90"/>
      <c r="JM21" s="92">
        <f t="shared" si="226"/>
        <v>9</v>
      </c>
      <c r="JN21" s="93" t="str">
        <f t="shared" ref="JN21:JP21" si="330">IFERROR(VLOOKUP($R21,$A$13:$D$30,-JN$12,FALSE),"")</f>
        <v>Lainnya 2.3 (1) ……..</v>
      </c>
      <c r="JO21" s="94" t="str">
        <f t="shared" si="330"/>
        <v>Bijih </v>
      </c>
      <c r="JP21" s="94" t="str">
        <f t="shared" si="330"/>
        <v>Ton </v>
      </c>
      <c r="JQ21" s="87">
        <f t="shared" si="178"/>
        <v>0</v>
      </c>
      <c r="JR21" s="87" t="str">
        <f t="shared" si="179"/>
        <v>#DIV/0!</v>
      </c>
      <c r="JS21" s="87">
        <f t="shared" si="180"/>
        <v>0</v>
      </c>
      <c r="JT21" s="95"/>
      <c r="JU21" s="87">
        <f t="shared" si="181"/>
        <v>0</v>
      </c>
      <c r="JV21" s="96"/>
      <c r="JW21" s="96"/>
      <c r="JX21" s="97"/>
      <c r="JY21" s="87">
        <f t="shared" si="182"/>
        <v>0</v>
      </c>
      <c r="JZ21" s="95">
        <f t="shared" si="183"/>
        <v>0.4604471269</v>
      </c>
      <c r="KA21" s="98">
        <f t="shared" si="184"/>
        <v>0</v>
      </c>
      <c r="KB21" s="99">
        <f t="shared" si="185"/>
        <v>0</v>
      </c>
      <c r="KC21" s="90"/>
      <c r="KD21" s="92">
        <f t="shared" si="228"/>
        <v>9</v>
      </c>
      <c r="KE21" s="93" t="str">
        <f t="shared" ref="KE21:KG21" si="331">IFERROR(VLOOKUP($R21,$A$13:$D$30,-KE$12,FALSE),"")</f>
        <v>Lainnya 2.3 (1) ……..</v>
      </c>
      <c r="KF21" s="94" t="str">
        <f t="shared" si="331"/>
        <v>Bijih </v>
      </c>
      <c r="KG21" s="94" t="str">
        <f t="shared" si="331"/>
        <v>Ton </v>
      </c>
      <c r="KH21" s="87">
        <f t="shared" si="187"/>
        <v>0</v>
      </c>
      <c r="KI21" s="87" t="str">
        <f t="shared" si="188"/>
        <v>#DIV/0!</v>
      </c>
      <c r="KJ21" s="87">
        <f t="shared" si="189"/>
        <v>0</v>
      </c>
      <c r="KK21" s="95"/>
      <c r="KL21" s="87">
        <f t="shared" si="190"/>
        <v>0</v>
      </c>
      <c r="KM21" s="96"/>
      <c r="KN21" s="96"/>
      <c r="KO21" s="97"/>
      <c r="KP21" s="87">
        <f t="shared" si="191"/>
        <v>0</v>
      </c>
      <c r="KQ21" s="95">
        <f t="shared" si="192"/>
        <v>0.4604471269</v>
      </c>
      <c r="KR21" s="98">
        <f t="shared" si="193"/>
        <v>0</v>
      </c>
      <c r="KS21" s="99">
        <f t="shared" si="194"/>
        <v>0</v>
      </c>
      <c r="KT21" s="90"/>
      <c r="KU21" s="91"/>
    </row>
    <row r="22" ht="15.75" customHeight="1">
      <c r="A22" s="92">
        <f t="shared" si="195"/>
        <v>10</v>
      </c>
      <c r="B22" s="93" t="str">
        <f>IFERROR(VLOOKUP($R22,ADHK!$A$13:$D$30,-B$12,FALSE),"")</f>
        <v>Lainnya 2.3 (2) ………</v>
      </c>
      <c r="C22" s="94" t="str">
        <f>IFERROR(VLOOKUP($R22,ADHK!$A$13:$D$30,-C$12,FALSE),"")</f>
        <v>Bijih </v>
      </c>
      <c r="D22" s="94" t="str">
        <f>IFERROR(VLOOKUP($R22,ADHK!$A$13:$D$30,-D$12,FALSE),"")</f>
        <v>Ton </v>
      </c>
      <c r="E22" s="87">
        <f t="shared" si="35"/>
        <v>0</v>
      </c>
      <c r="F22" s="87" t="str">
        <f t="shared" si="36"/>
        <v>#DIV/0!</v>
      </c>
      <c r="G22" s="87">
        <f t="shared" si="37"/>
        <v>0</v>
      </c>
      <c r="H22" s="95"/>
      <c r="I22" s="87">
        <f t="shared" si="38"/>
        <v>0</v>
      </c>
      <c r="J22" s="96"/>
      <c r="K22" s="96"/>
      <c r="L22" s="97"/>
      <c r="M22" s="87">
        <f t="shared" si="39"/>
        <v>0</v>
      </c>
      <c r="N22" s="95">
        <f>ADHK!N22</f>
        <v>0.4604471269</v>
      </c>
      <c r="O22" s="98">
        <f t="shared" si="40"/>
        <v>0</v>
      </c>
      <c r="P22" s="99">
        <f t="shared" si="41"/>
        <v>0</v>
      </c>
      <c r="Q22" s="90"/>
      <c r="R22" s="92">
        <f t="shared" si="196"/>
        <v>10</v>
      </c>
      <c r="S22" s="93" t="str">
        <f t="shared" ref="S22:U22" si="332">IFERROR(VLOOKUP($R22,$A$13:$D$30,-S$12,FALSE),"")</f>
        <v>Lainnya 2.3 (2) ………</v>
      </c>
      <c r="T22" s="94" t="str">
        <f t="shared" si="332"/>
        <v>Bijih </v>
      </c>
      <c r="U22" s="94" t="str">
        <f t="shared" si="332"/>
        <v>Ton </v>
      </c>
      <c r="V22" s="87">
        <f t="shared" si="43"/>
        <v>0</v>
      </c>
      <c r="W22" s="87" t="str">
        <f t="shared" si="44"/>
        <v>#DIV/0!</v>
      </c>
      <c r="X22" s="87">
        <f t="shared" si="45"/>
        <v>0</v>
      </c>
      <c r="Y22" s="95"/>
      <c r="Z22" s="87">
        <f t="shared" si="46"/>
        <v>0</v>
      </c>
      <c r="AA22" s="96"/>
      <c r="AB22" s="96"/>
      <c r="AC22" s="97"/>
      <c r="AD22" s="87">
        <f t="shared" si="47"/>
        <v>0</v>
      </c>
      <c r="AE22" s="95">
        <f t="shared" si="48"/>
        <v>0.4604471269</v>
      </c>
      <c r="AF22" s="98">
        <f t="shared" si="49"/>
        <v>0</v>
      </c>
      <c r="AG22" s="99">
        <f t="shared" si="50"/>
        <v>0</v>
      </c>
      <c r="AH22" s="90"/>
      <c r="AI22" s="92">
        <f t="shared" si="198"/>
        <v>10</v>
      </c>
      <c r="AJ22" s="93" t="str">
        <f t="shared" ref="AJ22:AL22" si="333">IFERROR(VLOOKUP($R22,$A$13:$D$30,-AJ$12,FALSE),"")</f>
        <v>Lainnya 2.3 (2) ………</v>
      </c>
      <c r="AK22" s="94" t="str">
        <f t="shared" si="333"/>
        <v>Bijih </v>
      </c>
      <c r="AL22" s="94" t="str">
        <f t="shared" si="333"/>
        <v>Ton </v>
      </c>
      <c r="AM22" s="87">
        <f t="shared" si="52"/>
        <v>0</v>
      </c>
      <c r="AN22" s="87" t="str">
        <f t="shared" si="53"/>
        <v>#DIV/0!</v>
      </c>
      <c r="AO22" s="87">
        <f t="shared" si="54"/>
        <v>0</v>
      </c>
      <c r="AP22" s="95"/>
      <c r="AQ22" s="87">
        <f t="shared" si="55"/>
        <v>0</v>
      </c>
      <c r="AR22" s="96"/>
      <c r="AS22" s="96"/>
      <c r="AT22" s="97"/>
      <c r="AU22" s="87">
        <f t="shared" si="56"/>
        <v>0</v>
      </c>
      <c r="AV22" s="95">
        <f t="shared" si="57"/>
        <v>0.4604471269</v>
      </c>
      <c r="AW22" s="98">
        <f t="shared" si="58"/>
        <v>0</v>
      </c>
      <c r="AX22" s="99">
        <f t="shared" si="59"/>
        <v>0</v>
      </c>
      <c r="AY22" s="90"/>
      <c r="AZ22" s="92">
        <f t="shared" si="200"/>
        <v>10</v>
      </c>
      <c r="BA22" s="93" t="str">
        <f t="shared" ref="BA22:BC22" si="334">IFERROR(VLOOKUP($R22,$A$13:$D$30,-BA$12,FALSE),"")</f>
        <v>Lainnya 2.3 (2) ………</v>
      </c>
      <c r="BB22" s="94" t="str">
        <f t="shared" si="334"/>
        <v>Bijih </v>
      </c>
      <c r="BC22" s="94" t="str">
        <f t="shared" si="334"/>
        <v>Ton </v>
      </c>
      <c r="BD22" s="87">
        <f t="shared" si="61"/>
        <v>0</v>
      </c>
      <c r="BE22" s="87" t="str">
        <f t="shared" si="62"/>
        <v>#DIV/0!</v>
      </c>
      <c r="BF22" s="87">
        <f t="shared" si="63"/>
        <v>0</v>
      </c>
      <c r="BG22" s="95"/>
      <c r="BH22" s="87">
        <f t="shared" si="64"/>
        <v>0</v>
      </c>
      <c r="BI22" s="96"/>
      <c r="BJ22" s="96"/>
      <c r="BK22" s="97"/>
      <c r="BL22" s="87">
        <f t="shared" si="65"/>
        <v>0</v>
      </c>
      <c r="BM22" s="95">
        <f t="shared" si="66"/>
        <v>0.4604471269</v>
      </c>
      <c r="BN22" s="98">
        <f t="shared" si="67"/>
        <v>0</v>
      </c>
      <c r="BO22" s="99">
        <f t="shared" si="68"/>
        <v>0</v>
      </c>
      <c r="BP22" s="90"/>
      <c r="BQ22" s="92">
        <f t="shared" si="202"/>
        <v>10</v>
      </c>
      <c r="BR22" s="93" t="str">
        <f t="shared" ref="BR22:BT22" si="335">IFERROR(VLOOKUP($R22,$A$13:$D$30,-BR$12,FALSE),"")</f>
        <v>Lainnya 2.3 (2) ………</v>
      </c>
      <c r="BS22" s="94" t="str">
        <f t="shared" si="335"/>
        <v>Bijih </v>
      </c>
      <c r="BT22" s="94" t="str">
        <f t="shared" si="335"/>
        <v>Ton </v>
      </c>
      <c r="BU22" s="87">
        <f t="shared" si="70"/>
        <v>0</v>
      </c>
      <c r="BV22" s="87" t="str">
        <f t="shared" si="71"/>
        <v>#DIV/0!</v>
      </c>
      <c r="BW22" s="87">
        <f t="shared" si="72"/>
        <v>0</v>
      </c>
      <c r="BX22" s="95"/>
      <c r="BY22" s="87">
        <f t="shared" si="73"/>
        <v>0</v>
      </c>
      <c r="BZ22" s="96"/>
      <c r="CA22" s="96"/>
      <c r="CB22" s="97"/>
      <c r="CC22" s="87">
        <f t="shared" si="74"/>
        <v>0</v>
      </c>
      <c r="CD22" s="95">
        <f t="shared" si="75"/>
        <v>0.4604471269</v>
      </c>
      <c r="CE22" s="98">
        <f t="shared" si="76"/>
        <v>0</v>
      </c>
      <c r="CF22" s="99">
        <f t="shared" si="77"/>
        <v>0</v>
      </c>
      <c r="CG22" s="90"/>
      <c r="CH22" s="92">
        <f t="shared" si="204"/>
        <v>10</v>
      </c>
      <c r="CI22" s="93" t="str">
        <f t="shared" ref="CI22:CK22" si="336">IFERROR(VLOOKUP($R22,$A$13:$D$30,-CI$12,FALSE),"")</f>
        <v>Lainnya 2.3 (2) ………</v>
      </c>
      <c r="CJ22" s="94" t="str">
        <f t="shared" si="336"/>
        <v>Bijih </v>
      </c>
      <c r="CK22" s="94" t="str">
        <f t="shared" si="336"/>
        <v>Ton </v>
      </c>
      <c r="CL22" s="87">
        <f t="shared" si="79"/>
        <v>0</v>
      </c>
      <c r="CM22" s="87" t="str">
        <f t="shared" si="80"/>
        <v>#DIV/0!</v>
      </c>
      <c r="CN22" s="87">
        <f t="shared" si="81"/>
        <v>0</v>
      </c>
      <c r="CO22" s="95"/>
      <c r="CP22" s="87">
        <f t="shared" si="82"/>
        <v>0</v>
      </c>
      <c r="CQ22" s="96"/>
      <c r="CR22" s="96"/>
      <c r="CS22" s="97"/>
      <c r="CT22" s="87">
        <f t="shared" si="83"/>
        <v>0</v>
      </c>
      <c r="CU22" s="95">
        <f t="shared" si="84"/>
        <v>0.4604471269</v>
      </c>
      <c r="CV22" s="98">
        <f t="shared" si="85"/>
        <v>0</v>
      </c>
      <c r="CW22" s="99">
        <f t="shared" si="86"/>
        <v>0</v>
      </c>
      <c r="CX22" s="90"/>
      <c r="CY22" s="92">
        <f t="shared" si="206"/>
        <v>10</v>
      </c>
      <c r="CZ22" s="93" t="str">
        <f t="shared" ref="CZ22:DB22" si="337">IFERROR(VLOOKUP($R22,$A$13:$D$30,-CZ$12,FALSE),"")</f>
        <v>Lainnya 2.3 (2) ………</v>
      </c>
      <c r="DA22" s="94" t="str">
        <f t="shared" si="337"/>
        <v>Bijih </v>
      </c>
      <c r="DB22" s="94" t="str">
        <f t="shared" si="337"/>
        <v>Ton </v>
      </c>
      <c r="DC22" s="87">
        <f t="shared" si="88"/>
        <v>0</v>
      </c>
      <c r="DD22" s="87" t="str">
        <f t="shared" si="89"/>
        <v>#DIV/0!</v>
      </c>
      <c r="DE22" s="87">
        <f t="shared" si="90"/>
        <v>0</v>
      </c>
      <c r="DF22" s="95"/>
      <c r="DG22" s="87">
        <f t="shared" si="91"/>
        <v>0</v>
      </c>
      <c r="DH22" s="96"/>
      <c r="DI22" s="96"/>
      <c r="DJ22" s="97"/>
      <c r="DK22" s="87">
        <f t="shared" si="92"/>
        <v>0</v>
      </c>
      <c r="DL22" s="95">
        <f t="shared" si="93"/>
        <v>0.4604471269</v>
      </c>
      <c r="DM22" s="98">
        <f t="shared" si="94"/>
        <v>0</v>
      </c>
      <c r="DN22" s="99">
        <f t="shared" si="95"/>
        <v>0</v>
      </c>
      <c r="DO22" s="90"/>
      <c r="DP22" s="92">
        <f t="shared" si="208"/>
        <v>10</v>
      </c>
      <c r="DQ22" s="93" t="str">
        <f t="shared" ref="DQ22:DS22" si="338">IFERROR(VLOOKUP($R22,$A$13:$D$30,-DQ$12,FALSE),"")</f>
        <v>Lainnya 2.3 (2) ………</v>
      </c>
      <c r="DR22" s="94" t="str">
        <f t="shared" si="338"/>
        <v>Bijih </v>
      </c>
      <c r="DS22" s="94" t="str">
        <f t="shared" si="338"/>
        <v>Ton </v>
      </c>
      <c r="DT22" s="87">
        <f t="shared" si="97"/>
        <v>0</v>
      </c>
      <c r="DU22" s="87" t="str">
        <f t="shared" si="98"/>
        <v>#DIV/0!</v>
      </c>
      <c r="DV22" s="87">
        <f t="shared" si="99"/>
        <v>0</v>
      </c>
      <c r="DW22" s="95"/>
      <c r="DX22" s="87">
        <f t="shared" si="100"/>
        <v>0</v>
      </c>
      <c r="DY22" s="96"/>
      <c r="DZ22" s="96"/>
      <c r="EA22" s="97"/>
      <c r="EB22" s="87">
        <f t="shared" si="101"/>
        <v>0</v>
      </c>
      <c r="EC22" s="95">
        <f t="shared" si="102"/>
        <v>0.4604471269</v>
      </c>
      <c r="ED22" s="98">
        <f t="shared" si="103"/>
        <v>0</v>
      </c>
      <c r="EE22" s="99">
        <f t="shared" si="104"/>
        <v>0</v>
      </c>
      <c r="EF22" s="90"/>
      <c r="EG22" s="92">
        <f t="shared" si="210"/>
        <v>10</v>
      </c>
      <c r="EH22" s="93" t="str">
        <f t="shared" ref="EH22:EJ22" si="339">IFERROR(VLOOKUP($R22,$A$13:$D$30,-EH$12,FALSE),"")</f>
        <v>Lainnya 2.3 (2) ………</v>
      </c>
      <c r="EI22" s="94" t="str">
        <f t="shared" si="339"/>
        <v>Bijih </v>
      </c>
      <c r="EJ22" s="94" t="str">
        <f t="shared" si="339"/>
        <v>Ton </v>
      </c>
      <c r="EK22" s="87">
        <f t="shared" si="106"/>
        <v>0</v>
      </c>
      <c r="EL22" s="87" t="str">
        <f t="shared" si="107"/>
        <v>#DIV/0!</v>
      </c>
      <c r="EM22" s="87">
        <f t="shared" si="108"/>
        <v>0</v>
      </c>
      <c r="EN22" s="95"/>
      <c r="EO22" s="87">
        <f t="shared" si="109"/>
        <v>0</v>
      </c>
      <c r="EP22" s="96"/>
      <c r="EQ22" s="96"/>
      <c r="ER22" s="97"/>
      <c r="ES22" s="87">
        <f t="shared" si="110"/>
        <v>0</v>
      </c>
      <c r="ET22" s="95">
        <f t="shared" si="111"/>
        <v>0.4604471269</v>
      </c>
      <c r="EU22" s="98">
        <f t="shared" si="112"/>
        <v>0</v>
      </c>
      <c r="EV22" s="99">
        <f t="shared" si="113"/>
        <v>0</v>
      </c>
      <c r="EW22" s="90"/>
      <c r="EX22" s="92">
        <f t="shared" si="212"/>
        <v>10</v>
      </c>
      <c r="EY22" s="93" t="str">
        <f t="shared" ref="EY22:FA22" si="340">IFERROR(VLOOKUP($R22,$A$13:$D$30,-EY$12,FALSE),"")</f>
        <v>Lainnya 2.3 (2) ………</v>
      </c>
      <c r="EZ22" s="94" t="str">
        <f t="shared" si="340"/>
        <v>Bijih </v>
      </c>
      <c r="FA22" s="94" t="str">
        <f t="shared" si="340"/>
        <v>Ton </v>
      </c>
      <c r="FB22" s="87">
        <f t="shared" si="115"/>
        <v>0</v>
      </c>
      <c r="FC22" s="87" t="str">
        <f t="shared" si="116"/>
        <v>#DIV/0!</v>
      </c>
      <c r="FD22" s="87">
        <f t="shared" si="117"/>
        <v>0</v>
      </c>
      <c r="FE22" s="95"/>
      <c r="FF22" s="87">
        <f t="shared" si="118"/>
        <v>0</v>
      </c>
      <c r="FG22" s="96"/>
      <c r="FH22" s="96"/>
      <c r="FI22" s="97"/>
      <c r="FJ22" s="87">
        <f t="shared" si="119"/>
        <v>0</v>
      </c>
      <c r="FK22" s="95">
        <f t="shared" si="120"/>
        <v>0.4604471269</v>
      </c>
      <c r="FL22" s="98">
        <f t="shared" si="121"/>
        <v>0</v>
      </c>
      <c r="FM22" s="99">
        <f t="shared" si="122"/>
        <v>0</v>
      </c>
      <c r="FN22" s="90"/>
      <c r="FO22" s="92">
        <f t="shared" si="214"/>
        <v>10</v>
      </c>
      <c r="FP22" s="93" t="str">
        <f t="shared" ref="FP22:FR22" si="341">IFERROR(VLOOKUP($R22,$A$13:$D$30,-FP$12,FALSE),"")</f>
        <v>Lainnya 2.3 (2) ………</v>
      </c>
      <c r="FQ22" s="94" t="str">
        <f t="shared" si="341"/>
        <v>Bijih </v>
      </c>
      <c r="FR22" s="94" t="str">
        <f t="shared" si="341"/>
        <v>Ton </v>
      </c>
      <c r="FS22" s="87">
        <f t="shared" si="124"/>
        <v>0</v>
      </c>
      <c r="FT22" s="87" t="str">
        <f t="shared" si="125"/>
        <v>#DIV/0!</v>
      </c>
      <c r="FU22" s="87">
        <f t="shared" si="126"/>
        <v>0</v>
      </c>
      <c r="FV22" s="95"/>
      <c r="FW22" s="87">
        <f t="shared" si="127"/>
        <v>0</v>
      </c>
      <c r="FX22" s="96"/>
      <c r="FY22" s="96"/>
      <c r="FZ22" s="97"/>
      <c r="GA22" s="87">
        <f t="shared" si="128"/>
        <v>0</v>
      </c>
      <c r="GB22" s="95">
        <f t="shared" si="129"/>
        <v>0.4604471269</v>
      </c>
      <c r="GC22" s="98">
        <f t="shared" si="130"/>
        <v>0</v>
      </c>
      <c r="GD22" s="99">
        <f t="shared" si="131"/>
        <v>0</v>
      </c>
      <c r="GE22" s="90"/>
      <c r="GF22" s="92">
        <f t="shared" si="216"/>
        <v>10</v>
      </c>
      <c r="GG22" s="93" t="str">
        <f t="shared" ref="GG22:GI22" si="342">IFERROR(VLOOKUP($R22,$A$13:$D$30,-GG$12,FALSE),"")</f>
        <v>Lainnya 2.3 (2) ………</v>
      </c>
      <c r="GH22" s="94" t="str">
        <f t="shared" si="342"/>
        <v>Bijih </v>
      </c>
      <c r="GI22" s="94" t="str">
        <f t="shared" si="342"/>
        <v>Ton </v>
      </c>
      <c r="GJ22" s="87">
        <f t="shared" si="133"/>
        <v>0</v>
      </c>
      <c r="GK22" s="87" t="str">
        <f t="shared" si="134"/>
        <v>#DIV/0!</v>
      </c>
      <c r="GL22" s="87">
        <f t="shared" si="135"/>
        <v>0</v>
      </c>
      <c r="GM22" s="95"/>
      <c r="GN22" s="87">
        <f t="shared" si="136"/>
        <v>0</v>
      </c>
      <c r="GO22" s="96"/>
      <c r="GP22" s="96"/>
      <c r="GQ22" s="97"/>
      <c r="GR22" s="87">
        <f t="shared" si="137"/>
        <v>0</v>
      </c>
      <c r="GS22" s="95">
        <f t="shared" si="138"/>
        <v>0.4604471269</v>
      </c>
      <c r="GT22" s="98">
        <f t="shared" si="139"/>
        <v>0</v>
      </c>
      <c r="GU22" s="99">
        <f t="shared" si="140"/>
        <v>0</v>
      </c>
      <c r="GV22" s="90"/>
      <c r="GW22" s="92">
        <f t="shared" si="218"/>
        <v>10</v>
      </c>
      <c r="GX22" s="93" t="str">
        <f t="shared" ref="GX22:GZ22" si="343">IFERROR(VLOOKUP($R22,$A$13:$D$30,-GX$12,FALSE),"")</f>
        <v>Lainnya 2.3 (2) ………</v>
      </c>
      <c r="GY22" s="94" t="str">
        <f t="shared" si="343"/>
        <v>Bijih </v>
      </c>
      <c r="GZ22" s="94" t="str">
        <f t="shared" si="343"/>
        <v>Ton </v>
      </c>
      <c r="HA22" s="87">
        <f t="shared" si="142"/>
        <v>0</v>
      </c>
      <c r="HB22" s="87" t="str">
        <f t="shared" si="143"/>
        <v>#DIV/0!</v>
      </c>
      <c r="HC22" s="87">
        <f t="shared" si="144"/>
        <v>0</v>
      </c>
      <c r="HD22" s="95"/>
      <c r="HE22" s="87">
        <f t="shared" si="145"/>
        <v>0</v>
      </c>
      <c r="HF22" s="96"/>
      <c r="HG22" s="96"/>
      <c r="HH22" s="97"/>
      <c r="HI22" s="87">
        <f t="shared" si="146"/>
        <v>0</v>
      </c>
      <c r="HJ22" s="95">
        <f t="shared" si="147"/>
        <v>0.4604471269</v>
      </c>
      <c r="HK22" s="98">
        <f t="shared" si="148"/>
        <v>0</v>
      </c>
      <c r="HL22" s="99">
        <f t="shared" si="149"/>
        <v>0</v>
      </c>
      <c r="HM22" s="90"/>
      <c r="HN22" s="92">
        <f t="shared" si="220"/>
        <v>10</v>
      </c>
      <c r="HO22" s="93" t="str">
        <f t="shared" ref="HO22:HQ22" si="344">IFERROR(VLOOKUP($R22,$A$13:$D$30,-HO$12,FALSE),"")</f>
        <v>Lainnya 2.3 (2) ………</v>
      </c>
      <c r="HP22" s="94" t="str">
        <f t="shared" si="344"/>
        <v>Bijih </v>
      </c>
      <c r="HQ22" s="94" t="str">
        <f t="shared" si="344"/>
        <v>Ton </v>
      </c>
      <c r="HR22" s="87">
        <f t="shared" si="151"/>
        <v>0</v>
      </c>
      <c r="HS22" s="87" t="str">
        <f t="shared" si="152"/>
        <v>#DIV/0!</v>
      </c>
      <c r="HT22" s="87">
        <f t="shared" si="153"/>
        <v>0</v>
      </c>
      <c r="HU22" s="95"/>
      <c r="HV22" s="87">
        <f t="shared" si="154"/>
        <v>0</v>
      </c>
      <c r="HW22" s="96"/>
      <c r="HX22" s="96"/>
      <c r="HY22" s="97"/>
      <c r="HZ22" s="87">
        <f t="shared" si="155"/>
        <v>0</v>
      </c>
      <c r="IA22" s="95">
        <f t="shared" si="156"/>
        <v>0.4604471269</v>
      </c>
      <c r="IB22" s="98">
        <f t="shared" si="157"/>
        <v>0</v>
      </c>
      <c r="IC22" s="99">
        <f t="shared" si="158"/>
        <v>0</v>
      </c>
      <c r="ID22" s="90"/>
      <c r="IE22" s="92">
        <f t="shared" si="222"/>
        <v>10</v>
      </c>
      <c r="IF22" s="93" t="str">
        <f t="shared" ref="IF22:IH22" si="345">IFERROR(VLOOKUP($R22,$A$13:$D$30,-IF$12,FALSE),"")</f>
        <v>Lainnya 2.3 (2) ………</v>
      </c>
      <c r="IG22" s="94" t="str">
        <f t="shared" si="345"/>
        <v>Bijih </v>
      </c>
      <c r="IH22" s="94" t="str">
        <f t="shared" si="345"/>
        <v>Ton </v>
      </c>
      <c r="II22" s="87">
        <f t="shared" si="160"/>
        <v>0</v>
      </c>
      <c r="IJ22" s="87" t="str">
        <f t="shared" si="161"/>
        <v>#DIV/0!</v>
      </c>
      <c r="IK22" s="87">
        <f t="shared" si="162"/>
        <v>0</v>
      </c>
      <c r="IL22" s="95"/>
      <c r="IM22" s="87">
        <f t="shared" si="163"/>
        <v>0</v>
      </c>
      <c r="IN22" s="96"/>
      <c r="IO22" s="96"/>
      <c r="IP22" s="97"/>
      <c r="IQ22" s="87">
        <f t="shared" si="164"/>
        <v>0</v>
      </c>
      <c r="IR22" s="95">
        <f t="shared" si="165"/>
        <v>0.4604471269</v>
      </c>
      <c r="IS22" s="98">
        <f t="shared" si="166"/>
        <v>0</v>
      </c>
      <c r="IT22" s="99">
        <f t="shared" si="167"/>
        <v>0</v>
      </c>
      <c r="IU22" s="90"/>
      <c r="IV22" s="92">
        <f t="shared" si="224"/>
        <v>10</v>
      </c>
      <c r="IW22" s="93" t="str">
        <f t="shared" ref="IW22:IY22" si="346">IFERROR(VLOOKUP($R22,$A$13:$D$30,-IW$12,FALSE),"")</f>
        <v>Lainnya 2.3 (2) ………</v>
      </c>
      <c r="IX22" s="94" t="str">
        <f t="shared" si="346"/>
        <v>Bijih </v>
      </c>
      <c r="IY22" s="94" t="str">
        <f t="shared" si="346"/>
        <v>Ton </v>
      </c>
      <c r="IZ22" s="87">
        <f t="shared" si="169"/>
        <v>0</v>
      </c>
      <c r="JA22" s="87" t="str">
        <f t="shared" si="170"/>
        <v>#DIV/0!</v>
      </c>
      <c r="JB22" s="87">
        <f t="shared" si="171"/>
        <v>0</v>
      </c>
      <c r="JC22" s="95"/>
      <c r="JD22" s="87">
        <f t="shared" si="172"/>
        <v>0</v>
      </c>
      <c r="JE22" s="96"/>
      <c r="JF22" s="96"/>
      <c r="JG22" s="97"/>
      <c r="JH22" s="87">
        <f t="shared" si="173"/>
        <v>0</v>
      </c>
      <c r="JI22" s="95">
        <f t="shared" si="174"/>
        <v>0.4604471269</v>
      </c>
      <c r="JJ22" s="98">
        <f t="shared" si="175"/>
        <v>0</v>
      </c>
      <c r="JK22" s="99">
        <f t="shared" si="176"/>
        <v>0</v>
      </c>
      <c r="JL22" s="90"/>
      <c r="JM22" s="92">
        <f t="shared" si="226"/>
        <v>10</v>
      </c>
      <c r="JN22" s="93" t="str">
        <f t="shared" ref="JN22:JP22" si="347">IFERROR(VLOOKUP($R22,$A$13:$D$30,-JN$12,FALSE),"")</f>
        <v>Lainnya 2.3 (2) ………</v>
      </c>
      <c r="JO22" s="94" t="str">
        <f t="shared" si="347"/>
        <v>Bijih </v>
      </c>
      <c r="JP22" s="94" t="str">
        <f t="shared" si="347"/>
        <v>Ton </v>
      </c>
      <c r="JQ22" s="87">
        <f t="shared" si="178"/>
        <v>0</v>
      </c>
      <c r="JR22" s="87" t="str">
        <f t="shared" si="179"/>
        <v>#DIV/0!</v>
      </c>
      <c r="JS22" s="87">
        <f t="shared" si="180"/>
        <v>0</v>
      </c>
      <c r="JT22" s="95"/>
      <c r="JU22" s="87">
        <f t="shared" si="181"/>
        <v>0</v>
      </c>
      <c r="JV22" s="96"/>
      <c r="JW22" s="96"/>
      <c r="JX22" s="97"/>
      <c r="JY22" s="87">
        <f t="shared" si="182"/>
        <v>0</v>
      </c>
      <c r="JZ22" s="95">
        <f t="shared" si="183"/>
        <v>0.4604471269</v>
      </c>
      <c r="KA22" s="98">
        <f t="shared" si="184"/>
        <v>0</v>
      </c>
      <c r="KB22" s="99">
        <f t="shared" si="185"/>
        <v>0</v>
      </c>
      <c r="KC22" s="90"/>
      <c r="KD22" s="92">
        <f t="shared" si="228"/>
        <v>10</v>
      </c>
      <c r="KE22" s="93" t="str">
        <f t="shared" ref="KE22:KG22" si="348">IFERROR(VLOOKUP($R22,$A$13:$D$30,-KE$12,FALSE),"")</f>
        <v>Lainnya 2.3 (2) ………</v>
      </c>
      <c r="KF22" s="94" t="str">
        <f t="shared" si="348"/>
        <v>Bijih </v>
      </c>
      <c r="KG22" s="94" t="str">
        <f t="shared" si="348"/>
        <v>Ton </v>
      </c>
      <c r="KH22" s="87">
        <f t="shared" si="187"/>
        <v>0</v>
      </c>
      <c r="KI22" s="87" t="str">
        <f t="shared" si="188"/>
        <v>#DIV/0!</v>
      </c>
      <c r="KJ22" s="87">
        <f t="shared" si="189"/>
        <v>0</v>
      </c>
      <c r="KK22" s="95"/>
      <c r="KL22" s="87">
        <f t="shared" si="190"/>
        <v>0</v>
      </c>
      <c r="KM22" s="96"/>
      <c r="KN22" s="96"/>
      <c r="KO22" s="97"/>
      <c r="KP22" s="87">
        <f t="shared" si="191"/>
        <v>0</v>
      </c>
      <c r="KQ22" s="95">
        <f t="shared" si="192"/>
        <v>0.4604471269</v>
      </c>
      <c r="KR22" s="98">
        <f t="shared" si="193"/>
        <v>0</v>
      </c>
      <c r="KS22" s="99">
        <f t="shared" si="194"/>
        <v>0</v>
      </c>
      <c r="KT22" s="90"/>
      <c r="KU22" s="91"/>
    </row>
    <row r="23" ht="15.75" customHeight="1">
      <c r="A23" s="92">
        <f t="shared" si="195"/>
        <v>11</v>
      </c>
      <c r="B23" s="93" t="str">
        <f>IFERROR(VLOOKUP($R23,ADHK!$A$13:$D$30,-B$12,FALSE),"")</f>
        <v>Lainnya 2.3 (3) …….</v>
      </c>
      <c r="C23" s="94" t="str">
        <f>IFERROR(VLOOKUP($R23,ADHK!$A$13:$D$30,-C$12,FALSE),"")</f>
        <v/>
      </c>
      <c r="D23" s="94" t="str">
        <f>IFERROR(VLOOKUP($R23,ADHK!$A$13:$D$30,-D$12,FALSE),"")</f>
        <v/>
      </c>
      <c r="E23" s="87">
        <f t="shared" si="35"/>
        <v>0</v>
      </c>
      <c r="F23" s="87" t="str">
        <f t="shared" si="36"/>
        <v>#DIV/0!</v>
      </c>
      <c r="G23" s="87">
        <f t="shared" si="37"/>
        <v>0</v>
      </c>
      <c r="H23" s="95"/>
      <c r="I23" s="87">
        <f t="shared" si="38"/>
        <v>0</v>
      </c>
      <c r="J23" s="96"/>
      <c r="K23" s="96"/>
      <c r="L23" s="97"/>
      <c r="M23" s="87">
        <f t="shared" si="39"/>
        <v>0</v>
      </c>
      <c r="N23" s="95">
        <f>ADHK!N23</f>
        <v>0.4604471269</v>
      </c>
      <c r="O23" s="98">
        <f t="shared" si="40"/>
        <v>0</v>
      </c>
      <c r="P23" s="99">
        <f t="shared" si="41"/>
        <v>0</v>
      </c>
      <c r="Q23" s="90"/>
      <c r="R23" s="92">
        <f t="shared" si="196"/>
        <v>11</v>
      </c>
      <c r="S23" s="93" t="str">
        <f t="shared" ref="S23:U23" si="349">IFERROR(VLOOKUP($R23,$A$13:$D$30,-S$12,FALSE),"")</f>
        <v>Lainnya 2.3 (3) …….</v>
      </c>
      <c r="T23" s="94" t="str">
        <f t="shared" si="349"/>
        <v/>
      </c>
      <c r="U23" s="94" t="str">
        <f t="shared" si="349"/>
        <v/>
      </c>
      <c r="V23" s="87">
        <f t="shared" si="43"/>
        <v>0</v>
      </c>
      <c r="W23" s="87" t="str">
        <f t="shared" si="44"/>
        <v>#DIV/0!</v>
      </c>
      <c r="X23" s="87">
        <f t="shared" si="45"/>
        <v>0</v>
      </c>
      <c r="Y23" s="95"/>
      <c r="Z23" s="87">
        <f t="shared" si="46"/>
        <v>0</v>
      </c>
      <c r="AA23" s="96"/>
      <c r="AB23" s="96"/>
      <c r="AC23" s="97"/>
      <c r="AD23" s="87">
        <f t="shared" si="47"/>
        <v>0</v>
      </c>
      <c r="AE23" s="95">
        <f t="shared" si="48"/>
        <v>0.4604471269</v>
      </c>
      <c r="AF23" s="98">
        <f t="shared" si="49"/>
        <v>0</v>
      </c>
      <c r="AG23" s="99">
        <f t="shared" si="50"/>
        <v>0</v>
      </c>
      <c r="AH23" s="90"/>
      <c r="AI23" s="92">
        <f t="shared" si="198"/>
        <v>11</v>
      </c>
      <c r="AJ23" s="93" t="str">
        <f t="shared" ref="AJ23:AL23" si="350">IFERROR(VLOOKUP($R23,$A$13:$D$30,-AJ$12,FALSE),"")</f>
        <v>Lainnya 2.3 (3) …….</v>
      </c>
      <c r="AK23" s="94" t="str">
        <f t="shared" si="350"/>
        <v/>
      </c>
      <c r="AL23" s="94" t="str">
        <f t="shared" si="350"/>
        <v/>
      </c>
      <c r="AM23" s="87">
        <f t="shared" si="52"/>
        <v>0</v>
      </c>
      <c r="AN23" s="87" t="str">
        <f t="shared" si="53"/>
        <v>#DIV/0!</v>
      </c>
      <c r="AO23" s="87">
        <f t="shared" si="54"/>
        <v>0</v>
      </c>
      <c r="AP23" s="95"/>
      <c r="AQ23" s="87">
        <f t="shared" si="55"/>
        <v>0</v>
      </c>
      <c r="AR23" s="96"/>
      <c r="AS23" s="96"/>
      <c r="AT23" s="97"/>
      <c r="AU23" s="87">
        <f t="shared" si="56"/>
        <v>0</v>
      </c>
      <c r="AV23" s="95">
        <f t="shared" si="57"/>
        <v>0.4604471269</v>
      </c>
      <c r="AW23" s="98">
        <f t="shared" si="58"/>
        <v>0</v>
      </c>
      <c r="AX23" s="99">
        <f t="shared" si="59"/>
        <v>0</v>
      </c>
      <c r="AY23" s="90"/>
      <c r="AZ23" s="92">
        <f t="shared" si="200"/>
        <v>11</v>
      </c>
      <c r="BA23" s="93" t="str">
        <f t="shared" ref="BA23:BC23" si="351">IFERROR(VLOOKUP($R23,$A$13:$D$30,-BA$12,FALSE),"")</f>
        <v>Lainnya 2.3 (3) …….</v>
      </c>
      <c r="BB23" s="94" t="str">
        <f t="shared" si="351"/>
        <v/>
      </c>
      <c r="BC23" s="94" t="str">
        <f t="shared" si="351"/>
        <v/>
      </c>
      <c r="BD23" s="87">
        <f t="shared" si="61"/>
        <v>0</v>
      </c>
      <c r="BE23" s="87" t="str">
        <f t="shared" si="62"/>
        <v>#DIV/0!</v>
      </c>
      <c r="BF23" s="87">
        <f t="shared" si="63"/>
        <v>0</v>
      </c>
      <c r="BG23" s="95"/>
      <c r="BH23" s="87">
        <f t="shared" si="64"/>
        <v>0</v>
      </c>
      <c r="BI23" s="96"/>
      <c r="BJ23" s="96"/>
      <c r="BK23" s="97"/>
      <c r="BL23" s="87">
        <f t="shared" si="65"/>
        <v>0</v>
      </c>
      <c r="BM23" s="95">
        <f t="shared" si="66"/>
        <v>0.4604471269</v>
      </c>
      <c r="BN23" s="98">
        <f t="shared" si="67"/>
        <v>0</v>
      </c>
      <c r="BO23" s="99">
        <f t="shared" si="68"/>
        <v>0</v>
      </c>
      <c r="BP23" s="90"/>
      <c r="BQ23" s="92">
        <f t="shared" si="202"/>
        <v>11</v>
      </c>
      <c r="BR23" s="93" t="str">
        <f t="shared" ref="BR23:BT23" si="352">IFERROR(VLOOKUP($R23,$A$13:$D$30,-BR$12,FALSE),"")</f>
        <v>Lainnya 2.3 (3) …….</v>
      </c>
      <c r="BS23" s="94" t="str">
        <f t="shared" si="352"/>
        <v/>
      </c>
      <c r="BT23" s="94" t="str">
        <f t="shared" si="352"/>
        <v/>
      </c>
      <c r="BU23" s="87">
        <f t="shared" si="70"/>
        <v>0</v>
      </c>
      <c r="BV23" s="87" t="str">
        <f t="shared" si="71"/>
        <v>#DIV/0!</v>
      </c>
      <c r="BW23" s="87">
        <f t="shared" si="72"/>
        <v>0</v>
      </c>
      <c r="BX23" s="95"/>
      <c r="BY23" s="87">
        <f t="shared" si="73"/>
        <v>0</v>
      </c>
      <c r="BZ23" s="96"/>
      <c r="CA23" s="96"/>
      <c r="CB23" s="97"/>
      <c r="CC23" s="87">
        <f t="shared" si="74"/>
        <v>0</v>
      </c>
      <c r="CD23" s="95">
        <f t="shared" si="75"/>
        <v>0.4604471269</v>
      </c>
      <c r="CE23" s="98">
        <f t="shared" si="76"/>
        <v>0</v>
      </c>
      <c r="CF23" s="99">
        <f t="shared" si="77"/>
        <v>0</v>
      </c>
      <c r="CG23" s="90"/>
      <c r="CH23" s="92">
        <f t="shared" si="204"/>
        <v>11</v>
      </c>
      <c r="CI23" s="93" t="str">
        <f t="shared" ref="CI23:CK23" si="353">IFERROR(VLOOKUP($R23,$A$13:$D$30,-CI$12,FALSE),"")</f>
        <v>Lainnya 2.3 (3) …….</v>
      </c>
      <c r="CJ23" s="94" t="str">
        <f t="shared" si="353"/>
        <v/>
      </c>
      <c r="CK23" s="94" t="str">
        <f t="shared" si="353"/>
        <v/>
      </c>
      <c r="CL23" s="87">
        <f t="shared" si="79"/>
        <v>0</v>
      </c>
      <c r="CM23" s="87" t="str">
        <f t="shared" si="80"/>
        <v>#DIV/0!</v>
      </c>
      <c r="CN23" s="87">
        <f t="shared" si="81"/>
        <v>0</v>
      </c>
      <c r="CO23" s="95"/>
      <c r="CP23" s="87">
        <f t="shared" si="82"/>
        <v>0</v>
      </c>
      <c r="CQ23" s="96"/>
      <c r="CR23" s="96"/>
      <c r="CS23" s="97"/>
      <c r="CT23" s="87">
        <f t="shared" si="83"/>
        <v>0</v>
      </c>
      <c r="CU23" s="95">
        <f t="shared" si="84"/>
        <v>0.4604471269</v>
      </c>
      <c r="CV23" s="98">
        <f t="shared" si="85"/>
        <v>0</v>
      </c>
      <c r="CW23" s="99">
        <f t="shared" si="86"/>
        <v>0</v>
      </c>
      <c r="CX23" s="90"/>
      <c r="CY23" s="92">
        <f t="shared" si="206"/>
        <v>11</v>
      </c>
      <c r="CZ23" s="93" t="str">
        <f t="shared" ref="CZ23:DB23" si="354">IFERROR(VLOOKUP($R23,$A$13:$D$30,-CZ$12,FALSE),"")</f>
        <v>Lainnya 2.3 (3) …….</v>
      </c>
      <c r="DA23" s="94" t="str">
        <f t="shared" si="354"/>
        <v/>
      </c>
      <c r="DB23" s="94" t="str">
        <f t="shared" si="354"/>
        <v/>
      </c>
      <c r="DC23" s="87">
        <f t="shared" si="88"/>
        <v>0</v>
      </c>
      <c r="DD23" s="87" t="str">
        <f t="shared" si="89"/>
        <v>#DIV/0!</v>
      </c>
      <c r="DE23" s="87">
        <f t="shared" si="90"/>
        <v>0</v>
      </c>
      <c r="DF23" s="95"/>
      <c r="DG23" s="87">
        <f t="shared" si="91"/>
        <v>0</v>
      </c>
      <c r="DH23" s="96"/>
      <c r="DI23" s="96"/>
      <c r="DJ23" s="97"/>
      <c r="DK23" s="87">
        <f t="shared" si="92"/>
        <v>0</v>
      </c>
      <c r="DL23" s="95">
        <f t="shared" si="93"/>
        <v>0.4604471269</v>
      </c>
      <c r="DM23" s="98">
        <f t="shared" si="94"/>
        <v>0</v>
      </c>
      <c r="DN23" s="99">
        <f t="shared" si="95"/>
        <v>0</v>
      </c>
      <c r="DO23" s="90"/>
      <c r="DP23" s="92">
        <f t="shared" si="208"/>
        <v>11</v>
      </c>
      <c r="DQ23" s="93" t="str">
        <f t="shared" ref="DQ23:DS23" si="355">IFERROR(VLOOKUP($R23,$A$13:$D$30,-DQ$12,FALSE),"")</f>
        <v>Lainnya 2.3 (3) …….</v>
      </c>
      <c r="DR23" s="94" t="str">
        <f t="shared" si="355"/>
        <v/>
      </c>
      <c r="DS23" s="94" t="str">
        <f t="shared" si="355"/>
        <v/>
      </c>
      <c r="DT23" s="87">
        <f t="shared" si="97"/>
        <v>0</v>
      </c>
      <c r="DU23" s="87" t="str">
        <f t="shared" si="98"/>
        <v>#DIV/0!</v>
      </c>
      <c r="DV23" s="87">
        <f t="shared" si="99"/>
        <v>0</v>
      </c>
      <c r="DW23" s="95"/>
      <c r="DX23" s="87">
        <f t="shared" si="100"/>
        <v>0</v>
      </c>
      <c r="DY23" s="96"/>
      <c r="DZ23" s="96"/>
      <c r="EA23" s="97"/>
      <c r="EB23" s="87">
        <f t="shared" si="101"/>
        <v>0</v>
      </c>
      <c r="EC23" s="95">
        <f t="shared" si="102"/>
        <v>0.4604471269</v>
      </c>
      <c r="ED23" s="98">
        <f t="shared" si="103"/>
        <v>0</v>
      </c>
      <c r="EE23" s="99">
        <f t="shared" si="104"/>
        <v>0</v>
      </c>
      <c r="EF23" s="90"/>
      <c r="EG23" s="92">
        <f t="shared" si="210"/>
        <v>11</v>
      </c>
      <c r="EH23" s="93" t="str">
        <f t="shared" ref="EH23:EJ23" si="356">IFERROR(VLOOKUP($R23,$A$13:$D$30,-EH$12,FALSE),"")</f>
        <v>Lainnya 2.3 (3) …….</v>
      </c>
      <c r="EI23" s="94" t="str">
        <f t="shared" si="356"/>
        <v/>
      </c>
      <c r="EJ23" s="94" t="str">
        <f t="shared" si="356"/>
        <v/>
      </c>
      <c r="EK23" s="87">
        <f t="shared" si="106"/>
        <v>0</v>
      </c>
      <c r="EL23" s="87" t="str">
        <f t="shared" si="107"/>
        <v>#DIV/0!</v>
      </c>
      <c r="EM23" s="87">
        <f t="shared" si="108"/>
        <v>0</v>
      </c>
      <c r="EN23" s="95"/>
      <c r="EO23" s="87">
        <f t="shared" si="109"/>
        <v>0</v>
      </c>
      <c r="EP23" s="96"/>
      <c r="EQ23" s="96"/>
      <c r="ER23" s="97"/>
      <c r="ES23" s="87">
        <f t="shared" si="110"/>
        <v>0</v>
      </c>
      <c r="ET23" s="95">
        <f t="shared" si="111"/>
        <v>0.4604471269</v>
      </c>
      <c r="EU23" s="98">
        <f t="shared" si="112"/>
        <v>0</v>
      </c>
      <c r="EV23" s="99">
        <f t="shared" si="113"/>
        <v>0</v>
      </c>
      <c r="EW23" s="90"/>
      <c r="EX23" s="92">
        <f t="shared" si="212"/>
        <v>11</v>
      </c>
      <c r="EY23" s="93" t="str">
        <f t="shared" ref="EY23:FA23" si="357">IFERROR(VLOOKUP($R23,$A$13:$D$30,-EY$12,FALSE),"")</f>
        <v>Lainnya 2.3 (3) …….</v>
      </c>
      <c r="EZ23" s="94" t="str">
        <f t="shared" si="357"/>
        <v/>
      </c>
      <c r="FA23" s="94" t="str">
        <f t="shared" si="357"/>
        <v/>
      </c>
      <c r="FB23" s="87">
        <f t="shared" si="115"/>
        <v>0</v>
      </c>
      <c r="FC23" s="87" t="str">
        <f t="shared" si="116"/>
        <v>#DIV/0!</v>
      </c>
      <c r="FD23" s="87">
        <f t="shared" si="117"/>
        <v>0</v>
      </c>
      <c r="FE23" s="95"/>
      <c r="FF23" s="87">
        <f t="shared" si="118"/>
        <v>0</v>
      </c>
      <c r="FG23" s="96"/>
      <c r="FH23" s="96"/>
      <c r="FI23" s="97"/>
      <c r="FJ23" s="87">
        <f t="shared" si="119"/>
        <v>0</v>
      </c>
      <c r="FK23" s="95">
        <f t="shared" si="120"/>
        <v>0.4604471269</v>
      </c>
      <c r="FL23" s="98">
        <f t="shared" si="121"/>
        <v>0</v>
      </c>
      <c r="FM23" s="99">
        <f t="shared" si="122"/>
        <v>0</v>
      </c>
      <c r="FN23" s="90"/>
      <c r="FO23" s="92">
        <f t="shared" si="214"/>
        <v>11</v>
      </c>
      <c r="FP23" s="93" t="str">
        <f t="shared" ref="FP23:FR23" si="358">IFERROR(VLOOKUP($R23,$A$13:$D$30,-FP$12,FALSE),"")</f>
        <v>Lainnya 2.3 (3) …….</v>
      </c>
      <c r="FQ23" s="94" t="str">
        <f t="shared" si="358"/>
        <v/>
      </c>
      <c r="FR23" s="94" t="str">
        <f t="shared" si="358"/>
        <v/>
      </c>
      <c r="FS23" s="87">
        <f t="shared" si="124"/>
        <v>0</v>
      </c>
      <c r="FT23" s="87" t="str">
        <f t="shared" si="125"/>
        <v>#DIV/0!</v>
      </c>
      <c r="FU23" s="87">
        <f t="shared" si="126"/>
        <v>0</v>
      </c>
      <c r="FV23" s="95"/>
      <c r="FW23" s="87">
        <f t="shared" si="127"/>
        <v>0</v>
      </c>
      <c r="FX23" s="96"/>
      <c r="FY23" s="96"/>
      <c r="FZ23" s="97"/>
      <c r="GA23" s="87">
        <f t="shared" si="128"/>
        <v>0</v>
      </c>
      <c r="GB23" s="95">
        <f t="shared" si="129"/>
        <v>0.4604471269</v>
      </c>
      <c r="GC23" s="98">
        <f t="shared" si="130"/>
        <v>0</v>
      </c>
      <c r="GD23" s="99">
        <f t="shared" si="131"/>
        <v>0</v>
      </c>
      <c r="GE23" s="90"/>
      <c r="GF23" s="92">
        <f t="shared" si="216"/>
        <v>11</v>
      </c>
      <c r="GG23" s="93" t="str">
        <f t="shared" ref="GG23:GI23" si="359">IFERROR(VLOOKUP($R23,$A$13:$D$30,-GG$12,FALSE),"")</f>
        <v>Lainnya 2.3 (3) …….</v>
      </c>
      <c r="GH23" s="94" t="str">
        <f t="shared" si="359"/>
        <v/>
      </c>
      <c r="GI23" s="94" t="str">
        <f t="shared" si="359"/>
        <v/>
      </c>
      <c r="GJ23" s="87">
        <f t="shared" si="133"/>
        <v>0</v>
      </c>
      <c r="GK23" s="87" t="str">
        <f t="shared" si="134"/>
        <v>#DIV/0!</v>
      </c>
      <c r="GL23" s="87">
        <f t="shared" si="135"/>
        <v>0</v>
      </c>
      <c r="GM23" s="95"/>
      <c r="GN23" s="87">
        <f t="shared" si="136"/>
        <v>0</v>
      </c>
      <c r="GO23" s="96"/>
      <c r="GP23" s="96"/>
      <c r="GQ23" s="97"/>
      <c r="GR23" s="87">
        <f t="shared" si="137"/>
        <v>0</v>
      </c>
      <c r="GS23" s="95">
        <f t="shared" si="138"/>
        <v>0.4604471269</v>
      </c>
      <c r="GT23" s="98">
        <f t="shared" si="139"/>
        <v>0</v>
      </c>
      <c r="GU23" s="99">
        <f t="shared" si="140"/>
        <v>0</v>
      </c>
      <c r="GV23" s="90"/>
      <c r="GW23" s="92">
        <f t="shared" si="218"/>
        <v>11</v>
      </c>
      <c r="GX23" s="93" t="str">
        <f t="shared" ref="GX23:GZ23" si="360">IFERROR(VLOOKUP($R23,$A$13:$D$30,-GX$12,FALSE),"")</f>
        <v>Lainnya 2.3 (3) …….</v>
      </c>
      <c r="GY23" s="94" t="str">
        <f t="shared" si="360"/>
        <v/>
      </c>
      <c r="GZ23" s="94" t="str">
        <f t="shared" si="360"/>
        <v/>
      </c>
      <c r="HA23" s="87">
        <f t="shared" si="142"/>
        <v>0</v>
      </c>
      <c r="HB23" s="87" t="str">
        <f t="shared" si="143"/>
        <v>#DIV/0!</v>
      </c>
      <c r="HC23" s="87">
        <f t="shared" si="144"/>
        <v>0</v>
      </c>
      <c r="HD23" s="95"/>
      <c r="HE23" s="87">
        <f t="shared" si="145"/>
        <v>0</v>
      </c>
      <c r="HF23" s="96"/>
      <c r="HG23" s="96"/>
      <c r="HH23" s="97"/>
      <c r="HI23" s="87">
        <f t="shared" si="146"/>
        <v>0</v>
      </c>
      <c r="HJ23" s="95">
        <f t="shared" si="147"/>
        <v>0.4604471269</v>
      </c>
      <c r="HK23" s="98">
        <f t="shared" si="148"/>
        <v>0</v>
      </c>
      <c r="HL23" s="99">
        <f t="shared" si="149"/>
        <v>0</v>
      </c>
      <c r="HM23" s="90"/>
      <c r="HN23" s="92">
        <f t="shared" si="220"/>
        <v>11</v>
      </c>
      <c r="HO23" s="93" t="str">
        <f t="shared" ref="HO23:HQ23" si="361">IFERROR(VLOOKUP($R23,$A$13:$D$30,-HO$12,FALSE),"")</f>
        <v>Lainnya 2.3 (3) …….</v>
      </c>
      <c r="HP23" s="94" t="str">
        <f t="shared" si="361"/>
        <v/>
      </c>
      <c r="HQ23" s="94" t="str">
        <f t="shared" si="361"/>
        <v/>
      </c>
      <c r="HR23" s="87">
        <f t="shared" si="151"/>
        <v>0</v>
      </c>
      <c r="HS23" s="87" t="str">
        <f t="shared" si="152"/>
        <v>#DIV/0!</v>
      </c>
      <c r="HT23" s="87">
        <f t="shared" si="153"/>
        <v>0</v>
      </c>
      <c r="HU23" s="95"/>
      <c r="HV23" s="87">
        <f t="shared" si="154"/>
        <v>0</v>
      </c>
      <c r="HW23" s="96"/>
      <c r="HX23" s="96"/>
      <c r="HY23" s="97"/>
      <c r="HZ23" s="87">
        <f t="shared" si="155"/>
        <v>0</v>
      </c>
      <c r="IA23" s="95">
        <f t="shared" si="156"/>
        <v>0.4604471269</v>
      </c>
      <c r="IB23" s="98">
        <f t="shared" si="157"/>
        <v>0</v>
      </c>
      <c r="IC23" s="99">
        <f t="shared" si="158"/>
        <v>0</v>
      </c>
      <c r="ID23" s="90"/>
      <c r="IE23" s="92">
        <f t="shared" si="222"/>
        <v>11</v>
      </c>
      <c r="IF23" s="93" t="str">
        <f t="shared" ref="IF23:IH23" si="362">IFERROR(VLOOKUP($R23,$A$13:$D$30,-IF$12,FALSE),"")</f>
        <v>Lainnya 2.3 (3) …….</v>
      </c>
      <c r="IG23" s="94" t="str">
        <f t="shared" si="362"/>
        <v/>
      </c>
      <c r="IH23" s="94" t="str">
        <f t="shared" si="362"/>
        <v/>
      </c>
      <c r="II23" s="87">
        <f t="shared" si="160"/>
        <v>0</v>
      </c>
      <c r="IJ23" s="87" t="str">
        <f t="shared" si="161"/>
        <v>#DIV/0!</v>
      </c>
      <c r="IK23" s="87">
        <f t="shared" si="162"/>
        <v>0</v>
      </c>
      <c r="IL23" s="95"/>
      <c r="IM23" s="87">
        <f t="shared" si="163"/>
        <v>0</v>
      </c>
      <c r="IN23" s="96"/>
      <c r="IO23" s="96"/>
      <c r="IP23" s="97"/>
      <c r="IQ23" s="87">
        <f t="shared" si="164"/>
        <v>0</v>
      </c>
      <c r="IR23" s="95">
        <f t="shared" si="165"/>
        <v>0.4604471269</v>
      </c>
      <c r="IS23" s="98">
        <f t="shared" si="166"/>
        <v>0</v>
      </c>
      <c r="IT23" s="99">
        <f t="shared" si="167"/>
        <v>0</v>
      </c>
      <c r="IU23" s="90"/>
      <c r="IV23" s="92">
        <f t="shared" si="224"/>
        <v>11</v>
      </c>
      <c r="IW23" s="93" t="str">
        <f t="shared" ref="IW23:IY23" si="363">IFERROR(VLOOKUP($R23,$A$13:$D$30,-IW$12,FALSE),"")</f>
        <v>Lainnya 2.3 (3) …….</v>
      </c>
      <c r="IX23" s="94" t="str">
        <f t="shared" si="363"/>
        <v/>
      </c>
      <c r="IY23" s="94" t="str">
        <f t="shared" si="363"/>
        <v/>
      </c>
      <c r="IZ23" s="87">
        <f t="shared" si="169"/>
        <v>0</v>
      </c>
      <c r="JA23" s="87" t="str">
        <f t="shared" si="170"/>
        <v>#DIV/0!</v>
      </c>
      <c r="JB23" s="87">
        <f t="shared" si="171"/>
        <v>0</v>
      </c>
      <c r="JC23" s="95"/>
      <c r="JD23" s="87">
        <f t="shared" si="172"/>
        <v>0</v>
      </c>
      <c r="JE23" s="96"/>
      <c r="JF23" s="96"/>
      <c r="JG23" s="97"/>
      <c r="JH23" s="87">
        <f t="shared" si="173"/>
        <v>0</v>
      </c>
      <c r="JI23" s="95">
        <f t="shared" si="174"/>
        <v>0.4604471269</v>
      </c>
      <c r="JJ23" s="98">
        <f t="shared" si="175"/>
        <v>0</v>
      </c>
      <c r="JK23" s="99">
        <f t="shared" si="176"/>
        <v>0</v>
      </c>
      <c r="JL23" s="90"/>
      <c r="JM23" s="92">
        <f t="shared" si="226"/>
        <v>11</v>
      </c>
      <c r="JN23" s="93" t="str">
        <f t="shared" ref="JN23:JP23" si="364">IFERROR(VLOOKUP($R23,$A$13:$D$30,-JN$12,FALSE),"")</f>
        <v>Lainnya 2.3 (3) …….</v>
      </c>
      <c r="JO23" s="94" t="str">
        <f t="shared" si="364"/>
        <v/>
      </c>
      <c r="JP23" s="94" t="str">
        <f t="shared" si="364"/>
        <v/>
      </c>
      <c r="JQ23" s="87">
        <f t="shared" si="178"/>
        <v>0</v>
      </c>
      <c r="JR23" s="87" t="str">
        <f t="shared" si="179"/>
        <v>#DIV/0!</v>
      </c>
      <c r="JS23" s="87">
        <f t="shared" si="180"/>
        <v>0</v>
      </c>
      <c r="JT23" s="95"/>
      <c r="JU23" s="87">
        <f t="shared" si="181"/>
        <v>0</v>
      </c>
      <c r="JV23" s="96"/>
      <c r="JW23" s="96"/>
      <c r="JX23" s="97"/>
      <c r="JY23" s="87">
        <f t="shared" si="182"/>
        <v>0</v>
      </c>
      <c r="JZ23" s="95">
        <f t="shared" si="183"/>
        <v>0.4604471269</v>
      </c>
      <c r="KA23" s="98">
        <f t="shared" si="184"/>
        <v>0</v>
      </c>
      <c r="KB23" s="99">
        <f t="shared" si="185"/>
        <v>0</v>
      </c>
      <c r="KC23" s="90"/>
      <c r="KD23" s="92">
        <f t="shared" si="228"/>
        <v>11</v>
      </c>
      <c r="KE23" s="93" t="str">
        <f t="shared" ref="KE23:KG23" si="365">IFERROR(VLOOKUP($R23,$A$13:$D$30,-KE$12,FALSE),"")</f>
        <v>Lainnya 2.3 (3) …….</v>
      </c>
      <c r="KF23" s="94" t="str">
        <f t="shared" si="365"/>
        <v/>
      </c>
      <c r="KG23" s="94" t="str">
        <f t="shared" si="365"/>
        <v/>
      </c>
      <c r="KH23" s="87">
        <f t="shared" si="187"/>
        <v>0</v>
      </c>
      <c r="KI23" s="87" t="str">
        <f t="shared" si="188"/>
        <v>#DIV/0!</v>
      </c>
      <c r="KJ23" s="87">
        <f t="shared" si="189"/>
        <v>0</v>
      </c>
      <c r="KK23" s="95"/>
      <c r="KL23" s="87">
        <f t="shared" si="190"/>
        <v>0</v>
      </c>
      <c r="KM23" s="96"/>
      <c r="KN23" s="96"/>
      <c r="KO23" s="97"/>
      <c r="KP23" s="87">
        <f t="shared" si="191"/>
        <v>0</v>
      </c>
      <c r="KQ23" s="95">
        <f t="shared" si="192"/>
        <v>0.4604471269</v>
      </c>
      <c r="KR23" s="98">
        <f t="shared" si="193"/>
        <v>0</v>
      </c>
      <c r="KS23" s="99">
        <f t="shared" si="194"/>
        <v>0</v>
      </c>
      <c r="KT23" s="90"/>
      <c r="KU23" s="91"/>
    </row>
    <row r="24" ht="15.75" customHeight="1">
      <c r="A24" s="92">
        <f t="shared" si="195"/>
        <v>12</v>
      </c>
      <c r="B24" s="93" t="str">
        <f>IFERROR(VLOOKUP($R24,ADHK!$A$13:$D$30,-B$12,FALSE),"")</f>
        <v>Lainnya 2.3 (4) …….</v>
      </c>
      <c r="C24" s="94" t="str">
        <f>IFERROR(VLOOKUP($R24,ADHK!$A$13:$D$30,-C$12,FALSE),"")</f>
        <v/>
      </c>
      <c r="D24" s="94" t="str">
        <f>IFERROR(VLOOKUP($R24,ADHK!$A$13:$D$30,-D$12,FALSE),"")</f>
        <v/>
      </c>
      <c r="E24" s="87">
        <f t="shared" si="35"/>
        <v>0</v>
      </c>
      <c r="F24" s="87" t="str">
        <f t="shared" si="36"/>
        <v>#DIV/0!</v>
      </c>
      <c r="G24" s="87">
        <f t="shared" si="37"/>
        <v>0</v>
      </c>
      <c r="H24" s="95"/>
      <c r="I24" s="87">
        <f t="shared" si="38"/>
        <v>0</v>
      </c>
      <c r="J24" s="96"/>
      <c r="K24" s="96"/>
      <c r="L24" s="97"/>
      <c r="M24" s="87">
        <f t="shared" si="39"/>
        <v>0</v>
      </c>
      <c r="N24" s="95">
        <f>ADHK!N24</f>
        <v>0.4604471269</v>
      </c>
      <c r="O24" s="98">
        <f t="shared" si="40"/>
        <v>0</v>
      </c>
      <c r="P24" s="99">
        <f t="shared" si="41"/>
        <v>0</v>
      </c>
      <c r="Q24" s="90"/>
      <c r="R24" s="92">
        <f t="shared" si="196"/>
        <v>12</v>
      </c>
      <c r="S24" s="93" t="str">
        <f t="shared" ref="S24:U24" si="366">IFERROR(VLOOKUP($R24,$A$13:$D$30,-S$12,FALSE),"")</f>
        <v>Lainnya 2.3 (4) …….</v>
      </c>
      <c r="T24" s="94" t="str">
        <f t="shared" si="366"/>
        <v/>
      </c>
      <c r="U24" s="94" t="str">
        <f t="shared" si="366"/>
        <v/>
      </c>
      <c r="V24" s="87">
        <f t="shared" si="43"/>
        <v>0</v>
      </c>
      <c r="W24" s="87" t="str">
        <f t="shared" si="44"/>
        <v>#DIV/0!</v>
      </c>
      <c r="X24" s="87">
        <f t="shared" si="45"/>
        <v>0</v>
      </c>
      <c r="Y24" s="95"/>
      <c r="Z24" s="87">
        <f t="shared" si="46"/>
        <v>0</v>
      </c>
      <c r="AA24" s="96"/>
      <c r="AB24" s="96"/>
      <c r="AC24" s="97"/>
      <c r="AD24" s="87">
        <f t="shared" si="47"/>
        <v>0</v>
      </c>
      <c r="AE24" s="95">
        <f t="shared" si="48"/>
        <v>0.4604471269</v>
      </c>
      <c r="AF24" s="98">
        <f t="shared" si="49"/>
        <v>0</v>
      </c>
      <c r="AG24" s="99">
        <f t="shared" si="50"/>
        <v>0</v>
      </c>
      <c r="AH24" s="90"/>
      <c r="AI24" s="92">
        <f t="shared" si="198"/>
        <v>12</v>
      </c>
      <c r="AJ24" s="93" t="str">
        <f t="shared" ref="AJ24:AL24" si="367">IFERROR(VLOOKUP($R24,$A$13:$D$30,-AJ$12,FALSE),"")</f>
        <v>Lainnya 2.3 (4) …….</v>
      </c>
      <c r="AK24" s="94" t="str">
        <f t="shared" si="367"/>
        <v/>
      </c>
      <c r="AL24" s="94" t="str">
        <f t="shared" si="367"/>
        <v/>
      </c>
      <c r="AM24" s="87">
        <f t="shared" si="52"/>
        <v>0</v>
      </c>
      <c r="AN24" s="87" t="str">
        <f t="shared" si="53"/>
        <v>#DIV/0!</v>
      </c>
      <c r="AO24" s="87">
        <f t="shared" si="54"/>
        <v>0</v>
      </c>
      <c r="AP24" s="95"/>
      <c r="AQ24" s="87">
        <f t="shared" si="55"/>
        <v>0</v>
      </c>
      <c r="AR24" s="96"/>
      <c r="AS24" s="96"/>
      <c r="AT24" s="97"/>
      <c r="AU24" s="87">
        <f t="shared" si="56"/>
        <v>0</v>
      </c>
      <c r="AV24" s="95">
        <f t="shared" si="57"/>
        <v>0.4604471269</v>
      </c>
      <c r="AW24" s="98">
        <f t="shared" si="58"/>
        <v>0</v>
      </c>
      <c r="AX24" s="99">
        <f t="shared" si="59"/>
        <v>0</v>
      </c>
      <c r="AY24" s="90"/>
      <c r="AZ24" s="92">
        <f t="shared" si="200"/>
        <v>12</v>
      </c>
      <c r="BA24" s="93" t="str">
        <f t="shared" ref="BA24:BC24" si="368">IFERROR(VLOOKUP($R24,$A$13:$D$30,-BA$12,FALSE),"")</f>
        <v>Lainnya 2.3 (4) …….</v>
      </c>
      <c r="BB24" s="94" t="str">
        <f t="shared" si="368"/>
        <v/>
      </c>
      <c r="BC24" s="94" t="str">
        <f t="shared" si="368"/>
        <v/>
      </c>
      <c r="BD24" s="87">
        <f t="shared" si="61"/>
        <v>0</v>
      </c>
      <c r="BE24" s="87" t="str">
        <f t="shared" si="62"/>
        <v>#DIV/0!</v>
      </c>
      <c r="BF24" s="87">
        <f t="shared" si="63"/>
        <v>0</v>
      </c>
      <c r="BG24" s="95"/>
      <c r="BH24" s="87">
        <f t="shared" si="64"/>
        <v>0</v>
      </c>
      <c r="BI24" s="96"/>
      <c r="BJ24" s="96"/>
      <c r="BK24" s="97"/>
      <c r="BL24" s="87">
        <f t="shared" si="65"/>
        <v>0</v>
      </c>
      <c r="BM24" s="95">
        <f t="shared" si="66"/>
        <v>0.4604471269</v>
      </c>
      <c r="BN24" s="98">
        <f t="shared" si="67"/>
        <v>0</v>
      </c>
      <c r="BO24" s="99">
        <f t="shared" si="68"/>
        <v>0</v>
      </c>
      <c r="BP24" s="90"/>
      <c r="BQ24" s="92">
        <f t="shared" si="202"/>
        <v>12</v>
      </c>
      <c r="BR24" s="93" t="str">
        <f t="shared" ref="BR24:BT24" si="369">IFERROR(VLOOKUP($R24,$A$13:$D$30,-BR$12,FALSE),"")</f>
        <v>Lainnya 2.3 (4) …….</v>
      </c>
      <c r="BS24" s="94" t="str">
        <f t="shared" si="369"/>
        <v/>
      </c>
      <c r="BT24" s="94" t="str">
        <f t="shared" si="369"/>
        <v/>
      </c>
      <c r="BU24" s="87">
        <f t="shared" si="70"/>
        <v>0</v>
      </c>
      <c r="BV24" s="87" t="str">
        <f t="shared" si="71"/>
        <v>#DIV/0!</v>
      </c>
      <c r="BW24" s="87">
        <f t="shared" si="72"/>
        <v>0</v>
      </c>
      <c r="BX24" s="95"/>
      <c r="BY24" s="87">
        <f t="shared" si="73"/>
        <v>0</v>
      </c>
      <c r="BZ24" s="96"/>
      <c r="CA24" s="96"/>
      <c r="CB24" s="97"/>
      <c r="CC24" s="87">
        <f t="shared" si="74"/>
        <v>0</v>
      </c>
      <c r="CD24" s="95">
        <f t="shared" si="75"/>
        <v>0.4604471269</v>
      </c>
      <c r="CE24" s="98">
        <f t="shared" si="76"/>
        <v>0</v>
      </c>
      <c r="CF24" s="99">
        <f t="shared" si="77"/>
        <v>0</v>
      </c>
      <c r="CG24" s="90"/>
      <c r="CH24" s="92">
        <f t="shared" si="204"/>
        <v>12</v>
      </c>
      <c r="CI24" s="93" t="str">
        <f t="shared" ref="CI24:CK24" si="370">IFERROR(VLOOKUP($R24,$A$13:$D$30,-CI$12,FALSE),"")</f>
        <v>Lainnya 2.3 (4) …….</v>
      </c>
      <c r="CJ24" s="94" t="str">
        <f t="shared" si="370"/>
        <v/>
      </c>
      <c r="CK24" s="94" t="str">
        <f t="shared" si="370"/>
        <v/>
      </c>
      <c r="CL24" s="87">
        <f t="shared" si="79"/>
        <v>0</v>
      </c>
      <c r="CM24" s="87" t="str">
        <f t="shared" si="80"/>
        <v>#DIV/0!</v>
      </c>
      <c r="CN24" s="87">
        <f t="shared" si="81"/>
        <v>0</v>
      </c>
      <c r="CO24" s="95"/>
      <c r="CP24" s="87">
        <f t="shared" si="82"/>
        <v>0</v>
      </c>
      <c r="CQ24" s="96"/>
      <c r="CR24" s="96"/>
      <c r="CS24" s="97"/>
      <c r="CT24" s="87">
        <f t="shared" si="83"/>
        <v>0</v>
      </c>
      <c r="CU24" s="95">
        <f t="shared" si="84"/>
        <v>0.4604471269</v>
      </c>
      <c r="CV24" s="98">
        <f t="shared" si="85"/>
        <v>0</v>
      </c>
      <c r="CW24" s="99">
        <f t="shared" si="86"/>
        <v>0</v>
      </c>
      <c r="CX24" s="90"/>
      <c r="CY24" s="92">
        <f t="shared" si="206"/>
        <v>12</v>
      </c>
      <c r="CZ24" s="93" t="str">
        <f t="shared" ref="CZ24:DB24" si="371">IFERROR(VLOOKUP($R24,$A$13:$D$30,-CZ$12,FALSE),"")</f>
        <v>Lainnya 2.3 (4) …….</v>
      </c>
      <c r="DA24" s="94" t="str">
        <f t="shared" si="371"/>
        <v/>
      </c>
      <c r="DB24" s="94" t="str">
        <f t="shared" si="371"/>
        <v/>
      </c>
      <c r="DC24" s="87">
        <f t="shared" si="88"/>
        <v>0</v>
      </c>
      <c r="DD24" s="87" t="str">
        <f t="shared" si="89"/>
        <v>#DIV/0!</v>
      </c>
      <c r="DE24" s="87">
        <f t="shared" si="90"/>
        <v>0</v>
      </c>
      <c r="DF24" s="95"/>
      <c r="DG24" s="87">
        <f t="shared" si="91"/>
        <v>0</v>
      </c>
      <c r="DH24" s="96"/>
      <c r="DI24" s="96"/>
      <c r="DJ24" s="97"/>
      <c r="DK24" s="87">
        <f t="shared" si="92"/>
        <v>0</v>
      </c>
      <c r="DL24" s="95">
        <f t="shared" si="93"/>
        <v>0.4604471269</v>
      </c>
      <c r="DM24" s="98">
        <f t="shared" si="94"/>
        <v>0</v>
      </c>
      <c r="DN24" s="99">
        <f t="shared" si="95"/>
        <v>0</v>
      </c>
      <c r="DO24" s="90"/>
      <c r="DP24" s="92">
        <f t="shared" si="208"/>
        <v>12</v>
      </c>
      <c r="DQ24" s="93" t="str">
        <f t="shared" ref="DQ24:DS24" si="372">IFERROR(VLOOKUP($R24,$A$13:$D$30,-DQ$12,FALSE),"")</f>
        <v>Lainnya 2.3 (4) …….</v>
      </c>
      <c r="DR24" s="94" t="str">
        <f t="shared" si="372"/>
        <v/>
      </c>
      <c r="DS24" s="94" t="str">
        <f t="shared" si="372"/>
        <v/>
      </c>
      <c r="DT24" s="87">
        <f t="shared" si="97"/>
        <v>0</v>
      </c>
      <c r="DU24" s="87" t="str">
        <f t="shared" si="98"/>
        <v>#DIV/0!</v>
      </c>
      <c r="DV24" s="87">
        <f t="shared" si="99"/>
        <v>0</v>
      </c>
      <c r="DW24" s="95"/>
      <c r="DX24" s="87">
        <f t="shared" si="100"/>
        <v>0</v>
      </c>
      <c r="DY24" s="96"/>
      <c r="DZ24" s="96"/>
      <c r="EA24" s="97"/>
      <c r="EB24" s="87">
        <f t="shared" si="101"/>
        <v>0</v>
      </c>
      <c r="EC24" s="95">
        <f t="shared" si="102"/>
        <v>0.4604471269</v>
      </c>
      <c r="ED24" s="98">
        <f t="shared" si="103"/>
        <v>0</v>
      </c>
      <c r="EE24" s="99">
        <f t="shared" si="104"/>
        <v>0</v>
      </c>
      <c r="EF24" s="90"/>
      <c r="EG24" s="92">
        <f t="shared" si="210"/>
        <v>12</v>
      </c>
      <c r="EH24" s="93" t="str">
        <f t="shared" ref="EH24:EJ24" si="373">IFERROR(VLOOKUP($R24,$A$13:$D$30,-EH$12,FALSE),"")</f>
        <v>Lainnya 2.3 (4) …….</v>
      </c>
      <c r="EI24" s="94" t="str">
        <f t="shared" si="373"/>
        <v/>
      </c>
      <c r="EJ24" s="94" t="str">
        <f t="shared" si="373"/>
        <v/>
      </c>
      <c r="EK24" s="87">
        <f t="shared" si="106"/>
        <v>0</v>
      </c>
      <c r="EL24" s="87" t="str">
        <f t="shared" si="107"/>
        <v>#DIV/0!</v>
      </c>
      <c r="EM24" s="87">
        <f t="shared" si="108"/>
        <v>0</v>
      </c>
      <c r="EN24" s="95"/>
      <c r="EO24" s="87">
        <f t="shared" si="109"/>
        <v>0</v>
      </c>
      <c r="EP24" s="96"/>
      <c r="EQ24" s="96"/>
      <c r="ER24" s="97"/>
      <c r="ES24" s="87">
        <f t="shared" si="110"/>
        <v>0</v>
      </c>
      <c r="ET24" s="95">
        <f t="shared" si="111"/>
        <v>0.4604471269</v>
      </c>
      <c r="EU24" s="98">
        <f t="shared" si="112"/>
        <v>0</v>
      </c>
      <c r="EV24" s="99">
        <f t="shared" si="113"/>
        <v>0</v>
      </c>
      <c r="EW24" s="90"/>
      <c r="EX24" s="92">
        <f t="shared" si="212"/>
        <v>12</v>
      </c>
      <c r="EY24" s="93" t="str">
        <f t="shared" ref="EY24:FA24" si="374">IFERROR(VLOOKUP($R24,$A$13:$D$30,-EY$12,FALSE),"")</f>
        <v>Lainnya 2.3 (4) …….</v>
      </c>
      <c r="EZ24" s="94" t="str">
        <f t="shared" si="374"/>
        <v/>
      </c>
      <c r="FA24" s="94" t="str">
        <f t="shared" si="374"/>
        <v/>
      </c>
      <c r="FB24" s="87">
        <f t="shared" si="115"/>
        <v>0</v>
      </c>
      <c r="FC24" s="87" t="str">
        <f t="shared" si="116"/>
        <v>#DIV/0!</v>
      </c>
      <c r="FD24" s="87">
        <f t="shared" si="117"/>
        <v>0</v>
      </c>
      <c r="FE24" s="95"/>
      <c r="FF24" s="87">
        <f t="shared" si="118"/>
        <v>0</v>
      </c>
      <c r="FG24" s="96"/>
      <c r="FH24" s="96"/>
      <c r="FI24" s="97"/>
      <c r="FJ24" s="87">
        <f t="shared" si="119"/>
        <v>0</v>
      </c>
      <c r="FK24" s="95">
        <f t="shared" si="120"/>
        <v>0.4604471269</v>
      </c>
      <c r="FL24" s="98">
        <f t="shared" si="121"/>
        <v>0</v>
      </c>
      <c r="FM24" s="99">
        <f t="shared" si="122"/>
        <v>0</v>
      </c>
      <c r="FN24" s="90"/>
      <c r="FO24" s="92">
        <f t="shared" si="214"/>
        <v>12</v>
      </c>
      <c r="FP24" s="93" t="str">
        <f t="shared" ref="FP24:FR24" si="375">IFERROR(VLOOKUP($R24,$A$13:$D$30,-FP$12,FALSE),"")</f>
        <v>Lainnya 2.3 (4) …….</v>
      </c>
      <c r="FQ24" s="94" t="str">
        <f t="shared" si="375"/>
        <v/>
      </c>
      <c r="FR24" s="94" t="str">
        <f t="shared" si="375"/>
        <v/>
      </c>
      <c r="FS24" s="87">
        <f t="shared" si="124"/>
        <v>0</v>
      </c>
      <c r="FT24" s="87" t="str">
        <f t="shared" si="125"/>
        <v>#DIV/0!</v>
      </c>
      <c r="FU24" s="87">
        <f t="shared" si="126"/>
        <v>0</v>
      </c>
      <c r="FV24" s="95"/>
      <c r="FW24" s="87">
        <f t="shared" si="127"/>
        <v>0</v>
      </c>
      <c r="FX24" s="96"/>
      <c r="FY24" s="96"/>
      <c r="FZ24" s="97"/>
      <c r="GA24" s="87">
        <f t="shared" si="128"/>
        <v>0</v>
      </c>
      <c r="GB24" s="95">
        <f t="shared" si="129"/>
        <v>0.4604471269</v>
      </c>
      <c r="GC24" s="98">
        <f t="shared" si="130"/>
        <v>0</v>
      </c>
      <c r="GD24" s="99">
        <f t="shared" si="131"/>
        <v>0</v>
      </c>
      <c r="GE24" s="90"/>
      <c r="GF24" s="92">
        <f t="shared" si="216"/>
        <v>12</v>
      </c>
      <c r="GG24" s="93" t="str">
        <f t="shared" ref="GG24:GI24" si="376">IFERROR(VLOOKUP($R24,$A$13:$D$30,-GG$12,FALSE),"")</f>
        <v>Lainnya 2.3 (4) …….</v>
      </c>
      <c r="GH24" s="94" t="str">
        <f t="shared" si="376"/>
        <v/>
      </c>
      <c r="GI24" s="94" t="str">
        <f t="shared" si="376"/>
        <v/>
      </c>
      <c r="GJ24" s="87">
        <f t="shared" si="133"/>
        <v>0</v>
      </c>
      <c r="GK24" s="87" t="str">
        <f t="shared" si="134"/>
        <v>#DIV/0!</v>
      </c>
      <c r="GL24" s="87">
        <f t="shared" si="135"/>
        <v>0</v>
      </c>
      <c r="GM24" s="95"/>
      <c r="GN24" s="87">
        <f t="shared" si="136"/>
        <v>0</v>
      </c>
      <c r="GO24" s="96"/>
      <c r="GP24" s="96"/>
      <c r="GQ24" s="97"/>
      <c r="GR24" s="87">
        <f t="shared" si="137"/>
        <v>0</v>
      </c>
      <c r="GS24" s="95">
        <f t="shared" si="138"/>
        <v>0.4604471269</v>
      </c>
      <c r="GT24" s="98">
        <f t="shared" si="139"/>
        <v>0</v>
      </c>
      <c r="GU24" s="99">
        <f t="shared" si="140"/>
        <v>0</v>
      </c>
      <c r="GV24" s="90"/>
      <c r="GW24" s="92">
        <f t="shared" si="218"/>
        <v>12</v>
      </c>
      <c r="GX24" s="93" t="str">
        <f t="shared" ref="GX24:GZ24" si="377">IFERROR(VLOOKUP($R24,$A$13:$D$30,-GX$12,FALSE),"")</f>
        <v>Lainnya 2.3 (4) …….</v>
      </c>
      <c r="GY24" s="94" t="str">
        <f t="shared" si="377"/>
        <v/>
      </c>
      <c r="GZ24" s="94" t="str">
        <f t="shared" si="377"/>
        <v/>
      </c>
      <c r="HA24" s="87">
        <f t="shared" si="142"/>
        <v>0</v>
      </c>
      <c r="HB24" s="87" t="str">
        <f t="shared" si="143"/>
        <v>#DIV/0!</v>
      </c>
      <c r="HC24" s="87">
        <f t="shared" si="144"/>
        <v>0</v>
      </c>
      <c r="HD24" s="95"/>
      <c r="HE24" s="87">
        <f t="shared" si="145"/>
        <v>0</v>
      </c>
      <c r="HF24" s="96"/>
      <c r="HG24" s="96"/>
      <c r="HH24" s="97"/>
      <c r="HI24" s="87">
        <f t="shared" si="146"/>
        <v>0</v>
      </c>
      <c r="HJ24" s="95">
        <f t="shared" si="147"/>
        <v>0.4604471269</v>
      </c>
      <c r="HK24" s="98">
        <f t="shared" si="148"/>
        <v>0</v>
      </c>
      <c r="HL24" s="99">
        <f t="shared" si="149"/>
        <v>0</v>
      </c>
      <c r="HM24" s="90"/>
      <c r="HN24" s="92">
        <f t="shared" si="220"/>
        <v>12</v>
      </c>
      <c r="HO24" s="93" t="str">
        <f t="shared" ref="HO24:HQ24" si="378">IFERROR(VLOOKUP($R24,$A$13:$D$30,-HO$12,FALSE),"")</f>
        <v>Lainnya 2.3 (4) …….</v>
      </c>
      <c r="HP24" s="94" t="str">
        <f t="shared" si="378"/>
        <v/>
      </c>
      <c r="HQ24" s="94" t="str">
        <f t="shared" si="378"/>
        <v/>
      </c>
      <c r="HR24" s="87">
        <f t="shared" si="151"/>
        <v>0</v>
      </c>
      <c r="HS24" s="87" t="str">
        <f t="shared" si="152"/>
        <v>#DIV/0!</v>
      </c>
      <c r="HT24" s="87">
        <f t="shared" si="153"/>
        <v>0</v>
      </c>
      <c r="HU24" s="95"/>
      <c r="HV24" s="87">
        <f t="shared" si="154"/>
        <v>0</v>
      </c>
      <c r="HW24" s="96"/>
      <c r="HX24" s="96"/>
      <c r="HY24" s="97"/>
      <c r="HZ24" s="87">
        <f t="shared" si="155"/>
        <v>0</v>
      </c>
      <c r="IA24" s="95">
        <f t="shared" si="156"/>
        <v>0.4604471269</v>
      </c>
      <c r="IB24" s="98">
        <f t="shared" si="157"/>
        <v>0</v>
      </c>
      <c r="IC24" s="99">
        <f t="shared" si="158"/>
        <v>0</v>
      </c>
      <c r="ID24" s="90"/>
      <c r="IE24" s="92">
        <f t="shared" si="222"/>
        <v>12</v>
      </c>
      <c r="IF24" s="93" t="str">
        <f t="shared" ref="IF24:IH24" si="379">IFERROR(VLOOKUP($R24,$A$13:$D$30,-IF$12,FALSE),"")</f>
        <v>Lainnya 2.3 (4) …….</v>
      </c>
      <c r="IG24" s="94" t="str">
        <f t="shared" si="379"/>
        <v/>
      </c>
      <c r="IH24" s="94" t="str">
        <f t="shared" si="379"/>
        <v/>
      </c>
      <c r="II24" s="87">
        <f t="shared" si="160"/>
        <v>0</v>
      </c>
      <c r="IJ24" s="87" t="str">
        <f t="shared" si="161"/>
        <v>#DIV/0!</v>
      </c>
      <c r="IK24" s="87">
        <f t="shared" si="162"/>
        <v>0</v>
      </c>
      <c r="IL24" s="95"/>
      <c r="IM24" s="87">
        <f t="shared" si="163"/>
        <v>0</v>
      </c>
      <c r="IN24" s="96"/>
      <c r="IO24" s="96"/>
      <c r="IP24" s="97"/>
      <c r="IQ24" s="87">
        <f t="shared" si="164"/>
        <v>0</v>
      </c>
      <c r="IR24" s="95">
        <f t="shared" si="165"/>
        <v>0.4604471269</v>
      </c>
      <c r="IS24" s="98">
        <f t="shared" si="166"/>
        <v>0</v>
      </c>
      <c r="IT24" s="99">
        <f t="shared" si="167"/>
        <v>0</v>
      </c>
      <c r="IU24" s="90"/>
      <c r="IV24" s="92">
        <f t="shared" si="224"/>
        <v>12</v>
      </c>
      <c r="IW24" s="93" t="str">
        <f t="shared" ref="IW24:IY24" si="380">IFERROR(VLOOKUP($R24,$A$13:$D$30,-IW$12,FALSE),"")</f>
        <v>Lainnya 2.3 (4) …….</v>
      </c>
      <c r="IX24" s="94" t="str">
        <f t="shared" si="380"/>
        <v/>
      </c>
      <c r="IY24" s="94" t="str">
        <f t="shared" si="380"/>
        <v/>
      </c>
      <c r="IZ24" s="87">
        <f t="shared" si="169"/>
        <v>0</v>
      </c>
      <c r="JA24" s="87" t="str">
        <f t="shared" si="170"/>
        <v>#DIV/0!</v>
      </c>
      <c r="JB24" s="87">
        <f t="shared" si="171"/>
        <v>0</v>
      </c>
      <c r="JC24" s="95"/>
      <c r="JD24" s="87">
        <f t="shared" si="172"/>
        <v>0</v>
      </c>
      <c r="JE24" s="96"/>
      <c r="JF24" s="96"/>
      <c r="JG24" s="97"/>
      <c r="JH24" s="87">
        <f t="shared" si="173"/>
        <v>0</v>
      </c>
      <c r="JI24" s="95">
        <f t="shared" si="174"/>
        <v>0.4604471269</v>
      </c>
      <c r="JJ24" s="98">
        <f t="shared" si="175"/>
        <v>0</v>
      </c>
      <c r="JK24" s="99">
        <f t="shared" si="176"/>
        <v>0</v>
      </c>
      <c r="JL24" s="90"/>
      <c r="JM24" s="92">
        <f t="shared" si="226"/>
        <v>12</v>
      </c>
      <c r="JN24" s="93" t="str">
        <f t="shared" ref="JN24:JP24" si="381">IFERROR(VLOOKUP($R24,$A$13:$D$30,-JN$12,FALSE),"")</f>
        <v>Lainnya 2.3 (4) …….</v>
      </c>
      <c r="JO24" s="94" t="str">
        <f t="shared" si="381"/>
        <v/>
      </c>
      <c r="JP24" s="94" t="str">
        <f t="shared" si="381"/>
        <v/>
      </c>
      <c r="JQ24" s="87">
        <f t="shared" si="178"/>
        <v>0</v>
      </c>
      <c r="JR24" s="87" t="str">
        <f t="shared" si="179"/>
        <v>#DIV/0!</v>
      </c>
      <c r="JS24" s="87">
        <f t="shared" si="180"/>
        <v>0</v>
      </c>
      <c r="JT24" s="95"/>
      <c r="JU24" s="87">
        <f t="shared" si="181"/>
        <v>0</v>
      </c>
      <c r="JV24" s="96"/>
      <c r="JW24" s="96"/>
      <c r="JX24" s="97"/>
      <c r="JY24" s="87">
        <f t="shared" si="182"/>
        <v>0</v>
      </c>
      <c r="JZ24" s="95">
        <f t="shared" si="183"/>
        <v>0.4604471269</v>
      </c>
      <c r="KA24" s="98">
        <f t="shared" si="184"/>
        <v>0</v>
      </c>
      <c r="KB24" s="99">
        <f t="shared" si="185"/>
        <v>0</v>
      </c>
      <c r="KC24" s="90"/>
      <c r="KD24" s="92">
        <f t="shared" si="228"/>
        <v>12</v>
      </c>
      <c r="KE24" s="93" t="str">
        <f t="shared" ref="KE24:KG24" si="382">IFERROR(VLOOKUP($R24,$A$13:$D$30,-KE$12,FALSE),"")</f>
        <v>Lainnya 2.3 (4) …….</v>
      </c>
      <c r="KF24" s="94" t="str">
        <f t="shared" si="382"/>
        <v/>
      </c>
      <c r="KG24" s="94" t="str">
        <f t="shared" si="382"/>
        <v/>
      </c>
      <c r="KH24" s="87">
        <f t="shared" si="187"/>
        <v>0</v>
      </c>
      <c r="KI24" s="87" t="str">
        <f t="shared" si="188"/>
        <v>#DIV/0!</v>
      </c>
      <c r="KJ24" s="87">
        <f t="shared" si="189"/>
        <v>0</v>
      </c>
      <c r="KK24" s="95"/>
      <c r="KL24" s="87">
        <f t="shared" si="190"/>
        <v>0</v>
      </c>
      <c r="KM24" s="96"/>
      <c r="KN24" s="96"/>
      <c r="KO24" s="97"/>
      <c r="KP24" s="87">
        <f t="shared" si="191"/>
        <v>0</v>
      </c>
      <c r="KQ24" s="95">
        <f t="shared" si="192"/>
        <v>0.4604471269</v>
      </c>
      <c r="KR24" s="98">
        <f t="shared" si="193"/>
        <v>0</v>
      </c>
      <c r="KS24" s="99">
        <f t="shared" si="194"/>
        <v>0</v>
      </c>
      <c r="KT24" s="90"/>
      <c r="KU24" s="91"/>
    </row>
    <row r="25" ht="15.75" customHeight="1">
      <c r="A25" s="92">
        <f t="shared" si="195"/>
        <v>13</v>
      </c>
      <c r="B25" s="93" t="str">
        <f>IFERROR(VLOOKUP($R25,ADHK!$A$13:$D$30,-B$12,FALSE),"")</f>
        <v>Lainnya 2.3 (5) …….</v>
      </c>
      <c r="C25" s="94" t="str">
        <f>IFERROR(VLOOKUP($R25,ADHK!$A$13:$D$30,-C$12,FALSE),"")</f>
        <v/>
      </c>
      <c r="D25" s="94" t="str">
        <f>IFERROR(VLOOKUP($R25,ADHK!$A$13:$D$30,-D$12,FALSE),"")</f>
        <v/>
      </c>
      <c r="E25" s="87">
        <f t="shared" si="35"/>
        <v>0</v>
      </c>
      <c r="F25" s="87" t="str">
        <f t="shared" si="36"/>
        <v>#DIV/0!</v>
      </c>
      <c r="G25" s="87">
        <f t="shared" si="37"/>
        <v>0</v>
      </c>
      <c r="H25" s="95"/>
      <c r="I25" s="87">
        <f t="shared" si="38"/>
        <v>0</v>
      </c>
      <c r="J25" s="96"/>
      <c r="K25" s="96"/>
      <c r="L25" s="97"/>
      <c r="M25" s="87">
        <f t="shared" si="39"/>
        <v>0</v>
      </c>
      <c r="N25" s="95">
        <f>ADHK!N25</f>
        <v>0.4604471269</v>
      </c>
      <c r="O25" s="98">
        <f t="shared" si="40"/>
        <v>0</v>
      </c>
      <c r="P25" s="99">
        <f t="shared" si="41"/>
        <v>0</v>
      </c>
      <c r="Q25" s="90"/>
      <c r="R25" s="92">
        <f t="shared" si="196"/>
        <v>13</v>
      </c>
      <c r="S25" s="93" t="str">
        <f t="shared" ref="S25:U25" si="383">IFERROR(VLOOKUP($R25,$A$13:$D$30,-S$12,FALSE),"")</f>
        <v>Lainnya 2.3 (5) …….</v>
      </c>
      <c r="T25" s="94" t="str">
        <f t="shared" si="383"/>
        <v/>
      </c>
      <c r="U25" s="94" t="str">
        <f t="shared" si="383"/>
        <v/>
      </c>
      <c r="V25" s="87">
        <f t="shared" si="43"/>
        <v>0</v>
      </c>
      <c r="W25" s="87" t="str">
        <f t="shared" si="44"/>
        <v>#DIV/0!</v>
      </c>
      <c r="X25" s="87">
        <f t="shared" si="45"/>
        <v>0</v>
      </c>
      <c r="Y25" s="95"/>
      <c r="Z25" s="87">
        <f t="shared" si="46"/>
        <v>0</v>
      </c>
      <c r="AA25" s="96"/>
      <c r="AB25" s="96"/>
      <c r="AC25" s="97"/>
      <c r="AD25" s="87">
        <f t="shared" si="47"/>
        <v>0</v>
      </c>
      <c r="AE25" s="95">
        <f t="shared" si="48"/>
        <v>0.4604471269</v>
      </c>
      <c r="AF25" s="98">
        <f t="shared" si="49"/>
        <v>0</v>
      </c>
      <c r="AG25" s="99">
        <f t="shared" si="50"/>
        <v>0</v>
      </c>
      <c r="AH25" s="90"/>
      <c r="AI25" s="92">
        <f t="shared" si="198"/>
        <v>13</v>
      </c>
      <c r="AJ25" s="93" t="str">
        <f t="shared" ref="AJ25:AL25" si="384">IFERROR(VLOOKUP($R25,$A$13:$D$30,-AJ$12,FALSE),"")</f>
        <v>Lainnya 2.3 (5) …….</v>
      </c>
      <c r="AK25" s="94" t="str">
        <f t="shared" si="384"/>
        <v/>
      </c>
      <c r="AL25" s="94" t="str">
        <f t="shared" si="384"/>
        <v/>
      </c>
      <c r="AM25" s="87">
        <f t="shared" si="52"/>
        <v>0</v>
      </c>
      <c r="AN25" s="87" t="str">
        <f t="shared" si="53"/>
        <v>#DIV/0!</v>
      </c>
      <c r="AO25" s="87">
        <f t="shared" si="54"/>
        <v>0</v>
      </c>
      <c r="AP25" s="95"/>
      <c r="AQ25" s="87">
        <f t="shared" si="55"/>
        <v>0</v>
      </c>
      <c r="AR25" s="96"/>
      <c r="AS25" s="96"/>
      <c r="AT25" s="97"/>
      <c r="AU25" s="87">
        <f t="shared" si="56"/>
        <v>0</v>
      </c>
      <c r="AV25" s="95">
        <f t="shared" si="57"/>
        <v>0.4604471269</v>
      </c>
      <c r="AW25" s="98">
        <f t="shared" si="58"/>
        <v>0</v>
      </c>
      <c r="AX25" s="99">
        <f t="shared" si="59"/>
        <v>0</v>
      </c>
      <c r="AY25" s="90"/>
      <c r="AZ25" s="92">
        <f t="shared" si="200"/>
        <v>13</v>
      </c>
      <c r="BA25" s="93" t="str">
        <f t="shared" ref="BA25:BC25" si="385">IFERROR(VLOOKUP($R25,$A$13:$D$30,-BA$12,FALSE),"")</f>
        <v>Lainnya 2.3 (5) …….</v>
      </c>
      <c r="BB25" s="94" t="str">
        <f t="shared" si="385"/>
        <v/>
      </c>
      <c r="BC25" s="94" t="str">
        <f t="shared" si="385"/>
        <v/>
      </c>
      <c r="BD25" s="87">
        <f t="shared" si="61"/>
        <v>0</v>
      </c>
      <c r="BE25" s="87" t="str">
        <f t="shared" si="62"/>
        <v>#DIV/0!</v>
      </c>
      <c r="BF25" s="87">
        <f t="shared" si="63"/>
        <v>0</v>
      </c>
      <c r="BG25" s="95"/>
      <c r="BH25" s="87">
        <f t="shared" si="64"/>
        <v>0</v>
      </c>
      <c r="BI25" s="96"/>
      <c r="BJ25" s="96"/>
      <c r="BK25" s="97"/>
      <c r="BL25" s="87">
        <f t="shared" si="65"/>
        <v>0</v>
      </c>
      <c r="BM25" s="95">
        <f t="shared" si="66"/>
        <v>0.4604471269</v>
      </c>
      <c r="BN25" s="98">
        <f t="shared" si="67"/>
        <v>0</v>
      </c>
      <c r="BO25" s="99">
        <f t="shared" si="68"/>
        <v>0</v>
      </c>
      <c r="BP25" s="90"/>
      <c r="BQ25" s="92">
        <f t="shared" si="202"/>
        <v>13</v>
      </c>
      <c r="BR25" s="93" t="str">
        <f t="shared" ref="BR25:BT25" si="386">IFERROR(VLOOKUP($R25,$A$13:$D$30,-BR$12,FALSE),"")</f>
        <v>Lainnya 2.3 (5) …….</v>
      </c>
      <c r="BS25" s="94" t="str">
        <f t="shared" si="386"/>
        <v/>
      </c>
      <c r="BT25" s="94" t="str">
        <f t="shared" si="386"/>
        <v/>
      </c>
      <c r="BU25" s="87">
        <f t="shared" si="70"/>
        <v>0</v>
      </c>
      <c r="BV25" s="87" t="str">
        <f t="shared" si="71"/>
        <v>#DIV/0!</v>
      </c>
      <c r="BW25" s="87">
        <f t="shared" si="72"/>
        <v>0</v>
      </c>
      <c r="BX25" s="95"/>
      <c r="BY25" s="87">
        <f t="shared" si="73"/>
        <v>0</v>
      </c>
      <c r="BZ25" s="96"/>
      <c r="CA25" s="96"/>
      <c r="CB25" s="97"/>
      <c r="CC25" s="87">
        <f t="shared" si="74"/>
        <v>0</v>
      </c>
      <c r="CD25" s="95">
        <f t="shared" si="75"/>
        <v>0.4604471269</v>
      </c>
      <c r="CE25" s="98">
        <f t="shared" si="76"/>
        <v>0</v>
      </c>
      <c r="CF25" s="99">
        <f t="shared" si="77"/>
        <v>0</v>
      </c>
      <c r="CG25" s="90"/>
      <c r="CH25" s="92">
        <f t="shared" si="204"/>
        <v>13</v>
      </c>
      <c r="CI25" s="93" t="str">
        <f t="shared" ref="CI25:CK25" si="387">IFERROR(VLOOKUP($R25,$A$13:$D$30,-CI$12,FALSE),"")</f>
        <v>Lainnya 2.3 (5) …….</v>
      </c>
      <c r="CJ25" s="94" t="str">
        <f t="shared" si="387"/>
        <v/>
      </c>
      <c r="CK25" s="94" t="str">
        <f t="shared" si="387"/>
        <v/>
      </c>
      <c r="CL25" s="87">
        <f t="shared" si="79"/>
        <v>0</v>
      </c>
      <c r="CM25" s="87" t="str">
        <f t="shared" si="80"/>
        <v>#DIV/0!</v>
      </c>
      <c r="CN25" s="87">
        <f t="shared" si="81"/>
        <v>0</v>
      </c>
      <c r="CO25" s="95"/>
      <c r="CP25" s="87">
        <f t="shared" si="82"/>
        <v>0</v>
      </c>
      <c r="CQ25" s="96"/>
      <c r="CR25" s="96"/>
      <c r="CS25" s="97"/>
      <c r="CT25" s="87">
        <f t="shared" si="83"/>
        <v>0</v>
      </c>
      <c r="CU25" s="95">
        <f t="shared" si="84"/>
        <v>0.4604471269</v>
      </c>
      <c r="CV25" s="98">
        <f t="shared" si="85"/>
        <v>0</v>
      </c>
      <c r="CW25" s="99">
        <f t="shared" si="86"/>
        <v>0</v>
      </c>
      <c r="CX25" s="90"/>
      <c r="CY25" s="92">
        <f t="shared" si="206"/>
        <v>13</v>
      </c>
      <c r="CZ25" s="93" t="str">
        <f t="shared" ref="CZ25:DB25" si="388">IFERROR(VLOOKUP($R25,$A$13:$D$30,-CZ$12,FALSE),"")</f>
        <v>Lainnya 2.3 (5) …….</v>
      </c>
      <c r="DA25" s="94" t="str">
        <f t="shared" si="388"/>
        <v/>
      </c>
      <c r="DB25" s="94" t="str">
        <f t="shared" si="388"/>
        <v/>
      </c>
      <c r="DC25" s="87">
        <f t="shared" si="88"/>
        <v>0</v>
      </c>
      <c r="DD25" s="87" t="str">
        <f t="shared" si="89"/>
        <v>#DIV/0!</v>
      </c>
      <c r="DE25" s="87">
        <f t="shared" si="90"/>
        <v>0</v>
      </c>
      <c r="DF25" s="95"/>
      <c r="DG25" s="87">
        <f t="shared" si="91"/>
        <v>0</v>
      </c>
      <c r="DH25" s="96"/>
      <c r="DI25" s="96"/>
      <c r="DJ25" s="97"/>
      <c r="DK25" s="87">
        <f t="shared" si="92"/>
        <v>0</v>
      </c>
      <c r="DL25" s="95">
        <f t="shared" si="93"/>
        <v>0.4604471269</v>
      </c>
      <c r="DM25" s="98">
        <f t="shared" si="94"/>
        <v>0</v>
      </c>
      <c r="DN25" s="99">
        <f t="shared" si="95"/>
        <v>0</v>
      </c>
      <c r="DO25" s="90"/>
      <c r="DP25" s="92">
        <f t="shared" si="208"/>
        <v>13</v>
      </c>
      <c r="DQ25" s="93" t="str">
        <f t="shared" ref="DQ25:DS25" si="389">IFERROR(VLOOKUP($R25,$A$13:$D$30,-DQ$12,FALSE),"")</f>
        <v>Lainnya 2.3 (5) …….</v>
      </c>
      <c r="DR25" s="94" t="str">
        <f t="shared" si="389"/>
        <v/>
      </c>
      <c r="DS25" s="94" t="str">
        <f t="shared" si="389"/>
        <v/>
      </c>
      <c r="DT25" s="87">
        <f t="shared" si="97"/>
        <v>0</v>
      </c>
      <c r="DU25" s="87" t="str">
        <f t="shared" si="98"/>
        <v>#DIV/0!</v>
      </c>
      <c r="DV25" s="87">
        <f t="shared" si="99"/>
        <v>0</v>
      </c>
      <c r="DW25" s="95"/>
      <c r="DX25" s="87">
        <f t="shared" si="100"/>
        <v>0</v>
      </c>
      <c r="DY25" s="96"/>
      <c r="DZ25" s="96"/>
      <c r="EA25" s="97"/>
      <c r="EB25" s="87">
        <f t="shared" si="101"/>
        <v>0</v>
      </c>
      <c r="EC25" s="95">
        <f t="shared" si="102"/>
        <v>0.4604471269</v>
      </c>
      <c r="ED25" s="98">
        <f t="shared" si="103"/>
        <v>0</v>
      </c>
      <c r="EE25" s="99">
        <f t="shared" si="104"/>
        <v>0</v>
      </c>
      <c r="EF25" s="90"/>
      <c r="EG25" s="92">
        <f t="shared" si="210"/>
        <v>13</v>
      </c>
      <c r="EH25" s="93" t="str">
        <f t="shared" ref="EH25:EJ25" si="390">IFERROR(VLOOKUP($R25,$A$13:$D$30,-EH$12,FALSE),"")</f>
        <v>Lainnya 2.3 (5) …….</v>
      </c>
      <c r="EI25" s="94" t="str">
        <f t="shared" si="390"/>
        <v/>
      </c>
      <c r="EJ25" s="94" t="str">
        <f t="shared" si="390"/>
        <v/>
      </c>
      <c r="EK25" s="87">
        <f t="shared" si="106"/>
        <v>0</v>
      </c>
      <c r="EL25" s="87" t="str">
        <f t="shared" si="107"/>
        <v>#DIV/0!</v>
      </c>
      <c r="EM25" s="87">
        <f t="shared" si="108"/>
        <v>0</v>
      </c>
      <c r="EN25" s="95"/>
      <c r="EO25" s="87">
        <f t="shared" si="109"/>
        <v>0</v>
      </c>
      <c r="EP25" s="96"/>
      <c r="EQ25" s="96"/>
      <c r="ER25" s="97"/>
      <c r="ES25" s="87">
        <f t="shared" si="110"/>
        <v>0</v>
      </c>
      <c r="ET25" s="95">
        <f t="shared" si="111"/>
        <v>0.4604471269</v>
      </c>
      <c r="EU25" s="98">
        <f t="shared" si="112"/>
        <v>0</v>
      </c>
      <c r="EV25" s="99">
        <f t="shared" si="113"/>
        <v>0</v>
      </c>
      <c r="EW25" s="90"/>
      <c r="EX25" s="92">
        <f t="shared" si="212"/>
        <v>13</v>
      </c>
      <c r="EY25" s="93" t="str">
        <f t="shared" ref="EY25:FA25" si="391">IFERROR(VLOOKUP($R25,$A$13:$D$30,-EY$12,FALSE),"")</f>
        <v>Lainnya 2.3 (5) …….</v>
      </c>
      <c r="EZ25" s="94" t="str">
        <f t="shared" si="391"/>
        <v/>
      </c>
      <c r="FA25" s="94" t="str">
        <f t="shared" si="391"/>
        <v/>
      </c>
      <c r="FB25" s="87">
        <f t="shared" si="115"/>
        <v>0</v>
      </c>
      <c r="FC25" s="87" t="str">
        <f t="shared" si="116"/>
        <v>#DIV/0!</v>
      </c>
      <c r="FD25" s="87">
        <f t="shared" si="117"/>
        <v>0</v>
      </c>
      <c r="FE25" s="95"/>
      <c r="FF25" s="87">
        <f t="shared" si="118"/>
        <v>0</v>
      </c>
      <c r="FG25" s="96"/>
      <c r="FH25" s="96"/>
      <c r="FI25" s="97"/>
      <c r="FJ25" s="87">
        <f t="shared" si="119"/>
        <v>0</v>
      </c>
      <c r="FK25" s="95">
        <f t="shared" si="120"/>
        <v>0.4604471269</v>
      </c>
      <c r="FL25" s="98">
        <f t="shared" si="121"/>
        <v>0</v>
      </c>
      <c r="FM25" s="99">
        <f t="shared" si="122"/>
        <v>0</v>
      </c>
      <c r="FN25" s="90"/>
      <c r="FO25" s="92">
        <f t="shared" si="214"/>
        <v>13</v>
      </c>
      <c r="FP25" s="93" t="str">
        <f t="shared" ref="FP25:FR25" si="392">IFERROR(VLOOKUP($R25,$A$13:$D$30,-FP$12,FALSE),"")</f>
        <v>Lainnya 2.3 (5) …….</v>
      </c>
      <c r="FQ25" s="94" t="str">
        <f t="shared" si="392"/>
        <v/>
      </c>
      <c r="FR25" s="94" t="str">
        <f t="shared" si="392"/>
        <v/>
      </c>
      <c r="FS25" s="87">
        <f t="shared" si="124"/>
        <v>0</v>
      </c>
      <c r="FT25" s="87" t="str">
        <f t="shared" si="125"/>
        <v>#DIV/0!</v>
      </c>
      <c r="FU25" s="87">
        <f t="shared" si="126"/>
        <v>0</v>
      </c>
      <c r="FV25" s="95"/>
      <c r="FW25" s="87">
        <f t="shared" si="127"/>
        <v>0</v>
      </c>
      <c r="FX25" s="96"/>
      <c r="FY25" s="96"/>
      <c r="FZ25" s="97"/>
      <c r="GA25" s="87">
        <f t="shared" si="128"/>
        <v>0</v>
      </c>
      <c r="GB25" s="95">
        <f t="shared" si="129"/>
        <v>0.4604471269</v>
      </c>
      <c r="GC25" s="98">
        <f t="shared" si="130"/>
        <v>0</v>
      </c>
      <c r="GD25" s="99">
        <f t="shared" si="131"/>
        <v>0</v>
      </c>
      <c r="GE25" s="90"/>
      <c r="GF25" s="92">
        <f t="shared" si="216"/>
        <v>13</v>
      </c>
      <c r="GG25" s="93" t="str">
        <f t="shared" ref="GG25:GI25" si="393">IFERROR(VLOOKUP($R25,$A$13:$D$30,-GG$12,FALSE),"")</f>
        <v>Lainnya 2.3 (5) …….</v>
      </c>
      <c r="GH25" s="94" t="str">
        <f t="shared" si="393"/>
        <v/>
      </c>
      <c r="GI25" s="94" t="str">
        <f t="shared" si="393"/>
        <v/>
      </c>
      <c r="GJ25" s="87">
        <f t="shared" si="133"/>
        <v>0</v>
      </c>
      <c r="GK25" s="87" t="str">
        <f t="shared" si="134"/>
        <v>#DIV/0!</v>
      </c>
      <c r="GL25" s="87">
        <f t="shared" si="135"/>
        <v>0</v>
      </c>
      <c r="GM25" s="95"/>
      <c r="GN25" s="87">
        <f t="shared" si="136"/>
        <v>0</v>
      </c>
      <c r="GO25" s="96"/>
      <c r="GP25" s="96"/>
      <c r="GQ25" s="97"/>
      <c r="GR25" s="87">
        <f t="shared" si="137"/>
        <v>0</v>
      </c>
      <c r="GS25" s="95">
        <f t="shared" si="138"/>
        <v>0.4604471269</v>
      </c>
      <c r="GT25" s="98">
        <f t="shared" si="139"/>
        <v>0</v>
      </c>
      <c r="GU25" s="99">
        <f t="shared" si="140"/>
        <v>0</v>
      </c>
      <c r="GV25" s="90"/>
      <c r="GW25" s="92">
        <f t="shared" si="218"/>
        <v>13</v>
      </c>
      <c r="GX25" s="93" t="str">
        <f t="shared" ref="GX25:GZ25" si="394">IFERROR(VLOOKUP($R25,$A$13:$D$30,-GX$12,FALSE),"")</f>
        <v>Lainnya 2.3 (5) …….</v>
      </c>
      <c r="GY25" s="94" t="str">
        <f t="shared" si="394"/>
        <v/>
      </c>
      <c r="GZ25" s="94" t="str">
        <f t="shared" si="394"/>
        <v/>
      </c>
      <c r="HA25" s="87">
        <f t="shared" si="142"/>
        <v>0</v>
      </c>
      <c r="HB25" s="87" t="str">
        <f t="shared" si="143"/>
        <v>#DIV/0!</v>
      </c>
      <c r="HC25" s="87">
        <f t="shared" si="144"/>
        <v>0</v>
      </c>
      <c r="HD25" s="95"/>
      <c r="HE25" s="87">
        <f t="shared" si="145"/>
        <v>0</v>
      </c>
      <c r="HF25" s="96"/>
      <c r="HG25" s="96"/>
      <c r="HH25" s="97"/>
      <c r="HI25" s="87">
        <f t="shared" si="146"/>
        <v>0</v>
      </c>
      <c r="HJ25" s="95">
        <f t="shared" si="147"/>
        <v>0.4604471269</v>
      </c>
      <c r="HK25" s="98">
        <f t="shared" si="148"/>
        <v>0</v>
      </c>
      <c r="HL25" s="99">
        <f t="shared" si="149"/>
        <v>0</v>
      </c>
      <c r="HM25" s="90"/>
      <c r="HN25" s="92">
        <f t="shared" si="220"/>
        <v>13</v>
      </c>
      <c r="HO25" s="93" t="str">
        <f t="shared" ref="HO25:HQ25" si="395">IFERROR(VLOOKUP($R25,$A$13:$D$30,-HO$12,FALSE),"")</f>
        <v>Lainnya 2.3 (5) …….</v>
      </c>
      <c r="HP25" s="94" t="str">
        <f t="shared" si="395"/>
        <v/>
      </c>
      <c r="HQ25" s="94" t="str">
        <f t="shared" si="395"/>
        <v/>
      </c>
      <c r="HR25" s="87">
        <f t="shared" si="151"/>
        <v>0</v>
      </c>
      <c r="HS25" s="87" t="str">
        <f t="shared" si="152"/>
        <v>#DIV/0!</v>
      </c>
      <c r="HT25" s="87">
        <f t="shared" si="153"/>
        <v>0</v>
      </c>
      <c r="HU25" s="95"/>
      <c r="HV25" s="87">
        <f t="shared" si="154"/>
        <v>0</v>
      </c>
      <c r="HW25" s="96"/>
      <c r="HX25" s="96"/>
      <c r="HY25" s="97"/>
      <c r="HZ25" s="87">
        <f t="shared" si="155"/>
        <v>0</v>
      </c>
      <c r="IA25" s="95">
        <f t="shared" si="156"/>
        <v>0.4604471269</v>
      </c>
      <c r="IB25" s="98">
        <f t="shared" si="157"/>
        <v>0</v>
      </c>
      <c r="IC25" s="99">
        <f t="shared" si="158"/>
        <v>0</v>
      </c>
      <c r="ID25" s="90"/>
      <c r="IE25" s="92">
        <f t="shared" si="222"/>
        <v>13</v>
      </c>
      <c r="IF25" s="93" t="str">
        <f t="shared" ref="IF25:IH25" si="396">IFERROR(VLOOKUP($R25,$A$13:$D$30,-IF$12,FALSE),"")</f>
        <v>Lainnya 2.3 (5) …….</v>
      </c>
      <c r="IG25" s="94" t="str">
        <f t="shared" si="396"/>
        <v/>
      </c>
      <c r="IH25" s="94" t="str">
        <f t="shared" si="396"/>
        <v/>
      </c>
      <c r="II25" s="87">
        <f t="shared" si="160"/>
        <v>0</v>
      </c>
      <c r="IJ25" s="87" t="str">
        <f t="shared" si="161"/>
        <v>#DIV/0!</v>
      </c>
      <c r="IK25" s="87">
        <f t="shared" si="162"/>
        <v>0</v>
      </c>
      <c r="IL25" s="95"/>
      <c r="IM25" s="87">
        <f t="shared" si="163"/>
        <v>0</v>
      </c>
      <c r="IN25" s="96"/>
      <c r="IO25" s="96"/>
      <c r="IP25" s="97"/>
      <c r="IQ25" s="87">
        <f t="shared" si="164"/>
        <v>0</v>
      </c>
      <c r="IR25" s="95">
        <f t="shared" si="165"/>
        <v>0.4604471269</v>
      </c>
      <c r="IS25" s="98">
        <f t="shared" si="166"/>
        <v>0</v>
      </c>
      <c r="IT25" s="99">
        <f t="shared" si="167"/>
        <v>0</v>
      </c>
      <c r="IU25" s="90"/>
      <c r="IV25" s="92">
        <f t="shared" si="224"/>
        <v>13</v>
      </c>
      <c r="IW25" s="93" t="str">
        <f t="shared" ref="IW25:IY25" si="397">IFERROR(VLOOKUP($R25,$A$13:$D$30,-IW$12,FALSE),"")</f>
        <v>Lainnya 2.3 (5) …….</v>
      </c>
      <c r="IX25" s="94" t="str">
        <f t="shared" si="397"/>
        <v/>
      </c>
      <c r="IY25" s="94" t="str">
        <f t="shared" si="397"/>
        <v/>
      </c>
      <c r="IZ25" s="87">
        <f t="shared" si="169"/>
        <v>0</v>
      </c>
      <c r="JA25" s="87" t="str">
        <f t="shared" si="170"/>
        <v>#DIV/0!</v>
      </c>
      <c r="JB25" s="87">
        <f t="shared" si="171"/>
        <v>0</v>
      </c>
      <c r="JC25" s="95"/>
      <c r="JD25" s="87">
        <f t="shared" si="172"/>
        <v>0</v>
      </c>
      <c r="JE25" s="96"/>
      <c r="JF25" s="96"/>
      <c r="JG25" s="97"/>
      <c r="JH25" s="87">
        <f t="shared" si="173"/>
        <v>0</v>
      </c>
      <c r="JI25" s="95">
        <f t="shared" si="174"/>
        <v>0.4604471269</v>
      </c>
      <c r="JJ25" s="98">
        <f t="shared" si="175"/>
        <v>0</v>
      </c>
      <c r="JK25" s="99">
        <f t="shared" si="176"/>
        <v>0</v>
      </c>
      <c r="JL25" s="90"/>
      <c r="JM25" s="92">
        <f t="shared" si="226"/>
        <v>13</v>
      </c>
      <c r="JN25" s="93" t="str">
        <f t="shared" ref="JN25:JP25" si="398">IFERROR(VLOOKUP($R25,$A$13:$D$30,-JN$12,FALSE),"")</f>
        <v>Lainnya 2.3 (5) …….</v>
      </c>
      <c r="JO25" s="94" t="str">
        <f t="shared" si="398"/>
        <v/>
      </c>
      <c r="JP25" s="94" t="str">
        <f t="shared" si="398"/>
        <v/>
      </c>
      <c r="JQ25" s="87">
        <f t="shared" si="178"/>
        <v>0</v>
      </c>
      <c r="JR25" s="87" t="str">
        <f t="shared" si="179"/>
        <v>#DIV/0!</v>
      </c>
      <c r="JS25" s="87">
        <f t="shared" si="180"/>
        <v>0</v>
      </c>
      <c r="JT25" s="95"/>
      <c r="JU25" s="87">
        <f t="shared" si="181"/>
        <v>0</v>
      </c>
      <c r="JV25" s="96"/>
      <c r="JW25" s="96"/>
      <c r="JX25" s="97"/>
      <c r="JY25" s="87">
        <f t="shared" si="182"/>
        <v>0</v>
      </c>
      <c r="JZ25" s="95">
        <f t="shared" si="183"/>
        <v>0.4604471269</v>
      </c>
      <c r="KA25" s="98">
        <f t="shared" si="184"/>
        <v>0</v>
      </c>
      <c r="KB25" s="99">
        <f t="shared" si="185"/>
        <v>0</v>
      </c>
      <c r="KC25" s="90"/>
      <c r="KD25" s="92">
        <f t="shared" si="228"/>
        <v>13</v>
      </c>
      <c r="KE25" s="93" t="str">
        <f t="shared" ref="KE25:KG25" si="399">IFERROR(VLOOKUP($R25,$A$13:$D$30,-KE$12,FALSE),"")</f>
        <v>Lainnya 2.3 (5) …….</v>
      </c>
      <c r="KF25" s="94" t="str">
        <f t="shared" si="399"/>
        <v/>
      </c>
      <c r="KG25" s="94" t="str">
        <f t="shared" si="399"/>
        <v/>
      </c>
      <c r="KH25" s="87">
        <f t="shared" si="187"/>
        <v>0</v>
      </c>
      <c r="KI25" s="87" t="str">
        <f t="shared" si="188"/>
        <v>#DIV/0!</v>
      </c>
      <c r="KJ25" s="87">
        <f t="shared" si="189"/>
        <v>0</v>
      </c>
      <c r="KK25" s="95"/>
      <c r="KL25" s="87">
        <f t="shared" si="190"/>
        <v>0</v>
      </c>
      <c r="KM25" s="96"/>
      <c r="KN25" s="96"/>
      <c r="KO25" s="97"/>
      <c r="KP25" s="87">
        <f t="shared" si="191"/>
        <v>0</v>
      </c>
      <c r="KQ25" s="95">
        <f t="shared" si="192"/>
        <v>0.4604471269</v>
      </c>
      <c r="KR25" s="98">
        <f t="shared" si="193"/>
        <v>0</v>
      </c>
      <c r="KS25" s="99">
        <f t="shared" si="194"/>
        <v>0</v>
      </c>
      <c r="KT25" s="90"/>
      <c r="KU25" s="91"/>
    </row>
    <row r="26" ht="15.75" customHeight="1">
      <c r="A26" s="92">
        <f t="shared" si="195"/>
        <v>14</v>
      </c>
      <c r="B26" s="93" t="str">
        <f>IFERROR(VLOOKUP($R26,ADHK!$A$13:$D$30,-B$12,FALSE),"")</f>
        <v>Lainnya 2.3 (6) …….</v>
      </c>
      <c r="C26" s="94" t="str">
        <f>IFERROR(VLOOKUP($R26,ADHK!$A$13:$D$30,-C$12,FALSE),"")</f>
        <v/>
      </c>
      <c r="D26" s="94" t="str">
        <f>IFERROR(VLOOKUP($R26,ADHK!$A$13:$D$30,-D$12,FALSE),"")</f>
        <v/>
      </c>
      <c r="E26" s="87">
        <f t="shared" si="35"/>
        <v>0</v>
      </c>
      <c r="F26" s="87" t="str">
        <f t="shared" si="36"/>
        <v>#DIV/0!</v>
      </c>
      <c r="G26" s="87">
        <f t="shared" si="37"/>
        <v>0</v>
      </c>
      <c r="H26" s="95"/>
      <c r="I26" s="87">
        <f t="shared" si="38"/>
        <v>0</v>
      </c>
      <c r="J26" s="96"/>
      <c r="K26" s="96"/>
      <c r="L26" s="97"/>
      <c r="M26" s="87">
        <f t="shared" si="39"/>
        <v>0</v>
      </c>
      <c r="N26" s="95">
        <f>ADHK!N26</f>
        <v>0.4604471269</v>
      </c>
      <c r="O26" s="98">
        <f t="shared" si="40"/>
        <v>0</v>
      </c>
      <c r="P26" s="99">
        <f t="shared" si="41"/>
        <v>0</v>
      </c>
      <c r="Q26" s="90"/>
      <c r="R26" s="92">
        <f t="shared" si="196"/>
        <v>14</v>
      </c>
      <c r="S26" s="93" t="str">
        <f t="shared" ref="S26:U26" si="400">IFERROR(VLOOKUP($R26,$A$13:$D$30,-S$12,FALSE),"")</f>
        <v>Lainnya 2.3 (6) …….</v>
      </c>
      <c r="T26" s="94" t="str">
        <f t="shared" si="400"/>
        <v/>
      </c>
      <c r="U26" s="94" t="str">
        <f t="shared" si="400"/>
        <v/>
      </c>
      <c r="V26" s="87">
        <f t="shared" si="43"/>
        <v>0</v>
      </c>
      <c r="W26" s="87" t="str">
        <f t="shared" si="44"/>
        <v>#DIV/0!</v>
      </c>
      <c r="X26" s="87">
        <f t="shared" si="45"/>
        <v>0</v>
      </c>
      <c r="Y26" s="95"/>
      <c r="Z26" s="87">
        <f t="shared" si="46"/>
        <v>0</v>
      </c>
      <c r="AA26" s="96"/>
      <c r="AB26" s="96"/>
      <c r="AC26" s="97"/>
      <c r="AD26" s="87">
        <f t="shared" si="47"/>
        <v>0</v>
      </c>
      <c r="AE26" s="95">
        <f t="shared" si="48"/>
        <v>0.4604471269</v>
      </c>
      <c r="AF26" s="98">
        <f t="shared" si="49"/>
        <v>0</v>
      </c>
      <c r="AG26" s="99">
        <f t="shared" si="50"/>
        <v>0</v>
      </c>
      <c r="AH26" s="90"/>
      <c r="AI26" s="92">
        <f t="shared" si="198"/>
        <v>14</v>
      </c>
      <c r="AJ26" s="93" t="str">
        <f t="shared" ref="AJ26:AL26" si="401">IFERROR(VLOOKUP($R26,$A$13:$D$30,-AJ$12,FALSE),"")</f>
        <v>Lainnya 2.3 (6) …….</v>
      </c>
      <c r="AK26" s="94" t="str">
        <f t="shared" si="401"/>
        <v/>
      </c>
      <c r="AL26" s="94" t="str">
        <f t="shared" si="401"/>
        <v/>
      </c>
      <c r="AM26" s="87">
        <f t="shared" si="52"/>
        <v>0</v>
      </c>
      <c r="AN26" s="87" t="str">
        <f t="shared" si="53"/>
        <v>#DIV/0!</v>
      </c>
      <c r="AO26" s="87">
        <f t="shared" si="54"/>
        <v>0</v>
      </c>
      <c r="AP26" s="95"/>
      <c r="AQ26" s="87">
        <f t="shared" si="55"/>
        <v>0</v>
      </c>
      <c r="AR26" s="96"/>
      <c r="AS26" s="96"/>
      <c r="AT26" s="97"/>
      <c r="AU26" s="87">
        <f t="shared" si="56"/>
        <v>0</v>
      </c>
      <c r="AV26" s="95">
        <f t="shared" si="57"/>
        <v>0.4604471269</v>
      </c>
      <c r="AW26" s="98">
        <f t="shared" si="58"/>
        <v>0</v>
      </c>
      <c r="AX26" s="99">
        <f t="shared" si="59"/>
        <v>0</v>
      </c>
      <c r="AY26" s="90"/>
      <c r="AZ26" s="92">
        <f t="shared" si="200"/>
        <v>14</v>
      </c>
      <c r="BA26" s="93" t="str">
        <f t="shared" ref="BA26:BC26" si="402">IFERROR(VLOOKUP($R26,$A$13:$D$30,-BA$12,FALSE),"")</f>
        <v>Lainnya 2.3 (6) …….</v>
      </c>
      <c r="BB26" s="94" t="str">
        <f t="shared" si="402"/>
        <v/>
      </c>
      <c r="BC26" s="94" t="str">
        <f t="shared" si="402"/>
        <v/>
      </c>
      <c r="BD26" s="87">
        <f t="shared" si="61"/>
        <v>0</v>
      </c>
      <c r="BE26" s="87" t="str">
        <f t="shared" si="62"/>
        <v>#DIV/0!</v>
      </c>
      <c r="BF26" s="87">
        <f t="shared" si="63"/>
        <v>0</v>
      </c>
      <c r="BG26" s="95"/>
      <c r="BH26" s="87">
        <f t="shared" si="64"/>
        <v>0</v>
      </c>
      <c r="BI26" s="96"/>
      <c r="BJ26" s="96"/>
      <c r="BK26" s="97"/>
      <c r="BL26" s="87">
        <f t="shared" si="65"/>
        <v>0</v>
      </c>
      <c r="BM26" s="95">
        <f t="shared" si="66"/>
        <v>0.4604471269</v>
      </c>
      <c r="BN26" s="98">
        <f t="shared" si="67"/>
        <v>0</v>
      </c>
      <c r="BO26" s="99">
        <f t="shared" si="68"/>
        <v>0</v>
      </c>
      <c r="BP26" s="90"/>
      <c r="BQ26" s="92">
        <f t="shared" si="202"/>
        <v>14</v>
      </c>
      <c r="BR26" s="93" t="str">
        <f t="shared" ref="BR26:BT26" si="403">IFERROR(VLOOKUP($R26,$A$13:$D$30,-BR$12,FALSE),"")</f>
        <v>Lainnya 2.3 (6) …….</v>
      </c>
      <c r="BS26" s="94" t="str">
        <f t="shared" si="403"/>
        <v/>
      </c>
      <c r="BT26" s="94" t="str">
        <f t="shared" si="403"/>
        <v/>
      </c>
      <c r="BU26" s="87">
        <f t="shared" si="70"/>
        <v>0</v>
      </c>
      <c r="BV26" s="87" t="str">
        <f t="shared" si="71"/>
        <v>#DIV/0!</v>
      </c>
      <c r="BW26" s="87">
        <f t="shared" si="72"/>
        <v>0</v>
      </c>
      <c r="BX26" s="95"/>
      <c r="BY26" s="87">
        <f t="shared" si="73"/>
        <v>0</v>
      </c>
      <c r="BZ26" s="96"/>
      <c r="CA26" s="96"/>
      <c r="CB26" s="97"/>
      <c r="CC26" s="87">
        <f t="shared" si="74"/>
        <v>0</v>
      </c>
      <c r="CD26" s="95">
        <f t="shared" si="75"/>
        <v>0.4604471269</v>
      </c>
      <c r="CE26" s="98">
        <f t="shared" si="76"/>
        <v>0</v>
      </c>
      <c r="CF26" s="99">
        <f t="shared" si="77"/>
        <v>0</v>
      </c>
      <c r="CG26" s="90"/>
      <c r="CH26" s="92">
        <f t="shared" si="204"/>
        <v>14</v>
      </c>
      <c r="CI26" s="93" t="str">
        <f t="shared" ref="CI26:CK26" si="404">IFERROR(VLOOKUP($R26,$A$13:$D$30,-CI$12,FALSE),"")</f>
        <v>Lainnya 2.3 (6) …….</v>
      </c>
      <c r="CJ26" s="94" t="str">
        <f t="shared" si="404"/>
        <v/>
      </c>
      <c r="CK26" s="94" t="str">
        <f t="shared" si="404"/>
        <v/>
      </c>
      <c r="CL26" s="87">
        <f t="shared" si="79"/>
        <v>0</v>
      </c>
      <c r="CM26" s="87" t="str">
        <f t="shared" si="80"/>
        <v>#DIV/0!</v>
      </c>
      <c r="CN26" s="87">
        <f t="shared" si="81"/>
        <v>0</v>
      </c>
      <c r="CO26" s="95"/>
      <c r="CP26" s="87">
        <f t="shared" si="82"/>
        <v>0</v>
      </c>
      <c r="CQ26" s="96"/>
      <c r="CR26" s="96"/>
      <c r="CS26" s="97"/>
      <c r="CT26" s="87">
        <f t="shared" si="83"/>
        <v>0</v>
      </c>
      <c r="CU26" s="95">
        <f t="shared" si="84"/>
        <v>0.4604471269</v>
      </c>
      <c r="CV26" s="98">
        <f t="shared" si="85"/>
        <v>0</v>
      </c>
      <c r="CW26" s="99">
        <f t="shared" si="86"/>
        <v>0</v>
      </c>
      <c r="CX26" s="90"/>
      <c r="CY26" s="92">
        <f t="shared" si="206"/>
        <v>14</v>
      </c>
      <c r="CZ26" s="93" t="str">
        <f t="shared" ref="CZ26:DB26" si="405">IFERROR(VLOOKUP($R26,$A$13:$D$30,-CZ$12,FALSE),"")</f>
        <v>Lainnya 2.3 (6) …….</v>
      </c>
      <c r="DA26" s="94" t="str">
        <f t="shared" si="405"/>
        <v/>
      </c>
      <c r="DB26" s="94" t="str">
        <f t="shared" si="405"/>
        <v/>
      </c>
      <c r="DC26" s="87">
        <f t="shared" si="88"/>
        <v>0</v>
      </c>
      <c r="DD26" s="87" t="str">
        <f t="shared" si="89"/>
        <v>#DIV/0!</v>
      </c>
      <c r="DE26" s="87">
        <f t="shared" si="90"/>
        <v>0</v>
      </c>
      <c r="DF26" s="95"/>
      <c r="DG26" s="87">
        <f t="shared" si="91"/>
        <v>0</v>
      </c>
      <c r="DH26" s="96"/>
      <c r="DI26" s="96"/>
      <c r="DJ26" s="97"/>
      <c r="DK26" s="87">
        <f t="shared" si="92"/>
        <v>0</v>
      </c>
      <c r="DL26" s="95">
        <f t="shared" si="93"/>
        <v>0.4604471269</v>
      </c>
      <c r="DM26" s="98">
        <f t="shared" si="94"/>
        <v>0</v>
      </c>
      <c r="DN26" s="99">
        <f t="shared" si="95"/>
        <v>0</v>
      </c>
      <c r="DO26" s="90"/>
      <c r="DP26" s="92">
        <f t="shared" si="208"/>
        <v>14</v>
      </c>
      <c r="DQ26" s="93" t="str">
        <f t="shared" ref="DQ26:DS26" si="406">IFERROR(VLOOKUP($R26,$A$13:$D$30,-DQ$12,FALSE),"")</f>
        <v>Lainnya 2.3 (6) …….</v>
      </c>
      <c r="DR26" s="94" t="str">
        <f t="shared" si="406"/>
        <v/>
      </c>
      <c r="DS26" s="94" t="str">
        <f t="shared" si="406"/>
        <v/>
      </c>
      <c r="DT26" s="87">
        <f t="shared" si="97"/>
        <v>0</v>
      </c>
      <c r="DU26" s="87" t="str">
        <f t="shared" si="98"/>
        <v>#DIV/0!</v>
      </c>
      <c r="DV26" s="87">
        <f t="shared" si="99"/>
        <v>0</v>
      </c>
      <c r="DW26" s="95"/>
      <c r="DX26" s="87">
        <f t="shared" si="100"/>
        <v>0</v>
      </c>
      <c r="DY26" s="96"/>
      <c r="DZ26" s="96"/>
      <c r="EA26" s="97"/>
      <c r="EB26" s="87">
        <f t="shared" si="101"/>
        <v>0</v>
      </c>
      <c r="EC26" s="95">
        <f t="shared" si="102"/>
        <v>0.4604471269</v>
      </c>
      <c r="ED26" s="98">
        <f t="shared" si="103"/>
        <v>0</v>
      </c>
      <c r="EE26" s="99">
        <f t="shared" si="104"/>
        <v>0</v>
      </c>
      <c r="EF26" s="90"/>
      <c r="EG26" s="92">
        <f t="shared" si="210"/>
        <v>14</v>
      </c>
      <c r="EH26" s="93" t="str">
        <f t="shared" ref="EH26:EJ26" si="407">IFERROR(VLOOKUP($R26,$A$13:$D$30,-EH$12,FALSE),"")</f>
        <v>Lainnya 2.3 (6) …….</v>
      </c>
      <c r="EI26" s="94" t="str">
        <f t="shared" si="407"/>
        <v/>
      </c>
      <c r="EJ26" s="94" t="str">
        <f t="shared" si="407"/>
        <v/>
      </c>
      <c r="EK26" s="87">
        <f t="shared" si="106"/>
        <v>0</v>
      </c>
      <c r="EL26" s="87" t="str">
        <f t="shared" si="107"/>
        <v>#DIV/0!</v>
      </c>
      <c r="EM26" s="87">
        <f t="shared" si="108"/>
        <v>0</v>
      </c>
      <c r="EN26" s="95"/>
      <c r="EO26" s="87">
        <f t="shared" si="109"/>
        <v>0</v>
      </c>
      <c r="EP26" s="96"/>
      <c r="EQ26" s="96"/>
      <c r="ER26" s="97"/>
      <c r="ES26" s="87">
        <f t="shared" si="110"/>
        <v>0</v>
      </c>
      <c r="ET26" s="95">
        <f t="shared" si="111"/>
        <v>0.4604471269</v>
      </c>
      <c r="EU26" s="98">
        <f t="shared" si="112"/>
        <v>0</v>
      </c>
      <c r="EV26" s="99">
        <f t="shared" si="113"/>
        <v>0</v>
      </c>
      <c r="EW26" s="90"/>
      <c r="EX26" s="92">
        <f t="shared" si="212"/>
        <v>14</v>
      </c>
      <c r="EY26" s="93" t="str">
        <f t="shared" ref="EY26:FA26" si="408">IFERROR(VLOOKUP($R26,$A$13:$D$30,-EY$12,FALSE),"")</f>
        <v>Lainnya 2.3 (6) …….</v>
      </c>
      <c r="EZ26" s="94" t="str">
        <f t="shared" si="408"/>
        <v/>
      </c>
      <c r="FA26" s="94" t="str">
        <f t="shared" si="408"/>
        <v/>
      </c>
      <c r="FB26" s="87">
        <f t="shared" si="115"/>
        <v>0</v>
      </c>
      <c r="FC26" s="87" t="str">
        <f t="shared" si="116"/>
        <v>#DIV/0!</v>
      </c>
      <c r="FD26" s="87">
        <f t="shared" si="117"/>
        <v>0</v>
      </c>
      <c r="FE26" s="95"/>
      <c r="FF26" s="87">
        <f t="shared" si="118"/>
        <v>0</v>
      </c>
      <c r="FG26" s="96"/>
      <c r="FH26" s="96"/>
      <c r="FI26" s="97"/>
      <c r="FJ26" s="87">
        <f t="shared" si="119"/>
        <v>0</v>
      </c>
      <c r="FK26" s="95">
        <f t="shared" si="120"/>
        <v>0.4604471269</v>
      </c>
      <c r="FL26" s="98">
        <f t="shared" si="121"/>
        <v>0</v>
      </c>
      <c r="FM26" s="99">
        <f t="shared" si="122"/>
        <v>0</v>
      </c>
      <c r="FN26" s="90"/>
      <c r="FO26" s="92">
        <f t="shared" si="214"/>
        <v>14</v>
      </c>
      <c r="FP26" s="93" t="str">
        <f t="shared" ref="FP26:FR26" si="409">IFERROR(VLOOKUP($R26,$A$13:$D$30,-FP$12,FALSE),"")</f>
        <v>Lainnya 2.3 (6) …….</v>
      </c>
      <c r="FQ26" s="94" t="str">
        <f t="shared" si="409"/>
        <v/>
      </c>
      <c r="FR26" s="94" t="str">
        <f t="shared" si="409"/>
        <v/>
      </c>
      <c r="FS26" s="87">
        <f t="shared" si="124"/>
        <v>0</v>
      </c>
      <c r="FT26" s="87" t="str">
        <f t="shared" si="125"/>
        <v>#DIV/0!</v>
      </c>
      <c r="FU26" s="87">
        <f t="shared" si="126"/>
        <v>0</v>
      </c>
      <c r="FV26" s="95"/>
      <c r="FW26" s="87">
        <f t="shared" si="127"/>
        <v>0</v>
      </c>
      <c r="FX26" s="96"/>
      <c r="FY26" s="96"/>
      <c r="FZ26" s="97"/>
      <c r="GA26" s="87">
        <f t="shared" si="128"/>
        <v>0</v>
      </c>
      <c r="GB26" s="95">
        <f t="shared" si="129"/>
        <v>0.4604471269</v>
      </c>
      <c r="GC26" s="98">
        <f t="shared" si="130"/>
        <v>0</v>
      </c>
      <c r="GD26" s="99">
        <f t="shared" si="131"/>
        <v>0</v>
      </c>
      <c r="GE26" s="90"/>
      <c r="GF26" s="92">
        <f t="shared" si="216"/>
        <v>14</v>
      </c>
      <c r="GG26" s="93" t="str">
        <f t="shared" ref="GG26:GI26" si="410">IFERROR(VLOOKUP($R26,$A$13:$D$30,-GG$12,FALSE),"")</f>
        <v>Lainnya 2.3 (6) …….</v>
      </c>
      <c r="GH26" s="94" t="str">
        <f t="shared" si="410"/>
        <v/>
      </c>
      <c r="GI26" s="94" t="str">
        <f t="shared" si="410"/>
        <v/>
      </c>
      <c r="GJ26" s="87">
        <f t="shared" si="133"/>
        <v>0</v>
      </c>
      <c r="GK26" s="87" t="str">
        <f t="shared" si="134"/>
        <v>#DIV/0!</v>
      </c>
      <c r="GL26" s="87">
        <f t="shared" si="135"/>
        <v>0</v>
      </c>
      <c r="GM26" s="95"/>
      <c r="GN26" s="87">
        <f t="shared" si="136"/>
        <v>0</v>
      </c>
      <c r="GO26" s="96"/>
      <c r="GP26" s="96"/>
      <c r="GQ26" s="97"/>
      <c r="GR26" s="87">
        <f t="shared" si="137"/>
        <v>0</v>
      </c>
      <c r="GS26" s="95">
        <f t="shared" si="138"/>
        <v>0.4604471269</v>
      </c>
      <c r="GT26" s="98">
        <f t="shared" si="139"/>
        <v>0</v>
      </c>
      <c r="GU26" s="99">
        <f t="shared" si="140"/>
        <v>0</v>
      </c>
      <c r="GV26" s="90"/>
      <c r="GW26" s="92">
        <f t="shared" si="218"/>
        <v>14</v>
      </c>
      <c r="GX26" s="93" t="str">
        <f t="shared" ref="GX26:GZ26" si="411">IFERROR(VLOOKUP($R26,$A$13:$D$30,-GX$12,FALSE),"")</f>
        <v>Lainnya 2.3 (6) …….</v>
      </c>
      <c r="GY26" s="94" t="str">
        <f t="shared" si="411"/>
        <v/>
      </c>
      <c r="GZ26" s="94" t="str">
        <f t="shared" si="411"/>
        <v/>
      </c>
      <c r="HA26" s="87">
        <f t="shared" si="142"/>
        <v>0</v>
      </c>
      <c r="HB26" s="87" t="str">
        <f t="shared" si="143"/>
        <v>#DIV/0!</v>
      </c>
      <c r="HC26" s="87">
        <f t="shared" si="144"/>
        <v>0</v>
      </c>
      <c r="HD26" s="95"/>
      <c r="HE26" s="87">
        <f t="shared" si="145"/>
        <v>0</v>
      </c>
      <c r="HF26" s="96"/>
      <c r="HG26" s="96"/>
      <c r="HH26" s="97"/>
      <c r="HI26" s="87">
        <f t="shared" si="146"/>
        <v>0</v>
      </c>
      <c r="HJ26" s="95">
        <f t="shared" si="147"/>
        <v>0.4604471269</v>
      </c>
      <c r="HK26" s="98">
        <f t="shared" si="148"/>
        <v>0</v>
      </c>
      <c r="HL26" s="99">
        <f t="shared" si="149"/>
        <v>0</v>
      </c>
      <c r="HM26" s="90"/>
      <c r="HN26" s="92">
        <f t="shared" si="220"/>
        <v>14</v>
      </c>
      <c r="HO26" s="93" t="str">
        <f t="shared" ref="HO26:HQ26" si="412">IFERROR(VLOOKUP($R26,$A$13:$D$30,-HO$12,FALSE),"")</f>
        <v>Lainnya 2.3 (6) …….</v>
      </c>
      <c r="HP26" s="94" t="str">
        <f t="shared" si="412"/>
        <v/>
      </c>
      <c r="HQ26" s="94" t="str">
        <f t="shared" si="412"/>
        <v/>
      </c>
      <c r="HR26" s="87">
        <f t="shared" si="151"/>
        <v>0</v>
      </c>
      <c r="HS26" s="87" t="str">
        <f t="shared" si="152"/>
        <v>#DIV/0!</v>
      </c>
      <c r="HT26" s="87">
        <f t="shared" si="153"/>
        <v>0</v>
      </c>
      <c r="HU26" s="95"/>
      <c r="HV26" s="87">
        <f t="shared" si="154"/>
        <v>0</v>
      </c>
      <c r="HW26" s="96"/>
      <c r="HX26" s="96"/>
      <c r="HY26" s="97"/>
      <c r="HZ26" s="87">
        <f t="shared" si="155"/>
        <v>0</v>
      </c>
      <c r="IA26" s="95">
        <f t="shared" si="156"/>
        <v>0.4604471269</v>
      </c>
      <c r="IB26" s="98">
        <f t="shared" si="157"/>
        <v>0</v>
      </c>
      <c r="IC26" s="99">
        <f t="shared" si="158"/>
        <v>0</v>
      </c>
      <c r="ID26" s="90"/>
      <c r="IE26" s="92">
        <f t="shared" si="222"/>
        <v>14</v>
      </c>
      <c r="IF26" s="93" t="str">
        <f t="shared" ref="IF26:IH26" si="413">IFERROR(VLOOKUP($R26,$A$13:$D$30,-IF$12,FALSE),"")</f>
        <v>Lainnya 2.3 (6) …….</v>
      </c>
      <c r="IG26" s="94" t="str">
        <f t="shared" si="413"/>
        <v/>
      </c>
      <c r="IH26" s="94" t="str">
        <f t="shared" si="413"/>
        <v/>
      </c>
      <c r="II26" s="87">
        <f t="shared" si="160"/>
        <v>0</v>
      </c>
      <c r="IJ26" s="87" t="str">
        <f t="shared" si="161"/>
        <v>#DIV/0!</v>
      </c>
      <c r="IK26" s="87">
        <f t="shared" si="162"/>
        <v>0</v>
      </c>
      <c r="IL26" s="95"/>
      <c r="IM26" s="87">
        <f t="shared" si="163"/>
        <v>0</v>
      </c>
      <c r="IN26" s="96"/>
      <c r="IO26" s="96"/>
      <c r="IP26" s="97"/>
      <c r="IQ26" s="87">
        <f t="shared" si="164"/>
        <v>0</v>
      </c>
      <c r="IR26" s="95">
        <f t="shared" si="165"/>
        <v>0.4604471269</v>
      </c>
      <c r="IS26" s="98">
        <f t="shared" si="166"/>
        <v>0</v>
      </c>
      <c r="IT26" s="99">
        <f t="shared" si="167"/>
        <v>0</v>
      </c>
      <c r="IU26" s="90"/>
      <c r="IV26" s="92">
        <f t="shared" si="224"/>
        <v>14</v>
      </c>
      <c r="IW26" s="93" t="str">
        <f t="shared" ref="IW26:IY26" si="414">IFERROR(VLOOKUP($R26,$A$13:$D$30,-IW$12,FALSE),"")</f>
        <v>Lainnya 2.3 (6) …….</v>
      </c>
      <c r="IX26" s="94" t="str">
        <f t="shared" si="414"/>
        <v/>
      </c>
      <c r="IY26" s="94" t="str">
        <f t="shared" si="414"/>
        <v/>
      </c>
      <c r="IZ26" s="87">
        <f t="shared" si="169"/>
        <v>0</v>
      </c>
      <c r="JA26" s="87" t="str">
        <f t="shared" si="170"/>
        <v>#DIV/0!</v>
      </c>
      <c r="JB26" s="87">
        <f t="shared" si="171"/>
        <v>0</v>
      </c>
      <c r="JC26" s="95"/>
      <c r="JD26" s="87">
        <f t="shared" si="172"/>
        <v>0</v>
      </c>
      <c r="JE26" s="96"/>
      <c r="JF26" s="96"/>
      <c r="JG26" s="97"/>
      <c r="JH26" s="87">
        <f t="shared" si="173"/>
        <v>0</v>
      </c>
      <c r="JI26" s="95">
        <f t="shared" si="174"/>
        <v>0.4604471269</v>
      </c>
      <c r="JJ26" s="98">
        <f t="shared" si="175"/>
        <v>0</v>
      </c>
      <c r="JK26" s="99">
        <f t="shared" si="176"/>
        <v>0</v>
      </c>
      <c r="JL26" s="90"/>
      <c r="JM26" s="92">
        <f t="shared" si="226"/>
        <v>14</v>
      </c>
      <c r="JN26" s="93" t="str">
        <f t="shared" ref="JN26:JP26" si="415">IFERROR(VLOOKUP($R26,$A$13:$D$30,-JN$12,FALSE),"")</f>
        <v>Lainnya 2.3 (6) …….</v>
      </c>
      <c r="JO26" s="94" t="str">
        <f t="shared" si="415"/>
        <v/>
      </c>
      <c r="JP26" s="94" t="str">
        <f t="shared" si="415"/>
        <v/>
      </c>
      <c r="JQ26" s="87">
        <f t="shared" si="178"/>
        <v>0</v>
      </c>
      <c r="JR26" s="87" t="str">
        <f t="shared" si="179"/>
        <v>#DIV/0!</v>
      </c>
      <c r="JS26" s="87">
        <f t="shared" si="180"/>
        <v>0</v>
      </c>
      <c r="JT26" s="95"/>
      <c r="JU26" s="87">
        <f t="shared" si="181"/>
        <v>0</v>
      </c>
      <c r="JV26" s="96"/>
      <c r="JW26" s="96"/>
      <c r="JX26" s="97"/>
      <c r="JY26" s="87">
        <f t="shared" si="182"/>
        <v>0</v>
      </c>
      <c r="JZ26" s="95">
        <f t="shared" si="183"/>
        <v>0.4604471269</v>
      </c>
      <c r="KA26" s="98">
        <f t="shared" si="184"/>
        <v>0</v>
      </c>
      <c r="KB26" s="99">
        <f t="shared" si="185"/>
        <v>0</v>
      </c>
      <c r="KC26" s="90"/>
      <c r="KD26" s="92">
        <f t="shared" si="228"/>
        <v>14</v>
      </c>
      <c r="KE26" s="93" t="str">
        <f t="shared" ref="KE26:KG26" si="416">IFERROR(VLOOKUP($R26,$A$13:$D$30,-KE$12,FALSE),"")</f>
        <v>Lainnya 2.3 (6) …….</v>
      </c>
      <c r="KF26" s="94" t="str">
        <f t="shared" si="416"/>
        <v/>
      </c>
      <c r="KG26" s="94" t="str">
        <f t="shared" si="416"/>
        <v/>
      </c>
      <c r="KH26" s="87">
        <f t="shared" si="187"/>
        <v>0</v>
      </c>
      <c r="KI26" s="87" t="str">
        <f t="shared" si="188"/>
        <v>#DIV/0!</v>
      </c>
      <c r="KJ26" s="87">
        <f t="shared" si="189"/>
        <v>0</v>
      </c>
      <c r="KK26" s="95"/>
      <c r="KL26" s="87">
        <f t="shared" si="190"/>
        <v>0</v>
      </c>
      <c r="KM26" s="96"/>
      <c r="KN26" s="96"/>
      <c r="KO26" s="97"/>
      <c r="KP26" s="87">
        <f t="shared" si="191"/>
        <v>0</v>
      </c>
      <c r="KQ26" s="95">
        <f t="shared" si="192"/>
        <v>0.4604471269</v>
      </c>
      <c r="KR26" s="98">
        <f t="shared" si="193"/>
        <v>0</v>
      </c>
      <c r="KS26" s="99">
        <f t="shared" si="194"/>
        <v>0</v>
      </c>
      <c r="KT26" s="90"/>
      <c r="KU26" s="91"/>
    </row>
    <row r="27" ht="15.75" customHeight="1">
      <c r="A27" s="92">
        <f t="shared" si="195"/>
        <v>15</v>
      </c>
      <c r="B27" s="93" t="str">
        <f>IFERROR(VLOOKUP($R27,ADHK!$A$13:$D$30,-B$12,FALSE),"")</f>
        <v>Lainnya 2.3 (7) …….</v>
      </c>
      <c r="C27" s="94" t="str">
        <f>IFERROR(VLOOKUP($R27,ADHK!$A$13:$D$30,-C$12,FALSE),"")</f>
        <v/>
      </c>
      <c r="D27" s="94" t="str">
        <f>IFERROR(VLOOKUP($R27,ADHK!$A$13:$D$30,-D$12,FALSE),"")</f>
        <v/>
      </c>
      <c r="E27" s="87">
        <f t="shared" si="35"/>
        <v>0</v>
      </c>
      <c r="F27" s="87" t="str">
        <f t="shared" si="36"/>
        <v>#DIV/0!</v>
      </c>
      <c r="G27" s="87">
        <f t="shared" si="37"/>
        <v>0</v>
      </c>
      <c r="H27" s="95"/>
      <c r="I27" s="87">
        <f t="shared" si="38"/>
        <v>0</v>
      </c>
      <c r="J27" s="96"/>
      <c r="K27" s="96"/>
      <c r="L27" s="97"/>
      <c r="M27" s="87">
        <f t="shared" si="39"/>
        <v>0</v>
      </c>
      <c r="N27" s="95">
        <f>ADHK!N27</f>
        <v>0.4604471269</v>
      </c>
      <c r="O27" s="98">
        <f t="shared" si="40"/>
        <v>0</v>
      </c>
      <c r="P27" s="99">
        <f t="shared" si="41"/>
        <v>0</v>
      </c>
      <c r="Q27" s="90"/>
      <c r="R27" s="92">
        <f t="shared" si="196"/>
        <v>15</v>
      </c>
      <c r="S27" s="93" t="str">
        <f t="shared" ref="S27:U27" si="417">IFERROR(VLOOKUP($R27,$A$13:$D$30,-S$12,FALSE),"")</f>
        <v>Lainnya 2.3 (7) …….</v>
      </c>
      <c r="T27" s="94" t="str">
        <f t="shared" si="417"/>
        <v/>
      </c>
      <c r="U27" s="94" t="str">
        <f t="shared" si="417"/>
        <v/>
      </c>
      <c r="V27" s="87">
        <f t="shared" si="43"/>
        <v>0</v>
      </c>
      <c r="W27" s="87" t="str">
        <f t="shared" si="44"/>
        <v>#DIV/0!</v>
      </c>
      <c r="X27" s="87">
        <f t="shared" si="45"/>
        <v>0</v>
      </c>
      <c r="Y27" s="95"/>
      <c r="Z27" s="87">
        <f t="shared" si="46"/>
        <v>0</v>
      </c>
      <c r="AA27" s="96"/>
      <c r="AB27" s="96"/>
      <c r="AC27" s="97"/>
      <c r="AD27" s="87">
        <f t="shared" si="47"/>
        <v>0</v>
      </c>
      <c r="AE27" s="95">
        <f t="shared" si="48"/>
        <v>0.4604471269</v>
      </c>
      <c r="AF27" s="98">
        <f t="shared" si="49"/>
        <v>0</v>
      </c>
      <c r="AG27" s="99">
        <f t="shared" si="50"/>
        <v>0</v>
      </c>
      <c r="AH27" s="90"/>
      <c r="AI27" s="92">
        <f t="shared" si="198"/>
        <v>15</v>
      </c>
      <c r="AJ27" s="93" t="str">
        <f t="shared" ref="AJ27:AL27" si="418">IFERROR(VLOOKUP($R27,$A$13:$D$30,-AJ$12,FALSE),"")</f>
        <v>Lainnya 2.3 (7) …….</v>
      </c>
      <c r="AK27" s="94" t="str">
        <f t="shared" si="418"/>
        <v/>
      </c>
      <c r="AL27" s="94" t="str">
        <f t="shared" si="418"/>
        <v/>
      </c>
      <c r="AM27" s="87">
        <f t="shared" si="52"/>
        <v>0</v>
      </c>
      <c r="AN27" s="87" t="str">
        <f t="shared" si="53"/>
        <v>#DIV/0!</v>
      </c>
      <c r="AO27" s="87">
        <f t="shared" si="54"/>
        <v>0</v>
      </c>
      <c r="AP27" s="95"/>
      <c r="AQ27" s="87">
        <f t="shared" si="55"/>
        <v>0</v>
      </c>
      <c r="AR27" s="96"/>
      <c r="AS27" s="96"/>
      <c r="AT27" s="97"/>
      <c r="AU27" s="87">
        <f t="shared" si="56"/>
        <v>0</v>
      </c>
      <c r="AV27" s="95">
        <f t="shared" si="57"/>
        <v>0.4604471269</v>
      </c>
      <c r="AW27" s="98">
        <f t="shared" si="58"/>
        <v>0</v>
      </c>
      <c r="AX27" s="99">
        <f t="shared" si="59"/>
        <v>0</v>
      </c>
      <c r="AY27" s="90"/>
      <c r="AZ27" s="92">
        <f t="shared" si="200"/>
        <v>15</v>
      </c>
      <c r="BA27" s="93" t="str">
        <f t="shared" ref="BA27:BC27" si="419">IFERROR(VLOOKUP($R27,$A$13:$D$30,-BA$12,FALSE),"")</f>
        <v>Lainnya 2.3 (7) …….</v>
      </c>
      <c r="BB27" s="94" t="str">
        <f t="shared" si="419"/>
        <v/>
      </c>
      <c r="BC27" s="94" t="str">
        <f t="shared" si="419"/>
        <v/>
      </c>
      <c r="BD27" s="87">
        <f t="shared" si="61"/>
        <v>0</v>
      </c>
      <c r="BE27" s="87" t="str">
        <f t="shared" si="62"/>
        <v>#DIV/0!</v>
      </c>
      <c r="BF27" s="87">
        <f t="shared" si="63"/>
        <v>0</v>
      </c>
      <c r="BG27" s="95"/>
      <c r="BH27" s="87">
        <f t="shared" si="64"/>
        <v>0</v>
      </c>
      <c r="BI27" s="96"/>
      <c r="BJ27" s="96"/>
      <c r="BK27" s="97"/>
      <c r="BL27" s="87">
        <f t="shared" si="65"/>
        <v>0</v>
      </c>
      <c r="BM27" s="95">
        <f t="shared" si="66"/>
        <v>0.4604471269</v>
      </c>
      <c r="BN27" s="98">
        <f t="shared" si="67"/>
        <v>0</v>
      </c>
      <c r="BO27" s="99">
        <f t="shared" si="68"/>
        <v>0</v>
      </c>
      <c r="BP27" s="90"/>
      <c r="BQ27" s="92">
        <f t="shared" si="202"/>
        <v>15</v>
      </c>
      <c r="BR27" s="93" t="str">
        <f t="shared" ref="BR27:BT27" si="420">IFERROR(VLOOKUP($R27,$A$13:$D$30,-BR$12,FALSE),"")</f>
        <v>Lainnya 2.3 (7) …….</v>
      </c>
      <c r="BS27" s="94" t="str">
        <f t="shared" si="420"/>
        <v/>
      </c>
      <c r="BT27" s="94" t="str">
        <f t="shared" si="420"/>
        <v/>
      </c>
      <c r="BU27" s="87">
        <f t="shared" si="70"/>
        <v>0</v>
      </c>
      <c r="BV27" s="87" t="str">
        <f t="shared" si="71"/>
        <v>#DIV/0!</v>
      </c>
      <c r="BW27" s="87">
        <f t="shared" si="72"/>
        <v>0</v>
      </c>
      <c r="BX27" s="95"/>
      <c r="BY27" s="87">
        <f t="shared" si="73"/>
        <v>0</v>
      </c>
      <c r="BZ27" s="96"/>
      <c r="CA27" s="96"/>
      <c r="CB27" s="97"/>
      <c r="CC27" s="87">
        <f t="shared" si="74"/>
        <v>0</v>
      </c>
      <c r="CD27" s="95">
        <f t="shared" si="75"/>
        <v>0.4604471269</v>
      </c>
      <c r="CE27" s="98">
        <f t="shared" si="76"/>
        <v>0</v>
      </c>
      <c r="CF27" s="99">
        <f t="shared" si="77"/>
        <v>0</v>
      </c>
      <c r="CG27" s="90"/>
      <c r="CH27" s="92">
        <f t="shared" si="204"/>
        <v>15</v>
      </c>
      <c r="CI27" s="93" t="str">
        <f t="shared" ref="CI27:CK27" si="421">IFERROR(VLOOKUP($R27,$A$13:$D$30,-CI$12,FALSE),"")</f>
        <v>Lainnya 2.3 (7) …….</v>
      </c>
      <c r="CJ27" s="94" t="str">
        <f t="shared" si="421"/>
        <v/>
      </c>
      <c r="CK27" s="94" t="str">
        <f t="shared" si="421"/>
        <v/>
      </c>
      <c r="CL27" s="87">
        <f t="shared" si="79"/>
        <v>0</v>
      </c>
      <c r="CM27" s="87" t="str">
        <f t="shared" si="80"/>
        <v>#DIV/0!</v>
      </c>
      <c r="CN27" s="87">
        <f t="shared" si="81"/>
        <v>0</v>
      </c>
      <c r="CO27" s="95"/>
      <c r="CP27" s="87">
        <f t="shared" si="82"/>
        <v>0</v>
      </c>
      <c r="CQ27" s="96"/>
      <c r="CR27" s="96"/>
      <c r="CS27" s="97"/>
      <c r="CT27" s="87">
        <f t="shared" si="83"/>
        <v>0</v>
      </c>
      <c r="CU27" s="95">
        <f t="shared" si="84"/>
        <v>0.4604471269</v>
      </c>
      <c r="CV27" s="98">
        <f t="shared" si="85"/>
        <v>0</v>
      </c>
      <c r="CW27" s="99">
        <f t="shared" si="86"/>
        <v>0</v>
      </c>
      <c r="CX27" s="90"/>
      <c r="CY27" s="92">
        <f t="shared" si="206"/>
        <v>15</v>
      </c>
      <c r="CZ27" s="93" t="str">
        <f t="shared" ref="CZ27:DB27" si="422">IFERROR(VLOOKUP($R27,$A$13:$D$30,-CZ$12,FALSE),"")</f>
        <v>Lainnya 2.3 (7) …….</v>
      </c>
      <c r="DA27" s="94" t="str">
        <f t="shared" si="422"/>
        <v/>
      </c>
      <c r="DB27" s="94" t="str">
        <f t="shared" si="422"/>
        <v/>
      </c>
      <c r="DC27" s="87">
        <f t="shared" si="88"/>
        <v>0</v>
      </c>
      <c r="DD27" s="87" t="str">
        <f t="shared" si="89"/>
        <v>#DIV/0!</v>
      </c>
      <c r="DE27" s="87">
        <f t="shared" si="90"/>
        <v>0</v>
      </c>
      <c r="DF27" s="95"/>
      <c r="DG27" s="87">
        <f t="shared" si="91"/>
        <v>0</v>
      </c>
      <c r="DH27" s="96"/>
      <c r="DI27" s="96"/>
      <c r="DJ27" s="97"/>
      <c r="DK27" s="87">
        <f t="shared" si="92"/>
        <v>0</v>
      </c>
      <c r="DL27" s="95">
        <f t="shared" si="93"/>
        <v>0.4604471269</v>
      </c>
      <c r="DM27" s="98">
        <f t="shared" si="94"/>
        <v>0</v>
      </c>
      <c r="DN27" s="99">
        <f t="shared" si="95"/>
        <v>0</v>
      </c>
      <c r="DO27" s="90"/>
      <c r="DP27" s="92">
        <f t="shared" si="208"/>
        <v>15</v>
      </c>
      <c r="DQ27" s="93" t="str">
        <f t="shared" ref="DQ27:DS27" si="423">IFERROR(VLOOKUP($R27,$A$13:$D$30,-DQ$12,FALSE),"")</f>
        <v>Lainnya 2.3 (7) …….</v>
      </c>
      <c r="DR27" s="94" t="str">
        <f t="shared" si="423"/>
        <v/>
      </c>
      <c r="DS27" s="94" t="str">
        <f t="shared" si="423"/>
        <v/>
      </c>
      <c r="DT27" s="87">
        <f t="shared" si="97"/>
        <v>0</v>
      </c>
      <c r="DU27" s="87" t="str">
        <f t="shared" si="98"/>
        <v>#DIV/0!</v>
      </c>
      <c r="DV27" s="87">
        <f t="shared" si="99"/>
        <v>0</v>
      </c>
      <c r="DW27" s="95"/>
      <c r="DX27" s="87">
        <f t="shared" si="100"/>
        <v>0</v>
      </c>
      <c r="DY27" s="96"/>
      <c r="DZ27" s="96"/>
      <c r="EA27" s="97"/>
      <c r="EB27" s="87">
        <f t="shared" si="101"/>
        <v>0</v>
      </c>
      <c r="EC27" s="95">
        <f t="shared" si="102"/>
        <v>0.4604471269</v>
      </c>
      <c r="ED27" s="98">
        <f t="shared" si="103"/>
        <v>0</v>
      </c>
      <c r="EE27" s="99">
        <f t="shared" si="104"/>
        <v>0</v>
      </c>
      <c r="EF27" s="90"/>
      <c r="EG27" s="92">
        <f t="shared" si="210"/>
        <v>15</v>
      </c>
      <c r="EH27" s="93" t="str">
        <f t="shared" ref="EH27:EJ27" si="424">IFERROR(VLOOKUP($R27,$A$13:$D$30,-EH$12,FALSE),"")</f>
        <v>Lainnya 2.3 (7) …….</v>
      </c>
      <c r="EI27" s="94" t="str">
        <f t="shared" si="424"/>
        <v/>
      </c>
      <c r="EJ27" s="94" t="str">
        <f t="shared" si="424"/>
        <v/>
      </c>
      <c r="EK27" s="87">
        <f t="shared" si="106"/>
        <v>0</v>
      </c>
      <c r="EL27" s="87" t="str">
        <f t="shared" si="107"/>
        <v>#DIV/0!</v>
      </c>
      <c r="EM27" s="87">
        <f t="shared" si="108"/>
        <v>0</v>
      </c>
      <c r="EN27" s="95"/>
      <c r="EO27" s="87">
        <f t="shared" si="109"/>
        <v>0</v>
      </c>
      <c r="EP27" s="96"/>
      <c r="EQ27" s="96"/>
      <c r="ER27" s="97"/>
      <c r="ES27" s="87">
        <f t="shared" si="110"/>
        <v>0</v>
      </c>
      <c r="ET27" s="95">
        <f t="shared" si="111"/>
        <v>0.4604471269</v>
      </c>
      <c r="EU27" s="98">
        <f t="shared" si="112"/>
        <v>0</v>
      </c>
      <c r="EV27" s="99">
        <f t="shared" si="113"/>
        <v>0</v>
      </c>
      <c r="EW27" s="90"/>
      <c r="EX27" s="92">
        <f t="shared" si="212"/>
        <v>15</v>
      </c>
      <c r="EY27" s="93" t="str">
        <f t="shared" ref="EY27:FA27" si="425">IFERROR(VLOOKUP($R27,$A$13:$D$30,-EY$12,FALSE),"")</f>
        <v>Lainnya 2.3 (7) …….</v>
      </c>
      <c r="EZ27" s="94" t="str">
        <f t="shared" si="425"/>
        <v/>
      </c>
      <c r="FA27" s="94" t="str">
        <f t="shared" si="425"/>
        <v/>
      </c>
      <c r="FB27" s="87">
        <f t="shared" si="115"/>
        <v>0</v>
      </c>
      <c r="FC27" s="87" t="str">
        <f t="shared" si="116"/>
        <v>#DIV/0!</v>
      </c>
      <c r="FD27" s="87">
        <f t="shared" si="117"/>
        <v>0</v>
      </c>
      <c r="FE27" s="95"/>
      <c r="FF27" s="87">
        <f t="shared" si="118"/>
        <v>0</v>
      </c>
      <c r="FG27" s="96"/>
      <c r="FH27" s="96"/>
      <c r="FI27" s="97"/>
      <c r="FJ27" s="87">
        <f t="shared" si="119"/>
        <v>0</v>
      </c>
      <c r="FK27" s="95">
        <f t="shared" si="120"/>
        <v>0.4604471269</v>
      </c>
      <c r="FL27" s="98">
        <f t="shared" si="121"/>
        <v>0</v>
      </c>
      <c r="FM27" s="99">
        <f t="shared" si="122"/>
        <v>0</v>
      </c>
      <c r="FN27" s="90"/>
      <c r="FO27" s="92">
        <f t="shared" si="214"/>
        <v>15</v>
      </c>
      <c r="FP27" s="93" t="str">
        <f t="shared" ref="FP27:FR27" si="426">IFERROR(VLOOKUP($R27,$A$13:$D$30,-FP$12,FALSE),"")</f>
        <v>Lainnya 2.3 (7) …….</v>
      </c>
      <c r="FQ27" s="94" t="str">
        <f t="shared" si="426"/>
        <v/>
      </c>
      <c r="FR27" s="94" t="str">
        <f t="shared" si="426"/>
        <v/>
      </c>
      <c r="FS27" s="87">
        <f t="shared" si="124"/>
        <v>0</v>
      </c>
      <c r="FT27" s="87" t="str">
        <f t="shared" si="125"/>
        <v>#DIV/0!</v>
      </c>
      <c r="FU27" s="87">
        <f t="shared" si="126"/>
        <v>0</v>
      </c>
      <c r="FV27" s="95"/>
      <c r="FW27" s="87">
        <f t="shared" si="127"/>
        <v>0</v>
      </c>
      <c r="FX27" s="96"/>
      <c r="FY27" s="96"/>
      <c r="FZ27" s="97"/>
      <c r="GA27" s="87">
        <f t="shared" si="128"/>
        <v>0</v>
      </c>
      <c r="GB27" s="95">
        <f t="shared" si="129"/>
        <v>0.4604471269</v>
      </c>
      <c r="GC27" s="98">
        <f t="shared" si="130"/>
        <v>0</v>
      </c>
      <c r="GD27" s="99">
        <f t="shared" si="131"/>
        <v>0</v>
      </c>
      <c r="GE27" s="90"/>
      <c r="GF27" s="92">
        <f t="shared" si="216"/>
        <v>15</v>
      </c>
      <c r="GG27" s="93" t="str">
        <f t="shared" ref="GG27:GI27" si="427">IFERROR(VLOOKUP($R27,$A$13:$D$30,-GG$12,FALSE),"")</f>
        <v>Lainnya 2.3 (7) …….</v>
      </c>
      <c r="GH27" s="94" t="str">
        <f t="shared" si="427"/>
        <v/>
      </c>
      <c r="GI27" s="94" t="str">
        <f t="shared" si="427"/>
        <v/>
      </c>
      <c r="GJ27" s="87">
        <f t="shared" si="133"/>
        <v>0</v>
      </c>
      <c r="GK27" s="87" t="str">
        <f t="shared" si="134"/>
        <v>#DIV/0!</v>
      </c>
      <c r="GL27" s="87">
        <f t="shared" si="135"/>
        <v>0</v>
      </c>
      <c r="GM27" s="95"/>
      <c r="GN27" s="87">
        <f t="shared" si="136"/>
        <v>0</v>
      </c>
      <c r="GO27" s="96"/>
      <c r="GP27" s="96"/>
      <c r="GQ27" s="97"/>
      <c r="GR27" s="87">
        <f t="shared" si="137"/>
        <v>0</v>
      </c>
      <c r="GS27" s="95">
        <f t="shared" si="138"/>
        <v>0.4604471269</v>
      </c>
      <c r="GT27" s="98">
        <f t="shared" si="139"/>
        <v>0</v>
      </c>
      <c r="GU27" s="99">
        <f t="shared" si="140"/>
        <v>0</v>
      </c>
      <c r="GV27" s="90"/>
      <c r="GW27" s="92">
        <f t="shared" si="218"/>
        <v>15</v>
      </c>
      <c r="GX27" s="93" t="str">
        <f t="shared" ref="GX27:GZ27" si="428">IFERROR(VLOOKUP($R27,$A$13:$D$30,-GX$12,FALSE),"")</f>
        <v>Lainnya 2.3 (7) …….</v>
      </c>
      <c r="GY27" s="94" t="str">
        <f t="shared" si="428"/>
        <v/>
      </c>
      <c r="GZ27" s="94" t="str">
        <f t="shared" si="428"/>
        <v/>
      </c>
      <c r="HA27" s="87">
        <f t="shared" si="142"/>
        <v>0</v>
      </c>
      <c r="HB27" s="87" t="str">
        <f t="shared" si="143"/>
        <v>#DIV/0!</v>
      </c>
      <c r="HC27" s="87">
        <f t="shared" si="144"/>
        <v>0</v>
      </c>
      <c r="HD27" s="95"/>
      <c r="HE27" s="87">
        <f t="shared" si="145"/>
        <v>0</v>
      </c>
      <c r="HF27" s="96"/>
      <c r="HG27" s="96"/>
      <c r="HH27" s="97"/>
      <c r="HI27" s="87">
        <f t="shared" si="146"/>
        <v>0</v>
      </c>
      <c r="HJ27" s="95">
        <f t="shared" si="147"/>
        <v>0.4604471269</v>
      </c>
      <c r="HK27" s="98">
        <f t="shared" si="148"/>
        <v>0</v>
      </c>
      <c r="HL27" s="99">
        <f t="shared" si="149"/>
        <v>0</v>
      </c>
      <c r="HM27" s="90"/>
      <c r="HN27" s="92">
        <f t="shared" si="220"/>
        <v>15</v>
      </c>
      <c r="HO27" s="93" t="str">
        <f t="shared" ref="HO27:HQ27" si="429">IFERROR(VLOOKUP($R27,$A$13:$D$30,-HO$12,FALSE),"")</f>
        <v>Lainnya 2.3 (7) …….</v>
      </c>
      <c r="HP27" s="94" t="str">
        <f t="shared" si="429"/>
        <v/>
      </c>
      <c r="HQ27" s="94" t="str">
        <f t="shared" si="429"/>
        <v/>
      </c>
      <c r="HR27" s="87">
        <f t="shared" si="151"/>
        <v>0</v>
      </c>
      <c r="HS27" s="87" t="str">
        <f t="shared" si="152"/>
        <v>#DIV/0!</v>
      </c>
      <c r="HT27" s="87">
        <f t="shared" si="153"/>
        <v>0</v>
      </c>
      <c r="HU27" s="95"/>
      <c r="HV27" s="87">
        <f t="shared" si="154"/>
        <v>0</v>
      </c>
      <c r="HW27" s="96"/>
      <c r="HX27" s="96"/>
      <c r="HY27" s="97"/>
      <c r="HZ27" s="87">
        <f t="shared" si="155"/>
        <v>0</v>
      </c>
      <c r="IA27" s="95">
        <f t="shared" si="156"/>
        <v>0.4604471269</v>
      </c>
      <c r="IB27" s="98">
        <f t="shared" si="157"/>
        <v>0</v>
      </c>
      <c r="IC27" s="99">
        <f t="shared" si="158"/>
        <v>0</v>
      </c>
      <c r="ID27" s="90"/>
      <c r="IE27" s="92">
        <f t="shared" si="222"/>
        <v>15</v>
      </c>
      <c r="IF27" s="93" t="str">
        <f t="shared" ref="IF27:IH27" si="430">IFERROR(VLOOKUP($R27,$A$13:$D$30,-IF$12,FALSE),"")</f>
        <v>Lainnya 2.3 (7) …….</v>
      </c>
      <c r="IG27" s="94" t="str">
        <f t="shared" si="430"/>
        <v/>
      </c>
      <c r="IH27" s="94" t="str">
        <f t="shared" si="430"/>
        <v/>
      </c>
      <c r="II27" s="87">
        <f t="shared" si="160"/>
        <v>0</v>
      </c>
      <c r="IJ27" s="87" t="str">
        <f t="shared" si="161"/>
        <v>#DIV/0!</v>
      </c>
      <c r="IK27" s="87">
        <f t="shared" si="162"/>
        <v>0</v>
      </c>
      <c r="IL27" s="95"/>
      <c r="IM27" s="87">
        <f t="shared" si="163"/>
        <v>0</v>
      </c>
      <c r="IN27" s="96"/>
      <c r="IO27" s="96"/>
      <c r="IP27" s="97"/>
      <c r="IQ27" s="87">
        <f t="shared" si="164"/>
        <v>0</v>
      </c>
      <c r="IR27" s="95">
        <f t="shared" si="165"/>
        <v>0.4604471269</v>
      </c>
      <c r="IS27" s="98">
        <f t="shared" si="166"/>
        <v>0</v>
      </c>
      <c r="IT27" s="99">
        <f t="shared" si="167"/>
        <v>0</v>
      </c>
      <c r="IU27" s="90"/>
      <c r="IV27" s="92">
        <f t="shared" si="224"/>
        <v>15</v>
      </c>
      <c r="IW27" s="93" t="str">
        <f t="shared" ref="IW27:IY27" si="431">IFERROR(VLOOKUP($R27,$A$13:$D$30,-IW$12,FALSE),"")</f>
        <v>Lainnya 2.3 (7) …….</v>
      </c>
      <c r="IX27" s="94" t="str">
        <f t="shared" si="431"/>
        <v/>
      </c>
      <c r="IY27" s="94" t="str">
        <f t="shared" si="431"/>
        <v/>
      </c>
      <c r="IZ27" s="87">
        <f t="shared" si="169"/>
        <v>0</v>
      </c>
      <c r="JA27" s="87" t="str">
        <f t="shared" si="170"/>
        <v>#DIV/0!</v>
      </c>
      <c r="JB27" s="87">
        <f t="shared" si="171"/>
        <v>0</v>
      </c>
      <c r="JC27" s="95"/>
      <c r="JD27" s="87">
        <f t="shared" si="172"/>
        <v>0</v>
      </c>
      <c r="JE27" s="96"/>
      <c r="JF27" s="96"/>
      <c r="JG27" s="97"/>
      <c r="JH27" s="87">
        <f t="shared" si="173"/>
        <v>0</v>
      </c>
      <c r="JI27" s="95">
        <f t="shared" si="174"/>
        <v>0.4604471269</v>
      </c>
      <c r="JJ27" s="98">
        <f t="shared" si="175"/>
        <v>0</v>
      </c>
      <c r="JK27" s="99">
        <f t="shared" si="176"/>
        <v>0</v>
      </c>
      <c r="JL27" s="90"/>
      <c r="JM27" s="92">
        <f t="shared" si="226"/>
        <v>15</v>
      </c>
      <c r="JN27" s="93" t="str">
        <f t="shared" ref="JN27:JP27" si="432">IFERROR(VLOOKUP($R27,$A$13:$D$30,-JN$12,FALSE),"")</f>
        <v>Lainnya 2.3 (7) …….</v>
      </c>
      <c r="JO27" s="94" t="str">
        <f t="shared" si="432"/>
        <v/>
      </c>
      <c r="JP27" s="94" t="str">
        <f t="shared" si="432"/>
        <v/>
      </c>
      <c r="JQ27" s="87">
        <f t="shared" si="178"/>
        <v>0</v>
      </c>
      <c r="JR27" s="87" t="str">
        <f t="shared" si="179"/>
        <v>#DIV/0!</v>
      </c>
      <c r="JS27" s="87">
        <f t="shared" si="180"/>
        <v>0</v>
      </c>
      <c r="JT27" s="95"/>
      <c r="JU27" s="87">
        <f t="shared" si="181"/>
        <v>0</v>
      </c>
      <c r="JV27" s="96"/>
      <c r="JW27" s="96"/>
      <c r="JX27" s="97"/>
      <c r="JY27" s="87">
        <f t="shared" si="182"/>
        <v>0</v>
      </c>
      <c r="JZ27" s="95">
        <f t="shared" si="183"/>
        <v>0.4604471269</v>
      </c>
      <c r="KA27" s="98">
        <f t="shared" si="184"/>
        <v>0</v>
      </c>
      <c r="KB27" s="99">
        <f t="shared" si="185"/>
        <v>0</v>
      </c>
      <c r="KC27" s="90"/>
      <c r="KD27" s="92">
        <f t="shared" si="228"/>
        <v>15</v>
      </c>
      <c r="KE27" s="93" t="str">
        <f t="shared" ref="KE27:KG27" si="433">IFERROR(VLOOKUP($R27,$A$13:$D$30,-KE$12,FALSE),"")</f>
        <v>Lainnya 2.3 (7) …….</v>
      </c>
      <c r="KF27" s="94" t="str">
        <f t="shared" si="433"/>
        <v/>
      </c>
      <c r="KG27" s="94" t="str">
        <f t="shared" si="433"/>
        <v/>
      </c>
      <c r="KH27" s="87">
        <f t="shared" si="187"/>
        <v>0</v>
      </c>
      <c r="KI27" s="87" t="str">
        <f t="shared" si="188"/>
        <v>#DIV/0!</v>
      </c>
      <c r="KJ27" s="87">
        <f t="shared" si="189"/>
        <v>0</v>
      </c>
      <c r="KK27" s="95"/>
      <c r="KL27" s="87">
        <f t="shared" si="190"/>
        <v>0</v>
      </c>
      <c r="KM27" s="96"/>
      <c r="KN27" s="96"/>
      <c r="KO27" s="97"/>
      <c r="KP27" s="87">
        <f t="shared" si="191"/>
        <v>0</v>
      </c>
      <c r="KQ27" s="95">
        <f t="shared" si="192"/>
        <v>0.4604471269</v>
      </c>
      <c r="KR27" s="98">
        <f t="shared" si="193"/>
        <v>0</v>
      </c>
      <c r="KS27" s="99">
        <f t="shared" si="194"/>
        <v>0</v>
      </c>
      <c r="KT27" s="90"/>
      <c r="KU27" s="91"/>
    </row>
    <row r="28" ht="15.75" customHeight="1">
      <c r="A28" s="92">
        <f t="shared" si="195"/>
        <v>16</v>
      </c>
      <c r="B28" s="93" t="str">
        <f>IFERROR(VLOOKUP($R28,ADHK!$A$13:$D$30,-B$12,FALSE),"")</f>
        <v>Lainnya 2.3 (8) …….</v>
      </c>
      <c r="C28" s="94" t="str">
        <f>IFERROR(VLOOKUP($R28,ADHK!$A$13:$D$30,-C$12,FALSE),"")</f>
        <v/>
      </c>
      <c r="D28" s="94" t="str">
        <f>IFERROR(VLOOKUP($R28,ADHK!$A$13:$D$30,-D$12,FALSE),"")</f>
        <v/>
      </c>
      <c r="E28" s="87">
        <f t="shared" si="35"/>
        <v>0</v>
      </c>
      <c r="F28" s="87" t="str">
        <f t="shared" si="36"/>
        <v>#DIV/0!</v>
      </c>
      <c r="G28" s="87">
        <f t="shared" si="37"/>
        <v>0</v>
      </c>
      <c r="H28" s="95"/>
      <c r="I28" s="87">
        <f t="shared" si="38"/>
        <v>0</v>
      </c>
      <c r="J28" s="96"/>
      <c r="K28" s="96"/>
      <c r="L28" s="97"/>
      <c r="M28" s="87">
        <f t="shared" si="39"/>
        <v>0</v>
      </c>
      <c r="N28" s="95">
        <f>ADHK!N28</f>
        <v>0.4604471269</v>
      </c>
      <c r="O28" s="98">
        <f t="shared" si="40"/>
        <v>0</v>
      </c>
      <c r="P28" s="99">
        <f t="shared" si="41"/>
        <v>0</v>
      </c>
      <c r="Q28" s="90"/>
      <c r="R28" s="92">
        <f t="shared" si="196"/>
        <v>16</v>
      </c>
      <c r="S28" s="93" t="str">
        <f t="shared" ref="S28:U28" si="434">IFERROR(VLOOKUP($R28,$A$13:$D$30,-S$12,FALSE),"")</f>
        <v>Lainnya 2.3 (8) …….</v>
      </c>
      <c r="T28" s="94" t="str">
        <f t="shared" si="434"/>
        <v/>
      </c>
      <c r="U28" s="94" t="str">
        <f t="shared" si="434"/>
        <v/>
      </c>
      <c r="V28" s="87">
        <f t="shared" si="43"/>
        <v>0</v>
      </c>
      <c r="W28" s="87" t="str">
        <f t="shared" si="44"/>
        <v>#DIV/0!</v>
      </c>
      <c r="X28" s="87">
        <f t="shared" si="45"/>
        <v>0</v>
      </c>
      <c r="Y28" s="95"/>
      <c r="Z28" s="87">
        <f t="shared" si="46"/>
        <v>0</v>
      </c>
      <c r="AA28" s="96"/>
      <c r="AB28" s="96"/>
      <c r="AC28" s="97"/>
      <c r="AD28" s="87">
        <f t="shared" si="47"/>
        <v>0</v>
      </c>
      <c r="AE28" s="95">
        <f t="shared" si="48"/>
        <v>0.4604471269</v>
      </c>
      <c r="AF28" s="98">
        <f t="shared" si="49"/>
        <v>0</v>
      </c>
      <c r="AG28" s="99">
        <f t="shared" si="50"/>
        <v>0</v>
      </c>
      <c r="AH28" s="90"/>
      <c r="AI28" s="92">
        <f t="shared" si="198"/>
        <v>16</v>
      </c>
      <c r="AJ28" s="93" t="str">
        <f t="shared" ref="AJ28:AL28" si="435">IFERROR(VLOOKUP($R28,$A$13:$D$30,-AJ$12,FALSE),"")</f>
        <v>Lainnya 2.3 (8) …….</v>
      </c>
      <c r="AK28" s="94" t="str">
        <f t="shared" si="435"/>
        <v/>
      </c>
      <c r="AL28" s="94" t="str">
        <f t="shared" si="435"/>
        <v/>
      </c>
      <c r="AM28" s="87">
        <f t="shared" si="52"/>
        <v>0</v>
      </c>
      <c r="AN28" s="87" t="str">
        <f t="shared" si="53"/>
        <v>#DIV/0!</v>
      </c>
      <c r="AO28" s="87">
        <f t="shared" si="54"/>
        <v>0</v>
      </c>
      <c r="AP28" s="95"/>
      <c r="AQ28" s="87">
        <f t="shared" si="55"/>
        <v>0</v>
      </c>
      <c r="AR28" s="96"/>
      <c r="AS28" s="96"/>
      <c r="AT28" s="97"/>
      <c r="AU28" s="87">
        <f t="shared" si="56"/>
        <v>0</v>
      </c>
      <c r="AV28" s="95">
        <f t="shared" si="57"/>
        <v>0.4604471269</v>
      </c>
      <c r="AW28" s="98">
        <f t="shared" si="58"/>
        <v>0</v>
      </c>
      <c r="AX28" s="99">
        <f t="shared" si="59"/>
        <v>0</v>
      </c>
      <c r="AY28" s="90"/>
      <c r="AZ28" s="92">
        <f t="shared" si="200"/>
        <v>16</v>
      </c>
      <c r="BA28" s="93" t="str">
        <f t="shared" ref="BA28:BC28" si="436">IFERROR(VLOOKUP($R28,$A$13:$D$30,-BA$12,FALSE),"")</f>
        <v>Lainnya 2.3 (8) …….</v>
      </c>
      <c r="BB28" s="94" t="str">
        <f t="shared" si="436"/>
        <v/>
      </c>
      <c r="BC28" s="94" t="str">
        <f t="shared" si="436"/>
        <v/>
      </c>
      <c r="BD28" s="87">
        <f t="shared" si="61"/>
        <v>0</v>
      </c>
      <c r="BE28" s="87" t="str">
        <f t="shared" si="62"/>
        <v>#DIV/0!</v>
      </c>
      <c r="BF28" s="87">
        <f t="shared" si="63"/>
        <v>0</v>
      </c>
      <c r="BG28" s="95"/>
      <c r="BH28" s="87">
        <f t="shared" si="64"/>
        <v>0</v>
      </c>
      <c r="BI28" s="96"/>
      <c r="BJ28" s="96"/>
      <c r="BK28" s="97"/>
      <c r="BL28" s="87">
        <f t="shared" si="65"/>
        <v>0</v>
      </c>
      <c r="BM28" s="95">
        <f t="shared" si="66"/>
        <v>0.4604471269</v>
      </c>
      <c r="BN28" s="98">
        <f t="shared" si="67"/>
        <v>0</v>
      </c>
      <c r="BO28" s="99">
        <f t="shared" si="68"/>
        <v>0</v>
      </c>
      <c r="BP28" s="90"/>
      <c r="BQ28" s="92">
        <f t="shared" si="202"/>
        <v>16</v>
      </c>
      <c r="BR28" s="93" t="str">
        <f t="shared" ref="BR28:BT28" si="437">IFERROR(VLOOKUP($R28,$A$13:$D$30,-BR$12,FALSE),"")</f>
        <v>Lainnya 2.3 (8) …….</v>
      </c>
      <c r="BS28" s="94" t="str">
        <f t="shared" si="437"/>
        <v/>
      </c>
      <c r="BT28" s="94" t="str">
        <f t="shared" si="437"/>
        <v/>
      </c>
      <c r="BU28" s="87">
        <f t="shared" si="70"/>
        <v>0</v>
      </c>
      <c r="BV28" s="87" t="str">
        <f t="shared" si="71"/>
        <v>#DIV/0!</v>
      </c>
      <c r="BW28" s="87">
        <f t="shared" si="72"/>
        <v>0</v>
      </c>
      <c r="BX28" s="95"/>
      <c r="BY28" s="87">
        <f t="shared" si="73"/>
        <v>0</v>
      </c>
      <c r="BZ28" s="96"/>
      <c r="CA28" s="96"/>
      <c r="CB28" s="97"/>
      <c r="CC28" s="87">
        <f t="shared" si="74"/>
        <v>0</v>
      </c>
      <c r="CD28" s="95">
        <f t="shared" si="75"/>
        <v>0.4604471269</v>
      </c>
      <c r="CE28" s="98">
        <f t="shared" si="76"/>
        <v>0</v>
      </c>
      <c r="CF28" s="99">
        <f t="shared" si="77"/>
        <v>0</v>
      </c>
      <c r="CG28" s="90"/>
      <c r="CH28" s="92">
        <f t="shared" si="204"/>
        <v>16</v>
      </c>
      <c r="CI28" s="93" t="str">
        <f t="shared" ref="CI28:CK28" si="438">IFERROR(VLOOKUP($R28,$A$13:$D$30,-CI$12,FALSE),"")</f>
        <v>Lainnya 2.3 (8) …….</v>
      </c>
      <c r="CJ28" s="94" t="str">
        <f t="shared" si="438"/>
        <v/>
      </c>
      <c r="CK28" s="94" t="str">
        <f t="shared" si="438"/>
        <v/>
      </c>
      <c r="CL28" s="87">
        <f t="shared" si="79"/>
        <v>0</v>
      </c>
      <c r="CM28" s="87" t="str">
        <f t="shared" si="80"/>
        <v>#DIV/0!</v>
      </c>
      <c r="CN28" s="87">
        <f t="shared" si="81"/>
        <v>0</v>
      </c>
      <c r="CO28" s="95"/>
      <c r="CP28" s="87">
        <f t="shared" si="82"/>
        <v>0</v>
      </c>
      <c r="CQ28" s="96"/>
      <c r="CR28" s="96"/>
      <c r="CS28" s="97"/>
      <c r="CT28" s="87">
        <f t="shared" si="83"/>
        <v>0</v>
      </c>
      <c r="CU28" s="95">
        <f t="shared" si="84"/>
        <v>0.4604471269</v>
      </c>
      <c r="CV28" s="98">
        <f t="shared" si="85"/>
        <v>0</v>
      </c>
      <c r="CW28" s="99">
        <f t="shared" si="86"/>
        <v>0</v>
      </c>
      <c r="CX28" s="90"/>
      <c r="CY28" s="92">
        <f t="shared" si="206"/>
        <v>16</v>
      </c>
      <c r="CZ28" s="93" t="str">
        <f t="shared" ref="CZ28:DB28" si="439">IFERROR(VLOOKUP($R28,$A$13:$D$30,-CZ$12,FALSE),"")</f>
        <v>Lainnya 2.3 (8) …….</v>
      </c>
      <c r="DA28" s="94" t="str">
        <f t="shared" si="439"/>
        <v/>
      </c>
      <c r="DB28" s="94" t="str">
        <f t="shared" si="439"/>
        <v/>
      </c>
      <c r="DC28" s="87">
        <f t="shared" si="88"/>
        <v>0</v>
      </c>
      <c r="DD28" s="87" t="str">
        <f t="shared" si="89"/>
        <v>#DIV/0!</v>
      </c>
      <c r="DE28" s="87">
        <f t="shared" si="90"/>
        <v>0</v>
      </c>
      <c r="DF28" s="95"/>
      <c r="DG28" s="87">
        <f t="shared" si="91"/>
        <v>0</v>
      </c>
      <c r="DH28" s="96"/>
      <c r="DI28" s="96"/>
      <c r="DJ28" s="97"/>
      <c r="DK28" s="87">
        <f t="shared" si="92"/>
        <v>0</v>
      </c>
      <c r="DL28" s="95">
        <f t="shared" si="93"/>
        <v>0.4604471269</v>
      </c>
      <c r="DM28" s="98">
        <f t="shared" si="94"/>
        <v>0</v>
      </c>
      <c r="DN28" s="99">
        <f t="shared" si="95"/>
        <v>0</v>
      </c>
      <c r="DO28" s="90"/>
      <c r="DP28" s="92">
        <f t="shared" si="208"/>
        <v>16</v>
      </c>
      <c r="DQ28" s="93" t="str">
        <f t="shared" ref="DQ28:DS28" si="440">IFERROR(VLOOKUP($R28,$A$13:$D$30,-DQ$12,FALSE),"")</f>
        <v>Lainnya 2.3 (8) …….</v>
      </c>
      <c r="DR28" s="94" t="str">
        <f t="shared" si="440"/>
        <v/>
      </c>
      <c r="DS28" s="94" t="str">
        <f t="shared" si="440"/>
        <v/>
      </c>
      <c r="DT28" s="87">
        <f t="shared" si="97"/>
        <v>0</v>
      </c>
      <c r="DU28" s="87" t="str">
        <f t="shared" si="98"/>
        <v>#DIV/0!</v>
      </c>
      <c r="DV28" s="87">
        <f t="shared" si="99"/>
        <v>0</v>
      </c>
      <c r="DW28" s="95"/>
      <c r="DX28" s="87">
        <f t="shared" si="100"/>
        <v>0</v>
      </c>
      <c r="DY28" s="96"/>
      <c r="DZ28" s="96"/>
      <c r="EA28" s="97"/>
      <c r="EB28" s="87">
        <f t="shared" si="101"/>
        <v>0</v>
      </c>
      <c r="EC28" s="95">
        <f t="shared" si="102"/>
        <v>0.4604471269</v>
      </c>
      <c r="ED28" s="98">
        <f t="shared" si="103"/>
        <v>0</v>
      </c>
      <c r="EE28" s="99">
        <f t="shared" si="104"/>
        <v>0</v>
      </c>
      <c r="EF28" s="90"/>
      <c r="EG28" s="92">
        <f t="shared" si="210"/>
        <v>16</v>
      </c>
      <c r="EH28" s="93" t="str">
        <f t="shared" ref="EH28:EJ28" si="441">IFERROR(VLOOKUP($R28,$A$13:$D$30,-EH$12,FALSE),"")</f>
        <v>Lainnya 2.3 (8) …….</v>
      </c>
      <c r="EI28" s="94" t="str">
        <f t="shared" si="441"/>
        <v/>
      </c>
      <c r="EJ28" s="94" t="str">
        <f t="shared" si="441"/>
        <v/>
      </c>
      <c r="EK28" s="87">
        <f t="shared" si="106"/>
        <v>0</v>
      </c>
      <c r="EL28" s="87" t="str">
        <f t="shared" si="107"/>
        <v>#DIV/0!</v>
      </c>
      <c r="EM28" s="87">
        <f t="shared" si="108"/>
        <v>0</v>
      </c>
      <c r="EN28" s="95"/>
      <c r="EO28" s="87">
        <f t="shared" si="109"/>
        <v>0</v>
      </c>
      <c r="EP28" s="96"/>
      <c r="EQ28" s="96"/>
      <c r="ER28" s="97"/>
      <c r="ES28" s="87">
        <f t="shared" si="110"/>
        <v>0</v>
      </c>
      <c r="ET28" s="95">
        <f t="shared" si="111"/>
        <v>0.4604471269</v>
      </c>
      <c r="EU28" s="98">
        <f t="shared" si="112"/>
        <v>0</v>
      </c>
      <c r="EV28" s="99">
        <f t="shared" si="113"/>
        <v>0</v>
      </c>
      <c r="EW28" s="90"/>
      <c r="EX28" s="92">
        <f t="shared" si="212"/>
        <v>16</v>
      </c>
      <c r="EY28" s="93" t="str">
        <f t="shared" ref="EY28:FA28" si="442">IFERROR(VLOOKUP($R28,$A$13:$D$30,-EY$12,FALSE),"")</f>
        <v>Lainnya 2.3 (8) …….</v>
      </c>
      <c r="EZ28" s="94" t="str">
        <f t="shared" si="442"/>
        <v/>
      </c>
      <c r="FA28" s="94" t="str">
        <f t="shared" si="442"/>
        <v/>
      </c>
      <c r="FB28" s="87">
        <f t="shared" si="115"/>
        <v>0</v>
      </c>
      <c r="FC28" s="87" t="str">
        <f t="shared" si="116"/>
        <v>#DIV/0!</v>
      </c>
      <c r="FD28" s="87">
        <f t="shared" si="117"/>
        <v>0</v>
      </c>
      <c r="FE28" s="95"/>
      <c r="FF28" s="87">
        <f t="shared" si="118"/>
        <v>0</v>
      </c>
      <c r="FG28" s="96"/>
      <c r="FH28" s="96"/>
      <c r="FI28" s="97"/>
      <c r="FJ28" s="87">
        <f t="shared" si="119"/>
        <v>0</v>
      </c>
      <c r="FK28" s="95">
        <f t="shared" si="120"/>
        <v>0.4604471269</v>
      </c>
      <c r="FL28" s="98">
        <f t="shared" si="121"/>
        <v>0</v>
      </c>
      <c r="FM28" s="99">
        <f t="shared" si="122"/>
        <v>0</v>
      </c>
      <c r="FN28" s="90"/>
      <c r="FO28" s="92">
        <f t="shared" si="214"/>
        <v>16</v>
      </c>
      <c r="FP28" s="93" t="str">
        <f t="shared" ref="FP28:FR28" si="443">IFERROR(VLOOKUP($R28,$A$13:$D$30,-FP$12,FALSE),"")</f>
        <v>Lainnya 2.3 (8) …….</v>
      </c>
      <c r="FQ28" s="94" t="str">
        <f t="shared" si="443"/>
        <v/>
      </c>
      <c r="FR28" s="94" t="str">
        <f t="shared" si="443"/>
        <v/>
      </c>
      <c r="FS28" s="87">
        <f t="shared" si="124"/>
        <v>0</v>
      </c>
      <c r="FT28" s="87" t="str">
        <f t="shared" si="125"/>
        <v>#DIV/0!</v>
      </c>
      <c r="FU28" s="87">
        <f t="shared" si="126"/>
        <v>0</v>
      </c>
      <c r="FV28" s="95"/>
      <c r="FW28" s="87">
        <f t="shared" si="127"/>
        <v>0</v>
      </c>
      <c r="FX28" s="96"/>
      <c r="FY28" s="96"/>
      <c r="FZ28" s="97"/>
      <c r="GA28" s="87">
        <f t="shared" si="128"/>
        <v>0</v>
      </c>
      <c r="GB28" s="95">
        <f t="shared" si="129"/>
        <v>0.4604471269</v>
      </c>
      <c r="GC28" s="98">
        <f t="shared" si="130"/>
        <v>0</v>
      </c>
      <c r="GD28" s="99">
        <f t="shared" si="131"/>
        <v>0</v>
      </c>
      <c r="GE28" s="90"/>
      <c r="GF28" s="92">
        <f t="shared" si="216"/>
        <v>16</v>
      </c>
      <c r="GG28" s="93" t="str">
        <f t="shared" ref="GG28:GI28" si="444">IFERROR(VLOOKUP($R28,$A$13:$D$30,-GG$12,FALSE),"")</f>
        <v>Lainnya 2.3 (8) …….</v>
      </c>
      <c r="GH28" s="94" t="str">
        <f t="shared" si="444"/>
        <v/>
      </c>
      <c r="GI28" s="94" t="str">
        <f t="shared" si="444"/>
        <v/>
      </c>
      <c r="GJ28" s="87">
        <f t="shared" si="133"/>
        <v>0</v>
      </c>
      <c r="GK28" s="87" t="str">
        <f t="shared" si="134"/>
        <v>#DIV/0!</v>
      </c>
      <c r="GL28" s="87">
        <f t="shared" si="135"/>
        <v>0</v>
      </c>
      <c r="GM28" s="95"/>
      <c r="GN28" s="87">
        <f t="shared" si="136"/>
        <v>0</v>
      </c>
      <c r="GO28" s="96"/>
      <c r="GP28" s="96"/>
      <c r="GQ28" s="97"/>
      <c r="GR28" s="87">
        <f t="shared" si="137"/>
        <v>0</v>
      </c>
      <c r="GS28" s="95">
        <f t="shared" si="138"/>
        <v>0.4604471269</v>
      </c>
      <c r="GT28" s="98">
        <f t="shared" si="139"/>
        <v>0</v>
      </c>
      <c r="GU28" s="99">
        <f t="shared" si="140"/>
        <v>0</v>
      </c>
      <c r="GV28" s="90"/>
      <c r="GW28" s="92">
        <f t="shared" si="218"/>
        <v>16</v>
      </c>
      <c r="GX28" s="93" t="str">
        <f t="shared" ref="GX28:GZ28" si="445">IFERROR(VLOOKUP($R28,$A$13:$D$30,-GX$12,FALSE),"")</f>
        <v>Lainnya 2.3 (8) …….</v>
      </c>
      <c r="GY28" s="94" t="str">
        <f t="shared" si="445"/>
        <v/>
      </c>
      <c r="GZ28" s="94" t="str">
        <f t="shared" si="445"/>
        <v/>
      </c>
      <c r="HA28" s="87">
        <f t="shared" si="142"/>
        <v>0</v>
      </c>
      <c r="HB28" s="87" t="str">
        <f t="shared" si="143"/>
        <v>#DIV/0!</v>
      </c>
      <c r="HC28" s="87">
        <f t="shared" si="144"/>
        <v>0</v>
      </c>
      <c r="HD28" s="95"/>
      <c r="HE28" s="87">
        <f t="shared" si="145"/>
        <v>0</v>
      </c>
      <c r="HF28" s="96"/>
      <c r="HG28" s="96"/>
      <c r="HH28" s="97"/>
      <c r="HI28" s="87">
        <f t="shared" si="146"/>
        <v>0</v>
      </c>
      <c r="HJ28" s="95">
        <f t="shared" si="147"/>
        <v>0.4604471269</v>
      </c>
      <c r="HK28" s="98">
        <f t="shared" si="148"/>
        <v>0</v>
      </c>
      <c r="HL28" s="99">
        <f t="shared" si="149"/>
        <v>0</v>
      </c>
      <c r="HM28" s="90"/>
      <c r="HN28" s="92">
        <f t="shared" si="220"/>
        <v>16</v>
      </c>
      <c r="HO28" s="93" t="str">
        <f t="shared" ref="HO28:HQ28" si="446">IFERROR(VLOOKUP($R28,$A$13:$D$30,-HO$12,FALSE),"")</f>
        <v>Lainnya 2.3 (8) …….</v>
      </c>
      <c r="HP28" s="94" t="str">
        <f t="shared" si="446"/>
        <v/>
      </c>
      <c r="HQ28" s="94" t="str">
        <f t="shared" si="446"/>
        <v/>
      </c>
      <c r="HR28" s="87">
        <f t="shared" si="151"/>
        <v>0</v>
      </c>
      <c r="HS28" s="87" t="str">
        <f t="shared" si="152"/>
        <v>#DIV/0!</v>
      </c>
      <c r="HT28" s="87">
        <f t="shared" si="153"/>
        <v>0</v>
      </c>
      <c r="HU28" s="95"/>
      <c r="HV28" s="87">
        <f t="shared" si="154"/>
        <v>0</v>
      </c>
      <c r="HW28" s="96"/>
      <c r="HX28" s="96"/>
      <c r="HY28" s="97"/>
      <c r="HZ28" s="87">
        <f t="shared" si="155"/>
        <v>0</v>
      </c>
      <c r="IA28" s="95">
        <f t="shared" si="156"/>
        <v>0.4604471269</v>
      </c>
      <c r="IB28" s="98">
        <f t="shared" si="157"/>
        <v>0</v>
      </c>
      <c r="IC28" s="99">
        <f t="shared" si="158"/>
        <v>0</v>
      </c>
      <c r="ID28" s="90"/>
      <c r="IE28" s="92">
        <f t="shared" si="222"/>
        <v>16</v>
      </c>
      <c r="IF28" s="93" t="str">
        <f t="shared" ref="IF28:IH28" si="447">IFERROR(VLOOKUP($R28,$A$13:$D$30,-IF$12,FALSE),"")</f>
        <v>Lainnya 2.3 (8) …….</v>
      </c>
      <c r="IG28" s="94" t="str">
        <f t="shared" si="447"/>
        <v/>
      </c>
      <c r="IH28" s="94" t="str">
        <f t="shared" si="447"/>
        <v/>
      </c>
      <c r="II28" s="87">
        <f t="shared" si="160"/>
        <v>0</v>
      </c>
      <c r="IJ28" s="87" t="str">
        <f t="shared" si="161"/>
        <v>#DIV/0!</v>
      </c>
      <c r="IK28" s="87">
        <f t="shared" si="162"/>
        <v>0</v>
      </c>
      <c r="IL28" s="95"/>
      <c r="IM28" s="87">
        <f t="shared" si="163"/>
        <v>0</v>
      </c>
      <c r="IN28" s="96"/>
      <c r="IO28" s="96"/>
      <c r="IP28" s="97"/>
      <c r="IQ28" s="87">
        <f t="shared" si="164"/>
        <v>0</v>
      </c>
      <c r="IR28" s="95">
        <f t="shared" si="165"/>
        <v>0.4604471269</v>
      </c>
      <c r="IS28" s="98">
        <f t="shared" si="166"/>
        <v>0</v>
      </c>
      <c r="IT28" s="99">
        <f t="shared" si="167"/>
        <v>0</v>
      </c>
      <c r="IU28" s="90"/>
      <c r="IV28" s="92">
        <f t="shared" si="224"/>
        <v>16</v>
      </c>
      <c r="IW28" s="93" t="str">
        <f t="shared" ref="IW28:IY28" si="448">IFERROR(VLOOKUP($R28,$A$13:$D$30,-IW$12,FALSE),"")</f>
        <v>Lainnya 2.3 (8) …….</v>
      </c>
      <c r="IX28" s="94" t="str">
        <f t="shared" si="448"/>
        <v/>
      </c>
      <c r="IY28" s="94" t="str">
        <f t="shared" si="448"/>
        <v/>
      </c>
      <c r="IZ28" s="87">
        <f t="shared" si="169"/>
        <v>0</v>
      </c>
      <c r="JA28" s="87" t="str">
        <f t="shared" si="170"/>
        <v>#DIV/0!</v>
      </c>
      <c r="JB28" s="87">
        <f t="shared" si="171"/>
        <v>0</v>
      </c>
      <c r="JC28" s="95"/>
      <c r="JD28" s="87">
        <f t="shared" si="172"/>
        <v>0</v>
      </c>
      <c r="JE28" s="96"/>
      <c r="JF28" s="96"/>
      <c r="JG28" s="97"/>
      <c r="JH28" s="87">
        <f t="shared" si="173"/>
        <v>0</v>
      </c>
      <c r="JI28" s="95">
        <f t="shared" si="174"/>
        <v>0.4604471269</v>
      </c>
      <c r="JJ28" s="98">
        <f t="shared" si="175"/>
        <v>0</v>
      </c>
      <c r="JK28" s="99">
        <f t="shared" si="176"/>
        <v>0</v>
      </c>
      <c r="JL28" s="90"/>
      <c r="JM28" s="92">
        <f t="shared" si="226"/>
        <v>16</v>
      </c>
      <c r="JN28" s="93" t="str">
        <f t="shared" ref="JN28:JP28" si="449">IFERROR(VLOOKUP($R28,$A$13:$D$30,-JN$12,FALSE),"")</f>
        <v>Lainnya 2.3 (8) …….</v>
      </c>
      <c r="JO28" s="94" t="str">
        <f t="shared" si="449"/>
        <v/>
      </c>
      <c r="JP28" s="94" t="str">
        <f t="shared" si="449"/>
        <v/>
      </c>
      <c r="JQ28" s="87">
        <f t="shared" si="178"/>
        <v>0</v>
      </c>
      <c r="JR28" s="87" t="str">
        <f t="shared" si="179"/>
        <v>#DIV/0!</v>
      </c>
      <c r="JS28" s="87">
        <f t="shared" si="180"/>
        <v>0</v>
      </c>
      <c r="JT28" s="95"/>
      <c r="JU28" s="87">
        <f t="shared" si="181"/>
        <v>0</v>
      </c>
      <c r="JV28" s="96"/>
      <c r="JW28" s="96"/>
      <c r="JX28" s="97"/>
      <c r="JY28" s="87">
        <f t="shared" si="182"/>
        <v>0</v>
      </c>
      <c r="JZ28" s="95">
        <f t="shared" si="183"/>
        <v>0.4604471269</v>
      </c>
      <c r="KA28" s="98">
        <f t="shared" si="184"/>
        <v>0</v>
      </c>
      <c r="KB28" s="99">
        <f t="shared" si="185"/>
        <v>0</v>
      </c>
      <c r="KC28" s="90"/>
      <c r="KD28" s="92">
        <f t="shared" si="228"/>
        <v>16</v>
      </c>
      <c r="KE28" s="93" t="str">
        <f t="shared" ref="KE28:KG28" si="450">IFERROR(VLOOKUP($R28,$A$13:$D$30,-KE$12,FALSE),"")</f>
        <v>Lainnya 2.3 (8) …….</v>
      </c>
      <c r="KF28" s="94" t="str">
        <f t="shared" si="450"/>
        <v/>
      </c>
      <c r="KG28" s="94" t="str">
        <f t="shared" si="450"/>
        <v/>
      </c>
      <c r="KH28" s="87">
        <f t="shared" si="187"/>
        <v>0</v>
      </c>
      <c r="KI28" s="87" t="str">
        <f t="shared" si="188"/>
        <v>#DIV/0!</v>
      </c>
      <c r="KJ28" s="87">
        <f t="shared" si="189"/>
        <v>0</v>
      </c>
      <c r="KK28" s="95"/>
      <c r="KL28" s="87">
        <f t="shared" si="190"/>
        <v>0</v>
      </c>
      <c r="KM28" s="96"/>
      <c r="KN28" s="96"/>
      <c r="KO28" s="97"/>
      <c r="KP28" s="87">
        <f t="shared" si="191"/>
        <v>0</v>
      </c>
      <c r="KQ28" s="95">
        <f t="shared" si="192"/>
        <v>0.4604471269</v>
      </c>
      <c r="KR28" s="98">
        <f t="shared" si="193"/>
        <v>0</v>
      </c>
      <c r="KS28" s="99">
        <f t="shared" si="194"/>
        <v>0</v>
      </c>
      <c r="KT28" s="90"/>
      <c r="KU28" s="91"/>
    </row>
    <row r="29" ht="15.75" customHeight="1">
      <c r="A29" s="92">
        <f t="shared" si="195"/>
        <v>17</v>
      </c>
      <c r="B29" s="93" t="str">
        <f>IFERROR(VLOOKUP($R29,ADHK!$A$13:$D$30,-B$12,FALSE),"")</f>
        <v>Lainnya 2.3 (9) …….</v>
      </c>
      <c r="C29" s="94" t="str">
        <f>IFERROR(VLOOKUP($R29,ADHK!$A$13:$D$30,-C$12,FALSE),"")</f>
        <v/>
      </c>
      <c r="D29" s="94" t="str">
        <f>IFERROR(VLOOKUP($R29,ADHK!$A$13:$D$30,-D$12,FALSE),"")</f>
        <v/>
      </c>
      <c r="E29" s="87">
        <f t="shared" si="35"/>
        <v>0</v>
      </c>
      <c r="F29" s="87" t="str">
        <f t="shared" si="36"/>
        <v>#DIV/0!</v>
      </c>
      <c r="G29" s="87">
        <f t="shared" si="37"/>
        <v>0</v>
      </c>
      <c r="H29" s="95"/>
      <c r="I29" s="87">
        <f t="shared" si="38"/>
        <v>0</v>
      </c>
      <c r="J29" s="96"/>
      <c r="K29" s="96"/>
      <c r="L29" s="97"/>
      <c r="M29" s="87">
        <f t="shared" si="39"/>
        <v>0</v>
      </c>
      <c r="N29" s="95">
        <f>ADHK!N29</f>
        <v>0.4604471269</v>
      </c>
      <c r="O29" s="98">
        <f t="shared" si="40"/>
        <v>0</v>
      </c>
      <c r="P29" s="99">
        <f t="shared" si="41"/>
        <v>0</v>
      </c>
      <c r="Q29" s="90"/>
      <c r="R29" s="92">
        <f t="shared" si="196"/>
        <v>17</v>
      </c>
      <c r="S29" s="93" t="str">
        <f t="shared" ref="S29:U29" si="451">IFERROR(VLOOKUP($R29,$A$13:$D$30,-S$12,FALSE),"")</f>
        <v>Lainnya 2.3 (9) …….</v>
      </c>
      <c r="T29" s="94" t="str">
        <f t="shared" si="451"/>
        <v/>
      </c>
      <c r="U29" s="94" t="str">
        <f t="shared" si="451"/>
        <v/>
      </c>
      <c r="V29" s="87">
        <f t="shared" si="43"/>
        <v>0</v>
      </c>
      <c r="W29" s="87" t="str">
        <f t="shared" si="44"/>
        <v>#DIV/0!</v>
      </c>
      <c r="X29" s="87">
        <f t="shared" si="45"/>
        <v>0</v>
      </c>
      <c r="Y29" s="95"/>
      <c r="Z29" s="87">
        <f t="shared" si="46"/>
        <v>0</v>
      </c>
      <c r="AA29" s="96"/>
      <c r="AB29" s="96"/>
      <c r="AC29" s="97"/>
      <c r="AD29" s="87">
        <f t="shared" si="47"/>
        <v>0</v>
      </c>
      <c r="AE29" s="95">
        <f t="shared" si="48"/>
        <v>0.4604471269</v>
      </c>
      <c r="AF29" s="98">
        <f t="shared" si="49"/>
        <v>0</v>
      </c>
      <c r="AG29" s="99">
        <f t="shared" si="50"/>
        <v>0</v>
      </c>
      <c r="AH29" s="90"/>
      <c r="AI29" s="92">
        <f t="shared" si="198"/>
        <v>17</v>
      </c>
      <c r="AJ29" s="93" t="str">
        <f t="shared" ref="AJ29:AL29" si="452">IFERROR(VLOOKUP($R29,$A$13:$D$30,-AJ$12,FALSE),"")</f>
        <v>Lainnya 2.3 (9) …….</v>
      </c>
      <c r="AK29" s="94" t="str">
        <f t="shared" si="452"/>
        <v/>
      </c>
      <c r="AL29" s="94" t="str">
        <f t="shared" si="452"/>
        <v/>
      </c>
      <c r="AM29" s="87">
        <f t="shared" si="52"/>
        <v>0</v>
      </c>
      <c r="AN29" s="87" t="str">
        <f t="shared" si="53"/>
        <v>#DIV/0!</v>
      </c>
      <c r="AO29" s="87">
        <f t="shared" si="54"/>
        <v>0</v>
      </c>
      <c r="AP29" s="95"/>
      <c r="AQ29" s="87">
        <f t="shared" si="55"/>
        <v>0</v>
      </c>
      <c r="AR29" s="96"/>
      <c r="AS29" s="96"/>
      <c r="AT29" s="97"/>
      <c r="AU29" s="87">
        <f t="shared" si="56"/>
        <v>0</v>
      </c>
      <c r="AV29" s="95">
        <f t="shared" si="57"/>
        <v>0.4604471269</v>
      </c>
      <c r="AW29" s="98">
        <f t="shared" si="58"/>
        <v>0</v>
      </c>
      <c r="AX29" s="99">
        <f t="shared" si="59"/>
        <v>0</v>
      </c>
      <c r="AY29" s="90"/>
      <c r="AZ29" s="92">
        <f t="shared" si="200"/>
        <v>17</v>
      </c>
      <c r="BA29" s="93" t="str">
        <f t="shared" ref="BA29:BC29" si="453">IFERROR(VLOOKUP($R29,$A$13:$D$30,-BA$12,FALSE),"")</f>
        <v>Lainnya 2.3 (9) …….</v>
      </c>
      <c r="BB29" s="94" t="str">
        <f t="shared" si="453"/>
        <v/>
      </c>
      <c r="BC29" s="94" t="str">
        <f t="shared" si="453"/>
        <v/>
      </c>
      <c r="BD29" s="87">
        <f t="shared" si="61"/>
        <v>0</v>
      </c>
      <c r="BE29" s="87" t="str">
        <f t="shared" si="62"/>
        <v>#DIV/0!</v>
      </c>
      <c r="BF29" s="87">
        <f t="shared" si="63"/>
        <v>0</v>
      </c>
      <c r="BG29" s="95"/>
      <c r="BH29" s="87">
        <f t="shared" si="64"/>
        <v>0</v>
      </c>
      <c r="BI29" s="96"/>
      <c r="BJ29" s="96"/>
      <c r="BK29" s="97"/>
      <c r="BL29" s="87">
        <f t="shared" si="65"/>
        <v>0</v>
      </c>
      <c r="BM29" s="95">
        <f t="shared" si="66"/>
        <v>0.4604471269</v>
      </c>
      <c r="BN29" s="98">
        <f t="shared" si="67"/>
        <v>0</v>
      </c>
      <c r="BO29" s="99">
        <f t="shared" si="68"/>
        <v>0</v>
      </c>
      <c r="BP29" s="90"/>
      <c r="BQ29" s="92">
        <f t="shared" si="202"/>
        <v>17</v>
      </c>
      <c r="BR29" s="93" t="str">
        <f t="shared" ref="BR29:BT29" si="454">IFERROR(VLOOKUP($R29,$A$13:$D$30,-BR$12,FALSE),"")</f>
        <v>Lainnya 2.3 (9) …….</v>
      </c>
      <c r="BS29" s="94" t="str">
        <f t="shared" si="454"/>
        <v/>
      </c>
      <c r="BT29" s="94" t="str">
        <f t="shared" si="454"/>
        <v/>
      </c>
      <c r="BU29" s="87">
        <f t="shared" si="70"/>
        <v>0</v>
      </c>
      <c r="BV29" s="87" t="str">
        <f t="shared" si="71"/>
        <v>#DIV/0!</v>
      </c>
      <c r="BW29" s="87">
        <f t="shared" si="72"/>
        <v>0</v>
      </c>
      <c r="BX29" s="95"/>
      <c r="BY29" s="87">
        <f t="shared" si="73"/>
        <v>0</v>
      </c>
      <c r="BZ29" s="96"/>
      <c r="CA29" s="96"/>
      <c r="CB29" s="97"/>
      <c r="CC29" s="87">
        <f t="shared" si="74"/>
        <v>0</v>
      </c>
      <c r="CD29" s="95">
        <f t="shared" si="75"/>
        <v>0.4604471269</v>
      </c>
      <c r="CE29" s="98">
        <f t="shared" si="76"/>
        <v>0</v>
      </c>
      <c r="CF29" s="99">
        <f t="shared" si="77"/>
        <v>0</v>
      </c>
      <c r="CG29" s="90"/>
      <c r="CH29" s="92">
        <f t="shared" si="204"/>
        <v>17</v>
      </c>
      <c r="CI29" s="93" t="str">
        <f t="shared" ref="CI29:CK29" si="455">IFERROR(VLOOKUP($R29,$A$13:$D$30,-CI$12,FALSE),"")</f>
        <v>Lainnya 2.3 (9) …….</v>
      </c>
      <c r="CJ29" s="94" t="str">
        <f t="shared" si="455"/>
        <v/>
      </c>
      <c r="CK29" s="94" t="str">
        <f t="shared" si="455"/>
        <v/>
      </c>
      <c r="CL29" s="87">
        <f t="shared" si="79"/>
        <v>0</v>
      </c>
      <c r="CM29" s="87" t="str">
        <f t="shared" si="80"/>
        <v>#DIV/0!</v>
      </c>
      <c r="CN29" s="87">
        <f t="shared" si="81"/>
        <v>0</v>
      </c>
      <c r="CO29" s="95"/>
      <c r="CP29" s="87">
        <f t="shared" si="82"/>
        <v>0</v>
      </c>
      <c r="CQ29" s="96"/>
      <c r="CR29" s="96"/>
      <c r="CS29" s="97"/>
      <c r="CT29" s="87">
        <f t="shared" si="83"/>
        <v>0</v>
      </c>
      <c r="CU29" s="95">
        <f t="shared" si="84"/>
        <v>0.4604471269</v>
      </c>
      <c r="CV29" s="98">
        <f t="shared" si="85"/>
        <v>0</v>
      </c>
      <c r="CW29" s="99">
        <f t="shared" si="86"/>
        <v>0</v>
      </c>
      <c r="CX29" s="90"/>
      <c r="CY29" s="92">
        <f t="shared" si="206"/>
        <v>17</v>
      </c>
      <c r="CZ29" s="93" t="str">
        <f t="shared" ref="CZ29:DB29" si="456">IFERROR(VLOOKUP($R29,$A$13:$D$30,-CZ$12,FALSE),"")</f>
        <v>Lainnya 2.3 (9) …….</v>
      </c>
      <c r="DA29" s="94" t="str">
        <f t="shared" si="456"/>
        <v/>
      </c>
      <c r="DB29" s="94" t="str">
        <f t="shared" si="456"/>
        <v/>
      </c>
      <c r="DC29" s="87">
        <f t="shared" si="88"/>
        <v>0</v>
      </c>
      <c r="DD29" s="87" t="str">
        <f t="shared" si="89"/>
        <v>#DIV/0!</v>
      </c>
      <c r="DE29" s="87">
        <f t="shared" si="90"/>
        <v>0</v>
      </c>
      <c r="DF29" s="95"/>
      <c r="DG29" s="87">
        <f t="shared" si="91"/>
        <v>0</v>
      </c>
      <c r="DH29" s="96"/>
      <c r="DI29" s="96"/>
      <c r="DJ29" s="97"/>
      <c r="DK29" s="87">
        <f t="shared" si="92"/>
        <v>0</v>
      </c>
      <c r="DL29" s="95">
        <f t="shared" si="93"/>
        <v>0.4604471269</v>
      </c>
      <c r="DM29" s="98">
        <f t="shared" si="94"/>
        <v>0</v>
      </c>
      <c r="DN29" s="99">
        <f t="shared" si="95"/>
        <v>0</v>
      </c>
      <c r="DO29" s="90"/>
      <c r="DP29" s="92">
        <f t="shared" si="208"/>
        <v>17</v>
      </c>
      <c r="DQ29" s="93" t="str">
        <f t="shared" ref="DQ29:DS29" si="457">IFERROR(VLOOKUP($R29,$A$13:$D$30,-DQ$12,FALSE),"")</f>
        <v>Lainnya 2.3 (9) …….</v>
      </c>
      <c r="DR29" s="94" t="str">
        <f t="shared" si="457"/>
        <v/>
      </c>
      <c r="DS29" s="94" t="str">
        <f t="shared" si="457"/>
        <v/>
      </c>
      <c r="DT29" s="87">
        <f t="shared" si="97"/>
        <v>0</v>
      </c>
      <c r="DU29" s="87" t="str">
        <f t="shared" si="98"/>
        <v>#DIV/0!</v>
      </c>
      <c r="DV29" s="87">
        <f t="shared" si="99"/>
        <v>0</v>
      </c>
      <c r="DW29" s="95"/>
      <c r="DX29" s="87">
        <f t="shared" si="100"/>
        <v>0</v>
      </c>
      <c r="DY29" s="96"/>
      <c r="DZ29" s="96"/>
      <c r="EA29" s="97"/>
      <c r="EB29" s="87">
        <f t="shared" si="101"/>
        <v>0</v>
      </c>
      <c r="EC29" s="95">
        <f t="shared" si="102"/>
        <v>0.4604471269</v>
      </c>
      <c r="ED29" s="98">
        <f t="shared" si="103"/>
        <v>0</v>
      </c>
      <c r="EE29" s="99">
        <f t="shared" si="104"/>
        <v>0</v>
      </c>
      <c r="EF29" s="90"/>
      <c r="EG29" s="92">
        <f t="shared" si="210"/>
        <v>17</v>
      </c>
      <c r="EH29" s="93" t="str">
        <f t="shared" ref="EH29:EJ29" si="458">IFERROR(VLOOKUP($R29,$A$13:$D$30,-EH$12,FALSE),"")</f>
        <v>Lainnya 2.3 (9) …….</v>
      </c>
      <c r="EI29" s="94" t="str">
        <f t="shared" si="458"/>
        <v/>
      </c>
      <c r="EJ29" s="94" t="str">
        <f t="shared" si="458"/>
        <v/>
      </c>
      <c r="EK29" s="87">
        <f t="shared" si="106"/>
        <v>0</v>
      </c>
      <c r="EL29" s="87" t="str">
        <f t="shared" si="107"/>
        <v>#DIV/0!</v>
      </c>
      <c r="EM29" s="87">
        <f t="shared" si="108"/>
        <v>0</v>
      </c>
      <c r="EN29" s="95"/>
      <c r="EO29" s="87">
        <f t="shared" si="109"/>
        <v>0</v>
      </c>
      <c r="EP29" s="96"/>
      <c r="EQ29" s="96"/>
      <c r="ER29" s="97"/>
      <c r="ES29" s="87">
        <f t="shared" si="110"/>
        <v>0</v>
      </c>
      <c r="ET29" s="95">
        <f t="shared" si="111"/>
        <v>0.4604471269</v>
      </c>
      <c r="EU29" s="98">
        <f t="shared" si="112"/>
        <v>0</v>
      </c>
      <c r="EV29" s="99">
        <f t="shared" si="113"/>
        <v>0</v>
      </c>
      <c r="EW29" s="90"/>
      <c r="EX29" s="92">
        <f t="shared" si="212"/>
        <v>17</v>
      </c>
      <c r="EY29" s="93" t="str">
        <f t="shared" ref="EY29:FA29" si="459">IFERROR(VLOOKUP($R29,$A$13:$D$30,-EY$12,FALSE),"")</f>
        <v>Lainnya 2.3 (9) …….</v>
      </c>
      <c r="EZ29" s="94" t="str">
        <f t="shared" si="459"/>
        <v/>
      </c>
      <c r="FA29" s="94" t="str">
        <f t="shared" si="459"/>
        <v/>
      </c>
      <c r="FB29" s="87">
        <f t="shared" si="115"/>
        <v>0</v>
      </c>
      <c r="FC29" s="87" t="str">
        <f t="shared" si="116"/>
        <v>#DIV/0!</v>
      </c>
      <c r="FD29" s="87">
        <f t="shared" si="117"/>
        <v>0</v>
      </c>
      <c r="FE29" s="95"/>
      <c r="FF29" s="87">
        <f t="shared" si="118"/>
        <v>0</v>
      </c>
      <c r="FG29" s="96"/>
      <c r="FH29" s="96"/>
      <c r="FI29" s="97"/>
      <c r="FJ29" s="87">
        <f t="shared" si="119"/>
        <v>0</v>
      </c>
      <c r="FK29" s="95">
        <f t="shared" si="120"/>
        <v>0.4604471269</v>
      </c>
      <c r="FL29" s="98">
        <f t="shared" si="121"/>
        <v>0</v>
      </c>
      <c r="FM29" s="99">
        <f t="shared" si="122"/>
        <v>0</v>
      </c>
      <c r="FN29" s="90"/>
      <c r="FO29" s="92">
        <f t="shared" si="214"/>
        <v>17</v>
      </c>
      <c r="FP29" s="93" t="str">
        <f t="shared" ref="FP29:FR29" si="460">IFERROR(VLOOKUP($R29,$A$13:$D$30,-FP$12,FALSE),"")</f>
        <v>Lainnya 2.3 (9) …….</v>
      </c>
      <c r="FQ29" s="94" t="str">
        <f t="shared" si="460"/>
        <v/>
      </c>
      <c r="FR29" s="94" t="str">
        <f t="shared" si="460"/>
        <v/>
      </c>
      <c r="FS29" s="87">
        <f t="shared" si="124"/>
        <v>0</v>
      </c>
      <c r="FT29" s="87" t="str">
        <f t="shared" si="125"/>
        <v>#DIV/0!</v>
      </c>
      <c r="FU29" s="87">
        <f t="shared" si="126"/>
        <v>0</v>
      </c>
      <c r="FV29" s="95"/>
      <c r="FW29" s="87">
        <f t="shared" si="127"/>
        <v>0</v>
      </c>
      <c r="FX29" s="96"/>
      <c r="FY29" s="96"/>
      <c r="FZ29" s="97"/>
      <c r="GA29" s="87">
        <f t="shared" si="128"/>
        <v>0</v>
      </c>
      <c r="GB29" s="95">
        <f t="shared" si="129"/>
        <v>0.4604471269</v>
      </c>
      <c r="GC29" s="98">
        <f t="shared" si="130"/>
        <v>0</v>
      </c>
      <c r="GD29" s="99">
        <f t="shared" si="131"/>
        <v>0</v>
      </c>
      <c r="GE29" s="90"/>
      <c r="GF29" s="92">
        <f t="shared" si="216"/>
        <v>17</v>
      </c>
      <c r="GG29" s="93" t="str">
        <f t="shared" ref="GG29:GI29" si="461">IFERROR(VLOOKUP($R29,$A$13:$D$30,-GG$12,FALSE),"")</f>
        <v>Lainnya 2.3 (9) …….</v>
      </c>
      <c r="GH29" s="94" t="str">
        <f t="shared" si="461"/>
        <v/>
      </c>
      <c r="GI29" s="94" t="str">
        <f t="shared" si="461"/>
        <v/>
      </c>
      <c r="GJ29" s="87">
        <f t="shared" si="133"/>
        <v>0</v>
      </c>
      <c r="GK29" s="87" t="str">
        <f t="shared" si="134"/>
        <v>#DIV/0!</v>
      </c>
      <c r="GL29" s="87">
        <f t="shared" si="135"/>
        <v>0</v>
      </c>
      <c r="GM29" s="95"/>
      <c r="GN29" s="87">
        <f t="shared" si="136"/>
        <v>0</v>
      </c>
      <c r="GO29" s="96"/>
      <c r="GP29" s="96"/>
      <c r="GQ29" s="97"/>
      <c r="GR29" s="87">
        <f t="shared" si="137"/>
        <v>0</v>
      </c>
      <c r="GS29" s="95">
        <f t="shared" si="138"/>
        <v>0.4604471269</v>
      </c>
      <c r="GT29" s="98">
        <f t="shared" si="139"/>
        <v>0</v>
      </c>
      <c r="GU29" s="99">
        <f t="shared" si="140"/>
        <v>0</v>
      </c>
      <c r="GV29" s="90"/>
      <c r="GW29" s="92">
        <f t="shared" si="218"/>
        <v>17</v>
      </c>
      <c r="GX29" s="93" t="str">
        <f t="shared" ref="GX29:GZ29" si="462">IFERROR(VLOOKUP($R29,$A$13:$D$30,-GX$12,FALSE),"")</f>
        <v>Lainnya 2.3 (9) …….</v>
      </c>
      <c r="GY29" s="94" t="str">
        <f t="shared" si="462"/>
        <v/>
      </c>
      <c r="GZ29" s="94" t="str">
        <f t="shared" si="462"/>
        <v/>
      </c>
      <c r="HA29" s="87">
        <f t="shared" si="142"/>
        <v>0</v>
      </c>
      <c r="HB29" s="87" t="str">
        <f t="shared" si="143"/>
        <v>#DIV/0!</v>
      </c>
      <c r="HC29" s="87">
        <f t="shared" si="144"/>
        <v>0</v>
      </c>
      <c r="HD29" s="95"/>
      <c r="HE29" s="87">
        <f t="shared" si="145"/>
        <v>0</v>
      </c>
      <c r="HF29" s="96"/>
      <c r="HG29" s="96"/>
      <c r="HH29" s="97"/>
      <c r="HI29" s="87">
        <f t="shared" si="146"/>
        <v>0</v>
      </c>
      <c r="HJ29" s="95">
        <f t="shared" si="147"/>
        <v>0.4604471269</v>
      </c>
      <c r="HK29" s="98">
        <f t="shared" si="148"/>
        <v>0</v>
      </c>
      <c r="HL29" s="99">
        <f t="shared" si="149"/>
        <v>0</v>
      </c>
      <c r="HM29" s="90"/>
      <c r="HN29" s="92">
        <f t="shared" si="220"/>
        <v>17</v>
      </c>
      <c r="HO29" s="93" t="str">
        <f t="shared" ref="HO29:HQ29" si="463">IFERROR(VLOOKUP($R29,$A$13:$D$30,-HO$12,FALSE),"")</f>
        <v>Lainnya 2.3 (9) …….</v>
      </c>
      <c r="HP29" s="94" t="str">
        <f t="shared" si="463"/>
        <v/>
      </c>
      <c r="HQ29" s="94" t="str">
        <f t="shared" si="463"/>
        <v/>
      </c>
      <c r="HR29" s="87">
        <f t="shared" si="151"/>
        <v>0</v>
      </c>
      <c r="HS29" s="87" t="str">
        <f t="shared" si="152"/>
        <v>#DIV/0!</v>
      </c>
      <c r="HT29" s="87">
        <f t="shared" si="153"/>
        <v>0</v>
      </c>
      <c r="HU29" s="95"/>
      <c r="HV29" s="87">
        <f t="shared" si="154"/>
        <v>0</v>
      </c>
      <c r="HW29" s="96"/>
      <c r="HX29" s="96"/>
      <c r="HY29" s="97"/>
      <c r="HZ29" s="87">
        <f t="shared" si="155"/>
        <v>0</v>
      </c>
      <c r="IA29" s="95">
        <f t="shared" si="156"/>
        <v>0.4604471269</v>
      </c>
      <c r="IB29" s="98">
        <f t="shared" si="157"/>
        <v>0</v>
      </c>
      <c r="IC29" s="99">
        <f t="shared" si="158"/>
        <v>0</v>
      </c>
      <c r="ID29" s="90"/>
      <c r="IE29" s="92">
        <f t="shared" si="222"/>
        <v>17</v>
      </c>
      <c r="IF29" s="93" t="str">
        <f t="shared" ref="IF29:IH29" si="464">IFERROR(VLOOKUP($R29,$A$13:$D$30,-IF$12,FALSE),"")</f>
        <v>Lainnya 2.3 (9) …….</v>
      </c>
      <c r="IG29" s="94" t="str">
        <f t="shared" si="464"/>
        <v/>
      </c>
      <c r="IH29" s="94" t="str">
        <f t="shared" si="464"/>
        <v/>
      </c>
      <c r="II29" s="87">
        <f t="shared" si="160"/>
        <v>0</v>
      </c>
      <c r="IJ29" s="87" t="str">
        <f t="shared" si="161"/>
        <v>#DIV/0!</v>
      </c>
      <c r="IK29" s="87">
        <f t="shared" si="162"/>
        <v>0</v>
      </c>
      <c r="IL29" s="95"/>
      <c r="IM29" s="87">
        <f t="shared" si="163"/>
        <v>0</v>
      </c>
      <c r="IN29" s="96"/>
      <c r="IO29" s="96"/>
      <c r="IP29" s="97"/>
      <c r="IQ29" s="87">
        <f t="shared" si="164"/>
        <v>0</v>
      </c>
      <c r="IR29" s="95">
        <f t="shared" si="165"/>
        <v>0.4604471269</v>
      </c>
      <c r="IS29" s="98">
        <f t="shared" si="166"/>
        <v>0</v>
      </c>
      <c r="IT29" s="99">
        <f t="shared" si="167"/>
        <v>0</v>
      </c>
      <c r="IU29" s="90"/>
      <c r="IV29" s="92">
        <f t="shared" si="224"/>
        <v>17</v>
      </c>
      <c r="IW29" s="93" t="str">
        <f t="shared" ref="IW29:IY29" si="465">IFERROR(VLOOKUP($R29,$A$13:$D$30,-IW$12,FALSE),"")</f>
        <v>Lainnya 2.3 (9) …….</v>
      </c>
      <c r="IX29" s="94" t="str">
        <f t="shared" si="465"/>
        <v/>
      </c>
      <c r="IY29" s="94" t="str">
        <f t="shared" si="465"/>
        <v/>
      </c>
      <c r="IZ29" s="87">
        <f t="shared" si="169"/>
        <v>0</v>
      </c>
      <c r="JA29" s="87" t="str">
        <f t="shared" si="170"/>
        <v>#DIV/0!</v>
      </c>
      <c r="JB29" s="87">
        <f t="shared" si="171"/>
        <v>0</v>
      </c>
      <c r="JC29" s="95"/>
      <c r="JD29" s="87">
        <f t="shared" si="172"/>
        <v>0</v>
      </c>
      <c r="JE29" s="96"/>
      <c r="JF29" s="96"/>
      <c r="JG29" s="97"/>
      <c r="JH29" s="87">
        <f t="shared" si="173"/>
        <v>0</v>
      </c>
      <c r="JI29" s="95">
        <f t="shared" si="174"/>
        <v>0.4604471269</v>
      </c>
      <c r="JJ29" s="98">
        <f t="shared" si="175"/>
        <v>0</v>
      </c>
      <c r="JK29" s="99">
        <f t="shared" si="176"/>
        <v>0</v>
      </c>
      <c r="JL29" s="90"/>
      <c r="JM29" s="92">
        <f t="shared" si="226"/>
        <v>17</v>
      </c>
      <c r="JN29" s="93" t="str">
        <f t="shared" ref="JN29:JP29" si="466">IFERROR(VLOOKUP($R29,$A$13:$D$30,-JN$12,FALSE),"")</f>
        <v>Lainnya 2.3 (9) …….</v>
      </c>
      <c r="JO29" s="94" t="str">
        <f t="shared" si="466"/>
        <v/>
      </c>
      <c r="JP29" s="94" t="str">
        <f t="shared" si="466"/>
        <v/>
      </c>
      <c r="JQ29" s="87">
        <f t="shared" si="178"/>
        <v>0</v>
      </c>
      <c r="JR29" s="87" t="str">
        <f t="shared" si="179"/>
        <v>#DIV/0!</v>
      </c>
      <c r="JS29" s="87">
        <f t="shared" si="180"/>
        <v>0</v>
      </c>
      <c r="JT29" s="95"/>
      <c r="JU29" s="87">
        <f t="shared" si="181"/>
        <v>0</v>
      </c>
      <c r="JV29" s="96"/>
      <c r="JW29" s="96"/>
      <c r="JX29" s="97"/>
      <c r="JY29" s="87">
        <f t="shared" si="182"/>
        <v>0</v>
      </c>
      <c r="JZ29" s="95">
        <f t="shared" si="183"/>
        <v>0.4604471269</v>
      </c>
      <c r="KA29" s="98">
        <f t="shared" si="184"/>
        <v>0</v>
      </c>
      <c r="KB29" s="99">
        <f t="shared" si="185"/>
        <v>0</v>
      </c>
      <c r="KC29" s="90"/>
      <c r="KD29" s="92">
        <f t="shared" si="228"/>
        <v>17</v>
      </c>
      <c r="KE29" s="93" t="str">
        <f t="shared" ref="KE29:KG29" si="467">IFERROR(VLOOKUP($R29,$A$13:$D$30,-KE$12,FALSE),"")</f>
        <v>Lainnya 2.3 (9) …….</v>
      </c>
      <c r="KF29" s="94" t="str">
        <f t="shared" si="467"/>
        <v/>
      </c>
      <c r="KG29" s="94" t="str">
        <f t="shared" si="467"/>
        <v/>
      </c>
      <c r="KH29" s="87">
        <f t="shared" si="187"/>
        <v>0</v>
      </c>
      <c r="KI29" s="87" t="str">
        <f t="shared" si="188"/>
        <v>#DIV/0!</v>
      </c>
      <c r="KJ29" s="87">
        <f t="shared" si="189"/>
        <v>0</v>
      </c>
      <c r="KK29" s="95"/>
      <c r="KL29" s="87">
        <f t="shared" si="190"/>
        <v>0</v>
      </c>
      <c r="KM29" s="96"/>
      <c r="KN29" s="96"/>
      <c r="KO29" s="97"/>
      <c r="KP29" s="87">
        <f t="shared" si="191"/>
        <v>0</v>
      </c>
      <c r="KQ29" s="95">
        <f t="shared" si="192"/>
        <v>0.4604471269</v>
      </c>
      <c r="KR29" s="98">
        <f t="shared" si="193"/>
        <v>0</v>
      </c>
      <c r="KS29" s="99">
        <f t="shared" si="194"/>
        <v>0</v>
      </c>
      <c r="KT29" s="90"/>
      <c r="KU29" s="91"/>
    </row>
    <row r="30" ht="15.75" customHeight="1">
      <c r="A30" s="92"/>
      <c r="B30" s="93"/>
      <c r="C30" s="100"/>
      <c r="D30" s="100"/>
      <c r="E30" s="87"/>
      <c r="F30" s="87"/>
      <c r="G30" s="87">
        <f t="shared" si="37"/>
        <v>0</v>
      </c>
      <c r="H30" s="87"/>
      <c r="I30" s="87"/>
      <c r="J30" s="96"/>
      <c r="K30" s="96"/>
      <c r="L30" s="96"/>
      <c r="M30" s="87"/>
      <c r="N30" s="87"/>
      <c r="O30" s="87"/>
      <c r="P30" s="99"/>
      <c r="Q30" s="90"/>
      <c r="R30" s="92"/>
      <c r="S30" s="93"/>
      <c r="T30" s="100"/>
      <c r="U30" s="100"/>
      <c r="V30" s="87"/>
      <c r="W30" s="87"/>
      <c r="X30" s="87">
        <f t="shared" si="45"/>
        <v>0</v>
      </c>
      <c r="Y30" s="87"/>
      <c r="Z30" s="87"/>
      <c r="AA30" s="96"/>
      <c r="AB30" s="96"/>
      <c r="AC30" s="96"/>
      <c r="AD30" s="87"/>
      <c r="AE30" s="87"/>
      <c r="AF30" s="87"/>
      <c r="AG30" s="99"/>
      <c r="AH30" s="90"/>
      <c r="AI30" s="92"/>
      <c r="AJ30" s="93"/>
      <c r="AK30" s="100"/>
      <c r="AL30" s="100"/>
      <c r="AM30" s="87"/>
      <c r="AN30" s="87"/>
      <c r="AO30" s="87">
        <f t="shared" si="54"/>
        <v>0</v>
      </c>
      <c r="AP30" s="87"/>
      <c r="AQ30" s="87"/>
      <c r="AR30" s="96"/>
      <c r="AS30" s="96"/>
      <c r="AT30" s="96"/>
      <c r="AU30" s="87"/>
      <c r="AV30" s="87"/>
      <c r="AW30" s="87"/>
      <c r="AX30" s="99"/>
      <c r="AY30" s="90"/>
      <c r="AZ30" s="92"/>
      <c r="BA30" s="93"/>
      <c r="BB30" s="100"/>
      <c r="BC30" s="100"/>
      <c r="BD30" s="87"/>
      <c r="BE30" s="87"/>
      <c r="BF30" s="87">
        <f t="shared" si="63"/>
        <v>0</v>
      </c>
      <c r="BG30" s="87"/>
      <c r="BH30" s="87"/>
      <c r="BI30" s="96"/>
      <c r="BJ30" s="96"/>
      <c r="BK30" s="96"/>
      <c r="BL30" s="87"/>
      <c r="BM30" s="87"/>
      <c r="BN30" s="87"/>
      <c r="BO30" s="99"/>
      <c r="BP30" s="90"/>
      <c r="BQ30" s="92"/>
      <c r="BR30" s="93"/>
      <c r="BS30" s="100"/>
      <c r="BT30" s="100"/>
      <c r="BU30" s="87"/>
      <c r="BV30" s="87"/>
      <c r="BW30" s="87">
        <f t="shared" si="72"/>
        <v>0</v>
      </c>
      <c r="BX30" s="87"/>
      <c r="BY30" s="87"/>
      <c r="BZ30" s="96"/>
      <c r="CA30" s="96"/>
      <c r="CB30" s="96"/>
      <c r="CC30" s="87"/>
      <c r="CD30" s="87"/>
      <c r="CE30" s="87"/>
      <c r="CF30" s="99"/>
      <c r="CG30" s="90"/>
      <c r="CH30" s="92"/>
      <c r="CI30" s="93"/>
      <c r="CJ30" s="100"/>
      <c r="CK30" s="100"/>
      <c r="CL30" s="87"/>
      <c r="CM30" s="87"/>
      <c r="CN30" s="87">
        <f t="shared" si="81"/>
        <v>0</v>
      </c>
      <c r="CO30" s="87"/>
      <c r="CP30" s="87"/>
      <c r="CQ30" s="96"/>
      <c r="CR30" s="96"/>
      <c r="CS30" s="96"/>
      <c r="CT30" s="87"/>
      <c r="CU30" s="87"/>
      <c r="CV30" s="87"/>
      <c r="CW30" s="99"/>
      <c r="CX30" s="90"/>
      <c r="CY30" s="92"/>
      <c r="CZ30" s="93"/>
      <c r="DA30" s="100"/>
      <c r="DB30" s="100"/>
      <c r="DC30" s="87"/>
      <c r="DD30" s="87"/>
      <c r="DE30" s="87">
        <f t="shared" si="90"/>
        <v>0</v>
      </c>
      <c r="DF30" s="87"/>
      <c r="DG30" s="87"/>
      <c r="DH30" s="96"/>
      <c r="DI30" s="96"/>
      <c r="DJ30" s="96"/>
      <c r="DK30" s="87"/>
      <c r="DL30" s="87"/>
      <c r="DM30" s="87"/>
      <c r="DN30" s="99"/>
      <c r="DO30" s="90"/>
      <c r="DP30" s="92"/>
      <c r="DQ30" s="93"/>
      <c r="DR30" s="100"/>
      <c r="DS30" s="100"/>
      <c r="DT30" s="87"/>
      <c r="DU30" s="87"/>
      <c r="DV30" s="87">
        <f t="shared" si="99"/>
        <v>0</v>
      </c>
      <c r="DW30" s="87"/>
      <c r="DX30" s="87"/>
      <c r="DY30" s="96"/>
      <c r="DZ30" s="96"/>
      <c r="EA30" s="96"/>
      <c r="EB30" s="87"/>
      <c r="EC30" s="87"/>
      <c r="ED30" s="87"/>
      <c r="EE30" s="99"/>
      <c r="EF30" s="90"/>
      <c r="EG30" s="92"/>
      <c r="EH30" s="93"/>
      <c r="EI30" s="100"/>
      <c r="EJ30" s="100"/>
      <c r="EK30" s="87"/>
      <c r="EL30" s="87"/>
      <c r="EM30" s="87">
        <f t="shared" si="108"/>
        <v>0</v>
      </c>
      <c r="EN30" s="87"/>
      <c r="EO30" s="87"/>
      <c r="EP30" s="96"/>
      <c r="EQ30" s="96"/>
      <c r="ER30" s="96"/>
      <c r="ES30" s="87"/>
      <c r="ET30" s="87"/>
      <c r="EU30" s="87"/>
      <c r="EV30" s="99"/>
      <c r="EW30" s="90"/>
      <c r="EX30" s="92"/>
      <c r="EY30" s="93"/>
      <c r="EZ30" s="100"/>
      <c r="FA30" s="100"/>
      <c r="FB30" s="87"/>
      <c r="FC30" s="87"/>
      <c r="FD30" s="87">
        <f t="shared" si="117"/>
        <v>0</v>
      </c>
      <c r="FE30" s="87"/>
      <c r="FF30" s="87"/>
      <c r="FG30" s="96"/>
      <c r="FH30" s="96"/>
      <c r="FI30" s="96"/>
      <c r="FJ30" s="87"/>
      <c r="FK30" s="87"/>
      <c r="FL30" s="87"/>
      <c r="FM30" s="99"/>
      <c r="FN30" s="90"/>
      <c r="FO30" s="92"/>
      <c r="FP30" s="93"/>
      <c r="FQ30" s="100"/>
      <c r="FR30" s="100"/>
      <c r="FS30" s="87"/>
      <c r="FT30" s="87"/>
      <c r="FU30" s="87">
        <f t="shared" si="126"/>
        <v>0</v>
      </c>
      <c r="FV30" s="87"/>
      <c r="FW30" s="87"/>
      <c r="FX30" s="96"/>
      <c r="FY30" s="96"/>
      <c r="FZ30" s="96"/>
      <c r="GA30" s="87"/>
      <c r="GB30" s="87"/>
      <c r="GC30" s="87"/>
      <c r="GD30" s="99"/>
      <c r="GE30" s="90"/>
      <c r="GF30" s="92"/>
      <c r="GG30" s="93"/>
      <c r="GH30" s="100"/>
      <c r="GI30" s="100"/>
      <c r="GJ30" s="87"/>
      <c r="GK30" s="87"/>
      <c r="GL30" s="87">
        <f t="shared" si="135"/>
        <v>0</v>
      </c>
      <c r="GM30" s="87"/>
      <c r="GN30" s="87"/>
      <c r="GO30" s="96"/>
      <c r="GP30" s="96"/>
      <c r="GQ30" s="96"/>
      <c r="GR30" s="87"/>
      <c r="GS30" s="87"/>
      <c r="GT30" s="87"/>
      <c r="GU30" s="99"/>
      <c r="GV30" s="90"/>
      <c r="GW30" s="92"/>
      <c r="GX30" s="93"/>
      <c r="GY30" s="100"/>
      <c r="GZ30" s="100"/>
      <c r="HA30" s="87"/>
      <c r="HB30" s="87"/>
      <c r="HC30" s="87">
        <f t="shared" si="144"/>
        <v>0</v>
      </c>
      <c r="HD30" s="87"/>
      <c r="HE30" s="87"/>
      <c r="HF30" s="96"/>
      <c r="HG30" s="96"/>
      <c r="HH30" s="96"/>
      <c r="HI30" s="87"/>
      <c r="HJ30" s="87"/>
      <c r="HK30" s="87"/>
      <c r="HL30" s="99"/>
      <c r="HM30" s="90"/>
      <c r="HN30" s="92"/>
      <c r="HO30" s="93"/>
      <c r="HP30" s="100"/>
      <c r="HQ30" s="100"/>
      <c r="HR30" s="87"/>
      <c r="HS30" s="87"/>
      <c r="HT30" s="87">
        <f t="shared" si="153"/>
        <v>0</v>
      </c>
      <c r="HU30" s="87"/>
      <c r="HV30" s="87"/>
      <c r="HW30" s="96"/>
      <c r="HX30" s="96"/>
      <c r="HY30" s="96"/>
      <c r="HZ30" s="87"/>
      <c r="IA30" s="87"/>
      <c r="IB30" s="87"/>
      <c r="IC30" s="99"/>
      <c r="ID30" s="90"/>
      <c r="IE30" s="92"/>
      <c r="IF30" s="93"/>
      <c r="IG30" s="100"/>
      <c r="IH30" s="100"/>
      <c r="II30" s="87"/>
      <c r="IJ30" s="87"/>
      <c r="IK30" s="87">
        <f t="shared" si="162"/>
        <v>0</v>
      </c>
      <c r="IL30" s="87"/>
      <c r="IM30" s="87"/>
      <c r="IN30" s="96"/>
      <c r="IO30" s="96"/>
      <c r="IP30" s="96"/>
      <c r="IQ30" s="87"/>
      <c r="IR30" s="87"/>
      <c r="IS30" s="87"/>
      <c r="IT30" s="99"/>
      <c r="IU30" s="90"/>
      <c r="IV30" s="92"/>
      <c r="IW30" s="93"/>
      <c r="IX30" s="100"/>
      <c r="IY30" s="100"/>
      <c r="IZ30" s="87"/>
      <c r="JA30" s="87"/>
      <c r="JB30" s="87">
        <f t="shared" si="171"/>
        <v>0</v>
      </c>
      <c r="JC30" s="87"/>
      <c r="JD30" s="87"/>
      <c r="JE30" s="96"/>
      <c r="JF30" s="96"/>
      <c r="JG30" s="96"/>
      <c r="JH30" s="87"/>
      <c r="JI30" s="87"/>
      <c r="JJ30" s="87"/>
      <c r="JK30" s="99"/>
      <c r="JL30" s="90"/>
      <c r="JM30" s="92"/>
      <c r="JN30" s="93"/>
      <c r="JO30" s="100"/>
      <c r="JP30" s="100"/>
      <c r="JQ30" s="87"/>
      <c r="JR30" s="87"/>
      <c r="JS30" s="87">
        <f t="shared" si="180"/>
        <v>0</v>
      </c>
      <c r="JT30" s="87"/>
      <c r="JU30" s="87"/>
      <c r="JV30" s="96"/>
      <c r="JW30" s="96"/>
      <c r="JX30" s="96"/>
      <c r="JY30" s="87"/>
      <c r="JZ30" s="87"/>
      <c r="KA30" s="87"/>
      <c r="KB30" s="99"/>
      <c r="KC30" s="90"/>
      <c r="KD30" s="92"/>
      <c r="KE30" s="93"/>
      <c r="KF30" s="100"/>
      <c r="KG30" s="100"/>
      <c r="KH30" s="87"/>
      <c r="KI30" s="87"/>
      <c r="KJ30" s="87">
        <f t="shared" si="189"/>
        <v>0</v>
      </c>
      <c r="KK30" s="87"/>
      <c r="KL30" s="87"/>
      <c r="KM30" s="96"/>
      <c r="KN30" s="96"/>
      <c r="KO30" s="96"/>
      <c r="KP30" s="87"/>
      <c r="KQ30" s="87"/>
      <c r="KR30" s="87"/>
      <c r="KS30" s="99"/>
      <c r="KT30" s="90"/>
      <c r="KU30" s="91"/>
    </row>
    <row r="31" ht="15.75" customHeight="1">
      <c r="A31" s="101" t="s">
        <v>51</v>
      </c>
      <c r="B31" s="102"/>
      <c r="C31" s="103"/>
      <c r="D31" s="103"/>
      <c r="E31" s="104"/>
      <c r="F31" s="104"/>
      <c r="G31" s="105">
        <f>SUM(G13:G30)</f>
        <v>0</v>
      </c>
      <c r="H31" s="104"/>
      <c r="I31" s="105">
        <f>SUM(I13:I30)</f>
        <v>0</v>
      </c>
      <c r="J31" s="104"/>
      <c r="K31" s="104"/>
      <c r="L31" s="104"/>
      <c r="M31" s="105">
        <f>SUM(M13:M30)</f>
        <v>0</v>
      </c>
      <c r="N31" s="104"/>
      <c r="O31" s="105">
        <f t="shared" ref="O31:P31" si="468">SUM(O13:O30)</f>
        <v>0</v>
      </c>
      <c r="P31" s="105">
        <f t="shared" si="468"/>
        <v>0</v>
      </c>
      <c r="Q31" s="106"/>
      <c r="R31" s="101" t="s">
        <v>51</v>
      </c>
      <c r="S31" s="102"/>
      <c r="T31" s="103"/>
      <c r="U31" s="103"/>
      <c r="V31" s="104"/>
      <c r="W31" s="104"/>
      <c r="X31" s="105">
        <f>SUM(X13:X30)</f>
        <v>0</v>
      </c>
      <c r="Y31" s="104"/>
      <c r="Z31" s="105">
        <f>SUM(Z13:Z30)</f>
        <v>0</v>
      </c>
      <c r="AA31" s="104"/>
      <c r="AB31" s="104"/>
      <c r="AC31" s="104"/>
      <c r="AD31" s="105">
        <f>SUM(AD13:AD30)</f>
        <v>0</v>
      </c>
      <c r="AE31" s="104"/>
      <c r="AF31" s="105">
        <f t="shared" ref="AF31:AG31" si="469">SUM(AF13:AF30)</f>
        <v>0</v>
      </c>
      <c r="AG31" s="105">
        <f t="shared" si="469"/>
        <v>0</v>
      </c>
      <c r="AH31" s="106"/>
      <c r="AI31" s="101" t="s">
        <v>51</v>
      </c>
      <c r="AJ31" s="102"/>
      <c r="AK31" s="103"/>
      <c r="AL31" s="103"/>
      <c r="AM31" s="104"/>
      <c r="AN31" s="104"/>
      <c r="AO31" s="105">
        <f>SUM(AO13:AO30)</f>
        <v>0</v>
      </c>
      <c r="AP31" s="104"/>
      <c r="AQ31" s="105">
        <f>SUM(AQ13:AQ30)</f>
        <v>0</v>
      </c>
      <c r="AR31" s="104"/>
      <c r="AS31" s="104"/>
      <c r="AT31" s="104"/>
      <c r="AU31" s="105">
        <f>SUM(AU13:AU30)</f>
        <v>0</v>
      </c>
      <c r="AV31" s="104"/>
      <c r="AW31" s="105">
        <f t="shared" ref="AW31:AX31" si="470">SUM(AW13:AW30)</f>
        <v>0</v>
      </c>
      <c r="AX31" s="105">
        <f t="shared" si="470"/>
        <v>0</v>
      </c>
      <c r="AY31" s="106"/>
      <c r="AZ31" s="101" t="s">
        <v>51</v>
      </c>
      <c r="BA31" s="102"/>
      <c r="BB31" s="103"/>
      <c r="BC31" s="103"/>
      <c r="BD31" s="104"/>
      <c r="BE31" s="104"/>
      <c r="BF31" s="105">
        <f>SUM(BF13:BF30)</f>
        <v>0</v>
      </c>
      <c r="BG31" s="104"/>
      <c r="BH31" s="105">
        <f>SUM(BH13:BH30)</f>
        <v>0</v>
      </c>
      <c r="BI31" s="104"/>
      <c r="BJ31" s="104"/>
      <c r="BK31" s="104"/>
      <c r="BL31" s="105">
        <f>SUM(BL13:BL30)</f>
        <v>0</v>
      </c>
      <c r="BM31" s="104"/>
      <c r="BN31" s="105">
        <f t="shared" ref="BN31:BO31" si="471">SUM(BN13:BN30)</f>
        <v>0</v>
      </c>
      <c r="BO31" s="105">
        <f t="shared" si="471"/>
        <v>0</v>
      </c>
      <c r="BP31" s="106"/>
      <c r="BQ31" s="101" t="s">
        <v>51</v>
      </c>
      <c r="BR31" s="102"/>
      <c r="BS31" s="103"/>
      <c r="BT31" s="103"/>
      <c r="BU31" s="104"/>
      <c r="BV31" s="104"/>
      <c r="BW31" s="105">
        <f>SUM(BW13:BW30)</f>
        <v>0</v>
      </c>
      <c r="BX31" s="104"/>
      <c r="BY31" s="105">
        <f>SUM(BY13:BY30)</f>
        <v>0</v>
      </c>
      <c r="BZ31" s="104"/>
      <c r="CA31" s="104"/>
      <c r="CB31" s="104"/>
      <c r="CC31" s="105">
        <f>SUM(CC13:CC30)</f>
        <v>0</v>
      </c>
      <c r="CD31" s="104"/>
      <c r="CE31" s="105">
        <f t="shared" ref="CE31:CF31" si="472">SUM(CE13:CE30)</f>
        <v>0</v>
      </c>
      <c r="CF31" s="105">
        <f t="shared" si="472"/>
        <v>0</v>
      </c>
      <c r="CG31" s="106"/>
      <c r="CH31" s="101" t="s">
        <v>51</v>
      </c>
      <c r="CI31" s="102"/>
      <c r="CJ31" s="103"/>
      <c r="CK31" s="103"/>
      <c r="CL31" s="104"/>
      <c r="CM31" s="104"/>
      <c r="CN31" s="105">
        <f>SUM(CN13:CN30)</f>
        <v>0</v>
      </c>
      <c r="CO31" s="104"/>
      <c r="CP31" s="105">
        <f>SUM(CP13:CP30)</f>
        <v>0</v>
      </c>
      <c r="CQ31" s="104"/>
      <c r="CR31" s="104"/>
      <c r="CS31" s="104"/>
      <c r="CT31" s="105">
        <f>SUM(CT13:CT30)</f>
        <v>0</v>
      </c>
      <c r="CU31" s="104"/>
      <c r="CV31" s="105">
        <f t="shared" ref="CV31:CW31" si="473">SUM(CV13:CV30)</f>
        <v>0</v>
      </c>
      <c r="CW31" s="105">
        <f t="shared" si="473"/>
        <v>0</v>
      </c>
      <c r="CX31" s="106"/>
      <c r="CY31" s="101" t="s">
        <v>51</v>
      </c>
      <c r="CZ31" s="102"/>
      <c r="DA31" s="103"/>
      <c r="DB31" s="103"/>
      <c r="DC31" s="104"/>
      <c r="DD31" s="104"/>
      <c r="DE31" s="105">
        <f>SUM(DE13:DE30)</f>
        <v>0</v>
      </c>
      <c r="DF31" s="104"/>
      <c r="DG31" s="105">
        <f>SUM(DG13:DG30)</f>
        <v>0</v>
      </c>
      <c r="DH31" s="104"/>
      <c r="DI31" s="104"/>
      <c r="DJ31" s="104"/>
      <c r="DK31" s="105">
        <f>SUM(DK13:DK30)</f>
        <v>0</v>
      </c>
      <c r="DL31" s="104"/>
      <c r="DM31" s="105">
        <f t="shared" ref="DM31:DN31" si="474">SUM(DM13:DM30)</f>
        <v>0</v>
      </c>
      <c r="DN31" s="105">
        <f t="shared" si="474"/>
        <v>0</v>
      </c>
      <c r="DO31" s="106"/>
      <c r="DP31" s="101" t="s">
        <v>51</v>
      </c>
      <c r="DQ31" s="102"/>
      <c r="DR31" s="103"/>
      <c r="DS31" s="103"/>
      <c r="DT31" s="104"/>
      <c r="DU31" s="104"/>
      <c r="DV31" s="105">
        <f>SUM(DV13:DV30)</f>
        <v>0</v>
      </c>
      <c r="DW31" s="104"/>
      <c r="DX31" s="105">
        <f>SUM(DX13:DX30)</f>
        <v>0</v>
      </c>
      <c r="DY31" s="104"/>
      <c r="DZ31" s="104"/>
      <c r="EA31" s="104"/>
      <c r="EB31" s="105">
        <f>SUM(EB13:EB30)</f>
        <v>0</v>
      </c>
      <c r="EC31" s="104"/>
      <c r="ED31" s="105">
        <f t="shared" ref="ED31:EE31" si="475">SUM(ED13:ED30)</f>
        <v>0</v>
      </c>
      <c r="EE31" s="105">
        <f t="shared" si="475"/>
        <v>0</v>
      </c>
      <c r="EF31" s="106"/>
      <c r="EG31" s="101" t="s">
        <v>51</v>
      </c>
      <c r="EH31" s="102"/>
      <c r="EI31" s="103"/>
      <c r="EJ31" s="103"/>
      <c r="EK31" s="104"/>
      <c r="EL31" s="104"/>
      <c r="EM31" s="105">
        <f>SUM(EM13:EM30)</f>
        <v>0</v>
      </c>
      <c r="EN31" s="104"/>
      <c r="EO31" s="105">
        <f>SUM(EO13:EO30)</f>
        <v>0</v>
      </c>
      <c r="EP31" s="104"/>
      <c r="EQ31" s="104"/>
      <c r="ER31" s="104"/>
      <c r="ES31" s="105">
        <f>SUM(ES13:ES30)</f>
        <v>0</v>
      </c>
      <c r="ET31" s="104"/>
      <c r="EU31" s="105">
        <f t="shared" ref="EU31:EV31" si="476">SUM(EU13:EU30)</f>
        <v>0</v>
      </c>
      <c r="EV31" s="105">
        <f t="shared" si="476"/>
        <v>0</v>
      </c>
      <c r="EW31" s="106"/>
      <c r="EX31" s="101" t="s">
        <v>51</v>
      </c>
      <c r="EY31" s="102"/>
      <c r="EZ31" s="103"/>
      <c r="FA31" s="103"/>
      <c r="FB31" s="104"/>
      <c r="FC31" s="104"/>
      <c r="FD31" s="105">
        <f>SUM(FD13:FD30)</f>
        <v>0</v>
      </c>
      <c r="FE31" s="104"/>
      <c r="FF31" s="105">
        <f>SUM(FF13:FF30)</f>
        <v>0</v>
      </c>
      <c r="FG31" s="104"/>
      <c r="FH31" s="104"/>
      <c r="FI31" s="104"/>
      <c r="FJ31" s="105">
        <f>SUM(FJ13:FJ30)</f>
        <v>0</v>
      </c>
      <c r="FK31" s="104"/>
      <c r="FL31" s="105">
        <f t="shared" ref="FL31:FM31" si="477">SUM(FL13:FL30)</f>
        <v>0</v>
      </c>
      <c r="FM31" s="105">
        <f t="shared" si="477"/>
        <v>0</v>
      </c>
      <c r="FN31" s="106"/>
      <c r="FO31" s="101" t="s">
        <v>51</v>
      </c>
      <c r="FP31" s="102"/>
      <c r="FQ31" s="103"/>
      <c r="FR31" s="103"/>
      <c r="FS31" s="104"/>
      <c r="FT31" s="104"/>
      <c r="FU31" s="105">
        <f>SUM(FU13:FU30)</f>
        <v>5572373.543</v>
      </c>
      <c r="FV31" s="104"/>
      <c r="FW31" s="105">
        <f>SUM(FW13:FW30)</f>
        <v>0</v>
      </c>
      <c r="FX31" s="104"/>
      <c r="FY31" s="104"/>
      <c r="FZ31" s="104"/>
      <c r="GA31" s="105">
        <f>SUM(GA13:GA30)</f>
        <v>5572373.543</v>
      </c>
      <c r="GB31" s="104"/>
      <c r="GC31" s="105">
        <f t="shared" ref="GC31:GD31" si="478">SUM(GC13:GC30)</f>
        <v>2565783.388</v>
      </c>
      <c r="GD31" s="105">
        <f t="shared" si="478"/>
        <v>3006590.155</v>
      </c>
      <c r="GE31" s="106"/>
      <c r="GF31" s="101" t="s">
        <v>51</v>
      </c>
      <c r="GG31" s="102"/>
      <c r="GH31" s="103"/>
      <c r="GI31" s="103"/>
      <c r="GJ31" s="104"/>
      <c r="GK31" s="104"/>
      <c r="GL31" s="105">
        <f>SUM(GL13:GL30)</f>
        <v>7560045.28</v>
      </c>
      <c r="GM31" s="104"/>
      <c r="GN31" s="105">
        <f>SUM(GN13:GN30)</f>
        <v>0</v>
      </c>
      <c r="GO31" s="104"/>
      <c r="GP31" s="104"/>
      <c r="GQ31" s="104"/>
      <c r="GR31" s="105">
        <f>SUM(GR13:GR30)</f>
        <v>7560045.28</v>
      </c>
      <c r="GS31" s="104"/>
      <c r="GT31" s="105">
        <f t="shared" ref="GT31:GU31" si="479">SUM(GT13:GT30)</f>
        <v>3481001.128</v>
      </c>
      <c r="GU31" s="105">
        <f t="shared" si="479"/>
        <v>4079044.152</v>
      </c>
      <c r="GV31" s="106"/>
      <c r="GW31" s="101" t="s">
        <v>51</v>
      </c>
      <c r="GX31" s="102"/>
      <c r="GY31" s="103"/>
      <c r="GZ31" s="103"/>
      <c r="HA31" s="104"/>
      <c r="HB31" s="104"/>
      <c r="HC31" s="105">
        <f>SUM(HC13:HC30)</f>
        <v>6357219.472</v>
      </c>
      <c r="HD31" s="104"/>
      <c r="HE31" s="105">
        <f>SUM(HE13:HE30)</f>
        <v>0</v>
      </c>
      <c r="HF31" s="104"/>
      <c r="HG31" s="104"/>
      <c r="HH31" s="104"/>
      <c r="HI31" s="105">
        <f>SUM(HI13:HI30)</f>
        <v>6357219.472</v>
      </c>
      <c r="HJ31" s="104"/>
      <c r="HK31" s="105">
        <f t="shared" ref="HK31:HL31" si="480">SUM(HK13:HK30)</f>
        <v>2927163.441</v>
      </c>
      <c r="HL31" s="105">
        <f t="shared" si="480"/>
        <v>3430056.031</v>
      </c>
      <c r="HM31" s="106"/>
      <c r="HN31" s="101" t="s">
        <v>51</v>
      </c>
      <c r="HO31" s="102"/>
      <c r="HP31" s="103"/>
      <c r="HQ31" s="103"/>
      <c r="HR31" s="104"/>
      <c r="HS31" s="104"/>
      <c r="HT31" s="105">
        <f>SUM(HT13:HT30)</f>
        <v>10686171.5</v>
      </c>
      <c r="HU31" s="104"/>
      <c r="HV31" s="105">
        <f>SUM(HV13:HV30)</f>
        <v>0</v>
      </c>
      <c r="HW31" s="104"/>
      <c r="HX31" s="104"/>
      <c r="HY31" s="104"/>
      <c r="HZ31" s="105">
        <f>SUM(HZ13:HZ30)</f>
        <v>10686171.5</v>
      </c>
      <c r="IA31" s="104"/>
      <c r="IB31" s="105">
        <f t="shared" ref="IB31:IC31" si="481">SUM(IB13:IB30)</f>
        <v>4920416.966</v>
      </c>
      <c r="IC31" s="105">
        <f t="shared" si="481"/>
        <v>5765754.537</v>
      </c>
      <c r="ID31" s="106"/>
      <c r="IE31" s="101" t="s">
        <v>51</v>
      </c>
      <c r="IF31" s="102"/>
      <c r="IG31" s="103"/>
      <c r="IH31" s="103"/>
      <c r="II31" s="104"/>
      <c r="IJ31" s="104"/>
      <c r="IK31" s="105">
        <f>SUM(IK13:IK30)</f>
        <v>16291010.33</v>
      </c>
      <c r="IL31" s="104"/>
      <c r="IM31" s="105">
        <f>SUM(IM13:IM30)</f>
        <v>0</v>
      </c>
      <c r="IN31" s="104"/>
      <c r="IO31" s="104"/>
      <c r="IP31" s="104"/>
      <c r="IQ31" s="105">
        <f>SUM(IQ13:IQ30)</f>
        <v>16291010.33</v>
      </c>
      <c r="IR31" s="104"/>
      <c r="IS31" s="105">
        <f t="shared" ref="IS31:IT31" si="482">SUM(IS13:IS30)</f>
        <v>7501148.9</v>
      </c>
      <c r="IT31" s="105">
        <f t="shared" si="482"/>
        <v>8789861.428</v>
      </c>
      <c r="IU31" s="106"/>
      <c r="IV31" s="101" t="s">
        <v>51</v>
      </c>
      <c r="IW31" s="102"/>
      <c r="IX31" s="103"/>
      <c r="IY31" s="103"/>
      <c r="IZ31" s="104"/>
      <c r="JA31" s="104"/>
      <c r="JB31" s="105">
        <f>SUM(JB13:JB30)</f>
        <v>18463300.83</v>
      </c>
      <c r="JC31" s="104"/>
      <c r="JD31" s="105">
        <f>SUM(JD13:JD30)</f>
        <v>0</v>
      </c>
      <c r="JE31" s="104"/>
      <c r="JF31" s="104"/>
      <c r="JG31" s="104"/>
      <c r="JH31" s="105">
        <f>SUM(JH13:JH30)</f>
        <v>18463300.83</v>
      </c>
      <c r="JI31" s="104"/>
      <c r="JJ31" s="105">
        <f t="shared" ref="JJ31:JK31" si="483">SUM(JJ13:JJ30)</f>
        <v>8501373.819</v>
      </c>
      <c r="JK31" s="105">
        <f t="shared" si="483"/>
        <v>9961927.009</v>
      </c>
      <c r="JL31" s="106"/>
      <c r="JM31" s="101" t="s">
        <v>51</v>
      </c>
      <c r="JN31" s="102"/>
      <c r="JO31" s="103"/>
      <c r="JP31" s="103"/>
      <c r="JQ31" s="104"/>
      <c r="JR31" s="104"/>
      <c r="JS31" s="105">
        <f>SUM(JS13:JS30)</f>
        <v>4728554.432</v>
      </c>
      <c r="JT31" s="104"/>
      <c r="JU31" s="105">
        <f>SUM(JU13:JU30)</f>
        <v>0</v>
      </c>
      <c r="JV31" s="104"/>
      <c r="JW31" s="104"/>
      <c r="JX31" s="104"/>
      <c r="JY31" s="105">
        <f>SUM(JY13:JY30)</f>
        <v>4728554.432</v>
      </c>
      <c r="JZ31" s="104"/>
      <c r="KA31" s="105">
        <f t="shared" ref="KA31:KB31" si="484">SUM(KA13:KA30)</f>
        <v>2177249.302</v>
      </c>
      <c r="KB31" s="105">
        <f t="shared" si="484"/>
        <v>2551305.129</v>
      </c>
      <c r="KC31" s="106"/>
      <c r="KD31" s="101" t="s">
        <v>51</v>
      </c>
      <c r="KE31" s="102"/>
      <c r="KF31" s="103"/>
      <c r="KG31" s="103"/>
      <c r="KH31" s="104"/>
      <c r="KI31" s="104"/>
      <c r="KJ31" s="105">
        <f>SUM(KJ13:KJ30)</f>
        <v>0</v>
      </c>
      <c r="KK31" s="104"/>
      <c r="KL31" s="105">
        <f>SUM(KL13:KL30)</f>
        <v>0</v>
      </c>
      <c r="KM31" s="104"/>
      <c r="KN31" s="104"/>
      <c r="KO31" s="104"/>
      <c r="KP31" s="105">
        <f>SUM(KP13:KP30)</f>
        <v>0</v>
      </c>
      <c r="KQ31" s="104"/>
      <c r="KR31" s="105">
        <f t="shared" ref="KR31:KS31" si="485">SUM(KR13:KR30)</f>
        <v>0</v>
      </c>
      <c r="KS31" s="105">
        <f t="shared" si="485"/>
        <v>0</v>
      </c>
      <c r="KT31" s="106"/>
      <c r="KU31" s="107"/>
    </row>
    <row r="32" ht="15.75" customHeight="1">
      <c r="A32" s="92"/>
      <c r="B32" s="100"/>
      <c r="C32" s="100"/>
      <c r="D32" s="100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98"/>
      <c r="P32" s="99"/>
      <c r="Q32" s="90"/>
      <c r="R32" s="92"/>
      <c r="S32" s="100"/>
      <c r="T32" s="100"/>
      <c r="U32" s="100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98"/>
      <c r="AG32" s="99"/>
      <c r="AH32" s="90"/>
      <c r="AI32" s="92"/>
      <c r="AJ32" s="100"/>
      <c r="AK32" s="100"/>
      <c r="AL32" s="100"/>
      <c r="AM32" s="87"/>
      <c r="AN32" s="87"/>
      <c r="AO32" s="87"/>
      <c r="AP32" s="87"/>
      <c r="AQ32" s="87"/>
      <c r="AR32" s="87"/>
      <c r="AS32" s="87"/>
      <c r="AT32" s="87"/>
      <c r="AU32" s="87"/>
      <c r="AV32" s="87"/>
      <c r="AW32" s="98"/>
      <c r="AX32" s="99"/>
      <c r="AY32" s="90"/>
      <c r="AZ32" s="92"/>
      <c r="BA32" s="100"/>
      <c r="BB32" s="100"/>
      <c r="BC32" s="100"/>
      <c r="BD32" s="87"/>
      <c r="BE32" s="87"/>
      <c r="BF32" s="87"/>
      <c r="BG32" s="87"/>
      <c r="BH32" s="87"/>
      <c r="BI32" s="87"/>
      <c r="BJ32" s="87"/>
      <c r="BK32" s="87"/>
      <c r="BL32" s="87"/>
      <c r="BM32" s="87"/>
      <c r="BN32" s="98"/>
      <c r="BO32" s="99"/>
      <c r="BP32" s="90"/>
      <c r="BQ32" s="92"/>
      <c r="BR32" s="100"/>
      <c r="BS32" s="100"/>
      <c r="BT32" s="100"/>
      <c r="BU32" s="87"/>
      <c r="BV32" s="87"/>
      <c r="BW32" s="87"/>
      <c r="BX32" s="87"/>
      <c r="BY32" s="87"/>
      <c r="BZ32" s="87"/>
      <c r="CA32" s="87"/>
      <c r="CB32" s="87"/>
      <c r="CC32" s="87"/>
      <c r="CD32" s="87"/>
      <c r="CE32" s="98"/>
      <c r="CF32" s="99"/>
      <c r="CG32" s="90"/>
      <c r="CH32" s="92"/>
      <c r="CI32" s="100"/>
      <c r="CJ32" s="100"/>
      <c r="CK32" s="100"/>
      <c r="CL32" s="87"/>
      <c r="CM32" s="87"/>
      <c r="CN32" s="87"/>
      <c r="CO32" s="87"/>
      <c r="CP32" s="87"/>
      <c r="CQ32" s="87"/>
      <c r="CR32" s="87"/>
      <c r="CS32" s="87"/>
      <c r="CT32" s="87"/>
      <c r="CU32" s="87"/>
      <c r="CV32" s="98"/>
      <c r="CW32" s="99"/>
      <c r="CX32" s="90"/>
      <c r="CY32" s="92"/>
      <c r="CZ32" s="100"/>
      <c r="DA32" s="100"/>
      <c r="DB32" s="100"/>
      <c r="DC32" s="87"/>
      <c r="DD32" s="87"/>
      <c r="DE32" s="87"/>
      <c r="DF32" s="87"/>
      <c r="DG32" s="87"/>
      <c r="DH32" s="87"/>
      <c r="DI32" s="87"/>
      <c r="DJ32" s="87"/>
      <c r="DK32" s="87"/>
      <c r="DL32" s="87"/>
      <c r="DM32" s="98"/>
      <c r="DN32" s="99"/>
      <c r="DO32" s="90"/>
      <c r="DP32" s="92"/>
      <c r="DQ32" s="100"/>
      <c r="DR32" s="100"/>
      <c r="DS32" s="100"/>
      <c r="DT32" s="87"/>
      <c r="DU32" s="87"/>
      <c r="DV32" s="87"/>
      <c r="DW32" s="87"/>
      <c r="DX32" s="87"/>
      <c r="DY32" s="87"/>
      <c r="DZ32" s="87"/>
      <c r="EA32" s="87"/>
      <c r="EB32" s="87"/>
      <c r="EC32" s="87"/>
      <c r="ED32" s="98"/>
      <c r="EE32" s="99"/>
      <c r="EF32" s="90"/>
      <c r="EG32" s="92"/>
      <c r="EH32" s="100"/>
      <c r="EI32" s="100"/>
      <c r="EJ32" s="100"/>
      <c r="EK32" s="87"/>
      <c r="EL32" s="87"/>
      <c r="EM32" s="87"/>
      <c r="EN32" s="87"/>
      <c r="EO32" s="87"/>
      <c r="EP32" s="87"/>
      <c r="EQ32" s="87"/>
      <c r="ER32" s="87"/>
      <c r="ES32" s="87"/>
      <c r="ET32" s="87"/>
      <c r="EU32" s="98"/>
      <c r="EV32" s="99"/>
      <c r="EW32" s="90"/>
      <c r="EX32" s="92"/>
      <c r="EY32" s="100"/>
      <c r="EZ32" s="100"/>
      <c r="FA32" s="100"/>
      <c r="FB32" s="87"/>
      <c r="FC32" s="87"/>
      <c r="FD32" s="87"/>
      <c r="FE32" s="87"/>
      <c r="FF32" s="87"/>
      <c r="FG32" s="87"/>
      <c r="FH32" s="87"/>
      <c r="FI32" s="87"/>
      <c r="FJ32" s="87"/>
      <c r="FK32" s="87"/>
      <c r="FL32" s="98"/>
      <c r="FM32" s="99"/>
      <c r="FN32" s="90"/>
      <c r="FO32" s="92"/>
      <c r="FP32" s="100"/>
      <c r="FQ32" s="100"/>
      <c r="FR32" s="100"/>
      <c r="FS32" s="87"/>
      <c r="FT32" s="87"/>
      <c r="FU32" s="87"/>
      <c r="FV32" s="87"/>
      <c r="FW32" s="87"/>
      <c r="FX32" s="87"/>
      <c r="FY32" s="87"/>
      <c r="FZ32" s="87"/>
      <c r="GA32" s="87"/>
      <c r="GB32" s="87"/>
      <c r="GC32" s="98"/>
      <c r="GD32" s="99"/>
      <c r="GE32" s="90"/>
      <c r="GF32" s="92"/>
      <c r="GG32" s="100"/>
      <c r="GH32" s="100"/>
      <c r="GI32" s="100"/>
      <c r="GJ32" s="87"/>
      <c r="GK32" s="87"/>
      <c r="GL32" s="87"/>
      <c r="GM32" s="87"/>
      <c r="GN32" s="87"/>
      <c r="GO32" s="87"/>
      <c r="GP32" s="87"/>
      <c r="GQ32" s="87"/>
      <c r="GR32" s="87"/>
      <c r="GS32" s="87"/>
      <c r="GT32" s="98"/>
      <c r="GU32" s="99"/>
      <c r="GV32" s="90"/>
      <c r="GW32" s="92"/>
      <c r="GX32" s="100"/>
      <c r="GY32" s="100"/>
      <c r="GZ32" s="100"/>
      <c r="HA32" s="87"/>
      <c r="HB32" s="87"/>
      <c r="HC32" s="87"/>
      <c r="HD32" s="87"/>
      <c r="HE32" s="87"/>
      <c r="HF32" s="87"/>
      <c r="HG32" s="87"/>
      <c r="HH32" s="87"/>
      <c r="HI32" s="87"/>
      <c r="HJ32" s="87"/>
      <c r="HK32" s="98"/>
      <c r="HL32" s="99"/>
      <c r="HM32" s="90"/>
      <c r="HN32" s="92"/>
      <c r="HO32" s="100"/>
      <c r="HP32" s="100"/>
      <c r="HQ32" s="100"/>
      <c r="HR32" s="87"/>
      <c r="HS32" s="87"/>
      <c r="HT32" s="87"/>
      <c r="HU32" s="87"/>
      <c r="HV32" s="87"/>
      <c r="HW32" s="87"/>
      <c r="HX32" s="87"/>
      <c r="HY32" s="87"/>
      <c r="HZ32" s="87"/>
      <c r="IA32" s="87"/>
      <c r="IB32" s="98"/>
      <c r="IC32" s="99"/>
      <c r="ID32" s="90"/>
      <c r="IE32" s="92"/>
      <c r="IF32" s="100"/>
      <c r="IG32" s="100"/>
      <c r="IH32" s="100"/>
      <c r="II32" s="87"/>
      <c r="IJ32" s="87"/>
      <c r="IK32" s="87"/>
      <c r="IL32" s="87"/>
      <c r="IM32" s="87"/>
      <c r="IN32" s="87"/>
      <c r="IO32" s="87"/>
      <c r="IP32" s="87"/>
      <c r="IQ32" s="87"/>
      <c r="IR32" s="87"/>
      <c r="IS32" s="98"/>
      <c r="IT32" s="99"/>
      <c r="IU32" s="90"/>
      <c r="IV32" s="92"/>
      <c r="IW32" s="100"/>
      <c r="IX32" s="100"/>
      <c r="IY32" s="100"/>
      <c r="IZ32" s="87"/>
      <c r="JA32" s="87"/>
      <c r="JB32" s="87"/>
      <c r="JC32" s="87"/>
      <c r="JD32" s="87"/>
      <c r="JE32" s="87"/>
      <c r="JF32" s="87"/>
      <c r="JG32" s="87"/>
      <c r="JH32" s="87"/>
      <c r="JI32" s="87"/>
      <c r="JJ32" s="98"/>
      <c r="JK32" s="99"/>
      <c r="JL32" s="90"/>
      <c r="JM32" s="92"/>
      <c r="JN32" s="100"/>
      <c r="JO32" s="100"/>
      <c r="JP32" s="100"/>
      <c r="JQ32" s="87"/>
      <c r="JR32" s="87"/>
      <c r="JS32" s="87"/>
      <c r="JT32" s="87"/>
      <c r="JU32" s="87"/>
      <c r="JV32" s="87"/>
      <c r="JW32" s="87"/>
      <c r="JX32" s="87"/>
      <c r="JY32" s="87"/>
      <c r="JZ32" s="87"/>
      <c r="KA32" s="98"/>
      <c r="KB32" s="99"/>
      <c r="KC32" s="90"/>
      <c r="KD32" s="92"/>
      <c r="KE32" s="100"/>
      <c r="KF32" s="100"/>
      <c r="KG32" s="100"/>
      <c r="KH32" s="87"/>
      <c r="KI32" s="87"/>
      <c r="KJ32" s="87"/>
      <c r="KK32" s="87"/>
      <c r="KL32" s="87"/>
      <c r="KM32" s="87"/>
      <c r="KN32" s="87"/>
      <c r="KO32" s="87"/>
      <c r="KP32" s="87"/>
      <c r="KQ32" s="87"/>
      <c r="KR32" s="98"/>
      <c r="KS32" s="99"/>
      <c r="KT32" s="90"/>
      <c r="KU32" s="91"/>
    </row>
    <row r="33" ht="15.75" customHeight="1">
      <c r="A33" s="92"/>
      <c r="B33" s="108" t="str">
        <f>"Output Sekunder "&amp;" %"</f>
        <v>Output Sekunder  %</v>
      </c>
      <c r="C33" s="109"/>
      <c r="D33" s="109"/>
      <c r="E33" s="87" t="str">
        <f>P33/P31*100</f>
        <v>#DIV/0!</v>
      </c>
      <c r="F33" s="110"/>
      <c r="G33" s="110"/>
      <c r="H33" s="110"/>
      <c r="I33" s="110"/>
      <c r="J33" s="110"/>
      <c r="K33" s="110"/>
      <c r="L33" s="110"/>
      <c r="M33" s="111">
        <f t="shared" ref="M33:M34" si="486">M69+M105+M141+M177</f>
        <v>0</v>
      </c>
      <c r="N33" s="110"/>
      <c r="O33" s="110"/>
      <c r="P33" s="112">
        <f t="shared" ref="P33:P34" si="487">P69+P105+P141+P177</f>
        <v>0</v>
      </c>
      <c r="Q33" s="90"/>
      <c r="R33" s="92"/>
      <c r="S33" s="108" t="str">
        <f>"Output Sekunder "&amp;" %"</f>
        <v>Output Sekunder  %</v>
      </c>
      <c r="T33" s="109"/>
      <c r="U33" s="109"/>
      <c r="V33" s="87" t="str">
        <f>AG33/AG31*100</f>
        <v>#DIV/0!</v>
      </c>
      <c r="W33" s="110"/>
      <c r="X33" s="110"/>
      <c r="Y33" s="110"/>
      <c r="Z33" s="110"/>
      <c r="AA33" s="110"/>
      <c r="AB33" s="110"/>
      <c r="AC33" s="110"/>
      <c r="AD33" s="111">
        <f t="shared" ref="AD33:AD34" si="488">AD69+AD105+AD141+AD177</f>
        <v>0</v>
      </c>
      <c r="AE33" s="110"/>
      <c r="AF33" s="110"/>
      <c r="AG33" s="112">
        <f t="shared" ref="AG33:AG34" si="489">AG69+AG105+AG141+AG177</f>
        <v>0</v>
      </c>
      <c r="AH33" s="90"/>
      <c r="AI33" s="92"/>
      <c r="AJ33" s="108" t="str">
        <f>"Output Sekunder "&amp;" %"</f>
        <v>Output Sekunder  %</v>
      </c>
      <c r="AK33" s="109"/>
      <c r="AL33" s="109"/>
      <c r="AM33" s="87" t="str">
        <f>AX33/AX31*100</f>
        <v>#DIV/0!</v>
      </c>
      <c r="AN33" s="110"/>
      <c r="AO33" s="110"/>
      <c r="AP33" s="110"/>
      <c r="AQ33" s="110"/>
      <c r="AR33" s="110"/>
      <c r="AS33" s="110"/>
      <c r="AT33" s="110"/>
      <c r="AU33" s="111">
        <f t="shared" ref="AU33:AU34" si="490">AU69+AU105+AU141+AU177</f>
        <v>0</v>
      </c>
      <c r="AV33" s="110"/>
      <c r="AW33" s="110"/>
      <c r="AX33" s="112">
        <f t="shared" ref="AX33:AX34" si="491">AX69+AX105+AX141+AX177</f>
        <v>0</v>
      </c>
      <c r="AY33" s="90"/>
      <c r="AZ33" s="92"/>
      <c r="BA33" s="108" t="str">
        <f>"Output Sekunder "&amp;" %"</f>
        <v>Output Sekunder  %</v>
      </c>
      <c r="BB33" s="109"/>
      <c r="BC33" s="109"/>
      <c r="BD33" s="87" t="str">
        <f>BO33/BO31*100</f>
        <v>#DIV/0!</v>
      </c>
      <c r="BE33" s="110"/>
      <c r="BF33" s="110"/>
      <c r="BG33" s="110"/>
      <c r="BH33" s="110"/>
      <c r="BI33" s="110"/>
      <c r="BJ33" s="110"/>
      <c r="BK33" s="110"/>
      <c r="BL33" s="111">
        <f t="shared" ref="BL33:BL34" si="492">BL69+BL105+BL141+BL177</f>
        <v>0</v>
      </c>
      <c r="BM33" s="110"/>
      <c r="BN33" s="110"/>
      <c r="BO33" s="112">
        <f t="shared" ref="BO33:BO34" si="493">BO69+BO105+BO141+BO177</f>
        <v>0</v>
      </c>
      <c r="BP33" s="90"/>
      <c r="BQ33" s="92"/>
      <c r="BR33" s="108" t="str">
        <f>"Output Sekunder "&amp;" %"</f>
        <v>Output Sekunder  %</v>
      </c>
      <c r="BS33" s="109"/>
      <c r="BT33" s="109"/>
      <c r="BU33" s="87" t="str">
        <f>CF33/CF31*100</f>
        <v>#DIV/0!</v>
      </c>
      <c r="BV33" s="110"/>
      <c r="BW33" s="110"/>
      <c r="BX33" s="110"/>
      <c r="BY33" s="110"/>
      <c r="BZ33" s="110"/>
      <c r="CA33" s="110"/>
      <c r="CB33" s="110"/>
      <c r="CC33" s="111">
        <f t="shared" ref="CC33:CC34" si="494">CC69+CC105+CC141+CC177</f>
        <v>0</v>
      </c>
      <c r="CD33" s="110"/>
      <c r="CE33" s="110"/>
      <c r="CF33" s="112">
        <f t="shared" ref="CF33:CF34" si="495">CF69+CF105+CF141+CF177</f>
        <v>0</v>
      </c>
      <c r="CG33" s="90"/>
      <c r="CH33" s="92"/>
      <c r="CI33" s="108" t="str">
        <f>"Output Sekunder "&amp;" %"</f>
        <v>Output Sekunder  %</v>
      </c>
      <c r="CJ33" s="109"/>
      <c r="CK33" s="109"/>
      <c r="CL33" s="87" t="str">
        <f>CW33/CW31*100</f>
        <v>#DIV/0!</v>
      </c>
      <c r="CM33" s="110"/>
      <c r="CN33" s="110"/>
      <c r="CO33" s="110"/>
      <c r="CP33" s="110"/>
      <c r="CQ33" s="110"/>
      <c r="CR33" s="110"/>
      <c r="CS33" s="110"/>
      <c r="CT33" s="111">
        <f t="shared" ref="CT33:CT34" si="496">CT69+CT105+CT141+CT177</f>
        <v>0</v>
      </c>
      <c r="CU33" s="110"/>
      <c r="CV33" s="110"/>
      <c r="CW33" s="112">
        <f t="shared" ref="CW33:CW34" si="497">CW69+CW105+CW141+CW177</f>
        <v>0</v>
      </c>
      <c r="CX33" s="90"/>
      <c r="CY33" s="92"/>
      <c r="CZ33" s="108" t="str">
        <f>"Output Sekunder "&amp;" %"</f>
        <v>Output Sekunder  %</v>
      </c>
      <c r="DA33" s="109"/>
      <c r="DB33" s="109"/>
      <c r="DC33" s="87" t="str">
        <f>DN33/DN31*100</f>
        <v>#DIV/0!</v>
      </c>
      <c r="DD33" s="110"/>
      <c r="DE33" s="110"/>
      <c r="DF33" s="110"/>
      <c r="DG33" s="110"/>
      <c r="DH33" s="110"/>
      <c r="DI33" s="110"/>
      <c r="DJ33" s="110"/>
      <c r="DK33" s="111">
        <f t="shared" ref="DK33:DK34" si="498">DK69+DK105+DK141+DK177</f>
        <v>0</v>
      </c>
      <c r="DL33" s="110"/>
      <c r="DM33" s="110"/>
      <c r="DN33" s="112">
        <f t="shared" ref="DN33:DN34" si="499">DN69+DN105+DN141+DN177</f>
        <v>0</v>
      </c>
      <c r="DO33" s="90"/>
      <c r="DP33" s="92"/>
      <c r="DQ33" s="108" t="str">
        <f>"Output Sekunder "&amp;" %"</f>
        <v>Output Sekunder  %</v>
      </c>
      <c r="DR33" s="109"/>
      <c r="DS33" s="109"/>
      <c r="DT33" s="87" t="str">
        <f>EE33/EE31*100</f>
        <v>#DIV/0!</v>
      </c>
      <c r="DU33" s="110"/>
      <c r="DV33" s="110"/>
      <c r="DW33" s="110"/>
      <c r="DX33" s="110"/>
      <c r="DY33" s="110"/>
      <c r="DZ33" s="110"/>
      <c r="EA33" s="110"/>
      <c r="EB33" s="111">
        <f t="shared" ref="EB33:EB34" si="500">EB69+EB105+EB141+EB177</f>
        <v>0</v>
      </c>
      <c r="EC33" s="110"/>
      <c r="ED33" s="110"/>
      <c r="EE33" s="112">
        <f t="shared" ref="EE33:EE34" si="501">EE69+EE105+EE141+EE177</f>
        <v>0</v>
      </c>
      <c r="EF33" s="90"/>
      <c r="EG33" s="92"/>
      <c r="EH33" s="108" t="str">
        <f>"Output Sekunder "&amp;" %"</f>
        <v>Output Sekunder  %</v>
      </c>
      <c r="EI33" s="109"/>
      <c r="EJ33" s="109"/>
      <c r="EK33" s="87" t="str">
        <f>EV33/EV31*100</f>
        <v>#DIV/0!</v>
      </c>
      <c r="EL33" s="110"/>
      <c r="EM33" s="110"/>
      <c r="EN33" s="110"/>
      <c r="EO33" s="110"/>
      <c r="EP33" s="110"/>
      <c r="EQ33" s="110"/>
      <c r="ER33" s="110"/>
      <c r="ES33" s="111">
        <f t="shared" ref="ES33:ES34" si="502">ES69+ES105+ES141+ES177</f>
        <v>0</v>
      </c>
      <c r="ET33" s="110"/>
      <c r="EU33" s="110"/>
      <c r="EV33" s="112">
        <f t="shared" ref="EV33:EV34" si="503">EV69+EV105+EV141+EV177</f>
        <v>0</v>
      </c>
      <c r="EW33" s="90"/>
      <c r="EX33" s="92"/>
      <c r="EY33" s="108" t="str">
        <f>"Output Sekunder "&amp;" %"</f>
        <v>Output Sekunder  %</v>
      </c>
      <c r="EZ33" s="109"/>
      <c r="FA33" s="109"/>
      <c r="FB33" s="87" t="str">
        <f>FM33/FM31*100</f>
        <v>#DIV/0!</v>
      </c>
      <c r="FC33" s="110"/>
      <c r="FD33" s="110"/>
      <c r="FE33" s="110"/>
      <c r="FF33" s="110"/>
      <c r="FG33" s="110"/>
      <c r="FH33" s="110"/>
      <c r="FI33" s="110"/>
      <c r="FJ33" s="111">
        <f t="shared" ref="FJ33:FJ34" si="504">FJ69+FJ105+FJ141+FJ177</f>
        <v>0</v>
      </c>
      <c r="FK33" s="110"/>
      <c r="FL33" s="110"/>
      <c r="FM33" s="112">
        <f t="shared" ref="FM33:FM34" si="505">FM69+FM105+FM141+FM177</f>
        <v>0</v>
      </c>
      <c r="FN33" s="90"/>
      <c r="FO33" s="92"/>
      <c r="FP33" s="108" t="str">
        <f>"Output Sekunder "&amp;" %"</f>
        <v>Output Sekunder  %</v>
      </c>
      <c r="FQ33" s="109"/>
      <c r="FR33" s="109"/>
      <c r="FS33" s="87">
        <f>GD33/GD31*100</f>
        <v>0</v>
      </c>
      <c r="FT33" s="110"/>
      <c r="FU33" s="110"/>
      <c r="FV33" s="110"/>
      <c r="FW33" s="110"/>
      <c r="FX33" s="110"/>
      <c r="FY33" s="110"/>
      <c r="FZ33" s="110"/>
      <c r="GA33" s="111">
        <f t="shared" ref="GA33:GA34" si="506">GA69+GA105+GA141+GA177</f>
        <v>0</v>
      </c>
      <c r="GB33" s="110"/>
      <c r="GC33" s="110"/>
      <c r="GD33" s="112">
        <f t="shared" ref="GD33:GD34" si="507">GD69+GD105+GD141+GD177</f>
        <v>0</v>
      </c>
      <c r="GE33" s="90"/>
      <c r="GF33" s="92"/>
      <c r="GG33" s="108" t="str">
        <f>"Output Sekunder "&amp;" %"</f>
        <v>Output Sekunder  %</v>
      </c>
      <c r="GH33" s="109"/>
      <c r="GI33" s="109"/>
      <c r="GJ33" s="87">
        <f>GU33/GU31*100</f>
        <v>0</v>
      </c>
      <c r="GK33" s="110"/>
      <c r="GL33" s="110"/>
      <c r="GM33" s="110"/>
      <c r="GN33" s="110"/>
      <c r="GO33" s="110"/>
      <c r="GP33" s="110"/>
      <c r="GQ33" s="110"/>
      <c r="GR33" s="111">
        <f t="shared" ref="GR33:GR34" si="508">GR69+GR105+GR141+GR177</f>
        <v>0</v>
      </c>
      <c r="GS33" s="110"/>
      <c r="GT33" s="110"/>
      <c r="GU33" s="112">
        <f t="shared" ref="GU33:GU34" si="509">GU69+GU105+GU141+GU177</f>
        <v>0</v>
      </c>
      <c r="GV33" s="90"/>
      <c r="GW33" s="92"/>
      <c r="GX33" s="108" t="str">
        <f>"Output Sekunder "&amp;" %"</f>
        <v>Output Sekunder  %</v>
      </c>
      <c r="GY33" s="109"/>
      <c r="GZ33" s="109"/>
      <c r="HA33" s="87">
        <f>HL33/HL31*100</f>
        <v>0</v>
      </c>
      <c r="HB33" s="110"/>
      <c r="HC33" s="110"/>
      <c r="HD33" s="110"/>
      <c r="HE33" s="110"/>
      <c r="HF33" s="110"/>
      <c r="HG33" s="110"/>
      <c r="HH33" s="110"/>
      <c r="HI33" s="111">
        <f t="shared" ref="HI33:HI34" si="510">HI69+HI105+HI141+HI177</f>
        <v>0</v>
      </c>
      <c r="HJ33" s="110"/>
      <c r="HK33" s="110"/>
      <c r="HL33" s="112">
        <f t="shared" ref="HL33:HL34" si="511">HL69+HL105+HL141+HL177</f>
        <v>0</v>
      </c>
      <c r="HM33" s="90"/>
      <c r="HN33" s="92"/>
      <c r="HO33" s="108" t="str">
        <f>"Output Sekunder "&amp;" %"</f>
        <v>Output Sekunder  %</v>
      </c>
      <c r="HP33" s="109"/>
      <c r="HQ33" s="109"/>
      <c r="HR33" s="87">
        <f>IC33/IC31*100</f>
        <v>0</v>
      </c>
      <c r="HS33" s="110"/>
      <c r="HT33" s="110"/>
      <c r="HU33" s="110"/>
      <c r="HV33" s="110"/>
      <c r="HW33" s="110"/>
      <c r="HX33" s="110"/>
      <c r="HY33" s="110"/>
      <c r="HZ33" s="111">
        <f t="shared" ref="HZ33:HZ34" si="512">HZ69+HZ105+HZ141+HZ177</f>
        <v>0</v>
      </c>
      <c r="IA33" s="110"/>
      <c r="IB33" s="110"/>
      <c r="IC33" s="112">
        <f t="shared" ref="IC33:IC34" si="513">IC69+IC105+IC141+IC177</f>
        <v>0</v>
      </c>
      <c r="ID33" s="90"/>
      <c r="IE33" s="92"/>
      <c r="IF33" s="108" t="str">
        <f>"Output Sekunder "&amp;" %"</f>
        <v>Output Sekunder  %</v>
      </c>
      <c r="IG33" s="109"/>
      <c r="IH33" s="109"/>
      <c r="II33" s="87">
        <f>IT33/IT31*100</f>
        <v>0</v>
      </c>
      <c r="IJ33" s="110"/>
      <c r="IK33" s="110"/>
      <c r="IL33" s="110"/>
      <c r="IM33" s="110"/>
      <c r="IN33" s="110"/>
      <c r="IO33" s="110"/>
      <c r="IP33" s="110"/>
      <c r="IQ33" s="111">
        <f t="shared" ref="IQ33:IQ34" si="514">IQ69+IQ105+IQ141+IQ177</f>
        <v>0</v>
      </c>
      <c r="IR33" s="110"/>
      <c r="IS33" s="110"/>
      <c r="IT33" s="112">
        <f t="shared" ref="IT33:IT34" si="515">IT69+IT105+IT141+IT177</f>
        <v>0</v>
      </c>
      <c r="IU33" s="90"/>
      <c r="IV33" s="92"/>
      <c r="IW33" s="108" t="str">
        <f>"Output Sekunder "&amp;" %"</f>
        <v>Output Sekunder  %</v>
      </c>
      <c r="IX33" s="109"/>
      <c r="IY33" s="109"/>
      <c r="IZ33" s="87">
        <f>JK33/JK31*100</f>
        <v>0</v>
      </c>
      <c r="JA33" s="110"/>
      <c r="JB33" s="110"/>
      <c r="JC33" s="110"/>
      <c r="JD33" s="110"/>
      <c r="JE33" s="110"/>
      <c r="JF33" s="110"/>
      <c r="JG33" s="110"/>
      <c r="JH33" s="111">
        <f t="shared" ref="JH33:JH34" si="516">JH69+JH105+JH141+JH177</f>
        <v>0</v>
      </c>
      <c r="JI33" s="110"/>
      <c r="JJ33" s="110"/>
      <c r="JK33" s="112">
        <f t="shared" ref="JK33:JK34" si="517">JK69+JK105+JK141+JK177</f>
        <v>0</v>
      </c>
      <c r="JL33" s="90"/>
      <c r="JM33" s="92"/>
      <c r="JN33" s="108" t="str">
        <f>"Output Sekunder "&amp;" %"</f>
        <v>Output Sekunder  %</v>
      </c>
      <c r="JO33" s="109"/>
      <c r="JP33" s="109"/>
      <c r="JQ33" s="87">
        <f>KB33/KB31*100</f>
        <v>0</v>
      </c>
      <c r="JR33" s="110"/>
      <c r="JS33" s="110"/>
      <c r="JT33" s="110"/>
      <c r="JU33" s="110"/>
      <c r="JV33" s="110"/>
      <c r="JW33" s="110"/>
      <c r="JX33" s="110"/>
      <c r="JY33" s="111">
        <f t="shared" ref="JY33:JY34" si="518">JY69+JY105+JY141+JY177</f>
        <v>0</v>
      </c>
      <c r="JZ33" s="110"/>
      <c r="KA33" s="110"/>
      <c r="KB33" s="112">
        <f t="shared" ref="KB33:KB34" si="519">KB69+KB105+KB141+KB177</f>
        <v>0</v>
      </c>
      <c r="KC33" s="90"/>
      <c r="KD33" s="92"/>
      <c r="KE33" s="108" t="str">
        <f>"Output Sekunder "&amp;" %"</f>
        <v>Output Sekunder  %</v>
      </c>
      <c r="KF33" s="109"/>
      <c r="KG33" s="109"/>
      <c r="KH33" s="87" t="str">
        <f>KS33/KS31*100</f>
        <v>#DIV/0!</v>
      </c>
      <c r="KI33" s="110"/>
      <c r="KJ33" s="110"/>
      <c r="KK33" s="110"/>
      <c r="KL33" s="110"/>
      <c r="KM33" s="110"/>
      <c r="KN33" s="110"/>
      <c r="KO33" s="110"/>
      <c r="KP33" s="111">
        <f t="shared" ref="KP33:KP34" si="520">KP69+KP105+KP141+KP177</f>
        <v>0</v>
      </c>
      <c r="KQ33" s="110"/>
      <c r="KR33" s="110"/>
      <c r="KS33" s="112">
        <f t="shared" ref="KS33:KS34" si="521">KS69+KS105+KS141+KS177</f>
        <v>0</v>
      </c>
      <c r="KT33" s="90"/>
      <c r="KU33" s="91"/>
    </row>
    <row r="34" ht="15.75" customHeight="1">
      <c r="A34" s="92"/>
      <c r="B34" s="113" t="str">
        <f>"Adjusment "&amp;" %"</f>
        <v>Adjusment  %</v>
      </c>
      <c r="C34" s="114"/>
      <c r="D34" s="114"/>
      <c r="E34" s="87" t="str">
        <f>P34/(P31+P33)*100</f>
        <v>#DIV/0!</v>
      </c>
      <c r="F34" s="110"/>
      <c r="G34" s="110"/>
      <c r="H34" s="110"/>
      <c r="I34" s="110"/>
      <c r="J34" s="110"/>
      <c r="K34" s="110"/>
      <c r="L34" s="110"/>
      <c r="M34" s="115">
        <f t="shared" si="486"/>
        <v>0</v>
      </c>
      <c r="N34" s="110"/>
      <c r="O34" s="110"/>
      <c r="P34" s="116">
        <f t="shared" si="487"/>
        <v>0</v>
      </c>
      <c r="Q34" s="90"/>
      <c r="R34" s="92"/>
      <c r="S34" s="113" t="str">
        <f>"Adjusment "&amp;" %"</f>
        <v>Adjusment  %</v>
      </c>
      <c r="T34" s="114"/>
      <c r="U34" s="114"/>
      <c r="V34" s="87" t="str">
        <f>AG34/(AG31+AG33)*100</f>
        <v>#DIV/0!</v>
      </c>
      <c r="W34" s="110"/>
      <c r="X34" s="110"/>
      <c r="Y34" s="110"/>
      <c r="Z34" s="110"/>
      <c r="AA34" s="110"/>
      <c r="AB34" s="110"/>
      <c r="AC34" s="110"/>
      <c r="AD34" s="115">
        <f t="shared" si="488"/>
        <v>0</v>
      </c>
      <c r="AE34" s="110"/>
      <c r="AF34" s="110"/>
      <c r="AG34" s="116">
        <f t="shared" si="489"/>
        <v>0</v>
      </c>
      <c r="AH34" s="90"/>
      <c r="AI34" s="92"/>
      <c r="AJ34" s="113" t="str">
        <f>"Adjusment "&amp;" %"</f>
        <v>Adjusment  %</v>
      </c>
      <c r="AK34" s="114"/>
      <c r="AL34" s="114"/>
      <c r="AM34" s="87" t="str">
        <f>AX34/(AX31+AX33)*100</f>
        <v>#DIV/0!</v>
      </c>
      <c r="AN34" s="110"/>
      <c r="AO34" s="110"/>
      <c r="AP34" s="110"/>
      <c r="AQ34" s="110"/>
      <c r="AR34" s="110"/>
      <c r="AS34" s="110"/>
      <c r="AT34" s="110"/>
      <c r="AU34" s="115">
        <f t="shared" si="490"/>
        <v>0</v>
      </c>
      <c r="AV34" s="110"/>
      <c r="AW34" s="110"/>
      <c r="AX34" s="116">
        <f t="shared" si="491"/>
        <v>0</v>
      </c>
      <c r="AY34" s="90"/>
      <c r="AZ34" s="92"/>
      <c r="BA34" s="113" t="str">
        <f>"Adjusment "&amp;" %"</f>
        <v>Adjusment  %</v>
      </c>
      <c r="BB34" s="114"/>
      <c r="BC34" s="114"/>
      <c r="BD34" s="87" t="str">
        <f>BO34/(BO31+BO33)*100</f>
        <v>#DIV/0!</v>
      </c>
      <c r="BE34" s="110"/>
      <c r="BF34" s="110"/>
      <c r="BG34" s="110"/>
      <c r="BH34" s="110"/>
      <c r="BI34" s="110"/>
      <c r="BJ34" s="110"/>
      <c r="BK34" s="110"/>
      <c r="BL34" s="115">
        <f t="shared" si="492"/>
        <v>0</v>
      </c>
      <c r="BM34" s="110"/>
      <c r="BN34" s="110"/>
      <c r="BO34" s="116">
        <f t="shared" si="493"/>
        <v>0</v>
      </c>
      <c r="BP34" s="90"/>
      <c r="BQ34" s="92"/>
      <c r="BR34" s="113" t="str">
        <f>"Adjusment "&amp;" %"</f>
        <v>Adjusment  %</v>
      </c>
      <c r="BS34" s="114"/>
      <c r="BT34" s="114"/>
      <c r="BU34" s="87" t="str">
        <f>CF34/(CF31+CF33)*100</f>
        <v>#DIV/0!</v>
      </c>
      <c r="BV34" s="110"/>
      <c r="BW34" s="110"/>
      <c r="BX34" s="110"/>
      <c r="BY34" s="110"/>
      <c r="BZ34" s="110"/>
      <c r="CA34" s="110"/>
      <c r="CB34" s="110"/>
      <c r="CC34" s="115">
        <f t="shared" si="494"/>
        <v>0</v>
      </c>
      <c r="CD34" s="110"/>
      <c r="CE34" s="110"/>
      <c r="CF34" s="116">
        <f t="shared" si="495"/>
        <v>0</v>
      </c>
      <c r="CG34" s="90"/>
      <c r="CH34" s="92"/>
      <c r="CI34" s="113" t="str">
        <f>"Adjusment "&amp;" %"</f>
        <v>Adjusment  %</v>
      </c>
      <c r="CJ34" s="114"/>
      <c r="CK34" s="114"/>
      <c r="CL34" s="87" t="str">
        <f>CW34/(CW31+CW33)*100</f>
        <v>#DIV/0!</v>
      </c>
      <c r="CM34" s="110"/>
      <c r="CN34" s="110"/>
      <c r="CO34" s="110"/>
      <c r="CP34" s="110"/>
      <c r="CQ34" s="110"/>
      <c r="CR34" s="110"/>
      <c r="CS34" s="110"/>
      <c r="CT34" s="115">
        <f t="shared" si="496"/>
        <v>0</v>
      </c>
      <c r="CU34" s="110"/>
      <c r="CV34" s="110"/>
      <c r="CW34" s="116">
        <f t="shared" si="497"/>
        <v>0</v>
      </c>
      <c r="CX34" s="90"/>
      <c r="CY34" s="92"/>
      <c r="CZ34" s="113" t="str">
        <f>"Adjusment "&amp;" %"</f>
        <v>Adjusment  %</v>
      </c>
      <c r="DA34" s="114"/>
      <c r="DB34" s="114"/>
      <c r="DC34" s="87" t="str">
        <f>DN34/(DN31+DN33)*100</f>
        <v>#DIV/0!</v>
      </c>
      <c r="DD34" s="110"/>
      <c r="DE34" s="110"/>
      <c r="DF34" s="110"/>
      <c r="DG34" s="110"/>
      <c r="DH34" s="110"/>
      <c r="DI34" s="110"/>
      <c r="DJ34" s="110"/>
      <c r="DK34" s="115">
        <f t="shared" si="498"/>
        <v>0</v>
      </c>
      <c r="DL34" s="110"/>
      <c r="DM34" s="110"/>
      <c r="DN34" s="116">
        <f t="shared" si="499"/>
        <v>0</v>
      </c>
      <c r="DO34" s="90"/>
      <c r="DP34" s="92"/>
      <c r="DQ34" s="113" t="str">
        <f>"Adjusment "&amp;" %"</f>
        <v>Adjusment  %</v>
      </c>
      <c r="DR34" s="114"/>
      <c r="DS34" s="114"/>
      <c r="DT34" s="87" t="str">
        <f>EE34/(EE31+EE33)*100</f>
        <v>#DIV/0!</v>
      </c>
      <c r="DU34" s="110"/>
      <c r="DV34" s="110"/>
      <c r="DW34" s="110"/>
      <c r="DX34" s="110"/>
      <c r="DY34" s="110"/>
      <c r="DZ34" s="110"/>
      <c r="EA34" s="110"/>
      <c r="EB34" s="115">
        <f t="shared" si="500"/>
        <v>0</v>
      </c>
      <c r="EC34" s="110"/>
      <c r="ED34" s="110"/>
      <c r="EE34" s="116">
        <f t="shared" si="501"/>
        <v>0</v>
      </c>
      <c r="EF34" s="90"/>
      <c r="EG34" s="92"/>
      <c r="EH34" s="113" t="str">
        <f>"Adjusment "&amp;" %"</f>
        <v>Adjusment  %</v>
      </c>
      <c r="EI34" s="114"/>
      <c r="EJ34" s="114"/>
      <c r="EK34" s="87" t="str">
        <f>EV34/(EV31+EV33)*100</f>
        <v>#DIV/0!</v>
      </c>
      <c r="EL34" s="110"/>
      <c r="EM34" s="110"/>
      <c r="EN34" s="110"/>
      <c r="EO34" s="110"/>
      <c r="EP34" s="110"/>
      <c r="EQ34" s="110"/>
      <c r="ER34" s="110"/>
      <c r="ES34" s="115">
        <f t="shared" si="502"/>
        <v>0</v>
      </c>
      <c r="ET34" s="110"/>
      <c r="EU34" s="110"/>
      <c r="EV34" s="116">
        <f t="shared" si="503"/>
        <v>0</v>
      </c>
      <c r="EW34" s="90"/>
      <c r="EX34" s="92"/>
      <c r="EY34" s="113" t="str">
        <f>"Adjusment "&amp;" %"</f>
        <v>Adjusment  %</v>
      </c>
      <c r="EZ34" s="114"/>
      <c r="FA34" s="114"/>
      <c r="FB34" s="87" t="str">
        <f>FM34/(FM31+FM33)*100</f>
        <v>#DIV/0!</v>
      </c>
      <c r="FC34" s="110"/>
      <c r="FD34" s="110"/>
      <c r="FE34" s="110"/>
      <c r="FF34" s="110"/>
      <c r="FG34" s="110"/>
      <c r="FH34" s="110"/>
      <c r="FI34" s="110"/>
      <c r="FJ34" s="115">
        <f t="shared" si="504"/>
        <v>0</v>
      </c>
      <c r="FK34" s="110"/>
      <c r="FL34" s="110"/>
      <c r="FM34" s="116">
        <f t="shared" si="505"/>
        <v>0</v>
      </c>
      <c r="FN34" s="90"/>
      <c r="FO34" s="92"/>
      <c r="FP34" s="113" t="str">
        <f>"Adjusment "&amp;" %"</f>
        <v>Adjusment  %</v>
      </c>
      <c r="FQ34" s="114"/>
      <c r="FR34" s="114"/>
      <c r="FS34" s="87">
        <f>GD34/(GD31+GD33)*100</f>
        <v>0</v>
      </c>
      <c r="FT34" s="110"/>
      <c r="FU34" s="110"/>
      <c r="FV34" s="110"/>
      <c r="FW34" s="110"/>
      <c r="FX34" s="110"/>
      <c r="FY34" s="110"/>
      <c r="FZ34" s="110"/>
      <c r="GA34" s="115">
        <f t="shared" si="506"/>
        <v>0</v>
      </c>
      <c r="GB34" s="110"/>
      <c r="GC34" s="110"/>
      <c r="GD34" s="116">
        <f t="shared" si="507"/>
        <v>0</v>
      </c>
      <c r="GE34" s="90"/>
      <c r="GF34" s="92"/>
      <c r="GG34" s="113" t="str">
        <f>"Adjusment "&amp;" %"</f>
        <v>Adjusment  %</v>
      </c>
      <c r="GH34" s="114"/>
      <c r="GI34" s="114"/>
      <c r="GJ34" s="87">
        <f>GU34/(GU31+GU33)*100</f>
        <v>0</v>
      </c>
      <c r="GK34" s="110"/>
      <c r="GL34" s="110"/>
      <c r="GM34" s="110"/>
      <c r="GN34" s="110"/>
      <c r="GO34" s="110"/>
      <c r="GP34" s="110"/>
      <c r="GQ34" s="110"/>
      <c r="GR34" s="115">
        <f t="shared" si="508"/>
        <v>0</v>
      </c>
      <c r="GS34" s="110"/>
      <c r="GT34" s="110"/>
      <c r="GU34" s="116">
        <f t="shared" si="509"/>
        <v>0</v>
      </c>
      <c r="GV34" s="90"/>
      <c r="GW34" s="92"/>
      <c r="GX34" s="113" t="str">
        <f>"Adjusment "&amp;" %"</f>
        <v>Adjusment  %</v>
      </c>
      <c r="GY34" s="114"/>
      <c r="GZ34" s="114"/>
      <c r="HA34" s="87">
        <f>HL34/(HL31+HL33)*100</f>
        <v>0</v>
      </c>
      <c r="HB34" s="110"/>
      <c r="HC34" s="110"/>
      <c r="HD34" s="110"/>
      <c r="HE34" s="110"/>
      <c r="HF34" s="110"/>
      <c r="HG34" s="110"/>
      <c r="HH34" s="110"/>
      <c r="HI34" s="115">
        <f t="shared" si="510"/>
        <v>0</v>
      </c>
      <c r="HJ34" s="110"/>
      <c r="HK34" s="110"/>
      <c r="HL34" s="116">
        <f t="shared" si="511"/>
        <v>0</v>
      </c>
      <c r="HM34" s="90"/>
      <c r="HN34" s="92"/>
      <c r="HO34" s="113" t="str">
        <f>"Adjusment "&amp;" %"</f>
        <v>Adjusment  %</v>
      </c>
      <c r="HP34" s="114"/>
      <c r="HQ34" s="114"/>
      <c r="HR34" s="87">
        <f>IC34/(IC31+IC33)*100</f>
        <v>0</v>
      </c>
      <c r="HS34" s="110"/>
      <c r="HT34" s="110"/>
      <c r="HU34" s="110"/>
      <c r="HV34" s="110"/>
      <c r="HW34" s="110"/>
      <c r="HX34" s="110"/>
      <c r="HY34" s="110"/>
      <c r="HZ34" s="115">
        <f t="shared" si="512"/>
        <v>0</v>
      </c>
      <c r="IA34" s="110"/>
      <c r="IB34" s="110"/>
      <c r="IC34" s="116">
        <f t="shared" si="513"/>
        <v>0</v>
      </c>
      <c r="ID34" s="90"/>
      <c r="IE34" s="92"/>
      <c r="IF34" s="113" t="str">
        <f>"Adjusment "&amp;" %"</f>
        <v>Adjusment  %</v>
      </c>
      <c r="IG34" s="114"/>
      <c r="IH34" s="114"/>
      <c r="II34" s="87">
        <f>IT34/(IT31+IT33)*100</f>
        <v>0</v>
      </c>
      <c r="IJ34" s="110"/>
      <c r="IK34" s="110"/>
      <c r="IL34" s="110"/>
      <c r="IM34" s="110"/>
      <c r="IN34" s="110"/>
      <c r="IO34" s="110"/>
      <c r="IP34" s="110"/>
      <c r="IQ34" s="115">
        <f t="shared" si="514"/>
        <v>0</v>
      </c>
      <c r="IR34" s="110"/>
      <c r="IS34" s="110"/>
      <c r="IT34" s="116">
        <f t="shared" si="515"/>
        <v>0</v>
      </c>
      <c r="IU34" s="90"/>
      <c r="IV34" s="92"/>
      <c r="IW34" s="113" t="str">
        <f>"Adjusment "&amp;" %"</f>
        <v>Adjusment  %</v>
      </c>
      <c r="IX34" s="114"/>
      <c r="IY34" s="114"/>
      <c r="IZ34" s="87">
        <f>JK34/(JK31+JK33)*100</f>
        <v>0</v>
      </c>
      <c r="JA34" s="110"/>
      <c r="JB34" s="110"/>
      <c r="JC34" s="110"/>
      <c r="JD34" s="110"/>
      <c r="JE34" s="110"/>
      <c r="JF34" s="110"/>
      <c r="JG34" s="110"/>
      <c r="JH34" s="115">
        <f t="shared" si="516"/>
        <v>0</v>
      </c>
      <c r="JI34" s="110"/>
      <c r="JJ34" s="110"/>
      <c r="JK34" s="116">
        <f t="shared" si="517"/>
        <v>0</v>
      </c>
      <c r="JL34" s="90"/>
      <c r="JM34" s="92"/>
      <c r="JN34" s="113" t="str">
        <f>"Adjusment "&amp;" %"</f>
        <v>Adjusment  %</v>
      </c>
      <c r="JO34" s="114"/>
      <c r="JP34" s="114"/>
      <c r="JQ34" s="87">
        <f>KB34/(KB31+KB33)*100</f>
        <v>0</v>
      </c>
      <c r="JR34" s="110"/>
      <c r="JS34" s="110"/>
      <c r="JT34" s="110"/>
      <c r="JU34" s="110"/>
      <c r="JV34" s="110"/>
      <c r="JW34" s="110"/>
      <c r="JX34" s="110"/>
      <c r="JY34" s="115">
        <f t="shared" si="518"/>
        <v>0</v>
      </c>
      <c r="JZ34" s="110"/>
      <c r="KA34" s="110"/>
      <c r="KB34" s="116">
        <f t="shared" si="519"/>
        <v>0</v>
      </c>
      <c r="KC34" s="90"/>
      <c r="KD34" s="92"/>
      <c r="KE34" s="113" t="str">
        <f>"Adjusment "&amp;" %"</f>
        <v>Adjusment  %</v>
      </c>
      <c r="KF34" s="114"/>
      <c r="KG34" s="114"/>
      <c r="KH34" s="87" t="str">
        <f>KS34/(KS31+KS33)*100</f>
        <v>#DIV/0!</v>
      </c>
      <c r="KI34" s="110"/>
      <c r="KJ34" s="110"/>
      <c r="KK34" s="110"/>
      <c r="KL34" s="110"/>
      <c r="KM34" s="110"/>
      <c r="KN34" s="110"/>
      <c r="KO34" s="110"/>
      <c r="KP34" s="115">
        <f t="shared" si="520"/>
        <v>0</v>
      </c>
      <c r="KQ34" s="110"/>
      <c r="KR34" s="110"/>
      <c r="KS34" s="116">
        <f t="shared" si="521"/>
        <v>0</v>
      </c>
      <c r="KT34" s="90"/>
      <c r="KU34" s="91"/>
    </row>
    <row r="35" ht="15.75" customHeight="1">
      <c r="A35" s="92"/>
      <c r="B35" s="93"/>
      <c r="C35" s="94"/>
      <c r="D35" s="94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99"/>
      <c r="Q35" s="90"/>
      <c r="R35" s="92"/>
      <c r="S35" s="93"/>
      <c r="T35" s="94"/>
      <c r="U35" s="94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99"/>
      <c r="AH35" s="90"/>
      <c r="AI35" s="92"/>
      <c r="AJ35" s="93"/>
      <c r="AK35" s="94"/>
      <c r="AL35" s="94"/>
      <c r="AM35" s="87"/>
      <c r="AN35" s="87"/>
      <c r="AO35" s="87"/>
      <c r="AP35" s="87"/>
      <c r="AQ35" s="87"/>
      <c r="AR35" s="87"/>
      <c r="AS35" s="87"/>
      <c r="AT35" s="87"/>
      <c r="AU35" s="87"/>
      <c r="AV35" s="87"/>
      <c r="AW35" s="87"/>
      <c r="AX35" s="99"/>
      <c r="AY35" s="90"/>
      <c r="AZ35" s="92"/>
      <c r="BA35" s="93"/>
      <c r="BB35" s="94"/>
      <c r="BC35" s="94"/>
      <c r="BD35" s="87"/>
      <c r="BE35" s="87"/>
      <c r="BF35" s="87"/>
      <c r="BG35" s="87"/>
      <c r="BH35" s="87"/>
      <c r="BI35" s="87"/>
      <c r="BJ35" s="87"/>
      <c r="BK35" s="87"/>
      <c r="BL35" s="87"/>
      <c r="BM35" s="87"/>
      <c r="BN35" s="87"/>
      <c r="BO35" s="99"/>
      <c r="BP35" s="90"/>
      <c r="BQ35" s="92"/>
      <c r="BR35" s="93"/>
      <c r="BS35" s="94"/>
      <c r="BT35" s="94"/>
      <c r="BU35" s="87"/>
      <c r="BV35" s="87"/>
      <c r="BW35" s="87"/>
      <c r="BX35" s="87"/>
      <c r="BY35" s="87"/>
      <c r="BZ35" s="87"/>
      <c r="CA35" s="87"/>
      <c r="CB35" s="87"/>
      <c r="CC35" s="87"/>
      <c r="CD35" s="87"/>
      <c r="CE35" s="87"/>
      <c r="CF35" s="99"/>
      <c r="CG35" s="90"/>
      <c r="CH35" s="92"/>
      <c r="CI35" s="93"/>
      <c r="CJ35" s="94"/>
      <c r="CK35" s="94"/>
      <c r="CL35" s="87"/>
      <c r="CM35" s="87"/>
      <c r="CN35" s="87"/>
      <c r="CO35" s="87"/>
      <c r="CP35" s="87"/>
      <c r="CQ35" s="87"/>
      <c r="CR35" s="87"/>
      <c r="CS35" s="87"/>
      <c r="CT35" s="87"/>
      <c r="CU35" s="87"/>
      <c r="CV35" s="87"/>
      <c r="CW35" s="99"/>
      <c r="CX35" s="90"/>
      <c r="CY35" s="92"/>
      <c r="CZ35" s="93"/>
      <c r="DA35" s="94"/>
      <c r="DB35" s="94"/>
      <c r="DC35" s="87"/>
      <c r="DD35" s="87"/>
      <c r="DE35" s="87"/>
      <c r="DF35" s="87"/>
      <c r="DG35" s="87"/>
      <c r="DH35" s="87"/>
      <c r="DI35" s="87"/>
      <c r="DJ35" s="87"/>
      <c r="DK35" s="87"/>
      <c r="DL35" s="87"/>
      <c r="DM35" s="87"/>
      <c r="DN35" s="99"/>
      <c r="DO35" s="90"/>
      <c r="DP35" s="92"/>
      <c r="DQ35" s="93"/>
      <c r="DR35" s="94"/>
      <c r="DS35" s="94"/>
      <c r="DT35" s="87"/>
      <c r="DU35" s="87"/>
      <c r="DV35" s="87"/>
      <c r="DW35" s="87"/>
      <c r="DX35" s="87"/>
      <c r="DY35" s="87"/>
      <c r="DZ35" s="87"/>
      <c r="EA35" s="87"/>
      <c r="EB35" s="87"/>
      <c r="EC35" s="87"/>
      <c r="ED35" s="87"/>
      <c r="EE35" s="99"/>
      <c r="EF35" s="90"/>
      <c r="EG35" s="92"/>
      <c r="EH35" s="93"/>
      <c r="EI35" s="94"/>
      <c r="EJ35" s="94"/>
      <c r="EK35" s="87"/>
      <c r="EL35" s="87"/>
      <c r="EM35" s="87"/>
      <c r="EN35" s="87"/>
      <c r="EO35" s="87"/>
      <c r="EP35" s="87"/>
      <c r="EQ35" s="87"/>
      <c r="ER35" s="87"/>
      <c r="ES35" s="87"/>
      <c r="ET35" s="87"/>
      <c r="EU35" s="87"/>
      <c r="EV35" s="99"/>
      <c r="EW35" s="90"/>
      <c r="EX35" s="92"/>
      <c r="EY35" s="93"/>
      <c r="EZ35" s="94"/>
      <c r="FA35" s="94"/>
      <c r="FB35" s="87"/>
      <c r="FC35" s="87"/>
      <c r="FD35" s="87"/>
      <c r="FE35" s="87"/>
      <c r="FF35" s="87"/>
      <c r="FG35" s="87"/>
      <c r="FH35" s="87"/>
      <c r="FI35" s="87"/>
      <c r="FJ35" s="87"/>
      <c r="FK35" s="87"/>
      <c r="FL35" s="87"/>
      <c r="FM35" s="99"/>
      <c r="FN35" s="90"/>
      <c r="FO35" s="92"/>
      <c r="FP35" s="93"/>
      <c r="FQ35" s="94"/>
      <c r="FR35" s="94"/>
      <c r="FS35" s="87"/>
      <c r="FT35" s="87"/>
      <c r="FU35" s="87"/>
      <c r="FV35" s="87"/>
      <c r="FW35" s="87"/>
      <c r="FX35" s="87"/>
      <c r="FY35" s="87"/>
      <c r="FZ35" s="87"/>
      <c r="GA35" s="87"/>
      <c r="GB35" s="87"/>
      <c r="GC35" s="87"/>
      <c r="GD35" s="99"/>
      <c r="GE35" s="90"/>
      <c r="GF35" s="92"/>
      <c r="GG35" s="93"/>
      <c r="GH35" s="94"/>
      <c r="GI35" s="94"/>
      <c r="GJ35" s="87"/>
      <c r="GK35" s="87"/>
      <c r="GL35" s="87"/>
      <c r="GM35" s="87"/>
      <c r="GN35" s="87"/>
      <c r="GO35" s="87"/>
      <c r="GP35" s="87"/>
      <c r="GQ35" s="87"/>
      <c r="GR35" s="87"/>
      <c r="GS35" s="87"/>
      <c r="GT35" s="87"/>
      <c r="GU35" s="99"/>
      <c r="GV35" s="90"/>
      <c r="GW35" s="92"/>
      <c r="GX35" s="93"/>
      <c r="GY35" s="94"/>
      <c r="GZ35" s="94"/>
      <c r="HA35" s="87"/>
      <c r="HB35" s="87"/>
      <c r="HC35" s="87"/>
      <c r="HD35" s="87"/>
      <c r="HE35" s="87"/>
      <c r="HF35" s="87"/>
      <c r="HG35" s="87"/>
      <c r="HH35" s="87"/>
      <c r="HI35" s="87"/>
      <c r="HJ35" s="87"/>
      <c r="HK35" s="87"/>
      <c r="HL35" s="99"/>
      <c r="HM35" s="90"/>
      <c r="HN35" s="92"/>
      <c r="HO35" s="93"/>
      <c r="HP35" s="94"/>
      <c r="HQ35" s="94"/>
      <c r="HR35" s="87"/>
      <c r="HS35" s="87"/>
      <c r="HT35" s="87"/>
      <c r="HU35" s="87"/>
      <c r="HV35" s="87"/>
      <c r="HW35" s="87"/>
      <c r="HX35" s="87"/>
      <c r="HY35" s="87"/>
      <c r="HZ35" s="87"/>
      <c r="IA35" s="87"/>
      <c r="IB35" s="87"/>
      <c r="IC35" s="99"/>
      <c r="ID35" s="90"/>
      <c r="IE35" s="92"/>
      <c r="IF35" s="93"/>
      <c r="IG35" s="94"/>
      <c r="IH35" s="94"/>
      <c r="II35" s="87"/>
      <c r="IJ35" s="87"/>
      <c r="IK35" s="87"/>
      <c r="IL35" s="87"/>
      <c r="IM35" s="87"/>
      <c r="IN35" s="87"/>
      <c r="IO35" s="87"/>
      <c r="IP35" s="87"/>
      <c r="IQ35" s="87"/>
      <c r="IR35" s="87"/>
      <c r="IS35" s="87"/>
      <c r="IT35" s="99"/>
      <c r="IU35" s="90"/>
      <c r="IV35" s="92"/>
      <c r="IW35" s="93"/>
      <c r="IX35" s="94"/>
      <c r="IY35" s="94"/>
      <c r="IZ35" s="87"/>
      <c r="JA35" s="87"/>
      <c r="JB35" s="87"/>
      <c r="JC35" s="87"/>
      <c r="JD35" s="87"/>
      <c r="JE35" s="87"/>
      <c r="JF35" s="87"/>
      <c r="JG35" s="87"/>
      <c r="JH35" s="87"/>
      <c r="JI35" s="87"/>
      <c r="JJ35" s="87"/>
      <c r="JK35" s="99"/>
      <c r="JL35" s="90"/>
      <c r="JM35" s="92"/>
      <c r="JN35" s="93"/>
      <c r="JO35" s="94"/>
      <c r="JP35" s="94"/>
      <c r="JQ35" s="87"/>
      <c r="JR35" s="87"/>
      <c r="JS35" s="87"/>
      <c r="JT35" s="87"/>
      <c r="JU35" s="87"/>
      <c r="JV35" s="87"/>
      <c r="JW35" s="87"/>
      <c r="JX35" s="87"/>
      <c r="JY35" s="87"/>
      <c r="JZ35" s="87"/>
      <c r="KA35" s="87"/>
      <c r="KB35" s="99"/>
      <c r="KC35" s="90"/>
      <c r="KD35" s="92"/>
      <c r="KE35" s="93"/>
      <c r="KF35" s="94"/>
      <c r="KG35" s="94"/>
      <c r="KH35" s="87"/>
      <c r="KI35" s="87"/>
      <c r="KJ35" s="87"/>
      <c r="KK35" s="87"/>
      <c r="KL35" s="87"/>
      <c r="KM35" s="87"/>
      <c r="KN35" s="87"/>
      <c r="KO35" s="87"/>
      <c r="KP35" s="87"/>
      <c r="KQ35" s="87"/>
      <c r="KR35" s="87"/>
      <c r="KS35" s="99"/>
      <c r="KT35" s="90"/>
      <c r="KU35" s="91"/>
    </row>
    <row r="36" ht="24.0" customHeight="1">
      <c r="A36" s="117" t="s">
        <v>52</v>
      </c>
      <c r="B36" s="118"/>
      <c r="C36" s="119"/>
      <c r="D36" s="119"/>
      <c r="E36" s="120"/>
      <c r="F36" s="120"/>
      <c r="G36" s="121">
        <f>SUM(G31:G35)</f>
        <v>0</v>
      </c>
      <c r="H36" s="120"/>
      <c r="I36" s="121">
        <f>SUM(I31:I35)</f>
        <v>0</v>
      </c>
      <c r="J36" s="120"/>
      <c r="K36" s="120"/>
      <c r="L36" s="120"/>
      <c r="M36" s="121">
        <f>SUM(M31:M35)</f>
        <v>0</v>
      </c>
      <c r="N36" s="120"/>
      <c r="O36" s="121">
        <f t="shared" ref="O36:P36" si="522">SUM(O31:O35)</f>
        <v>0</v>
      </c>
      <c r="P36" s="121">
        <f t="shared" si="522"/>
        <v>0</v>
      </c>
      <c r="Q36" s="106"/>
      <c r="R36" s="117" t="s">
        <v>52</v>
      </c>
      <c r="S36" s="118"/>
      <c r="T36" s="119"/>
      <c r="U36" s="119"/>
      <c r="V36" s="120"/>
      <c r="W36" s="120"/>
      <c r="X36" s="121">
        <f>SUM(X31:X35)</f>
        <v>0</v>
      </c>
      <c r="Y36" s="120"/>
      <c r="Z36" s="121">
        <f>SUM(Z31:Z35)</f>
        <v>0</v>
      </c>
      <c r="AA36" s="120"/>
      <c r="AB36" s="120"/>
      <c r="AC36" s="120"/>
      <c r="AD36" s="121">
        <f>SUM(AD31:AD35)</f>
        <v>0</v>
      </c>
      <c r="AE36" s="120"/>
      <c r="AF36" s="121">
        <f t="shared" ref="AF36:AG36" si="523">SUM(AF31:AF35)</f>
        <v>0</v>
      </c>
      <c r="AG36" s="121">
        <f t="shared" si="523"/>
        <v>0</v>
      </c>
      <c r="AH36" s="106"/>
      <c r="AI36" s="117" t="s">
        <v>52</v>
      </c>
      <c r="AJ36" s="118"/>
      <c r="AK36" s="119"/>
      <c r="AL36" s="119"/>
      <c r="AM36" s="120"/>
      <c r="AN36" s="120"/>
      <c r="AO36" s="121">
        <f>SUM(AO31:AO35)</f>
        <v>0</v>
      </c>
      <c r="AP36" s="120"/>
      <c r="AQ36" s="121">
        <f>SUM(AQ31:AQ35)</f>
        <v>0</v>
      </c>
      <c r="AR36" s="120"/>
      <c r="AS36" s="120"/>
      <c r="AT36" s="120"/>
      <c r="AU36" s="121">
        <f>SUM(AU31:AU35)</f>
        <v>0</v>
      </c>
      <c r="AV36" s="120"/>
      <c r="AW36" s="121">
        <f t="shared" ref="AW36:AX36" si="524">SUM(AW31:AW35)</f>
        <v>0</v>
      </c>
      <c r="AX36" s="121">
        <f t="shared" si="524"/>
        <v>0</v>
      </c>
      <c r="AY36" s="106"/>
      <c r="AZ36" s="117" t="s">
        <v>52</v>
      </c>
      <c r="BA36" s="118"/>
      <c r="BB36" s="119"/>
      <c r="BC36" s="119"/>
      <c r="BD36" s="120"/>
      <c r="BE36" s="120"/>
      <c r="BF36" s="121">
        <f>SUM(BF31:BF35)</f>
        <v>0</v>
      </c>
      <c r="BG36" s="120"/>
      <c r="BH36" s="121">
        <f>SUM(BH31:BH35)</f>
        <v>0</v>
      </c>
      <c r="BI36" s="120"/>
      <c r="BJ36" s="120"/>
      <c r="BK36" s="120"/>
      <c r="BL36" s="121">
        <f>SUM(BL31:BL35)</f>
        <v>0</v>
      </c>
      <c r="BM36" s="120"/>
      <c r="BN36" s="121">
        <f t="shared" ref="BN36:BO36" si="525">SUM(BN31:BN35)</f>
        <v>0</v>
      </c>
      <c r="BO36" s="121">
        <f t="shared" si="525"/>
        <v>0</v>
      </c>
      <c r="BP36" s="106"/>
      <c r="BQ36" s="117" t="s">
        <v>52</v>
      </c>
      <c r="BR36" s="118"/>
      <c r="BS36" s="119"/>
      <c r="BT36" s="119"/>
      <c r="BU36" s="120"/>
      <c r="BV36" s="120"/>
      <c r="BW36" s="121">
        <f>SUM(BW31:BW35)</f>
        <v>0</v>
      </c>
      <c r="BX36" s="120"/>
      <c r="BY36" s="121">
        <f>SUM(BY31:BY35)</f>
        <v>0</v>
      </c>
      <c r="BZ36" s="120"/>
      <c r="CA36" s="120"/>
      <c r="CB36" s="120"/>
      <c r="CC36" s="121">
        <f>SUM(CC31:CC35)</f>
        <v>0</v>
      </c>
      <c r="CD36" s="120"/>
      <c r="CE36" s="121">
        <f t="shared" ref="CE36:CF36" si="526">SUM(CE31:CE35)</f>
        <v>0</v>
      </c>
      <c r="CF36" s="121">
        <f t="shared" si="526"/>
        <v>0</v>
      </c>
      <c r="CG36" s="106"/>
      <c r="CH36" s="117" t="s">
        <v>52</v>
      </c>
      <c r="CI36" s="118"/>
      <c r="CJ36" s="119"/>
      <c r="CK36" s="119"/>
      <c r="CL36" s="120"/>
      <c r="CM36" s="120"/>
      <c r="CN36" s="121">
        <f>SUM(CN31:CN35)</f>
        <v>0</v>
      </c>
      <c r="CO36" s="120"/>
      <c r="CP36" s="121">
        <f>SUM(CP31:CP35)</f>
        <v>0</v>
      </c>
      <c r="CQ36" s="120"/>
      <c r="CR36" s="120"/>
      <c r="CS36" s="120"/>
      <c r="CT36" s="121">
        <f>SUM(CT31:CT35)</f>
        <v>0</v>
      </c>
      <c r="CU36" s="120"/>
      <c r="CV36" s="121">
        <f t="shared" ref="CV36:CW36" si="527">SUM(CV31:CV35)</f>
        <v>0</v>
      </c>
      <c r="CW36" s="121">
        <f t="shared" si="527"/>
        <v>0</v>
      </c>
      <c r="CX36" s="106"/>
      <c r="CY36" s="117" t="s">
        <v>52</v>
      </c>
      <c r="CZ36" s="118"/>
      <c r="DA36" s="119"/>
      <c r="DB36" s="119"/>
      <c r="DC36" s="120"/>
      <c r="DD36" s="120"/>
      <c r="DE36" s="121">
        <f>SUM(DE31:DE35)</f>
        <v>0</v>
      </c>
      <c r="DF36" s="120"/>
      <c r="DG36" s="121">
        <f>SUM(DG31:DG35)</f>
        <v>0</v>
      </c>
      <c r="DH36" s="120"/>
      <c r="DI36" s="120"/>
      <c r="DJ36" s="120"/>
      <c r="DK36" s="121">
        <f>SUM(DK31:DK35)</f>
        <v>0</v>
      </c>
      <c r="DL36" s="120"/>
      <c r="DM36" s="121">
        <f t="shared" ref="DM36:DN36" si="528">SUM(DM31:DM35)</f>
        <v>0</v>
      </c>
      <c r="DN36" s="121">
        <f t="shared" si="528"/>
        <v>0</v>
      </c>
      <c r="DO36" s="106"/>
      <c r="DP36" s="117" t="s">
        <v>52</v>
      </c>
      <c r="DQ36" s="118"/>
      <c r="DR36" s="119"/>
      <c r="DS36" s="119"/>
      <c r="DT36" s="120"/>
      <c r="DU36" s="120"/>
      <c r="DV36" s="121">
        <f>SUM(DV31:DV35)</f>
        <v>0</v>
      </c>
      <c r="DW36" s="120"/>
      <c r="DX36" s="121">
        <f>SUM(DX31:DX35)</f>
        <v>0</v>
      </c>
      <c r="DY36" s="120"/>
      <c r="DZ36" s="120"/>
      <c r="EA36" s="120"/>
      <c r="EB36" s="121">
        <f>SUM(EB31:EB35)</f>
        <v>0</v>
      </c>
      <c r="EC36" s="120"/>
      <c r="ED36" s="121">
        <f t="shared" ref="ED36:EE36" si="529">SUM(ED31:ED35)</f>
        <v>0</v>
      </c>
      <c r="EE36" s="121">
        <f t="shared" si="529"/>
        <v>0</v>
      </c>
      <c r="EF36" s="106"/>
      <c r="EG36" s="117" t="s">
        <v>52</v>
      </c>
      <c r="EH36" s="118"/>
      <c r="EI36" s="119"/>
      <c r="EJ36" s="119"/>
      <c r="EK36" s="120"/>
      <c r="EL36" s="120"/>
      <c r="EM36" s="121">
        <f>SUM(EM31:EM35)</f>
        <v>0</v>
      </c>
      <c r="EN36" s="120"/>
      <c r="EO36" s="121">
        <f>SUM(EO31:EO35)</f>
        <v>0</v>
      </c>
      <c r="EP36" s="120"/>
      <c r="EQ36" s="120"/>
      <c r="ER36" s="120"/>
      <c r="ES36" s="121">
        <f>SUM(ES31:ES35)</f>
        <v>0</v>
      </c>
      <c r="ET36" s="120"/>
      <c r="EU36" s="121">
        <f t="shared" ref="EU36:EV36" si="530">SUM(EU31:EU35)</f>
        <v>0</v>
      </c>
      <c r="EV36" s="121">
        <f t="shared" si="530"/>
        <v>0</v>
      </c>
      <c r="EW36" s="106"/>
      <c r="EX36" s="117" t="s">
        <v>52</v>
      </c>
      <c r="EY36" s="118"/>
      <c r="EZ36" s="119"/>
      <c r="FA36" s="119"/>
      <c r="FB36" s="120"/>
      <c r="FC36" s="120"/>
      <c r="FD36" s="121">
        <f>SUM(FD31:FD35)</f>
        <v>0</v>
      </c>
      <c r="FE36" s="120"/>
      <c r="FF36" s="121">
        <f>SUM(FF31:FF35)</f>
        <v>0</v>
      </c>
      <c r="FG36" s="120"/>
      <c r="FH36" s="120"/>
      <c r="FI36" s="120"/>
      <c r="FJ36" s="121">
        <f>SUM(FJ31:FJ35)</f>
        <v>0</v>
      </c>
      <c r="FK36" s="120"/>
      <c r="FL36" s="121">
        <f t="shared" ref="FL36:FM36" si="531">SUM(FL31:FL35)</f>
        <v>0</v>
      </c>
      <c r="FM36" s="121">
        <f t="shared" si="531"/>
        <v>0</v>
      </c>
      <c r="FN36" s="106"/>
      <c r="FO36" s="117" t="s">
        <v>52</v>
      </c>
      <c r="FP36" s="118"/>
      <c r="FQ36" s="119"/>
      <c r="FR36" s="119"/>
      <c r="FS36" s="120"/>
      <c r="FT36" s="120"/>
      <c r="FU36" s="121">
        <f>SUM(FU31:FU35)</f>
        <v>5572373.543</v>
      </c>
      <c r="FV36" s="120"/>
      <c r="FW36" s="121">
        <f>SUM(FW31:FW35)</f>
        <v>0</v>
      </c>
      <c r="FX36" s="120"/>
      <c r="FY36" s="120"/>
      <c r="FZ36" s="120"/>
      <c r="GA36" s="121">
        <f>SUM(GA31:GA35)</f>
        <v>5572373.543</v>
      </c>
      <c r="GB36" s="120"/>
      <c r="GC36" s="121">
        <f t="shared" ref="GC36:GD36" si="532">SUM(GC31:GC35)</f>
        <v>2565783.388</v>
      </c>
      <c r="GD36" s="121">
        <f t="shared" si="532"/>
        <v>3006590.155</v>
      </c>
      <c r="GE36" s="106"/>
      <c r="GF36" s="117" t="s">
        <v>52</v>
      </c>
      <c r="GG36" s="118"/>
      <c r="GH36" s="119"/>
      <c r="GI36" s="119"/>
      <c r="GJ36" s="120"/>
      <c r="GK36" s="120"/>
      <c r="GL36" s="121">
        <f>SUM(GL31:GL35)</f>
        <v>7560045.28</v>
      </c>
      <c r="GM36" s="120"/>
      <c r="GN36" s="121">
        <f>SUM(GN31:GN35)</f>
        <v>0</v>
      </c>
      <c r="GO36" s="120"/>
      <c r="GP36" s="120"/>
      <c r="GQ36" s="120"/>
      <c r="GR36" s="121">
        <f>SUM(GR31:GR35)</f>
        <v>7560045.28</v>
      </c>
      <c r="GS36" s="120"/>
      <c r="GT36" s="121">
        <f t="shared" ref="GT36:GU36" si="533">SUM(GT31:GT35)</f>
        <v>3481001.128</v>
      </c>
      <c r="GU36" s="121">
        <f t="shared" si="533"/>
        <v>4079044.152</v>
      </c>
      <c r="GV36" s="106"/>
      <c r="GW36" s="117" t="s">
        <v>52</v>
      </c>
      <c r="GX36" s="118"/>
      <c r="GY36" s="119"/>
      <c r="GZ36" s="119"/>
      <c r="HA36" s="120"/>
      <c r="HB36" s="120"/>
      <c r="HC36" s="121">
        <f>SUM(HC31:HC35)</f>
        <v>6357219.472</v>
      </c>
      <c r="HD36" s="120"/>
      <c r="HE36" s="121">
        <f>SUM(HE31:HE35)</f>
        <v>0</v>
      </c>
      <c r="HF36" s="120"/>
      <c r="HG36" s="120"/>
      <c r="HH36" s="120"/>
      <c r="HI36" s="121">
        <f>SUM(HI31:HI35)</f>
        <v>6357219.472</v>
      </c>
      <c r="HJ36" s="120"/>
      <c r="HK36" s="121">
        <f t="shared" ref="HK36:HL36" si="534">SUM(HK31:HK35)</f>
        <v>2927163.441</v>
      </c>
      <c r="HL36" s="121">
        <f t="shared" si="534"/>
        <v>3430056.031</v>
      </c>
      <c r="HM36" s="106"/>
      <c r="HN36" s="117" t="s">
        <v>52</v>
      </c>
      <c r="HO36" s="118"/>
      <c r="HP36" s="119"/>
      <c r="HQ36" s="119"/>
      <c r="HR36" s="120"/>
      <c r="HS36" s="120"/>
      <c r="HT36" s="121">
        <f>SUM(HT31:HT35)</f>
        <v>10686171.5</v>
      </c>
      <c r="HU36" s="120"/>
      <c r="HV36" s="121">
        <f>SUM(HV31:HV35)</f>
        <v>0</v>
      </c>
      <c r="HW36" s="120"/>
      <c r="HX36" s="120"/>
      <c r="HY36" s="120"/>
      <c r="HZ36" s="121">
        <f>SUM(HZ31:HZ35)</f>
        <v>10686171.5</v>
      </c>
      <c r="IA36" s="120"/>
      <c r="IB36" s="121">
        <f t="shared" ref="IB36:IC36" si="535">SUM(IB31:IB35)</f>
        <v>4920416.966</v>
      </c>
      <c r="IC36" s="121">
        <f t="shared" si="535"/>
        <v>5765754.537</v>
      </c>
      <c r="ID36" s="106"/>
      <c r="IE36" s="117" t="s">
        <v>52</v>
      </c>
      <c r="IF36" s="118"/>
      <c r="IG36" s="119"/>
      <c r="IH36" s="119"/>
      <c r="II36" s="120"/>
      <c r="IJ36" s="120"/>
      <c r="IK36" s="121">
        <f>SUM(IK31:IK35)</f>
        <v>16291010.33</v>
      </c>
      <c r="IL36" s="120"/>
      <c r="IM36" s="121">
        <f>SUM(IM31:IM35)</f>
        <v>0</v>
      </c>
      <c r="IN36" s="120"/>
      <c r="IO36" s="120"/>
      <c r="IP36" s="120"/>
      <c r="IQ36" s="121">
        <f>SUM(IQ31:IQ35)</f>
        <v>16291010.33</v>
      </c>
      <c r="IR36" s="120"/>
      <c r="IS36" s="121">
        <f t="shared" ref="IS36:IT36" si="536">SUM(IS31:IS35)</f>
        <v>7501148.9</v>
      </c>
      <c r="IT36" s="121">
        <f t="shared" si="536"/>
        <v>8789861.428</v>
      </c>
      <c r="IU36" s="106"/>
      <c r="IV36" s="117" t="s">
        <v>52</v>
      </c>
      <c r="IW36" s="118"/>
      <c r="IX36" s="119"/>
      <c r="IY36" s="119"/>
      <c r="IZ36" s="120"/>
      <c r="JA36" s="120"/>
      <c r="JB36" s="121">
        <f>SUM(JB31:JB35)</f>
        <v>18463300.83</v>
      </c>
      <c r="JC36" s="120"/>
      <c r="JD36" s="121">
        <f>SUM(JD31:JD35)</f>
        <v>0</v>
      </c>
      <c r="JE36" s="120"/>
      <c r="JF36" s="120"/>
      <c r="JG36" s="120"/>
      <c r="JH36" s="121">
        <f>SUM(JH31:JH35)</f>
        <v>18463300.83</v>
      </c>
      <c r="JI36" s="120"/>
      <c r="JJ36" s="121">
        <f t="shared" ref="JJ36:JK36" si="537">SUM(JJ31:JJ35)</f>
        <v>8501373.819</v>
      </c>
      <c r="JK36" s="121">
        <f t="shared" si="537"/>
        <v>9961927.009</v>
      </c>
      <c r="JL36" s="106"/>
      <c r="JM36" s="117" t="s">
        <v>52</v>
      </c>
      <c r="JN36" s="118"/>
      <c r="JO36" s="119"/>
      <c r="JP36" s="119"/>
      <c r="JQ36" s="120"/>
      <c r="JR36" s="120"/>
      <c r="JS36" s="121">
        <f>SUM(JS31:JS35)</f>
        <v>4728554.432</v>
      </c>
      <c r="JT36" s="120"/>
      <c r="JU36" s="121">
        <f>SUM(JU31:JU35)</f>
        <v>0</v>
      </c>
      <c r="JV36" s="120"/>
      <c r="JW36" s="120"/>
      <c r="JX36" s="120"/>
      <c r="JY36" s="121">
        <f>SUM(JY31:JY35)</f>
        <v>4728554.432</v>
      </c>
      <c r="JZ36" s="120"/>
      <c r="KA36" s="121">
        <f t="shared" ref="KA36:KB36" si="538">SUM(KA31:KA35)</f>
        <v>2177249.302</v>
      </c>
      <c r="KB36" s="121">
        <f t="shared" si="538"/>
        <v>2551305.129</v>
      </c>
      <c r="KC36" s="106"/>
      <c r="KD36" s="117" t="s">
        <v>52</v>
      </c>
      <c r="KE36" s="118"/>
      <c r="KF36" s="119"/>
      <c r="KG36" s="119"/>
      <c r="KH36" s="120"/>
      <c r="KI36" s="120"/>
      <c r="KJ36" s="121">
        <f>SUM(KJ31:KJ35)</f>
        <v>0</v>
      </c>
      <c r="KK36" s="120"/>
      <c r="KL36" s="121">
        <f>SUM(KL31:KL35)</f>
        <v>0</v>
      </c>
      <c r="KM36" s="120"/>
      <c r="KN36" s="120"/>
      <c r="KO36" s="120"/>
      <c r="KP36" s="121">
        <f>SUM(KP31:KP35)</f>
        <v>0</v>
      </c>
      <c r="KQ36" s="120"/>
      <c r="KR36" s="121">
        <f t="shared" ref="KR36:KS36" si="539">SUM(KR31:KR35)</f>
        <v>0</v>
      </c>
      <c r="KS36" s="121">
        <f t="shared" si="539"/>
        <v>0</v>
      </c>
      <c r="KT36" s="106"/>
      <c r="KU36" s="107"/>
    </row>
    <row r="37" ht="15.75" customHeight="1">
      <c r="A37" s="44"/>
      <c r="B37" s="48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7"/>
      <c r="R37" s="44"/>
      <c r="S37" s="48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7"/>
      <c r="AI37" s="44"/>
      <c r="AJ37" s="48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7"/>
      <c r="AZ37" s="44"/>
      <c r="BA37" s="48"/>
      <c r="BB37" s="36"/>
      <c r="BC37" s="36"/>
      <c r="BD37" s="36"/>
      <c r="BE37" s="36"/>
      <c r="BF37" s="36"/>
      <c r="BG37" s="36"/>
      <c r="BH37" s="36"/>
      <c r="BI37" s="36"/>
      <c r="BJ37" s="36"/>
      <c r="BK37" s="36"/>
      <c r="BL37" s="36"/>
      <c r="BM37" s="36"/>
      <c r="BN37" s="36"/>
      <c r="BO37" s="36"/>
      <c r="BP37" s="37"/>
      <c r="BQ37" s="44"/>
      <c r="BR37" s="48"/>
      <c r="BS37" s="36"/>
      <c r="BT37" s="36"/>
      <c r="BU37" s="36"/>
      <c r="BV37" s="36"/>
      <c r="BW37" s="36"/>
      <c r="BX37" s="36"/>
      <c r="BY37" s="36"/>
      <c r="BZ37" s="36"/>
      <c r="CA37" s="36"/>
      <c r="CB37" s="36"/>
      <c r="CC37" s="36"/>
      <c r="CD37" s="36"/>
      <c r="CE37" s="36"/>
      <c r="CF37" s="36"/>
      <c r="CG37" s="37"/>
      <c r="CH37" s="44"/>
      <c r="CI37" s="48"/>
      <c r="CJ37" s="36"/>
      <c r="CK37" s="36"/>
      <c r="CL37" s="36"/>
      <c r="CM37" s="36"/>
      <c r="CN37" s="36"/>
      <c r="CO37" s="36"/>
      <c r="CP37" s="36"/>
      <c r="CQ37" s="36"/>
      <c r="CR37" s="36"/>
      <c r="CS37" s="36"/>
      <c r="CT37" s="36"/>
      <c r="CU37" s="36"/>
      <c r="CV37" s="36"/>
      <c r="CW37" s="36"/>
      <c r="CX37" s="37"/>
      <c r="CY37" s="44"/>
      <c r="CZ37" s="48"/>
      <c r="DA37" s="36"/>
      <c r="DB37" s="36"/>
      <c r="DC37" s="36"/>
      <c r="DD37" s="36"/>
      <c r="DE37" s="36"/>
      <c r="DF37" s="36"/>
      <c r="DG37" s="36"/>
      <c r="DH37" s="36"/>
      <c r="DI37" s="36"/>
      <c r="DJ37" s="36"/>
      <c r="DK37" s="36"/>
      <c r="DL37" s="36"/>
      <c r="DM37" s="36"/>
      <c r="DN37" s="36"/>
      <c r="DO37" s="37"/>
      <c r="DP37" s="44"/>
      <c r="DQ37" s="48"/>
      <c r="DR37" s="36"/>
      <c r="DS37" s="36"/>
      <c r="DT37" s="36"/>
      <c r="DU37" s="36"/>
      <c r="DV37" s="36"/>
      <c r="DW37" s="36"/>
      <c r="DX37" s="36"/>
      <c r="DY37" s="36"/>
      <c r="DZ37" s="36"/>
      <c r="EA37" s="36"/>
      <c r="EB37" s="36"/>
      <c r="EC37" s="36"/>
      <c r="ED37" s="36"/>
      <c r="EE37" s="36"/>
      <c r="EF37" s="37"/>
      <c r="EG37" s="44"/>
      <c r="EH37" s="48"/>
      <c r="EI37" s="36"/>
      <c r="EJ37" s="36"/>
      <c r="EK37" s="36"/>
      <c r="EL37" s="36"/>
      <c r="EM37" s="36"/>
      <c r="EN37" s="36"/>
      <c r="EO37" s="36"/>
      <c r="EP37" s="36"/>
      <c r="EQ37" s="36"/>
      <c r="ER37" s="36"/>
      <c r="ES37" s="36"/>
      <c r="ET37" s="36"/>
      <c r="EU37" s="36"/>
      <c r="EV37" s="36"/>
      <c r="EW37" s="37"/>
      <c r="EX37" s="44"/>
      <c r="EY37" s="48"/>
      <c r="EZ37" s="36"/>
      <c r="FA37" s="36"/>
      <c r="FB37" s="36"/>
      <c r="FC37" s="36"/>
      <c r="FD37" s="36"/>
      <c r="FE37" s="36"/>
      <c r="FF37" s="36"/>
      <c r="FG37" s="36"/>
      <c r="FH37" s="36"/>
      <c r="FI37" s="36"/>
      <c r="FJ37" s="36"/>
      <c r="FK37" s="36"/>
      <c r="FL37" s="36"/>
      <c r="FM37" s="36"/>
      <c r="FN37" s="37"/>
      <c r="FO37" s="44"/>
      <c r="FP37" s="48"/>
      <c r="FQ37" s="36"/>
      <c r="FR37" s="36"/>
      <c r="FS37" s="36"/>
      <c r="FT37" s="36"/>
      <c r="FU37" s="36"/>
      <c r="FV37" s="36"/>
      <c r="FW37" s="36"/>
      <c r="FX37" s="36"/>
      <c r="FY37" s="36"/>
      <c r="FZ37" s="36"/>
      <c r="GA37" s="36"/>
      <c r="GB37" s="36"/>
      <c r="GC37" s="36"/>
      <c r="GD37" s="36"/>
      <c r="GE37" s="37"/>
      <c r="GF37" s="44"/>
      <c r="GG37" s="48"/>
      <c r="GH37" s="36"/>
      <c r="GI37" s="36"/>
      <c r="GJ37" s="36"/>
      <c r="GK37" s="36"/>
      <c r="GL37" s="36"/>
      <c r="GM37" s="36"/>
      <c r="GN37" s="36"/>
      <c r="GO37" s="36"/>
      <c r="GP37" s="36"/>
      <c r="GQ37" s="36"/>
      <c r="GR37" s="36"/>
      <c r="GS37" s="36"/>
      <c r="GT37" s="36"/>
      <c r="GU37" s="36"/>
      <c r="GV37" s="37"/>
      <c r="GW37" s="44"/>
      <c r="GX37" s="48"/>
      <c r="GY37" s="36"/>
      <c r="GZ37" s="36"/>
      <c r="HA37" s="36"/>
      <c r="HB37" s="36"/>
      <c r="HC37" s="36"/>
      <c r="HD37" s="36"/>
      <c r="HE37" s="36"/>
      <c r="HF37" s="36"/>
      <c r="HG37" s="36"/>
      <c r="HH37" s="36"/>
      <c r="HI37" s="36"/>
      <c r="HJ37" s="36"/>
      <c r="HK37" s="36"/>
      <c r="HL37" s="36"/>
      <c r="HM37" s="37"/>
      <c r="HN37" s="44"/>
      <c r="HO37" s="48"/>
      <c r="HP37" s="36"/>
      <c r="HQ37" s="36"/>
      <c r="HR37" s="36"/>
      <c r="HS37" s="36"/>
      <c r="HT37" s="36"/>
      <c r="HU37" s="36"/>
      <c r="HV37" s="36"/>
      <c r="HW37" s="36"/>
      <c r="HX37" s="36"/>
      <c r="HY37" s="36"/>
      <c r="HZ37" s="36"/>
      <c r="IA37" s="36"/>
      <c r="IB37" s="36"/>
      <c r="IC37" s="36"/>
      <c r="ID37" s="37"/>
      <c r="IE37" s="44"/>
      <c r="IF37" s="48"/>
      <c r="IG37" s="36"/>
      <c r="IH37" s="36"/>
      <c r="II37" s="36"/>
      <c r="IJ37" s="36"/>
      <c r="IK37" s="36"/>
      <c r="IL37" s="36"/>
      <c r="IM37" s="36"/>
      <c r="IN37" s="36"/>
      <c r="IO37" s="36"/>
      <c r="IP37" s="36"/>
      <c r="IQ37" s="36"/>
      <c r="IR37" s="36"/>
      <c r="IS37" s="36"/>
      <c r="IT37" s="36"/>
      <c r="IU37" s="37"/>
      <c r="IV37" s="44"/>
      <c r="IW37" s="48"/>
      <c r="IX37" s="36"/>
      <c r="IY37" s="36"/>
      <c r="IZ37" s="36"/>
      <c r="JA37" s="36"/>
      <c r="JB37" s="36"/>
      <c r="JC37" s="36"/>
      <c r="JD37" s="36"/>
      <c r="JE37" s="36"/>
      <c r="JF37" s="36"/>
      <c r="JG37" s="36"/>
      <c r="JH37" s="36"/>
      <c r="JI37" s="36"/>
      <c r="JJ37" s="36"/>
      <c r="JK37" s="36"/>
      <c r="JL37" s="37"/>
      <c r="JM37" s="44"/>
      <c r="JN37" s="48"/>
      <c r="JO37" s="36"/>
      <c r="JP37" s="36"/>
      <c r="JQ37" s="36"/>
      <c r="JR37" s="36"/>
      <c r="JS37" s="36"/>
      <c r="JT37" s="36"/>
      <c r="JU37" s="36"/>
      <c r="JV37" s="36"/>
      <c r="JW37" s="36"/>
      <c r="JX37" s="36"/>
      <c r="JY37" s="36"/>
      <c r="JZ37" s="36"/>
      <c r="KA37" s="36"/>
      <c r="KB37" s="36"/>
      <c r="KC37" s="37"/>
      <c r="KD37" s="44"/>
      <c r="KE37" s="48"/>
      <c r="KF37" s="36"/>
      <c r="KG37" s="36"/>
      <c r="KH37" s="36"/>
      <c r="KI37" s="36"/>
      <c r="KJ37" s="36"/>
      <c r="KK37" s="36"/>
      <c r="KL37" s="36"/>
      <c r="KM37" s="36"/>
      <c r="KN37" s="36"/>
      <c r="KO37" s="36"/>
      <c r="KP37" s="36"/>
      <c r="KQ37" s="36"/>
      <c r="KR37" s="36"/>
      <c r="KS37" s="36"/>
      <c r="KT37" s="37"/>
      <c r="KU37" s="36"/>
    </row>
    <row r="38" ht="15.75" customHeight="1">
      <c r="A38" s="44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7"/>
      <c r="R38" s="44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7"/>
      <c r="AI38" s="44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7"/>
      <c r="AZ38" s="44"/>
      <c r="BA38" s="36"/>
      <c r="BB38" s="36"/>
      <c r="BC38" s="36"/>
      <c r="BD38" s="36"/>
      <c r="BE38" s="36"/>
      <c r="BF38" s="36"/>
      <c r="BG38" s="36"/>
      <c r="BH38" s="36"/>
      <c r="BI38" s="36"/>
      <c r="BJ38" s="36"/>
      <c r="BK38" s="36"/>
      <c r="BL38" s="36"/>
      <c r="BM38" s="36"/>
      <c r="BN38" s="36"/>
      <c r="BO38" s="36"/>
      <c r="BP38" s="37"/>
      <c r="BQ38" s="44"/>
      <c r="BR38" s="36"/>
      <c r="BS38" s="36"/>
      <c r="BT38" s="36"/>
      <c r="BU38" s="36"/>
      <c r="BV38" s="36"/>
      <c r="BW38" s="36"/>
      <c r="BX38" s="36"/>
      <c r="BY38" s="36"/>
      <c r="BZ38" s="36"/>
      <c r="CA38" s="36"/>
      <c r="CB38" s="36"/>
      <c r="CC38" s="36"/>
      <c r="CD38" s="36"/>
      <c r="CE38" s="36"/>
      <c r="CF38" s="36"/>
      <c r="CG38" s="37"/>
      <c r="CH38" s="44"/>
      <c r="CI38" s="36"/>
      <c r="CJ38" s="36"/>
      <c r="CK38" s="36"/>
      <c r="CL38" s="36"/>
      <c r="CM38" s="36"/>
      <c r="CN38" s="36"/>
      <c r="CO38" s="36"/>
      <c r="CP38" s="36"/>
      <c r="CQ38" s="36"/>
      <c r="CR38" s="36"/>
      <c r="CS38" s="36"/>
      <c r="CT38" s="36"/>
      <c r="CU38" s="36"/>
      <c r="CV38" s="36"/>
      <c r="CW38" s="36"/>
      <c r="CX38" s="37"/>
      <c r="CY38" s="44"/>
      <c r="CZ38" s="36"/>
      <c r="DA38" s="36"/>
      <c r="DB38" s="36"/>
      <c r="DC38" s="36"/>
      <c r="DD38" s="36"/>
      <c r="DE38" s="36"/>
      <c r="DF38" s="36"/>
      <c r="DG38" s="36"/>
      <c r="DH38" s="36"/>
      <c r="DI38" s="36"/>
      <c r="DJ38" s="36"/>
      <c r="DK38" s="36"/>
      <c r="DL38" s="36"/>
      <c r="DM38" s="36"/>
      <c r="DN38" s="36"/>
      <c r="DO38" s="37"/>
      <c r="DP38" s="44"/>
      <c r="DQ38" s="36"/>
      <c r="DR38" s="36"/>
      <c r="DS38" s="36"/>
      <c r="DT38" s="36"/>
      <c r="DU38" s="36"/>
      <c r="DV38" s="36"/>
      <c r="DW38" s="36"/>
      <c r="DX38" s="36"/>
      <c r="DY38" s="36"/>
      <c r="DZ38" s="36"/>
      <c r="EA38" s="36"/>
      <c r="EB38" s="36"/>
      <c r="EC38" s="36"/>
      <c r="ED38" s="36"/>
      <c r="EE38" s="36"/>
      <c r="EF38" s="37"/>
      <c r="EG38" s="44"/>
      <c r="EH38" s="36"/>
      <c r="EI38" s="36"/>
      <c r="EJ38" s="36"/>
      <c r="EK38" s="36"/>
      <c r="EL38" s="36"/>
      <c r="EM38" s="36"/>
      <c r="EN38" s="36"/>
      <c r="EO38" s="36"/>
      <c r="EP38" s="36"/>
      <c r="EQ38" s="36"/>
      <c r="ER38" s="36"/>
      <c r="ES38" s="36"/>
      <c r="ET38" s="36"/>
      <c r="EU38" s="36"/>
      <c r="EV38" s="36"/>
      <c r="EW38" s="37"/>
      <c r="EX38" s="44"/>
      <c r="EY38" s="36"/>
      <c r="EZ38" s="36"/>
      <c r="FA38" s="36"/>
      <c r="FB38" s="36"/>
      <c r="FC38" s="36"/>
      <c r="FD38" s="36"/>
      <c r="FE38" s="36"/>
      <c r="FF38" s="36"/>
      <c r="FG38" s="36"/>
      <c r="FH38" s="36"/>
      <c r="FI38" s="36"/>
      <c r="FJ38" s="36"/>
      <c r="FK38" s="36"/>
      <c r="FL38" s="36"/>
      <c r="FM38" s="36"/>
      <c r="FN38" s="37"/>
      <c r="FO38" s="44"/>
      <c r="FP38" s="36"/>
      <c r="FQ38" s="36"/>
      <c r="FR38" s="36"/>
      <c r="FS38" s="36"/>
      <c r="FT38" s="36"/>
      <c r="FU38" s="36"/>
      <c r="FV38" s="36"/>
      <c r="FW38" s="36"/>
      <c r="FX38" s="36"/>
      <c r="FY38" s="36"/>
      <c r="FZ38" s="36"/>
      <c r="GA38" s="36"/>
      <c r="GB38" s="36"/>
      <c r="GC38" s="36"/>
      <c r="GD38" s="36"/>
      <c r="GE38" s="37"/>
      <c r="GF38" s="44"/>
      <c r="GG38" s="36"/>
      <c r="GH38" s="36"/>
      <c r="GI38" s="36"/>
      <c r="GJ38" s="36"/>
      <c r="GK38" s="36"/>
      <c r="GL38" s="36"/>
      <c r="GM38" s="36"/>
      <c r="GN38" s="36"/>
      <c r="GO38" s="36"/>
      <c r="GP38" s="36"/>
      <c r="GQ38" s="36"/>
      <c r="GR38" s="36"/>
      <c r="GS38" s="36"/>
      <c r="GT38" s="36"/>
      <c r="GU38" s="36"/>
      <c r="GV38" s="37"/>
      <c r="GW38" s="44"/>
      <c r="GX38" s="36"/>
      <c r="GY38" s="36"/>
      <c r="GZ38" s="36"/>
      <c r="HA38" s="36"/>
      <c r="HB38" s="36"/>
      <c r="HC38" s="36"/>
      <c r="HD38" s="36"/>
      <c r="HE38" s="36"/>
      <c r="HF38" s="36"/>
      <c r="HG38" s="36"/>
      <c r="HH38" s="36"/>
      <c r="HI38" s="36"/>
      <c r="HJ38" s="36"/>
      <c r="HK38" s="36"/>
      <c r="HL38" s="36"/>
      <c r="HM38" s="37"/>
      <c r="HN38" s="44"/>
      <c r="HO38" s="36"/>
      <c r="HP38" s="36"/>
      <c r="HQ38" s="36"/>
      <c r="HR38" s="36"/>
      <c r="HS38" s="36"/>
      <c r="HT38" s="36"/>
      <c r="HU38" s="36"/>
      <c r="HV38" s="36"/>
      <c r="HW38" s="36"/>
      <c r="HX38" s="36"/>
      <c r="HY38" s="36"/>
      <c r="HZ38" s="36"/>
      <c r="IA38" s="36"/>
      <c r="IB38" s="36"/>
      <c r="IC38" s="36"/>
      <c r="ID38" s="37"/>
      <c r="IE38" s="44"/>
      <c r="IF38" s="36"/>
      <c r="IG38" s="36"/>
      <c r="IH38" s="36"/>
      <c r="II38" s="36"/>
      <c r="IJ38" s="36"/>
      <c r="IK38" s="36"/>
      <c r="IL38" s="36"/>
      <c r="IM38" s="36"/>
      <c r="IN38" s="36"/>
      <c r="IO38" s="36"/>
      <c r="IP38" s="36"/>
      <c r="IQ38" s="36"/>
      <c r="IR38" s="36"/>
      <c r="IS38" s="36"/>
      <c r="IT38" s="36"/>
      <c r="IU38" s="37"/>
      <c r="IV38" s="44"/>
      <c r="IW38" s="36"/>
      <c r="IX38" s="36"/>
      <c r="IY38" s="36"/>
      <c r="IZ38" s="36"/>
      <c r="JA38" s="36"/>
      <c r="JB38" s="36"/>
      <c r="JC38" s="36"/>
      <c r="JD38" s="36"/>
      <c r="JE38" s="36"/>
      <c r="JF38" s="36"/>
      <c r="JG38" s="36"/>
      <c r="JH38" s="36"/>
      <c r="JI38" s="36"/>
      <c r="JJ38" s="36"/>
      <c r="JK38" s="36"/>
      <c r="JL38" s="37"/>
      <c r="JM38" s="44"/>
      <c r="JN38" s="36"/>
      <c r="JO38" s="36"/>
      <c r="JP38" s="36"/>
      <c r="JQ38" s="36"/>
      <c r="JR38" s="36"/>
      <c r="JS38" s="36"/>
      <c r="JT38" s="36"/>
      <c r="JU38" s="36"/>
      <c r="JV38" s="36"/>
      <c r="JW38" s="36"/>
      <c r="JX38" s="36"/>
      <c r="JY38" s="36"/>
      <c r="JZ38" s="36"/>
      <c r="KA38" s="36"/>
      <c r="KB38" s="36"/>
      <c r="KC38" s="37"/>
      <c r="KD38" s="44"/>
      <c r="KE38" s="36"/>
      <c r="KF38" s="36"/>
      <c r="KG38" s="36"/>
      <c r="KH38" s="36"/>
      <c r="KI38" s="36"/>
      <c r="KJ38" s="36"/>
      <c r="KK38" s="36"/>
      <c r="KL38" s="36"/>
      <c r="KM38" s="36"/>
      <c r="KN38" s="36"/>
      <c r="KO38" s="36"/>
      <c r="KP38" s="36"/>
      <c r="KQ38" s="36"/>
      <c r="KR38" s="36"/>
      <c r="KS38" s="36"/>
      <c r="KT38" s="37"/>
      <c r="KU38" s="36"/>
    </row>
    <row r="39" ht="15.75" customHeight="1">
      <c r="A39" s="44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7"/>
      <c r="R39" s="44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7"/>
      <c r="AI39" s="44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7"/>
      <c r="AZ39" s="44"/>
      <c r="BA39" s="36"/>
      <c r="BB39" s="36"/>
      <c r="BC39" s="36"/>
      <c r="BD39" s="36"/>
      <c r="BE39" s="36"/>
      <c r="BF39" s="36"/>
      <c r="BG39" s="36"/>
      <c r="BH39" s="36"/>
      <c r="BI39" s="36"/>
      <c r="BJ39" s="36"/>
      <c r="BK39" s="36"/>
      <c r="BL39" s="36"/>
      <c r="BM39" s="36"/>
      <c r="BN39" s="36"/>
      <c r="BO39" s="36"/>
      <c r="BP39" s="37"/>
      <c r="BQ39" s="44"/>
      <c r="BR39" s="36"/>
      <c r="BS39" s="36"/>
      <c r="BT39" s="36"/>
      <c r="BU39" s="36"/>
      <c r="BV39" s="36"/>
      <c r="BW39" s="36"/>
      <c r="BX39" s="36"/>
      <c r="BY39" s="36"/>
      <c r="BZ39" s="36"/>
      <c r="CA39" s="36"/>
      <c r="CB39" s="36"/>
      <c r="CC39" s="36"/>
      <c r="CD39" s="36"/>
      <c r="CE39" s="36"/>
      <c r="CF39" s="36"/>
      <c r="CG39" s="37"/>
      <c r="CH39" s="44"/>
      <c r="CI39" s="36"/>
      <c r="CJ39" s="36"/>
      <c r="CK39" s="36"/>
      <c r="CL39" s="36"/>
      <c r="CM39" s="36"/>
      <c r="CN39" s="36"/>
      <c r="CO39" s="36"/>
      <c r="CP39" s="36"/>
      <c r="CQ39" s="36"/>
      <c r="CR39" s="36"/>
      <c r="CS39" s="36"/>
      <c r="CT39" s="36"/>
      <c r="CU39" s="36"/>
      <c r="CV39" s="36"/>
      <c r="CW39" s="36"/>
      <c r="CX39" s="37"/>
      <c r="CY39" s="44"/>
      <c r="CZ39" s="36"/>
      <c r="DA39" s="36"/>
      <c r="DB39" s="36"/>
      <c r="DC39" s="36"/>
      <c r="DD39" s="36"/>
      <c r="DE39" s="36"/>
      <c r="DF39" s="36"/>
      <c r="DG39" s="36"/>
      <c r="DH39" s="36"/>
      <c r="DI39" s="36"/>
      <c r="DJ39" s="36"/>
      <c r="DK39" s="36"/>
      <c r="DL39" s="36"/>
      <c r="DM39" s="36"/>
      <c r="DN39" s="36"/>
      <c r="DO39" s="37"/>
      <c r="DP39" s="44"/>
      <c r="DQ39" s="36"/>
      <c r="DR39" s="36"/>
      <c r="DS39" s="36"/>
      <c r="DT39" s="36"/>
      <c r="DU39" s="36"/>
      <c r="DV39" s="36"/>
      <c r="DW39" s="36"/>
      <c r="DX39" s="36"/>
      <c r="DY39" s="36"/>
      <c r="DZ39" s="36"/>
      <c r="EA39" s="36"/>
      <c r="EB39" s="36"/>
      <c r="EC39" s="36"/>
      <c r="ED39" s="36"/>
      <c r="EE39" s="36"/>
      <c r="EF39" s="37"/>
      <c r="EG39" s="44"/>
      <c r="EH39" s="36"/>
      <c r="EI39" s="36"/>
      <c r="EJ39" s="36"/>
      <c r="EK39" s="36"/>
      <c r="EL39" s="36"/>
      <c r="EM39" s="36"/>
      <c r="EN39" s="36"/>
      <c r="EO39" s="36"/>
      <c r="EP39" s="36"/>
      <c r="EQ39" s="36"/>
      <c r="ER39" s="36"/>
      <c r="ES39" s="36"/>
      <c r="ET39" s="36"/>
      <c r="EU39" s="36"/>
      <c r="EV39" s="36"/>
      <c r="EW39" s="37"/>
      <c r="EX39" s="44"/>
      <c r="EY39" s="36"/>
      <c r="EZ39" s="36"/>
      <c r="FA39" s="36"/>
      <c r="FB39" s="36"/>
      <c r="FC39" s="36"/>
      <c r="FD39" s="36"/>
      <c r="FE39" s="36"/>
      <c r="FF39" s="36"/>
      <c r="FG39" s="36"/>
      <c r="FH39" s="36"/>
      <c r="FI39" s="36"/>
      <c r="FJ39" s="36"/>
      <c r="FK39" s="36"/>
      <c r="FL39" s="36"/>
      <c r="FM39" s="36"/>
      <c r="FN39" s="37"/>
      <c r="FO39" s="44"/>
      <c r="FP39" s="36"/>
      <c r="FQ39" s="36"/>
      <c r="FR39" s="36"/>
      <c r="FS39" s="36"/>
      <c r="FT39" s="36"/>
      <c r="FU39" s="36"/>
      <c r="FV39" s="36"/>
      <c r="FW39" s="36"/>
      <c r="FX39" s="36"/>
      <c r="FY39" s="36"/>
      <c r="FZ39" s="36"/>
      <c r="GA39" s="36"/>
      <c r="GB39" s="36"/>
      <c r="GC39" s="36"/>
      <c r="GD39" s="36"/>
      <c r="GE39" s="37"/>
      <c r="GF39" s="44"/>
      <c r="GG39" s="36"/>
      <c r="GH39" s="36"/>
      <c r="GI39" s="36"/>
      <c r="GJ39" s="36"/>
      <c r="GK39" s="36"/>
      <c r="GL39" s="36"/>
      <c r="GM39" s="36"/>
      <c r="GN39" s="36"/>
      <c r="GO39" s="36"/>
      <c r="GP39" s="36"/>
      <c r="GQ39" s="36"/>
      <c r="GR39" s="36"/>
      <c r="GS39" s="36"/>
      <c r="GT39" s="36"/>
      <c r="GU39" s="36"/>
      <c r="GV39" s="37"/>
      <c r="GW39" s="44"/>
      <c r="GX39" s="36"/>
      <c r="GY39" s="36"/>
      <c r="GZ39" s="36"/>
      <c r="HA39" s="36"/>
      <c r="HB39" s="36"/>
      <c r="HC39" s="36"/>
      <c r="HD39" s="36"/>
      <c r="HE39" s="36"/>
      <c r="HF39" s="36"/>
      <c r="HG39" s="36"/>
      <c r="HH39" s="36"/>
      <c r="HI39" s="36"/>
      <c r="HJ39" s="36"/>
      <c r="HK39" s="36"/>
      <c r="HL39" s="36"/>
      <c r="HM39" s="37"/>
      <c r="HN39" s="44"/>
      <c r="HO39" s="36"/>
      <c r="HP39" s="36"/>
      <c r="HQ39" s="36"/>
      <c r="HR39" s="36"/>
      <c r="HS39" s="36"/>
      <c r="HT39" s="36"/>
      <c r="HU39" s="36"/>
      <c r="HV39" s="36"/>
      <c r="HW39" s="36"/>
      <c r="HX39" s="36"/>
      <c r="HY39" s="36"/>
      <c r="HZ39" s="36"/>
      <c r="IA39" s="36"/>
      <c r="IB39" s="36"/>
      <c r="IC39" s="36"/>
      <c r="ID39" s="37"/>
      <c r="IE39" s="44"/>
      <c r="IF39" s="36"/>
      <c r="IG39" s="36"/>
      <c r="IH39" s="36"/>
      <c r="II39" s="36"/>
      <c r="IJ39" s="36"/>
      <c r="IK39" s="36"/>
      <c r="IL39" s="36"/>
      <c r="IM39" s="36"/>
      <c r="IN39" s="36"/>
      <c r="IO39" s="36"/>
      <c r="IP39" s="36"/>
      <c r="IQ39" s="36"/>
      <c r="IR39" s="36"/>
      <c r="IS39" s="36"/>
      <c r="IT39" s="36"/>
      <c r="IU39" s="37"/>
      <c r="IV39" s="44"/>
      <c r="IW39" s="36"/>
      <c r="IX39" s="36"/>
      <c r="IY39" s="36"/>
      <c r="IZ39" s="36"/>
      <c r="JA39" s="36"/>
      <c r="JB39" s="36"/>
      <c r="JC39" s="36"/>
      <c r="JD39" s="36"/>
      <c r="JE39" s="36"/>
      <c r="JF39" s="36"/>
      <c r="JG39" s="36"/>
      <c r="JH39" s="36"/>
      <c r="JI39" s="36"/>
      <c r="JJ39" s="36"/>
      <c r="JK39" s="36"/>
      <c r="JL39" s="37"/>
      <c r="JM39" s="44"/>
      <c r="JN39" s="36"/>
      <c r="JO39" s="36"/>
      <c r="JP39" s="36"/>
      <c r="JQ39" s="36"/>
      <c r="JR39" s="36"/>
      <c r="JS39" s="36"/>
      <c r="JT39" s="36"/>
      <c r="JU39" s="36"/>
      <c r="JV39" s="36"/>
      <c r="JW39" s="36"/>
      <c r="JX39" s="36"/>
      <c r="JY39" s="36"/>
      <c r="JZ39" s="36"/>
      <c r="KA39" s="36"/>
      <c r="KB39" s="36"/>
      <c r="KC39" s="37"/>
      <c r="KD39" s="44"/>
      <c r="KE39" s="36"/>
      <c r="KF39" s="36"/>
      <c r="KG39" s="36"/>
      <c r="KH39" s="36"/>
      <c r="KI39" s="36"/>
      <c r="KJ39" s="36"/>
      <c r="KK39" s="36"/>
      <c r="KL39" s="36"/>
      <c r="KM39" s="36"/>
      <c r="KN39" s="36"/>
      <c r="KO39" s="36"/>
      <c r="KP39" s="36"/>
      <c r="KQ39" s="36"/>
      <c r="KR39" s="36"/>
      <c r="KS39" s="36"/>
      <c r="KT39" s="37"/>
      <c r="KU39" s="36"/>
    </row>
    <row r="40" ht="15.0" customHeight="1">
      <c r="A40" s="122"/>
      <c r="B40" s="123" t="s">
        <v>24</v>
      </c>
      <c r="C40" s="123" t="str">
        <f>ADHK!C40</f>
        <v>: Provinsi Sulawesi Tenggara</v>
      </c>
      <c r="D40" s="123"/>
      <c r="E40" s="123"/>
      <c r="F40" s="123"/>
      <c r="G40" s="123" t="s">
        <v>25</v>
      </c>
      <c r="H40" s="123"/>
      <c r="I40" s="124"/>
      <c r="J40" s="125"/>
      <c r="K40" s="125"/>
      <c r="L40" s="125"/>
      <c r="M40" s="125"/>
      <c r="N40" s="125"/>
      <c r="O40" s="125"/>
      <c r="P40" s="49" t="s">
        <v>26</v>
      </c>
      <c r="Q40" s="126"/>
      <c r="R40" s="122"/>
      <c r="S40" s="123" t="s">
        <v>24</v>
      </c>
      <c r="T40" s="123" t="str">
        <f t="shared" ref="T40:T43" si="540">C40</f>
        <v>: Provinsi Sulawesi Tenggara</v>
      </c>
      <c r="U40" s="123"/>
      <c r="V40" s="123"/>
      <c r="W40" s="123"/>
      <c r="X40" s="123" t="s">
        <v>25</v>
      </c>
      <c r="Y40" s="123"/>
      <c r="Z40" s="124"/>
      <c r="AA40" s="125"/>
      <c r="AB40" s="125"/>
      <c r="AC40" s="125"/>
      <c r="AD40" s="125"/>
      <c r="AE40" s="125"/>
      <c r="AF40" s="125"/>
      <c r="AG40" s="49" t="s">
        <v>26</v>
      </c>
      <c r="AH40" s="126"/>
      <c r="AI40" s="122"/>
      <c r="AJ40" s="123" t="s">
        <v>24</v>
      </c>
      <c r="AK40" s="123" t="str">
        <f t="shared" ref="AK40:AK43" si="541">T40</f>
        <v>: Provinsi Sulawesi Tenggara</v>
      </c>
      <c r="AL40" s="123"/>
      <c r="AM40" s="123"/>
      <c r="AN40" s="123"/>
      <c r="AO40" s="123" t="s">
        <v>25</v>
      </c>
      <c r="AP40" s="123"/>
      <c r="AQ40" s="124"/>
      <c r="AR40" s="125"/>
      <c r="AS40" s="125"/>
      <c r="AT40" s="125"/>
      <c r="AU40" s="125"/>
      <c r="AV40" s="125"/>
      <c r="AW40" s="125"/>
      <c r="AX40" s="49" t="s">
        <v>26</v>
      </c>
      <c r="AY40" s="126"/>
      <c r="AZ40" s="122"/>
      <c r="BA40" s="123" t="s">
        <v>24</v>
      </c>
      <c r="BB40" s="123" t="str">
        <f t="shared" ref="BB40:BB43" si="542">AK40</f>
        <v>: Provinsi Sulawesi Tenggara</v>
      </c>
      <c r="BC40" s="123"/>
      <c r="BD40" s="123"/>
      <c r="BE40" s="123"/>
      <c r="BF40" s="123" t="s">
        <v>25</v>
      </c>
      <c r="BG40" s="123"/>
      <c r="BH40" s="124"/>
      <c r="BI40" s="125"/>
      <c r="BJ40" s="125"/>
      <c r="BK40" s="125"/>
      <c r="BL40" s="125"/>
      <c r="BM40" s="125"/>
      <c r="BN40" s="125"/>
      <c r="BO40" s="49" t="s">
        <v>26</v>
      </c>
      <c r="BP40" s="126"/>
      <c r="BQ40" s="122"/>
      <c r="BR40" s="123" t="s">
        <v>24</v>
      </c>
      <c r="BS40" s="123" t="str">
        <f t="shared" ref="BS40:BS43" si="543">BB40</f>
        <v>: Provinsi Sulawesi Tenggara</v>
      </c>
      <c r="BT40" s="123"/>
      <c r="BU40" s="123"/>
      <c r="BV40" s="123"/>
      <c r="BW40" s="123" t="s">
        <v>25</v>
      </c>
      <c r="BX40" s="123"/>
      <c r="BY40" s="124"/>
      <c r="BZ40" s="125"/>
      <c r="CA40" s="125"/>
      <c r="CB40" s="125"/>
      <c r="CC40" s="125"/>
      <c r="CD40" s="125"/>
      <c r="CE40" s="125"/>
      <c r="CF40" s="49" t="s">
        <v>26</v>
      </c>
      <c r="CG40" s="126"/>
      <c r="CH40" s="122"/>
      <c r="CI40" s="123" t="s">
        <v>24</v>
      </c>
      <c r="CJ40" s="123" t="str">
        <f t="shared" ref="CJ40:CJ43" si="544">BS40</f>
        <v>: Provinsi Sulawesi Tenggara</v>
      </c>
      <c r="CK40" s="123"/>
      <c r="CL40" s="123"/>
      <c r="CM40" s="123"/>
      <c r="CN40" s="123" t="s">
        <v>25</v>
      </c>
      <c r="CO40" s="123"/>
      <c r="CP40" s="124"/>
      <c r="CQ40" s="125"/>
      <c r="CR40" s="125"/>
      <c r="CS40" s="125"/>
      <c r="CT40" s="125"/>
      <c r="CU40" s="125"/>
      <c r="CV40" s="125"/>
      <c r="CW40" s="49" t="s">
        <v>26</v>
      </c>
      <c r="CX40" s="126"/>
      <c r="CY40" s="122"/>
      <c r="CZ40" s="123" t="s">
        <v>24</v>
      </c>
      <c r="DA40" s="123" t="str">
        <f t="shared" ref="DA40:DA43" si="545">CJ40</f>
        <v>: Provinsi Sulawesi Tenggara</v>
      </c>
      <c r="DB40" s="123"/>
      <c r="DC40" s="123"/>
      <c r="DD40" s="123"/>
      <c r="DE40" s="123" t="s">
        <v>25</v>
      </c>
      <c r="DF40" s="123"/>
      <c r="DG40" s="124"/>
      <c r="DH40" s="125"/>
      <c r="DI40" s="125"/>
      <c r="DJ40" s="125"/>
      <c r="DK40" s="125"/>
      <c r="DL40" s="125"/>
      <c r="DM40" s="125"/>
      <c r="DN40" s="49" t="s">
        <v>26</v>
      </c>
      <c r="DO40" s="126"/>
      <c r="DP40" s="122"/>
      <c r="DQ40" s="123" t="s">
        <v>24</v>
      </c>
      <c r="DR40" s="123" t="str">
        <f t="shared" ref="DR40:DR43" si="546">DA40</f>
        <v>: Provinsi Sulawesi Tenggara</v>
      </c>
      <c r="DS40" s="123"/>
      <c r="DT40" s="123"/>
      <c r="DU40" s="123"/>
      <c r="DV40" s="123" t="s">
        <v>25</v>
      </c>
      <c r="DW40" s="123"/>
      <c r="DX40" s="124"/>
      <c r="DY40" s="125"/>
      <c r="DZ40" s="125"/>
      <c r="EA40" s="125"/>
      <c r="EB40" s="125"/>
      <c r="EC40" s="125"/>
      <c r="ED40" s="125"/>
      <c r="EE40" s="49" t="s">
        <v>26</v>
      </c>
      <c r="EF40" s="126"/>
      <c r="EG40" s="122"/>
      <c r="EH40" s="123" t="s">
        <v>24</v>
      </c>
      <c r="EI40" s="123" t="str">
        <f t="shared" ref="EI40:EI43" si="547">DR40</f>
        <v>: Provinsi Sulawesi Tenggara</v>
      </c>
      <c r="EJ40" s="123"/>
      <c r="EK40" s="123"/>
      <c r="EL40" s="123"/>
      <c r="EM40" s="123" t="s">
        <v>25</v>
      </c>
      <c r="EN40" s="123"/>
      <c r="EO40" s="124"/>
      <c r="EP40" s="125"/>
      <c r="EQ40" s="125"/>
      <c r="ER40" s="125"/>
      <c r="ES40" s="125"/>
      <c r="ET40" s="125"/>
      <c r="EU40" s="125"/>
      <c r="EV40" s="49" t="s">
        <v>26</v>
      </c>
      <c r="EW40" s="126"/>
      <c r="EX40" s="122"/>
      <c r="EY40" s="123" t="s">
        <v>24</v>
      </c>
      <c r="EZ40" s="123" t="str">
        <f t="shared" ref="EZ40:EZ43" si="548">EI40</f>
        <v>: Provinsi Sulawesi Tenggara</v>
      </c>
      <c r="FA40" s="123"/>
      <c r="FB40" s="123"/>
      <c r="FC40" s="123"/>
      <c r="FD40" s="123" t="s">
        <v>25</v>
      </c>
      <c r="FE40" s="123"/>
      <c r="FF40" s="124"/>
      <c r="FG40" s="125"/>
      <c r="FH40" s="125"/>
      <c r="FI40" s="125"/>
      <c r="FJ40" s="125"/>
      <c r="FK40" s="125"/>
      <c r="FL40" s="125"/>
      <c r="FM40" s="49" t="s">
        <v>26</v>
      </c>
      <c r="FN40" s="126"/>
      <c r="FO40" s="122"/>
      <c r="FP40" s="123" t="s">
        <v>24</v>
      </c>
      <c r="FQ40" s="123" t="str">
        <f t="shared" ref="FQ40:FQ43" si="549">EZ40</f>
        <v>: Provinsi Sulawesi Tenggara</v>
      </c>
      <c r="FR40" s="123"/>
      <c r="FS40" s="123"/>
      <c r="FT40" s="123"/>
      <c r="FU40" s="123" t="s">
        <v>25</v>
      </c>
      <c r="FV40" s="123"/>
      <c r="FW40" s="124"/>
      <c r="FX40" s="125"/>
      <c r="FY40" s="125"/>
      <c r="FZ40" s="125"/>
      <c r="GA40" s="125"/>
      <c r="GB40" s="125"/>
      <c r="GC40" s="125"/>
      <c r="GD40" s="49" t="s">
        <v>26</v>
      </c>
      <c r="GE40" s="126"/>
      <c r="GF40" s="122"/>
      <c r="GG40" s="123" t="s">
        <v>24</v>
      </c>
      <c r="GH40" s="123" t="str">
        <f t="shared" ref="GH40:GH43" si="550">FQ40</f>
        <v>: Provinsi Sulawesi Tenggara</v>
      </c>
      <c r="GI40" s="123"/>
      <c r="GJ40" s="123"/>
      <c r="GK40" s="123"/>
      <c r="GL40" s="123" t="s">
        <v>25</v>
      </c>
      <c r="GM40" s="123"/>
      <c r="GN40" s="124"/>
      <c r="GO40" s="125"/>
      <c r="GP40" s="125"/>
      <c r="GQ40" s="125"/>
      <c r="GR40" s="125"/>
      <c r="GS40" s="125"/>
      <c r="GT40" s="125"/>
      <c r="GU40" s="49" t="s">
        <v>26</v>
      </c>
      <c r="GV40" s="126"/>
      <c r="GW40" s="122"/>
      <c r="GX40" s="123" t="s">
        <v>24</v>
      </c>
      <c r="GY40" s="123" t="str">
        <f t="shared" ref="GY40:GY43" si="551">GH40</f>
        <v>: Provinsi Sulawesi Tenggara</v>
      </c>
      <c r="GZ40" s="123"/>
      <c r="HA40" s="123"/>
      <c r="HB40" s="123"/>
      <c r="HC40" s="123" t="s">
        <v>25</v>
      </c>
      <c r="HD40" s="123"/>
      <c r="HE40" s="124"/>
      <c r="HF40" s="125"/>
      <c r="HG40" s="125"/>
      <c r="HH40" s="125"/>
      <c r="HI40" s="125"/>
      <c r="HJ40" s="125"/>
      <c r="HK40" s="125"/>
      <c r="HL40" s="49" t="s">
        <v>26</v>
      </c>
      <c r="HM40" s="126"/>
      <c r="HN40" s="122"/>
      <c r="HO40" s="123" t="s">
        <v>24</v>
      </c>
      <c r="HP40" s="123" t="str">
        <f t="shared" ref="HP40:HP43" si="552">GY40</f>
        <v>: Provinsi Sulawesi Tenggara</v>
      </c>
      <c r="HQ40" s="123"/>
      <c r="HR40" s="123"/>
      <c r="HS40" s="123"/>
      <c r="HT40" s="123" t="s">
        <v>25</v>
      </c>
      <c r="HU40" s="123"/>
      <c r="HV40" s="124"/>
      <c r="HW40" s="125"/>
      <c r="HX40" s="125"/>
      <c r="HY40" s="125"/>
      <c r="HZ40" s="125"/>
      <c r="IA40" s="125"/>
      <c r="IB40" s="125"/>
      <c r="IC40" s="49" t="s">
        <v>26</v>
      </c>
      <c r="ID40" s="126"/>
      <c r="IE40" s="122"/>
      <c r="IF40" s="123" t="s">
        <v>24</v>
      </c>
      <c r="IG40" s="123" t="str">
        <f t="shared" ref="IG40:IG43" si="553">HP40</f>
        <v>: Provinsi Sulawesi Tenggara</v>
      </c>
      <c r="IH40" s="123"/>
      <c r="II40" s="123"/>
      <c r="IJ40" s="123"/>
      <c r="IK40" s="123" t="s">
        <v>25</v>
      </c>
      <c r="IL40" s="123"/>
      <c r="IM40" s="124"/>
      <c r="IN40" s="125"/>
      <c r="IO40" s="125"/>
      <c r="IP40" s="125"/>
      <c r="IQ40" s="125"/>
      <c r="IR40" s="125"/>
      <c r="IS40" s="125"/>
      <c r="IT40" s="49" t="s">
        <v>26</v>
      </c>
      <c r="IU40" s="126"/>
      <c r="IV40" s="122"/>
      <c r="IW40" s="123" t="s">
        <v>24</v>
      </c>
      <c r="IX40" s="123" t="str">
        <f t="shared" ref="IX40:IX43" si="554">IG40</f>
        <v>: Provinsi Sulawesi Tenggara</v>
      </c>
      <c r="IY40" s="123"/>
      <c r="IZ40" s="123"/>
      <c r="JA40" s="123"/>
      <c r="JB40" s="123" t="s">
        <v>25</v>
      </c>
      <c r="JC40" s="123"/>
      <c r="JD40" s="124"/>
      <c r="JE40" s="125"/>
      <c r="JF40" s="125"/>
      <c r="JG40" s="125"/>
      <c r="JH40" s="125"/>
      <c r="JI40" s="125"/>
      <c r="JJ40" s="125"/>
      <c r="JK40" s="49" t="s">
        <v>26</v>
      </c>
      <c r="JL40" s="127"/>
      <c r="JM40" s="122"/>
      <c r="JN40" s="123" t="s">
        <v>24</v>
      </c>
      <c r="JO40" s="123" t="str">
        <f t="shared" ref="JO40:JO43" si="555">IX40</f>
        <v>: Provinsi Sulawesi Tenggara</v>
      </c>
      <c r="JP40" s="123"/>
      <c r="JQ40" s="123"/>
      <c r="JR40" s="123"/>
      <c r="JS40" s="123" t="s">
        <v>25</v>
      </c>
      <c r="JT40" s="123"/>
      <c r="JU40" s="124"/>
      <c r="JV40" s="125"/>
      <c r="JW40" s="125"/>
      <c r="JX40" s="125"/>
      <c r="JY40" s="125"/>
      <c r="JZ40" s="125"/>
      <c r="KA40" s="125"/>
      <c r="KB40" s="49" t="s">
        <v>26</v>
      </c>
      <c r="KC40" s="127"/>
      <c r="KD40" s="122"/>
      <c r="KE40" s="123" t="s">
        <v>24</v>
      </c>
      <c r="KF40" s="123" t="str">
        <f t="shared" ref="KF40:KF43" si="556">JO40</f>
        <v>: Provinsi Sulawesi Tenggara</v>
      </c>
      <c r="KG40" s="123"/>
      <c r="KH40" s="123"/>
      <c r="KI40" s="123"/>
      <c r="KJ40" s="123" t="s">
        <v>25</v>
      </c>
      <c r="KK40" s="123"/>
      <c r="KL40" s="124"/>
      <c r="KM40" s="125"/>
      <c r="KN40" s="125"/>
      <c r="KO40" s="125"/>
      <c r="KP40" s="125"/>
      <c r="KQ40" s="125"/>
      <c r="KR40" s="125"/>
      <c r="KS40" s="49" t="s">
        <v>26</v>
      </c>
      <c r="KT40" s="127"/>
      <c r="KU40" s="125"/>
    </row>
    <row r="41" ht="15.0" customHeight="1">
      <c r="A41" s="128"/>
      <c r="B41" s="129" t="s">
        <v>27</v>
      </c>
      <c r="C41" s="129" t="str">
        <f>ADHK!C41</f>
        <v>: Pertambangan dan Penggalian    </v>
      </c>
      <c r="D41" s="129"/>
      <c r="E41" s="129"/>
      <c r="F41" s="129"/>
      <c r="G41" s="129" t="s">
        <v>28</v>
      </c>
      <c r="H41" s="129"/>
      <c r="I41" s="130"/>
      <c r="J41" s="125"/>
      <c r="K41" s="125"/>
      <c r="L41" s="125"/>
      <c r="M41" s="125"/>
      <c r="N41" s="125"/>
      <c r="O41" s="125"/>
      <c r="P41" s="55"/>
      <c r="Q41" s="126"/>
      <c r="R41" s="128"/>
      <c r="S41" s="129" t="s">
        <v>27</v>
      </c>
      <c r="T41" s="129" t="str">
        <f t="shared" si="540"/>
        <v>: Pertambangan dan Penggalian    </v>
      </c>
      <c r="U41" s="129"/>
      <c r="V41" s="129"/>
      <c r="W41" s="129"/>
      <c r="X41" s="129" t="s">
        <v>28</v>
      </c>
      <c r="Y41" s="129"/>
      <c r="Z41" s="130"/>
      <c r="AA41" s="125"/>
      <c r="AB41" s="125"/>
      <c r="AC41" s="125"/>
      <c r="AD41" s="125"/>
      <c r="AE41" s="125"/>
      <c r="AF41" s="125"/>
      <c r="AG41" s="55"/>
      <c r="AH41" s="126"/>
      <c r="AI41" s="128"/>
      <c r="AJ41" s="129" t="s">
        <v>27</v>
      </c>
      <c r="AK41" s="129" t="str">
        <f t="shared" si="541"/>
        <v>: Pertambangan dan Penggalian    </v>
      </c>
      <c r="AL41" s="129"/>
      <c r="AM41" s="129"/>
      <c r="AN41" s="129"/>
      <c r="AO41" s="129" t="s">
        <v>28</v>
      </c>
      <c r="AP41" s="129"/>
      <c r="AQ41" s="130"/>
      <c r="AR41" s="125"/>
      <c r="AS41" s="125"/>
      <c r="AT41" s="125"/>
      <c r="AU41" s="125"/>
      <c r="AV41" s="125"/>
      <c r="AW41" s="125"/>
      <c r="AX41" s="55"/>
      <c r="AY41" s="126"/>
      <c r="AZ41" s="128"/>
      <c r="BA41" s="129" t="s">
        <v>27</v>
      </c>
      <c r="BB41" s="129" t="str">
        <f t="shared" si="542"/>
        <v>: Pertambangan dan Penggalian    </v>
      </c>
      <c r="BC41" s="129"/>
      <c r="BD41" s="129"/>
      <c r="BE41" s="129"/>
      <c r="BF41" s="129" t="s">
        <v>28</v>
      </c>
      <c r="BG41" s="129"/>
      <c r="BH41" s="130"/>
      <c r="BI41" s="125"/>
      <c r="BJ41" s="125"/>
      <c r="BK41" s="125"/>
      <c r="BL41" s="125"/>
      <c r="BM41" s="125"/>
      <c r="BN41" s="125"/>
      <c r="BO41" s="55"/>
      <c r="BP41" s="126"/>
      <c r="BQ41" s="128"/>
      <c r="BR41" s="129" t="s">
        <v>27</v>
      </c>
      <c r="BS41" s="129" t="str">
        <f t="shared" si="543"/>
        <v>: Pertambangan dan Penggalian    </v>
      </c>
      <c r="BT41" s="129"/>
      <c r="BU41" s="129"/>
      <c r="BV41" s="129"/>
      <c r="BW41" s="129" t="s">
        <v>28</v>
      </c>
      <c r="BX41" s="129"/>
      <c r="BY41" s="130"/>
      <c r="BZ41" s="125"/>
      <c r="CA41" s="125"/>
      <c r="CB41" s="125"/>
      <c r="CC41" s="125"/>
      <c r="CD41" s="125"/>
      <c r="CE41" s="125"/>
      <c r="CF41" s="55"/>
      <c r="CG41" s="126"/>
      <c r="CH41" s="128"/>
      <c r="CI41" s="129" t="s">
        <v>27</v>
      </c>
      <c r="CJ41" s="129" t="str">
        <f t="shared" si="544"/>
        <v>: Pertambangan dan Penggalian    </v>
      </c>
      <c r="CK41" s="129"/>
      <c r="CL41" s="129"/>
      <c r="CM41" s="129"/>
      <c r="CN41" s="129" t="s">
        <v>28</v>
      </c>
      <c r="CO41" s="129"/>
      <c r="CP41" s="130"/>
      <c r="CQ41" s="125"/>
      <c r="CR41" s="125"/>
      <c r="CS41" s="125"/>
      <c r="CT41" s="125"/>
      <c r="CU41" s="125"/>
      <c r="CV41" s="125"/>
      <c r="CW41" s="55"/>
      <c r="CX41" s="126"/>
      <c r="CY41" s="128"/>
      <c r="CZ41" s="129" t="s">
        <v>27</v>
      </c>
      <c r="DA41" s="129" t="str">
        <f t="shared" si="545"/>
        <v>: Pertambangan dan Penggalian    </v>
      </c>
      <c r="DB41" s="129"/>
      <c r="DC41" s="129"/>
      <c r="DD41" s="129"/>
      <c r="DE41" s="129" t="s">
        <v>28</v>
      </c>
      <c r="DF41" s="129"/>
      <c r="DG41" s="130"/>
      <c r="DH41" s="125"/>
      <c r="DI41" s="125"/>
      <c r="DJ41" s="125"/>
      <c r="DK41" s="125"/>
      <c r="DL41" s="125"/>
      <c r="DM41" s="125"/>
      <c r="DN41" s="55"/>
      <c r="DO41" s="126"/>
      <c r="DP41" s="128"/>
      <c r="DQ41" s="129" t="s">
        <v>27</v>
      </c>
      <c r="DR41" s="129" t="str">
        <f t="shared" si="546"/>
        <v>: Pertambangan dan Penggalian    </v>
      </c>
      <c r="DS41" s="129"/>
      <c r="DT41" s="129"/>
      <c r="DU41" s="129"/>
      <c r="DV41" s="129" t="s">
        <v>28</v>
      </c>
      <c r="DW41" s="129"/>
      <c r="DX41" s="130"/>
      <c r="DY41" s="125"/>
      <c r="DZ41" s="125"/>
      <c r="EA41" s="125"/>
      <c r="EB41" s="125"/>
      <c r="EC41" s="125"/>
      <c r="ED41" s="125"/>
      <c r="EE41" s="55"/>
      <c r="EF41" s="126"/>
      <c r="EG41" s="128"/>
      <c r="EH41" s="129" t="s">
        <v>27</v>
      </c>
      <c r="EI41" s="129" t="str">
        <f t="shared" si="547"/>
        <v>: Pertambangan dan Penggalian    </v>
      </c>
      <c r="EJ41" s="129"/>
      <c r="EK41" s="129"/>
      <c r="EL41" s="129"/>
      <c r="EM41" s="129" t="s">
        <v>28</v>
      </c>
      <c r="EN41" s="129"/>
      <c r="EO41" s="130"/>
      <c r="EP41" s="125"/>
      <c r="EQ41" s="125"/>
      <c r="ER41" s="125"/>
      <c r="ES41" s="125"/>
      <c r="ET41" s="125"/>
      <c r="EU41" s="125"/>
      <c r="EV41" s="55"/>
      <c r="EW41" s="126"/>
      <c r="EX41" s="128"/>
      <c r="EY41" s="129" t="s">
        <v>27</v>
      </c>
      <c r="EZ41" s="129" t="str">
        <f t="shared" si="548"/>
        <v>: Pertambangan dan Penggalian    </v>
      </c>
      <c r="FA41" s="129"/>
      <c r="FB41" s="129"/>
      <c r="FC41" s="129"/>
      <c r="FD41" s="129" t="s">
        <v>28</v>
      </c>
      <c r="FE41" s="129"/>
      <c r="FF41" s="130"/>
      <c r="FG41" s="125"/>
      <c r="FH41" s="125"/>
      <c r="FI41" s="125"/>
      <c r="FJ41" s="125"/>
      <c r="FK41" s="125"/>
      <c r="FL41" s="125"/>
      <c r="FM41" s="55"/>
      <c r="FN41" s="126"/>
      <c r="FO41" s="128"/>
      <c r="FP41" s="129" t="s">
        <v>27</v>
      </c>
      <c r="FQ41" s="129" t="str">
        <f t="shared" si="549"/>
        <v>: Pertambangan dan Penggalian    </v>
      </c>
      <c r="FR41" s="129"/>
      <c r="FS41" s="129"/>
      <c r="FT41" s="129"/>
      <c r="FU41" s="129" t="s">
        <v>28</v>
      </c>
      <c r="FV41" s="129"/>
      <c r="FW41" s="130"/>
      <c r="FX41" s="125"/>
      <c r="FY41" s="125"/>
      <c r="FZ41" s="125"/>
      <c r="GA41" s="125"/>
      <c r="GB41" s="125"/>
      <c r="GC41" s="125"/>
      <c r="GD41" s="55"/>
      <c r="GE41" s="126"/>
      <c r="GF41" s="128"/>
      <c r="GG41" s="129" t="s">
        <v>27</v>
      </c>
      <c r="GH41" s="129" t="str">
        <f t="shared" si="550"/>
        <v>: Pertambangan dan Penggalian    </v>
      </c>
      <c r="GI41" s="129"/>
      <c r="GJ41" s="129"/>
      <c r="GK41" s="129"/>
      <c r="GL41" s="129" t="s">
        <v>28</v>
      </c>
      <c r="GM41" s="129"/>
      <c r="GN41" s="130"/>
      <c r="GO41" s="125"/>
      <c r="GP41" s="125"/>
      <c r="GQ41" s="125"/>
      <c r="GR41" s="125"/>
      <c r="GS41" s="125"/>
      <c r="GT41" s="125"/>
      <c r="GU41" s="55"/>
      <c r="GV41" s="126"/>
      <c r="GW41" s="128"/>
      <c r="GX41" s="129" t="s">
        <v>27</v>
      </c>
      <c r="GY41" s="129" t="str">
        <f t="shared" si="551"/>
        <v>: Pertambangan dan Penggalian    </v>
      </c>
      <c r="GZ41" s="129"/>
      <c r="HA41" s="129"/>
      <c r="HB41" s="129"/>
      <c r="HC41" s="129" t="s">
        <v>28</v>
      </c>
      <c r="HD41" s="129"/>
      <c r="HE41" s="130"/>
      <c r="HF41" s="125"/>
      <c r="HG41" s="125"/>
      <c r="HH41" s="125"/>
      <c r="HI41" s="125"/>
      <c r="HJ41" s="125"/>
      <c r="HK41" s="125"/>
      <c r="HL41" s="55"/>
      <c r="HM41" s="126"/>
      <c r="HN41" s="128"/>
      <c r="HO41" s="129" t="s">
        <v>27</v>
      </c>
      <c r="HP41" s="129" t="str">
        <f t="shared" si="552"/>
        <v>: Pertambangan dan Penggalian    </v>
      </c>
      <c r="HQ41" s="129"/>
      <c r="HR41" s="129"/>
      <c r="HS41" s="129"/>
      <c r="HT41" s="129" t="s">
        <v>28</v>
      </c>
      <c r="HU41" s="129"/>
      <c r="HV41" s="130"/>
      <c r="HW41" s="125"/>
      <c r="HX41" s="125"/>
      <c r="HY41" s="125"/>
      <c r="HZ41" s="125"/>
      <c r="IA41" s="125"/>
      <c r="IB41" s="125"/>
      <c r="IC41" s="55"/>
      <c r="ID41" s="126"/>
      <c r="IE41" s="128"/>
      <c r="IF41" s="129" t="s">
        <v>27</v>
      </c>
      <c r="IG41" s="129" t="str">
        <f t="shared" si="553"/>
        <v>: Pertambangan dan Penggalian    </v>
      </c>
      <c r="IH41" s="129"/>
      <c r="II41" s="129"/>
      <c r="IJ41" s="129"/>
      <c r="IK41" s="129" t="s">
        <v>28</v>
      </c>
      <c r="IL41" s="129"/>
      <c r="IM41" s="130"/>
      <c r="IN41" s="125"/>
      <c r="IO41" s="125"/>
      <c r="IP41" s="125"/>
      <c r="IQ41" s="125"/>
      <c r="IR41" s="125"/>
      <c r="IS41" s="125"/>
      <c r="IT41" s="55"/>
      <c r="IU41" s="126"/>
      <c r="IV41" s="128"/>
      <c r="IW41" s="129" t="s">
        <v>27</v>
      </c>
      <c r="IX41" s="129" t="str">
        <f t="shared" si="554"/>
        <v>: Pertambangan dan Penggalian    </v>
      </c>
      <c r="IY41" s="129"/>
      <c r="IZ41" s="129"/>
      <c r="JA41" s="129"/>
      <c r="JB41" s="129" t="s">
        <v>28</v>
      </c>
      <c r="JC41" s="129"/>
      <c r="JD41" s="130"/>
      <c r="JE41" s="125"/>
      <c r="JF41" s="125"/>
      <c r="JG41" s="125"/>
      <c r="JH41" s="125"/>
      <c r="JI41" s="125"/>
      <c r="JJ41" s="125"/>
      <c r="JK41" s="55"/>
      <c r="JL41" s="127"/>
      <c r="JM41" s="128"/>
      <c r="JN41" s="129" t="s">
        <v>27</v>
      </c>
      <c r="JO41" s="129" t="str">
        <f t="shared" si="555"/>
        <v>: Pertambangan dan Penggalian    </v>
      </c>
      <c r="JP41" s="129"/>
      <c r="JQ41" s="129"/>
      <c r="JR41" s="129"/>
      <c r="JS41" s="129" t="s">
        <v>28</v>
      </c>
      <c r="JT41" s="129"/>
      <c r="JU41" s="130"/>
      <c r="JV41" s="125"/>
      <c r="JW41" s="125"/>
      <c r="JX41" s="125"/>
      <c r="JY41" s="125"/>
      <c r="JZ41" s="125"/>
      <c r="KA41" s="125"/>
      <c r="KB41" s="55"/>
      <c r="KC41" s="127"/>
      <c r="KD41" s="128"/>
      <c r="KE41" s="129" t="s">
        <v>27</v>
      </c>
      <c r="KF41" s="129" t="str">
        <f t="shared" si="556"/>
        <v>: Pertambangan dan Penggalian    </v>
      </c>
      <c r="KG41" s="129"/>
      <c r="KH41" s="129"/>
      <c r="KI41" s="129"/>
      <c r="KJ41" s="129" t="s">
        <v>28</v>
      </c>
      <c r="KK41" s="129"/>
      <c r="KL41" s="130"/>
      <c r="KM41" s="125"/>
      <c r="KN41" s="125"/>
      <c r="KO41" s="125"/>
      <c r="KP41" s="125"/>
      <c r="KQ41" s="125"/>
      <c r="KR41" s="125"/>
      <c r="KS41" s="55"/>
      <c r="KT41" s="127"/>
      <c r="KU41" s="125"/>
    </row>
    <row r="42" ht="15.0" customHeight="1">
      <c r="A42" s="128"/>
      <c r="B42" s="129" t="s">
        <v>29</v>
      </c>
      <c r="C42" s="129" t="str">
        <f>ADHK!C42</f>
        <v>: Pertambangan Bijih Logam</v>
      </c>
      <c r="D42" s="129"/>
      <c r="E42" s="129"/>
      <c r="F42" s="129"/>
      <c r="G42" s="131" t="s">
        <v>30</v>
      </c>
      <c r="H42" s="129"/>
      <c r="I42" s="130"/>
      <c r="J42" s="125"/>
      <c r="K42" s="125"/>
      <c r="L42" s="125"/>
      <c r="M42" s="125"/>
      <c r="N42" s="125"/>
      <c r="O42" s="125"/>
      <c r="P42" s="57" t="str">
        <f>"I/"&amp;P$6</f>
        <v>I/2010</v>
      </c>
      <c r="Q42" s="126"/>
      <c r="R42" s="128"/>
      <c r="S42" s="129" t="s">
        <v>29</v>
      </c>
      <c r="T42" s="129" t="str">
        <f t="shared" si="540"/>
        <v>: Pertambangan Bijih Logam</v>
      </c>
      <c r="U42" s="129"/>
      <c r="V42" s="129"/>
      <c r="W42" s="129"/>
      <c r="X42" s="131" t="s">
        <v>30</v>
      </c>
      <c r="Y42" s="129"/>
      <c r="Z42" s="130"/>
      <c r="AA42" s="125"/>
      <c r="AB42" s="125"/>
      <c r="AC42" s="125"/>
      <c r="AD42" s="125"/>
      <c r="AE42" s="125"/>
      <c r="AF42" s="125"/>
      <c r="AG42" s="57" t="str">
        <f>"I/"&amp;AG$6</f>
        <v>I/2011</v>
      </c>
      <c r="AH42" s="126"/>
      <c r="AI42" s="128"/>
      <c r="AJ42" s="129" t="s">
        <v>29</v>
      </c>
      <c r="AK42" s="129" t="str">
        <f t="shared" si="541"/>
        <v>: Pertambangan Bijih Logam</v>
      </c>
      <c r="AL42" s="129"/>
      <c r="AM42" s="129"/>
      <c r="AN42" s="129"/>
      <c r="AO42" s="131" t="s">
        <v>30</v>
      </c>
      <c r="AP42" s="129"/>
      <c r="AQ42" s="130"/>
      <c r="AR42" s="125"/>
      <c r="AS42" s="125"/>
      <c r="AT42" s="125"/>
      <c r="AU42" s="125"/>
      <c r="AV42" s="125"/>
      <c r="AW42" s="125"/>
      <c r="AX42" s="57" t="str">
        <f>"I/"&amp;AX$6</f>
        <v>I/2012</v>
      </c>
      <c r="AY42" s="126"/>
      <c r="AZ42" s="128"/>
      <c r="BA42" s="129" t="s">
        <v>29</v>
      </c>
      <c r="BB42" s="129" t="str">
        <f t="shared" si="542"/>
        <v>: Pertambangan Bijih Logam</v>
      </c>
      <c r="BC42" s="129"/>
      <c r="BD42" s="129"/>
      <c r="BE42" s="129"/>
      <c r="BF42" s="131" t="s">
        <v>30</v>
      </c>
      <c r="BG42" s="129"/>
      <c r="BH42" s="130"/>
      <c r="BI42" s="125"/>
      <c r="BJ42" s="125"/>
      <c r="BK42" s="125"/>
      <c r="BL42" s="125"/>
      <c r="BM42" s="125"/>
      <c r="BN42" s="125"/>
      <c r="BO42" s="57" t="str">
        <f>"I/"&amp;BO$6</f>
        <v>I/2013</v>
      </c>
      <c r="BP42" s="126"/>
      <c r="BQ42" s="128"/>
      <c r="BR42" s="129" t="s">
        <v>29</v>
      </c>
      <c r="BS42" s="129" t="str">
        <f t="shared" si="543"/>
        <v>: Pertambangan Bijih Logam</v>
      </c>
      <c r="BT42" s="129"/>
      <c r="BU42" s="129"/>
      <c r="BV42" s="129"/>
      <c r="BW42" s="131" t="s">
        <v>30</v>
      </c>
      <c r="BX42" s="129"/>
      <c r="BY42" s="130"/>
      <c r="BZ42" s="125"/>
      <c r="CA42" s="125"/>
      <c r="CB42" s="125"/>
      <c r="CC42" s="125"/>
      <c r="CD42" s="125"/>
      <c r="CE42" s="125"/>
      <c r="CF42" s="57" t="str">
        <f>"I/"&amp;CF$6</f>
        <v>I/2014</v>
      </c>
      <c r="CG42" s="126"/>
      <c r="CH42" s="128"/>
      <c r="CI42" s="129" t="s">
        <v>29</v>
      </c>
      <c r="CJ42" s="129" t="str">
        <f t="shared" si="544"/>
        <v>: Pertambangan Bijih Logam</v>
      </c>
      <c r="CK42" s="129"/>
      <c r="CL42" s="129"/>
      <c r="CM42" s="129"/>
      <c r="CN42" s="131" t="s">
        <v>30</v>
      </c>
      <c r="CO42" s="129"/>
      <c r="CP42" s="130"/>
      <c r="CQ42" s="125"/>
      <c r="CR42" s="125"/>
      <c r="CS42" s="125"/>
      <c r="CT42" s="125"/>
      <c r="CU42" s="125"/>
      <c r="CV42" s="125"/>
      <c r="CW42" s="57" t="str">
        <f>"I/"&amp;CW$6</f>
        <v>I/2015</v>
      </c>
      <c r="CX42" s="126"/>
      <c r="CY42" s="128"/>
      <c r="CZ42" s="129" t="s">
        <v>29</v>
      </c>
      <c r="DA42" s="129" t="str">
        <f t="shared" si="545"/>
        <v>: Pertambangan Bijih Logam</v>
      </c>
      <c r="DB42" s="129"/>
      <c r="DC42" s="129"/>
      <c r="DD42" s="129"/>
      <c r="DE42" s="131" t="s">
        <v>30</v>
      </c>
      <c r="DF42" s="129"/>
      <c r="DG42" s="130"/>
      <c r="DH42" s="125"/>
      <c r="DI42" s="125"/>
      <c r="DJ42" s="125"/>
      <c r="DK42" s="125"/>
      <c r="DL42" s="125"/>
      <c r="DM42" s="125"/>
      <c r="DN42" s="57" t="str">
        <f>"I/"&amp;DN$6</f>
        <v>I/2016</v>
      </c>
      <c r="DO42" s="126"/>
      <c r="DP42" s="128"/>
      <c r="DQ42" s="129" t="s">
        <v>29</v>
      </c>
      <c r="DR42" s="129" t="str">
        <f t="shared" si="546"/>
        <v>: Pertambangan Bijih Logam</v>
      </c>
      <c r="DS42" s="129"/>
      <c r="DT42" s="129"/>
      <c r="DU42" s="129"/>
      <c r="DV42" s="131" t="s">
        <v>30</v>
      </c>
      <c r="DW42" s="129"/>
      <c r="DX42" s="130"/>
      <c r="DY42" s="125"/>
      <c r="DZ42" s="125"/>
      <c r="EA42" s="125"/>
      <c r="EB42" s="125"/>
      <c r="EC42" s="125"/>
      <c r="ED42" s="125"/>
      <c r="EE42" s="57" t="str">
        <f>"I/"&amp;EE$6</f>
        <v>I/2017</v>
      </c>
      <c r="EF42" s="126"/>
      <c r="EG42" s="128"/>
      <c r="EH42" s="129" t="s">
        <v>29</v>
      </c>
      <c r="EI42" s="129" t="str">
        <f t="shared" si="547"/>
        <v>: Pertambangan Bijih Logam</v>
      </c>
      <c r="EJ42" s="129"/>
      <c r="EK42" s="129"/>
      <c r="EL42" s="129"/>
      <c r="EM42" s="131" t="s">
        <v>30</v>
      </c>
      <c r="EN42" s="129"/>
      <c r="EO42" s="130"/>
      <c r="EP42" s="125"/>
      <c r="EQ42" s="125"/>
      <c r="ER42" s="125"/>
      <c r="ES42" s="125"/>
      <c r="ET42" s="125"/>
      <c r="EU42" s="125"/>
      <c r="EV42" s="57" t="str">
        <f>"I/"&amp;EV$6</f>
        <v>I/2018</v>
      </c>
      <c r="EW42" s="126"/>
      <c r="EX42" s="128"/>
      <c r="EY42" s="129" t="s">
        <v>29</v>
      </c>
      <c r="EZ42" s="129" t="str">
        <f t="shared" si="548"/>
        <v>: Pertambangan Bijih Logam</v>
      </c>
      <c r="FA42" s="129"/>
      <c r="FB42" s="129"/>
      <c r="FC42" s="129"/>
      <c r="FD42" s="131" t="s">
        <v>30</v>
      </c>
      <c r="FE42" s="129"/>
      <c r="FF42" s="130"/>
      <c r="FG42" s="125"/>
      <c r="FH42" s="125"/>
      <c r="FI42" s="125"/>
      <c r="FJ42" s="125"/>
      <c r="FK42" s="125"/>
      <c r="FL42" s="125"/>
      <c r="FM42" s="57" t="str">
        <f>"I/"&amp;FM$6</f>
        <v>I/2019</v>
      </c>
      <c r="FN42" s="126"/>
      <c r="FO42" s="128"/>
      <c r="FP42" s="129" t="s">
        <v>29</v>
      </c>
      <c r="FQ42" s="129" t="str">
        <f t="shared" si="549"/>
        <v>: Pertambangan Bijih Logam</v>
      </c>
      <c r="FR42" s="129"/>
      <c r="FS42" s="129"/>
      <c r="FT42" s="129"/>
      <c r="FU42" s="131" t="s">
        <v>30</v>
      </c>
      <c r="FV42" s="129"/>
      <c r="FW42" s="130"/>
      <c r="FX42" s="125"/>
      <c r="FY42" s="125"/>
      <c r="FZ42" s="125"/>
      <c r="GA42" s="125"/>
      <c r="GB42" s="125"/>
      <c r="GC42" s="125"/>
      <c r="GD42" s="57" t="str">
        <f>"I/"&amp;GD$6</f>
        <v>I/2020</v>
      </c>
      <c r="GE42" s="126"/>
      <c r="GF42" s="128"/>
      <c r="GG42" s="129" t="s">
        <v>29</v>
      </c>
      <c r="GH42" s="129" t="str">
        <f t="shared" si="550"/>
        <v>: Pertambangan Bijih Logam</v>
      </c>
      <c r="GI42" s="129"/>
      <c r="GJ42" s="129"/>
      <c r="GK42" s="129"/>
      <c r="GL42" s="131" t="s">
        <v>30</v>
      </c>
      <c r="GM42" s="129"/>
      <c r="GN42" s="130"/>
      <c r="GO42" s="125"/>
      <c r="GP42" s="125"/>
      <c r="GQ42" s="125"/>
      <c r="GR42" s="125"/>
      <c r="GS42" s="125"/>
      <c r="GT42" s="125"/>
      <c r="GU42" s="57" t="str">
        <f>"I/"&amp;GU$6</f>
        <v>I/2021</v>
      </c>
      <c r="GV42" s="126"/>
      <c r="GW42" s="128"/>
      <c r="GX42" s="129" t="s">
        <v>29</v>
      </c>
      <c r="GY42" s="129" t="str">
        <f t="shared" si="551"/>
        <v>: Pertambangan Bijih Logam</v>
      </c>
      <c r="GZ42" s="129"/>
      <c r="HA42" s="129"/>
      <c r="HB42" s="129"/>
      <c r="HC42" s="131" t="s">
        <v>30</v>
      </c>
      <c r="HD42" s="129"/>
      <c r="HE42" s="130"/>
      <c r="HF42" s="125"/>
      <c r="HG42" s="125"/>
      <c r="HH42" s="125"/>
      <c r="HI42" s="125"/>
      <c r="HJ42" s="125"/>
      <c r="HK42" s="125"/>
      <c r="HL42" s="57" t="str">
        <f>"I/"&amp;HL$6</f>
        <v>I/2022</v>
      </c>
      <c r="HM42" s="126"/>
      <c r="HN42" s="128"/>
      <c r="HO42" s="129" t="s">
        <v>29</v>
      </c>
      <c r="HP42" s="129" t="str">
        <f t="shared" si="552"/>
        <v>: Pertambangan Bijih Logam</v>
      </c>
      <c r="HQ42" s="129"/>
      <c r="HR42" s="129"/>
      <c r="HS42" s="129"/>
      <c r="HT42" s="131" t="s">
        <v>30</v>
      </c>
      <c r="HU42" s="129"/>
      <c r="HV42" s="130"/>
      <c r="HW42" s="125"/>
      <c r="HX42" s="125"/>
      <c r="HY42" s="125"/>
      <c r="HZ42" s="125"/>
      <c r="IA42" s="125"/>
      <c r="IB42" s="125"/>
      <c r="IC42" s="57" t="str">
        <f>"I/"&amp;IC$6</f>
        <v>I/2023</v>
      </c>
      <c r="ID42" s="126"/>
      <c r="IE42" s="128"/>
      <c r="IF42" s="129" t="s">
        <v>29</v>
      </c>
      <c r="IG42" s="129" t="str">
        <f t="shared" si="553"/>
        <v>: Pertambangan Bijih Logam</v>
      </c>
      <c r="IH42" s="129"/>
      <c r="II42" s="129"/>
      <c r="IJ42" s="129"/>
      <c r="IK42" s="131" t="s">
        <v>30</v>
      </c>
      <c r="IL42" s="129"/>
      <c r="IM42" s="130"/>
      <c r="IN42" s="125"/>
      <c r="IO42" s="125"/>
      <c r="IP42" s="125"/>
      <c r="IQ42" s="125"/>
      <c r="IR42" s="125"/>
      <c r="IS42" s="125"/>
      <c r="IT42" s="57" t="str">
        <f>"I/"&amp;IT$6</f>
        <v>I/2024</v>
      </c>
      <c r="IU42" s="126"/>
      <c r="IV42" s="128"/>
      <c r="IW42" s="129" t="s">
        <v>29</v>
      </c>
      <c r="IX42" s="129" t="str">
        <f t="shared" si="554"/>
        <v>: Pertambangan Bijih Logam</v>
      </c>
      <c r="IY42" s="129"/>
      <c r="IZ42" s="129"/>
      <c r="JA42" s="129"/>
      <c r="JB42" s="131" t="s">
        <v>30</v>
      </c>
      <c r="JC42" s="129"/>
      <c r="JD42" s="130"/>
      <c r="JE42" s="125"/>
      <c r="JF42" s="125"/>
      <c r="JG42" s="125"/>
      <c r="JH42" s="125"/>
      <c r="JI42" s="125"/>
      <c r="JJ42" s="125"/>
      <c r="JK42" s="57" t="str">
        <f>"I/"&amp;JK$6</f>
        <v>I/2025</v>
      </c>
      <c r="JL42" s="127"/>
      <c r="JM42" s="128"/>
      <c r="JN42" s="129" t="s">
        <v>29</v>
      </c>
      <c r="JO42" s="129" t="str">
        <f t="shared" si="555"/>
        <v>: Pertambangan Bijih Logam</v>
      </c>
      <c r="JP42" s="129"/>
      <c r="JQ42" s="129"/>
      <c r="JR42" s="129"/>
      <c r="JS42" s="131" t="s">
        <v>30</v>
      </c>
      <c r="JT42" s="129"/>
      <c r="JU42" s="130"/>
      <c r="JV42" s="125"/>
      <c r="JW42" s="125"/>
      <c r="JX42" s="125"/>
      <c r="JY42" s="125"/>
      <c r="JZ42" s="125"/>
      <c r="KA42" s="125"/>
      <c r="KB42" s="57" t="str">
        <f>"I/"&amp;KB$6</f>
        <v>I/2026</v>
      </c>
      <c r="KC42" s="127"/>
      <c r="KD42" s="128"/>
      <c r="KE42" s="129" t="s">
        <v>29</v>
      </c>
      <c r="KF42" s="129" t="str">
        <f t="shared" si="556"/>
        <v>: Pertambangan Bijih Logam</v>
      </c>
      <c r="KG42" s="129"/>
      <c r="KH42" s="129"/>
      <c r="KI42" s="129"/>
      <c r="KJ42" s="131" t="s">
        <v>30</v>
      </c>
      <c r="KK42" s="129"/>
      <c r="KL42" s="130"/>
      <c r="KM42" s="125"/>
      <c r="KN42" s="125"/>
      <c r="KO42" s="125"/>
      <c r="KP42" s="125"/>
      <c r="KQ42" s="125"/>
      <c r="KR42" s="125"/>
      <c r="KS42" s="57" t="str">
        <f>"I/"&amp;KS$6</f>
        <v>I/2027</v>
      </c>
      <c r="KT42" s="127"/>
      <c r="KU42" s="125"/>
    </row>
    <row r="43" ht="15.0" customHeight="1">
      <c r="A43" s="128"/>
      <c r="B43" s="129" t="s">
        <v>31</v>
      </c>
      <c r="C43" s="129" t="str">
        <f>ADHK!C43</f>
        <v>: Pertambangan Bijih Logam</v>
      </c>
      <c r="D43" s="129"/>
      <c r="E43" s="129"/>
      <c r="F43" s="129"/>
      <c r="G43" s="132" t="s">
        <v>53</v>
      </c>
      <c r="H43" s="129"/>
      <c r="I43" s="130"/>
      <c r="J43" s="125"/>
      <c r="K43" s="125"/>
      <c r="L43" s="125"/>
      <c r="M43" s="125"/>
      <c r="N43" s="125"/>
      <c r="O43" s="125"/>
      <c r="P43" s="55"/>
      <c r="Q43" s="126"/>
      <c r="R43" s="128"/>
      <c r="S43" s="129" t="s">
        <v>31</v>
      </c>
      <c r="T43" s="129" t="str">
        <f t="shared" si="540"/>
        <v>: Pertambangan Bijih Logam</v>
      </c>
      <c r="U43" s="129"/>
      <c r="V43" s="129"/>
      <c r="W43" s="129"/>
      <c r="X43" s="132" t="s">
        <v>53</v>
      </c>
      <c r="Y43" s="129"/>
      <c r="Z43" s="130"/>
      <c r="AA43" s="125"/>
      <c r="AB43" s="125"/>
      <c r="AC43" s="125"/>
      <c r="AD43" s="125"/>
      <c r="AE43" s="125"/>
      <c r="AF43" s="125"/>
      <c r="AG43" s="55"/>
      <c r="AH43" s="126"/>
      <c r="AI43" s="128"/>
      <c r="AJ43" s="129" t="s">
        <v>31</v>
      </c>
      <c r="AK43" s="129" t="str">
        <f t="shared" si="541"/>
        <v>: Pertambangan Bijih Logam</v>
      </c>
      <c r="AL43" s="129"/>
      <c r="AM43" s="129"/>
      <c r="AN43" s="129"/>
      <c r="AO43" s="132" t="s">
        <v>53</v>
      </c>
      <c r="AP43" s="129"/>
      <c r="AQ43" s="130"/>
      <c r="AR43" s="125"/>
      <c r="AS43" s="125"/>
      <c r="AT43" s="125"/>
      <c r="AU43" s="125"/>
      <c r="AV43" s="125"/>
      <c r="AW43" s="125"/>
      <c r="AX43" s="55"/>
      <c r="AY43" s="126"/>
      <c r="AZ43" s="128"/>
      <c r="BA43" s="129" t="s">
        <v>31</v>
      </c>
      <c r="BB43" s="129" t="str">
        <f t="shared" si="542"/>
        <v>: Pertambangan Bijih Logam</v>
      </c>
      <c r="BC43" s="129"/>
      <c r="BD43" s="129"/>
      <c r="BE43" s="129"/>
      <c r="BF43" s="132" t="s">
        <v>53</v>
      </c>
      <c r="BG43" s="129"/>
      <c r="BH43" s="130"/>
      <c r="BI43" s="125"/>
      <c r="BJ43" s="125"/>
      <c r="BK43" s="125"/>
      <c r="BL43" s="125"/>
      <c r="BM43" s="125"/>
      <c r="BN43" s="125"/>
      <c r="BO43" s="55"/>
      <c r="BP43" s="126"/>
      <c r="BQ43" s="128"/>
      <c r="BR43" s="129" t="s">
        <v>31</v>
      </c>
      <c r="BS43" s="129" t="str">
        <f t="shared" si="543"/>
        <v>: Pertambangan Bijih Logam</v>
      </c>
      <c r="BT43" s="129"/>
      <c r="BU43" s="129"/>
      <c r="BV43" s="129"/>
      <c r="BW43" s="132" t="s">
        <v>53</v>
      </c>
      <c r="BX43" s="129"/>
      <c r="BY43" s="130"/>
      <c r="BZ43" s="125"/>
      <c r="CA43" s="125"/>
      <c r="CB43" s="125"/>
      <c r="CC43" s="125"/>
      <c r="CD43" s="125"/>
      <c r="CE43" s="125"/>
      <c r="CF43" s="55"/>
      <c r="CG43" s="126"/>
      <c r="CH43" s="128"/>
      <c r="CI43" s="129" t="s">
        <v>31</v>
      </c>
      <c r="CJ43" s="129" t="str">
        <f t="shared" si="544"/>
        <v>: Pertambangan Bijih Logam</v>
      </c>
      <c r="CK43" s="129"/>
      <c r="CL43" s="129"/>
      <c r="CM43" s="129"/>
      <c r="CN43" s="132" t="s">
        <v>53</v>
      </c>
      <c r="CO43" s="129"/>
      <c r="CP43" s="130"/>
      <c r="CQ43" s="125"/>
      <c r="CR43" s="125"/>
      <c r="CS43" s="125"/>
      <c r="CT43" s="125"/>
      <c r="CU43" s="125"/>
      <c r="CV43" s="125"/>
      <c r="CW43" s="55"/>
      <c r="CX43" s="126"/>
      <c r="CY43" s="128"/>
      <c r="CZ43" s="129" t="s">
        <v>31</v>
      </c>
      <c r="DA43" s="129" t="str">
        <f t="shared" si="545"/>
        <v>: Pertambangan Bijih Logam</v>
      </c>
      <c r="DB43" s="129"/>
      <c r="DC43" s="129"/>
      <c r="DD43" s="129"/>
      <c r="DE43" s="132" t="s">
        <v>53</v>
      </c>
      <c r="DF43" s="129"/>
      <c r="DG43" s="130"/>
      <c r="DH43" s="125"/>
      <c r="DI43" s="125"/>
      <c r="DJ43" s="125"/>
      <c r="DK43" s="125"/>
      <c r="DL43" s="125"/>
      <c r="DM43" s="125"/>
      <c r="DN43" s="55"/>
      <c r="DO43" s="126"/>
      <c r="DP43" s="128"/>
      <c r="DQ43" s="129" t="s">
        <v>31</v>
      </c>
      <c r="DR43" s="129" t="str">
        <f t="shared" si="546"/>
        <v>: Pertambangan Bijih Logam</v>
      </c>
      <c r="DS43" s="129"/>
      <c r="DT43" s="129"/>
      <c r="DU43" s="129"/>
      <c r="DV43" s="132" t="s">
        <v>53</v>
      </c>
      <c r="DW43" s="129"/>
      <c r="DX43" s="130"/>
      <c r="DY43" s="125"/>
      <c r="DZ43" s="125"/>
      <c r="EA43" s="125"/>
      <c r="EB43" s="125"/>
      <c r="EC43" s="125"/>
      <c r="ED43" s="125"/>
      <c r="EE43" s="55"/>
      <c r="EF43" s="126"/>
      <c r="EG43" s="128"/>
      <c r="EH43" s="129" t="s">
        <v>31</v>
      </c>
      <c r="EI43" s="129" t="str">
        <f t="shared" si="547"/>
        <v>: Pertambangan Bijih Logam</v>
      </c>
      <c r="EJ43" s="129"/>
      <c r="EK43" s="129"/>
      <c r="EL43" s="129"/>
      <c r="EM43" s="132" t="s">
        <v>53</v>
      </c>
      <c r="EN43" s="129"/>
      <c r="EO43" s="130"/>
      <c r="EP43" s="125"/>
      <c r="EQ43" s="125"/>
      <c r="ER43" s="125"/>
      <c r="ES43" s="125"/>
      <c r="ET43" s="125"/>
      <c r="EU43" s="125"/>
      <c r="EV43" s="55"/>
      <c r="EW43" s="126"/>
      <c r="EX43" s="128"/>
      <c r="EY43" s="129" t="s">
        <v>31</v>
      </c>
      <c r="EZ43" s="129" t="str">
        <f t="shared" si="548"/>
        <v>: Pertambangan Bijih Logam</v>
      </c>
      <c r="FA43" s="129"/>
      <c r="FB43" s="129"/>
      <c r="FC43" s="129"/>
      <c r="FD43" s="132" t="s">
        <v>53</v>
      </c>
      <c r="FE43" s="129"/>
      <c r="FF43" s="130"/>
      <c r="FG43" s="125"/>
      <c r="FH43" s="125"/>
      <c r="FI43" s="125"/>
      <c r="FJ43" s="125"/>
      <c r="FK43" s="125"/>
      <c r="FL43" s="125"/>
      <c r="FM43" s="55"/>
      <c r="FN43" s="126"/>
      <c r="FO43" s="128"/>
      <c r="FP43" s="129" t="s">
        <v>31</v>
      </c>
      <c r="FQ43" s="129" t="str">
        <f t="shared" si="549"/>
        <v>: Pertambangan Bijih Logam</v>
      </c>
      <c r="FR43" s="129"/>
      <c r="FS43" s="129"/>
      <c r="FT43" s="129"/>
      <c r="FU43" s="132" t="s">
        <v>53</v>
      </c>
      <c r="FV43" s="129"/>
      <c r="FW43" s="130"/>
      <c r="FX43" s="125"/>
      <c r="FY43" s="125"/>
      <c r="FZ43" s="125"/>
      <c r="GA43" s="125"/>
      <c r="GB43" s="125"/>
      <c r="GC43" s="125"/>
      <c r="GD43" s="55"/>
      <c r="GE43" s="126"/>
      <c r="GF43" s="128"/>
      <c r="GG43" s="129" t="s">
        <v>31</v>
      </c>
      <c r="GH43" s="129" t="str">
        <f t="shared" si="550"/>
        <v>: Pertambangan Bijih Logam</v>
      </c>
      <c r="GI43" s="129"/>
      <c r="GJ43" s="129"/>
      <c r="GK43" s="129"/>
      <c r="GL43" s="132" t="s">
        <v>53</v>
      </c>
      <c r="GM43" s="129"/>
      <c r="GN43" s="130"/>
      <c r="GO43" s="125"/>
      <c r="GP43" s="125"/>
      <c r="GQ43" s="125"/>
      <c r="GR43" s="125"/>
      <c r="GS43" s="125"/>
      <c r="GT43" s="125"/>
      <c r="GU43" s="55"/>
      <c r="GV43" s="126"/>
      <c r="GW43" s="128"/>
      <c r="GX43" s="129" t="s">
        <v>31</v>
      </c>
      <c r="GY43" s="129" t="str">
        <f t="shared" si="551"/>
        <v>: Pertambangan Bijih Logam</v>
      </c>
      <c r="GZ43" s="129"/>
      <c r="HA43" s="129"/>
      <c r="HB43" s="129"/>
      <c r="HC43" s="132" t="s">
        <v>53</v>
      </c>
      <c r="HD43" s="129"/>
      <c r="HE43" s="130"/>
      <c r="HF43" s="125"/>
      <c r="HG43" s="125"/>
      <c r="HH43" s="125"/>
      <c r="HI43" s="125"/>
      <c r="HJ43" s="125"/>
      <c r="HK43" s="125"/>
      <c r="HL43" s="55"/>
      <c r="HM43" s="126"/>
      <c r="HN43" s="128"/>
      <c r="HO43" s="129" t="s">
        <v>31</v>
      </c>
      <c r="HP43" s="129" t="str">
        <f t="shared" si="552"/>
        <v>: Pertambangan Bijih Logam</v>
      </c>
      <c r="HQ43" s="129"/>
      <c r="HR43" s="129"/>
      <c r="HS43" s="129"/>
      <c r="HT43" s="132" t="s">
        <v>53</v>
      </c>
      <c r="HU43" s="129"/>
      <c r="HV43" s="130"/>
      <c r="HW43" s="125"/>
      <c r="HX43" s="125"/>
      <c r="HY43" s="125"/>
      <c r="HZ43" s="125"/>
      <c r="IA43" s="125"/>
      <c r="IB43" s="125"/>
      <c r="IC43" s="55"/>
      <c r="ID43" s="126"/>
      <c r="IE43" s="128"/>
      <c r="IF43" s="129" t="s">
        <v>31</v>
      </c>
      <c r="IG43" s="129" t="str">
        <f t="shared" si="553"/>
        <v>: Pertambangan Bijih Logam</v>
      </c>
      <c r="IH43" s="129"/>
      <c r="II43" s="129"/>
      <c r="IJ43" s="129"/>
      <c r="IK43" s="132" t="s">
        <v>53</v>
      </c>
      <c r="IL43" s="129"/>
      <c r="IM43" s="130"/>
      <c r="IN43" s="125"/>
      <c r="IO43" s="125"/>
      <c r="IP43" s="125"/>
      <c r="IQ43" s="125"/>
      <c r="IR43" s="125"/>
      <c r="IS43" s="125"/>
      <c r="IT43" s="55"/>
      <c r="IU43" s="126"/>
      <c r="IV43" s="128"/>
      <c r="IW43" s="129" t="s">
        <v>31</v>
      </c>
      <c r="IX43" s="129" t="str">
        <f t="shared" si="554"/>
        <v>: Pertambangan Bijih Logam</v>
      </c>
      <c r="IY43" s="129"/>
      <c r="IZ43" s="129"/>
      <c r="JA43" s="129"/>
      <c r="JB43" s="132" t="s">
        <v>53</v>
      </c>
      <c r="JC43" s="129"/>
      <c r="JD43" s="130"/>
      <c r="JE43" s="125"/>
      <c r="JF43" s="125"/>
      <c r="JG43" s="125"/>
      <c r="JH43" s="125"/>
      <c r="JI43" s="125"/>
      <c r="JJ43" s="125"/>
      <c r="JK43" s="55"/>
      <c r="JL43" s="127"/>
      <c r="JM43" s="128"/>
      <c r="JN43" s="129" t="s">
        <v>31</v>
      </c>
      <c r="JO43" s="129" t="str">
        <f t="shared" si="555"/>
        <v>: Pertambangan Bijih Logam</v>
      </c>
      <c r="JP43" s="129"/>
      <c r="JQ43" s="129"/>
      <c r="JR43" s="129"/>
      <c r="JS43" s="132" t="s">
        <v>53</v>
      </c>
      <c r="JT43" s="129"/>
      <c r="JU43" s="130"/>
      <c r="JV43" s="125"/>
      <c r="JW43" s="125"/>
      <c r="JX43" s="125"/>
      <c r="JY43" s="125"/>
      <c r="JZ43" s="125"/>
      <c r="KA43" s="125"/>
      <c r="KB43" s="55"/>
      <c r="KC43" s="127"/>
      <c r="KD43" s="128"/>
      <c r="KE43" s="129" t="s">
        <v>31</v>
      </c>
      <c r="KF43" s="129" t="str">
        <f t="shared" si="556"/>
        <v>: Pertambangan Bijih Logam</v>
      </c>
      <c r="KG43" s="129"/>
      <c r="KH43" s="129"/>
      <c r="KI43" s="129"/>
      <c r="KJ43" s="132" t="s">
        <v>53</v>
      </c>
      <c r="KK43" s="129"/>
      <c r="KL43" s="130"/>
      <c r="KM43" s="125"/>
      <c r="KN43" s="125"/>
      <c r="KO43" s="125"/>
      <c r="KP43" s="125"/>
      <c r="KQ43" s="125"/>
      <c r="KR43" s="125"/>
      <c r="KS43" s="55"/>
      <c r="KT43" s="127"/>
      <c r="KU43" s="125"/>
    </row>
    <row r="44" ht="15.75" customHeight="1">
      <c r="A44" s="133"/>
      <c r="B44" s="134" t="s">
        <v>32</v>
      </c>
      <c r="C44" s="134" t="s">
        <v>33</v>
      </c>
      <c r="D44" s="134"/>
      <c r="E44" s="134"/>
      <c r="F44" s="134"/>
      <c r="G44" s="134" t="str">
        <f>"Tahun "&amp;P$6</f>
        <v>Tahun 2010</v>
      </c>
      <c r="H44" s="134"/>
      <c r="I44" s="135"/>
      <c r="J44" s="125"/>
      <c r="K44" s="125"/>
      <c r="L44" s="125"/>
      <c r="M44" s="125"/>
      <c r="N44" s="125"/>
      <c r="O44" s="125"/>
      <c r="P44" s="125"/>
      <c r="Q44" s="126"/>
      <c r="R44" s="133"/>
      <c r="S44" s="134" t="s">
        <v>32</v>
      </c>
      <c r="T44" s="134" t="s">
        <v>33</v>
      </c>
      <c r="U44" s="134"/>
      <c r="V44" s="134"/>
      <c r="W44" s="134"/>
      <c r="X44" s="134" t="str">
        <f>"Tahun "&amp;AG$6</f>
        <v>Tahun 2011</v>
      </c>
      <c r="Y44" s="134"/>
      <c r="Z44" s="135"/>
      <c r="AA44" s="125"/>
      <c r="AB44" s="125"/>
      <c r="AC44" s="125"/>
      <c r="AD44" s="125"/>
      <c r="AE44" s="125"/>
      <c r="AF44" s="125"/>
      <c r="AG44" s="125"/>
      <c r="AH44" s="126"/>
      <c r="AI44" s="133"/>
      <c r="AJ44" s="134" t="s">
        <v>32</v>
      </c>
      <c r="AK44" s="134" t="s">
        <v>33</v>
      </c>
      <c r="AL44" s="134"/>
      <c r="AM44" s="134"/>
      <c r="AN44" s="134"/>
      <c r="AO44" s="134" t="str">
        <f>"Tahun "&amp;AX$6</f>
        <v>Tahun 2012</v>
      </c>
      <c r="AP44" s="134"/>
      <c r="AQ44" s="135"/>
      <c r="AR44" s="125"/>
      <c r="AS44" s="125"/>
      <c r="AT44" s="125"/>
      <c r="AU44" s="125"/>
      <c r="AV44" s="125"/>
      <c r="AW44" s="125"/>
      <c r="AX44" s="125"/>
      <c r="AY44" s="126"/>
      <c r="AZ44" s="133"/>
      <c r="BA44" s="134" t="s">
        <v>32</v>
      </c>
      <c r="BB44" s="134" t="s">
        <v>33</v>
      </c>
      <c r="BC44" s="134"/>
      <c r="BD44" s="134"/>
      <c r="BE44" s="134"/>
      <c r="BF44" s="134" t="str">
        <f>"Tahun "&amp;BO$6</f>
        <v>Tahun 2013</v>
      </c>
      <c r="BG44" s="134"/>
      <c r="BH44" s="135"/>
      <c r="BI44" s="125"/>
      <c r="BJ44" s="125"/>
      <c r="BK44" s="125"/>
      <c r="BL44" s="125"/>
      <c r="BM44" s="125"/>
      <c r="BN44" s="125"/>
      <c r="BO44" s="125"/>
      <c r="BP44" s="126"/>
      <c r="BQ44" s="133"/>
      <c r="BR44" s="134" t="s">
        <v>32</v>
      </c>
      <c r="BS44" s="134" t="s">
        <v>33</v>
      </c>
      <c r="BT44" s="134"/>
      <c r="BU44" s="134"/>
      <c r="BV44" s="134"/>
      <c r="BW44" s="134" t="str">
        <f>"Tahun "&amp;CF$6</f>
        <v>Tahun 2014</v>
      </c>
      <c r="BX44" s="134"/>
      <c r="BY44" s="135"/>
      <c r="BZ44" s="125"/>
      <c r="CA44" s="125"/>
      <c r="CB44" s="125"/>
      <c r="CC44" s="125"/>
      <c r="CD44" s="125"/>
      <c r="CE44" s="125"/>
      <c r="CF44" s="125"/>
      <c r="CG44" s="126"/>
      <c r="CH44" s="133"/>
      <c r="CI44" s="134" t="s">
        <v>32</v>
      </c>
      <c r="CJ44" s="134" t="s">
        <v>33</v>
      </c>
      <c r="CK44" s="134"/>
      <c r="CL44" s="134"/>
      <c r="CM44" s="134"/>
      <c r="CN44" s="134" t="str">
        <f>"Tahun "&amp;CW$6</f>
        <v>Tahun 2015</v>
      </c>
      <c r="CO44" s="134"/>
      <c r="CP44" s="135"/>
      <c r="CQ44" s="125"/>
      <c r="CR44" s="125"/>
      <c r="CS44" s="125"/>
      <c r="CT44" s="125"/>
      <c r="CU44" s="125"/>
      <c r="CV44" s="125"/>
      <c r="CW44" s="125"/>
      <c r="CX44" s="126"/>
      <c r="CY44" s="133"/>
      <c r="CZ44" s="134" t="s">
        <v>32</v>
      </c>
      <c r="DA44" s="134" t="s">
        <v>33</v>
      </c>
      <c r="DB44" s="134"/>
      <c r="DC44" s="134"/>
      <c r="DD44" s="134"/>
      <c r="DE44" s="134" t="str">
        <f>"Tahun "&amp;DN$6</f>
        <v>Tahun 2016</v>
      </c>
      <c r="DF44" s="134"/>
      <c r="DG44" s="135"/>
      <c r="DH44" s="125"/>
      <c r="DI44" s="125"/>
      <c r="DJ44" s="125"/>
      <c r="DK44" s="125"/>
      <c r="DL44" s="125"/>
      <c r="DM44" s="125"/>
      <c r="DN44" s="125"/>
      <c r="DO44" s="126"/>
      <c r="DP44" s="133"/>
      <c r="DQ44" s="134" t="s">
        <v>32</v>
      </c>
      <c r="DR44" s="134" t="s">
        <v>33</v>
      </c>
      <c r="DS44" s="134"/>
      <c r="DT44" s="134"/>
      <c r="DU44" s="134"/>
      <c r="DV44" s="134" t="str">
        <f>"Tahun "&amp;EE$6</f>
        <v>Tahun 2017</v>
      </c>
      <c r="DW44" s="134"/>
      <c r="DX44" s="135"/>
      <c r="DY44" s="125"/>
      <c r="DZ44" s="125"/>
      <c r="EA44" s="125"/>
      <c r="EB44" s="125"/>
      <c r="EC44" s="125"/>
      <c r="ED44" s="125"/>
      <c r="EE44" s="125"/>
      <c r="EF44" s="126"/>
      <c r="EG44" s="133"/>
      <c r="EH44" s="134" t="s">
        <v>32</v>
      </c>
      <c r="EI44" s="134" t="s">
        <v>33</v>
      </c>
      <c r="EJ44" s="134"/>
      <c r="EK44" s="134"/>
      <c r="EL44" s="134"/>
      <c r="EM44" s="134" t="str">
        <f>"Tahun "&amp;EV$6</f>
        <v>Tahun 2018</v>
      </c>
      <c r="EN44" s="134"/>
      <c r="EO44" s="135"/>
      <c r="EP44" s="125"/>
      <c r="EQ44" s="125"/>
      <c r="ER44" s="125"/>
      <c r="ES44" s="125"/>
      <c r="ET44" s="125"/>
      <c r="EU44" s="125"/>
      <c r="EV44" s="125"/>
      <c r="EW44" s="126"/>
      <c r="EX44" s="133"/>
      <c r="EY44" s="134" t="s">
        <v>32</v>
      </c>
      <c r="EZ44" s="134" t="s">
        <v>33</v>
      </c>
      <c r="FA44" s="134"/>
      <c r="FB44" s="134"/>
      <c r="FC44" s="134"/>
      <c r="FD44" s="134" t="str">
        <f>"Tahun "&amp;FM$6</f>
        <v>Tahun 2019</v>
      </c>
      <c r="FE44" s="134"/>
      <c r="FF44" s="135"/>
      <c r="FG44" s="125"/>
      <c r="FH44" s="125"/>
      <c r="FI44" s="125"/>
      <c r="FJ44" s="125"/>
      <c r="FK44" s="125"/>
      <c r="FL44" s="125"/>
      <c r="FM44" s="125"/>
      <c r="FN44" s="126"/>
      <c r="FO44" s="133"/>
      <c r="FP44" s="134" t="s">
        <v>32</v>
      </c>
      <c r="FQ44" s="134" t="s">
        <v>33</v>
      </c>
      <c r="FR44" s="134"/>
      <c r="FS44" s="134"/>
      <c r="FT44" s="134"/>
      <c r="FU44" s="134" t="str">
        <f>"Tahun "&amp;GD$6</f>
        <v>Tahun 2020</v>
      </c>
      <c r="FV44" s="134"/>
      <c r="FW44" s="135"/>
      <c r="FX44" s="125"/>
      <c r="FY44" s="125"/>
      <c r="FZ44" s="125"/>
      <c r="GA44" s="125"/>
      <c r="GB44" s="125"/>
      <c r="GC44" s="125"/>
      <c r="GD44" s="125"/>
      <c r="GE44" s="126"/>
      <c r="GF44" s="133"/>
      <c r="GG44" s="134" t="s">
        <v>32</v>
      </c>
      <c r="GH44" s="134" t="s">
        <v>33</v>
      </c>
      <c r="GI44" s="134"/>
      <c r="GJ44" s="134"/>
      <c r="GK44" s="134"/>
      <c r="GL44" s="134" t="str">
        <f>"Tahun "&amp;GU$6</f>
        <v>Tahun 2021</v>
      </c>
      <c r="GM44" s="134"/>
      <c r="GN44" s="135"/>
      <c r="GO44" s="125"/>
      <c r="GP44" s="125"/>
      <c r="GQ44" s="125"/>
      <c r="GR44" s="125"/>
      <c r="GS44" s="125"/>
      <c r="GT44" s="125"/>
      <c r="GU44" s="125"/>
      <c r="GV44" s="126"/>
      <c r="GW44" s="133"/>
      <c r="GX44" s="134" t="s">
        <v>32</v>
      </c>
      <c r="GY44" s="134" t="s">
        <v>33</v>
      </c>
      <c r="GZ44" s="134"/>
      <c r="HA44" s="134"/>
      <c r="HB44" s="134"/>
      <c r="HC44" s="134" t="str">
        <f>"Tahun "&amp;HL$6</f>
        <v>Tahun 2022</v>
      </c>
      <c r="HD44" s="134"/>
      <c r="HE44" s="135"/>
      <c r="HF44" s="125"/>
      <c r="HG44" s="125"/>
      <c r="HH44" s="125"/>
      <c r="HI44" s="125"/>
      <c r="HJ44" s="125"/>
      <c r="HK44" s="125"/>
      <c r="HL44" s="125"/>
      <c r="HM44" s="126"/>
      <c r="HN44" s="133"/>
      <c r="HO44" s="134" t="s">
        <v>32</v>
      </c>
      <c r="HP44" s="134" t="s">
        <v>33</v>
      </c>
      <c r="HQ44" s="134"/>
      <c r="HR44" s="134"/>
      <c r="HS44" s="134"/>
      <c r="HT44" s="134" t="str">
        <f>"Tahun "&amp;IC$6</f>
        <v>Tahun 2023</v>
      </c>
      <c r="HU44" s="134"/>
      <c r="HV44" s="135"/>
      <c r="HW44" s="125"/>
      <c r="HX44" s="125"/>
      <c r="HY44" s="125"/>
      <c r="HZ44" s="125"/>
      <c r="IA44" s="125"/>
      <c r="IB44" s="125"/>
      <c r="IC44" s="125"/>
      <c r="ID44" s="126"/>
      <c r="IE44" s="133"/>
      <c r="IF44" s="134" t="s">
        <v>32</v>
      </c>
      <c r="IG44" s="134" t="s">
        <v>33</v>
      </c>
      <c r="IH44" s="134"/>
      <c r="II44" s="134"/>
      <c r="IJ44" s="134"/>
      <c r="IK44" s="134" t="str">
        <f>"Tahun "&amp;IT$6</f>
        <v>Tahun 2024</v>
      </c>
      <c r="IL44" s="134"/>
      <c r="IM44" s="135"/>
      <c r="IN44" s="125"/>
      <c r="IO44" s="125"/>
      <c r="IP44" s="125"/>
      <c r="IQ44" s="125"/>
      <c r="IR44" s="125"/>
      <c r="IS44" s="125"/>
      <c r="IT44" s="125"/>
      <c r="IU44" s="126"/>
      <c r="IV44" s="133"/>
      <c r="IW44" s="134" t="s">
        <v>32</v>
      </c>
      <c r="IX44" s="134" t="s">
        <v>33</v>
      </c>
      <c r="IY44" s="134"/>
      <c r="IZ44" s="134"/>
      <c r="JA44" s="134"/>
      <c r="JB44" s="134" t="str">
        <f>"Tahun "&amp;JK$6</f>
        <v>Tahun 2025</v>
      </c>
      <c r="JC44" s="134"/>
      <c r="JD44" s="135"/>
      <c r="JE44" s="125"/>
      <c r="JF44" s="125"/>
      <c r="JG44" s="125"/>
      <c r="JH44" s="125"/>
      <c r="JI44" s="125"/>
      <c r="JJ44" s="125"/>
      <c r="JK44" s="125"/>
      <c r="JL44" s="126"/>
      <c r="JM44" s="133"/>
      <c r="JN44" s="134" t="s">
        <v>32</v>
      </c>
      <c r="JO44" s="134" t="s">
        <v>33</v>
      </c>
      <c r="JP44" s="134"/>
      <c r="JQ44" s="134"/>
      <c r="JR44" s="134"/>
      <c r="JS44" s="134" t="str">
        <f>"Tahun "&amp;KB$6</f>
        <v>Tahun 2026</v>
      </c>
      <c r="JT44" s="134"/>
      <c r="JU44" s="135"/>
      <c r="JV44" s="125"/>
      <c r="JW44" s="125"/>
      <c r="JX44" s="125"/>
      <c r="JY44" s="125"/>
      <c r="JZ44" s="125"/>
      <c r="KA44" s="125"/>
      <c r="KB44" s="125"/>
      <c r="KC44" s="126"/>
      <c r="KD44" s="133"/>
      <c r="KE44" s="134" t="s">
        <v>32</v>
      </c>
      <c r="KF44" s="134" t="s">
        <v>33</v>
      </c>
      <c r="KG44" s="134"/>
      <c r="KH44" s="134"/>
      <c r="KI44" s="134"/>
      <c r="KJ44" s="134" t="str">
        <f>"Tahun "&amp;KS$6</f>
        <v>Tahun 2027</v>
      </c>
      <c r="KK44" s="134"/>
      <c r="KL44" s="135"/>
      <c r="KM44" s="125"/>
      <c r="KN44" s="125"/>
      <c r="KO44" s="125"/>
      <c r="KP44" s="125"/>
      <c r="KQ44" s="125"/>
      <c r="KR44" s="125"/>
      <c r="KS44" s="125"/>
      <c r="KT44" s="126"/>
      <c r="KU44" s="125"/>
    </row>
    <row r="45" ht="15.75" customHeight="1">
      <c r="A45" s="44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7"/>
      <c r="R45" s="44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7"/>
      <c r="AI45" s="44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7"/>
      <c r="AZ45" s="44"/>
      <c r="BA45" s="36"/>
      <c r="BB45" s="36"/>
      <c r="BC45" s="36"/>
      <c r="BD45" s="36"/>
      <c r="BE45" s="36"/>
      <c r="BF45" s="36"/>
      <c r="BG45" s="36"/>
      <c r="BH45" s="36"/>
      <c r="BI45" s="36"/>
      <c r="BJ45" s="36"/>
      <c r="BK45" s="36"/>
      <c r="BL45" s="36"/>
      <c r="BM45" s="36"/>
      <c r="BN45" s="36"/>
      <c r="BO45" s="36"/>
      <c r="BP45" s="37"/>
      <c r="BQ45" s="44"/>
      <c r="BR45" s="36"/>
      <c r="BS45" s="36"/>
      <c r="BT45" s="36"/>
      <c r="BU45" s="36"/>
      <c r="BV45" s="36"/>
      <c r="BW45" s="36"/>
      <c r="BX45" s="36"/>
      <c r="BY45" s="36"/>
      <c r="BZ45" s="36"/>
      <c r="CA45" s="36"/>
      <c r="CB45" s="36"/>
      <c r="CC45" s="36"/>
      <c r="CD45" s="36"/>
      <c r="CE45" s="36"/>
      <c r="CF45" s="36"/>
      <c r="CG45" s="37"/>
      <c r="CH45" s="44"/>
      <c r="CI45" s="36"/>
      <c r="CJ45" s="36"/>
      <c r="CK45" s="36"/>
      <c r="CL45" s="36"/>
      <c r="CM45" s="36"/>
      <c r="CN45" s="36"/>
      <c r="CO45" s="36"/>
      <c r="CP45" s="36"/>
      <c r="CQ45" s="36"/>
      <c r="CR45" s="36"/>
      <c r="CS45" s="36"/>
      <c r="CT45" s="36"/>
      <c r="CU45" s="36"/>
      <c r="CV45" s="36"/>
      <c r="CW45" s="36"/>
      <c r="CX45" s="37"/>
      <c r="CY45" s="44"/>
      <c r="CZ45" s="36"/>
      <c r="DA45" s="36"/>
      <c r="DB45" s="36"/>
      <c r="DC45" s="36"/>
      <c r="DD45" s="36"/>
      <c r="DE45" s="36"/>
      <c r="DF45" s="36"/>
      <c r="DG45" s="36"/>
      <c r="DH45" s="36"/>
      <c r="DI45" s="36"/>
      <c r="DJ45" s="36"/>
      <c r="DK45" s="36"/>
      <c r="DL45" s="36"/>
      <c r="DM45" s="36"/>
      <c r="DN45" s="36"/>
      <c r="DO45" s="37"/>
      <c r="DP45" s="44"/>
      <c r="DQ45" s="36"/>
      <c r="DR45" s="36"/>
      <c r="DS45" s="36"/>
      <c r="DT45" s="36"/>
      <c r="DU45" s="36"/>
      <c r="DV45" s="36"/>
      <c r="DW45" s="36"/>
      <c r="DX45" s="36"/>
      <c r="DY45" s="36"/>
      <c r="DZ45" s="36"/>
      <c r="EA45" s="36"/>
      <c r="EB45" s="36"/>
      <c r="EC45" s="36"/>
      <c r="ED45" s="36"/>
      <c r="EE45" s="36"/>
      <c r="EF45" s="37"/>
      <c r="EG45" s="44"/>
      <c r="EH45" s="36"/>
      <c r="EI45" s="36"/>
      <c r="EJ45" s="36"/>
      <c r="EK45" s="36"/>
      <c r="EL45" s="36"/>
      <c r="EM45" s="36"/>
      <c r="EN45" s="36"/>
      <c r="EO45" s="36"/>
      <c r="EP45" s="36"/>
      <c r="EQ45" s="36"/>
      <c r="ER45" s="36"/>
      <c r="ES45" s="36"/>
      <c r="ET45" s="36"/>
      <c r="EU45" s="36"/>
      <c r="EV45" s="36"/>
      <c r="EW45" s="37"/>
      <c r="EX45" s="44"/>
      <c r="EY45" s="36"/>
      <c r="EZ45" s="36"/>
      <c r="FA45" s="36"/>
      <c r="FB45" s="36"/>
      <c r="FC45" s="36"/>
      <c r="FD45" s="36"/>
      <c r="FE45" s="36"/>
      <c r="FF45" s="36"/>
      <c r="FG45" s="36"/>
      <c r="FH45" s="36"/>
      <c r="FI45" s="36"/>
      <c r="FJ45" s="36"/>
      <c r="FK45" s="36"/>
      <c r="FL45" s="36"/>
      <c r="FM45" s="36"/>
      <c r="FN45" s="37"/>
      <c r="FO45" s="44"/>
      <c r="FP45" s="36"/>
      <c r="FQ45" s="36"/>
      <c r="FR45" s="36"/>
      <c r="FS45" s="36"/>
      <c r="FT45" s="36"/>
      <c r="FU45" s="36"/>
      <c r="FV45" s="36"/>
      <c r="FW45" s="36"/>
      <c r="FX45" s="36"/>
      <c r="FY45" s="36"/>
      <c r="FZ45" s="36"/>
      <c r="GA45" s="36"/>
      <c r="GB45" s="36"/>
      <c r="GC45" s="36"/>
      <c r="GD45" s="36"/>
      <c r="GE45" s="37"/>
      <c r="GF45" s="44"/>
      <c r="GG45" s="36"/>
      <c r="GH45" s="36"/>
      <c r="GI45" s="36"/>
      <c r="GJ45" s="36"/>
      <c r="GK45" s="36"/>
      <c r="GL45" s="36"/>
      <c r="GM45" s="36"/>
      <c r="GN45" s="36"/>
      <c r="GO45" s="36"/>
      <c r="GP45" s="36"/>
      <c r="GQ45" s="36"/>
      <c r="GR45" s="36"/>
      <c r="GS45" s="36"/>
      <c r="GT45" s="36"/>
      <c r="GU45" s="36"/>
      <c r="GV45" s="37"/>
      <c r="GW45" s="44"/>
      <c r="GX45" s="36"/>
      <c r="GY45" s="36"/>
      <c r="GZ45" s="36"/>
      <c r="HA45" s="36"/>
      <c r="HB45" s="36"/>
      <c r="HC45" s="36"/>
      <c r="HD45" s="36"/>
      <c r="HE45" s="36"/>
      <c r="HF45" s="36"/>
      <c r="HG45" s="36"/>
      <c r="HH45" s="36"/>
      <c r="HI45" s="36"/>
      <c r="HJ45" s="36"/>
      <c r="HK45" s="36"/>
      <c r="HL45" s="36"/>
      <c r="HM45" s="37"/>
      <c r="HN45" s="44"/>
      <c r="HO45" s="36"/>
      <c r="HP45" s="36"/>
      <c r="HQ45" s="36"/>
      <c r="HR45" s="36"/>
      <c r="HS45" s="36"/>
      <c r="HT45" s="36"/>
      <c r="HU45" s="36"/>
      <c r="HV45" s="36"/>
      <c r="HW45" s="36"/>
      <c r="HX45" s="36"/>
      <c r="HY45" s="36"/>
      <c r="HZ45" s="36"/>
      <c r="IA45" s="36"/>
      <c r="IB45" s="36"/>
      <c r="IC45" s="36"/>
      <c r="ID45" s="37"/>
      <c r="IE45" s="44"/>
      <c r="IF45" s="36"/>
      <c r="IG45" s="36"/>
      <c r="IH45" s="36"/>
      <c r="II45" s="36"/>
      <c r="IJ45" s="36"/>
      <c r="IK45" s="36"/>
      <c r="IL45" s="36"/>
      <c r="IM45" s="36"/>
      <c r="IN45" s="36"/>
      <c r="IO45" s="36"/>
      <c r="IP45" s="36"/>
      <c r="IQ45" s="36"/>
      <c r="IR45" s="36"/>
      <c r="IS45" s="36"/>
      <c r="IT45" s="36"/>
      <c r="IU45" s="37"/>
      <c r="IV45" s="44"/>
      <c r="IW45" s="36"/>
      <c r="IX45" s="36"/>
      <c r="IY45" s="36"/>
      <c r="IZ45" s="36"/>
      <c r="JA45" s="36"/>
      <c r="JB45" s="36"/>
      <c r="JC45" s="36"/>
      <c r="JD45" s="36"/>
      <c r="JE45" s="36"/>
      <c r="JF45" s="36"/>
      <c r="JG45" s="36"/>
      <c r="JH45" s="36"/>
      <c r="JI45" s="36"/>
      <c r="JJ45" s="36"/>
      <c r="JK45" s="36"/>
      <c r="JL45" s="37"/>
      <c r="JM45" s="44"/>
      <c r="JN45" s="36"/>
      <c r="JO45" s="36"/>
      <c r="JP45" s="36"/>
      <c r="JQ45" s="36"/>
      <c r="JR45" s="36"/>
      <c r="JS45" s="36"/>
      <c r="JT45" s="36"/>
      <c r="JU45" s="36"/>
      <c r="JV45" s="36"/>
      <c r="JW45" s="36"/>
      <c r="JX45" s="36"/>
      <c r="JY45" s="36"/>
      <c r="JZ45" s="36"/>
      <c r="KA45" s="36"/>
      <c r="KB45" s="36"/>
      <c r="KC45" s="37"/>
      <c r="KD45" s="44"/>
      <c r="KE45" s="36"/>
      <c r="KF45" s="36"/>
      <c r="KG45" s="36"/>
      <c r="KH45" s="36"/>
      <c r="KI45" s="36"/>
      <c r="KJ45" s="36"/>
      <c r="KK45" s="36"/>
      <c r="KL45" s="36"/>
      <c r="KM45" s="36"/>
      <c r="KN45" s="36"/>
      <c r="KO45" s="36"/>
      <c r="KP45" s="36"/>
      <c r="KQ45" s="36"/>
      <c r="KR45" s="36"/>
      <c r="KS45" s="36"/>
      <c r="KT45" s="37"/>
      <c r="KU45" s="36"/>
    </row>
    <row r="46" ht="33.75" customHeight="1">
      <c r="A46" s="136" t="s">
        <v>34</v>
      </c>
      <c r="B46" s="137" t="s">
        <v>35</v>
      </c>
      <c r="C46" s="138" t="s">
        <v>36</v>
      </c>
      <c r="D46" s="66"/>
      <c r="E46" s="66"/>
      <c r="F46" s="66"/>
      <c r="G46" s="67"/>
      <c r="H46" s="138" t="s">
        <v>37</v>
      </c>
      <c r="I46" s="67"/>
      <c r="J46" s="138" t="s">
        <v>38</v>
      </c>
      <c r="K46" s="66"/>
      <c r="L46" s="67"/>
      <c r="M46" s="137" t="s">
        <v>39</v>
      </c>
      <c r="N46" s="138" t="s">
        <v>40</v>
      </c>
      <c r="O46" s="67"/>
      <c r="P46" s="139" t="s">
        <v>41</v>
      </c>
      <c r="Q46" s="140"/>
      <c r="R46" s="136" t="s">
        <v>34</v>
      </c>
      <c r="S46" s="137" t="s">
        <v>35</v>
      </c>
      <c r="T46" s="138" t="s">
        <v>36</v>
      </c>
      <c r="U46" s="66"/>
      <c r="V46" s="66"/>
      <c r="W46" s="66"/>
      <c r="X46" s="67"/>
      <c r="Y46" s="138" t="s">
        <v>37</v>
      </c>
      <c r="Z46" s="67"/>
      <c r="AA46" s="138" t="s">
        <v>38</v>
      </c>
      <c r="AB46" s="66"/>
      <c r="AC46" s="67"/>
      <c r="AD46" s="137" t="s">
        <v>39</v>
      </c>
      <c r="AE46" s="138" t="s">
        <v>40</v>
      </c>
      <c r="AF46" s="67"/>
      <c r="AG46" s="139" t="s">
        <v>41</v>
      </c>
      <c r="AH46" s="140"/>
      <c r="AI46" s="136" t="s">
        <v>34</v>
      </c>
      <c r="AJ46" s="137" t="s">
        <v>35</v>
      </c>
      <c r="AK46" s="138" t="s">
        <v>36</v>
      </c>
      <c r="AL46" s="66"/>
      <c r="AM46" s="66"/>
      <c r="AN46" s="66"/>
      <c r="AO46" s="67"/>
      <c r="AP46" s="138" t="s">
        <v>37</v>
      </c>
      <c r="AQ46" s="67"/>
      <c r="AR46" s="138" t="s">
        <v>38</v>
      </c>
      <c r="AS46" s="66"/>
      <c r="AT46" s="67"/>
      <c r="AU46" s="137" t="s">
        <v>39</v>
      </c>
      <c r="AV46" s="138" t="s">
        <v>40</v>
      </c>
      <c r="AW46" s="67"/>
      <c r="AX46" s="139" t="s">
        <v>41</v>
      </c>
      <c r="AY46" s="140"/>
      <c r="AZ46" s="136" t="s">
        <v>34</v>
      </c>
      <c r="BA46" s="137" t="s">
        <v>35</v>
      </c>
      <c r="BB46" s="138" t="s">
        <v>36</v>
      </c>
      <c r="BC46" s="66"/>
      <c r="BD46" s="66"/>
      <c r="BE46" s="66"/>
      <c r="BF46" s="67"/>
      <c r="BG46" s="138" t="s">
        <v>37</v>
      </c>
      <c r="BH46" s="67"/>
      <c r="BI46" s="138" t="s">
        <v>38</v>
      </c>
      <c r="BJ46" s="66"/>
      <c r="BK46" s="67"/>
      <c r="BL46" s="137" t="s">
        <v>39</v>
      </c>
      <c r="BM46" s="138" t="s">
        <v>40</v>
      </c>
      <c r="BN46" s="67"/>
      <c r="BO46" s="139" t="s">
        <v>41</v>
      </c>
      <c r="BP46" s="140"/>
      <c r="BQ46" s="136" t="s">
        <v>34</v>
      </c>
      <c r="BR46" s="137" t="s">
        <v>35</v>
      </c>
      <c r="BS46" s="138" t="s">
        <v>36</v>
      </c>
      <c r="BT46" s="66"/>
      <c r="BU46" s="66"/>
      <c r="BV46" s="66"/>
      <c r="BW46" s="67"/>
      <c r="BX46" s="138" t="s">
        <v>37</v>
      </c>
      <c r="BY46" s="67"/>
      <c r="BZ46" s="138" t="s">
        <v>38</v>
      </c>
      <c r="CA46" s="66"/>
      <c r="CB46" s="67"/>
      <c r="CC46" s="137" t="s">
        <v>39</v>
      </c>
      <c r="CD46" s="138" t="s">
        <v>40</v>
      </c>
      <c r="CE46" s="67"/>
      <c r="CF46" s="139" t="s">
        <v>41</v>
      </c>
      <c r="CG46" s="140"/>
      <c r="CH46" s="136" t="s">
        <v>34</v>
      </c>
      <c r="CI46" s="137" t="s">
        <v>35</v>
      </c>
      <c r="CJ46" s="138" t="s">
        <v>36</v>
      </c>
      <c r="CK46" s="66"/>
      <c r="CL46" s="66"/>
      <c r="CM46" s="66"/>
      <c r="CN46" s="67"/>
      <c r="CO46" s="138" t="s">
        <v>37</v>
      </c>
      <c r="CP46" s="67"/>
      <c r="CQ46" s="138" t="s">
        <v>38</v>
      </c>
      <c r="CR46" s="66"/>
      <c r="CS46" s="67"/>
      <c r="CT46" s="137" t="s">
        <v>39</v>
      </c>
      <c r="CU46" s="138" t="s">
        <v>40</v>
      </c>
      <c r="CV46" s="67"/>
      <c r="CW46" s="139" t="s">
        <v>41</v>
      </c>
      <c r="CX46" s="140"/>
      <c r="CY46" s="136" t="s">
        <v>34</v>
      </c>
      <c r="CZ46" s="137" t="s">
        <v>35</v>
      </c>
      <c r="DA46" s="138" t="s">
        <v>36</v>
      </c>
      <c r="DB46" s="66"/>
      <c r="DC46" s="66"/>
      <c r="DD46" s="66"/>
      <c r="DE46" s="67"/>
      <c r="DF46" s="138" t="s">
        <v>37</v>
      </c>
      <c r="DG46" s="67"/>
      <c r="DH46" s="138" t="s">
        <v>38</v>
      </c>
      <c r="DI46" s="66"/>
      <c r="DJ46" s="67"/>
      <c r="DK46" s="137" t="s">
        <v>39</v>
      </c>
      <c r="DL46" s="138" t="s">
        <v>40</v>
      </c>
      <c r="DM46" s="67"/>
      <c r="DN46" s="139" t="s">
        <v>41</v>
      </c>
      <c r="DO46" s="140"/>
      <c r="DP46" s="136" t="s">
        <v>34</v>
      </c>
      <c r="DQ46" s="137" t="s">
        <v>35</v>
      </c>
      <c r="DR46" s="138" t="s">
        <v>36</v>
      </c>
      <c r="DS46" s="66"/>
      <c r="DT46" s="66"/>
      <c r="DU46" s="66"/>
      <c r="DV46" s="67"/>
      <c r="DW46" s="138" t="s">
        <v>37</v>
      </c>
      <c r="DX46" s="67"/>
      <c r="DY46" s="138" t="s">
        <v>38</v>
      </c>
      <c r="DZ46" s="66"/>
      <c r="EA46" s="67"/>
      <c r="EB46" s="137" t="s">
        <v>39</v>
      </c>
      <c r="EC46" s="138" t="s">
        <v>40</v>
      </c>
      <c r="ED46" s="67"/>
      <c r="EE46" s="139" t="s">
        <v>41</v>
      </c>
      <c r="EF46" s="140"/>
      <c r="EG46" s="136" t="s">
        <v>34</v>
      </c>
      <c r="EH46" s="137" t="s">
        <v>35</v>
      </c>
      <c r="EI46" s="138" t="s">
        <v>36</v>
      </c>
      <c r="EJ46" s="66"/>
      <c r="EK46" s="66"/>
      <c r="EL46" s="66"/>
      <c r="EM46" s="67"/>
      <c r="EN46" s="138" t="s">
        <v>37</v>
      </c>
      <c r="EO46" s="67"/>
      <c r="EP46" s="138" t="s">
        <v>38</v>
      </c>
      <c r="EQ46" s="66"/>
      <c r="ER46" s="67"/>
      <c r="ES46" s="137" t="s">
        <v>39</v>
      </c>
      <c r="ET46" s="138" t="s">
        <v>40</v>
      </c>
      <c r="EU46" s="67"/>
      <c r="EV46" s="139" t="s">
        <v>41</v>
      </c>
      <c r="EW46" s="140"/>
      <c r="EX46" s="136" t="s">
        <v>34</v>
      </c>
      <c r="EY46" s="137" t="s">
        <v>35</v>
      </c>
      <c r="EZ46" s="138" t="s">
        <v>36</v>
      </c>
      <c r="FA46" s="66"/>
      <c r="FB46" s="66"/>
      <c r="FC46" s="66"/>
      <c r="FD46" s="67"/>
      <c r="FE46" s="138" t="s">
        <v>37</v>
      </c>
      <c r="FF46" s="67"/>
      <c r="FG46" s="138" t="s">
        <v>38</v>
      </c>
      <c r="FH46" s="66"/>
      <c r="FI46" s="67"/>
      <c r="FJ46" s="137" t="s">
        <v>39</v>
      </c>
      <c r="FK46" s="138" t="s">
        <v>40</v>
      </c>
      <c r="FL46" s="67"/>
      <c r="FM46" s="139" t="s">
        <v>41</v>
      </c>
      <c r="FN46" s="140"/>
      <c r="FO46" s="136" t="s">
        <v>34</v>
      </c>
      <c r="FP46" s="137" t="s">
        <v>35</v>
      </c>
      <c r="FQ46" s="138" t="s">
        <v>36</v>
      </c>
      <c r="FR46" s="66"/>
      <c r="FS46" s="66"/>
      <c r="FT46" s="66"/>
      <c r="FU46" s="67"/>
      <c r="FV46" s="138" t="s">
        <v>37</v>
      </c>
      <c r="FW46" s="67"/>
      <c r="FX46" s="138" t="s">
        <v>38</v>
      </c>
      <c r="FY46" s="66"/>
      <c r="FZ46" s="67"/>
      <c r="GA46" s="137" t="s">
        <v>39</v>
      </c>
      <c r="GB46" s="138" t="s">
        <v>40</v>
      </c>
      <c r="GC46" s="67"/>
      <c r="GD46" s="139" t="s">
        <v>41</v>
      </c>
      <c r="GE46" s="140"/>
      <c r="GF46" s="136" t="s">
        <v>34</v>
      </c>
      <c r="GG46" s="137" t="s">
        <v>35</v>
      </c>
      <c r="GH46" s="138" t="s">
        <v>36</v>
      </c>
      <c r="GI46" s="66"/>
      <c r="GJ46" s="66"/>
      <c r="GK46" s="66"/>
      <c r="GL46" s="67"/>
      <c r="GM46" s="138" t="s">
        <v>37</v>
      </c>
      <c r="GN46" s="67"/>
      <c r="GO46" s="138" t="s">
        <v>38</v>
      </c>
      <c r="GP46" s="66"/>
      <c r="GQ46" s="67"/>
      <c r="GR46" s="137" t="s">
        <v>39</v>
      </c>
      <c r="GS46" s="138" t="s">
        <v>40</v>
      </c>
      <c r="GT46" s="67"/>
      <c r="GU46" s="139" t="s">
        <v>41</v>
      </c>
      <c r="GV46" s="140"/>
      <c r="GW46" s="136" t="s">
        <v>34</v>
      </c>
      <c r="GX46" s="137" t="s">
        <v>35</v>
      </c>
      <c r="GY46" s="138" t="s">
        <v>36</v>
      </c>
      <c r="GZ46" s="66"/>
      <c r="HA46" s="66"/>
      <c r="HB46" s="66"/>
      <c r="HC46" s="67"/>
      <c r="HD46" s="138" t="s">
        <v>37</v>
      </c>
      <c r="HE46" s="67"/>
      <c r="HF46" s="138" t="s">
        <v>38</v>
      </c>
      <c r="HG46" s="66"/>
      <c r="HH46" s="67"/>
      <c r="HI46" s="137" t="s">
        <v>39</v>
      </c>
      <c r="HJ46" s="138" t="s">
        <v>40</v>
      </c>
      <c r="HK46" s="67"/>
      <c r="HL46" s="139" t="s">
        <v>41</v>
      </c>
      <c r="HM46" s="140"/>
      <c r="HN46" s="136" t="s">
        <v>34</v>
      </c>
      <c r="HO46" s="137" t="s">
        <v>35</v>
      </c>
      <c r="HP46" s="138" t="s">
        <v>36</v>
      </c>
      <c r="HQ46" s="66"/>
      <c r="HR46" s="66"/>
      <c r="HS46" s="66"/>
      <c r="HT46" s="67"/>
      <c r="HU46" s="138" t="s">
        <v>37</v>
      </c>
      <c r="HV46" s="67"/>
      <c r="HW46" s="138" t="s">
        <v>38</v>
      </c>
      <c r="HX46" s="66"/>
      <c r="HY46" s="67"/>
      <c r="HZ46" s="137" t="s">
        <v>39</v>
      </c>
      <c r="IA46" s="138" t="s">
        <v>40</v>
      </c>
      <c r="IB46" s="67"/>
      <c r="IC46" s="139" t="s">
        <v>41</v>
      </c>
      <c r="ID46" s="140"/>
      <c r="IE46" s="136" t="s">
        <v>34</v>
      </c>
      <c r="IF46" s="137" t="s">
        <v>35</v>
      </c>
      <c r="IG46" s="138" t="s">
        <v>36</v>
      </c>
      <c r="IH46" s="66"/>
      <c r="II46" s="66"/>
      <c r="IJ46" s="66"/>
      <c r="IK46" s="67"/>
      <c r="IL46" s="138" t="s">
        <v>37</v>
      </c>
      <c r="IM46" s="67"/>
      <c r="IN46" s="138" t="s">
        <v>38</v>
      </c>
      <c r="IO46" s="66"/>
      <c r="IP46" s="67"/>
      <c r="IQ46" s="137" t="s">
        <v>39</v>
      </c>
      <c r="IR46" s="138" t="s">
        <v>40</v>
      </c>
      <c r="IS46" s="67"/>
      <c r="IT46" s="139" t="s">
        <v>41</v>
      </c>
      <c r="IU46" s="140"/>
      <c r="IV46" s="136" t="s">
        <v>34</v>
      </c>
      <c r="IW46" s="137" t="s">
        <v>35</v>
      </c>
      <c r="IX46" s="138" t="s">
        <v>36</v>
      </c>
      <c r="IY46" s="66"/>
      <c r="IZ46" s="66"/>
      <c r="JA46" s="66"/>
      <c r="JB46" s="67"/>
      <c r="JC46" s="138" t="s">
        <v>37</v>
      </c>
      <c r="JD46" s="67"/>
      <c r="JE46" s="138" t="s">
        <v>38</v>
      </c>
      <c r="JF46" s="66"/>
      <c r="JG46" s="67"/>
      <c r="JH46" s="137" t="s">
        <v>39</v>
      </c>
      <c r="JI46" s="138" t="s">
        <v>40</v>
      </c>
      <c r="JJ46" s="67"/>
      <c r="JK46" s="139" t="s">
        <v>41</v>
      </c>
      <c r="JL46" s="141"/>
      <c r="JM46" s="136" t="s">
        <v>34</v>
      </c>
      <c r="JN46" s="137" t="s">
        <v>35</v>
      </c>
      <c r="JO46" s="138" t="s">
        <v>36</v>
      </c>
      <c r="JP46" s="66"/>
      <c r="JQ46" s="66"/>
      <c r="JR46" s="66"/>
      <c r="JS46" s="67"/>
      <c r="JT46" s="138" t="s">
        <v>37</v>
      </c>
      <c r="JU46" s="67"/>
      <c r="JV46" s="138" t="s">
        <v>38</v>
      </c>
      <c r="JW46" s="66"/>
      <c r="JX46" s="67"/>
      <c r="JY46" s="137" t="s">
        <v>39</v>
      </c>
      <c r="JZ46" s="138" t="s">
        <v>40</v>
      </c>
      <c r="KA46" s="67"/>
      <c r="KB46" s="139" t="s">
        <v>41</v>
      </c>
      <c r="KC46" s="141"/>
      <c r="KD46" s="136" t="s">
        <v>34</v>
      </c>
      <c r="KE46" s="137" t="s">
        <v>35</v>
      </c>
      <c r="KF46" s="138" t="s">
        <v>36</v>
      </c>
      <c r="KG46" s="66"/>
      <c r="KH46" s="66"/>
      <c r="KI46" s="66"/>
      <c r="KJ46" s="67"/>
      <c r="KK46" s="138" t="s">
        <v>37</v>
      </c>
      <c r="KL46" s="67"/>
      <c r="KM46" s="138" t="s">
        <v>38</v>
      </c>
      <c r="KN46" s="66"/>
      <c r="KO46" s="67"/>
      <c r="KP46" s="137" t="s">
        <v>39</v>
      </c>
      <c r="KQ46" s="138" t="s">
        <v>40</v>
      </c>
      <c r="KR46" s="67"/>
      <c r="KS46" s="139" t="s">
        <v>41</v>
      </c>
      <c r="KT46" s="141"/>
      <c r="KU46" s="142"/>
    </row>
    <row r="47" ht="66.0" customHeight="1">
      <c r="A47" s="72"/>
      <c r="B47" s="55"/>
      <c r="C47" s="143" t="s">
        <v>42</v>
      </c>
      <c r="D47" s="143" t="s">
        <v>43</v>
      </c>
      <c r="E47" s="143" t="s">
        <v>44</v>
      </c>
      <c r="F47" s="143" t="s">
        <v>45</v>
      </c>
      <c r="G47" s="143" t="s">
        <v>46</v>
      </c>
      <c r="H47" s="144" t="s">
        <v>47</v>
      </c>
      <c r="I47" s="143" t="s">
        <v>48</v>
      </c>
      <c r="J47" s="144" t="str">
        <f>"Total Biaya Perawatan "&amp;G43&amp;" (Juta Rp)"</f>
        <v>Total Biaya Perawatan Triwulan I (Juta Rp)</v>
      </c>
      <c r="K47" s="143" t="str">
        <f>"Total Biaya Perawatan Sebelumnya "&amp;" (Juta Rp)"</f>
        <v>Total Biaya Perawatan Sebelumnya  (Juta Rp)</v>
      </c>
      <c r="L47" s="143" t="s">
        <v>49</v>
      </c>
      <c r="M47" s="55"/>
      <c r="N47" s="144" t="s">
        <v>47</v>
      </c>
      <c r="O47" s="144" t="s">
        <v>50</v>
      </c>
      <c r="P47" s="75"/>
      <c r="Q47" s="140"/>
      <c r="R47" s="72"/>
      <c r="S47" s="55"/>
      <c r="T47" s="143" t="s">
        <v>42</v>
      </c>
      <c r="U47" s="143" t="s">
        <v>43</v>
      </c>
      <c r="V47" s="143" t="s">
        <v>44</v>
      </c>
      <c r="W47" s="143" t="s">
        <v>45</v>
      </c>
      <c r="X47" s="143" t="s">
        <v>46</v>
      </c>
      <c r="Y47" s="144" t="s">
        <v>47</v>
      </c>
      <c r="Z47" s="143" t="s">
        <v>48</v>
      </c>
      <c r="AA47" s="144" t="str">
        <f>"Total Biaya Perawatan "&amp;X43&amp;" (Juta Rp)"</f>
        <v>Total Biaya Perawatan Triwulan I (Juta Rp)</v>
      </c>
      <c r="AB47" s="143" t="str">
        <f>"Total Biaya Perawatan Sebelumnya "&amp;" (Juta Rp)"</f>
        <v>Total Biaya Perawatan Sebelumnya  (Juta Rp)</v>
      </c>
      <c r="AC47" s="143" t="s">
        <v>49</v>
      </c>
      <c r="AD47" s="55"/>
      <c r="AE47" s="144" t="s">
        <v>47</v>
      </c>
      <c r="AF47" s="144" t="s">
        <v>50</v>
      </c>
      <c r="AG47" s="75"/>
      <c r="AH47" s="140"/>
      <c r="AI47" s="72"/>
      <c r="AJ47" s="55"/>
      <c r="AK47" s="143" t="s">
        <v>42</v>
      </c>
      <c r="AL47" s="143" t="s">
        <v>43</v>
      </c>
      <c r="AM47" s="143" t="s">
        <v>44</v>
      </c>
      <c r="AN47" s="143" t="s">
        <v>45</v>
      </c>
      <c r="AO47" s="143" t="s">
        <v>46</v>
      </c>
      <c r="AP47" s="144" t="s">
        <v>47</v>
      </c>
      <c r="AQ47" s="143" t="s">
        <v>48</v>
      </c>
      <c r="AR47" s="144" t="str">
        <f>"Total Biaya Perawatan "&amp;AO43&amp;" (Juta Rp)"</f>
        <v>Total Biaya Perawatan Triwulan I (Juta Rp)</v>
      </c>
      <c r="AS47" s="143" t="str">
        <f>"Total Biaya Perawatan Sebelumnya "&amp;" (Juta Rp)"</f>
        <v>Total Biaya Perawatan Sebelumnya  (Juta Rp)</v>
      </c>
      <c r="AT47" s="143" t="s">
        <v>49</v>
      </c>
      <c r="AU47" s="55"/>
      <c r="AV47" s="144" t="s">
        <v>47</v>
      </c>
      <c r="AW47" s="144" t="s">
        <v>50</v>
      </c>
      <c r="AX47" s="75"/>
      <c r="AY47" s="140"/>
      <c r="AZ47" s="72"/>
      <c r="BA47" s="55"/>
      <c r="BB47" s="143" t="s">
        <v>42</v>
      </c>
      <c r="BC47" s="143" t="s">
        <v>43</v>
      </c>
      <c r="BD47" s="143" t="s">
        <v>44</v>
      </c>
      <c r="BE47" s="143" t="s">
        <v>45</v>
      </c>
      <c r="BF47" s="143" t="s">
        <v>46</v>
      </c>
      <c r="BG47" s="144" t="s">
        <v>47</v>
      </c>
      <c r="BH47" s="143" t="s">
        <v>48</v>
      </c>
      <c r="BI47" s="144" t="str">
        <f>"Total Biaya Perawatan "&amp;BF43&amp;" (Juta Rp)"</f>
        <v>Total Biaya Perawatan Triwulan I (Juta Rp)</v>
      </c>
      <c r="BJ47" s="143" t="str">
        <f>"Total Biaya Perawatan Sebelumnya "&amp;" (Juta Rp)"</f>
        <v>Total Biaya Perawatan Sebelumnya  (Juta Rp)</v>
      </c>
      <c r="BK47" s="143" t="s">
        <v>49</v>
      </c>
      <c r="BL47" s="55"/>
      <c r="BM47" s="144" t="s">
        <v>47</v>
      </c>
      <c r="BN47" s="144" t="s">
        <v>50</v>
      </c>
      <c r="BO47" s="75"/>
      <c r="BP47" s="140"/>
      <c r="BQ47" s="72"/>
      <c r="BR47" s="55"/>
      <c r="BS47" s="143" t="s">
        <v>42</v>
      </c>
      <c r="BT47" s="143" t="s">
        <v>43</v>
      </c>
      <c r="BU47" s="143" t="s">
        <v>44</v>
      </c>
      <c r="BV47" s="143" t="s">
        <v>45</v>
      </c>
      <c r="BW47" s="143" t="s">
        <v>46</v>
      </c>
      <c r="BX47" s="144" t="s">
        <v>47</v>
      </c>
      <c r="BY47" s="143" t="s">
        <v>48</v>
      </c>
      <c r="BZ47" s="144" t="str">
        <f>"Total Biaya Perawatan "&amp;BW43&amp;" (Juta Rp)"</f>
        <v>Total Biaya Perawatan Triwulan I (Juta Rp)</v>
      </c>
      <c r="CA47" s="143" t="str">
        <f>"Total Biaya Perawatan Sebelumnya "&amp;" (Juta Rp)"</f>
        <v>Total Biaya Perawatan Sebelumnya  (Juta Rp)</v>
      </c>
      <c r="CB47" s="143" t="s">
        <v>49</v>
      </c>
      <c r="CC47" s="55"/>
      <c r="CD47" s="144" t="s">
        <v>47</v>
      </c>
      <c r="CE47" s="144" t="s">
        <v>50</v>
      </c>
      <c r="CF47" s="75"/>
      <c r="CG47" s="140"/>
      <c r="CH47" s="72"/>
      <c r="CI47" s="55"/>
      <c r="CJ47" s="143" t="s">
        <v>42</v>
      </c>
      <c r="CK47" s="143" t="s">
        <v>43</v>
      </c>
      <c r="CL47" s="143" t="s">
        <v>44</v>
      </c>
      <c r="CM47" s="143" t="s">
        <v>45</v>
      </c>
      <c r="CN47" s="143" t="s">
        <v>46</v>
      </c>
      <c r="CO47" s="144" t="s">
        <v>47</v>
      </c>
      <c r="CP47" s="143" t="s">
        <v>48</v>
      </c>
      <c r="CQ47" s="144" t="str">
        <f>"Total Biaya Perawatan "&amp;CN43&amp;" (Juta Rp)"</f>
        <v>Total Biaya Perawatan Triwulan I (Juta Rp)</v>
      </c>
      <c r="CR47" s="143" t="str">
        <f>"Total Biaya Perawatan Sebelumnya "&amp;" (Juta Rp)"</f>
        <v>Total Biaya Perawatan Sebelumnya  (Juta Rp)</v>
      </c>
      <c r="CS47" s="143" t="s">
        <v>49</v>
      </c>
      <c r="CT47" s="55"/>
      <c r="CU47" s="144" t="s">
        <v>47</v>
      </c>
      <c r="CV47" s="144" t="s">
        <v>50</v>
      </c>
      <c r="CW47" s="75"/>
      <c r="CX47" s="140"/>
      <c r="CY47" s="72"/>
      <c r="CZ47" s="55"/>
      <c r="DA47" s="143" t="s">
        <v>42</v>
      </c>
      <c r="DB47" s="143" t="s">
        <v>43</v>
      </c>
      <c r="DC47" s="143" t="s">
        <v>44</v>
      </c>
      <c r="DD47" s="143" t="s">
        <v>45</v>
      </c>
      <c r="DE47" s="143" t="s">
        <v>46</v>
      </c>
      <c r="DF47" s="144" t="s">
        <v>47</v>
      </c>
      <c r="DG47" s="143" t="s">
        <v>48</v>
      </c>
      <c r="DH47" s="144" t="str">
        <f>"Total Biaya Perawatan "&amp;DE43&amp;" (Juta Rp)"</f>
        <v>Total Biaya Perawatan Triwulan I (Juta Rp)</v>
      </c>
      <c r="DI47" s="143" t="str">
        <f>"Total Biaya Perawatan Sebelumnya "&amp;" (Juta Rp)"</f>
        <v>Total Biaya Perawatan Sebelumnya  (Juta Rp)</v>
      </c>
      <c r="DJ47" s="143" t="s">
        <v>49</v>
      </c>
      <c r="DK47" s="55"/>
      <c r="DL47" s="144" t="s">
        <v>47</v>
      </c>
      <c r="DM47" s="144" t="s">
        <v>50</v>
      </c>
      <c r="DN47" s="75"/>
      <c r="DO47" s="140"/>
      <c r="DP47" s="72"/>
      <c r="DQ47" s="55"/>
      <c r="DR47" s="143" t="s">
        <v>42</v>
      </c>
      <c r="DS47" s="143" t="s">
        <v>43</v>
      </c>
      <c r="DT47" s="143" t="s">
        <v>44</v>
      </c>
      <c r="DU47" s="143" t="s">
        <v>45</v>
      </c>
      <c r="DV47" s="143" t="s">
        <v>46</v>
      </c>
      <c r="DW47" s="144" t="s">
        <v>47</v>
      </c>
      <c r="DX47" s="143" t="s">
        <v>48</v>
      </c>
      <c r="DY47" s="144" t="str">
        <f>"Total Biaya Perawatan "&amp;DV43&amp;" (Juta Rp)"</f>
        <v>Total Biaya Perawatan Triwulan I (Juta Rp)</v>
      </c>
      <c r="DZ47" s="143" t="str">
        <f>"Total Biaya Perawatan Sebelumnya "&amp;" (Juta Rp)"</f>
        <v>Total Biaya Perawatan Sebelumnya  (Juta Rp)</v>
      </c>
      <c r="EA47" s="143" t="s">
        <v>49</v>
      </c>
      <c r="EB47" s="55"/>
      <c r="EC47" s="144" t="s">
        <v>47</v>
      </c>
      <c r="ED47" s="144" t="s">
        <v>50</v>
      </c>
      <c r="EE47" s="75"/>
      <c r="EF47" s="140"/>
      <c r="EG47" s="72"/>
      <c r="EH47" s="55"/>
      <c r="EI47" s="143" t="s">
        <v>42</v>
      </c>
      <c r="EJ47" s="143" t="s">
        <v>43</v>
      </c>
      <c r="EK47" s="143" t="s">
        <v>44</v>
      </c>
      <c r="EL47" s="143" t="s">
        <v>45</v>
      </c>
      <c r="EM47" s="143" t="s">
        <v>46</v>
      </c>
      <c r="EN47" s="144" t="s">
        <v>47</v>
      </c>
      <c r="EO47" s="143" t="s">
        <v>48</v>
      </c>
      <c r="EP47" s="144" t="str">
        <f>"Total Biaya Perawatan "&amp;EM43&amp;" (Juta Rp)"</f>
        <v>Total Biaya Perawatan Triwulan I (Juta Rp)</v>
      </c>
      <c r="EQ47" s="143" t="str">
        <f>"Total Biaya Perawatan Sebelumnya "&amp;" (Juta Rp)"</f>
        <v>Total Biaya Perawatan Sebelumnya  (Juta Rp)</v>
      </c>
      <c r="ER47" s="143" t="s">
        <v>49</v>
      </c>
      <c r="ES47" s="55"/>
      <c r="ET47" s="144" t="s">
        <v>47</v>
      </c>
      <c r="EU47" s="144" t="s">
        <v>50</v>
      </c>
      <c r="EV47" s="75"/>
      <c r="EW47" s="140"/>
      <c r="EX47" s="72"/>
      <c r="EY47" s="55"/>
      <c r="EZ47" s="143" t="s">
        <v>42</v>
      </c>
      <c r="FA47" s="143" t="s">
        <v>43</v>
      </c>
      <c r="FB47" s="143" t="s">
        <v>44</v>
      </c>
      <c r="FC47" s="143" t="s">
        <v>45</v>
      </c>
      <c r="FD47" s="143" t="s">
        <v>46</v>
      </c>
      <c r="FE47" s="144" t="s">
        <v>47</v>
      </c>
      <c r="FF47" s="143" t="s">
        <v>48</v>
      </c>
      <c r="FG47" s="144" t="str">
        <f>"Total Biaya Perawatan "&amp;FD43&amp;" (Juta Rp)"</f>
        <v>Total Biaya Perawatan Triwulan I (Juta Rp)</v>
      </c>
      <c r="FH47" s="143" t="str">
        <f>"Total Biaya Perawatan Sebelumnya "&amp;" (Juta Rp)"</f>
        <v>Total Biaya Perawatan Sebelumnya  (Juta Rp)</v>
      </c>
      <c r="FI47" s="143" t="s">
        <v>49</v>
      </c>
      <c r="FJ47" s="55"/>
      <c r="FK47" s="144" t="s">
        <v>47</v>
      </c>
      <c r="FL47" s="144" t="s">
        <v>50</v>
      </c>
      <c r="FM47" s="75"/>
      <c r="FN47" s="140"/>
      <c r="FO47" s="72"/>
      <c r="FP47" s="55"/>
      <c r="FQ47" s="143" t="s">
        <v>42</v>
      </c>
      <c r="FR47" s="143" t="s">
        <v>43</v>
      </c>
      <c r="FS47" s="143" t="s">
        <v>44</v>
      </c>
      <c r="FT47" s="143" t="s">
        <v>45</v>
      </c>
      <c r="FU47" s="143" t="s">
        <v>46</v>
      </c>
      <c r="FV47" s="144" t="s">
        <v>47</v>
      </c>
      <c r="FW47" s="143" t="s">
        <v>48</v>
      </c>
      <c r="FX47" s="144" t="str">
        <f>"Total Biaya Perawatan "&amp;FU43&amp;" (Juta Rp)"</f>
        <v>Total Biaya Perawatan Triwulan I (Juta Rp)</v>
      </c>
      <c r="FY47" s="143" t="str">
        <f>"Total Biaya Perawatan Sebelumnya "&amp;" (Juta Rp)"</f>
        <v>Total Biaya Perawatan Sebelumnya  (Juta Rp)</v>
      </c>
      <c r="FZ47" s="143" t="s">
        <v>49</v>
      </c>
      <c r="GA47" s="55"/>
      <c r="GB47" s="144" t="s">
        <v>47</v>
      </c>
      <c r="GC47" s="144" t="s">
        <v>50</v>
      </c>
      <c r="GD47" s="75"/>
      <c r="GE47" s="140"/>
      <c r="GF47" s="72"/>
      <c r="GG47" s="55"/>
      <c r="GH47" s="143" t="s">
        <v>42</v>
      </c>
      <c r="GI47" s="143" t="s">
        <v>43</v>
      </c>
      <c r="GJ47" s="143" t="s">
        <v>44</v>
      </c>
      <c r="GK47" s="143" t="s">
        <v>45</v>
      </c>
      <c r="GL47" s="143" t="s">
        <v>46</v>
      </c>
      <c r="GM47" s="144" t="s">
        <v>47</v>
      </c>
      <c r="GN47" s="143" t="s">
        <v>48</v>
      </c>
      <c r="GO47" s="144" t="str">
        <f>"Total Biaya Perawatan "&amp;GL43&amp;" (Juta Rp)"</f>
        <v>Total Biaya Perawatan Triwulan I (Juta Rp)</v>
      </c>
      <c r="GP47" s="143" t="str">
        <f>"Total Biaya Perawatan Sebelumnya "&amp;" (Juta Rp)"</f>
        <v>Total Biaya Perawatan Sebelumnya  (Juta Rp)</v>
      </c>
      <c r="GQ47" s="143" t="s">
        <v>49</v>
      </c>
      <c r="GR47" s="55"/>
      <c r="GS47" s="144" t="s">
        <v>47</v>
      </c>
      <c r="GT47" s="144" t="s">
        <v>50</v>
      </c>
      <c r="GU47" s="75"/>
      <c r="GV47" s="140"/>
      <c r="GW47" s="72"/>
      <c r="GX47" s="55"/>
      <c r="GY47" s="143" t="s">
        <v>42</v>
      </c>
      <c r="GZ47" s="143" t="s">
        <v>43</v>
      </c>
      <c r="HA47" s="143" t="s">
        <v>44</v>
      </c>
      <c r="HB47" s="143" t="s">
        <v>45</v>
      </c>
      <c r="HC47" s="143" t="s">
        <v>46</v>
      </c>
      <c r="HD47" s="144" t="s">
        <v>47</v>
      </c>
      <c r="HE47" s="143" t="s">
        <v>48</v>
      </c>
      <c r="HF47" s="144" t="str">
        <f>"Total Biaya Perawatan "&amp;HC43&amp;" (Juta Rp)"</f>
        <v>Total Biaya Perawatan Triwulan I (Juta Rp)</v>
      </c>
      <c r="HG47" s="143" t="str">
        <f>"Total Biaya Perawatan Sebelumnya "&amp;" (Juta Rp)"</f>
        <v>Total Biaya Perawatan Sebelumnya  (Juta Rp)</v>
      </c>
      <c r="HH47" s="143" t="s">
        <v>49</v>
      </c>
      <c r="HI47" s="55"/>
      <c r="HJ47" s="144" t="s">
        <v>47</v>
      </c>
      <c r="HK47" s="144" t="s">
        <v>50</v>
      </c>
      <c r="HL47" s="75"/>
      <c r="HM47" s="140"/>
      <c r="HN47" s="72"/>
      <c r="HO47" s="55"/>
      <c r="HP47" s="143" t="s">
        <v>42</v>
      </c>
      <c r="HQ47" s="143" t="s">
        <v>43</v>
      </c>
      <c r="HR47" s="143" t="s">
        <v>44</v>
      </c>
      <c r="HS47" s="143" t="s">
        <v>45</v>
      </c>
      <c r="HT47" s="143" t="s">
        <v>46</v>
      </c>
      <c r="HU47" s="144" t="s">
        <v>47</v>
      </c>
      <c r="HV47" s="143" t="s">
        <v>48</v>
      </c>
      <c r="HW47" s="144" t="str">
        <f>"Total Biaya Perawatan "&amp;HT43&amp;" (Juta Rp)"</f>
        <v>Total Biaya Perawatan Triwulan I (Juta Rp)</v>
      </c>
      <c r="HX47" s="143" t="str">
        <f>"Total Biaya Perawatan Sebelumnya "&amp;" (Juta Rp)"</f>
        <v>Total Biaya Perawatan Sebelumnya  (Juta Rp)</v>
      </c>
      <c r="HY47" s="143" t="s">
        <v>49</v>
      </c>
      <c r="HZ47" s="55"/>
      <c r="IA47" s="144" t="s">
        <v>47</v>
      </c>
      <c r="IB47" s="144" t="s">
        <v>50</v>
      </c>
      <c r="IC47" s="75"/>
      <c r="ID47" s="140"/>
      <c r="IE47" s="72"/>
      <c r="IF47" s="55"/>
      <c r="IG47" s="143" t="s">
        <v>42</v>
      </c>
      <c r="IH47" s="143" t="s">
        <v>43</v>
      </c>
      <c r="II47" s="143" t="s">
        <v>44</v>
      </c>
      <c r="IJ47" s="143" t="s">
        <v>45</v>
      </c>
      <c r="IK47" s="143" t="s">
        <v>46</v>
      </c>
      <c r="IL47" s="144" t="s">
        <v>47</v>
      </c>
      <c r="IM47" s="143" t="s">
        <v>48</v>
      </c>
      <c r="IN47" s="144" t="str">
        <f>"Total Biaya Perawatan "&amp;IK43&amp;" (Juta Rp)"</f>
        <v>Total Biaya Perawatan Triwulan I (Juta Rp)</v>
      </c>
      <c r="IO47" s="143" t="str">
        <f>"Total Biaya Perawatan Sebelumnya "&amp;" (Juta Rp)"</f>
        <v>Total Biaya Perawatan Sebelumnya  (Juta Rp)</v>
      </c>
      <c r="IP47" s="143" t="s">
        <v>49</v>
      </c>
      <c r="IQ47" s="55"/>
      <c r="IR47" s="144" t="s">
        <v>47</v>
      </c>
      <c r="IS47" s="144" t="s">
        <v>50</v>
      </c>
      <c r="IT47" s="75"/>
      <c r="IU47" s="140"/>
      <c r="IV47" s="72"/>
      <c r="IW47" s="55"/>
      <c r="IX47" s="143" t="s">
        <v>42</v>
      </c>
      <c r="IY47" s="143" t="s">
        <v>43</v>
      </c>
      <c r="IZ47" s="143" t="s">
        <v>44</v>
      </c>
      <c r="JA47" s="143" t="s">
        <v>45</v>
      </c>
      <c r="JB47" s="143" t="s">
        <v>46</v>
      </c>
      <c r="JC47" s="144" t="s">
        <v>47</v>
      </c>
      <c r="JD47" s="143" t="s">
        <v>48</v>
      </c>
      <c r="JE47" s="144" t="str">
        <f>"Total Biaya Perawatan "&amp;JB43&amp;" (Juta Rp)"</f>
        <v>Total Biaya Perawatan Triwulan I (Juta Rp)</v>
      </c>
      <c r="JF47" s="143" t="str">
        <f>"Total Biaya Perawatan Sebelumnya "&amp;" (Juta Rp)"</f>
        <v>Total Biaya Perawatan Sebelumnya  (Juta Rp)</v>
      </c>
      <c r="JG47" s="143" t="s">
        <v>49</v>
      </c>
      <c r="JH47" s="55"/>
      <c r="JI47" s="144" t="s">
        <v>47</v>
      </c>
      <c r="JJ47" s="144" t="s">
        <v>50</v>
      </c>
      <c r="JK47" s="75"/>
      <c r="JL47" s="141"/>
      <c r="JM47" s="72"/>
      <c r="JN47" s="55"/>
      <c r="JO47" s="143" t="s">
        <v>42</v>
      </c>
      <c r="JP47" s="143" t="s">
        <v>43</v>
      </c>
      <c r="JQ47" s="143" t="s">
        <v>44</v>
      </c>
      <c r="JR47" s="143" t="s">
        <v>45</v>
      </c>
      <c r="JS47" s="143" t="s">
        <v>46</v>
      </c>
      <c r="JT47" s="144" t="s">
        <v>47</v>
      </c>
      <c r="JU47" s="143" t="s">
        <v>48</v>
      </c>
      <c r="JV47" s="144" t="str">
        <f>"Total Biaya Perawatan "&amp;JS43&amp;" (Juta Rp)"</f>
        <v>Total Biaya Perawatan Triwulan I (Juta Rp)</v>
      </c>
      <c r="JW47" s="143" t="str">
        <f>"Total Biaya Perawatan Sebelumnya "&amp;" (Juta Rp)"</f>
        <v>Total Biaya Perawatan Sebelumnya  (Juta Rp)</v>
      </c>
      <c r="JX47" s="143" t="s">
        <v>49</v>
      </c>
      <c r="JY47" s="55"/>
      <c r="JZ47" s="144" t="s">
        <v>47</v>
      </c>
      <c r="KA47" s="144" t="s">
        <v>50</v>
      </c>
      <c r="KB47" s="75"/>
      <c r="KC47" s="141"/>
      <c r="KD47" s="72"/>
      <c r="KE47" s="55"/>
      <c r="KF47" s="143" t="s">
        <v>42</v>
      </c>
      <c r="KG47" s="143" t="s">
        <v>43</v>
      </c>
      <c r="KH47" s="143" t="s">
        <v>44</v>
      </c>
      <c r="KI47" s="143" t="s">
        <v>45</v>
      </c>
      <c r="KJ47" s="143" t="s">
        <v>46</v>
      </c>
      <c r="KK47" s="144" t="s">
        <v>47</v>
      </c>
      <c r="KL47" s="143" t="s">
        <v>48</v>
      </c>
      <c r="KM47" s="144" t="str">
        <f>"Total Biaya Perawatan "&amp;KJ43&amp;" (Juta Rp)"</f>
        <v>Total Biaya Perawatan Triwulan I (Juta Rp)</v>
      </c>
      <c r="KN47" s="143" t="str">
        <f>"Total Biaya Perawatan Sebelumnya "&amp;" (Juta Rp)"</f>
        <v>Total Biaya Perawatan Sebelumnya  (Juta Rp)</v>
      </c>
      <c r="KO47" s="143" t="s">
        <v>49</v>
      </c>
      <c r="KP47" s="55"/>
      <c r="KQ47" s="144" t="s">
        <v>47</v>
      </c>
      <c r="KR47" s="144" t="s">
        <v>50</v>
      </c>
      <c r="KS47" s="75"/>
      <c r="KT47" s="141"/>
      <c r="KU47" s="142"/>
    </row>
    <row r="48" ht="15.75" customHeight="1">
      <c r="A48" s="145">
        <v>-1.0</v>
      </c>
      <c r="B48" s="146">
        <v>-2.0</v>
      </c>
      <c r="C48" s="146">
        <v>-3.0</v>
      </c>
      <c r="D48" s="146">
        <v>-4.0</v>
      </c>
      <c r="E48" s="146">
        <v>-5.0</v>
      </c>
      <c r="F48" s="146">
        <v>-6.0</v>
      </c>
      <c r="G48" s="146">
        <v>-7.0</v>
      </c>
      <c r="H48" s="146">
        <v>-8.0</v>
      </c>
      <c r="I48" s="146">
        <v>-9.0</v>
      </c>
      <c r="J48" s="146">
        <v>-10.0</v>
      </c>
      <c r="K48" s="146">
        <v>-11.0</v>
      </c>
      <c r="L48" s="146">
        <v>-12.0</v>
      </c>
      <c r="M48" s="146">
        <v>-13.0</v>
      </c>
      <c r="N48" s="146">
        <v>-14.0</v>
      </c>
      <c r="O48" s="146">
        <v>-15.0</v>
      </c>
      <c r="P48" s="146">
        <v>-16.0</v>
      </c>
      <c r="Q48" s="147"/>
      <c r="R48" s="145">
        <v>-1.0</v>
      </c>
      <c r="S48" s="146">
        <v>-2.0</v>
      </c>
      <c r="T48" s="146">
        <v>-3.0</v>
      </c>
      <c r="U48" s="146">
        <v>-4.0</v>
      </c>
      <c r="V48" s="146">
        <v>-5.0</v>
      </c>
      <c r="W48" s="146">
        <v>-6.0</v>
      </c>
      <c r="X48" s="146">
        <v>-7.0</v>
      </c>
      <c r="Y48" s="146">
        <v>-8.0</v>
      </c>
      <c r="Z48" s="146">
        <v>-9.0</v>
      </c>
      <c r="AA48" s="146">
        <v>-10.0</v>
      </c>
      <c r="AB48" s="146">
        <v>-11.0</v>
      </c>
      <c r="AC48" s="146">
        <v>-12.0</v>
      </c>
      <c r="AD48" s="146">
        <v>-13.0</v>
      </c>
      <c r="AE48" s="146">
        <v>-14.0</v>
      </c>
      <c r="AF48" s="146">
        <v>-15.0</v>
      </c>
      <c r="AG48" s="146">
        <v>-16.0</v>
      </c>
      <c r="AH48" s="147"/>
      <c r="AI48" s="145">
        <v>-1.0</v>
      </c>
      <c r="AJ48" s="146">
        <v>-2.0</v>
      </c>
      <c r="AK48" s="146">
        <v>-3.0</v>
      </c>
      <c r="AL48" s="146">
        <v>-4.0</v>
      </c>
      <c r="AM48" s="146">
        <v>-5.0</v>
      </c>
      <c r="AN48" s="146">
        <v>-6.0</v>
      </c>
      <c r="AO48" s="146">
        <v>-7.0</v>
      </c>
      <c r="AP48" s="146">
        <v>-8.0</v>
      </c>
      <c r="AQ48" s="146">
        <v>-9.0</v>
      </c>
      <c r="AR48" s="146">
        <v>-10.0</v>
      </c>
      <c r="AS48" s="146">
        <v>-11.0</v>
      </c>
      <c r="AT48" s="146">
        <v>-12.0</v>
      </c>
      <c r="AU48" s="146">
        <v>-13.0</v>
      </c>
      <c r="AV48" s="146">
        <v>-14.0</v>
      </c>
      <c r="AW48" s="146">
        <v>-15.0</v>
      </c>
      <c r="AX48" s="146">
        <v>-16.0</v>
      </c>
      <c r="AY48" s="147"/>
      <c r="AZ48" s="145">
        <v>-1.0</v>
      </c>
      <c r="BA48" s="146">
        <v>-2.0</v>
      </c>
      <c r="BB48" s="146">
        <v>-3.0</v>
      </c>
      <c r="BC48" s="146">
        <v>-4.0</v>
      </c>
      <c r="BD48" s="146">
        <v>-5.0</v>
      </c>
      <c r="BE48" s="146">
        <v>-6.0</v>
      </c>
      <c r="BF48" s="146">
        <v>-7.0</v>
      </c>
      <c r="BG48" s="146">
        <v>-8.0</v>
      </c>
      <c r="BH48" s="146">
        <v>-9.0</v>
      </c>
      <c r="BI48" s="146">
        <v>-10.0</v>
      </c>
      <c r="BJ48" s="146">
        <v>-11.0</v>
      </c>
      <c r="BK48" s="146">
        <v>-12.0</v>
      </c>
      <c r="BL48" s="146">
        <v>-13.0</v>
      </c>
      <c r="BM48" s="146">
        <v>-14.0</v>
      </c>
      <c r="BN48" s="146">
        <v>-15.0</v>
      </c>
      <c r="BO48" s="146">
        <v>-16.0</v>
      </c>
      <c r="BP48" s="147"/>
      <c r="BQ48" s="145">
        <v>-1.0</v>
      </c>
      <c r="BR48" s="146">
        <v>-2.0</v>
      </c>
      <c r="BS48" s="146">
        <v>-3.0</v>
      </c>
      <c r="BT48" s="146">
        <v>-4.0</v>
      </c>
      <c r="BU48" s="146">
        <v>-5.0</v>
      </c>
      <c r="BV48" s="146">
        <v>-6.0</v>
      </c>
      <c r="BW48" s="146">
        <v>-7.0</v>
      </c>
      <c r="BX48" s="146">
        <v>-8.0</v>
      </c>
      <c r="BY48" s="146">
        <v>-9.0</v>
      </c>
      <c r="BZ48" s="146">
        <v>-10.0</v>
      </c>
      <c r="CA48" s="146">
        <v>-11.0</v>
      </c>
      <c r="CB48" s="146">
        <v>-12.0</v>
      </c>
      <c r="CC48" s="146">
        <v>-13.0</v>
      </c>
      <c r="CD48" s="146">
        <v>-14.0</v>
      </c>
      <c r="CE48" s="146">
        <v>-15.0</v>
      </c>
      <c r="CF48" s="146">
        <v>-16.0</v>
      </c>
      <c r="CG48" s="147"/>
      <c r="CH48" s="145">
        <v>-1.0</v>
      </c>
      <c r="CI48" s="146">
        <v>-2.0</v>
      </c>
      <c r="CJ48" s="146">
        <v>-3.0</v>
      </c>
      <c r="CK48" s="146">
        <v>-4.0</v>
      </c>
      <c r="CL48" s="146">
        <v>-5.0</v>
      </c>
      <c r="CM48" s="146">
        <v>-6.0</v>
      </c>
      <c r="CN48" s="146">
        <v>-7.0</v>
      </c>
      <c r="CO48" s="146">
        <v>-8.0</v>
      </c>
      <c r="CP48" s="146">
        <v>-9.0</v>
      </c>
      <c r="CQ48" s="146">
        <v>-10.0</v>
      </c>
      <c r="CR48" s="146">
        <v>-11.0</v>
      </c>
      <c r="CS48" s="146">
        <v>-12.0</v>
      </c>
      <c r="CT48" s="146">
        <v>-13.0</v>
      </c>
      <c r="CU48" s="146">
        <v>-14.0</v>
      </c>
      <c r="CV48" s="146">
        <v>-15.0</v>
      </c>
      <c r="CW48" s="146">
        <v>-16.0</v>
      </c>
      <c r="CX48" s="147"/>
      <c r="CY48" s="145">
        <v>-1.0</v>
      </c>
      <c r="CZ48" s="146">
        <v>-2.0</v>
      </c>
      <c r="DA48" s="146">
        <v>-3.0</v>
      </c>
      <c r="DB48" s="146">
        <v>-4.0</v>
      </c>
      <c r="DC48" s="146">
        <v>-5.0</v>
      </c>
      <c r="DD48" s="146">
        <v>-6.0</v>
      </c>
      <c r="DE48" s="146">
        <v>-7.0</v>
      </c>
      <c r="DF48" s="146">
        <v>-8.0</v>
      </c>
      <c r="DG48" s="146">
        <v>-9.0</v>
      </c>
      <c r="DH48" s="146">
        <v>-10.0</v>
      </c>
      <c r="DI48" s="146">
        <v>-11.0</v>
      </c>
      <c r="DJ48" s="146">
        <v>-12.0</v>
      </c>
      <c r="DK48" s="146">
        <v>-13.0</v>
      </c>
      <c r="DL48" s="146">
        <v>-14.0</v>
      </c>
      <c r="DM48" s="146">
        <v>-15.0</v>
      </c>
      <c r="DN48" s="146">
        <v>-16.0</v>
      </c>
      <c r="DO48" s="147"/>
      <c r="DP48" s="145">
        <v>-1.0</v>
      </c>
      <c r="DQ48" s="146">
        <v>-2.0</v>
      </c>
      <c r="DR48" s="146">
        <v>-3.0</v>
      </c>
      <c r="DS48" s="146">
        <v>-4.0</v>
      </c>
      <c r="DT48" s="146">
        <v>-5.0</v>
      </c>
      <c r="DU48" s="146">
        <v>-6.0</v>
      </c>
      <c r="DV48" s="146">
        <v>-7.0</v>
      </c>
      <c r="DW48" s="146">
        <v>-8.0</v>
      </c>
      <c r="DX48" s="146">
        <v>-9.0</v>
      </c>
      <c r="DY48" s="146">
        <v>-10.0</v>
      </c>
      <c r="DZ48" s="146">
        <v>-11.0</v>
      </c>
      <c r="EA48" s="146">
        <v>-12.0</v>
      </c>
      <c r="EB48" s="146">
        <v>-13.0</v>
      </c>
      <c r="EC48" s="146">
        <v>-14.0</v>
      </c>
      <c r="ED48" s="146">
        <v>-15.0</v>
      </c>
      <c r="EE48" s="146">
        <v>-16.0</v>
      </c>
      <c r="EF48" s="147"/>
      <c r="EG48" s="145">
        <v>-1.0</v>
      </c>
      <c r="EH48" s="146">
        <v>-2.0</v>
      </c>
      <c r="EI48" s="146">
        <v>-3.0</v>
      </c>
      <c r="EJ48" s="146">
        <v>-4.0</v>
      </c>
      <c r="EK48" s="146">
        <v>-5.0</v>
      </c>
      <c r="EL48" s="146">
        <v>-6.0</v>
      </c>
      <c r="EM48" s="146">
        <v>-7.0</v>
      </c>
      <c r="EN48" s="146">
        <v>-8.0</v>
      </c>
      <c r="EO48" s="146">
        <v>-9.0</v>
      </c>
      <c r="EP48" s="146">
        <v>-10.0</v>
      </c>
      <c r="EQ48" s="146">
        <v>-11.0</v>
      </c>
      <c r="ER48" s="146">
        <v>-12.0</v>
      </c>
      <c r="ES48" s="146">
        <v>-13.0</v>
      </c>
      <c r="ET48" s="146">
        <v>-14.0</v>
      </c>
      <c r="EU48" s="146">
        <v>-15.0</v>
      </c>
      <c r="EV48" s="146">
        <v>-16.0</v>
      </c>
      <c r="EW48" s="147"/>
      <c r="EX48" s="145">
        <v>-1.0</v>
      </c>
      <c r="EY48" s="146">
        <v>-2.0</v>
      </c>
      <c r="EZ48" s="146">
        <v>-3.0</v>
      </c>
      <c r="FA48" s="146">
        <v>-4.0</v>
      </c>
      <c r="FB48" s="146">
        <v>-5.0</v>
      </c>
      <c r="FC48" s="146">
        <v>-6.0</v>
      </c>
      <c r="FD48" s="146">
        <v>-7.0</v>
      </c>
      <c r="FE48" s="146">
        <v>-8.0</v>
      </c>
      <c r="FF48" s="146">
        <v>-9.0</v>
      </c>
      <c r="FG48" s="146">
        <v>-10.0</v>
      </c>
      <c r="FH48" s="146">
        <v>-11.0</v>
      </c>
      <c r="FI48" s="146">
        <v>-12.0</v>
      </c>
      <c r="FJ48" s="146">
        <v>-13.0</v>
      </c>
      <c r="FK48" s="146">
        <v>-14.0</v>
      </c>
      <c r="FL48" s="146">
        <v>-15.0</v>
      </c>
      <c r="FM48" s="146">
        <v>-16.0</v>
      </c>
      <c r="FN48" s="147"/>
      <c r="FO48" s="145">
        <v>-1.0</v>
      </c>
      <c r="FP48" s="146">
        <v>-2.0</v>
      </c>
      <c r="FQ48" s="146">
        <v>-3.0</v>
      </c>
      <c r="FR48" s="146">
        <v>-4.0</v>
      </c>
      <c r="FS48" s="146">
        <v>-5.0</v>
      </c>
      <c r="FT48" s="146">
        <v>-6.0</v>
      </c>
      <c r="FU48" s="146">
        <v>-7.0</v>
      </c>
      <c r="FV48" s="146">
        <v>-8.0</v>
      </c>
      <c r="FW48" s="146">
        <v>-9.0</v>
      </c>
      <c r="FX48" s="146">
        <v>-10.0</v>
      </c>
      <c r="FY48" s="146">
        <v>-11.0</v>
      </c>
      <c r="FZ48" s="146">
        <v>-12.0</v>
      </c>
      <c r="GA48" s="146">
        <v>-13.0</v>
      </c>
      <c r="GB48" s="146">
        <v>-14.0</v>
      </c>
      <c r="GC48" s="146">
        <v>-15.0</v>
      </c>
      <c r="GD48" s="146">
        <v>-16.0</v>
      </c>
      <c r="GE48" s="147"/>
      <c r="GF48" s="145">
        <v>-1.0</v>
      </c>
      <c r="GG48" s="146">
        <v>-2.0</v>
      </c>
      <c r="GH48" s="146">
        <v>-3.0</v>
      </c>
      <c r="GI48" s="146">
        <v>-4.0</v>
      </c>
      <c r="GJ48" s="146">
        <v>-5.0</v>
      </c>
      <c r="GK48" s="146">
        <v>-6.0</v>
      </c>
      <c r="GL48" s="146">
        <v>-7.0</v>
      </c>
      <c r="GM48" s="146">
        <v>-8.0</v>
      </c>
      <c r="GN48" s="146">
        <v>-9.0</v>
      </c>
      <c r="GO48" s="146">
        <v>-10.0</v>
      </c>
      <c r="GP48" s="146">
        <v>-11.0</v>
      </c>
      <c r="GQ48" s="146">
        <v>-12.0</v>
      </c>
      <c r="GR48" s="146">
        <v>-13.0</v>
      </c>
      <c r="GS48" s="146">
        <v>-14.0</v>
      </c>
      <c r="GT48" s="146">
        <v>-15.0</v>
      </c>
      <c r="GU48" s="146">
        <v>-16.0</v>
      </c>
      <c r="GV48" s="147"/>
      <c r="GW48" s="145">
        <v>-1.0</v>
      </c>
      <c r="GX48" s="146">
        <v>-2.0</v>
      </c>
      <c r="GY48" s="146">
        <v>-3.0</v>
      </c>
      <c r="GZ48" s="146">
        <v>-4.0</v>
      </c>
      <c r="HA48" s="146">
        <v>-5.0</v>
      </c>
      <c r="HB48" s="146">
        <v>-6.0</v>
      </c>
      <c r="HC48" s="146">
        <v>-7.0</v>
      </c>
      <c r="HD48" s="146">
        <v>-8.0</v>
      </c>
      <c r="HE48" s="146">
        <v>-9.0</v>
      </c>
      <c r="HF48" s="146">
        <v>-10.0</v>
      </c>
      <c r="HG48" s="146">
        <v>-11.0</v>
      </c>
      <c r="HH48" s="146">
        <v>-12.0</v>
      </c>
      <c r="HI48" s="146">
        <v>-13.0</v>
      </c>
      <c r="HJ48" s="146">
        <v>-14.0</v>
      </c>
      <c r="HK48" s="146">
        <v>-15.0</v>
      </c>
      <c r="HL48" s="146">
        <v>-16.0</v>
      </c>
      <c r="HM48" s="147"/>
      <c r="HN48" s="145">
        <v>-1.0</v>
      </c>
      <c r="HO48" s="146">
        <v>-2.0</v>
      </c>
      <c r="HP48" s="146">
        <v>-3.0</v>
      </c>
      <c r="HQ48" s="146">
        <v>-4.0</v>
      </c>
      <c r="HR48" s="146">
        <v>-5.0</v>
      </c>
      <c r="HS48" s="146">
        <v>-6.0</v>
      </c>
      <c r="HT48" s="146">
        <v>-7.0</v>
      </c>
      <c r="HU48" s="146">
        <v>-8.0</v>
      </c>
      <c r="HV48" s="146">
        <v>-9.0</v>
      </c>
      <c r="HW48" s="146">
        <v>-10.0</v>
      </c>
      <c r="HX48" s="146">
        <v>-11.0</v>
      </c>
      <c r="HY48" s="146">
        <v>-12.0</v>
      </c>
      <c r="HZ48" s="146">
        <v>-13.0</v>
      </c>
      <c r="IA48" s="146">
        <v>-14.0</v>
      </c>
      <c r="IB48" s="146">
        <v>-15.0</v>
      </c>
      <c r="IC48" s="146">
        <v>-16.0</v>
      </c>
      <c r="ID48" s="147"/>
      <c r="IE48" s="145">
        <v>-1.0</v>
      </c>
      <c r="IF48" s="146">
        <v>-2.0</v>
      </c>
      <c r="IG48" s="146">
        <v>-3.0</v>
      </c>
      <c r="IH48" s="146">
        <v>-4.0</v>
      </c>
      <c r="II48" s="146">
        <v>-5.0</v>
      </c>
      <c r="IJ48" s="146">
        <v>-6.0</v>
      </c>
      <c r="IK48" s="146">
        <v>-7.0</v>
      </c>
      <c r="IL48" s="146">
        <v>-8.0</v>
      </c>
      <c r="IM48" s="146">
        <v>-9.0</v>
      </c>
      <c r="IN48" s="146">
        <v>-10.0</v>
      </c>
      <c r="IO48" s="146">
        <v>-11.0</v>
      </c>
      <c r="IP48" s="146">
        <v>-12.0</v>
      </c>
      <c r="IQ48" s="146">
        <v>-13.0</v>
      </c>
      <c r="IR48" s="146">
        <v>-14.0</v>
      </c>
      <c r="IS48" s="146">
        <v>-15.0</v>
      </c>
      <c r="IT48" s="146">
        <v>-16.0</v>
      </c>
      <c r="IU48" s="147"/>
      <c r="IV48" s="145">
        <v>-1.0</v>
      </c>
      <c r="IW48" s="146">
        <v>-2.0</v>
      </c>
      <c r="IX48" s="146">
        <v>-3.0</v>
      </c>
      <c r="IY48" s="146">
        <v>-4.0</v>
      </c>
      <c r="IZ48" s="146">
        <v>-5.0</v>
      </c>
      <c r="JA48" s="146">
        <v>-6.0</v>
      </c>
      <c r="JB48" s="146">
        <v>-7.0</v>
      </c>
      <c r="JC48" s="146">
        <v>-8.0</v>
      </c>
      <c r="JD48" s="146">
        <v>-9.0</v>
      </c>
      <c r="JE48" s="146">
        <v>-10.0</v>
      </c>
      <c r="JF48" s="146">
        <v>-11.0</v>
      </c>
      <c r="JG48" s="146">
        <v>-12.0</v>
      </c>
      <c r="JH48" s="146">
        <v>-13.0</v>
      </c>
      <c r="JI48" s="146">
        <v>-14.0</v>
      </c>
      <c r="JJ48" s="146">
        <v>-15.0</v>
      </c>
      <c r="JK48" s="146">
        <v>-16.0</v>
      </c>
      <c r="JL48" s="147"/>
      <c r="JM48" s="145">
        <v>-1.0</v>
      </c>
      <c r="JN48" s="146">
        <v>-2.0</v>
      </c>
      <c r="JO48" s="146">
        <v>-3.0</v>
      </c>
      <c r="JP48" s="146">
        <v>-4.0</v>
      </c>
      <c r="JQ48" s="146">
        <v>-5.0</v>
      </c>
      <c r="JR48" s="146">
        <v>-6.0</v>
      </c>
      <c r="JS48" s="146">
        <v>-7.0</v>
      </c>
      <c r="JT48" s="146">
        <v>-8.0</v>
      </c>
      <c r="JU48" s="146">
        <v>-9.0</v>
      </c>
      <c r="JV48" s="146">
        <v>-10.0</v>
      </c>
      <c r="JW48" s="146">
        <v>-11.0</v>
      </c>
      <c r="JX48" s="146">
        <v>-12.0</v>
      </c>
      <c r="JY48" s="146">
        <v>-13.0</v>
      </c>
      <c r="JZ48" s="146">
        <v>-14.0</v>
      </c>
      <c r="KA48" s="146">
        <v>-15.0</v>
      </c>
      <c r="KB48" s="146">
        <v>-16.0</v>
      </c>
      <c r="KC48" s="147"/>
      <c r="KD48" s="145">
        <v>-1.0</v>
      </c>
      <c r="KE48" s="146">
        <v>-2.0</v>
      </c>
      <c r="KF48" s="146">
        <v>-3.0</v>
      </c>
      <c r="KG48" s="146">
        <v>-4.0</v>
      </c>
      <c r="KH48" s="146">
        <v>-5.0</v>
      </c>
      <c r="KI48" s="146">
        <v>-6.0</v>
      </c>
      <c r="KJ48" s="146">
        <v>-7.0</v>
      </c>
      <c r="KK48" s="146">
        <v>-8.0</v>
      </c>
      <c r="KL48" s="146">
        <v>-9.0</v>
      </c>
      <c r="KM48" s="146">
        <v>-10.0</v>
      </c>
      <c r="KN48" s="146">
        <v>-11.0</v>
      </c>
      <c r="KO48" s="146">
        <v>-12.0</v>
      </c>
      <c r="KP48" s="146">
        <v>-13.0</v>
      </c>
      <c r="KQ48" s="146">
        <v>-14.0</v>
      </c>
      <c r="KR48" s="146">
        <v>-15.0</v>
      </c>
      <c r="KS48" s="146">
        <v>-16.0</v>
      </c>
      <c r="KT48" s="147"/>
      <c r="KU48" s="148"/>
    </row>
    <row r="49" ht="15.75" customHeight="1">
      <c r="A49" s="149">
        <v>1.0</v>
      </c>
      <c r="B49" s="150" t="str">
        <f t="shared" ref="B49:D49" si="557">IFERROR(VLOOKUP($A49,$A$13:$D$30,-B$12,FALSE),"")</f>
        <v>Bijih  Emas</v>
      </c>
      <c r="C49" s="151" t="str">
        <f t="shared" si="557"/>
        <v>Bijih </v>
      </c>
      <c r="D49" s="151" t="str">
        <f t="shared" si="557"/>
        <v>Kg</v>
      </c>
      <c r="E49" s="152" t="str">
        <f>ADHK!E49</f>
        <v/>
      </c>
      <c r="F49" s="152" t="str">
        <f>ADHK!F49</f>
        <v/>
      </c>
      <c r="G49" s="152">
        <f t="shared" ref="G49:G65" si="576">IFERROR(+E49*F49/1000000,"")</f>
        <v>0</v>
      </c>
      <c r="H49" s="153"/>
      <c r="I49" s="152">
        <f t="shared" ref="I49:I65" si="577">IFERROR(+G49*H49,"")</f>
        <v>0</v>
      </c>
      <c r="J49" s="154"/>
      <c r="K49" s="154"/>
      <c r="L49" s="155"/>
      <c r="M49" s="156">
        <f t="shared" ref="M49:M65" si="578">IFERROR(+(IF(G49="","0",G49))+(IF(I49="","0",I49))+(IF(L49="","0",L49)),"")</f>
        <v>0</v>
      </c>
      <c r="N49" s="153">
        <f t="shared" ref="N49:N65" si="579">N13</f>
        <v>0.4604471269</v>
      </c>
      <c r="O49" s="157">
        <f t="shared" ref="O49:O65" si="580">IFERROR(+N49*(M49-L49),"")</f>
        <v>0</v>
      </c>
      <c r="P49" s="158">
        <f t="shared" ref="P49:P65" si="581">IFERROR(+(IF(M49="","0",M49))-(IF(O49="","0",O49)),"")</f>
        <v>0</v>
      </c>
      <c r="Q49" s="159"/>
      <c r="R49" s="149">
        <v>1.0</v>
      </c>
      <c r="S49" s="150" t="str">
        <f t="shared" ref="S49:U49" si="558">IFERROR(VLOOKUP($R49,$A$13:$D$30,-S$12,FALSE),"")</f>
        <v>Bijih  Emas</v>
      </c>
      <c r="T49" s="151" t="str">
        <f t="shared" si="558"/>
        <v>Bijih </v>
      </c>
      <c r="U49" s="151" t="str">
        <f t="shared" si="558"/>
        <v>Kg</v>
      </c>
      <c r="V49" s="152" t="str">
        <f>ADHK!V49</f>
        <v/>
      </c>
      <c r="W49" s="152"/>
      <c r="X49" s="152">
        <f t="shared" ref="X49:X65" si="583">IFERROR(+V49*W49/1000000,"")</f>
        <v>0</v>
      </c>
      <c r="Y49" s="153"/>
      <c r="Z49" s="152">
        <f t="shared" ref="Z49:Z65" si="584">IFERROR(+X49*Y49,"")</f>
        <v>0</v>
      </c>
      <c r="AA49" s="154"/>
      <c r="AB49" s="154"/>
      <c r="AC49" s="155"/>
      <c r="AD49" s="156">
        <f t="shared" ref="AD49:AD65" si="585">IFERROR(+(IF(X49="","0",X49))+(IF(Z49="","0",Z49))+(IF(AC49="","0",AC49)),"")</f>
        <v>0</v>
      </c>
      <c r="AE49" s="153">
        <f t="shared" ref="AE49:AE65" si="586">AE13</f>
        <v>0.4604471269</v>
      </c>
      <c r="AF49" s="157">
        <f t="shared" ref="AF49:AF65" si="587">IFERROR(+AE49*(AD49-AC49),"")</f>
        <v>0</v>
      </c>
      <c r="AG49" s="158">
        <f t="shared" ref="AG49:AG65" si="588">IFERROR(+(IF(AD49="","0",AD49))-(IF(AF49="","0",AF49)),"")</f>
        <v>0</v>
      </c>
      <c r="AH49" s="159"/>
      <c r="AI49" s="149">
        <v>1.0</v>
      </c>
      <c r="AJ49" s="150" t="str">
        <f t="shared" ref="AJ49:AL49" si="559">IFERROR(VLOOKUP($R49,$A$13:$D$30,-AJ$12,FALSE),"")</f>
        <v>Bijih  Emas</v>
      </c>
      <c r="AK49" s="151" t="str">
        <f t="shared" si="559"/>
        <v>Bijih </v>
      </c>
      <c r="AL49" s="151" t="str">
        <f t="shared" si="559"/>
        <v>Kg</v>
      </c>
      <c r="AM49" s="152" t="str">
        <f>ADHK!AM49</f>
        <v/>
      </c>
      <c r="AN49" s="152"/>
      <c r="AO49" s="152">
        <f t="shared" ref="AO49:AO65" si="590">IFERROR(+AM49*AN49/1000000,"")</f>
        <v>0</v>
      </c>
      <c r="AP49" s="153"/>
      <c r="AQ49" s="152">
        <f t="shared" ref="AQ49:AQ65" si="591">IFERROR(+AO49*AP49,"")</f>
        <v>0</v>
      </c>
      <c r="AR49" s="154"/>
      <c r="AS49" s="154"/>
      <c r="AT49" s="155"/>
      <c r="AU49" s="156">
        <f t="shared" ref="AU49:AU65" si="592">IFERROR(+(IF(AO49="","0",AO49))+(IF(AQ49="","0",AQ49))+(IF(AT49="","0",AT49)),"")</f>
        <v>0</v>
      </c>
      <c r="AV49" s="153">
        <f t="shared" ref="AV49:AV65" si="593">AV13</f>
        <v>0.4604471269</v>
      </c>
      <c r="AW49" s="157">
        <f t="shared" ref="AW49:AW65" si="594">IFERROR(+AV49*(AU49-AT49),"")</f>
        <v>0</v>
      </c>
      <c r="AX49" s="158">
        <f t="shared" ref="AX49:AX65" si="595">IFERROR(+(IF(AU49="","0",AU49))-(IF(AW49="","0",AW49)),"")</f>
        <v>0</v>
      </c>
      <c r="AY49" s="159"/>
      <c r="AZ49" s="149">
        <v>1.0</v>
      </c>
      <c r="BA49" s="150" t="str">
        <f t="shared" ref="BA49:BC49" si="560">IFERROR(VLOOKUP($R49,$A$13:$D$30,-BA$12,FALSE),"")</f>
        <v>Bijih  Emas</v>
      </c>
      <c r="BB49" s="151" t="str">
        <f t="shared" si="560"/>
        <v>Bijih </v>
      </c>
      <c r="BC49" s="151" t="str">
        <f t="shared" si="560"/>
        <v>Kg</v>
      </c>
      <c r="BD49" s="152" t="str">
        <f>ADHK!BD49</f>
        <v/>
      </c>
      <c r="BE49" s="152"/>
      <c r="BF49" s="152">
        <f t="shared" ref="BF49:BF65" si="597">IFERROR(+BD49*BE49/1000000,"")</f>
        <v>0</v>
      </c>
      <c r="BG49" s="153"/>
      <c r="BH49" s="152">
        <f t="shared" ref="BH49:BH65" si="598">IFERROR(+BF49*BG49,"")</f>
        <v>0</v>
      </c>
      <c r="BI49" s="154"/>
      <c r="BJ49" s="154"/>
      <c r="BK49" s="155"/>
      <c r="BL49" s="156">
        <f t="shared" ref="BL49:BL65" si="599">IFERROR(+(IF(BF49="","0",BF49))+(IF(BH49="","0",BH49))+(IF(BK49="","0",BK49)),"")</f>
        <v>0</v>
      </c>
      <c r="BM49" s="153">
        <f t="shared" ref="BM49:BM65" si="600">BM13</f>
        <v>0.4604471269</v>
      </c>
      <c r="BN49" s="157">
        <f t="shared" ref="BN49:BN65" si="601">IFERROR(+BM49*(BL49-BK49),"")</f>
        <v>0</v>
      </c>
      <c r="BO49" s="158">
        <f t="shared" ref="BO49:BO65" si="602">IFERROR(+(IF(BL49="","0",BL49))-(IF(BN49="","0",BN49)),"")</f>
        <v>0</v>
      </c>
      <c r="BP49" s="159"/>
      <c r="BQ49" s="149">
        <v>1.0</v>
      </c>
      <c r="BR49" s="150" t="str">
        <f t="shared" ref="BR49:BT49" si="561">IFERROR(VLOOKUP($R49,$A$13:$D$30,-BR$12,FALSE),"")</f>
        <v>Bijih  Emas</v>
      </c>
      <c r="BS49" s="151" t="str">
        <f t="shared" si="561"/>
        <v>Bijih </v>
      </c>
      <c r="BT49" s="151" t="str">
        <f t="shared" si="561"/>
        <v>Kg</v>
      </c>
      <c r="BU49" s="152" t="str">
        <f>ADHK!BU49</f>
        <v/>
      </c>
      <c r="BV49" s="152"/>
      <c r="BW49" s="152">
        <f t="shared" ref="BW49:BW65" si="604">IFERROR(+BU49*BV49/1000000,"")</f>
        <v>0</v>
      </c>
      <c r="BX49" s="153"/>
      <c r="BY49" s="152">
        <f t="shared" ref="BY49:BY65" si="605">IFERROR(+BW49*BX49,"")</f>
        <v>0</v>
      </c>
      <c r="BZ49" s="154"/>
      <c r="CA49" s="154"/>
      <c r="CB49" s="155"/>
      <c r="CC49" s="156">
        <f t="shared" ref="CC49:CC65" si="606">IFERROR(+(IF(BW49="","0",BW49))+(IF(BY49="","0",BY49))+(IF(CB49="","0",CB49)),"")</f>
        <v>0</v>
      </c>
      <c r="CD49" s="153">
        <f t="shared" ref="CD49:CD65" si="607">CD13</f>
        <v>0.4604471269</v>
      </c>
      <c r="CE49" s="157">
        <f t="shared" ref="CE49:CE65" si="608">IFERROR(+CD49*(CC49-CB49),"")</f>
        <v>0</v>
      </c>
      <c r="CF49" s="158">
        <f t="shared" ref="CF49:CF65" si="609">IFERROR(+(IF(CC49="","0",CC49))-(IF(CE49="","0",CE49)),"")</f>
        <v>0</v>
      </c>
      <c r="CG49" s="159"/>
      <c r="CH49" s="149">
        <v>1.0</v>
      </c>
      <c r="CI49" s="150" t="str">
        <f t="shared" ref="CI49:CK49" si="562">IFERROR(VLOOKUP($R49,$A$13:$D$30,-CI$12,FALSE),"")</f>
        <v>Bijih  Emas</v>
      </c>
      <c r="CJ49" s="151" t="str">
        <f t="shared" si="562"/>
        <v>Bijih </v>
      </c>
      <c r="CK49" s="151" t="str">
        <f t="shared" si="562"/>
        <v>Kg</v>
      </c>
      <c r="CL49" s="152" t="str">
        <f>ADHK!CL49</f>
        <v/>
      </c>
      <c r="CM49" s="152"/>
      <c r="CN49" s="152">
        <f t="shared" ref="CN49:CN65" si="611">IFERROR(+CL49*CM49/1000000,"")</f>
        <v>0</v>
      </c>
      <c r="CO49" s="153"/>
      <c r="CP49" s="152">
        <f t="shared" ref="CP49:CP65" si="612">IFERROR(+CN49*CO49,"")</f>
        <v>0</v>
      </c>
      <c r="CQ49" s="154"/>
      <c r="CR49" s="154"/>
      <c r="CS49" s="155"/>
      <c r="CT49" s="156">
        <f t="shared" ref="CT49:CT65" si="613">IFERROR(+(IF(CN49="","0",CN49))+(IF(CP49="","0",CP49))+(IF(CS49="","0",CS49)),"")</f>
        <v>0</v>
      </c>
      <c r="CU49" s="153">
        <f t="shared" ref="CU49:CU65" si="614">CU13</f>
        <v>0.4604471269</v>
      </c>
      <c r="CV49" s="157">
        <f t="shared" ref="CV49:CV65" si="615">IFERROR(+CU49*(CT49-CS49),"")</f>
        <v>0</v>
      </c>
      <c r="CW49" s="158">
        <f t="shared" ref="CW49:CW65" si="616">IFERROR(+(IF(CT49="","0",CT49))-(IF(CV49="","0",CV49)),"")</f>
        <v>0</v>
      </c>
      <c r="CX49" s="159"/>
      <c r="CY49" s="149">
        <v>1.0</v>
      </c>
      <c r="CZ49" s="150" t="str">
        <f t="shared" ref="CZ49:DB49" si="563">IFERROR(VLOOKUP($R49,$A$13:$D$30,-CZ$12,FALSE),"")</f>
        <v>Bijih  Emas</v>
      </c>
      <c r="DA49" s="151" t="str">
        <f t="shared" si="563"/>
        <v>Bijih </v>
      </c>
      <c r="DB49" s="151" t="str">
        <f t="shared" si="563"/>
        <v>Kg</v>
      </c>
      <c r="DC49" s="152" t="str">
        <f>ADHK!DC49</f>
        <v/>
      </c>
      <c r="DD49" s="152"/>
      <c r="DE49" s="152">
        <f t="shared" ref="DE49:DE65" si="618">IFERROR(+DC49*DD49/1000000,"")</f>
        <v>0</v>
      </c>
      <c r="DF49" s="153"/>
      <c r="DG49" s="152">
        <f t="shared" ref="DG49:DG65" si="619">IFERROR(+DE49*DF49,"")</f>
        <v>0</v>
      </c>
      <c r="DH49" s="154"/>
      <c r="DI49" s="154"/>
      <c r="DJ49" s="155"/>
      <c r="DK49" s="156">
        <f t="shared" ref="DK49:DK65" si="620">IFERROR(+(IF(DE49="","0",DE49))+(IF(DG49="","0",DG49))+(IF(DJ49="","0",DJ49)),"")</f>
        <v>0</v>
      </c>
      <c r="DL49" s="153">
        <f t="shared" ref="DL49:DL65" si="621">DL13</f>
        <v>0.4604471269</v>
      </c>
      <c r="DM49" s="157">
        <f t="shared" ref="DM49:DM65" si="622">IFERROR(+DL49*(DK49-DJ49),"")</f>
        <v>0</v>
      </c>
      <c r="DN49" s="158">
        <f t="shared" ref="DN49:DN65" si="623">IFERROR(+(IF(DK49="","0",DK49))-(IF(DM49="","0",DM49)),"")</f>
        <v>0</v>
      </c>
      <c r="DO49" s="159"/>
      <c r="DP49" s="149">
        <v>1.0</v>
      </c>
      <c r="DQ49" s="150" t="str">
        <f t="shared" ref="DQ49:DS49" si="564">IFERROR(VLOOKUP($R49,$A$13:$D$30,-DQ$12,FALSE),"")</f>
        <v>Bijih  Emas</v>
      </c>
      <c r="DR49" s="151" t="str">
        <f t="shared" si="564"/>
        <v>Bijih </v>
      </c>
      <c r="DS49" s="151" t="str">
        <f t="shared" si="564"/>
        <v>Kg</v>
      </c>
      <c r="DT49" s="152" t="str">
        <f>ADHK!DT49</f>
        <v/>
      </c>
      <c r="DU49" s="152"/>
      <c r="DV49" s="152">
        <f t="shared" ref="DV49:DV65" si="625">IFERROR(+DT49*DU49/1000000,"")</f>
        <v>0</v>
      </c>
      <c r="DW49" s="153"/>
      <c r="DX49" s="152">
        <f t="shared" ref="DX49:DX65" si="626">IFERROR(+DV49*DW49,"")</f>
        <v>0</v>
      </c>
      <c r="DY49" s="154"/>
      <c r="DZ49" s="154"/>
      <c r="EA49" s="155"/>
      <c r="EB49" s="156">
        <f t="shared" ref="EB49:EB65" si="627">IFERROR(+(IF(DV49="","0",DV49))+(IF(DX49="","0",DX49))+(IF(EA49="","0",EA49)),"")</f>
        <v>0</v>
      </c>
      <c r="EC49" s="153">
        <f t="shared" ref="EC49:EC65" si="628">EC13</f>
        <v>0.4604471269</v>
      </c>
      <c r="ED49" s="157">
        <f t="shared" ref="ED49:ED65" si="629">IFERROR(+EC49*(EB49-EA49),"")</f>
        <v>0</v>
      </c>
      <c r="EE49" s="158">
        <f t="shared" ref="EE49:EE65" si="630">IFERROR(+(IF(EB49="","0",EB49))-(IF(ED49="","0",ED49)),"")</f>
        <v>0</v>
      </c>
      <c r="EF49" s="159"/>
      <c r="EG49" s="149">
        <v>1.0</v>
      </c>
      <c r="EH49" s="150" t="str">
        <f t="shared" ref="EH49:EJ49" si="565">IFERROR(VLOOKUP($R49,$A$13:$D$30,-EH$12,FALSE),"")</f>
        <v>Bijih  Emas</v>
      </c>
      <c r="EI49" s="151" t="str">
        <f t="shared" si="565"/>
        <v>Bijih </v>
      </c>
      <c r="EJ49" s="151" t="str">
        <f t="shared" si="565"/>
        <v>Kg</v>
      </c>
      <c r="EK49" s="152" t="str">
        <f>ADHK!EK49</f>
        <v/>
      </c>
      <c r="EL49" s="152"/>
      <c r="EM49" s="152">
        <f t="shared" ref="EM49:EM65" si="632">IFERROR(+EK49*EL49/1000000,"")</f>
        <v>0</v>
      </c>
      <c r="EN49" s="153"/>
      <c r="EO49" s="152">
        <f t="shared" ref="EO49:EO65" si="633">IFERROR(+EM49*EN49,"")</f>
        <v>0</v>
      </c>
      <c r="EP49" s="154"/>
      <c r="EQ49" s="154"/>
      <c r="ER49" s="155"/>
      <c r="ES49" s="156">
        <f t="shared" ref="ES49:ES65" si="634">IFERROR(+(IF(EM49="","0",EM49))+(IF(EO49="","0",EO49))+(IF(ER49="","0",ER49)),"")</f>
        <v>0</v>
      </c>
      <c r="ET49" s="153">
        <f t="shared" ref="ET49:ET65" si="635">ET13</f>
        <v>0.4604471269</v>
      </c>
      <c r="EU49" s="157">
        <f t="shared" ref="EU49:EU65" si="636">IFERROR(+ET49*(ES49-ER49),"")</f>
        <v>0</v>
      </c>
      <c r="EV49" s="158">
        <f t="shared" ref="EV49:EV65" si="637">IFERROR(+(IF(ES49="","0",ES49))-(IF(EU49="","0",EU49)),"")</f>
        <v>0</v>
      </c>
      <c r="EW49" s="159"/>
      <c r="EX49" s="149">
        <v>1.0</v>
      </c>
      <c r="EY49" s="150" t="str">
        <f t="shared" ref="EY49:FA49" si="566">IFERROR(VLOOKUP($R49,$A$13:$D$30,-EY$12,FALSE),"")</f>
        <v>Bijih  Emas</v>
      </c>
      <c r="EZ49" s="151" t="str">
        <f t="shared" si="566"/>
        <v>Bijih </v>
      </c>
      <c r="FA49" s="151" t="str">
        <f t="shared" si="566"/>
        <v>Kg</v>
      </c>
      <c r="FB49" s="152" t="str">
        <f>ADHK!FB49</f>
        <v/>
      </c>
      <c r="FC49" s="152"/>
      <c r="FD49" s="152">
        <f t="shared" ref="FD49:FD65" si="639">IFERROR(+FB49*FC49/1000000,"")</f>
        <v>0</v>
      </c>
      <c r="FE49" s="153"/>
      <c r="FF49" s="152">
        <f t="shared" ref="FF49:FF65" si="640">IFERROR(+FD49*FE49,"")</f>
        <v>0</v>
      </c>
      <c r="FG49" s="154"/>
      <c r="FH49" s="154"/>
      <c r="FI49" s="155"/>
      <c r="FJ49" s="156">
        <f t="shared" ref="FJ49:FJ65" si="641">IFERROR(+(IF(FD49="","0",FD49))+(IF(FF49="","0",FF49))+(IF(FI49="","0",FI49)),"")</f>
        <v>0</v>
      </c>
      <c r="FK49" s="153">
        <f t="shared" ref="FK49:FK65" si="642">FK13</f>
        <v>0.4604471269</v>
      </c>
      <c r="FL49" s="157">
        <f t="shared" ref="FL49:FL65" si="643">IFERROR(+FK49*(FJ49-FI49),"")</f>
        <v>0</v>
      </c>
      <c r="FM49" s="158">
        <f t="shared" ref="FM49:FM65" si="644">IFERROR(+(IF(FJ49="","0",FJ49))-(IF(FL49="","0",FL49)),"")</f>
        <v>0</v>
      </c>
      <c r="FN49" s="159"/>
      <c r="FO49" s="149">
        <v>1.0</v>
      </c>
      <c r="FP49" s="150" t="str">
        <f t="shared" ref="FP49:FR49" si="567">IFERROR(VLOOKUP($R49,$A$13:$D$30,-FP$12,FALSE),"")</f>
        <v>Bijih  Emas</v>
      </c>
      <c r="FQ49" s="151" t="str">
        <f t="shared" si="567"/>
        <v>Bijih </v>
      </c>
      <c r="FR49" s="151" t="str">
        <f t="shared" si="567"/>
        <v>Kg</v>
      </c>
      <c r="FS49" s="152" t="str">
        <f>ADHK!FS49</f>
        <v/>
      </c>
      <c r="FT49" s="152"/>
      <c r="FU49" s="152">
        <f t="shared" ref="FU49:FU65" si="646">IFERROR(+FS49*FT49/1000000,"")</f>
        <v>0</v>
      </c>
      <c r="FV49" s="153"/>
      <c r="FW49" s="152">
        <f t="shared" ref="FW49:FW65" si="647">IFERROR(+FU49*FV49,"")</f>
        <v>0</v>
      </c>
      <c r="FX49" s="154"/>
      <c r="FY49" s="154"/>
      <c r="FZ49" s="155"/>
      <c r="GA49" s="156">
        <f t="shared" ref="GA49:GA65" si="648">IFERROR(+(IF(FU49="","0",FU49))+(IF(FW49="","0",FW49))+(IF(FZ49="","0",FZ49)),"")</f>
        <v>0</v>
      </c>
      <c r="GB49" s="153">
        <f t="shared" ref="GB49:GB65" si="649">GB13</f>
        <v>0.4604471269</v>
      </c>
      <c r="GC49" s="157">
        <f t="shared" ref="GC49:GC65" si="650">IFERROR(+GB49*(GA49-FZ49),"")</f>
        <v>0</v>
      </c>
      <c r="GD49" s="158">
        <f t="shared" ref="GD49:GD65" si="651">IFERROR(+(IF(GA49="","0",GA49))-(IF(GC49="","0",GC49)),"")</f>
        <v>0</v>
      </c>
      <c r="GE49" s="159"/>
      <c r="GF49" s="149">
        <v>1.0</v>
      </c>
      <c r="GG49" s="150" t="str">
        <f t="shared" ref="GG49:GI49" si="568">IFERROR(VLOOKUP($R49,$A$13:$D$30,-GG$12,FALSE),"")</f>
        <v>Bijih  Emas</v>
      </c>
      <c r="GH49" s="151" t="str">
        <f t="shared" si="568"/>
        <v>Bijih </v>
      </c>
      <c r="GI49" s="151" t="str">
        <f t="shared" si="568"/>
        <v>Kg</v>
      </c>
      <c r="GJ49" s="152" t="str">
        <f>ADHK!GJ49</f>
        <v/>
      </c>
      <c r="GK49" s="152"/>
      <c r="GL49" s="152">
        <f t="shared" ref="GL49:GL65" si="653">IFERROR(+GJ49*GK49/1000000,"")</f>
        <v>0</v>
      </c>
      <c r="GM49" s="153"/>
      <c r="GN49" s="152">
        <f t="shared" ref="GN49:GN65" si="654">IFERROR(+GL49*GM49,"")</f>
        <v>0</v>
      </c>
      <c r="GO49" s="154"/>
      <c r="GP49" s="154"/>
      <c r="GQ49" s="155"/>
      <c r="GR49" s="156">
        <f t="shared" ref="GR49:GR65" si="655">IFERROR(+(IF(GL49="","0",GL49))+(IF(GN49="","0",GN49))+(IF(GQ49="","0",GQ49)),"")</f>
        <v>0</v>
      </c>
      <c r="GS49" s="153">
        <f t="shared" ref="GS49:GS65" si="656">GS13</f>
        <v>0.4604471269</v>
      </c>
      <c r="GT49" s="157">
        <f t="shared" ref="GT49:GT65" si="657">IFERROR(+GS49*(GR49-GQ49),"")</f>
        <v>0</v>
      </c>
      <c r="GU49" s="158">
        <f t="shared" ref="GU49:GU65" si="658">IFERROR(+(IF(GR49="","0",GR49))-(IF(GT49="","0",GT49)),"")</f>
        <v>0</v>
      </c>
      <c r="GV49" s="159"/>
      <c r="GW49" s="149">
        <v>1.0</v>
      </c>
      <c r="GX49" s="150" t="str">
        <f t="shared" ref="GX49:GZ49" si="569">IFERROR(VLOOKUP($R49,$A$13:$D$30,-GX$12,FALSE),"")</f>
        <v>Bijih  Emas</v>
      </c>
      <c r="GY49" s="151" t="str">
        <f t="shared" si="569"/>
        <v>Bijih </v>
      </c>
      <c r="GZ49" s="151" t="str">
        <f t="shared" si="569"/>
        <v>Kg</v>
      </c>
      <c r="HA49" s="152" t="str">
        <f>ADHK!HA49</f>
        <v/>
      </c>
      <c r="HB49" s="152"/>
      <c r="HC49" s="152">
        <f t="shared" ref="HC49:HC65" si="660">IFERROR(+HA49*HB49/1000000,"")</f>
        <v>0</v>
      </c>
      <c r="HD49" s="153"/>
      <c r="HE49" s="152">
        <f t="shared" ref="HE49:HE65" si="661">IFERROR(+HC49*HD49,"")</f>
        <v>0</v>
      </c>
      <c r="HF49" s="154"/>
      <c r="HG49" s="154"/>
      <c r="HH49" s="155"/>
      <c r="HI49" s="156">
        <f t="shared" ref="HI49:HI65" si="662">IFERROR(+(IF(HC49="","0",HC49))+(IF(HE49="","0",HE49))+(IF(HH49="","0",HH49)),"")</f>
        <v>0</v>
      </c>
      <c r="HJ49" s="153">
        <f t="shared" ref="HJ49:HJ65" si="663">HJ13</f>
        <v>0.4604471269</v>
      </c>
      <c r="HK49" s="157">
        <f t="shared" ref="HK49:HK65" si="664">IFERROR(+HJ49*(HI49-HH49),"")</f>
        <v>0</v>
      </c>
      <c r="HL49" s="158">
        <f t="shared" ref="HL49:HL65" si="665">IFERROR(+(IF(HI49="","0",HI49))-(IF(HK49="","0",HK49)),"")</f>
        <v>0</v>
      </c>
      <c r="HM49" s="159"/>
      <c r="HN49" s="149">
        <v>1.0</v>
      </c>
      <c r="HO49" s="150" t="str">
        <f t="shared" ref="HO49:HQ49" si="570">IFERROR(VLOOKUP($R49,$A$13:$D$30,-HO$12,FALSE),"")</f>
        <v>Bijih  Emas</v>
      </c>
      <c r="HP49" s="151" t="str">
        <f t="shared" si="570"/>
        <v>Bijih </v>
      </c>
      <c r="HQ49" s="151" t="str">
        <f t="shared" si="570"/>
        <v>Kg</v>
      </c>
      <c r="HR49" s="152" t="str">
        <f>ADHK!HR49</f>
        <v/>
      </c>
      <c r="HS49" s="152"/>
      <c r="HT49" s="152">
        <f t="shared" ref="HT49:HT65" si="667">IFERROR(+HR49*HS49/1000000,"")</f>
        <v>0</v>
      </c>
      <c r="HU49" s="153"/>
      <c r="HV49" s="152">
        <f t="shared" ref="HV49:HV65" si="668">IFERROR(+HT49*HU49,"")</f>
        <v>0</v>
      </c>
      <c r="HW49" s="154"/>
      <c r="HX49" s="154"/>
      <c r="HY49" s="155"/>
      <c r="HZ49" s="156">
        <f t="shared" ref="HZ49:HZ65" si="669">IFERROR(+(IF(HT49="","0",HT49))+(IF(HV49="","0",HV49))+(IF(HY49="","0",HY49)),"")</f>
        <v>0</v>
      </c>
      <c r="IA49" s="153">
        <f t="shared" ref="IA49:IA65" si="670">IA13</f>
        <v>0.4604471269</v>
      </c>
      <c r="IB49" s="157">
        <f t="shared" ref="IB49:IB65" si="671">IFERROR(+IA49*(HZ49-HY49),"")</f>
        <v>0</v>
      </c>
      <c r="IC49" s="158">
        <f t="shared" ref="IC49:IC65" si="672">IFERROR(+(IF(HZ49="","0",HZ49))-(IF(IB49="","0",IB49)),"")</f>
        <v>0</v>
      </c>
      <c r="ID49" s="159"/>
      <c r="IE49" s="149">
        <v>1.0</v>
      </c>
      <c r="IF49" s="150" t="str">
        <f t="shared" ref="IF49:IH49" si="571">IFERROR(VLOOKUP($R49,$A$13:$D$30,-IF$12,FALSE),"")</f>
        <v>Bijih  Emas</v>
      </c>
      <c r="IG49" s="151" t="str">
        <f t="shared" si="571"/>
        <v>Bijih </v>
      </c>
      <c r="IH49" s="151" t="str">
        <f t="shared" si="571"/>
        <v>Kg</v>
      </c>
      <c r="II49" s="152" t="str">
        <f>ADHK!II49</f>
        <v/>
      </c>
      <c r="IJ49" s="152"/>
      <c r="IK49" s="152">
        <f t="shared" ref="IK49:IK65" si="674">IFERROR(+II49*IJ49/1000000,"")</f>
        <v>0</v>
      </c>
      <c r="IL49" s="153"/>
      <c r="IM49" s="152">
        <f t="shared" ref="IM49:IM65" si="675">IFERROR(+IK49*IL49,"")</f>
        <v>0</v>
      </c>
      <c r="IN49" s="154"/>
      <c r="IO49" s="154"/>
      <c r="IP49" s="155"/>
      <c r="IQ49" s="156">
        <f t="shared" ref="IQ49:IQ65" si="676">IFERROR(+(IF(IK49="","0",IK49))+(IF(IM49="","0",IM49))+(IF(IP49="","0",IP49)),"")</f>
        <v>0</v>
      </c>
      <c r="IR49" s="153">
        <f t="shared" ref="IR49:IR65" si="677">IR13</f>
        <v>0.4604471269</v>
      </c>
      <c r="IS49" s="157">
        <f t="shared" ref="IS49:IS65" si="678">IFERROR(+IR49*(IQ49-IP49),"")</f>
        <v>0</v>
      </c>
      <c r="IT49" s="158">
        <f t="shared" ref="IT49:IT65" si="679">IFERROR(+(IF(IQ49="","0",IQ49))-(IF(IS49="","0",IS49)),"")</f>
        <v>0</v>
      </c>
      <c r="IU49" s="159"/>
      <c r="IV49" s="149">
        <v>1.0</v>
      </c>
      <c r="IW49" s="150" t="str">
        <f t="shared" ref="IW49:IY49" si="572">IFERROR(VLOOKUP($R49,$A$13:$D$30,-IW$12,FALSE),"")</f>
        <v>Bijih  Emas</v>
      </c>
      <c r="IX49" s="151" t="str">
        <f t="shared" si="572"/>
        <v>Bijih </v>
      </c>
      <c r="IY49" s="151" t="str">
        <f t="shared" si="572"/>
        <v>Kg</v>
      </c>
      <c r="IZ49" s="152" t="str">
        <f>ADHK!IZ49</f>
        <v/>
      </c>
      <c r="JA49" s="152"/>
      <c r="JB49" s="152">
        <f t="shared" ref="JB49:JB65" si="681">IFERROR(+IZ49*JA49/1000000,"")</f>
        <v>0</v>
      </c>
      <c r="JC49" s="153"/>
      <c r="JD49" s="152">
        <f t="shared" ref="JD49:JD65" si="682">IFERROR(+JB49*JC49,"")</f>
        <v>0</v>
      </c>
      <c r="JE49" s="154"/>
      <c r="JF49" s="154"/>
      <c r="JG49" s="155"/>
      <c r="JH49" s="156">
        <f t="shared" ref="JH49:JH65" si="683">IFERROR(+(IF(JB49="","0",JB49))+(IF(JD49="","0",JD49))+(IF(JG49="","0",JG49)),"")</f>
        <v>0</v>
      </c>
      <c r="JI49" s="153">
        <f t="shared" ref="JI49:JI65" si="684">JI13</f>
        <v>0.4604471269</v>
      </c>
      <c r="JJ49" s="157">
        <f t="shared" ref="JJ49:JJ65" si="685">IFERROR(+JI49*(JH49-JG49),"")</f>
        <v>0</v>
      </c>
      <c r="JK49" s="158">
        <f t="shared" ref="JK49:JK65" si="686">IFERROR(+(IF(JH49="","0",JH49))-(IF(JJ49="","0",JJ49)),"")</f>
        <v>0</v>
      </c>
      <c r="JL49" s="159"/>
      <c r="JM49" s="149">
        <v>1.0</v>
      </c>
      <c r="JN49" s="150" t="str">
        <f t="shared" ref="JN49:JP49" si="573">IFERROR(VLOOKUP($R49,$A$13:$D$30,-JN$12,FALSE),"")</f>
        <v>Bijih  Emas</v>
      </c>
      <c r="JO49" s="151" t="str">
        <f t="shared" si="573"/>
        <v>Bijih </v>
      </c>
      <c r="JP49" s="151" t="str">
        <f t="shared" si="573"/>
        <v>Kg</v>
      </c>
      <c r="JQ49" s="152" t="str">
        <f>ADHK!KY49</f>
        <v/>
      </c>
      <c r="JR49" s="152"/>
      <c r="JS49" s="152">
        <f t="shared" ref="JS49:JS65" si="688">IFERROR(+JQ49*JR49/1000000,"")</f>
        <v>0</v>
      </c>
      <c r="JT49" s="153"/>
      <c r="JU49" s="152">
        <f t="shared" ref="JU49:JU65" si="689">IFERROR(+JS49*JT49,"")</f>
        <v>0</v>
      </c>
      <c r="JV49" s="154"/>
      <c r="JW49" s="154"/>
      <c r="JX49" s="155"/>
      <c r="JY49" s="156">
        <f t="shared" ref="JY49:JY65" si="690">IFERROR(+(IF(JS49="","0",JS49))+(IF(JU49="","0",JU49))+(IF(JX49="","0",JX49)),"")</f>
        <v>0</v>
      </c>
      <c r="JZ49" s="153">
        <f t="shared" ref="JZ49:JZ65" si="691">JZ13</f>
        <v>0.4604471269</v>
      </c>
      <c r="KA49" s="157">
        <f t="shared" ref="KA49:KA65" si="692">IFERROR(+JZ49*(JY49-JX49),"")</f>
        <v>0</v>
      </c>
      <c r="KB49" s="158">
        <f t="shared" ref="KB49:KB65" si="693">IFERROR(+(IF(JY49="","0",JY49))-(IF(KA49="","0",KA49)),"")</f>
        <v>0</v>
      </c>
      <c r="KC49" s="159"/>
      <c r="KD49" s="149">
        <v>1.0</v>
      </c>
      <c r="KE49" s="150" t="str">
        <f t="shared" ref="KE49:KG49" si="574">IFERROR(VLOOKUP($R49,$A$13:$D$30,-KE$12,FALSE),"")</f>
        <v>Bijih  Emas</v>
      </c>
      <c r="KF49" s="151" t="str">
        <f t="shared" si="574"/>
        <v>Bijih </v>
      </c>
      <c r="KG49" s="151" t="str">
        <f t="shared" si="574"/>
        <v>Kg</v>
      </c>
      <c r="KH49" s="152" t="str">
        <f>ADHK!LP49</f>
        <v/>
      </c>
      <c r="KI49" s="152"/>
      <c r="KJ49" s="152">
        <f t="shared" ref="KJ49:KJ65" si="695">IFERROR(+KH49*KI49/1000000,"")</f>
        <v>0</v>
      </c>
      <c r="KK49" s="153"/>
      <c r="KL49" s="152">
        <f t="shared" ref="KL49:KL65" si="696">IFERROR(+KJ49*KK49,"")</f>
        <v>0</v>
      </c>
      <c r="KM49" s="154"/>
      <c r="KN49" s="154"/>
      <c r="KO49" s="155"/>
      <c r="KP49" s="156">
        <f t="shared" ref="KP49:KP65" si="697">IFERROR(+(IF(KJ49="","0",KJ49))+(IF(KL49="","0",KL49))+(IF(KO49="","0",KO49)),"")</f>
        <v>0</v>
      </c>
      <c r="KQ49" s="153">
        <f t="shared" ref="KQ49:KQ65" si="698">KQ13</f>
        <v>0.4604471269</v>
      </c>
      <c r="KR49" s="157">
        <f t="shared" ref="KR49:KR65" si="699">IFERROR(+KQ49*(KP49-KO49),"")</f>
        <v>0</v>
      </c>
      <c r="KS49" s="158">
        <f t="shared" ref="KS49:KS65" si="700">IFERROR(+(IF(KP49="","0",KP49))-(IF(KR49="","0",KR49)),"")</f>
        <v>0</v>
      </c>
      <c r="KT49" s="159"/>
      <c r="KU49" s="160"/>
    </row>
    <row r="50" ht="15.75" customHeight="1">
      <c r="A50" s="161">
        <f t="shared" ref="A50:A65" si="701">A49+1</f>
        <v>2</v>
      </c>
      <c r="B50" s="162" t="str">
        <f t="shared" ref="B50:D50" si="575">IFERROR(VLOOKUP($A50,$A$13:$D$30,-B$12,FALSE),"")</f>
        <v>Bijih  Perak</v>
      </c>
      <c r="C50" s="163" t="str">
        <f t="shared" si="575"/>
        <v>Bijih </v>
      </c>
      <c r="D50" s="163" t="str">
        <f t="shared" si="575"/>
        <v>Kg</v>
      </c>
      <c r="E50" s="156" t="str">
        <f>ADHK!E50</f>
        <v/>
      </c>
      <c r="F50" s="156" t="str">
        <f>ADHK!F50</f>
        <v/>
      </c>
      <c r="G50" s="156">
        <f t="shared" si="576"/>
        <v>0</v>
      </c>
      <c r="H50" s="164"/>
      <c r="I50" s="156">
        <f t="shared" si="577"/>
        <v>0</v>
      </c>
      <c r="J50" s="165"/>
      <c r="K50" s="165"/>
      <c r="L50" s="166"/>
      <c r="M50" s="156">
        <f t="shared" si="578"/>
        <v>0</v>
      </c>
      <c r="N50" s="164">
        <f t="shared" si="579"/>
        <v>0.4604471269</v>
      </c>
      <c r="O50" s="167">
        <f t="shared" si="580"/>
        <v>0</v>
      </c>
      <c r="P50" s="168">
        <f t="shared" si="581"/>
        <v>0</v>
      </c>
      <c r="Q50" s="159"/>
      <c r="R50" s="161">
        <f t="shared" ref="R50:R65" si="703">R49+1</f>
        <v>2</v>
      </c>
      <c r="S50" s="162" t="str">
        <f t="shared" ref="S50:U50" si="582">IFERROR(VLOOKUP($R50,$A$13:$D$30,-S$12,FALSE),"")</f>
        <v>Bijih  Perak</v>
      </c>
      <c r="T50" s="163" t="str">
        <f t="shared" si="582"/>
        <v>Bijih </v>
      </c>
      <c r="U50" s="163" t="str">
        <f t="shared" si="582"/>
        <v>Kg</v>
      </c>
      <c r="V50" s="156" t="str">
        <f>ADHK!V50</f>
        <v/>
      </c>
      <c r="W50" s="156"/>
      <c r="X50" s="156">
        <f t="shared" si="583"/>
        <v>0</v>
      </c>
      <c r="Y50" s="164"/>
      <c r="Z50" s="156">
        <f t="shared" si="584"/>
        <v>0</v>
      </c>
      <c r="AA50" s="165"/>
      <c r="AB50" s="165"/>
      <c r="AC50" s="166"/>
      <c r="AD50" s="156">
        <f t="shared" si="585"/>
        <v>0</v>
      </c>
      <c r="AE50" s="164">
        <f t="shared" si="586"/>
        <v>0.4604471269</v>
      </c>
      <c r="AF50" s="167">
        <f t="shared" si="587"/>
        <v>0</v>
      </c>
      <c r="AG50" s="168">
        <f t="shared" si="588"/>
        <v>0</v>
      </c>
      <c r="AH50" s="159"/>
      <c r="AI50" s="161">
        <f t="shared" ref="AI50:AI65" si="705">AI49+1</f>
        <v>2</v>
      </c>
      <c r="AJ50" s="162" t="str">
        <f t="shared" ref="AJ50:AL50" si="589">IFERROR(VLOOKUP($R50,$A$13:$D$30,-AJ$12,FALSE),"")</f>
        <v>Bijih  Perak</v>
      </c>
      <c r="AK50" s="163" t="str">
        <f t="shared" si="589"/>
        <v>Bijih </v>
      </c>
      <c r="AL50" s="163" t="str">
        <f t="shared" si="589"/>
        <v>Kg</v>
      </c>
      <c r="AM50" s="156" t="str">
        <f>ADHK!AM50</f>
        <v/>
      </c>
      <c r="AN50" s="156"/>
      <c r="AO50" s="156">
        <f t="shared" si="590"/>
        <v>0</v>
      </c>
      <c r="AP50" s="164"/>
      <c r="AQ50" s="156">
        <f t="shared" si="591"/>
        <v>0</v>
      </c>
      <c r="AR50" s="165"/>
      <c r="AS50" s="165"/>
      <c r="AT50" s="166"/>
      <c r="AU50" s="156">
        <f t="shared" si="592"/>
        <v>0</v>
      </c>
      <c r="AV50" s="164">
        <f t="shared" si="593"/>
        <v>0.4604471269</v>
      </c>
      <c r="AW50" s="167">
        <f t="shared" si="594"/>
        <v>0</v>
      </c>
      <c r="AX50" s="168">
        <f t="shared" si="595"/>
        <v>0</v>
      </c>
      <c r="AY50" s="159"/>
      <c r="AZ50" s="161">
        <f t="shared" ref="AZ50:AZ65" si="707">AZ49+1</f>
        <v>2</v>
      </c>
      <c r="BA50" s="162" t="str">
        <f t="shared" ref="BA50:BC50" si="596">IFERROR(VLOOKUP($R50,$A$13:$D$30,-BA$12,FALSE),"")</f>
        <v>Bijih  Perak</v>
      </c>
      <c r="BB50" s="163" t="str">
        <f t="shared" si="596"/>
        <v>Bijih </v>
      </c>
      <c r="BC50" s="163" t="str">
        <f t="shared" si="596"/>
        <v>Kg</v>
      </c>
      <c r="BD50" s="156" t="str">
        <f>ADHK!BD50</f>
        <v/>
      </c>
      <c r="BE50" s="156"/>
      <c r="BF50" s="156">
        <f t="shared" si="597"/>
        <v>0</v>
      </c>
      <c r="BG50" s="164"/>
      <c r="BH50" s="156">
        <f t="shared" si="598"/>
        <v>0</v>
      </c>
      <c r="BI50" s="165"/>
      <c r="BJ50" s="165"/>
      <c r="BK50" s="166"/>
      <c r="BL50" s="156">
        <f t="shared" si="599"/>
        <v>0</v>
      </c>
      <c r="BM50" s="164">
        <f t="shared" si="600"/>
        <v>0.4604471269</v>
      </c>
      <c r="BN50" s="167">
        <f t="shared" si="601"/>
        <v>0</v>
      </c>
      <c r="BO50" s="168">
        <f t="shared" si="602"/>
        <v>0</v>
      </c>
      <c r="BP50" s="159"/>
      <c r="BQ50" s="161">
        <f t="shared" ref="BQ50:BQ65" si="709">BQ49+1</f>
        <v>2</v>
      </c>
      <c r="BR50" s="162" t="str">
        <f t="shared" ref="BR50:BT50" si="603">IFERROR(VLOOKUP($R50,$A$13:$D$30,-BR$12,FALSE),"")</f>
        <v>Bijih  Perak</v>
      </c>
      <c r="BS50" s="163" t="str">
        <f t="shared" si="603"/>
        <v>Bijih </v>
      </c>
      <c r="BT50" s="163" t="str">
        <f t="shared" si="603"/>
        <v>Kg</v>
      </c>
      <c r="BU50" s="156" t="str">
        <f>ADHK!BU50</f>
        <v/>
      </c>
      <c r="BV50" s="156"/>
      <c r="BW50" s="156">
        <f t="shared" si="604"/>
        <v>0</v>
      </c>
      <c r="BX50" s="164"/>
      <c r="BY50" s="156">
        <f t="shared" si="605"/>
        <v>0</v>
      </c>
      <c r="BZ50" s="165"/>
      <c r="CA50" s="165"/>
      <c r="CB50" s="166"/>
      <c r="CC50" s="156">
        <f t="shared" si="606"/>
        <v>0</v>
      </c>
      <c r="CD50" s="164">
        <f t="shared" si="607"/>
        <v>0.4604471269</v>
      </c>
      <c r="CE50" s="167">
        <f t="shared" si="608"/>
        <v>0</v>
      </c>
      <c r="CF50" s="168">
        <f t="shared" si="609"/>
        <v>0</v>
      </c>
      <c r="CG50" s="159"/>
      <c r="CH50" s="161">
        <f t="shared" ref="CH50:CH65" si="711">CH49+1</f>
        <v>2</v>
      </c>
      <c r="CI50" s="162" t="str">
        <f t="shared" ref="CI50:CK50" si="610">IFERROR(VLOOKUP($R50,$A$13:$D$30,-CI$12,FALSE),"")</f>
        <v>Bijih  Perak</v>
      </c>
      <c r="CJ50" s="163" t="str">
        <f t="shared" si="610"/>
        <v>Bijih </v>
      </c>
      <c r="CK50" s="163" t="str">
        <f t="shared" si="610"/>
        <v>Kg</v>
      </c>
      <c r="CL50" s="156" t="str">
        <f>ADHK!CL50</f>
        <v/>
      </c>
      <c r="CM50" s="156"/>
      <c r="CN50" s="156">
        <f t="shared" si="611"/>
        <v>0</v>
      </c>
      <c r="CO50" s="164"/>
      <c r="CP50" s="156">
        <f t="shared" si="612"/>
        <v>0</v>
      </c>
      <c r="CQ50" s="165"/>
      <c r="CR50" s="165"/>
      <c r="CS50" s="166"/>
      <c r="CT50" s="156">
        <f t="shared" si="613"/>
        <v>0</v>
      </c>
      <c r="CU50" s="164">
        <f t="shared" si="614"/>
        <v>0.4604471269</v>
      </c>
      <c r="CV50" s="167">
        <f t="shared" si="615"/>
        <v>0</v>
      </c>
      <c r="CW50" s="168">
        <f t="shared" si="616"/>
        <v>0</v>
      </c>
      <c r="CX50" s="159"/>
      <c r="CY50" s="161">
        <f t="shared" ref="CY50:CY65" si="713">CY49+1</f>
        <v>2</v>
      </c>
      <c r="CZ50" s="162" t="str">
        <f t="shared" ref="CZ50:DB50" si="617">IFERROR(VLOOKUP($R50,$A$13:$D$30,-CZ$12,FALSE),"")</f>
        <v>Bijih  Perak</v>
      </c>
      <c r="DA50" s="163" t="str">
        <f t="shared" si="617"/>
        <v>Bijih </v>
      </c>
      <c r="DB50" s="163" t="str">
        <f t="shared" si="617"/>
        <v>Kg</v>
      </c>
      <c r="DC50" s="156" t="str">
        <f>ADHK!DC50</f>
        <v/>
      </c>
      <c r="DD50" s="156"/>
      <c r="DE50" s="156">
        <f t="shared" si="618"/>
        <v>0</v>
      </c>
      <c r="DF50" s="164"/>
      <c r="DG50" s="156">
        <f t="shared" si="619"/>
        <v>0</v>
      </c>
      <c r="DH50" s="165"/>
      <c r="DI50" s="165"/>
      <c r="DJ50" s="166"/>
      <c r="DK50" s="156">
        <f t="shared" si="620"/>
        <v>0</v>
      </c>
      <c r="DL50" s="164">
        <f t="shared" si="621"/>
        <v>0.4604471269</v>
      </c>
      <c r="DM50" s="167">
        <f t="shared" si="622"/>
        <v>0</v>
      </c>
      <c r="DN50" s="168">
        <f t="shared" si="623"/>
        <v>0</v>
      </c>
      <c r="DO50" s="159"/>
      <c r="DP50" s="161">
        <f t="shared" ref="DP50:DP65" si="715">DP49+1</f>
        <v>2</v>
      </c>
      <c r="DQ50" s="162" t="str">
        <f t="shared" ref="DQ50:DS50" si="624">IFERROR(VLOOKUP($R50,$A$13:$D$30,-DQ$12,FALSE),"")</f>
        <v>Bijih  Perak</v>
      </c>
      <c r="DR50" s="163" t="str">
        <f t="shared" si="624"/>
        <v>Bijih </v>
      </c>
      <c r="DS50" s="163" t="str">
        <f t="shared" si="624"/>
        <v>Kg</v>
      </c>
      <c r="DT50" s="156" t="str">
        <f>ADHK!DT50</f>
        <v/>
      </c>
      <c r="DU50" s="156"/>
      <c r="DV50" s="156">
        <f t="shared" si="625"/>
        <v>0</v>
      </c>
      <c r="DW50" s="164"/>
      <c r="DX50" s="156">
        <f t="shared" si="626"/>
        <v>0</v>
      </c>
      <c r="DY50" s="165"/>
      <c r="DZ50" s="165"/>
      <c r="EA50" s="166"/>
      <c r="EB50" s="156">
        <f t="shared" si="627"/>
        <v>0</v>
      </c>
      <c r="EC50" s="164">
        <f t="shared" si="628"/>
        <v>0.4604471269</v>
      </c>
      <c r="ED50" s="167">
        <f t="shared" si="629"/>
        <v>0</v>
      </c>
      <c r="EE50" s="168">
        <f t="shared" si="630"/>
        <v>0</v>
      </c>
      <c r="EF50" s="159"/>
      <c r="EG50" s="161">
        <f t="shared" ref="EG50:EG65" si="717">EG49+1</f>
        <v>2</v>
      </c>
      <c r="EH50" s="162" t="str">
        <f t="shared" ref="EH50:EJ50" si="631">IFERROR(VLOOKUP($R50,$A$13:$D$30,-EH$12,FALSE),"")</f>
        <v>Bijih  Perak</v>
      </c>
      <c r="EI50" s="163" t="str">
        <f t="shared" si="631"/>
        <v>Bijih </v>
      </c>
      <c r="EJ50" s="163" t="str">
        <f t="shared" si="631"/>
        <v>Kg</v>
      </c>
      <c r="EK50" s="156" t="str">
        <f>ADHK!EK50</f>
        <v/>
      </c>
      <c r="EL50" s="156"/>
      <c r="EM50" s="156">
        <f t="shared" si="632"/>
        <v>0</v>
      </c>
      <c r="EN50" s="164"/>
      <c r="EO50" s="156">
        <f t="shared" si="633"/>
        <v>0</v>
      </c>
      <c r="EP50" s="165"/>
      <c r="EQ50" s="165"/>
      <c r="ER50" s="166"/>
      <c r="ES50" s="156">
        <f t="shared" si="634"/>
        <v>0</v>
      </c>
      <c r="ET50" s="164">
        <f t="shared" si="635"/>
        <v>0.4604471269</v>
      </c>
      <c r="EU50" s="167">
        <f t="shared" si="636"/>
        <v>0</v>
      </c>
      <c r="EV50" s="168">
        <f t="shared" si="637"/>
        <v>0</v>
      </c>
      <c r="EW50" s="159"/>
      <c r="EX50" s="161">
        <f t="shared" ref="EX50:EX65" si="719">EX49+1</f>
        <v>2</v>
      </c>
      <c r="EY50" s="162" t="str">
        <f t="shared" ref="EY50:FA50" si="638">IFERROR(VLOOKUP($R50,$A$13:$D$30,-EY$12,FALSE),"")</f>
        <v>Bijih  Perak</v>
      </c>
      <c r="EZ50" s="163" t="str">
        <f t="shared" si="638"/>
        <v>Bijih </v>
      </c>
      <c r="FA50" s="163" t="str">
        <f t="shared" si="638"/>
        <v>Kg</v>
      </c>
      <c r="FB50" s="156" t="str">
        <f>ADHK!FB50</f>
        <v/>
      </c>
      <c r="FC50" s="156"/>
      <c r="FD50" s="156">
        <f t="shared" si="639"/>
        <v>0</v>
      </c>
      <c r="FE50" s="164"/>
      <c r="FF50" s="156">
        <f t="shared" si="640"/>
        <v>0</v>
      </c>
      <c r="FG50" s="165"/>
      <c r="FH50" s="165"/>
      <c r="FI50" s="166"/>
      <c r="FJ50" s="156">
        <f t="shared" si="641"/>
        <v>0</v>
      </c>
      <c r="FK50" s="164">
        <f t="shared" si="642"/>
        <v>0.4604471269</v>
      </c>
      <c r="FL50" s="167">
        <f t="shared" si="643"/>
        <v>0</v>
      </c>
      <c r="FM50" s="168">
        <f t="shared" si="644"/>
        <v>0</v>
      </c>
      <c r="FN50" s="159"/>
      <c r="FO50" s="161">
        <f t="shared" ref="FO50:FO65" si="721">FO49+1</f>
        <v>2</v>
      </c>
      <c r="FP50" s="162" t="str">
        <f t="shared" ref="FP50:FR50" si="645">IFERROR(VLOOKUP($R50,$A$13:$D$30,-FP$12,FALSE),"")</f>
        <v>Bijih  Perak</v>
      </c>
      <c r="FQ50" s="163" t="str">
        <f t="shared" si="645"/>
        <v>Bijih </v>
      </c>
      <c r="FR50" s="163" t="str">
        <f t="shared" si="645"/>
        <v>Kg</v>
      </c>
      <c r="FS50" s="156" t="str">
        <f>ADHK!FS50</f>
        <v/>
      </c>
      <c r="FT50" s="156"/>
      <c r="FU50" s="156">
        <f t="shared" si="646"/>
        <v>0</v>
      </c>
      <c r="FV50" s="164"/>
      <c r="FW50" s="156">
        <f t="shared" si="647"/>
        <v>0</v>
      </c>
      <c r="FX50" s="165"/>
      <c r="FY50" s="165"/>
      <c r="FZ50" s="166"/>
      <c r="GA50" s="156">
        <f t="shared" si="648"/>
        <v>0</v>
      </c>
      <c r="GB50" s="164">
        <f t="shared" si="649"/>
        <v>0.4604471269</v>
      </c>
      <c r="GC50" s="167">
        <f t="shared" si="650"/>
        <v>0</v>
      </c>
      <c r="GD50" s="168">
        <f t="shared" si="651"/>
        <v>0</v>
      </c>
      <c r="GE50" s="159"/>
      <c r="GF50" s="161">
        <f t="shared" ref="GF50:GF65" si="723">GF49+1</f>
        <v>2</v>
      </c>
      <c r="GG50" s="162" t="str">
        <f t="shared" ref="GG50:GI50" si="652">IFERROR(VLOOKUP($R50,$A$13:$D$30,-GG$12,FALSE),"")</f>
        <v>Bijih  Perak</v>
      </c>
      <c r="GH50" s="163" t="str">
        <f t="shared" si="652"/>
        <v>Bijih </v>
      </c>
      <c r="GI50" s="163" t="str">
        <f t="shared" si="652"/>
        <v>Kg</v>
      </c>
      <c r="GJ50" s="156" t="str">
        <f>ADHK!GJ50</f>
        <v/>
      </c>
      <c r="GK50" s="156"/>
      <c r="GL50" s="156">
        <f t="shared" si="653"/>
        <v>0</v>
      </c>
      <c r="GM50" s="164"/>
      <c r="GN50" s="156">
        <f t="shared" si="654"/>
        <v>0</v>
      </c>
      <c r="GO50" s="165"/>
      <c r="GP50" s="165"/>
      <c r="GQ50" s="166"/>
      <c r="GR50" s="156">
        <f t="shared" si="655"/>
        <v>0</v>
      </c>
      <c r="GS50" s="164">
        <f t="shared" si="656"/>
        <v>0.4604471269</v>
      </c>
      <c r="GT50" s="167">
        <f t="shared" si="657"/>
        <v>0</v>
      </c>
      <c r="GU50" s="168">
        <f t="shared" si="658"/>
        <v>0</v>
      </c>
      <c r="GV50" s="159"/>
      <c r="GW50" s="161">
        <f t="shared" ref="GW50:GW65" si="725">GW49+1</f>
        <v>2</v>
      </c>
      <c r="GX50" s="162" t="str">
        <f t="shared" ref="GX50:GZ50" si="659">IFERROR(VLOOKUP($R50,$A$13:$D$30,-GX$12,FALSE),"")</f>
        <v>Bijih  Perak</v>
      </c>
      <c r="GY50" s="163" t="str">
        <f t="shared" si="659"/>
        <v>Bijih </v>
      </c>
      <c r="GZ50" s="163" t="str">
        <f t="shared" si="659"/>
        <v>Kg</v>
      </c>
      <c r="HA50" s="156" t="str">
        <f>ADHK!HA50</f>
        <v/>
      </c>
      <c r="HB50" s="156"/>
      <c r="HC50" s="156">
        <f t="shared" si="660"/>
        <v>0</v>
      </c>
      <c r="HD50" s="164"/>
      <c r="HE50" s="156">
        <f t="shared" si="661"/>
        <v>0</v>
      </c>
      <c r="HF50" s="165"/>
      <c r="HG50" s="165"/>
      <c r="HH50" s="166"/>
      <c r="HI50" s="156">
        <f t="shared" si="662"/>
        <v>0</v>
      </c>
      <c r="HJ50" s="164">
        <f t="shared" si="663"/>
        <v>0.4604471269</v>
      </c>
      <c r="HK50" s="167">
        <f t="shared" si="664"/>
        <v>0</v>
      </c>
      <c r="HL50" s="168">
        <f t="shared" si="665"/>
        <v>0</v>
      </c>
      <c r="HM50" s="159"/>
      <c r="HN50" s="161">
        <f t="shared" ref="HN50:HN65" si="727">HN49+1</f>
        <v>2</v>
      </c>
      <c r="HO50" s="162" t="str">
        <f t="shared" ref="HO50:HQ50" si="666">IFERROR(VLOOKUP($R50,$A$13:$D$30,-HO$12,FALSE),"")</f>
        <v>Bijih  Perak</v>
      </c>
      <c r="HP50" s="163" t="str">
        <f t="shared" si="666"/>
        <v>Bijih </v>
      </c>
      <c r="HQ50" s="163" t="str">
        <f t="shared" si="666"/>
        <v>Kg</v>
      </c>
      <c r="HR50" s="156" t="str">
        <f>ADHK!HR50</f>
        <v/>
      </c>
      <c r="HS50" s="156"/>
      <c r="HT50" s="156">
        <f t="shared" si="667"/>
        <v>0</v>
      </c>
      <c r="HU50" s="164"/>
      <c r="HV50" s="156">
        <f t="shared" si="668"/>
        <v>0</v>
      </c>
      <c r="HW50" s="165"/>
      <c r="HX50" s="165"/>
      <c r="HY50" s="166"/>
      <c r="HZ50" s="156">
        <f t="shared" si="669"/>
        <v>0</v>
      </c>
      <c r="IA50" s="164">
        <f t="shared" si="670"/>
        <v>0.4604471269</v>
      </c>
      <c r="IB50" s="167">
        <f t="shared" si="671"/>
        <v>0</v>
      </c>
      <c r="IC50" s="168">
        <f t="shared" si="672"/>
        <v>0</v>
      </c>
      <c r="ID50" s="159"/>
      <c r="IE50" s="161">
        <f t="shared" ref="IE50:IE65" si="729">IE49+1</f>
        <v>2</v>
      </c>
      <c r="IF50" s="162" t="str">
        <f t="shared" ref="IF50:IH50" si="673">IFERROR(VLOOKUP($R50,$A$13:$D$30,-IF$12,FALSE),"")</f>
        <v>Bijih  Perak</v>
      </c>
      <c r="IG50" s="163" t="str">
        <f t="shared" si="673"/>
        <v>Bijih </v>
      </c>
      <c r="IH50" s="163" t="str">
        <f t="shared" si="673"/>
        <v>Kg</v>
      </c>
      <c r="II50" s="156" t="str">
        <f>ADHK!II50</f>
        <v/>
      </c>
      <c r="IJ50" s="156"/>
      <c r="IK50" s="156">
        <f t="shared" si="674"/>
        <v>0</v>
      </c>
      <c r="IL50" s="164"/>
      <c r="IM50" s="156">
        <f t="shared" si="675"/>
        <v>0</v>
      </c>
      <c r="IN50" s="165"/>
      <c r="IO50" s="165"/>
      <c r="IP50" s="166"/>
      <c r="IQ50" s="156">
        <f t="shared" si="676"/>
        <v>0</v>
      </c>
      <c r="IR50" s="164">
        <f t="shared" si="677"/>
        <v>0.4604471269</v>
      </c>
      <c r="IS50" s="167">
        <f t="shared" si="678"/>
        <v>0</v>
      </c>
      <c r="IT50" s="168">
        <f t="shared" si="679"/>
        <v>0</v>
      </c>
      <c r="IU50" s="159"/>
      <c r="IV50" s="161">
        <f t="shared" ref="IV50:IV65" si="731">IV49+1</f>
        <v>2</v>
      </c>
      <c r="IW50" s="162" t="str">
        <f t="shared" ref="IW50:IY50" si="680">IFERROR(VLOOKUP($R50,$A$13:$D$30,-IW$12,FALSE),"")</f>
        <v>Bijih  Perak</v>
      </c>
      <c r="IX50" s="163" t="str">
        <f t="shared" si="680"/>
        <v>Bijih </v>
      </c>
      <c r="IY50" s="163" t="str">
        <f t="shared" si="680"/>
        <v>Kg</v>
      </c>
      <c r="IZ50" s="156" t="str">
        <f>ADHK!IZ50</f>
        <v/>
      </c>
      <c r="JA50" s="156"/>
      <c r="JB50" s="156">
        <f t="shared" si="681"/>
        <v>0</v>
      </c>
      <c r="JC50" s="164"/>
      <c r="JD50" s="156">
        <f t="shared" si="682"/>
        <v>0</v>
      </c>
      <c r="JE50" s="165"/>
      <c r="JF50" s="165"/>
      <c r="JG50" s="166"/>
      <c r="JH50" s="156">
        <f t="shared" si="683"/>
        <v>0</v>
      </c>
      <c r="JI50" s="164">
        <f t="shared" si="684"/>
        <v>0.4604471269</v>
      </c>
      <c r="JJ50" s="167">
        <f t="shared" si="685"/>
        <v>0</v>
      </c>
      <c r="JK50" s="168">
        <f t="shared" si="686"/>
        <v>0</v>
      </c>
      <c r="JL50" s="159"/>
      <c r="JM50" s="161">
        <f t="shared" ref="JM50:JM65" si="733">JM49+1</f>
        <v>2</v>
      </c>
      <c r="JN50" s="162" t="str">
        <f t="shared" ref="JN50:JP50" si="687">IFERROR(VLOOKUP($R50,$A$13:$D$30,-JN$12,FALSE),"")</f>
        <v>Bijih  Perak</v>
      </c>
      <c r="JO50" s="163" t="str">
        <f t="shared" si="687"/>
        <v>Bijih </v>
      </c>
      <c r="JP50" s="163" t="str">
        <f t="shared" si="687"/>
        <v>Kg</v>
      </c>
      <c r="JQ50" s="156" t="str">
        <f>ADHK!KY50</f>
        <v/>
      </c>
      <c r="JR50" s="156"/>
      <c r="JS50" s="156">
        <f t="shared" si="688"/>
        <v>0</v>
      </c>
      <c r="JT50" s="164"/>
      <c r="JU50" s="156">
        <f t="shared" si="689"/>
        <v>0</v>
      </c>
      <c r="JV50" s="165"/>
      <c r="JW50" s="165"/>
      <c r="JX50" s="166"/>
      <c r="JY50" s="156">
        <f t="shared" si="690"/>
        <v>0</v>
      </c>
      <c r="JZ50" s="164">
        <f t="shared" si="691"/>
        <v>0.4604471269</v>
      </c>
      <c r="KA50" s="167">
        <f t="shared" si="692"/>
        <v>0</v>
      </c>
      <c r="KB50" s="168">
        <f t="shared" si="693"/>
        <v>0</v>
      </c>
      <c r="KC50" s="159"/>
      <c r="KD50" s="161">
        <f t="shared" ref="KD50:KD65" si="735">KD49+1</f>
        <v>2</v>
      </c>
      <c r="KE50" s="162" t="str">
        <f t="shared" ref="KE50:KG50" si="694">IFERROR(VLOOKUP($R50,$A$13:$D$30,-KE$12,FALSE),"")</f>
        <v>Bijih  Perak</v>
      </c>
      <c r="KF50" s="163" t="str">
        <f t="shared" si="694"/>
        <v>Bijih </v>
      </c>
      <c r="KG50" s="163" t="str">
        <f t="shared" si="694"/>
        <v>Kg</v>
      </c>
      <c r="KH50" s="156" t="str">
        <f>ADHK!LP50</f>
        <v/>
      </c>
      <c r="KI50" s="156"/>
      <c r="KJ50" s="156">
        <f t="shared" si="695"/>
        <v>0</v>
      </c>
      <c r="KK50" s="164"/>
      <c r="KL50" s="156">
        <f t="shared" si="696"/>
        <v>0</v>
      </c>
      <c r="KM50" s="165"/>
      <c r="KN50" s="165"/>
      <c r="KO50" s="166"/>
      <c r="KP50" s="156">
        <f t="shared" si="697"/>
        <v>0</v>
      </c>
      <c r="KQ50" s="164">
        <f t="shared" si="698"/>
        <v>0.4604471269</v>
      </c>
      <c r="KR50" s="167">
        <f t="shared" si="699"/>
        <v>0</v>
      </c>
      <c r="KS50" s="168">
        <f t="shared" si="700"/>
        <v>0</v>
      </c>
      <c r="KT50" s="159"/>
      <c r="KU50" s="160"/>
    </row>
    <row r="51" ht="15.75" customHeight="1">
      <c r="A51" s="161">
        <f t="shared" si="701"/>
        <v>3</v>
      </c>
      <c r="B51" s="162" t="str">
        <f t="shared" ref="B51:D51" si="702">IFERROR(VLOOKUP($A51,$A$13:$D$30,-B$12,FALSE),"")</f>
        <v>Tembaga</v>
      </c>
      <c r="C51" s="163" t="str">
        <f t="shared" si="702"/>
        <v>Bijih </v>
      </c>
      <c r="D51" s="163" t="str">
        <f t="shared" si="702"/>
        <v>Ton </v>
      </c>
      <c r="E51" s="156" t="str">
        <f>ADHK!E51</f>
        <v/>
      </c>
      <c r="F51" s="156" t="str">
        <f>ADHK!F51</f>
        <v/>
      </c>
      <c r="G51" s="156">
        <f t="shared" si="576"/>
        <v>0</v>
      </c>
      <c r="H51" s="164"/>
      <c r="I51" s="156">
        <f t="shared" si="577"/>
        <v>0</v>
      </c>
      <c r="J51" s="165"/>
      <c r="K51" s="165"/>
      <c r="L51" s="166"/>
      <c r="M51" s="156">
        <f t="shared" si="578"/>
        <v>0</v>
      </c>
      <c r="N51" s="164">
        <f t="shared" si="579"/>
        <v>0.4604471269</v>
      </c>
      <c r="O51" s="167">
        <f t="shared" si="580"/>
        <v>0</v>
      </c>
      <c r="P51" s="168">
        <f t="shared" si="581"/>
        <v>0</v>
      </c>
      <c r="Q51" s="159"/>
      <c r="R51" s="161">
        <f t="shared" si="703"/>
        <v>3</v>
      </c>
      <c r="S51" s="162" t="str">
        <f t="shared" ref="S51:U51" si="704">IFERROR(VLOOKUP($R51,$A$13:$D$30,-S$12,FALSE),"")</f>
        <v>Tembaga</v>
      </c>
      <c r="T51" s="163" t="str">
        <f t="shared" si="704"/>
        <v>Bijih </v>
      </c>
      <c r="U51" s="163" t="str">
        <f t="shared" si="704"/>
        <v>Ton </v>
      </c>
      <c r="V51" s="156" t="str">
        <f>ADHK!V51</f>
        <v/>
      </c>
      <c r="W51" s="156"/>
      <c r="X51" s="156">
        <f t="shared" si="583"/>
        <v>0</v>
      </c>
      <c r="Y51" s="164"/>
      <c r="Z51" s="156">
        <f t="shared" si="584"/>
        <v>0</v>
      </c>
      <c r="AA51" s="165"/>
      <c r="AB51" s="165"/>
      <c r="AC51" s="166"/>
      <c r="AD51" s="156">
        <f t="shared" si="585"/>
        <v>0</v>
      </c>
      <c r="AE51" s="164">
        <f t="shared" si="586"/>
        <v>0.4604471269</v>
      </c>
      <c r="AF51" s="167">
        <f t="shared" si="587"/>
        <v>0</v>
      </c>
      <c r="AG51" s="168">
        <f t="shared" si="588"/>
        <v>0</v>
      </c>
      <c r="AH51" s="159"/>
      <c r="AI51" s="161">
        <f t="shared" si="705"/>
        <v>3</v>
      </c>
      <c r="AJ51" s="162" t="str">
        <f t="shared" ref="AJ51:AL51" si="706">IFERROR(VLOOKUP($R51,$A$13:$D$30,-AJ$12,FALSE),"")</f>
        <v>Tembaga</v>
      </c>
      <c r="AK51" s="163" t="str">
        <f t="shared" si="706"/>
        <v>Bijih </v>
      </c>
      <c r="AL51" s="163" t="str">
        <f t="shared" si="706"/>
        <v>Ton </v>
      </c>
      <c r="AM51" s="156" t="str">
        <f>ADHK!AM51</f>
        <v/>
      </c>
      <c r="AN51" s="156"/>
      <c r="AO51" s="156">
        <f t="shared" si="590"/>
        <v>0</v>
      </c>
      <c r="AP51" s="164"/>
      <c r="AQ51" s="156">
        <f t="shared" si="591"/>
        <v>0</v>
      </c>
      <c r="AR51" s="165"/>
      <c r="AS51" s="165"/>
      <c r="AT51" s="166"/>
      <c r="AU51" s="156">
        <f t="shared" si="592"/>
        <v>0</v>
      </c>
      <c r="AV51" s="164">
        <f t="shared" si="593"/>
        <v>0.4604471269</v>
      </c>
      <c r="AW51" s="167">
        <f t="shared" si="594"/>
        <v>0</v>
      </c>
      <c r="AX51" s="168">
        <f t="shared" si="595"/>
        <v>0</v>
      </c>
      <c r="AY51" s="159"/>
      <c r="AZ51" s="161">
        <f t="shared" si="707"/>
        <v>3</v>
      </c>
      <c r="BA51" s="162" t="str">
        <f t="shared" ref="BA51:BC51" si="708">IFERROR(VLOOKUP($R51,$A$13:$D$30,-BA$12,FALSE),"")</f>
        <v>Tembaga</v>
      </c>
      <c r="BB51" s="163" t="str">
        <f t="shared" si="708"/>
        <v>Bijih </v>
      </c>
      <c r="BC51" s="163" t="str">
        <f t="shared" si="708"/>
        <v>Ton </v>
      </c>
      <c r="BD51" s="156" t="str">
        <f>ADHK!BD51</f>
        <v/>
      </c>
      <c r="BE51" s="156"/>
      <c r="BF51" s="156">
        <f t="shared" si="597"/>
        <v>0</v>
      </c>
      <c r="BG51" s="164"/>
      <c r="BH51" s="156">
        <f t="shared" si="598"/>
        <v>0</v>
      </c>
      <c r="BI51" s="165"/>
      <c r="BJ51" s="165"/>
      <c r="BK51" s="166"/>
      <c r="BL51" s="156">
        <f t="shared" si="599"/>
        <v>0</v>
      </c>
      <c r="BM51" s="164">
        <f t="shared" si="600"/>
        <v>0.4604471269</v>
      </c>
      <c r="BN51" s="167">
        <f t="shared" si="601"/>
        <v>0</v>
      </c>
      <c r="BO51" s="168">
        <f t="shared" si="602"/>
        <v>0</v>
      </c>
      <c r="BP51" s="159"/>
      <c r="BQ51" s="161">
        <f t="shared" si="709"/>
        <v>3</v>
      </c>
      <c r="BR51" s="162" t="str">
        <f t="shared" ref="BR51:BT51" si="710">IFERROR(VLOOKUP($R51,$A$13:$D$30,-BR$12,FALSE),"")</f>
        <v>Tembaga</v>
      </c>
      <c r="BS51" s="163" t="str">
        <f t="shared" si="710"/>
        <v>Bijih </v>
      </c>
      <c r="BT51" s="163" t="str">
        <f t="shared" si="710"/>
        <v>Ton </v>
      </c>
      <c r="BU51" s="156" t="str">
        <f>ADHK!BU51</f>
        <v/>
      </c>
      <c r="BV51" s="156"/>
      <c r="BW51" s="156">
        <f t="shared" si="604"/>
        <v>0</v>
      </c>
      <c r="BX51" s="164"/>
      <c r="BY51" s="156">
        <f t="shared" si="605"/>
        <v>0</v>
      </c>
      <c r="BZ51" s="165"/>
      <c r="CA51" s="165"/>
      <c r="CB51" s="166"/>
      <c r="CC51" s="156">
        <f t="shared" si="606"/>
        <v>0</v>
      </c>
      <c r="CD51" s="164">
        <f t="shared" si="607"/>
        <v>0.4604471269</v>
      </c>
      <c r="CE51" s="167">
        <f t="shared" si="608"/>
        <v>0</v>
      </c>
      <c r="CF51" s="168">
        <f t="shared" si="609"/>
        <v>0</v>
      </c>
      <c r="CG51" s="159"/>
      <c r="CH51" s="161">
        <f t="shared" si="711"/>
        <v>3</v>
      </c>
      <c r="CI51" s="162" t="str">
        <f t="shared" ref="CI51:CK51" si="712">IFERROR(VLOOKUP($R51,$A$13:$D$30,-CI$12,FALSE),"")</f>
        <v>Tembaga</v>
      </c>
      <c r="CJ51" s="163" t="str">
        <f t="shared" si="712"/>
        <v>Bijih </v>
      </c>
      <c r="CK51" s="163" t="str">
        <f t="shared" si="712"/>
        <v>Ton </v>
      </c>
      <c r="CL51" s="156" t="str">
        <f>ADHK!CL51</f>
        <v/>
      </c>
      <c r="CM51" s="156"/>
      <c r="CN51" s="156">
        <f t="shared" si="611"/>
        <v>0</v>
      </c>
      <c r="CO51" s="164"/>
      <c r="CP51" s="156">
        <f t="shared" si="612"/>
        <v>0</v>
      </c>
      <c r="CQ51" s="165"/>
      <c r="CR51" s="165"/>
      <c r="CS51" s="166"/>
      <c r="CT51" s="156">
        <f t="shared" si="613"/>
        <v>0</v>
      </c>
      <c r="CU51" s="164">
        <f t="shared" si="614"/>
        <v>0.4604471269</v>
      </c>
      <c r="CV51" s="167">
        <f t="shared" si="615"/>
        <v>0</v>
      </c>
      <c r="CW51" s="168">
        <f t="shared" si="616"/>
        <v>0</v>
      </c>
      <c r="CX51" s="159"/>
      <c r="CY51" s="161">
        <f t="shared" si="713"/>
        <v>3</v>
      </c>
      <c r="CZ51" s="162" t="str">
        <f t="shared" ref="CZ51:DB51" si="714">IFERROR(VLOOKUP($R51,$A$13:$D$30,-CZ$12,FALSE),"")</f>
        <v>Tembaga</v>
      </c>
      <c r="DA51" s="163" t="str">
        <f t="shared" si="714"/>
        <v>Bijih </v>
      </c>
      <c r="DB51" s="163" t="str">
        <f t="shared" si="714"/>
        <v>Ton </v>
      </c>
      <c r="DC51" s="156" t="str">
        <f>ADHK!DC51</f>
        <v/>
      </c>
      <c r="DD51" s="156"/>
      <c r="DE51" s="156">
        <f t="shared" si="618"/>
        <v>0</v>
      </c>
      <c r="DF51" s="164"/>
      <c r="DG51" s="156">
        <f t="shared" si="619"/>
        <v>0</v>
      </c>
      <c r="DH51" s="165"/>
      <c r="DI51" s="165"/>
      <c r="DJ51" s="166"/>
      <c r="DK51" s="156">
        <f t="shared" si="620"/>
        <v>0</v>
      </c>
      <c r="DL51" s="164">
        <f t="shared" si="621"/>
        <v>0.4604471269</v>
      </c>
      <c r="DM51" s="167">
        <f t="shared" si="622"/>
        <v>0</v>
      </c>
      <c r="DN51" s="168">
        <f t="shared" si="623"/>
        <v>0</v>
      </c>
      <c r="DO51" s="159"/>
      <c r="DP51" s="161">
        <f t="shared" si="715"/>
        <v>3</v>
      </c>
      <c r="DQ51" s="162" t="str">
        <f t="shared" ref="DQ51:DS51" si="716">IFERROR(VLOOKUP($R51,$A$13:$D$30,-DQ$12,FALSE),"")</f>
        <v>Tembaga</v>
      </c>
      <c r="DR51" s="163" t="str">
        <f t="shared" si="716"/>
        <v>Bijih </v>
      </c>
      <c r="DS51" s="163" t="str">
        <f t="shared" si="716"/>
        <v>Ton </v>
      </c>
      <c r="DT51" s="156" t="str">
        <f>ADHK!DT51</f>
        <v/>
      </c>
      <c r="DU51" s="156"/>
      <c r="DV51" s="156">
        <f t="shared" si="625"/>
        <v>0</v>
      </c>
      <c r="DW51" s="164"/>
      <c r="DX51" s="156">
        <f t="shared" si="626"/>
        <v>0</v>
      </c>
      <c r="DY51" s="165"/>
      <c r="DZ51" s="165"/>
      <c r="EA51" s="166"/>
      <c r="EB51" s="156">
        <f t="shared" si="627"/>
        <v>0</v>
      </c>
      <c r="EC51" s="164">
        <f t="shared" si="628"/>
        <v>0.4604471269</v>
      </c>
      <c r="ED51" s="167">
        <f t="shared" si="629"/>
        <v>0</v>
      </c>
      <c r="EE51" s="168">
        <f t="shared" si="630"/>
        <v>0</v>
      </c>
      <c r="EF51" s="159"/>
      <c r="EG51" s="161">
        <f t="shared" si="717"/>
        <v>3</v>
      </c>
      <c r="EH51" s="162" t="str">
        <f t="shared" ref="EH51:EJ51" si="718">IFERROR(VLOOKUP($R51,$A$13:$D$30,-EH$12,FALSE),"")</f>
        <v>Tembaga</v>
      </c>
      <c r="EI51" s="163" t="str">
        <f t="shared" si="718"/>
        <v>Bijih </v>
      </c>
      <c r="EJ51" s="163" t="str">
        <f t="shared" si="718"/>
        <v>Ton </v>
      </c>
      <c r="EK51" s="156" t="str">
        <f>ADHK!EK51</f>
        <v/>
      </c>
      <c r="EL51" s="156"/>
      <c r="EM51" s="156">
        <f t="shared" si="632"/>
        <v>0</v>
      </c>
      <c r="EN51" s="164"/>
      <c r="EO51" s="156">
        <f t="shared" si="633"/>
        <v>0</v>
      </c>
      <c r="EP51" s="165"/>
      <c r="EQ51" s="165"/>
      <c r="ER51" s="166"/>
      <c r="ES51" s="156">
        <f t="shared" si="634"/>
        <v>0</v>
      </c>
      <c r="ET51" s="164">
        <f t="shared" si="635"/>
        <v>0.4604471269</v>
      </c>
      <c r="EU51" s="167">
        <f t="shared" si="636"/>
        <v>0</v>
      </c>
      <c r="EV51" s="168">
        <f t="shared" si="637"/>
        <v>0</v>
      </c>
      <c r="EW51" s="159"/>
      <c r="EX51" s="161">
        <f t="shared" si="719"/>
        <v>3</v>
      </c>
      <c r="EY51" s="162" t="str">
        <f t="shared" ref="EY51:FA51" si="720">IFERROR(VLOOKUP($R51,$A$13:$D$30,-EY$12,FALSE),"")</f>
        <v>Tembaga</v>
      </c>
      <c r="EZ51" s="163" t="str">
        <f t="shared" si="720"/>
        <v>Bijih </v>
      </c>
      <c r="FA51" s="163" t="str">
        <f t="shared" si="720"/>
        <v>Ton </v>
      </c>
      <c r="FB51" s="156" t="str">
        <f>ADHK!FB51</f>
        <v/>
      </c>
      <c r="FC51" s="156"/>
      <c r="FD51" s="156">
        <f t="shared" si="639"/>
        <v>0</v>
      </c>
      <c r="FE51" s="164"/>
      <c r="FF51" s="156">
        <f t="shared" si="640"/>
        <v>0</v>
      </c>
      <c r="FG51" s="165"/>
      <c r="FH51" s="165"/>
      <c r="FI51" s="166"/>
      <c r="FJ51" s="156">
        <f t="shared" si="641"/>
        <v>0</v>
      </c>
      <c r="FK51" s="164">
        <f t="shared" si="642"/>
        <v>0.4604471269</v>
      </c>
      <c r="FL51" s="167">
        <f t="shared" si="643"/>
        <v>0</v>
      </c>
      <c r="FM51" s="168">
        <f t="shared" si="644"/>
        <v>0</v>
      </c>
      <c r="FN51" s="159"/>
      <c r="FO51" s="161">
        <f t="shared" si="721"/>
        <v>3</v>
      </c>
      <c r="FP51" s="162" t="str">
        <f t="shared" ref="FP51:FR51" si="722">IFERROR(VLOOKUP($R51,$A$13:$D$30,-FP$12,FALSE),"")</f>
        <v>Tembaga</v>
      </c>
      <c r="FQ51" s="163" t="str">
        <f t="shared" si="722"/>
        <v>Bijih </v>
      </c>
      <c r="FR51" s="163" t="str">
        <f t="shared" si="722"/>
        <v>Ton </v>
      </c>
      <c r="FS51" s="156" t="str">
        <f>ADHK!FS51</f>
        <v/>
      </c>
      <c r="FT51" s="156"/>
      <c r="FU51" s="156">
        <f t="shared" si="646"/>
        <v>0</v>
      </c>
      <c r="FV51" s="164"/>
      <c r="FW51" s="156">
        <f t="shared" si="647"/>
        <v>0</v>
      </c>
      <c r="FX51" s="165"/>
      <c r="FY51" s="165"/>
      <c r="FZ51" s="166"/>
      <c r="GA51" s="156">
        <f t="shared" si="648"/>
        <v>0</v>
      </c>
      <c r="GB51" s="164">
        <f t="shared" si="649"/>
        <v>0.4604471269</v>
      </c>
      <c r="GC51" s="167">
        <f t="shared" si="650"/>
        <v>0</v>
      </c>
      <c r="GD51" s="168">
        <f t="shared" si="651"/>
        <v>0</v>
      </c>
      <c r="GE51" s="159"/>
      <c r="GF51" s="161">
        <f t="shared" si="723"/>
        <v>3</v>
      </c>
      <c r="GG51" s="162" t="str">
        <f t="shared" ref="GG51:GI51" si="724">IFERROR(VLOOKUP($R51,$A$13:$D$30,-GG$12,FALSE),"")</f>
        <v>Tembaga</v>
      </c>
      <c r="GH51" s="163" t="str">
        <f t="shared" si="724"/>
        <v>Bijih </v>
      </c>
      <c r="GI51" s="163" t="str">
        <f t="shared" si="724"/>
        <v>Ton </v>
      </c>
      <c r="GJ51" s="156" t="str">
        <f>ADHK!GJ51</f>
        <v/>
      </c>
      <c r="GK51" s="156"/>
      <c r="GL51" s="156">
        <f t="shared" si="653"/>
        <v>0</v>
      </c>
      <c r="GM51" s="164"/>
      <c r="GN51" s="156">
        <f t="shared" si="654"/>
        <v>0</v>
      </c>
      <c r="GO51" s="165"/>
      <c r="GP51" s="165"/>
      <c r="GQ51" s="166"/>
      <c r="GR51" s="156">
        <f t="shared" si="655"/>
        <v>0</v>
      </c>
      <c r="GS51" s="164">
        <f t="shared" si="656"/>
        <v>0.4604471269</v>
      </c>
      <c r="GT51" s="167">
        <f t="shared" si="657"/>
        <v>0</v>
      </c>
      <c r="GU51" s="168">
        <f t="shared" si="658"/>
        <v>0</v>
      </c>
      <c r="GV51" s="159"/>
      <c r="GW51" s="161">
        <f t="shared" si="725"/>
        <v>3</v>
      </c>
      <c r="GX51" s="162" t="str">
        <f t="shared" ref="GX51:GZ51" si="726">IFERROR(VLOOKUP($R51,$A$13:$D$30,-GX$12,FALSE),"")</f>
        <v>Tembaga</v>
      </c>
      <c r="GY51" s="163" t="str">
        <f t="shared" si="726"/>
        <v>Bijih </v>
      </c>
      <c r="GZ51" s="163" t="str">
        <f t="shared" si="726"/>
        <v>Ton </v>
      </c>
      <c r="HA51" s="156" t="str">
        <f>ADHK!HA51</f>
        <v/>
      </c>
      <c r="HB51" s="156"/>
      <c r="HC51" s="156">
        <f t="shared" si="660"/>
        <v>0</v>
      </c>
      <c r="HD51" s="164"/>
      <c r="HE51" s="156">
        <f t="shared" si="661"/>
        <v>0</v>
      </c>
      <c r="HF51" s="165"/>
      <c r="HG51" s="165"/>
      <c r="HH51" s="166"/>
      <c r="HI51" s="156">
        <f t="shared" si="662"/>
        <v>0</v>
      </c>
      <c r="HJ51" s="164">
        <f t="shared" si="663"/>
        <v>0.4604471269</v>
      </c>
      <c r="HK51" s="167">
        <f t="shared" si="664"/>
        <v>0</v>
      </c>
      <c r="HL51" s="168">
        <f t="shared" si="665"/>
        <v>0</v>
      </c>
      <c r="HM51" s="159"/>
      <c r="HN51" s="161">
        <f t="shared" si="727"/>
        <v>3</v>
      </c>
      <c r="HO51" s="162" t="str">
        <f t="shared" ref="HO51:HQ51" si="728">IFERROR(VLOOKUP($R51,$A$13:$D$30,-HO$12,FALSE),"")</f>
        <v>Tembaga</v>
      </c>
      <c r="HP51" s="163" t="str">
        <f t="shared" si="728"/>
        <v>Bijih </v>
      </c>
      <c r="HQ51" s="163" t="str">
        <f t="shared" si="728"/>
        <v>Ton </v>
      </c>
      <c r="HR51" s="156" t="str">
        <f>ADHK!HR51</f>
        <v/>
      </c>
      <c r="HS51" s="156"/>
      <c r="HT51" s="156">
        <f t="shared" si="667"/>
        <v>0</v>
      </c>
      <c r="HU51" s="164"/>
      <c r="HV51" s="156">
        <f t="shared" si="668"/>
        <v>0</v>
      </c>
      <c r="HW51" s="165"/>
      <c r="HX51" s="165"/>
      <c r="HY51" s="166"/>
      <c r="HZ51" s="156">
        <f t="shared" si="669"/>
        <v>0</v>
      </c>
      <c r="IA51" s="164">
        <f t="shared" si="670"/>
        <v>0.4604471269</v>
      </c>
      <c r="IB51" s="167">
        <f t="shared" si="671"/>
        <v>0</v>
      </c>
      <c r="IC51" s="168">
        <f t="shared" si="672"/>
        <v>0</v>
      </c>
      <c r="ID51" s="159"/>
      <c r="IE51" s="161">
        <f t="shared" si="729"/>
        <v>3</v>
      </c>
      <c r="IF51" s="162" t="str">
        <f t="shared" ref="IF51:IH51" si="730">IFERROR(VLOOKUP($R51,$A$13:$D$30,-IF$12,FALSE),"")</f>
        <v>Tembaga</v>
      </c>
      <c r="IG51" s="163" t="str">
        <f t="shared" si="730"/>
        <v>Bijih </v>
      </c>
      <c r="IH51" s="163" t="str">
        <f t="shared" si="730"/>
        <v>Ton </v>
      </c>
      <c r="II51" s="156" t="str">
        <f>ADHK!II51</f>
        <v/>
      </c>
      <c r="IJ51" s="156"/>
      <c r="IK51" s="156">
        <f t="shared" si="674"/>
        <v>0</v>
      </c>
      <c r="IL51" s="164"/>
      <c r="IM51" s="156">
        <f t="shared" si="675"/>
        <v>0</v>
      </c>
      <c r="IN51" s="165"/>
      <c r="IO51" s="165"/>
      <c r="IP51" s="166"/>
      <c r="IQ51" s="156">
        <f t="shared" si="676"/>
        <v>0</v>
      </c>
      <c r="IR51" s="164">
        <f t="shared" si="677"/>
        <v>0.4604471269</v>
      </c>
      <c r="IS51" s="167">
        <f t="shared" si="678"/>
        <v>0</v>
      </c>
      <c r="IT51" s="168">
        <f t="shared" si="679"/>
        <v>0</v>
      </c>
      <c r="IU51" s="159"/>
      <c r="IV51" s="161">
        <f t="shared" si="731"/>
        <v>3</v>
      </c>
      <c r="IW51" s="162" t="str">
        <f t="shared" ref="IW51:IY51" si="732">IFERROR(VLOOKUP($R51,$A$13:$D$30,-IW$12,FALSE),"")</f>
        <v>Tembaga</v>
      </c>
      <c r="IX51" s="163" t="str">
        <f t="shared" si="732"/>
        <v>Bijih </v>
      </c>
      <c r="IY51" s="163" t="str">
        <f t="shared" si="732"/>
        <v>Ton </v>
      </c>
      <c r="IZ51" s="156" t="str">
        <f>ADHK!IZ51</f>
        <v/>
      </c>
      <c r="JA51" s="156"/>
      <c r="JB51" s="156">
        <f t="shared" si="681"/>
        <v>0</v>
      </c>
      <c r="JC51" s="164"/>
      <c r="JD51" s="156">
        <f t="shared" si="682"/>
        <v>0</v>
      </c>
      <c r="JE51" s="165"/>
      <c r="JF51" s="165"/>
      <c r="JG51" s="166"/>
      <c r="JH51" s="156">
        <f t="shared" si="683"/>
        <v>0</v>
      </c>
      <c r="JI51" s="164">
        <f t="shared" si="684"/>
        <v>0.4604471269</v>
      </c>
      <c r="JJ51" s="167">
        <f t="shared" si="685"/>
        <v>0</v>
      </c>
      <c r="JK51" s="168">
        <f t="shared" si="686"/>
        <v>0</v>
      </c>
      <c r="JL51" s="159"/>
      <c r="JM51" s="161">
        <f t="shared" si="733"/>
        <v>3</v>
      </c>
      <c r="JN51" s="162" t="str">
        <f t="shared" ref="JN51:JP51" si="734">IFERROR(VLOOKUP($R51,$A$13:$D$30,-JN$12,FALSE),"")</f>
        <v>Tembaga</v>
      </c>
      <c r="JO51" s="163" t="str">
        <f t="shared" si="734"/>
        <v>Bijih </v>
      </c>
      <c r="JP51" s="163" t="str">
        <f t="shared" si="734"/>
        <v>Ton </v>
      </c>
      <c r="JQ51" s="156" t="str">
        <f>ADHK!KY51</f>
        <v/>
      </c>
      <c r="JR51" s="156"/>
      <c r="JS51" s="156">
        <f t="shared" si="688"/>
        <v>0</v>
      </c>
      <c r="JT51" s="164"/>
      <c r="JU51" s="156">
        <f t="shared" si="689"/>
        <v>0</v>
      </c>
      <c r="JV51" s="165"/>
      <c r="JW51" s="165"/>
      <c r="JX51" s="166"/>
      <c r="JY51" s="156">
        <f t="shared" si="690"/>
        <v>0</v>
      </c>
      <c r="JZ51" s="164">
        <f t="shared" si="691"/>
        <v>0.4604471269</v>
      </c>
      <c r="KA51" s="167">
        <f t="shared" si="692"/>
        <v>0</v>
      </c>
      <c r="KB51" s="168">
        <f t="shared" si="693"/>
        <v>0</v>
      </c>
      <c r="KC51" s="159"/>
      <c r="KD51" s="161">
        <f t="shared" si="735"/>
        <v>3</v>
      </c>
      <c r="KE51" s="162" t="str">
        <f t="shared" ref="KE51:KG51" si="736">IFERROR(VLOOKUP($R51,$A$13:$D$30,-KE$12,FALSE),"")</f>
        <v>Tembaga</v>
      </c>
      <c r="KF51" s="163" t="str">
        <f t="shared" si="736"/>
        <v>Bijih </v>
      </c>
      <c r="KG51" s="163" t="str">
        <f t="shared" si="736"/>
        <v>Ton </v>
      </c>
      <c r="KH51" s="156" t="str">
        <f>ADHK!LP51</f>
        <v/>
      </c>
      <c r="KI51" s="156"/>
      <c r="KJ51" s="156">
        <f t="shared" si="695"/>
        <v>0</v>
      </c>
      <c r="KK51" s="164"/>
      <c r="KL51" s="156">
        <f t="shared" si="696"/>
        <v>0</v>
      </c>
      <c r="KM51" s="165"/>
      <c r="KN51" s="165"/>
      <c r="KO51" s="166"/>
      <c r="KP51" s="156">
        <f t="shared" si="697"/>
        <v>0</v>
      </c>
      <c r="KQ51" s="164">
        <f t="shared" si="698"/>
        <v>0.4604471269</v>
      </c>
      <c r="KR51" s="167">
        <f t="shared" si="699"/>
        <v>0</v>
      </c>
      <c r="KS51" s="168">
        <f t="shared" si="700"/>
        <v>0</v>
      </c>
      <c r="KT51" s="159"/>
      <c r="KU51" s="160"/>
    </row>
    <row r="52" ht="15.75" customHeight="1">
      <c r="A52" s="161">
        <f t="shared" si="701"/>
        <v>4</v>
      </c>
      <c r="B52" s="162" t="str">
        <f t="shared" ref="B52:D52" si="737">IFERROR(VLOOKUP($A52,$A$13:$D$30,-B$12,FALSE),"")</f>
        <v>Bauksit </v>
      </c>
      <c r="C52" s="163" t="str">
        <f t="shared" si="737"/>
        <v>Bijih </v>
      </c>
      <c r="D52" s="163" t="str">
        <f t="shared" si="737"/>
        <v>Ton </v>
      </c>
      <c r="E52" s="156" t="str">
        <f>ADHK!E52</f>
        <v/>
      </c>
      <c r="F52" s="156" t="str">
        <f>ADHK!F52</f>
        <v/>
      </c>
      <c r="G52" s="156">
        <f t="shared" si="576"/>
        <v>0</v>
      </c>
      <c r="H52" s="164"/>
      <c r="I52" s="156">
        <f t="shared" si="577"/>
        <v>0</v>
      </c>
      <c r="J52" s="165"/>
      <c r="K52" s="165"/>
      <c r="L52" s="166"/>
      <c r="M52" s="156">
        <f t="shared" si="578"/>
        <v>0</v>
      </c>
      <c r="N52" s="164">
        <f t="shared" si="579"/>
        <v>0.4604471269</v>
      </c>
      <c r="O52" s="167">
        <f t="shared" si="580"/>
        <v>0</v>
      </c>
      <c r="P52" s="168">
        <f t="shared" si="581"/>
        <v>0</v>
      </c>
      <c r="Q52" s="159"/>
      <c r="R52" s="161">
        <f t="shared" si="703"/>
        <v>4</v>
      </c>
      <c r="S52" s="162" t="str">
        <f t="shared" ref="S52:U52" si="738">IFERROR(VLOOKUP($R52,$A$13:$D$30,-S$12,FALSE),"")</f>
        <v>Bauksit </v>
      </c>
      <c r="T52" s="163" t="str">
        <f t="shared" si="738"/>
        <v>Bijih </v>
      </c>
      <c r="U52" s="163" t="str">
        <f t="shared" si="738"/>
        <v>Ton </v>
      </c>
      <c r="V52" s="156" t="str">
        <f>ADHK!V52</f>
        <v/>
      </c>
      <c r="W52" s="156"/>
      <c r="X52" s="156">
        <f t="shared" si="583"/>
        <v>0</v>
      </c>
      <c r="Y52" s="164"/>
      <c r="Z52" s="156">
        <f t="shared" si="584"/>
        <v>0</v>
      </c>
      <c r="AA52" s="165"/>
      <c r="AB52" s="165"/>
      <c r="AC52" s="166"/>
      <c r="AD52" s="156">
        <f t="shared" si="585"/>
        <v>0</v>
      </c>
      <c r="AE52" s="164">
        <f t="shared" si="586"/>
        <v>0.4604471269</v>
      </c>
      <c r="AF52" s="167">
        <f t="shared" si="587"/>
        <v>0</v>
      </c>
      <c r="AG52" s="168">
        <f t="shared" si="588"/>
        <v>0</v>
      </c>
      <c r="AH52" s="159"/>
      <c r="AI52" s="161">
        <f t="shared" si="705"/>
        <v>4</v>
      </c>
      <c r="AJ52" s="162" t="str">
        <f t="shared" ref="AJ52:AL52" si="739">IFERROR(VLOOKUP($R52,$A$13:$D$30,-AJ$12,FALSE),"")</f>
        <v>Bauksit </v>
      </c>
      <c r="AK52" s="163" t="str">
        <f t="shared" si="739"/>
        <v>Bijih </v>
      </c>
      <c r="AL52" s="163" t="str">
        <f t="shared" si="739"/>
        <v>Ton </v>
      </c>
      <c r="AM52" s="156" t="str">
        <f>ADHK!AM52</f>
        <v/>
      </c>
      <c r="AN52" s="156"/>
      <c r="AO52" s="156">
        <f t="shared" si="590"/>
        <v>0</v>
      </c>
      <c r="AP52" s="164"/>
      <c r="AQ52" s="156">
        <f t="shared" si="591"/>
        <v>0</v>
      </c>
      <c r="AR52" s="165"/>
      <c r="AS52" s="165"/>
      <c r="AT52" s="166"/>
      <c r="AU52" s="156">
        <f t="shared" si="592"/>
        <v>0</v>
      </c>
      <c r="AV52" s="164">
        <f t="shared" si="593"/>
        <v>0.4604471269</v>
      </c>
      <c r="AW52" s="167">
        <f t="shared" si="594"/>
        <v>0</v>
      </c>
      <c r="AX52" s="168">
        <f t="shared" si="595"/>
        <v>0</v>
      </c>
      <c r="AY52" s="159"/>
      <c r="AZ52" s="161">
        <f t="shared" si="707"/>
        <v>4</v>
      </c>
      <c r="BA52" s="162" t="str">
        <f t="shared" ref="BA52:BC52" si="740">IFERROR(VLOOKUP($R52,$A$13:$D$30,-BA$12,FALSE),"")</f>
        <v>Bauksit </v>
      </c>
      <c r="BB52" s="163" t="str">
        <f t="shared" si="740"/>
        <v>Bijih </v>
      </c>
      <c r="BC52" s="163" t="str">
        <f t="shared" si="740"/>
        <v>Ton </v>
      </c>
      <c r="BD52" s="156" t="str">
        <f>ADHK!BD52</f>
        <v/>
      </c>
      <c r="BE52" s="156"/>
      <c r="BF52" s="156">
        <f t="shared" si="597"/>
        <v>0</v>
      </c>
      <c r="BG52" s="164"/>
      <c r="BH52" s="156">
        <f t="shared" si="598"/>
        <v>0</v>
      </c>
      <c r="BI52" s="165"/>
      <c r="BJ52" s="165"/>
      <c r="BK52" s="166"/>
      <c r="BL52" s="156">
        <f t="shared" si="599"/>
        <v>0</v>
      </c>
      <c r="BM52" s="164">
        <f t="shared" si="600"/>
        <v>0.4604471269</v>
      </c>
      <c r="BN52" s="167">
        <f t="shared" si="601"/>
        <v>0</v>
      </c>
      <c r="BO52" s="168">
        <f t="shared" si="602"/>
        <v>0</v>
      </c>
      <c r="BP52" s="159"/>
      <c r="BQ52" s="161">
        <f t="shared" si="709"/>
        <v>4</v>
      </c>
      <c r="BR52" s="162" t="str">
        <f t="shared" ref="BR52:BT52" si="741">IFERROR(VLOOKUP($R52,$A$13:$D$30,-BR$12,FALSE),"")</f>
        <v>Bauksit </v>
      </c>
      <c r="BS52" s="163" t="str">
        <f t="shared" si="741"/>
        <v>Bijih </v>
      </c>
      <c r="BT52" s="163" t="str">
        <f t="shared" si="741"/>
        <v>Ton </v>
      </c>
      <c r="BU52" s="156" t="str">
        <f>ADHK!BU52</f>
        <v/>
      </c>
      <c r="BV52" s="156"/>
      <c r="BW52" s="156">
        <f t="shared" si="604"/>
        <v>0</v>
      </c>
      <c r="BX52" s="164"/>
      <c r="BY52" s="156">
        <f t="shared" si="605"/>
        <v>0</v>
      </c>
      <c r="BZ52" s="165"/>
      <c r="CA52" s="165"/>
      <c r="CB52" s="166"/>
      <c r="CC52" s="156">
        <f t="shared" si="606"/>
        <v>0</v>
      </c>
      <c r="CD52" s="164">
        <f t="shared" si="607"/>
        <v>0.4604471269</v>
      </c>
      <c r="CE52" s="167">
        <f t="shared" si="608"/>
        <v>0</v>
      </c>
      <c r="CF52" s="168">
        <f t="shared" si="609"/>
        <v>0</v>
      </c>
      <c r="CG52" s="159"/>
      <c r="CH52" s="161">
        <f t="shared" si="711"/>
        <v>4</v>
      </c>
      <c r="CI52" s="162" t="str">
        <f t="shared" ref="CI52:CK52" si="742">IFERROR(VLOOKUP($R52,$A$13:$D$30,-CI$12,FALSE),"")</f>
        <v>Bauksit </v>
      </c>
      <c r="CJ52" s="163" t="str">
        <f t="shared" si="742"/>
        <v>Bijih </v>
      </c>
      <c r="CK52" s="163" t="str">
        <f t="shared" si="742"/>
        <v>Ton </v>
      </c>
      <c r="CL52" s="156" t="str">
        <f>ADHK!CL52</f>
        <v/>
      </c>
      <c r="CM52" s="156"/>
      <c r="CN52" s="156">
        <f t="shared" si="611"/>
        <v>0</v>
      </c>
      <c r="CO52" s="164"/>
      <c r="CP52" s="156">
        <f t="shared" si="612"/>
        <v>0</v>
      </c>
      <c r="CQ52" s="165"/>
      <c r="CR52" s="165"/>
      <c r="CS52" s="166"/>
      <c r="CT52" s="156">
        <f t="shared" si="613"/>
        <v>0</v>
      </c>
      <c r="CU52" s="164">
        <f t="shared" si="614"/>
        <v>0.4604471269</v>
      </c>
      <c r="CV52" s="167">
        <f t="shared" si="615"/>
        <v>0</v>
      </c>
      <c r="CW52" s="168">
        <f t="shared" si="616"/>
        <v>0</v>
      </c>
      <c r="CX52" s="159"/>
      <c r="CY52" s="161">
        <f t="shared" si="713"/>
        <v>4</v>
      </c>
      <c r="CZ52" s="162" t="str">
        <f t="shared" ref="CZ52:DB52" si="743">IFERROR(VLOOKUP($R52,$A$13:$D$30,-CZ$12,FALSE),"")</f>
        <v>Bauksit </v>
      </c>
      <c r="DA52" s="163" t="str">
        <f t="shared" si="743"/>
        <v>Bijih </v>
      </c>
      <c r="DB52" s="163" t="str">
        <f t="shared" si="743"/>
        <v>Ton </v>
      </c>
      <c r="DC52" s="156" t="str">
        <f>ADHK!DC52</f>
        <v/>
      </c>
      <c r="DD52" s="156"/>
      <c r="DE52" s="156">
        <f t="shared" si="618"/>
        <v>0</v>
      </c>
      <c r="DF52" s="164"/>
      <c r="DG52" s="156">
        <f t="shared" si="619"/>
        <v>0</v>
      </c>
      <c r="DH52" s="165"/>
      <c r="DI52" s="165"/>
      <c r="DJ52" s="166"/>
      <c r="DK52" s="156">
        <f t="shared" si="620"/>
        <v>0</v>
      </c>
      <c r="DL52" s="164">
        <f t="shared" si="621"/>
        <v>0.4604471269</v>
      </c>
      <c r="DM52" s="167">
        <f t="shared" si="622"/>
        <v>0</v>
      </c>
      <c r="DN52" s="168">
        <f t="shared" si="623"/>
        <v>0</v>
      </c>
      <c r="DO52" s="159"/>
      <c r="DP52" s="161">
        <f t="shared" si="715"/>
        <v>4</v>
      </c>
      <c r="DQ52" s="162" t="str">
        <f t="shared" ref="DQ52:DS52" si="744">IFERROR(VLOOKUP($R52,$A$13:$D$30,-DQ$12,FALSE),"")</f>
        <v>Bauksit </v>
      </c>
      <c r="DR52" s="163" t="str">
        <f t="shared" si="744"/>
        <v>Bijih </v>
      </c>
      <c r="DS52" s="163" t="str">
        <f t="shared" si="744"/>
        <v>Ton </v>
      </c>
      <c r="DT52" s="156" t="str">
        <f>ADHK!DT52</f>
        <v/>
      </c>
      <c r="DU52" s="156"/>
      <c r="DV52" s="156">
        <f t="shared" si="625"/>
        <v>0</v>
      </c>
      <c r="DW52" s="164"/>
      <c r="DX52" s="156">
        <f t="shared" si="626"/>
        <v>0</v>
      </c>
      <c r="DY52" s="165"/>
      <c r="DZ52" s="165"/>
      <c r="EA52" s="166"/>
      <c r="EB52" s="156">
        <f t="shared" si="627"/>
        <v>0</v>
      </c>
      <c r="EC52" s="164">
        <f t="shared" si="628"/>
        <v>0.4604471269</v>
      </c>
      <c r="ED52" s="167">
        <f t="shared" si="629"/>
        <v>0</v>
      </c>
      <c r="EE52" s="168">
        <f t="shared" si="630"/>
        <v>0</v>
      </c>
      <c r="EF52" s="159"/>
      <c r="EG52" s="161">
        <f t="shared" si="717"/>
        <v>4</v>
      </c>
      <c r="EH52" s="162" t="str">
        <f t="shared" ref="EH52:EJ52" si="745">IFERROR(VLOOKUP($R52,$A$13:$D$30,-EH$12,FALSE),"")</f>
        <v>Bauksit </v>
      </c>
      <c r="EI52" s="163" t="str">
        <f t="shared" si="745"/>
        <v>Bijih </v>
      </c>
      <c r="EJ52" s="163" t="str">
        <f t="shared" si="745"/>
        <v>Ton </v>
      </c>
      <c r="EK52" s="156" t="str">
        <f>ADHK!EK52</f>
        <v/>
      </c>
      <c r="EL52" s="156"/>
      <c r="EM52" s="156">
        <f t="shared" si="632"/>
        <v>0</v>
      </c>
      <c r="EN52" s="164"/>
      <c r="EO52" s="156">
        <f t="shared" si="633"/>
        <v>0</v>
      </c>
      <c r="EP52" s="165"/>
      <c r="EQ52" s="165"/>
      <c r="ER52" s="166"/>
      <c r="ES52" s="156">
        <f t="shared" si="634"/>
        <v>0</v>
      </c>
      <c r="ET52" s="164">
        <f t="shared" si="635"/>
        <v>0.4604471269</v>
      </c>
      <c r="EU52" s="167">
        <f t="shared" si="636"/>
        <v>0</v>
      </c>
      <c r="EV52" s="168">
        <f t="shared" si="637"/>
        <v>0</v>
      </c>
      <c r="EW52" s="159"/>
      <c r="EX52" s="161">
        <f t="shared" si="719"/>
        <v>4</v>
      </c>
      <c r="EY52" s="162" t="str">
        <f t="shared" ref="EY52:FA52" si="746">IFERROR(VLOOKUP($R52,$A$13:$D$30,-EY$12,FALSE),"")</f>
        <v>Bauksit </v>
      </c>
      <c r="EZ52" s="163" t="str">
        <f t="shared" si="746"/>
        <v>Bijih </v>
      </c>
      <c r="FA52" s="163" t="str">
        <f t="shared" si="746"/>
        <v>Ton </v>
      </c>
      <c r="FB52" s="156" t="str">
        <f>ADHK!FB52</f>
        <v/>
      </c>
      <c r="FC52" s="156"/>
      <c r="FD52" s="156">
        <f t="shared" si="639"/>
        <v>0</v>
      </c>
      <c r="FE52" s="164"/>
      <c r="FF52" s="156">
        <f t="shared" si="640"/>
        <v>0</v>
      </c>
      <c r="FG52" s="165"/>
      <c r="FH52" s="165"/>
      <c r="FI52" s="166"/>
      <c r="FJ52" s="156">
        <f t="shared" si="641"/>
        <v>0</v>
      </c>
      <c r="FK52" s="164">
        <f t="shared" si="642"/>
        <v>0.4604471269</v>
      </c>
      <c r="FL52" s="167">
        <f t="shared" si="643"/>
        <v>0</v>
      </c>
      <c r="FM52" s="168">
        <f t="shared" si="644"/>
        <v>0</v>
      </c>
      <c r="FN52" s="159"/>
      <c r="FO52" s="161">
        <f t="shared" si="721"/>
        <v>4</v>
      </c>
      <c r="FP52" s="162" t="str">
        <f t="shared" ref="FP52:FR52" si="747">IFERROR(VLOOKUP($R52,$A$13:$D$30,-FP$12,FALSE),"")</f>
        <v>Bauksit </v>
      </c>
      <c r="FQ52" s="163" t="str">
        <f t="shared" si="747"/>
        <v>Bijih </v>
      </c>
      <c r="FR52" s="163" t="str">
        <f t="shared" si="747"/>
        <v>Ton </v>
      </c>
      <c r="FS52" s="156" t="str">
        <f>ADHK!FS52</f>
        <v/>
      </c>
      <c r="FT52" s="156"/>
      <c r="FU52" s="156">
        <f t="shared" si="646"/>
        <v>0</v>
      </c>
      <c r="FV52" s="164"/>
      <c r="FW52" s="156">
        <f t="shared" si="647"/>
        <v>0</v>
      </c>
      <c r="FX52" s="165"/>
      <c r="FY52" s="165"/>
      <c r="FZ52" s="166"/>
      <c r="GA52" s="156">
        <f t="shared" si="648"/>
        <v>0</v>
      </c>
      <c r="GB52" s="164">
        <f t="shared" si="649"/>
        <v>0.4604471269</v>
      </c>
      <c r="GC52" s="167">
        <f t="shared" si="650"/>
        <v>0</v>
      </c>
      <c r="GD52" s="168">
        <f t="shared" si="651"/>
        <v>0</v>
      </c>
      <c r="GE52" s="159"/>
      <c r="GF52" s="161">
        <f t="shared" si="723"/>
        <v>4</v>
      </c>
      <c r="GG52" s="162" t="str">
        <f t="shared" ref="GG52:GI52" si="748">IFERROR(VLOOKUP($R52,$A$13:$D$30,-GG$12,FALSE),"")</f>
        <v>Bauksit </v>
      </c>
      <c r="GH52" s="163" t="str">
        <f t="shared" si="748"/>
        <v>Bijih </v>
      </c>
      <c r="GI52" s="163" t="str">
        <f t="shared" si="748"/>
        <v>Ton </v>
      </c>
      <c r="GJ52" s="156" t="str">
        <f>ADHK!GJ52</f>
        <v/>
      </c>
      <c r="GK52" s="156"/>
      <c r="GL52" s="156">
        <f t="shared" si="653"/>
        <v>0</v>
      </c>
      <c r="GM52" s="164"/>
      <c r="GN52" s="156">
        <f t="shared" si="654"/>
        <v>0</v>
      </c>
      <c r="GO52" s="165"/>
      <c r="GP52" s="165"/>
      <c r="GQ52" s="166"/>
      <c r="GR52" s="156">
        <f t="shared" si="655"/>
        <v>0</v>
      </c>
      <c r="GS52" s="164">
        <f t="shared" si="656"/>
        <v>0.4604471269</v>
      </c>
      <c r="GT52" s="167">
        <f t="shared" si="657"/>
        <v>0</v>
      </c>
      <c r="GU52" s="168">
        <f t="shared" si="658"/>
        <v>0</v>
      </c>
      <c r="GV52" s="159"/>
      <c r="GW52" s="161">
        <f t="shared" si="725"/>
        <v>4</v>
      </c>
      <c r="GX52" s="162" t="str">
        <f t="shared" ref="GX52:GZ52" si="749">IFERROR(VLOOKUP($R52,$A$13:$D$30,-GX$12,FALSE),"")</f>
        <v>Bauksit </v>
      </c>
      <c r="GY52" s="163" t="str">
        <f t="shared" si="749"/>
        <v>Bijih </v>
      </c>
      <c r="GZ52" s="163" t="str">
        <f t="shared" si="749"/>
        <v>Ton </v>
      </c>
      <c r="HA52" s="156" t="str">
        <f>ADHK!HA52</f>
        <v/>
      </c>
      <c r="HB52" s="156"/>
      <c r="HC52" s="156">
        <f t="shared" si="660"/>
        <v>0</v>
      </c>
      <c r="HD52" s="164"/>
      <c r="HE52" s="156">
        <f t="shared" si="661"/>
        <v>0</v>
      </c>
      <c r="HF52" s="165"/>
      <c r="HG52" s="165"/>
      <c r="HH52" s="166"/>
      <c r="HI52" s="156">
        <f t="shared" si="662"/>
        <v>0</v>
      </c>
      <c r="HJ52" s="164">
        <f t="shared" si="663"/>
        <v>0.4604471269</v>
      </c>
      <c r="HK52" s="167">
        <f t="shared" si="664"/>
        <v>0</v>
      </c>
      <c r="HL52" s="168">
        <f t="shared" si="665"/>
        <v>0</v>
      </c>
      <c r="HM52" s="159"/>
      <c r="HN52" s="161">
        <f t="shared" si="727"/>
        <v>4</v>
      </c>
      <c r="HO52" s="162" t="str">
        <f t="shared" ref="HO52:HQ52" si="750">IFERROR(VLOOKUP($R52,$A$13:$D$30,-HO$12,FALSE),"")</f>
        <v>Bauksit </v>
      </c>
      <c r="HP52" s="163" t="str">
        <f t="shared" si="750"/>
        <v>Bijih </v>
      </c>
      <c r="HQ52" s="163" t="str">
        <f t="shared" si="750"/>
        <v>Ton </v>
      </c>
      <c r="HR52" s="156" t="str">
        <f>ADHK!HR52</f>
        <v/>
      </c>
      <c r="HS52" s="156"/>
      <c r="HT52" s="156">
        <f t="shared" si="667"/>
        <v>0</v>
      </c>
      <c r="HU52" s="164"/>
      <c r="HV52" s="156">
        <f t="shared" si="668"/>
        <v>0</v>
      </c>
      <c r="HW52" s="165"/>
      <c r="HX52" s="165"/>
      <c r="HY52" s="166"/>
      <c r="HZ52" s="156">
        <f t="shared" si="669"/>
        <v>0</v>
      </c>
      <c r="IA52" s="164">
        <f t="shared" si="670"/>
        <v>0.4604471269</v>
      </c>
      <c r="IB52" s="167">
        <f t="shared" si="671"/>
        <v>0</v>
      </c>
      <c r="IC52" s="168">
        <f t="shared" si="672"/>
        <v>0</v>
      </c>
      <c r="ID52" s="159"/>
      <c r="IE52" s="161">
        <f t="shared" si="729"/>
        <v>4</v>
      </c>
      <c r="IF52" s="162" t="str">
        <f t="shared" ref="IF52:IH52" si="751">IFERROR(VLOOKUP($R52,$A$13:$D$30,-IF$12,FALSE),"")</f>
        <v>Bauksit </v>
      </c>
      <c r="IG52" s="163" t="str">
        <f t="shared" si="751"/>
        <v>Bijih </v>
      </c>
      <c r="IH52" s="163" t="str">
        <f t="shared" si="751"/>
        <v>Ton </v>
      </c>
      <c r="II52" s="156" t="str">
        <f>ADHK!II52</f>
        <v/>
      </c>
      <c r="IJ52" s="156"/>
      <c r="IK52" s="156">
        <f t="shared" si="674"/>
        <v>0</v>
      </c>
      <c r="IL52" s="164"/>
      <c r="IM52" s="156">
        <f t="shared" si="675"/>
        <v>0</v>
      </c>
      <c r="IN52" s="165"/>
      <c r="IO52" s="165"/>
      <c r="IP52" s="166"/>
      <c r="IQ52" s="156">
        <f t="shared" si="676"/>
        <v>0</v>
      </c>
      <c r="IR52" s="164">
        <f t="shared" si="677"/>
        <v>0.4604471269</v>
      </c>
      <c r="IS52" s="167">
        <f t="shared" si="678"/>
        <v>0</v>
      </c>
      <c r="IT52" s="168">
        <f t="shared" si="679"/>
        <v>0</v>
      </c>
      <c r="IU52" s="159"/>
      <c r="IV52" s="161">
        <f t="shared" si="731"/>
        <v>4</v>
      </c>
      <c r="IW52" s="162" t="str">
        <f t="shared" ref="IW52:IY52" si="752">IFERROR(VLOOKUP($R52,$A$13:$D$30,-IW$12,FALSE),"")</f>
        <v>Bauksit </v>
      </c>
      <c r="IX52" s="163" t="str">
        <f t="shared" si="752"/>
        <v>Bijih </v>
      </c>
      <c r="IY52" s="163" t="str">
        <f t="shared" si="752"/>
        <v>Ton </v>
      </c>
      <c r="IZ52" s="156" t="str">
        <f>ADHK!IZ52</f>
        <v/>
      </c>
      <c r="JA52" s="156"/>
      <c r="JB52" s="156">
        <f t="shared" si="681"/>
        <v>0</v>
      </c>
      <c r="JC52" s="164"/>
      <c r="JD52" s="156">
        <f t="shared" si="682"/>
        <v>0</v>
      </c>
      <c r="JE52" s="165"/>
      <c r="JF52" s="165"/>
      <c r="JG52" s="166"/>
      <c r="JH52" s="156">
        <f t="shared" si="683"/>
        <v>0</v>
      </c>
      <c r="JI52" s="164">
        <f t="shared" si="684"/>
        <v>0.4604471269</v>
      </c>
      <c r="JJ52" s="167">
        <f t="shared" si="685"/>
        <v>0</v>
      </c>
      <c r="JK52" s="168">
        <f t="shared" si="686"/>
        <v>0</v>
      </c>
      <c r="JL52" s="159"/>
      <c r="JM52" s="161">
        <f t="shared" si="733"/>
        <v>4</v>
      </c>
      <c r="JN52" s="162" t="str">
        <f t="shared" ref="JN52:JP52" si="753">IFERROR(VLOOKUP($R52,$A$13:$D$30,-JN$12,FALSE),"")</f>
        <v>Bauksit </v>
      </c>
      <c r="JO52" s="163" t="str">
        <f t="shared" si="753"/>
        <v>Bijih </v>
      </c>
      <c r="JP52" s="163" t="str">
        <f t="shared" si="753"/>
        <v>Ton </v>
      </c>
      <c r="JQ52" s="156" t="str">
        <f>ADHK!KY52</f>
        <v/>
      </c>
      <c r="JR52" s="156"/>
      <c r="JS52" s="156">
        <f t="shared" si="688"/>
        <v>0</v>
      </c>
      <c r="JT52" s="164"/>
      <c r="JU52" s="156">
        <f t="shared" si="689"/>
        <v>0</v>
      </c>
      <c r="JV52" s="165"/>
      <c r="JW52" s="165"/>
      <c r="JX52" s="166"/>
      <c r="JY52" s="156">
        <f t="shared" si="690"/>
        <v>0</v>
      </c>
      <c r="JZ52" s="164">
        <f t="shared" si="691"/>
        <v>0.4604471269</v>
      </c>
      <c r="KA52" s="167">
        <f t="shared" si="692"/>
        <v>0</v>
      </c>
      <c r="KB52" s="168">
        <f t="shared" si="693"/>
        <v>0</v>
      </c>
      <c r="KC52" s="159"/>
      <c r="KD52" s="161">
        <f t="shared" si="735"/>
        <v>4</v>
      </c>
      <c r="KE52" s="162" t="str">
        <f t="shared" ref="KE52:KG52" si="754">IFERROR(VLOOKUP($R52,$A$13:$D$30,-KE$12,FALSE),"")</f>
        <v>Bauksit </v>
      </c>
      <c r="KF52" s="163" t="str">
        <f t="shared" si="754"/>
        <v>Bijih </v>
      </c>
      <c r="KG52" s="163" t="str">
        <f t="shared" si="754"/>
        <v>Ton </v>
      </c>
      <c r="KH52" s="156" t="str">
        <f>ADHK!LP52</f>
        <v/>
      </c>
      <c r="KI52" s="156"/>
      <c r="KJ52" s="156">
        <f t="shared" si="695"/>
        <v>0</v>
      </c>
      <c r="KK52" s="164"/>
      <c r="KL52" s="156">
        <f t="shared" si="696"/>
        <v>0</v>
      </c>
      <c r="KM52" s="165"/>
      <c r="KN52" s="165"/>
      <c r="KO52" s="166"/>
      <c r="KP52" s="156">
        <f t="shared" si="697"/>
        <v>0</v>
      </c>
      <c r="KQ52" s="164">
        <f t="shared" si="698"/>
        <v>0.4604471269</v>
      </c>
      <c r="KR52" s="167">
        <f t="shared" si="699"/>
        <v>0</v>
      </c>
      <c r="KS52" s="168">
        <f t="shared" si="700"/>
        <v>0</v>
      </c>
      <c r="KT52" s="159"/>
      <c r="KU52" s="160"/>
    </row>
    <row r="53" ht="15.75" customHeight="1">
      <c r="A53" s="161">
        <f t="shared" si="701"/>
        <v>5</v>
      </c>
      <c r="B53" s="162" t="str">
        <f t="shared" ref="B53:D53" si="755">IFERROR(VLOOKUP($A53,$A$13:$D$30,-B$12,FALSE),"")</f>
        <v>Bijih Nikel </v>
      </c>
      <c r="C53" s="163" t="str">
        <f t="shared" si="755"/>
        <v>Bijih </v>
      </c>
      <c r="D53" s="163" t="str">
        <f t="shared" si="755"/>
        <v>WMT</v>
      </c>
      <c r="E53" s="156" t="str">
        <f>ADHK!E53</f>
        <v/>
      </c>
      <c r="F53" s="156" t="str">
        <f>ADHK!F53</f>
        <v/>
      </c>
      <c r="G53" s="156">
        <f t="shared" si="576"/>
        <v>0</v>
      </c>
      <c r="H53" s="164"/>
      <c r="I53" s="156">
        <f t="shared" si="577"/>
        <v>0</v>
      </c>
      <c r="J53" s="165"/>
      <c r="K53" s="165"/>
      <c r="L53" s="166"/>
      <c r="M53" s="156">
        <f t="shared" si="578"/>
        <v>0</v>
      </c>
      <c r="N53" s="164">
        <f t="shared" si="579"/>
        <v>0.4604471269</v>
      </c>
      <c r="O53" s="167">
        <f t="shared" si="580"/>
        <v>0</v>
      </c>
      <c r="P53" s="168">
        <f t="shared" si="581"/>
        <v>0</v>
      </c>
      <c r="Q53" s="159"/>
      <c r="R53" s="161">
        <f t="shared" si="703"/>
        <v>5</v>
      </c>
      <c r="S53" s="162" t="str">
        <f t="shared" ref="S53:U53" si="756">IFERROR(VLOOKUP($R53,$A$13:$D$30,-S$12,FALSE),"")</f>
        <v>Bijih Nikel </v>
      </c>
      <c r="T53" s="163" t="str">
        <f t="shared" si="756"/>
        <v>Bijih </v>
      </c>
      <c r="U53" s="163" t="str">
        <f t="shared" si="756"/>
        <v>WMT</v>
      </c>
      <c r="V53" s="156" t="str">
        <f>ADHK!V53</f>
        <v/>
      </c>
      <c r="W53" s="156"/>
      <c r="X53" s="156">
        <f t="shared" si="583"/>
        <v>0</v>
      </c>
      <c r="Y53" s="164"/>
      <c r="Z53" s="156">
        <f t="shared" si="584"/>
        <v>0</v>
      </c>
      <c r="AA53" s="165"/>
      <c r="AB53" s="165"/>
      <c r="AC53" s="166"/>
      <c r="AD53" s="156">
        <f t="shared" si="585"/>
        <v>0</v>
      </c>
      <c r="AE53" s="164">
        <f t="shared" si="586"/>
        <v>0.4604471269</v>
      </c>
      <c r="AF53" s="167">
        <f t="shared" si="587"/>
        <v>0</v>
      </c>
      <c r="AG53" s="168">
        <f t="shared" si="588"/>
        <v>0</v>
      </c>
      <c r="AH53" s="159"/>
      <c r="AI53" s="161">
        <f t="shared" si="705"/>
        <v>5</v>
      </c>
      <c r="AJ53" s="162" t="str">
        <f t="shared" ref="AJ53:AL53" si="757">IFERROR(VLOOKUP($R53,$A$13:$D$30,-AJ$12,FALSE),"")</f>
        <v>Bijih Nikel </v>
      </c>
      <c r="AK53" s="163" t="str">
        <f t="shared" si="757"/>
        <v>Bijih </v>
      </c>
      <c r="AL53" s="163" t="str">
        <f t="shared" si="757"/>
        <v>WMT</v>
      </c>
      <c r="AM53" s="156" t="str">
        <f>ADHK!AM53</f>
        <v/>
      </c>
      <c r="AN53" s="156"/>
      <c r="AO53" s="156">
        <f t="shared" si="590"/>
        <v>0</v>
      </c>
      <c r="AP53" s="164"/>
      <c r="AQ53" s="156">
        <f t="shared" si="591"/>
        <v>0</v>
      </c>
      <c r="AR53" s="165"/>
      <c r="AS53" s="165"/>
      <c r="AT53" s="166"/>
      <c r="AU53" s="156">
        <f t="shared" si="592"/>
        <v>0</v>
      </c>
      <c r="AV53" s="164">
        <f t="shared" si="593"/>
        <v>0.4604471269</v>
      </c>
      <c r="AW53" s="167">
        <f t="shared" si="594"/>
        <v>0</v>
      </c>
      <c r="AX53" s="168">
        <f t="shared" si="595"/>
        <v>0</v>
      </c>
      <c r="AY53" s="159"/>
      <c r="AZ53" s="161">
        <f t="shared" si="707"/>
        <v>5</v>
      </c>
      <c r="BA53" s="162" t="str">
        <f t="shared" ref="BA53:BC53" si="758">IFERROR(VLOOKUP($R53,$A$13:$D$30,-BA$12,FALSE),"")</f>
        <v>Bijih Nikel </v>
      </c>
      <c r="BB53" s="163" t="str">
        <f t="shared" si="758"/>
        <v>Bijih </v>
      </c>
      <c r="BC53" s="163" t="str">
        <f t="shared" si="758"/>
        <v>WMT</v>
      </c>
      <c r="BD53" s="156" t="str">
        <f>ADHK!BD53</f>
        <v/>
      </c>
      <c r="BE53" s="156"/>
      <c r="BF53" s="156">
        <f t="shared" si="597"/>
        <v>0</v>
      </c>
      <c r="BG53" s="164"/>
      <c r="BH53" s="156">
        <f t="shared" si="598"/>
        <v>0</v>
      </c>
      <c r="BI53" s="165"/>
      <c r="BJ53" s="165"/>
      <c r="BK53" s="166"/>
      <c r="BL53" s="156">
        <f t="shared" si="599"/>
        <v>0</v>
      </c>
      <c r="BM53" s="164">
        <f t="shared" si="600"/>
        <v>0.4604471269</v>
      </c>
      <c r="BN53" s="167">
        <f t="shared" si="601"/>
        <v>0</v>
      </c>
      <c r="BO53" s="168">
        <f t="shared" si="602"/>
        <v>0</v>
      </c>
      <c r="BP53" s="159"/>
      <c r="BQ53" s="161">
        <f t="shared" si="709"/>
        <v>5</v>
      </c>
      <c r="BR53" s="162" t="str">
        <f t="shared" ref="BR53:BT53" si="759">IFERROR(VLOOKUP($R53,$A$13:$D$30,-BR$12,FALSE),"")</f>
        <v>Bijih Nikel </v>
      </c>
      <c r="BS53" s="163" t="str">
        <f t="shared" si="759"/>
        <v>Bijih </v>
      </c>
      <c r="BT53" s="163" t="str">
        <f t="shared" si="759"/>
        <v>WMT</v>
      </c>
      <c r="BU53" s="156" t="str">
        <f>ADHK!BU53</f>
        <v/>
      </c>
      <c r="BV53" s="156"/>
      <c r="BW53" s="156">
        <f t="shared" si="604"/>
        <v>0</v>
      </c>
      <c r="BX53" s="164"/>
      <c r="BY53" s="156">
        <f t="shared" si="605"/>
        <v>0</v>
      </c>
      <c r="BZ53" s="165"/>
      <c r="CA53" s="165"/>
      <c r="CB53" s="166"/>
      <c r="CC53" s="156">
        <f t="shared" si="606"/>
        <v>0</v>
      </c>
      <c r="CD53" s="164">
        <f t="shared" si="607"/>
        <v>0.4604471269</v>
      </c>
      <c r="CE53" s="167">
        <f t="shared" si="608"/>
        <v>0</v>
      </c>
      <c r="CF53" s="168">
        <f t="shared" si="609"/>
        <v>0</v>
      </c>
      <c r="CG53" s="159"/>
      <c r="CH53" s="161">
        <f t="shared" si="711"/>
        <v>5</v>
      </c>
      <c r="CI53" s="162" t="str">
        <f t="shared" ref="CI53:CK53" si="760">IFERROR(VLOOKUP($R53,$A$13:$D$30,-CI$12,FALSE),"")</f>
        <v>Bijih Nikel </v>
      </c>
      <c r="CJ53" s="163" t="str">
        <f t="shared" si="760"/>
        <v>Bijih </v>
      </c>
      <c r="CK53" s="163" t="str">
        <f t="shared" si="760"/>
        <v>WMT</v>
      </c>
      <c r="CL53" s="156" t="str">
        <f>ADHK!CL53</f>
        <v/>
      </c>
      <c r="CM53" s="156"/>
      <c r="CN53" s="156">
        <f t="shared" si="611"/>
        <v>0</v>
      </c>
      <c r="CO53" s="164"/>
      <c r="CP53" s="156">
        <f t="shared" si="612"/>
        <v>0</v>
      </c>
      <c r="CQ53" s="165"/>
      <c r="CR53" s="165"/>
      <c r="CS53" s="166"/>
      <c r="CT53" s="156">
        <f t="shared" si="613"/>
        <v>0</v>
      </c>
      <c r="CU53" s="164">
        <f t="shared" si="614"/>
        <v>0.4604471269</v>
      </c>
      <c r="CV53" s="167">
        <f t="shared" si="615"/>
        <v>0</v>
      </c>
      <c r="CW53" s="168">
        <f t="shared" si="616"/>
        <v>0</v>
      </c>
      <c r="CX53" s="159"/>
      <c r="CY53" s="161">
        <f t="shared" si="713"/>
        <v>5</v>
      </c>
      <c r="CZ53" s="162" t="str">
        <f t="shared" ref="CZ53:DB53" si="761">IFERROR(VLOOKUP($R53,$A$13:$D$30,-CZ$12,FALSE),"")</f>
        <v>Bijih Nikel </v>
      </c>
      <c r="DA53" s="163" t="str">
        <f t="shared" si="761"/>
        <v>Bijih </v>
      </c>
      <c r="DB53" s="163" t="str">
        <f t="shared" si="761"/>
        <v>WMT</v>
      </c>
      <c r="DC53" s="156" t="str">
        <f>ADHK!DC53</f>
        <v/>
      </c>
      <c r="DD53" s="156"/>
      <c r="DE53" s="156">
        <f t="shared" si="618"/>
        <v>0</v>
      </c>
      <c r="DF53" s="164"/>
      <c r="DG53" s="156">
        <f t="shared" si="619"/>
        <v>0</v>
      </c>
      <c r="DH53" s="165"/>
      <c r="DI53" s="165"/>
      <c r="DJ53" s="166"/>
      <c r="DK53" s="156">
        <f t="shared" si="620"/>
        <v>0</v>
      </c>
      <c r="DL53" s="164">
        <f t="shared" si="621"/>
        <v>0.4604471269</v>
      </c>
      <c r="DM53" s="167">
        <f t="shared" si="622"/>
        <v>0</v>
      </c>
      <c r="DN53" s="168">
        <f t="shared" si="623"/>
        <v>0</v>
      </c>
      <c r="DO53" s="159"/>
      <c r="DP53" s="161">
        <f t="shared" si="715"/>
        <v>5</v>
      </c>
      <c r="DQ53" s="162" t="str">
        <f t="shared" ref="DQ53:DS53" si="762">IFERROR(VLOOKUP($R53,$A$13:$D$30,-DQ$12,FALSE),"")</f>
        <v>Bijih Nikel </v>
      </c>
      <c r="DR53" s="163" t="str">
        <f t="shared" si="762"/>
        <v>Bijih </v>
      </c>
      <c r="DS53" s="163" t="str">
        <f t="shared" si="762"/>
        <v>WMT</v>
      </c>
      <c r="DT53" s="156" t="str">
        <f>ADHK!DT53</f>
        <v/>
      </c>
      <c r="DU53" s="156"/>
      <c r="DV53" s="156">
        <f t="shared" si="625"/>
        <v>0</v>
      </c>
      <c r="DW53" s="164"/>
      <c r="DX53" s="156">
        <f t="shared" si="626"/>
        <v>0</v>
      </c>
      <c r="DY53" s="165"/>
      <c r="DZ53" s="165"/>
      <c r="EA53" s="166"/>
      <c r="EB53" s="156">
        <f t="shared" si="627"/>
        <v>0</v>
      </c>
      <c r="EC53" s="164">
        <f t="shared" si="628"/>
        <v>0.4604471269</v>
      </c>
      <c r="ED53" s="167">
        <f t="shared" si="629"/>
        <v>0</v>
      </c>
      <c r="EE53" s="168">
        <f t="shared" si="630"/>
        <v>0</v>
      </c>
      <c r="EF53" s="159"/>
      <c r="EG53" s="161">
        <f t="shared" si="717"/>
        <v>5</v>
      </c>
      <c r="EH53" s="162" t="str">
        <f t="shared" ref="EH53:EJ53" si="763">IFERROR(VLOOKUP($R53,$A$13:$D$30,-EH$12,FALSE),"")</f>
        <v>Bijih Nikel </v>
      </c>
      <c r="EI53" s="163" t="str">
        <f t="shared" si="763"/>
        <v>Bijih </v>
      </c>
      <c r="EJ53" s="163" t="str">
        <f t="shared" si="763"/>
        <v>WMT</v>
      </c>
      <c r="EK53" s="156" t="str">
        <f>ADHK!EK53</f>
        <v/>
      </c>
      <c r="EL53" s="156"/>
      <c r="EM53" s="156">
        <f t="shared" si="632"/>
        <v>0</v>
      </c>
      <c r="EN53" s="164"/>
      <c r="EO53" s="156">
        <f t="shared" si="633"/>
        <v>0</v>
      </c>
      <c r="EP53" s="165"/>
      <c r="EQ53" s="165"/>
      <c r="ER53" s="166"/>
      <c r="ES53" s="156">
        <f t="shared" si="634"/>
        <v>0</v>
      </c>
      <c r="ET53" s="164">
        <f t="shared" si="635"/>
        <v>0.4604471269</v>
      </c>
      <c r="EU53" s="167">
        <f t="shared" si="636"/>
        <v>0</v>
      </c>
      <c r="EV53" s="168">
        <f t="shared" si="637"/>
        <v>0</v>
      </c>
      <c r="EW53" s="159"/>
      <c r="EX53" s="161">
        <f t="shared" si="719"/>
        <v>5</v>
      </c>
      <c r="EY53" s="162" t="str">
        <f t="shared" ref="EY53:FA53" si="764">IFERROR(VLOOKUP($R53,$A$13:$D$30,-EY$12,FALSE),"")</f>
        <v>Bijih Nikel </v>
      </c>
      <c r="EZ53" s="163" t="str">
        <f t="shared" si="764"/>
        <v>Bijih </v>
      </c>
      <c r="FA53" s="163" t="str">
        <f t="shared" si="764"/>
        <v>WMT</v>
      </c>
      <c r="FB53" s="156" t="str">
        <f>ADHK!FB53</f>
        <v/>
      </c>
      <c r="FC53" s="156"/>
      <c r="FD53" s="156">
        <f t="shared" si="639"/>
        <v>0</v>
      </c>
      <c r="FE53" s="164"/>
      <c r="FF53" s="156">
        <f t="shared" si="640"/>
        <v>0</v>
      </c>
      <c r="FG53" s="165"/>
      <c r="FH53" s="165"/>
      <c r="FI53" s="166"/>
      <c r="FJ53" s="156">
        <f t="shared" si="641"/>
        <v>0</v>
      </c>
      <c r="FK53" s="164">
        <f t="shared" si="642"/>
        <v>0.4604471269</v>
      </c>
      <c r="FL53" s="167">
        <f t="shared" si="643"/>
        <v>0</v>
      </c>
      <c r="FM53" s="168">
        <f t="shared" si="644"/>
        <v>0</v>
      </c>
      <c r="FN53" s="159"/>
      <c r="FO53" s="161">
        <f t="shared" si="721"/>
        <v>5</v>
      </c>
      <c r="FP53" s="162" t="str">
        <f t="shared" ref="FP53:FR53" si="765">IFERROR(VLOOKUP($R53,$A$13:$D$30,-FP$12,FALSE),"")</f>
        <v>Bijih Nikel </v>
      </c>
      <c r="FQ53" s="163" t="str">
        <f t="shared" si="765"/>
        <v>Bijih </v>
      </c>
      <c r="FR53" s="163" t="str">
        <f t="shared" si="765"/>
        <v>WMT</v>
      </c>
      <c r="FS53" s="156">
        <v>3000570.24</v>
      </c>
      <c r="FT53" s="169">
        <v>273859.09</v>
      </c>
      <c r="FU53" s="156">
        <f t="shared" si="646"/>
        <v>821733.4354</v>
      </c>
      <c r="FV53" s="164"/>
      <c r="FW53" s="156">
        <f t="shared" si="647"/>
        <v>0</v>
      </c>
      <c r="FX53" s="165"/>
      <c r="FY53" s="165"/>
      <c r="FZ53" s="166"/>
      <c r="GA53" s="156">
        <f t="shared" si="648"/>
        <v>821733.4354</v>
      </c>
      <c r="GB53" s="164">
        <f t="shared" si="649"/>
        <v>0.4604471269</v>
      </c>
      <c r="GC53" s="167">
        <f t="shared" si="650"/>
        <v>378364.7994</v>
      </c>
      <c r="GD53" s="168">
        <f t="shared" si="651"/>
        <v>443368.636</v>
      </c>
      <c r="GE53" s="159"/>
      <c r="GF53" s="161">
        <f t="shared" si="723"/>
        <v>5</v>
      </c>
      <c r="GG53" s="162" t="str">
        <f t="shared" ref="GG53:GI53" si="766">IFERROR(VLOOKUP($R53,$A$13:$D$30,-GG$12,FALSE),"")</f>
        <v>Bijih Nikel </v>
      </c>
      <c r="GH53" s="163" t="str">
        <f t="shared" si="766"/>
        <v>Bijih </v>
      </c>
      <c r="GI53" s="163" t="str">
        <f t="shared" si="766"/>
        <v>WMT</v>
      </c>
      <c r="GJ53" s="169">
        <f>6761.943*1000</f>
        <v>6761943</v>
      </c>
      <c r="GK53" s="169">
        <v>207568.0</v>
      </c>
      <c r="GL53" s="156">
        <f t="shared" si="653"/>
        <v>1403562.985</v>
      </c>
      <c r="GM53" s="164"/>
      <c r="GN53" s="156">
        <f t="shared" si="654"/>
        <v>0</v>
      </c>
      <c r="GO53" s="165"/>
      <c r="GP53" s="165"/>
      <c r="GQ53" s="166"/>
      <c r="GR53" s="156">
        <f t="shared" si="655"/>
        <v>1403562.985</v>
      </c>
      <c r="GS53" s="164">
        <f t="shared" si="656"/>
        <v>0.4604471269</v>
      </c>
      <c r="GT53" s="167">
        <f t="shared" si="657"/>
        <v>646266.5437</v>
      </c>
      <c r="GU53" s="168">
        <f t="shared" si="658"/>
        <v>757296.4409</v>
      </c>
      <c r="GV53" s="159"/>
      <c r="GW53" s="161">
        <f t="shared" si="725"/>
        <v>5</v>
      </c>
      <c r="GX53" s="162" t="str">
        <f t="shared" ref="GX53:GZ53" si="767">IFERROR(VLOOKUP($R53,$A$13:$D$30,-GX$12,FALSE),"")</f>
        <v>Bijih Nikel </v>
      </c>
      <c r="GY53" s="163" t="str">
        <f t="shared" si="767"/>
        <v>Bijih </v>
      </c>
      <c r="GZ53" s="163" t="str">
        <f t="shared" si="767"/>
        <v>WMT</v>
      </c>
      <c r="HA53" s="156">
        <f>7658.511*1000</f>
        <v>7658511</v>
      </c>
      <c r="HB53" s="169">
        <v>192557.411627448</v>
      </c>
      <c r="HC53" s="156">
        <f t="shared" si="660"/>
        <v>1474703.055</v>
      </c>
      <c r="HD53" s="164"/>
      <c r="HE53" s="156">
        <f t="shared" si="661"/>
        <v>0</v>
      </c>
      <c r="HF53" s="165"/>
      <c r="HG53" s="165"/>
      <c r="HH53" s="166"/>
      <c r="HI53" s="156">
        <f t="shared" si="662"/>
        <v>1474703.055</v>
      </c>
      <c r="HJ53" s="164">
        <f t="shared" si="663"/>
        <v>0.4604471269</v>
      </c>
      <c r="HK53" s="167">
        <f t="shared" si="664"/>
        <v>679022.7847</v>
      </c>
      <c r="HL53" s="168">
        <f t="shared" si="665"/>
        <v>795680.2703</v>
      </c>
      <c r="HM53" s="159"/>
      <c r="HN53" s="161">
        <f t="shared" si="727"/>
        <v>5</v>
      </c>
      <c r="HO53" s="162" t="str">
        <f t="shared" ref="HO53:HQ53" si="768">IFERROR(VLOOKUP($R53,$A$13:$D$30,-HO$12,FALSE),"")</f>
        <v>Bijih Nikel </v>
      </c>
      <c r="HP53" s="163" t="str">
        <f t="shared" si="768"/>
        <v>Bijih </v>
      </c>
      <c r="HQ53" s="163" t="str">
        <f t="shared" si="768"/>
        <v>WMT</v>
      </c>
      <c r="HR53" s="170">
        <f>293081.76+9727721.612</f>
        <v>10020803.37</v>
      </c>
      <c r="HS53" s="169">
        <v>260000.0</v>
      </c>
      <c r="HT53" s="156">
        <f t="shared" si="667"/>
        <v>2605408.877</v>
      </c>
      <c r="HU53" s="164"/>
      <c r="HV53" s="156">
        <f t="shared" si="668"/>
        <v>0</v>
      </c>
      <c r="HW53" s="165"/>
      <c r="HX53" s="165"/>
      <c r="HY53" s="166"/>
      <c r="HZ53" s="156">
        <f t="shared" si="669"/>
        <v>2605408.877</v>
      </c>
      <c r="IA53" s="164">
        <f t="shared" si="670"/>
        <v>0.4604471269</v>
      </c>
      <c r="IB53" s="167">
        <f t="shared" si="671"/>
        <v>1199653.032</v>
      </c>
      <c r="IC53" s="168">
        <f t="shared" si="672"/>
        <v>1405755.845</v>
      </c>
      <c r="ID53" s="159"/>
      <c r="IE53" s="161">
        <f t="shared" si="729"/>
        <v>5</v>
      </c>
      <c r="IF53" s="162" t="str">
        <f t="shared" ref="IF53:IH53" si="769">IFERROR(VLOOKUP($R53,$A$13:$D$30,-IF$12,FALSE),"")</f>
        <v>Bijih Nikel </v>
      </c>
      <c r="IG53" s="163" t="str">
        <f t="shared" si="769"/>
        <v>Bijih </v>
      </c>
      <c r="IH53" s="163" t="str">
        <f t="shared" si="769"/>
        <v>WMT</v>
      </c>
      <c r="II53" s="156">
        <f>11621249.22-((11621249.22*(26.89/100)))</f>
        <v>8496295.305</v>
      </c>
      <c r="IJ53" s="156">
        <f>225055.79-((225055.79*(2.95/100)))</f>
        <v>218416.6442</v>
      </c>
      <c r="IK53" s="156">
        <f t="shared" si="674"/>
        <v>1855732.309</v>
      </c>
      <c r="IL53" s="164"/>
      <c r="IM53" s="156">
        <f t="shared" si="675"/>
        <v>0</v>
      </c>
      <c r="IN53" s="165"/>
      <c r="IO53" s="165"/>
      <c r="IP53" s="166"/>
      <c r="IQ53" s="156">
        <f t="shared" si="676"/>
        <v>1855732.309</v>
      </c>
      <c r="IR53" s="164">
        <f t="shared" si="677"/>
        <v>0.4604471269</v>
      </c>
      <c r="IS53" s="167">
        <f t="shared" si="678"/>
        <v>854466.6098</v>
      </c>
      <c r="IT53" s="168">
        <f t="shared" si="679"/>
        <v>1001265.699</v>
      </c>
      <c r="IU53" s="159"/>
      <c r="IV53" s="161">
        <f t="shared" si="731"/>
        <v>5</v>
      </c>
      <c r="IW53" s="162" t="str">
        <f t="shared" ref="IW53:IY53" si="770">IFERROR(VLOOKUP($R53,$A$13:$D$30,-IW$12,FALSE),"")</f>
        <v>Bijih Nikel </v>
      </c>
      <c r="IX53" s="163" t="str">
        <f t="shared" si="770"/>
        <v>Bijih </v>
      </c>
      <c r="IY53" s="163" t="str">
        <f t="shared" si="770"/>
        <v>WMT</v>
      </c>
      <c r="IZ53" s="156">
        <f>(100-0.3735803068)/100*II161</f>
        <v>20307220.36</v>
      </c>
      <c r="JA53" s="156">
        <f>(100-5.56)/100*IJ161</f>
        <v>210909.9435</v>
      </c>
      <c r="JB53" s="156">
        <f t="shared" si="681"/>
        <v>4282994.699</v>
      </c>
      <c r="JC53" s="164"/>
      <c r="JD53" s="156">
        <f t="shared" si="682"/>
        <v>0</v>
      </c>
      <c r="JE53" s="165"/>
      <c r="JF53" s="165"/>
      <c r="JG53" s="166"/>
      <c r="JH53" s="156">
        <f t="shared" si="683"/>
        <v>4282994.699</v>
      </c>
      <c r="JI53" s="164">
        <f t="shared" si="684"/>
        <v>0.4604471269</v>
      </c>
      <c r="JJ53" s="167">
        <f t="shared" si="685"/>
        <v>1972092.604</v>
      </c>
      <c r="JK53" s="168">
        <f t="shared" si="686"/>
        <v>2310902.095</v>
      </c>
      <c r="JL53" s="159"/>
      <c r="JM53" s="161">
        <f t="shared" si="733"/>
        <v>5</v>
      </c>
      <c r="JN53" s="162" t="str">
        <f t="shared" ref="JN53:JP53" si="771">IFERROR(VLOOKUP($R53,$A$13:$D$30,-JN$12,FALSE),"")</f>
        <v>Bijih Nikel </v>
      </c>
      <c r="JO53" s="163" t="str">
        <f t="shared" si="771"/>
        <v>Bijih </v>
      </c>
      <c r="JP53" s="163" t="str">
        <f t="shared" si="771"/>
        <v>WMT</v>
      </c>
      <c r="JQ53" s="156">
        <f>IZ161*(100-15.72)/100</f>
        <v>21210240.34</v>
      </c>
      <c r="JR53" s="156">
        <f>JA161*(100+12.67)/100</f>
        <v>222937.3339</v>
      </c>
      <c r="JS53" s="156">
        <f t="shared" si="688"/>
        <v>4728554.432</v>
      </c>
      <c r="JT53" s="164"/>
      <c r="JU53" s="156">
        <f t="shared" si="689"/>
        <v>0</v>
      </c>
      <c r="JV53" s="165"/>
      <c r="JW53" s="165"/>
      <c r="JX53" s="166"/>
      <c r="JY53" s="156">
        <f t="shared" si="690"/>
        <v>4728554.432</v>
      </c>
      <c r="JZ53" s="164">
        <f t="shared" si="691"/>
        <v>0.4604471269</v>
      </c>
      <c r="KA53" s="167">
        <f t="shared" si="692"/>
        <v>2177249.302</v>
      </c>
      <c r="KB53" s="168">
        <f t="shared" si="693"/>
        <v>2551305.129</v>
      </c>
      <c r="KC53" s="159"/>
      <c r="KD53" s="161">
        <f t="shared" si="735"/>
        <v>5</v>
      </c>
      <c r="KE53" s="162" t="str">
        <f t="shared" ref="KE53:KG53" si="772">IFERROR(VLOOKUP($R53,$A$13:$D$30,-KE$12,FALSE),"")</f>
        <v>Bijih Nikel </v>
      </c>
      <c r="KF53" s="163" t="str">
        <f t="shared" si="772"/>
        <v>Bijih </v>
      </c>
      <c r="KG53" s="163" t="str">
        <f t="shared" si="772"/>
        <v>WMT</v>
      </c>
      <c r="KH53" s="156" t="str">
        <f>ADHK!LP53</f>
        <v/>
      </c>
      <c r="KI53" s="156"/>
      <c r="KJ53" s="156">
        <f t="shared" si="695"/>
        <v>0</v>
      </c>
      <c r="KK53" s="164"/>
      <c r="KL53" s="156">
        <f t="shared" si="696"/>
        <v>0</v>
      </c>
      <c r="KM53" s="165"/>
      <c r="KN53" s="165"/>
      <c r="KO53" s="166"/>
      <c r="KP53" s="156">
        <f t="shared" si="697"/>
        <v>0</v>
      </c>
      <c r="KQ53" s="164">
        <f t="shared" si="698"/>
        <v>0.4604471269</v>
      </c>
      <c r="KR53" s="167">
        <f t="shared" si="699"/>
        <v>0</v>
      </c>
      <c r="KS53" s="168">
        <f t="shared" si="700"/>
        <v>0</v>
      </c>
      <c r="KT53" s="159"/>
      <c r="KU53" s="160"/>
    </row>
    <row r="54" ht="15.75" customHeight="1">
      <c r="A54" s="161">
        <f t="shared" si="701"/>
        <v>6</v>
      </c>
      <c r="B54" s="162" t="str">
        <f t="shared" ref="B54:D54" si="773">IFERROR(VLOOKUP($A54,$A$13:$D$30,-B$12,FALSE),"")</f>
        <v>Pasir Besi </v>
      </c>
      <c r="C54" s="163" t="str">
        <f t="shared" si="773"/>
        <v>Bijih </v>
      </c>
      <c r="D54" s="163" t="str">
        <f t="shared" si="773"/>
        <v>Ton </v>
      </c>
      <c r="E54" s="156" t="str">
        <f>ADHK!E54</f>
        <v/>
      </c>
      <c r="F54" s="156" t="str">
        <f>ADHK!F54</f>
        <v/>
      </c>
      <c r="G54" s="156">
        <f t="shared" si="576"/>
        <v>0</v>
      </c>
      <c r="H54" s="164"/>
      <c r="I54" s="156">
        <f t="shared" si="577"/>
        <v>0</v>
      </c>
      <c r="J54" s="165"/>
      <c r="K54" s="165"/>
      <c r="L54" s="166"/>
      <c r="M54" s="156">
        <f t="shared" si="578"/>
        <v>0</v>
      </c>
      <c r="N54" s="164">
        <f t="shared" si="579"/>
        <v>0.4604471269</v>
      </c>
      <c r="O54" s="167">
        <f t="shared" si="580"/>
        <v>0</v>
      </c>
      <c r="P54" s="168">
        <f t="shared" si="581"/>
        <v>0</v>
      </c>
      <c r="Q54" s="159"/>
      <c r="R54" s="161">
        <f t="shared" si="703"/>
        <v>6</v>
      </c>
      <c r="S54" s="162" t="str">
        <f t="shared" ref="S54:U54" si="774">IFERROR(VLOOKUP($R54,$A$13:$D$30,-S$12,FALSE),"")</f>
        <v>Pasir Besi </v>
      </c>
      <c r="T54" s="163" t="str">
        <f t="shared" si="774"/>
        <v>Bijih </v>
      </c>
      <c r="U54" s="163" t="str">
        <f t="shared" si="774"/>
        <v>Ton </v>
      </c>
      <c r="V54" s="156" t="str">
        <f>ADHK!V54</f>
        <v/>
      </c>
      <c r="W54" s="156"/>
      <c r="X54" s="156">
        <f t="shared" si="583"/>
        <v>0</v>
      </c>
      <c r="Y54" s="164"/>
      <c r="Z54" s="156">
        <f t="shared" si="584"/>
        <v>0</v>
      </c>
      <c r="AA54" s="165"/>
      <c r="AB54" s="165"/>
      <c r="AC54" s="166"/>
      <c r="AD54" s="156">
        <f t="shared" si="585"/>
        <v>0</v>
      </c>
      <c r="AE54" s="164">
        <f t="shared" si="586"/>
        <v>0.4604471269</v>
      </c>
      <c r="AF54" s="167">
        <f t="shared" si="587"/>
        <v>0</v>
      </c>
      <c r="AG54" s="168">
        <f t="shared" si="588"/>
        <v>0</v>
      </c>
      <c r="AH54" s="159"/>
      <c r="AI54" s="161">
        <f t="shared" si="705"/>
        <v>6</v>
      </c>
      <c r="AJ54" s="162" t="str">
        <f t="shared" ref="AJ54:AL54" si="775">IFERROR(VLOOKUP($R54,$A$13:$D$30,-AJ$12,FALSE),"")</f>
        <v>Pasir Besi </v>
      </c>
      <c r="AK54" s="163" t="str">
        <f t="shared" si="775"/>
        <v>Bijih </v>
      </c>
      <c r="AL54" s="163" t="str">
        <f t="shared" si="775"/>
        <v>Ton </v>
      </c>
      <c r="AM54" s="156" t="str">
        <f>ADHK!AM54</f>
        <v/>
      </c>
      <c r="AN54" s="156"/>
      <c r="AO54" s="156">
        <f t="shared" si="590"/>
        <v>0</v>
      </c>
      <c r="AP54" s="164"/>
      <c r="AQ54" s="156">
        <f t="shared" si="591"/>
        <v>0</v>
      </c>
      <c r="AR54" s="165"/>
      <c r="AS54" s="165"/>
      <c r="AT54" s="166"/>
      <c r="AU54" s="156">
        <f t="shared" si="592"/>
        <v>0</v>
      </c>
      <c r="AV54" s="164">
        <f t="shared" si="593"/>
        <v>0.4604471269</v>
      </c>
      <c r="AW54" s="167">
        <f t="shared" si="594"/>
        <v>0</v>
      </c>
      <c r="AX54" s="168">
        <f t="shared" si="595"/>
        <v>0</v>
      </c>
      <c r="AY54" s="159"/>
      <c r="AZ54" s="161">
        <f t="shared" si="707"/>
        <v>6</v>
      </c>
      <c r="BA54" s="162" t="str">
        <f t="shared" ref="BA54:BC54" si="776">IFERROR(VLOOKUP($R54,$A$13:$D$30,-BA$12,FALSE),"")</f>
        <v>Pasir Besi </v>
      </c>
      <c r="BB54" s="163" t="str">
        <f t="shared" si="776"/>
        <v>Bijih </v>
      </c>
      <c r="BC54" s="163" t="str">
        <f t="shared" si="776"/>
        <v>Ton </v>
      </c>
      <c r="BD54" s="156" t="str">
        <f>ADHK!BD54</f>
        <v/>
      </c>
      <c r="BE54" s="156"/>
      <c r="BF54" s="156">
        <f t="shared" si="597"/>
        <v>0</v>
      </c>
      <c r="BG54" s="164"/>
      <c r="BH54" s="156">
        <f t="shared" si="598"/>
        <v>0</v>
      </c>
      <c r="BI54" s="165"/>
      <c r="BJ54" s="165"/>
      <c r="BK54" s="166"/>
      <c r="BL54" s="156">
        <f t="shared" si="599"/>
        <v>0</v>
      </c>
      <c r="BM54" s="164">
        <f t="shared" si="600"/>
        <v>0.4604471269</v>
      </c>
      <c r="BN54" s="167">
        <f t="shared" si="601"/>
        <v>0</v>
      </c>
      <c r="BO54" s="168">
        <f t="shared" si="602"/>
        <v>0</v>
      </c>
      <c r="BP54" s="159"/>
      <c r="BQ54" s="161">
        <f t="shared" si="709"/>
        <v>6</v>
      </c>
      <c r="BR54" s="162" t="str">
        <f t="shared" ref="BR54:BT54" si="777">IFERROR(VLOOKUP($R54,$A$13:$D$30,-BR$12,FALSE),"")</f>
        <v>Pasir Besi </v>
      </c>
      <c r="BS54" s="163" t="str">
        <f t="shared" si="777"/>
        <v>Bijih </v>
      </c>
      <c r="BT54" s="163" t="str">
        <f t="shared" si="777"/>
        <v>Ton </v>
      </c>
      <c r="BU54" s="156" t="str">
        <f>ADHK!BU54</f>
        <v/>
      </c>
      <c r="BV54" s="156"/>
      <c r="BW54" s="156">
        <f t="shared" si="604"/>
        <v>0</v>
      </c>
      <c r="BX54" s="164"/>
      <c r="BY54" s="156">
        <f t="shared" si="605"/>
        <v>0</v>
      </c>
      <c r="BZ54" s="165"/>
      <c r="CA54" s="165"/>
      <c r="CB54" s="166"/>
      <c r="CC54" s="156">
        <f t="shared" si="606"/>
        <v>0</v>
      </c>
      <c r="CD54" s="164">
        <f t="shared" si="607"/>
        <v>0.4604471269</v>
      </c>
      <c r="CE54" s="167">
        <f t="shared" si="608"/>
        <v>0</v>
      </c>
      <c r="CF54" s="168">
        <f t="shared" si="609"/>
        <v>0</v>
      </c>
      <c r="CG54" s="159"/>
      <c r="CH54" s="161">
        <f t="shared" si="711"/>
        <v>6</v>
      </c>
      <c r="CI54" s="162" t="str">
        <f t="shared" ref="CI54:CK54" si="778">IFERROR(VLOOKUP($R54,$A$13:$D$30,-CI$12,FALSE),"")</f>
        <v>Pasir Besi </v>
      </c>
      <c r="CJ54" s="163" t="str">
        <f t="shared" si="778"/>
        <v>Bijih </v>
      </c>
      <c r="CK54" s="163" t="str">
        <f t="shared" si="778"/>
        <v>Ton </v>
      </c>
      <c r="CL54" s="156" t="str">
        <f>ADHK!CL54</f>
        <v/>
      </c>
      <c r="CM54" s="156"/>
      <c r="CN54" s="156">
        <f t="shared" si="611"/>
        <v>0</v>
      </c>
      <c r="CO54" s="164"/>
      <c r="CP54" s="156">
        <f t="shared" si="612"/>
        <v>0</v>
      </c>
      <c r="CQ54" s="165"/>
      <c r="CR54" s="165"/>
      <c r="CS54" s="166"/>
      <c r="CT54" s="156">
        <f t="shared" si="613"/>
        <v>0</v>
      </c>
      <c r="CU54" s="164">
        <f t="shared" si="614"/>
        <v>0.4604471269</v>
      </c>
      <c r="CV54" s="167">
        <f t="shared" si="615"/>
        <v>0</v>
      </c>
      <c r="CW54" s="168">
        <f t="shared" si="616"/>
        <v>0</v>
      </c>
      <c r="CX54" s="159"/>
      <c r="CY54" s="161">
        <f t="shared" si="713"/>
        <v>6</v>
      </c>
      <c r="CZ54" s="162" t="str">
        <f t="shared" ref="CZ54:DB54" si="779">IFERROR(VLOOKUP($R54,$A$13:$D$30,-CZ$12,FALSE),"")</f>
        <v>Pasir Besi </v>
      </c>
      <c r="DA54" s="163" t="str">
        <f t="shared" si="779"/>
        <v>Bijih </v>
      </c>
      <c r="DB54" s="163" t="str">
        <f t="shared" si="779"/>
        <v>Ton </v>
      </c>
      <c r="DC54" s="156" t="str">
        <f>ADHK!DC54</f>
        <v/>
      </c>
      <c r="DD54" s="156"/>
      <c r="DE54" s="156">
        <f t="shared" si="618"/>
        <v>0</v>
      </c>
      <c r="DF54" s="164"/>
      <c r="DG54" s="156">
        <f t="shared" si="619"/>
        <v>0</v>
      </c>
      <c r="DH54" s="165"/>
      <c r="DI54" s="165"/>
      <c r="DJ54" s="166"/>
      <c r="DK54" s="156">
        <f t="shared" si="620"/>
        <v>0</v>
      </c>
      <c r="DL54" s="164">
        <f t="shared" si="621"/>
        <v>0.4604471269</v>
      </c>
      <c r="DM54" s="167">
        <f t="shared" si="622"/>
        <v>0</v>
      </c>
      <c r="DN54" s="168">
        <f t="shared" si="623"/>
        <v>0</v>
      </c>
      <c r="DO54" s="159"/>
      <c r="DP54" s="161">
        <f t="shared" si="715"/>
        <v>6</v>
      </c>
      <c r="DQ54" s="162" t="str">
        <f t="shared" ref="DQ54:DS54" si="780">IFERROR(VLOOKUP($R54,$A$13:$D$30,-DQ$12,FALSE),"")</f>
        <v>Pasir Besi </v>
      </c>
      <c r="DR54" s="163" t="str">
        <f t="shared" si="780"/>
        <v>Bijih </v>
      </c>
      <c r="DS54" s="163" t="str">
        <f t="shared" si="780"/>
        <v>Ton </v>
      </c>
      <c r="DT54" s="156" t="str">
        <f>ADHK!DT54</f>
        <v/>
      </c>
      <c r="DU54" s="156"/>
      <c r="DV54" s="156">
        <f t="shared" si="625"/>
        <v>0</v>
      </c>
      <c r="DW54" s="164"/>
      <c r="DX54" s="156">
        <f t="shared" si="626"/>
        <v>0</v>
      </c>
      <c r="DY54" s="165"/>
      <c r="DZ54" s="165"/>
      <c r="EA54" s="166"/>
      <c r="EB54" s="156">
        <f t="shared" si="627"/>
        <v>0</v>
      </c>
      <c r="EC54" s="164">
        <f t="shared" si="628"/>
        <v>0.4604471269</v>
      </c>
      <c r="ED54" s="167">
        <f t="shared" si="629"/>
        <v>0</v>
      </c>
      <c r="EE54" s="168">
        <f t="shared" si="630"/>
        <v>0</v>
      </c>
      <c r="EF54" s="159"/>
      <c r="EG54" s="161">
        <f t="shared" si="717"/>
        <v>6</v>
      </c>
      <c r="EH54" s="162" t="str">
        <f t="shared" ref="EH54:EJ54" si="781">IFERROR(VLOOKUP($R54,$A$13:$D$30,-EH$12,FALSE),"")</f>
        <v>Pasir Besi </v>
      </c>
      <c r="EI54" s="163" t="str">
        <f t="shared" si="781"/>
        <v>Bijih </v>
      </c>
      <c r="EJ54" s="163" t="str">
        <f t="shared" si="781"/>
        <v>Ton </v>
      </c>
      <c r="EK54" s="156" t="str">
        <f>ADHK!EK54</f>
        <v/>
      </c>
      <c r="EL54" s="156"/>
      <c r="EM54" s="156">
        <f t="shared" si="632"/>
        <v>0</v>
      </c>
      <c r="EN54" s="164"/>
      <c r="EO54" s="156">
        <f t="shared" si="633"/>
        <v>0</v>
      </c>
      <c r="EP54" s="165"/>
      <c r="EQ54" s="165"/>
      <c r="ER54" s="166"/>
      <c r="ES54" s="156">
        <f t="shared" si="634"/>
        <v>0</v>
      </c>
      <c r="ET54" s="164">
        <f t="shared" si="635"/>
        <v>0.4604471269</v>
      </c>
      <c r="EU54" s="167">
        <f t="shared" si="636"/>
        <v>0</v>
      </c>
      <c r="EV54" s="168">
        <f t="shared" si="637"/>
        <v>0</v>
      </c>
      <c r="EW54" s="159"/>
      <c r="EX54" s="161">
        <f t="shared" si="719"/>
        <v>6</v>
      </c>
      <c r="EY54" s="162" t="str">
        <f t="shared" ref="EY54:FA54" si="782">IFERROR(VLOOKUP($R54,$A$13:$D$30,-EY$12,FALSE),"")</f>
        <v>Pasir Besi </v>
      </c>
      <c r="EZ54" s="163" t="str">
        <f t="shared" si="782"/>
        <v>Bijih </v>
      </c>
      <c r="FA54" s="163" t="str">
        <f t="shared" si="782"/>
        <v>Ton </v>
      </c>
      <c r="FB54" s="156" t="str">
        <f>ADHK!FB54</f>
        <v/>
      </c>
      <c r="FC54" s="156"/>
      <c r="FD54" s="156">
        <f t="shared" si="639"/>
        <v>0</v>
      </c>
      <c r="FE54" s="164"/>
      <c r="FF54" s="156">
        <f t="shared" si="640"/>
        <v>0</v>
      </c>
      <c r="FG54" s="165"/>
      <c r="FH54" s="165"/>
      <c r="FI54" s="166"/>
      <c r="FJ54" s="156">
        <f t="shared" si="641"/>
        <v>0</v>
      </c>
      <c r="FK54" s="164">
        <f t="shared" si="642"/>
        <v>0.4604471269</v>
      </c>
      <c r="FL54" s="167">
        <f t="shared" si="643"/>
        <v>0</v>
      </c>
      <c r="FM54" s="168">
        <f t="shared" si="644"/>
        <v>0</v>
      </c>
      <c r="FN54" s="159"/>
      <c r="FO54" s="161">
        <f t="shared" si="721"/>
        <v>6</v>
      </c>
      <c r="FP54" s="162" t="str">
        <f t="shared" ref="FP54:FR54" si="783">IFERROR(VLOOKUP($R54,$A$13:$D$30,-FP$12,FALSE),"")</f>
        <v>Pasir Besi </v>
      </c>
      <c r="FQ54" s="163" t="str">
        <f t="shared" si="783"/>
        <v>Bijih </v>
      </c>
      <c r="FR54" s="163" t="str">
        <f t="shared" si="783"/>
        <v>Ton </v>
      </c>
      <c r="FS54" s="156" t="str">
        <f>ADHK!FS54</f>
        <v/>
      </c>
      <c r="FT54" s="156"/>
      <c r="FU54" s="156">
        <f t="shared" si="646"/>
        <v>0</v>
      </c>
      <c r="FV54" s="164"/>
      <c r="FW54" s="156">
        <f t="shared" si="647"/>
        <v>0</v>
      </c>
      <c r="FX54" s="165"/>
      <c r="FY54" s="165"/>
      <c r="FZ54" s="166"/>
      <c r="GA54" s="156">
        <f t="shared" si="648"/>
        <v>0</v>
      </c>
      <c r="GB54" s="164">
        <f t="shared" si="649"/>
        <v>0.4604471269</v>
      </c>
      <c r="GC54" s="167">
        <f t="shared" si="650"/>
        <v>0</v>
      </c>
      <c r="GD54" s="168">
        <f t="shared" si="651"/>
        <v>0</v>
      </c>
      <c r="GE54" s="159"/>
      <c r="GF54" s="161">
        <f t="shared" si="723"/>
        <v>6</v>
      </c>
      <c r="GG54" s="162" t="str">
        <f t="shared" ref="GG54:GI54" si="784">IFERROR(VLOOKUP($R54,$A$13:$D$30,-GG$12,FALSE),"")</f>
        <v>Pasir Besi </v>
      </c>
      <c r="GH54" s="163" t="str">
        <f t="shared" si="784"/>
        <v>Bijih </v>
      </c>
      <c r="GI54" s="163" t="str">
        <f t="shared" si="784"/>
        <v>Ton </v>
      </c>
      <c r="GJ54" s="156" t="str">
        <f>ADHK!GJ54</f>
        <v/>
      </c>
      <c r="GK54" s="169"/>
      <c r="GL54" s="156">
        <f t="shared" si="653"/>
        <v>0</v>
      </c>
      <c r="GM54" s="164"/>
      <c r="GN54" s="156">
        <f t="shared" si="654"/>
        <v>0</v>
      </c>
      <c r="GO54" s="165"/>
      <c r="GP54" s="165"/>
      <c r="GQ54" s="166"/>
      <c r="GR54" s="156">
        <f t="shared" si="655"/>
        <v>0</v>
      </c>
      <c r="GS54" s="164">
        <f t="shared" si="656"/>
        <v>0.4604471269</v>
      </c>
      <c r="GT54" s="167">
        <f t="shared" si="657"/>
        <v>0</v>
      </c>
      <c r="GU54" s="168">
        <f t="shared" si="658"/>
        <v>0</v>
      </c>
      <c r="GV54" s="159"/>
      <c r="GW54" s="161">
        <f t="shared" si="725"/>
        <v>6</v>
      </c>
      <c r="GX54" s="162" t="str">
        <f t="shared" ref="GX54:GZ54" si="785">IFERROR(VLOOKUP($R54,$A$13:$D$30,-GX$12,FALSE),"")</f>
        <v>Pasir Besi </v>
      </c>
      <c r="GY54" s="163" t="str">
        <f t="shared" si="785"/>
        <v>Bijih </v>
      </c>
      <c r="GZ54" s="163" t="str">
        <f t="shared" si="785"/>
        <v>Ton </v>
      </c>
      <c r="HA54" s="156" t="str">
        <f>ADHK!HA54</f>
        <v/>
      </c>
      <c r="HB54" s="169"/>
      <c r="HC54" s="156">
        <f t="shared" si="660"/>
        <v>0</v>
      </c>
      <c r="HD54" s="164"/>
      <c r="HE54" s="156">
        <f t="shared" si="661"/>
        <v>0</v>
      </c>
      <c r="HF54" s="165"/>
      <c r="HG54" s="165"/>
      <c r="HH54" s="166"/>
      <c r="HI54" s="156">
        <f t="shared" si="662"/>
        <v>0</v>
      </c>
      <c r="HJ54" s="164">
        <f t="shared" si="663"/>
        <v>0.4604471269</v>
      </c>
      <c r="HK54" s="167">
        <f t="shared" si="664"/>
        <v>0</v>
      </c>
      <c r="HL54" s="168">
        <f t="shared" si="665"/>
        <v>0</v>
      </c>
      <c r="HM54" s="159"/>
      <c r="HN54" s="161">
        <f t="shared" si="727"/>
        <v>6</v>
      </c>
      <c r="HO54" s="162" t="str">
        <f t="shared" ref="HO54:HQ54" si="786">IFERROR(VLOOKUP($R54,$A$13:$D$30,-HO$12,FALSE),"")</f>
        <v>Pasir Besi </v>
      </c>
      <c r="HP54" s="163" t="str">
        <f t="shared" si="786"/>
        <v>Bijih </v>
      </c>
      <c r="HQ54" s="163" t="str">
        <f t="shared" si="786"/>
        <v>Ton </v>
      </c>
      <c r="HR54" s="156" t="str">
        <f>ADHK!HR54</f>
        <v/>
      </c>
      <c r="HS54" s="169"/>
      <c r="HT54" s="156">
        <f t="shared" si="667"/>
        <v>0</v>
      </c>
      <c r="HU54" s="164"/>
      <c r="HV54" s="156">
        <f t="shared" si="668"/>
        <v>0</v>
      </c>
      <c r="HW54" s="165"/>
      <c r="HX54" s="165"/>
      <c r="HY54" s="166"/>
      <c r="HZ54" s="156">
        <f t="shared" si="669"/>
        <v>0</v>
      </c>
      <c r="IA54" s="164">
        <f t="shared" si="670"/>
        <v>0.4604471269</v>
      </c>
      <c r="IB54" s="167">
        <f t="shared" si="671"/>
        <v>0</v>
      </c>
      <c r="IC54" s="168">
        <f t="shared" si="672"/>
        <v>0</v>
      </c>
      <c r="ID54" s="159"/>
      <c r="IE54" s="161">
        <f t="shared" si="729"/>
        <v>6</v>
      </c>
      <c r="IF54" s="162" t="str">
        <f t="shared" ref="IF54:IH54" si="787">IFERROR(VLOOKUP($R54,$A$13:$D$30,-IF$12,FALSE),"")</f>
        <v>Pasir Besi </v>
      </c>
      <c r="IG54" s="163" t="str">
        <f t="shared" si="787"/>
        <v>Bijih </v>
      </c>
      <c r="IH54" s="163" t="str">
        <f t="shared" si="787"/>
        <v>Ton </v>
      </c>
      <c r="II54" s="156" t="str">
        <f>ADHK!II54</f>
        <v/>
      </c>
      <c r="IJ54" s="156"/>
      <c r="IK54" s="156">
        <f t="shared" si="674"/>
        <v>0</v>
      </c>
      <c r="IL54" s="164"/>
      <c r="IM54" s="156">
        <f t="shared" si="675"/>
        <v>0</v>
      </c>
      <c r="IN54" s="165"/>
      <c r="IO54" s="165"/>
      <c r="IP54" s="166"/>
      <c r="IQ54" s="156">
        <f t="shared" si="676"/>
        <v>0</v>
      </c>
      <c r="IR54" s="164">
        <f t="shared" si="677"/>
        <v>0.4604471269</v>
      </c>
      <c r="IS54" s="167">
        <f t="shared" si="678"/>
        <v>0</v>
      </c>
      <c r="IT54" s="168">
        <f t="shared" si="679"/>
        <v>0</v>
      </c>
      <c r="IU54" s="159"/>
      <c r="IV54" s="161">
        <f t="shared" si="731"/>
        <v>6</v>
      </c>
      <c r="IW54" s="162" t="str">
        <f t="shared" ref="IW54:IY54" si="788">IFERROR(VLOOKUP($R54,$A$13:$D$30,-IW$12,FALSE),"")</f>
        <v>Pasir Besi </v>
      </c>
      <c r="IX54" s="163" t="str">
        <f t="shared" si="788"/>
        <v>Bijih </v>
      </c>
      <c r="IY54" s="163" t="str">
        <f t="shared" si="788"/>
        <v>Ton </v>
      </c>
      <c r="IZ54" s="156" t="str">
        <f>ADHK!IZ54</f>
        <v/>
      </c>
      <c r="JA54" s="156"/>
      <c r="JB54" s="156">
        <f t="shared" si="681"/>
        <v>0</v>
      </c>
      <c r="JC54" s="164"/>
      <c r="JD54" s="156">
        <f t="shared" si="682"/>
        <v>0</v>
      </c>
      <c r="JE54" s="165"/>
      <c r="JF54" s="165"/>
      <c r="JG54" s="166"/>
      <c r="JH54" s="156">
        <f t="shared" si="683"/>
        <v>0</v>
      </c>
      <c r="JI54" s="164">
        <f t="shared" si="684"/>
        <v>0.4604471269</v>
      </c>
      <c r="JJ54" s="167">
        <f t="shared" si="685"/>
        <v>0</v>
      </c>
      <c r="JK54" s="168">
        <f t="shared" si="686"/>
        <v>0</v>
      </c>
      <c r="JL54" s="159"/>
      <c r="JM54" s="161">
        <f t="shared" si="733"/>
        <v>6</v>
      </c>
      <c r="JN54" s="162" t="str">
        <f t="shared" ref="JN54:JP54" si="789">IFERROR(VLOOKUP($R54,$A$13:$D$30,-JN$12,FALSE),"")</f>
        <v>Pasir Besi </v>
      </c>
      <c r="JO54" s="163" t="str">
        <f t="shared" si="789"/>
        <v>Bijih </v>
      </c>
      <c r="JP54" s="163" t="str">
        <f t="shared" si="789"/>
        <v>Ton </v>
      </c>
      <c r="JQ54" s="156" t="str">
        <f>ADHK!KY54</f>
        <v/>
      </c>
      <c r="JR54" s="156"/>
      <c r="JS54" s="156">
        <f t="shared" si="688"/>
        <v>0</v>
      </c>
      <c r="JT54" s="164"/>
      <c r="JU54" s="156">
        <f t="shared" si="689"/>
        <v>0</v>
      </c>
      <c r="JV54" s="165"/>
      <c r="JW54" s="165"/>
      <c r="JX54" s="166"/>
      <c r="JY54" s="156">
        <f t="shared" si="690"/>
        <v>0</v>
      </c>
      <c r="JZ54" s="164">
        <f t="shared" si="691"/>
        <v>0.4604471269</v>
      </c>
      <c r="KA54" s="167">
        <f t="shared" si="692"/>
        <v>0</v>
      </c>
      <c r="KB54" s="168">
        <f t="shared" si="693"/>
        <v>0</v>
      </c>
      <c r="KC54" s="159"/>
      <c r="KD54" s="161">
        <f t="shared" si="735"/>
        <v>6</v>
      </c>
      <c r="KE54" s="162" t="str">
        <f t="shared" ref="KE54:KG54" si="790">IFERROR(VLOOKUP($R54,$A$13:$D$30,-KE$12,FALSE),"")</f>
        <v>Pasir Besi </v>
      </c>
      <c r="KF54" s="163" t="str">
        <f t="shared" si="790"/>
        <v>Bijih </v>
      </c>
      <c r="KG54" s="163" t="str">
        <f t="shared" si="790"/>
        <v>Ton </v>
      </c>
      <c r="KH54" s="156" t="str">
        <f>ADHK!LP54</f>
        <v/>
      </c>
      <c r="KI54" s="156"/>
      <c r="KJ54" s="156">
        <f t="shared" si="695"/>
        <v>0</v>
      </c>
      <c r="KK54" s="164"/>
      <c r="KL54" s="156">
        <f t="shared" si="696"/>
        <v>0</v>
      </c>
      <c r="KM54" s="165"/>
      <c r="KN54" s="165"/>
      <c r="KO54" s="166"/>
      <c r="KP54" s="156">
        <f t="shared" si="697"/>
        <v>0</v>
      </c>
      <c r="KQ54" s="164">
        <f t="shared" si="698"/>
        <v>0.4604471269</v>
      </c>
      <c r="KR54" s="167">
        <f t="shared" si="699"/>
        <v>0</v>
      </c>
      <c r="KS54" s="168">
        <f t="shared" si="700"/>
        <v>0</v>
      </c>
      <c r="KT54" s="159"/>
      <c r="KU54" s="160"/>
    </row>
    <row r="55" ht="15.75" customHeight="1">
      <c r="A55" s="161">
        <f t="shared" si="701"/>
        <v>7</v>
      </c>
      <c r="B55" s="162" t="str">
        <f t="shared" ref="B55:D55" si="791">IFERROR(VLOOKUP($A55,$A$13:$D$30,-B$12,FALSE),"")</f>
        <v>Timah</v>
      </c>
      <c r="C55" s="163" t="str">
        <f t="shared" si="791"/>
        <v>Bijih </v>
      </c>
      <c r="D55" s="163" t="str">
        <f t="shared" si="791"/>
        <v>Ton </v>
      </c>
      <c r="E55" s="156" t="str">
        <f>ADHK!E55</f>
        <v/>
      </c>
      <c r="F55" s="156" t="str">
        <f>ADHK!F55</f>
        <v/>
      </c>
      <c r="G55" s="156">
        <f t="shared" si="576"/>
        <v>0</v>
      </c>
      <c r="H55" s="164"/>
      <c r="I55" s="156">
        <f t="shared" si="577"/>
        <v>0</v>
      </c>
      <c r="J55" s="165"/>
      <c r="K55" s="165"/>
      <c r="L55" s="166"/>
      <c r="M55" s="156">
        <f t="shared" si="578"/>
        <v>0</v>
      </c>
      <c r="N55" s="164">
        <f t="shared" si="579"/>
        <v>0.4604471269</v>
      </c>
      <c r="O55" s="167">
        <f t="shared" si="580"/>
        <v>0</v>
      </c>
      <c r="P55" s="168">
        <f t="shared" si="581"/>
        <v>0</v>
      </c>
      <c r="Q55" s="159"/>
      <c r="R55" s="161">
        <f t="shared" si="703"/>
        <v>7</v>
      </c>
      <c r="S55" s="162" t="str">
        <f t="shared" ref="S55:U55" si="792">IFERROR(VLOOKUP($R55,$A$13:$D$30,-S$12,FALSE),"")</f>
        <v>Timah</v>
      </c>
      <c r="T55" s="163" t="str">
        <f t="shared" si="792"/>
        <v>Bijih </v>
      </c>
      <c r="U55" s="163" t="str">
        <f t="shared" si="792"/>
        <v>Ton </v>
      </c>
      <c r="V55" s="156" t="str">
        <f>ADHK!V55</f>
        <v/>
      </c>
      <c r="W55" s="156"/>
      <c r="X55" s="156">
        <f t="shared" si="583"/>
        <v>0</v>
      </c>
      <c r="Y55" s="164"/>
      <c r="Z55" s="156">
        <f t="shared" si="584"/>
        <v>0</v>
      </c>
      <c r="AA55" s="165"/>
      <c r="AB55" s="165"/>
      <c r="AC55" s="166"/>
      <c r="AD55" s="156">
        <f t="shared" si="585"/>
        <v>0</v>
      </c>
      <c r="AE55" s="164">
        <f t="shared" si="586"/>
        <v>0.4604471269</v>
      </c>
      <c r="AF55" s="167">
        <f t="shared" si="587"/>
        <v>0</v>
      </c>
      <c r="AG55" s="168">
        <f t="shared" si="588"/>
        <v>0</v>
      </c>
      <c r="AH55" s="159"/>
      <c r="AI55" s="161">
        <f t="shared" si="705"/>
        <v>7</v>
      </c>
      <c r="AJ55" s="162" t="str">
        <f t="shared" ref="AJ55:AL55" si="793">IFERROR(VLOOKUP($R55,$A$13:$D$30,-AJ$12,FALSE),"")</f>
        <v>Timah</v>
      </c>
      <c r="AK55" s="163" t="str">
        <f t="shared" si="793"/>
        <v>Bijih </v>
      </c>
      <c r="AL55" s="163" t="str">
        <f t="shared" si="793"/>
        <v>Ton </v>
      </c>
      <c r="AM55" s="156" t="str">
        <f>ADHK!AM55</f>
        <v/>
      </c>
      <c r="AN55" s="156"/>
      <c r="AO55" s="156">
        <f t="shared" si="590"/>
        <v>0</v>
      </c>
      <c r="AP55" s="164"/>
      <c r="AQ55" s="156">
        <f t="shared" si="591"/>
        <v>0</v>
      </c>
      <c r="AR55" s="165"/>
      <c r="AS55" s="165"/>
      <c r="AT55" s="166"/>
      <c r="AU55" s="156">
        <f t="shared" si="592"/>
        <v>0</v>
      </c>
      <c r="AV55" s="164">
        <f t="shared" si="593"/>
        <v>0.4604471269</v>
      </c>
      <c r="AW55" s="167">
        <f t="shared" si="594"/>
        <v>0</v>
      </c>
      <c r="AX55" s="168">
        <f t="shared" si="595"/>
        <v>0</v>
      </c>
      <c r="AY55" s="159"/>
      <c r="AZ55" s="161">
        <f t="shared" si="707"/>
        <v>7</v>
      </c>
      <c r="BA55" s="162" t="str">
        <f t="shared" ref="BA55:BC55" si="794">IFERROR(VLOOKUP($R55,$A$13:$D$30,-BA$12,FALSE),"")</f>
        <v>Timah</v>
      </c>
      <c r="BB55" s="163" t="str">
        <f t="shared" si="794"/>
        <v>Bijih </v>
      </c>
      <c r="BC55" s="163" t="str">
        <f t="shared" si="794"/>
        <v>Ton </v>
      </c>
      <c r="BD55" s="156" t="str">
        <f>ADHK!BD55</f>
        <v/>
      </c>
      <c r="BE55" s="156"/>
      <c r="BF55" s="156">
        <f t="shared" si="597"/>
        <v>0</v>
      </c>
      <c r="BG55" s="164"/>
      <c r="BH55" s="156">
        <f t="shared" si="598"/>
        <v>0</v>
      </c>
      <c r="BI55" s="165"/>
      <c r="BJ55" s="165"/>
      <c r="BK55" s="166"/>
      <c r="BL55" s="156">
        <f t="shared" si="599"/>
        <v>0</v>
      </c>
      <c r="BM55" s="164">
        <f t="shared" si="600"/>
        <v>0.4604471269</v>
      </c>
      <c r="BN55" s="167">
        <f t="shared" si="601"/>
        <v>0</v>
      </c>
      <c r="BO55" s="168">
        <f t="shared" si="602"/>
        <v>0</v>
      </c>
      <c r="BP55" s="159"/>
      <c r="BQ55" s="161">
        <f t="shared" si="709"/>
        <v>7</v>
      </c>
      <c r="BR55" s="162" t="str">
        <f t="shared" ref="BR55:BT55" si="795">IFERROR(VLOOKUP($R55,$A$13:$D$30,-BR$12,FALSE),"")</f>
        <v>Timah</v>
      </c>
      <c r="BS55" s="163" t="str">
        <f t="shared" si="795"/>
        <v>Bijih </v>
      </c>
      <c r="BT55" s="163" t="str">
        <f t="shared" si="795"/>
        <v>Ton </v>
      </c>
      <c r="BU55" s="156" t="str">
        <f>ADHK!BU55</f>
        <v/>
      </c>
      <c r="BV55" s="156"/>
      <c r="BW55" s="156">
        <f t="shared" si="604"/>
        <v>0</v>
      </c>
      <c r="BX55" s="164"/>
      <c r="BY55" s="156">
        <f t="shared" si="605"/>
        <v>0</v>
      </c>
      <c r="BZ55" s="165"/>
      <c r="CA55" s="165"/>
      <c r="CB55" s="166"/>
      <c r="CC55" s="156">
        <f t="shared" si="606"/>
        <v>0</v>
      </c>
      <c r="CD55" s="164">
        <f t="shared" si="607"/>
        <v>0.4604471269</v>
      </c>
      <c r="CE55" s="167">
        <f t="shared" si="608"/>
        <v>0</v>
      </c>
      <c r="CF55" s="168">
        <f t="shared" si="609"/>
        <v>0</v>
      </c>
      <c r="CG55" s="159"/>
      <c r="CH55" s="161">
        <f t="shared" si="711"/>
        <v>7</v>
      </c>
      <c r="CI55" s="162" t="str">
        <f t="shared" ref="CI55:CK55" si="796">IFERROR(VLOOKUP($R55,$A$13:$D$30,-CI$12,FALSE),"")</f>
        <v>Timah</v>
      </c>
      <c r="CJ55" s="163" t="str">
        <f t="shared" si="796"/>
        <v>Bijih </v>
      </c>
      <c r="CK55" s="163" t="str">
        <f t="shared" si="796"/>
        <v>Ton </v>
      </c>
      <c r="CL55" s="156" t="str">
        <f>ADHK!CL55</f>
        <v/>
      </c>
      <c r="CM55" s="156"/>
      <c r="CN55" s="156">
        <f t="shared" si="611"/>
        <v>0</v>
      </c>
      <c r="CO55" s="164"/>
      <c r="CP55" s="156">
        <f t="shared" si="612"/>
        <v>0</v>
      </c>
      <c r="CQ55" s="165"/>
      <c r="CR55" s="165"/>
      <c r="CS55" s="166"/>
      <c r="CT55" s="156">
        <f t="shared" si="613"/>
        <v>0</v>
      </c>
      <c r="CU55" s="164">
        <f t="shared" si="614"/>
        <v>0.4604471269</v>
      </c>
      <c r="CV55" s="167">
        <f t="shared" si="615"/>
        <v>0</v>
      </c>
      <c r="CW55" s="168">
        <f t="shared" si="616"/>
        <v>0</v>
      </c>
      <c r="CX55" s="159"/>
      <c r="CY55" s="161">
        <f t="shared" si="713"/>
        <v>7</v>
      </c>
      <c r="CZ55" s="162" t="str">
        <f t="shared" ref="CZ55:DB55" si="797">IFERROR(VLOOKUP($R55,$A$13:$D$30,-CZ$12,FALSE),"")</f>
        <v>Timah</v>
      </c>
      <c r="DA55" s="163" t="str">
        <f t="shared" si="797"/>
        <v>Bijih </v>
      </c>
      <c r="DB55" s="163" t="str">
        <f t="shared" si="797"/>
        <v>Ton </v>
      </c>
      <c r="DC55" s="156" t="str">
        <f>ADHK!DC55</f>
        <v/>
      </c>
      <c r="DD55" s="156"/>
      <c r="DE55" s="156">
        <f t="shared" si="618"/>
        <v>0</v>
      </c>
      <c r="DF55" s="164"/>
      <c r="DG55" s="156">
        <f t="shared" si="619"/>
        <v>0</v>
      </c>
      <c r="DH55" s="165"/>
      <c r="DI55" s="165"/>
      <c r="DJ55" s="166"/>
      <c r="DK55" s="156">
        <f t="shared" si="620"/>
        <v>0</v>
      </c>
      <c r="DL55" s="164">
        <f t="shared" si="621"/>
        <v>0.4604471269</v>
      </c>
      <c r="DM55" s="167">
        <f t="shared" si="622"/>
        <v>0</v>
      </c>
      <c r="DN55" s="168">
        <f t="shared" si="623"/>
        <v>0</v>
      </c>
      <c r="DO55" s="159"/>
      <c r="DP55" s="161">
        <f t="shared" si="715"/>
        <v>7</v>
      </c>
      <c r="DQ55" s="162" t="str">
        <f t="shared" ref="DQ55:DS55" si="798">IFERROR(VLOOKUP($R55,$A$13:$D$30,-DQ$12,FALSE),"")</f>
        <v>Timah</v>
      </c>
      <c r="DR55" s="163" t="str">
        <f t="shared" si="798"/>
        <v>Bijih </v>
      </c>
      <c r="DS55" s="163" t="str">
        <f t="shared" si="798"/>
        <v>Ton </v>
      </c>
      <c r="DT55" s="156" t="str">
        <f>ADHK!DT55</f>
        <v/>
      </c>
      <c r="DU55" s="156"/>
      <c r="DV55" s="156">
        <f t="shared" si="625"/>
        <v>0</v>
      </c>
      <c r="DW55" s="164"/>
      <c r="DX55" s="156">
        <f t="shared" si="626"/>
        <v>0</v>
      </c>
      <c r="DY55" s="165"/>
      <c r="DZ55" s="165"/>
      <c r="EA55" s="166"/>
      <c r="EB55" s="156">
        <f t="shared" si="627"/>
        <v>0</v>
      </c>
      <c r="EC55" s="164">
        <f t="shared" si="628"/>
        <v>0.4604471269</v>
      </c>
      <c r="ED55" s="167">
        <f t="shared" si="629"/>
        <v>0</v>
      </c>
      <c r="EE55" s="168">
        <f t="shared" si="630"/>
        <v>0</v>
      </c>
      <c r="EF55" s="159"/>
      <c r="EG55" s="161">
        <f t="shared" si="717"/>
        <v>7</v>
      </c>
      <c r="EH55" s="162" t="str">
        <f t="shared" ref="EH55:EJ55" si="799">IFERROR(VLOOKUP($R55,$A$13:$D$30,-EH$12,FALSE),"")</f>
        <v>Timah</v>
      </c>
      <c r="EI55" s="163" t="str">
        <f t="shared" si="799"/>
        <v>Bijih </v>
      </c>
      <c r="EJ55" s="163" t="str">
        <f t="shared" si="799"/>
        <v>Ton </v>
      </c>
      <c r="EK55" s="156" t="str">
        <f>ADHK!EK55</f>
        <v/>
      </c>
      <c r="EL55" s="156"/>
      <c r="EM55" s="156">
        <f t="shared" si="632"/>
        <v>0</v>
      </c>
      <c r="EN55" s="164"/>
      <c r="EO55" s="156">
        <f t="shared" si="633"/>
        <v>0</v>
      </c>
      <c r="EP55" s="165"/>
      <c r="EQ55" s="165"/>
      <c r="ER55" s="166"/>
      <c r="ES55" s="156">
        <f t="shared" si="634"/>
        <v>0</v>
      </c>
      <c r="ET55" s="164">
        <f t="shared" si="635"/>
        <v>0.4604471269</v>
      </c>
      <c r="EU55" s="167">
        <f t="shared" si="636"/>
        <v>0</v>
      </c>
      <c r="EV55" s="168">
        <f t="shared" si="637"/>
        <v>0</v>
      </c>
      <c r="EW55" s="159"/>
      <c r="EX55" s="161">
        <f t="shared" si="719"/>
        <v>7</v>
      </c>
      <c r="EY55" s="162" t="str">
        <f t="shared" ref="EY55:FA55" si="800">IFERROR(VLOOKUP($R55,$A$13:$D$30,-EY$12,FALSE),"")</f>
        <v>Timah</v>
      </c>
      <c r="EZ55" s="163" t="str">
        <f t="shared" si="800"/>
        <v>Bijih </v>
      </c>
      <c r="FA55" s="163" t="str">
        <f t="shared" si="800"/>
        <v>Ton </v>
      </c>
      <c r="FB55" s="156" t="str">
        <f>ADHK!FB55</f>
        <v/>
      </c>
      <c r="FC55" s="156"/>
      <c r="FD55" s="156">
        <f t="shared" si="639"/>
        <v>0</v>
      </c>
      <c r="FE55" s="164"/>
      <c r="FF55" s="156">
        <f t="shared" si="640"/>
        <v>0</v>
      </c>
      <c r="FG55" s="165"/>
      <c r="FH55" s="165"/>
      <c r="FI55" s="166"/>
      <c r="FJ55" s="156">
        <f t="shared" si="641"/>
        <v>0</v>
      </c>
      <c r="FK55" s="164">
        <f t="shared" si="642"/>
        <v>0.4604471269</v>
      </c>
      <c r="FL55" s="167">
        <f t="shared" si="643"/>
        <v>0</v>
      </c>
      <c r="FM55" s="168">
        <f t="shared" si="644"/>
        <v>0</v>
      </c>
      <c r="FN55" s="159"/>
      <c r="FO55" s="161">
        <f t="shared" si="721"/>
        <v>7</v>
      </c>
      <c r="FP55" s="162" t="str">
        <f t="shared" ref="FP55:FR55" si="801">IFERROR(VLOOKUP($R55,$A$13:$D$30,-FP$12,FALSE),"")</f>
        <v>Timah</v>
      </c>
      <c r="FQ55" s="163" t="str">
        <f t="shared" si="801"/>
        <v>Bijih </v>
      </c>
      <c r="FR55" s="163" t="str">
        <f t="shared" si="801"/>
        <v>Ton </v>
      </c>
      <c r="FS55" s="156" t="str">
        <f>ADHK!FS55</f>
        <v/>
      </c>
      <c r="FT55" s="156"/>
      <c r="FU55" s="156">
        <f t="shared" si="646"/>
        <v>0</v>
      </c>
      <c r="FV55" s="164"/>
      <c r="FW55" s="156">
        <f t="shared" si="647"/>
        <v>0</v>
      </c>
      <c r="FX55" s="165"/>
      <c r="FY55" s="165"/>
      <c r="FZ55" s="166"/>
      <c r="GA55" s="156">
        <f t="shared" si="648"/>
        <v>0</v>
      </c>
      <c r="GB55" s="164">
        <f t="shared" si="649"/>
        <v>0.4604471269</v>
      </c>
      <c r="GC55" s="167">
        <f t="shared" si="650"/>
        <v>0</v>
      </c>
      <c r="GD55" s="168">
        <f t="shared" si="651"/>
        <v>0</v>
      </c>
      <c r="GE55" s="159"/>
      <c r="GF55" s="161">
        <f t="shared" si="723"/>
        <v>7</v>
      </c>
      <c r="GG55" s="162" t="str">
        <f t="shared" ref="GG55:GI55" si="802">IFERROR(VLOOKUP($R55,$A$13:$D$30,-GG$12,FALSE),"")</f>
        <v>Timah</v>
      </c>
      <c r="GH55" s="163" t="str">
        <f t="shared" si="802"/>
        <v>Bijih </v>
      </c>
      <c r="GI55" s="163" t="str">
        <f t="shared" si="802"/>
        <v>Ton </v>
      </c>
      <c r="GJ55" s="156" t="str">
        <f>ADHK!GJ55</f>
        <v/>
      </c>
      <c r="GK55" s="156"/>
      <c r="GL55" s="156">
        <f t="shared" si="653"/>
        <v>0</v>
      </c>
      <c r="GM55" s="164"/>
      <c r="GN55" s="156">
        <f t="shared" si="654"/>
        <v>0</v>
      </c>
      <c r="GO55" s="165"/>
      <c r="GP55" s="165"/>
      <c r="GQ55" s="166"/>
      <c r="GR55" s="156">
        <f t="shared" si="655"/>
        <v>0</v>
      </c>
      <c r="GS55" s="164">
        <f t="shared" si="656"/>
        <v>0.4604471269</v>
      </c>
      <c r="GT55" s="167">
        <f t="shared" si="657"/>
        <v>0</v>
      </c>
      <c r="GU55" s="168">
        <f t="shared" si="658"/>
        <v>0</v>
      </c>
      <c r="GV55" s="159"/>
      <c r="GW55" s="161">
        <f t="shared" si="725"/>
        <v>7</v>
      </c>
      <c r="GX55" s="162" t="str">
        <f t="shared" ref="GX55:GZ55" si="803">IFERROR(VLOOKUP($R55,$A$13:$D$30,-GX$12,FALSE),"")</f>
        <v>Timah</v>
      </c>
      <c r="GY55" s="163" t="str">
        <f t="shared" si="803"/>
        <v>Bijih </v>
      </c>
      <c r="GZ55" s="163" t="str">
        <f t="shared" si="803"/>
        <v>Ton </v>
      </c>
      <c r="HA55" s="156" t="str">
        <f>ADHK!HA55</f>
        <v/>
      </c>
      <c r="HB55" s="156"/>
      <c r="HC55" s="156">
        <f t="shared" si="660"/>
        <v>0</v>
      </c>
      <c r="HD55" s="164"/>
      <c r="HE55" s="156">
        <f t="shared" si="661"/>
        <v>0</v>
      </c>
      <c r="HF55" s="165"/>
      <c r="HG55" s="165"/>
      <c r="HH55" s="166"/>
      <c r="HI55" s="156">
        <f t="shared" si="662"/>
        <v>0</v>
      </c>
      <c r="HJ55" s="164">
        <f t="shared" si="663"/>
        <v>0.4604471269</v>
      </c>
      <c r="HK55" s="167">
        <f t="shared" si="664"/>
        <v>0</v>
      </c>
      <c r="HL55" s="168">
        <f t="shared" si="665"/>
        <v>0</v>
      </c>
      <c r="HM55" s="159"/>
      <c r="HN55" s="161">
        <f t="shared" si="727"/>
        <v>7</v>
      </c>
      <c r="HO55" s="162" t="str">
        <f t="shared" ref="HO55:HQ55" si="804">IFERROR(VLOOKUP($R55,$A$13:$D$30,-HO$12,FALSE),"")</f>
        <v>Timah</v>
      </c>
      <c r="HP55" s="163" t="str">
        <f t="shared" si="804"/>
        <v>Bijih </v>
      </c>
      <c r="HQ55" s="163" t="str">
        <f t="shared" si="804"/>
        <v>Ton </v>
      </c>
      <c r="HR55" s="156" t="str">
        <f>ADHK!HR55</f>
        <v/>
      </c>
      <c r="HS55" s="156"/>
      <c r="HT55" s="156">
        <f t="shared" si="667"/>
        <v>0</v>
      </c>
      <c r="HU55" s="164"/>
      <c r="HV55" s="156">
        <f t="shared" si="668"/>
        <v>0</v>
      </c>
      <c r="HW55" s="165"/>
      <c r="HX55" s="165"/>
      <c r="HY55" s="166"/>
      <c r="HZ55" s="156">
        <f t="shared" si="669"/>
        <v>0</v>
      </c>
      <c r="IA55" s="164">
        <f t="shared" si="670"/>
        <v>0.4604471269</v>
      </c>
      <c r="IB55" s="167">
        <f t="shared" si="671"/>
        <v>0</v>
      </c>
      <c r="IC55" s="168">
        <f t="shared" si="672"/>
        <v>0</v>
      </c>
      <c r="ID55" s="159"/>
      <c r="IE55" s="161">
        <f t="shared" si="729"/>
        <v>7</v>
      </c>
      <c r="IF55" s="162" t="str">
        <f t="shared" ref="IF55:IH55" si="805">IFERROR(VLOOKUP($R55,$A$13:$D$30,-IF$12,FALSE),"")</f>
        <v>Timah</v>
      </c>
      <c r="IG55" s="163" t="str">
        <f t="shared" si="805"/>
        <v>Bijih </v>
      </c>
      <c r="IH55" s="163" t="str">
        <f t="shared" si="805"/>
        <v>Ton </v>
      </c>
      <c r="II55" s="156" t="str">
        <f>ADHK!II55</f>
        <v/>
      </c>
      <c r="IJ55" s="156"/>
      <c r="IK55" s="156">
        <f t="shared" si="674"/>
        <v>0</v>
      </c>
      <c r="IL55" s="164"/>
      <c r="IM55" s="156">
        <f t="shared" si="675"/>
        <v>0</v>
      </c>
      <c r="IN55" s="165"/>
      <c r="IO55" s="165"/>
      <c r="IP55" s="166"/>
      <c r="IQ55" s="156">
        <f t="shared" si="676"/>
        <v>0</v>
      </c>
      <c r="IR55" s="164">
        <f t="shared" si="677"/>
        <v>0.4604471269</v>
      </c>
      <c r="IS55" s="167">
        <f t="shared" si="678"/>
        <v>0</v>
      </c>
      <c r="IT55" s="168">
        <f t="shared" si="679"/>
        <v>0</v>
      </c>
      <c r="IU55" s="159"/>
      <c r="IV55" s="161">
        <f t="shared" si="731"/>
        <v>7</v>
      </c>
      <c r="IW55" s="162" t="str">
        <f t="shared" ref="IW55:IY55" si="806">IFERROR(VLOOKUP($R55,$A$13:$D$30,-IW$12,FALSE),"")</f>
        <v>Timah</v>
      </c>
      <c r="IX55" s="163" t="str">
        <f t="shared" si="806"/>
        <v>Bijih </v>
      </c>
      <c r="IY55" s="163" t="str">
        <f t="shared" si="806"/>
        <v>Ton </v>
      </c>
      <c r="IZ55" s="156" t="str">
        <f>ADHK!IZ55</f>
        <v/>
      </c>
      <c r="JA55" s="156"/>
      <c r="JB55" s="156">
        <f t="shared" si="681"/>
        <v>0</v>
      </c>
      <c r="JC55" s="164"/>
      <c r="JD55" s="156">
        <f t="shared" si="682"/>
        <v>0</v>
      </c>
      <c r="JE55" s="165"/>
      <c r="JF55" s="165"/>
      <c r="JG55" s="166"/>
      <c r="JH55" s="156">
        <f t="shared" si="683"/>
        <v>0</v>
      </c>
      <c r="JI55" s="164">
        <f t="shared" si="684"/>
        <v>0.4604471269</v>
      </c>
      <c r="JJ55" s="167">
        <f t="shared" si="685"/>
        <v>0</v>
      </c>
      <c r="JK55" s="168">
        <f t="shared" si="686"/>
        <v>0</v>
      </c>
      <c r="JL55" s="159"/>
      <c r="JM55" s="161">
        <f t="shared" si="733"/>
        <v>7</v>
      </c>
      <c r="JN55" s="162" t="str">
        <f t="shared" ref="JN55:JP55" si="807">IFERROR(VLOOKUP($R55,$A$13:$D$30,-JN$12,FALSE),"")</f>
        <v>Timah</v>
      </c>
      <c r="JO55" s="163" t="str">
        <f t="shared" si="807"/>
        <v>Bijih </v>
      </c>
      <c r="JP55" s="163" t="str">
        <f t="shared" si="807"/>
        <v>Ton </v>
      </c>
      <c r="JQ55" s="156" t="str">
        <f>ADHK!KY55</f>
        <v/>
      </c>
      <c r="JR55" s="156"/>
      <c r="JS55" s="156">
        <f t="shared" si="688"/>
        <v>0</v>
      </c>
      <c r="JT55" s="164"/>
      <c r="JU55" s="156">
        <f t="shared" si="689"/>
        <v>0</v>
      </c>
      <c r="JV55" s="165"/>
      <c r="JW55" s="165"/>
      <c r="JX55" s="166"/>
      <c r="JY55" s="156">
        <f t="shared" si="690"/>
        <v>0</v>
      </c>
      <c r="JZ55" s="164">
        <f t="shared" si="691"/>
        <v>0.4604471269</v>
      </c>
      <c r="KA55" s="167">
        <f t="shared" si="692"/>
        <v>0</v>
      </c>
      <c r="KB55" s="168">
        <f t="shared" si="693"/>
        <v>0</v>
      </c>
      <c r="KC55" s="159"/>
      <c r="KD55" s="161">
        <f t="shared" si="735"/>
        <v>7</v>
      </c>
      <c r="KE55" s="162" t="str">
        <f t="shared" ref="KE55:KG55" si="808">IFERROR(VLOOKUP($R55,$A$13:$D$30,-KE$12,FALSE),"")</f>
        <v>Timah</v>
      </c>
      <c r="KF55" s="163" t="str">
        <f t="shared" si="808"/>
        <v>Bijih </v>
      </c>
      <c r="KG55" s="163" t="str">
        <f t="shared" si="808"/>
        <v>Ton </v>
      </c>
      <c r="KH55" s="156" t="str">
        <f>ADHK!LP55</f>
        <v/>
      </c>
      <c r="KI55" s="156"/>
      <c r="KJ55" s="156">
        <f t="shared" si="695"/>
        <v>0</v>
      </c>
      <c r="KK55" s="164"/>
      <c r="KL55" s="156">
        <f t="shared" si="696"/>
        <v>0</v>
      </c>
      <c r="KM55" s="165"/>
      <c r="KN55" s="165"/>
      <c r="KO55" s="166"/>
      <c r="KP55" s="156">
        <f t="shared" si="697"/>
        <v>0</v>
      </c>
      <c r="KQ55" s="164">
        <f t="shared" si="698"/>
        <v>0.4604471269</v>
      </c>
      <c r="KR55" s="167">
        <f t="shared" si="699"/>
        <v>0</v>
      </c>
      <c r="KS55" s="168">
        <f t="shared" si="700"/>
        <v>0</v>
      </c>
      <c r="KT55" s="159"/>
      <c r="KU55" s="160"/>
    </row>
    <row r="56" ht="15.75" customHeight="1">
      <c r="A56" s="161">
        <f t="shared" si="701"/>
        <v>8</v>
      </c>
      <c r="B56" s="162" t="str">
        <f t="shared" ref="B56:D56" si="809">IFERROR(VLOOKUP($A56,$A$13:$D$30,-B$12,FALSE),"")</f>
        <v>Mangan</v>
      </c>
      <c r="C56" s="163" t="str">
        <f t="shared" si="809"/>
        <v>Bijih </v>
      </c>
      <c r="D56" s="163" t="str">
        <f t="shared" si="809"/>
        <v>Ton </v>
      </c>
      <c r="E56" s="156" t="str">
        <f>ADHK!E56</f>
        <v/>
      </c>
      <c r="F56" s="156" t="str">
        <f>ADHK!F56</f>
        <v/>
      </c>
      <c r="G56" s="156">
        <f t="shared" si="576"/>
        <v>0</v>
      </c>
      <c r="H56" s="164"/>
      <c r="I56" s="156">
        <f t="shared" si="577"/>
        <v>0</v>
      </c>
      <c r="J56" s="165"/>
      <c r="K56" s="165"/>
      <c r="L56" s="166"/>
      <c r="M56" s="156">
        <f t="shared" si="578"/>
        <v>0</v>
      </c>
      <c r="N56" s="164">
        <f t="shared" si="579"/>
        <v>0.4604471269</v>
      </c>
      <c r="O56" s="167">
        <f t="shared" si="580"/>
        <v>0</v>
      </c>
      <c r="P56" s="168">
        <f t="shared" si="581"/>
        <v>0</v>
      </c>
      <c r="Q56" s="159"/>
      <c r="R56" s="161">
        <f t="shared" si="703"/>
        <v>8</v>
      </c>
      <c r="S56" s="162" t="str">
        <f t="shared" ref="S56:U56" si="810">IFERROR(VLOOKUP($R56,$A$13:$D$30,-S$12,FALSE),"")</f>
        <v>Mangan</v>
      </c>
      <c r="T56" s="163" t="str">
        <f t="shared" si="810"/>
        <v>Bijih </v>
      </c>
      <c r="U56" s="163" t="str">
        <f t="shared" si="810"/>
        <v>Ton </v>
      </c>
      <c r="V56" s="156" t="str">
        <f>ADHK!V56</f>
        <v/>
      </c>
      <c r="W56" s="156"/>
      <c r="X56" s="156">
        <f t="shared" si="583"/>
        <v>0</v>
      </c>
      <c r="Y56" s="164"/>
      <c r="Z56" s="156">
        <f t="shared" si="584"/>
        <v>0</v>
      </c>
      <c r="AA56" s="165"/>
      <c r="AB56" s="165"/>
      <c r="AC56" s="166"/>
      <c r="AD56" s="156">
        <f t="shared" si="585"/>
        <v>0</v>
      </c>
      <c r="AE56" s="164">
        <f t="shared" si="586"/>
        <v>0.4604471269</v>
      </c>
      <c r="AF56" s="167">
        <f t="shared" si="587"/>
        <v>0</v>
      </c>
      <c r="AG56" s="168">
        <f t="shared" si="588"/>
        <v>0</v>
      </c>
      <c r="AH56" s="159"/>
      <c r="AI56" s="161">
        <f t="shared" si="705"/>
        <v>8</v>
      </c>
      <c r="AJ56" s="162" t="str">
        <f t="shared" ref="AJ56:AL56" si="811">IFERROR(VLOOKUP($R56,$A$13:$D$30,-AJ$12,FALSE),"")</f>
        <v>Mangan</v>
      </c>
      <c r="AK56" s="163" t="str">
        <f t="shared" si="811"/>
        <v>Bijih </v>
      </c>
      <c r="AL56" s="163" t="str">
        <f t="shared" si="811"/>
        <v>Ton </v>
      </c>
      <c r="AM56" s="156" t="str">
        <f>ADHK!AM56</f>
        <v/>
      </c>
      <c r="AN56" s="156"/>
      <c r="AO56" s="156">
        <f t="shared" si="590"/>
        <v>0</v>
      </c>
      <c r="AP56" s="164"/>
      <c r="AQ56" s="156">
        <f t="shared" si="591"/>
        <v>0</v>
      </c>
      <c r="AR56" s="165"/>
      <c r="AS56" s="165"/>
      <c r="AT56" s="166"/>
      <c r="AU56" s="156">
        <f t="shared" si="592"/>
        <v>0</v>
      </c>
      <c r="AV56" s="164">
        <f t="shared" si="593"/>
        <v>0.4604471269</v>
      </c>
      <c r="AW56" s="167">
        <f t="shared" si="594"/>
        <v>0</v>
      </c>
      <c r="AX56" s="168">
        <f t="shared" si="595"/>
        <v>0</v>
      </c>
      <c r="AY56" s="159"/>
      <c r="AZ56" s="161">
        <f t="shared" si="707"/>
        <v>8</v>
      </c>
      <c r="BA56" s="162" t="str">
        <f t="shared" ref="BA56:BC56" si="812">IFERROR(VLOOKUP($R56,$A$13:$D$30,-BA$12,FALSE),"")</f>
        <v>Mangan</v>
      </c>
      <c r="BB56" s="163" t="str">
        <f t="shared" si="812"/>
        <v>Bijih </v>
      </c>
      <c r="BC56" s="163" t="str">
        <f t="shared" si="812"/>
        <v>Ton </v>
      </c>
      <c r="BD56" s="156" t="str">
        <f>ADHK!BD56</f>
        <v/>
      </c>
      <c r="BE56" s="156"/>
      <c r="BF56" s="156">
        <f t="shared" si="597"/>
        <v>0</v>
      </c>
      <c r="BG56" s="164"/>
      <c r="BH56" s="156">
        <f t="shared" si="598"/>
        <v>0</v>
      </c>
      <c r="BI56" s="165"/>
      <c r="BJ56" s="165"/>
      <c r="BK56" s="166"/>
      <c r="BL56" s="156">
        <f t="shared" si="599"/>
        <v>0</v>
      </c>
      <c r="BM56" s="164">
        <f t="shared" si="600"/>
        <v>0.4604471269</v>
      </c>
      <c r="BN56" s="167">
        <f t="shared" si="601"/>
        <v>0</v>
      </c>
      <c r="BO56" s="168">
        <f t="shared" si="602"/>
        <v>0</v>
      </c>
      <c r="BP56" s="159"/>
      <c r="BQ56" s="161">
        <f t="shared" si="709"/>
        <v>8</v>
      </c>
      <c r="BR56" s="162" t="str">
        <f t="shared" ref="BR56:BT56" si="813">IFERROR(VLOOKUP($R56,$A$13:$D$30,-BR$12,FALSE),"")</f>
        <v>Mangan</v>
      </c>
      <c r="BS56" s="163" t="str">
        <f t="shared" si="813"/>
        <v>Bijih </v>
      </c>
      <c r="BT56" s="163" t="str">
        <f t="shared" si="813"/>
        <v>Ton </v>
      </c>
      <c r="BU56" s="156" t="str">
        <f>ADHK!BU56</f>
        <v/>
      </c>
      <c r="BV56" s="156"/>
      <c r="BW56" s="156">
        <f t="shared" si="604"/>
        <v>0</v>
      </c>
      <c r="BX56" s="164"/>
      <c r="BY56" s="156">
        <f t="shared" si="605"/>
        <v>0</v>
      </c>
      <c r="BZ56" s="165"/>
      <c r="CA56" s="165"/>
      <c r="CB56" s="166"/>
      <c r="CC56" s="156">
        <f t="shared" si="606"/>
        <v>0</v>
      </c>
      <c r="CD56" s="164">
        <f t="shared" si="607"/>
        <v>0.4604471269</v>
      </c>
      <c r="CE56" s="167">
        <f t="shared" si="608"/>
        <v>0</v>
      </c>
      <c r="CF56" s="168">
        <f t="shared" si="609"/>
        <v>0</v>
      </c>
      <c r="CG56" s="159"/>
      <c r="CH56" s="161">
        <f t="shared" si="711"/>
        <v>8</v>
      </c>
      <c r="CI56" s="162" t="str">
        <f t="shared" ref="CI56:CK56" si="814">IFERROR(VLOOKUP($R56,$A$13:$D$30,-CI$12,FALSE),"")</f>
        <v>Mangan</v>
      </c>
      <c r="CJ56" s="163" t="str">
        <f t="shared" si="814"/>
        <v>Bijih </v>
      </c>
      <c r="CK56" s="163" t="str">
        <f t="shared" si="814"/>
        <v>Ton </v>
      </c>
      <c r="CL56" s="156" t="str">
        <f>ADHK!CL56</f>
        <v/>
      </c>
      <c r="CM56" s="156"/>
      <c r="CN56" s="156">
        <f t="shared" si="611"/>
        <v>0</v>
      </c>
      <c r="CO56" s="164"/>
      <c r="CP56" s="156">
        <f t="shared" si="612"/>
        <v>0</v>
      </c>
      <c r="CQ56" s="165"/>
      <c r="CR56" s="165"/>
      <c r="CS56" s="166"/>
      <c r="CT56" s="156">
        <f t="shared" si="613"/>
        <v>0</v>
      </c>
      <c r="CU56" s="164">
        <f t="shared" si="614"/>
        <v>0.4604471269</v>
      </c>
      <c r="CV56" s="167">
        <f t="shared" si="615"/>
        <v>0</v>
      </c>
      <c r="CW56" s="168">
        <f t="shared" si="616"/>
        <v>0</v>
      </c>
      <c r="CX56" s="159"/>
      <c r="CY56" s="161">
        <f t="shared" si="713"/>
        <v>8</v>
      </c>
      <c r="CZ56" s="162" t="str">
        <f t="shared" ref="CZ56:DB56" si="815">IFERROR(VLOOKUP($R56,$A$13:$D$30,-CZ$12,FALSE),"")</f>
        <v>Mangan</v>
      </c>
      <c r="DA56" s="163" t="str">
        <f t="shared" si="815"/>
        <v>Bijih </v>
      </c>
      <c r="DB56" s="163" t="str">
        <f t="shared" si="815"/>
        <v>Ton </v>
      </c>
      <c r="DC56" s="156" t="str">
        <f>ADHK!DC56</f>
        <v/>
      </c>
      <c r="DD56" s="156"/>
      <c r="DE56" s="156">
        <f t="shared" si="618"/>
        <v>0</v>
      </c>
      <c r="DF56" s="164"/>
      <c r="DG56" s="156">
        <f t="shared" si="619"/>
        <v>0</v>
      </c>
      <c r="DH56" s="165"/>
      <c r="DI56" s="165"/>
      <c r="DJ56" s="166"/>
      <c r="DK56" s="156">
        <f t="shared" si="620"/>
        <v>0</v>
      </c>
      <c r="DL56" s="164">
        <f t="shared" si="621"/>
        <v>0.4604471269</v>
      </c>
      <c r="DM56" s="167">
        <f t="shared" si="622"/>
        <v>0</v>
      </c>
      <c r="DN56" s="168">
        <f t="shared" si="623"/>
        <v>0</v>
      </c>
      <c r="DO56" s="159"/>
      <c r="DP56" s="161">
        <f t="shared" si="715"/>
        <v>8</v>
      </c>
      <c r="DQ56" s="162" t="str">
        <f t="shared" ref="DQ56:DS56" si="816">IFERROR(VLOOKUP($R56,$A$13:$D$30,-DQ$12,FALSE),"")</f>
        <v>Mangan</v>
      </c>
      <c r="DR56" s="163" t="str">
        <f t="shared" si="816"/>
        <v>Bijih </v>
      </c>
      <c r="DS56" s="163" t="str">
        <f t="shared" si="816"/>
        <v>Ton </v>
      </c>
      <c r="DT56" s="156" t="str">
        <f>ADHK!DT56</f>
        <v/>
      </c>
      <c r="DU56" s="156"/>
      <c r="DV56" s="156">
        <f t="shared" si="625"/>
        <v>0</v>
      </c>
      <c r="DW56" s="164"/>
      <c r="DX56" s="156">
        <f t="shared" si="626"/>
        <v>0</v>
      </c>
      <c r="DY56" s="165"/>
      <c r="DZ56" s="165"/>
      <c r="EA56" s="166"/>
      <c r="EB56" s="156">
        <f t="shared" si="627"/>
        <v>0</v>
      </c>
      <c r="EC56" s="164">
        <f t="shared" si="628"/>
        <v>0.4604471269</v>
      </c>
      <c r="ED56" s="167">
        <f t="shared" si="629"/>
        <v>0</v>
      </c>
      <c r="EE56" s="168">
        <f t="shared" si="630"/>
        <v>0</v>
      </c>
      <c r="EF56" s="159"/>
      <c r="EG56" s="161">
        <f t="shared" si="717"/>
        <v>8</v>
      </c>
      <c r="EH56" s="162" t="str">
        <f t="shared" ref="EH56:EJ56" si="817">IFERROR(VLOOKUP($R56,$A$13:$D$30,-EH$12,FALSE),"")</f>
        <v>Mangan</v>
      </c>
      <c r="EI56" s="163" t="str">
        <f t="shared" si="817"/>
        <v>Bijih </v>
      </c>
      <c r="EJ56" s="163" t="str">
        <f t="shared" si="817"/>
        <v>Ton </v>
      </c>
      <c r="EK56" s="156" t="str">
        <f>ADHK!EK56</f>
        <v/>
      </c>
      <c r="EL56" s="156"/>
      <c r="EM56" s="156">
        <f t="shared" si="632"/>
        <v>0</v>
      </c>
      <c r="EN56" s="164"/>
      <c r="EO56" s="156">
        <f t="shared" si="633"/>
        <v>0</v>
      </c>
      <c r="EP56" s="165"/>
      <c r="EQ56" s="165"/>
      <c r="ER56" s="166"/>
      <c r="ES56" s="156">
        <f t="shared" si="634"/>
        <v>0</v>
      </c>
      <c r="ET56" s="164">
        <f t="shared" si="635"/>
        <v>0.4604471269</v>
      </c>
      <c r="EU56" s="167">
        <f t="shared" si="636"/>
        <v>0</v>
      </c>
      <c r="EV56" s="168">
        <f t="shared" si="637"/>
        <v>0</v>
      </c>
      <c r="EW56" s="159"/>
      <c r="EX56" s="161">
        <f t="shared" si="719"/>
        <v>8</v>
      </c>
      <c r="EY56" s="162" t="str">
        <f t="shared" ref="EY56:FA56" si="818">IFERROR(VLOOKUP($R56,$A$13:$D$30,-EY$12,FALSE),"")</f>
        <v>Mangan</v>
      </c>
      <c r="EZ56" s="163" t="str">
        <f t="shared" si="818"/>
        <v>Bijih </v>
      </c>
      <c r="FA56" s="163" t="str">
        <f t="shared" si="818"/>
        <v>Ton </v>
      </c>
      <c r="FB56" s="156" t="str">
        <f>ADHK!FB56</f>
        <v/>
      </c>
      <c r="FC56" s="156"/>
      <c r="FD56" s="156">
        <f t="shared" si="639"/>
        <v>0</v>
      </c>
      <c r="FE56" s="164"/>
      <c r="FF56" s="156">
        <f t="shared" si="640"/>
        <v>0</v>
      </c>
      <c r="FG56" s="165"/>
      <c r="FH56" s="165"/>
      <c r="FI56" s="166"/>
      <c r="FJ56" s="156">
        <f t="shared" si="641"/>
        <v>0</v>
      </c>
      <c r="FK56" s="164">
        <f t="shared" si="642"/>
        <v>0.4604471269</v>
      </c>
      <c r="FL56" s="167">
        <f t="shared" si="643"/>
        <v>0</v>
      </c>
      <c r="FM56" s="168">
        <f t="shared" si="644"/>
        <v>0</v>
      </c>
      <c r="FN56" s="159"/>
      <c r="FO56" s="161">
        <f t="shared" si="721"/>
        <v>8</v>
      </c>
      <c r="FP56" s="162" t="str">
        <f t="shared" ref="FP56:FR56" si="819">IFERROR(VLOOKUP($R56,$A$13:$D$30,-FP$12,FALSE),"")</f>
        <v>Mangan</v>
      </c>
      <c r="FQ56" s="163" t="str">
        <f t="shared" si="819"/>
        <v>Bijih </v>
      </c>
      <c r="FR56" s="163" t="str">
        <f t="shared" si="819"/>
        <v>Ton </v>
      </c>
      <c r="FS56" s="156" t="str">
        <f>ADHK!FS56</f>
        <v/>
      </c>
      <c r="FT56" s="156"/>
      <c r="FU56" s="156">
        <f t="shared" si="646"/>
        <v>0</v>
      </c>
      <c r="FV56" s="164"/>
      <c r="FW56" s="156">
        <f t="shared" si="647"/>
        <v>0</v>
      </c>
      <c r="FX56" s="165"/>
      <c r="FY56" s="165"/>
      <c r="FZ56" s="166"/>
      <c r="GA56" s="156">
        <f t="shared" si="648"/>
        <v>0</v>
      </c>
      <c r="GB56" s="164">
        <f t="shared" si="649"/>
        <v>0.4604471269</v>
      </c>
      <c r="GC56" s="167">
        <f t="shared" si="650"/>
        <v>0</v>
      </c>
      <c r="GD56" s="168">
        <f t="shared" si="651"/>
        <v>0</v>
      </c>
      <c r="GE56" s="159"/>
      <c r="GF56" s="161">
        <f t="shared" si="723"/>
        <v>8</v>
      </c>
      <c r="GG56" s="162" t="str">
        <f t="shared" ref="GG56:GI56" si="820">IFERROR(VLOOKUP($R56,$A$13:$D$30,-GG$12,FALSE),"")</f>
        <v>Mangan</v>
      </c>
      <c r="GH56" s="163" t="str">
        <f t="shared" si="820"/>
        <v>Bijih </v>
      </c>
      <c r="GI56" s="163" t="str">
        <f t="shared" si="820"/>
        <v>Ton </v>
      </c>
      <c r="GJ56" s="156" t="str">
        <f>ADHK!GJ56</f>
        <v/>
      </c>
      <c r="GK56" s="156"/>
      <c r="GL56" s="156">
        <f t="shared" si="653"/>
        <v>0</v>
      </c>
      <c r="GM56" s="164"/>
      <c r="GN56" s="156">
        <f t="shared" si="654"/>
        <v>0</v>
      </c>
      <c r="GO56" s="165"/>
      <c r="GP56" s="165"/>
      <c r="GQ56" s="166"/>
      <c r="GR56" s="156">
        <f t="shared" si="655"/>
        <v>0</v>
      </c>
      <c r="GS56" s="164">
        <f t="shared" si="656"/>
        <v>0.4604471269</v>
      </c>
      <c r="GT56" s="167">
        <f t="shared" si="657"/>
        <v>0</v>
      </c>
      <c r="GU56" s="168">
        <f t="shared" si="658"/>
        <v>0</v>
      </c>
      <c r="GV56" s="159"/>
      <c r="GW56" s="161">
        <f t="shared" si="725"/>
        <v>8</v>
      </c>
      <c r="GX56" s="162" t="str">
        <f t="shared" ref="GX56:GZ56" si="821">IFERROR(VLOOKUP($R56,$A$13:$D$30,-GX$12,FALSE),"")</f>
        <v>Mangan</v>
      </c>
      <c r="GY56" s="163" t="str">
        <f t="shared" si="821"/>
        <v>Bijih </v>
      </c>
      <c r="GZ56" s="163" t="str">
        <f t="shared" si="821"/>
        <v>Ton </v>
      </c>
      <c r="HA56" s="156" t="str">
        <f>ADHK!HA56</f>
        <v/>
      </c>
      <c r="HB56" s="156"/>
      <c r="HC56" s="156">
        <f t="shared" si="660"/>
        <v>0</v>
      </c>
      <c r="HD56" s="164"/>
      <c r="HE56" s="156">
        <f t="shared" si="661"/>
        <v>0</v>
      </c>
      <c r="HF56" s="165"/>
      <c r="HG56" s="165"/>
      <c r="HH56" s="166"/>
      <c r="HI56" s="156">
        <f t="shared" si="662"/>
        <v>0</v>
      </c>
      <c r="HJ56" s="164">
        <f t="shared" si="663"/>
        <v>0.4604471269</v>
      </c>
      <c r="HK56" s="167">
        <f t="shared" si="664"/>
        <v>0</v>
      </c>
      <c r="HL56" s="168">
        <f t="shared" si="665"/>
        <v>0</v>
      </c>
      <c r="HM56" s="159"/>
      <c r="HN56" s="161">
        <f t="shared" si="727"/>
        <v>8</v>
      </c>
      <c r="HO56" s="162" t="str">
        <f t="shared" ref="HO56:HQ56" si="822">IFERROR(VLOOKUP($R56,$A$13:$D$30,-HO$12,FALSE),"")</f>
        <v>Mangan</v>
      </c>
      <c r="HP56" s="163" t="str">
        <f t="shared" si="822"/>
        <v>Bijih </v>
      </c>
      <c r="HQ56" s="163" t="str">
        <f t="shared" si="822"/>
        <v>Ton </v>
      </c>
      <c r="HR56" s="156" t="str">
        <f>ADHK!HR56</f>
        <v/>
      </c>
      <c r="HS56" s="156"/>
      <c r="HT56" s="156">
        <f t="shared" si="667"/>
        <v>0</v>
      </c>
      <c r="HU56" s="164"/>
      <c r="HV56" s="156">
        <f t="shared" si="668"/>
        <v>0</v>
      </c>
      <c r="HW56" s="165"/>
      <c r="HX56" s="165"/>
      <c r="HY56" s="166"/>
      <c r="HZ56" s="156">
        <f t="shared" si="669"/>
        <v>0</v>
      </c>
      <c r="IA56" s="164">
        <f t="shared" si="670"/>
        <v>0.4604471269</v>
      </c>
      <c r="IB56" s="167">
        <f t="shared" si="671"/>
        <v>0</v>
      </c>
      <c r="IC56" s="168">
        <f t="shared" si="672"/>
        <v>0</v>
      </c>
      <c r="ID56" s="159"/>
      <c r="IE56" s="161">
        <f t="shared" si="729"/>
        <v>8</v>
      </c>
      <c r="IF56" s="162" t="str">
        <f t="shared" ref="IF56:IH56" si="823">IFERROR(VLOOKUP($R56,$A$13:$D$30,-IF$12,FALSE),"")</f>
        <v>Mangan</v>
      </c>
      <c r="IG56" s="163" t="str">
        <f t="shared" si="823"/>
        <v>Bijih </v>
      </c>
      <c r="IH56" s="163" t="str">
        <f t="shared" si="823"/>
        <v>Ton </v>
      </c>
      <c r="II56" s="156" t="str">
        <f>ADHK!II56</f>
        <v/>
      </c>
      <c r="IJ56" s="156"/>
      <c r="IK56" s="156">
        <f t="shared" si="674"/>
        <v>0</v>
      </c>
      <c r="IL56" s="164"/>
      <c r="IM56" s="156">
        <f t="shared" si="675"/>
        <v>0</v>
      </c>
      <c r="IN56" s="165"/>
      <c r="IO56" s="165"/>
      <c r="IP56" s="166"/>
      <c r="IQ56" s="156">
        <f t="shared" si="676"/>
        <v>0</v>
      </c>
      <c r="IR56" s="164">
        <f t="shared" si="677"/>
        <v>0.4604471269</v>
      </c>
      <c r="IS56" s="167">
        <f t="shared" si="678"/>
        <v>0</v>
      </c>
      <c r="IT56" s="168">
        <f t="shared" si="679"/>
        <v>0</v>
      </c>
      <c r="IU56" s="159"/>
      <c r="IV56" s="161">
        <f t="shared" si="731"/>
        <v>8</v>
      </c>
      <c r="IW56" s="162" t="str">
        <f t="shared" ref="IW56:IY56" si="824">IFERROR(VLOOKUP($R56,$A$13:$D$30,-IW$12,FALSE),"")</f>
        <v>Mangan</v>
      </c>
      <c r="IX56" s="163" t="str">
        <f t="shared" si="824"/>
        <v>Bijih </v>
      </c>
      <c r="IY56" s="163" t="str">
        <f t="shared" si="824"/>
        <v>Ton </v>
      </c>
      <c r="IZ56" s="156" t="str">
        <f>ADHK!IZ56</f>
        <v/>
      </c>
      <c r="JA56" s="156"/>
      <c r="JB56" s="156">
        <f t="shared" si="681"/>
        <v>0</v>
      </c>
      <c r="JC56" s="164"/>
      <c r="JD56" s="156">
        <f t="shared" si="682"/>
        <v>0</v>
      </c>
      <c r="JE56" s="165"/>
      <c r="JF56" s="165"/>
      <c r="JG56" s="166"/>
      <c r="JH56" s="156">
        <f t="shared" si="683"/>
        <v>0</v>
      </c>
      <c r="JI56" s="164">
        <f t="shared" si="684"/>
        <v>0.4604471269</v>
      </c>
      <c r="JJ56" s="167">
        <f t="shared" si="685"/>
        <v>0</v>
      </c>
      <c r="JK56" s="168">
        <f t="shared" si="686"/>
        <v>0</v>
      </c>
      <c r="JL56" s="159"/>
      <c r="JM56" s="161">
        <f t="shared" si="733"/>
        <v>8</v>
      </c>
      <c r="JN56" s="162" t="str">
        <f t="shared" ref="JN56:JP56" si="825">IFERROR(VLOOKUP($R56,$A$13:$D$30,-JN$12,FALSE),"")</f>
        <v>Mangan</v>
      </c>
      <c r="JO56" s="163" t="str">
        <f t="shared" si="825"/>
        <v>Bijih </v>
      </c>
      <c r="JP56" s="163" t="str">
        <f t="shared" si="825"/>
        <v>Ton </v>
      </c>
      <c r="JQ56" s="156" t="str">
        <f>ADHK!KY56</f>
        <v/>
      </c>
      <c r="JR56" s="156"/>
      <c r="JS56" s="156">
        <f t="shared" si="688"/>
        <v>0</v>
      </c>
      <c r="JT56" s="164"/>
      <c r="JU56" s="156">
        <f t="shared" si="689"/>
        <v>0</v>
      </c>
      <c r="JV56" s="165"/>
      <c r="JW56" s="165"/>
      <c r="JX56" s="166"/>
      <c r="JY56" s="156">
        <f t="shared" si="690"/>
        <v>0</v>
      </c>
      <c r="JZ56" s="164">
        <f t="shared" si="691"/>
        <v>0.4604471269</v>
      </c>
      <c r="KA56" s="167">
        <f t="shared" si="692"/>
        <v>0</v>
      </c>
      <c r="KB56" s="168">
        <f t="shared" si="693"/>
        <v>0</v>
      </c>
      <c r="KC56" s="159"/>
      <c r="KD56" s="161">
        <f t="shared" si="735"/>
        <v>8</v>
      </c>
      <c r="KE56" s="162" t="str">
        <f t="shared" ref="KE56:KG56" si="826">IFERROR(VLOOKUP($R56,$A$13:$D$30,-KE$12,FALSE),"")</f>
        <v>Mangan</v>
      </c>
      <c r="KF56" s="163" t="str">
        <f t="shared" si="826"/>
        <v>Bijih </v>
      </c>
      <c r="KG56" s="163" t="str">
        <f t="shared" si="826"/>
        <v>Ton </v>
      </c>
      <c r="KH56" s="156" t="str">
        <f>ADHK!LP56</f>
        <v/>
      </c>
      <c r="KI56" s="156"/>
      <c r="KJ56" s="156">
        <f t="shared" si="695"/>
        <v>0</v>
      </c>
      <c r="KK56" s="164"/>
      <c r="KL56" s="156">
        <f t="shared" si="696"/>
        <v>0</v>
      </c>
      <c r="KM56" s="165"/>
      <c r="KN56" s="165"/>
      <c r="KO56" s="166"/>
      <c r="KP56" s="156">
        <f t="shared" si="697"/>
        <v>0</v>
      </c>
      <c r="KQ56" s="164">
        <f t="shared" si="698"/>
        <v>0.4604471269</v>
      </c>
      <c r="KR56" s="167">
        <f t="shared" si="699"/>
        <v>0</v>
      </c>
      <c r="KS56" s="168">
        <f t="shared" si="700"/>
        <v>0</v>
      </c>
      <c r="KT56" s="159"/>
      <c r="KU56" s="160"/>
    </row>
    <row r="57" ht="15.75" customHeight="1">
      <c r="A57" s="161">
        <f t="shared" si="701"/>
        <v>9</v>
      </c>
      <c r="B57" s="162" t="str">
        <f t="shared" ref="B57:D57" si="827">IFERROR(VLOOKUP($A57,$A$13:$D$30,-B$12,FALSE),"")</f>
        <v>Lainnya 2.3 (1) ……..</v>
      </c>
      <c r="C57" s="163" t="str">
        <f t="shared" si="827"/>
        <v>Bijih </v>
      </c>
      <c r="D57" s="163" t="str">
        <f t="shared" si="827"/>
        <v>Ton </v>
      </c>
      <c r="E57" s="156" t="str">
        <f>ADHK!E57</f>
        <v/>
      </c>
      <c r="F57" s="156" t="str">
        <f>ADHK!F57</f>
        <v/>
      </c>
      <c r="G57" s="156">
        <f t="shared" si="576"/>
        <v>0</v>
      </c>
      <c r="H57" s="164"/>
      <c r="I57" s="156">
        <f t="shared" si="577"/>
        <v>0</v>
      </c>
      <c r="J57" s="165"/>
      <c r="K57" s="165"/>
      <c r="L57" s="166"/>
      <c r="M57" s="156">
        <f t="shared" si="578"/>
        <v>0</v>
      </c>
      <c r="N57" s="164">
        <f t="shared" si="579"/>
        <v>0.4604471269</v>
      </c>
      <c r="O57" s="167">
        <f t="shared" si="580"/>
        <v>0</v>
      </c>
      <c r="P57" s="168">
        <f t="shared" si="581"/>
        <v>0</v>
      </c>
      <c r="Q57" s="159"/>
      <c r="R57" s="161">
        <f t="shared" si="703"/>
        <v>9</v>
      </c>
      <c r="S57" s="162" t="str">
        <f t="shared" ref="S57:U57" si="828">IFERROR(VLOOKUP($R57,$A$13:$D$30,-S$12,FALSE),"")</f>
        <v>Lainnya 2.3 (1) ……..</v>
      </c>
      <c r="T57" s="163" t="str">
        <f t="shared" si="828"/>
        <v>Bijih </v>
      </c>
      <c r="U57" s="163" t="str">
        <f t="shared" si="828"/>
        <v>Ton </v>
      </c>
      <c r="V57" s="156" t="str">
        <f>ADHK!V57</f>
        <v/>
      </c>
      <c r="W57" s="156"/>
      <c r="X57" s="156">
        <f t="shared" si="583"/>
        <v>0</v>
      </c>
      <c r="Y57" s="164"/>
      <c r="Z57" s="156">
        <f t="shared" si="584"/>
        <v>0</v>
      </c>
      <c r="AA57" s="165"/>
      <c r="AB57" s="165"/>
      <c r="AC57" s="166"/>
      <c r="AD57" s="156">
        <f t="shared" si="585"/>
        <v>0</v>
      </c>
      <c r="AE57" s="164">
        <f t="shared" si="586"/>
        <v>0.4604471269</v>
      </c>
      <c r="AF57" s="167">
        <f t="shared" si="587"/>
        <v>0</v>
      </c>
      <c r="AG57" s="168">
        <f t="shared" si="588"/>
        <v>0</v>
      </c>
      <c r="AH57" s="159"/>
      <c r="AI57" s="161">
        <f t="shared" si="705"/>
        <v>9</v>
      </c>
      <c r="AJ57" s="162" t="str">
        <f t="shared" ref="AJ57:AL57" si="829">IFERROR(VLOOKUP($R57,$A$13:$D$30,-AJ$12,FALSE),"")</f>
        <v>Lainnya 2.3 (1) ……..</v>
      </c>
      <c r="AK57" s="163" t="str">
        <f t="shared" si="829"/>
        <v>Bijih </v>
      </c>
      <c r="AL57" s="163" t="str">
        <f t="shared" si="829"/>
        <v>Ton </v>
      </c>
      <c r="AM57" s="156" t="str">
        <f>ADHK!AM57</f>
        <v/>
      </c>
      <c r="AN57" s="156"/>
      <c r="AO57" s="156">
        <f t="shared" si="590"/>
        <v>0</v>
      </c>
      <c r="AP57" s="164"/>
      <c r="AQ57" s="156">
        <f t="shared" si="591"/>
        <v>0</v>
      </c>
      <c r="AR57" s="165"/>
      <c r="AS57" s="165"/>
      <c r="AT57" s="166"/>
      <c r="AU57" s="156">
        <f t="shared" si="592"/>
        <v>0</v>
      </c>
      <c r="AV57" s="164">
        <f t="shared" si="593"/>
        <v>0.4604471269</v>
      </c>
      <c r="AW57" s="167">
        <f t="shared" si="594"/>
        <v>0</v>
      </c>
      <c r="AX57" s="168">
        <f t="shared" si="595"/>
        <v>0</v>
      </c>
      <c r="AY57" s="159"/>
      <c r="AZ57" s="161">
        <f t="shared" si="707"/>
        <v>9</v>
      </c>
      <c r="BA57" s="162" t="str">
        <f t="shared" ref="BA57:BC57" si="830">IFERROR(VLOOKUP($R57,$A$13:$D$30,-BA$12,FALSE),"")</f>
        <v>Lainnya 2.3 (1) ……..</v>
      </c>
      <c r="BB57" s="163" t="str">
        <f t="shared" si="830"/>
        <v>Bijih </v>
      </c>
      <c r="BC57" s="163" t="str">
        <f t="shared" si="830"/>
        <v>Ton </v>
      </c>
      <c r="BD57" s="156" t="str">
        <f>ADHK!BD57</f>
        <v/>
      </c>
      <c r="BE57" s="156"/>
      <c r="BF57" s="156">
        <f t="shared" si="597"/>
        <v>0</v>
      </c>
      <c r="BG57" s="164"/>
      <c r="BH57" s="156">
        <f t="shared" si="598"/>
        <v>0</v>
      </c>
      <c r="BI57" s="165"/>
      <c r="BJ57" s="165"/>
      <c r="BK57" s="166"/>
      <c r="BL57" s="156">
        <f t="shared" si="599"/>
        <v>0</v>
      </c>
      <c r="BM57" s="164">
        <f t="shared" si="600"/>
        <v>0.4604471269</v>
      </c>
      <c r="BN57" s="167">
        <f t="shared" si="601"/>
        <v>0</v>
      </c>
      <c r="BO57" s="168">
        <f t="shared" si="602"/>
        <v>0</v>
      </c>
      <c r="BP57" s="159"/>
      <c r="BQ57" s="161">
        <f t="shared" si="709"/>
        <v>9</v>
      </c>
      <c r="BR57" s="162" t="str">
        <f t="shared" ref="BR57:BT57" si="831">IFERROR(VLOOKUP($R57,$A$13:$D$30,-BR$12,FALSE),"")</f>
        <v>Lainnya 2.3 (1) ……..</v>
      </c>
      <c r="BS57" s="163" t="str">
        <f t="shared" si="831"/>
        <v>Bijih </v>
      </c>
      <c r="BT57" s="163" t="str">
        <f t="shared" si="831"/>
        <v>Ton </v>
      </c>
      <c r="BU57" s="156" t="str">
        <f>ADHK!BU57</f>
        <v/>
      </c>
      <c r="BV57" s="156"/>
      <c r="BW57" s="156">
        <f t="shared" si="604"/>
        <v>0</v>
      </c>
      <c r="BX57" s="164"/>
      <c r="BY57" s="156">
        <f t="shared" si="605"/>
        <v>0</v>
      </c>
      <c r="BZ57" s="165"/>
      <c r="CA57" s="165"/>
      <c r="CB57" s="166"/>
      <c r="CC57" s="156">
        <f t="shared" si="606"/>
        <v>0</v>
      </c>
      <c r="CD57" s="164">
        <f t="shared" si="607"/>
        <v>0.4604471269</v>
      </c>
      <c r="CE57" s="167">
        <f t="shared" si="608"/>
        <v>0</v>
      </c>
      <c r="CF57" s="168">
        <f t="shared" si="609"/>
        <v>0</v>
      </c>
      <c r="CG57" s="159"/>
      <c r="CH57" s="161">
        <f t="shared" si="711"/>
        <v>9</v>
      </c>
      <c r="CI57" s="162" t="str">
        <f t="shared" ref="CI57:CK57" si="832">IFERROR(VLOOKUP($R57,$A$13:$D$30,-CI$12,FALSE),"")</f>
        <v>Lainnya 2.3 (1) ……..</v>
      </c>
      <c r="CJ57" s="163" t="str">
        <f t="shared" si="832"/>
        <v>Bijih </v>
      </c>
      <c r="CK57" s="163" t="str">
        <f t="shared" si="832"/>
        <v>Ton </v>
      </c>
      <c r="CL57" s="156" t="str">
        <f>ADHK!CL57</f>
        <v/>
      </c>
      <c r="CM57" s="156"/>
      <c r="CN57" s="156">
        <f t="shared" si="611"/>
        <v>0</v>
      </c>
      <c r="CO57" s="164"/>
      <c r="CP57" s="156">
        <f t="shared" si="612"/>
        <v>0</v>
      </c>
      <c r="CQ57" s="165"/>
      <c r="CR57" s="165"/>
      <c r="CS57" s="166"/>
      <c r="CT57" s="156">
        <f t="shared" si="613"/>
        <v>0</v>
      </c>
      <c r="CU57" s="164">
        <f t="shared" si="614"/>
        <v>0.4604471269</v>
      </c>
      <c r="CV57" s="167">
        <f t="shared" si="615"/>
        <v>0</v>
      </c>
      <c r="CW57" s="168">
        <f t="shared" si="616"/>
        <v>0</v>
      </c>
      <c r="CX57" s="159"/>
      <c r="CY57" s="161">
        <f t="shared" si="713"/>
        <v>9</v>
      </c>
      <c r="CZ57" s="162" t="str">
        <f t="shared" ref="CZ57:DB57" si="833">IFERROR(VLOOKUP($R57,$A$13:$D$30,-CZ$12,FALSE),"")</f>
        <v>Lainnya 2.3 (1) ……..</v>
      </c>
      <c r="DA57" s="163" t="str">
        <f t="shared" si="833"/>
        <v>Bijih </v>
      </c>
      <c r="DB57" s="163" t="str">
        <f t="shared" si="833"/>
        <v>Ton </v>
      </c>
      <c r="DC57" s="156" t="str">
        <f>ADHK!DC57</f>
        <v/>
      </c>
      <c r="DD57" s="156"/>
      <c r="DE57" s="156">
        <f t="shared" si="618"/>
        <v>0</v>
      </c>
      <c r="DF57" s="164"/>
      <c r="DG57" s="156">
        <f t="shared" si="619"/>
        <v>0</v>
      </c>
      <c r="DH57" s="165"/>
      <c r="DI57" s="165"/>
      <c r="DJ57" s="166"/>
      <c r="DK57" s="156">
        <f t="shared" si="620"/>
        <v>0</v>
      </c>
      <c r="DL57" s="164">
        <f t="shared" si="621"/>
        <v>0.4604471269</v>
      </c>
      <c r="DM57" s="167">
        <f t="shared" si="622"/>
        <v>0</v>
      </c>
      <c r="DN57" s="168">
        <f t="shared" si="623"/>
        <v>0</v>
      </c>
      <c r="DO57" s="159"/>
      <c r="DP57" s="161">
        <f t="shared" si="715"/>
        <v>9</v>
      </c>
      <c r="DQ57" s="162" t="str">
        <f t="shared" ref="DQ57:DS57" si="834">IFERROR(VLOOKUP($R57,$A$13:$D$30,-DQ$12,FALSE),"")</f>
        <v>Lainnya 2.3 (1) ……..</v>
      </c>
      <c r="DR57" s="163" t="str">
        <f t="shared" si="834"/>
        <v>Bijih </v>
      </c>
      <c r="DS57" s="163" t="str">
        <f t="shared" si="834"/>
        <v>Ton </v>
      </c>
      <c r="DT57" s="156" t="str">
        <f>ADHK!DT57</f>
        <v/>
      </c>
      <c r="DU57" s="156"/>
      <c r="DV57" s="156">
        <f t="shared" si="625"/>
        <v>0</v>
      </c>
      <c r="DW57" s="164"/>
      <c r="DX57" s="156">
        <f t="shared" si="626"/>
        <v>0</v>
      </c>
      <c r="DY57" s="165"/>
      <c r="DZ57" s="165"/>
      <c r="EA57" s="166"/>
      <c r="EB57" s="156">
        <f t="shared" si="627"/>
        <v>0</v>
      </c>
      <c r="EC57" s="164">
        <f t="shared" si="628"/>
        <v>0.4604471269</v>
      </c>
      <c r="ED57" s="167">
        <f t="shared" si="629"/>
        <v>0</v>
      </c>
      <c r="EE57" s="168">
        <f t="shared" si="630"/>
        <v>0</v>
      </c>
      <c r="EF57" s="159"/>
      <c r="EG57" s="161">
        <f t="shared" si="717"/>
        <v>9</v>
      </c>
      <c r="EH57" s="162" t="str">
        <f t="shared" ref="EH57:EJ57" si="835">IFERROR(VLOOKUP($R57,$A$13:$D$30,-EH$12,FALSE),"")</f>
        <v>Lainnya 2.3 (1) ……..</v>
      </c>
      <c r="EI57" s="163" t="str">
        <f t="shared" si="835"/>
        <v>Bijih </v>
      </c>
      <c r="EJ57" s="163" t="str">
        <f t="shared" si="835"/>
        <v>Ton </v>
      </c>
      <c r="EK57" s="156" t="str">
        <f>ADHK!EK57</f>
        <v/>
      </c>
      <c r="EL57" s="156"/>
      <c r="EM57" s="156">
        <f t="shared" si="632"/>
        <v>0</v>
      </c>
      <c r="EN57" s="164"/>
      <c r="EO57" s="156">
        <f t="shared" si="633"/>
        <v>0</v>
      </c>
      <c r="EP57" s="165"/>
      <c r="EQ57" s="165"/>
      <c r="ER57" s="166"/>
      <c r="ES57" s="156">
        <f t="shared" si="634"/>
        <v>0</v>
      </c>
      <c r="ET57" s="164">
        <f t="shared" si="635"/>
        <v>0.4604471269</v>
      </c>
      <c r="EU57" s="167">
        <f t="shared" si="636"/>
        <v>0</v>
      </c>
      <c r="EV57" s="168">
        <f t="shared" si="637"/>
        <v>0</v>
      </c>
      <c r="EW57" s="159"/>
      <c r="EX57" s="161">
        <f t="shared" si="719"/>
        <v>9</v>
      </c>
      <c r="EY57" s="162" t="str">
        <f t="shared" ref="EY57:FA57" si="836">IFERROR(VLOOKUP($R57,$A$13:$D$30,-EY$12,FALSE),"")</f>
        <v>Lainnya 2.3 (1) ……..</v>
      </c>
      <c r="EZ57" s="163" t="str">
        <f t="shared" si="836"/>
        <v>Bijih </v>
      </c>
      <c r="FA57" s="163" t="str">
        <f t="shared" si="836"/>
        <v>Ton </v>
      </c>
      <c r="FB57" s="156" t="str">
        <f>ADHK!FB57</f>
        <v/>
      </c>
      <c r="FC57" s="156"/>
      <c r="FD57" s="156">
        <f t="shared" si="639"/>
        <v>0</v>
      </c>
      <c r="FE57" s="164"/>
      <c r="FF57" s="156">
        <f t="shared" si="640"/>
        <v>0</v>
      </c>
      <c r="FG57" s="165"/>
      <c r="FH57" s="165"/>
      <c r="FI57" s="166"/>
      <c r="FJ57" s="156">
        <f t="shared" si="641"/>
        <v>0</v>
      </c>
      <c r="FK57" s="164">
        <f t="shared" si="642"/>
        <v>0.4604471269</v>
      </c>
      <c r="FL57" s="167">
        <f t="shared" si="643"/>
        <v>0</v>
      </c>
      <c r="FM57" s="168">
        <f t="shared" si="644"/>
        <v>0</v>
      </c>
      <c r="FN57" s="159"/>
      <c r="FO57" s="161">
        <f t="shared" si="721"/>
        <v>9</v>
      </c>
      <c r="FP57" s="162" t="str">
        <f t="shared" ref="FP57:FR57" si="837">IFERROR(VLOOKUP($R57,$A$13:$D$30,-FP$12,FALSE),"")</f>
        <v>Lainnya 2.3 (1) ……..</v>
      </c>
      <c r="FQ57" s="163" t="str">
        <f t="shared" si="837"/>
        <v>Bijih </v>
      </c>
      <c r="FR57" s="163" t="str">
        <f t="shared" si="837"/>
        <v>Ton </v>
      </c>
      <c r="FS57" s="156" t="str">
        <f>ADHK!FS57</f>
        <v/>
      </c>
      <c r="FT57" s="156"/>
      <c r="FU57" s="156">
        <f t="shared" si="646"/>
        <v>0</v>
      </c>
      <c r="FV57" s="164"/>
      <c r="FW57" s="156">
        <f t="shared" si="647"/>
        <v>0</v>
      </c>
      <c r="FX57" s="165"/>
      <c r="FY57" s="165"/>
      <c r="FZ57" s="166"/>
      <c r="GA57" s="156">
        <f t="shared" si="648"/>
        <v>0</v>
      </c>
      <c r="GB57" s="164">
        <f t="shared" si="649"/>
        <v>0.4604471269</v>
      </c>
      <c r="GC57" s="167">
        <f t="shared" si="650"/>
        <v>0</v>
      </c>
      <c r="GD57" s="168">
        <f t="shared" si="651"/>
        <v>0</v>
      </c>
      <c r="GE57" s="159"/>
      <c r="GF57" s="161">
        <f t="shared" si="723"/>
        <v>9</v>
      </c>
      <c r="GG57" s="162" t="str">
        <f t="shared" ref="GG57:GI57" si="838">IFERROR(VLOOKUP($R57,$A$13:$D$30,-GG$12,FALSE),"")</f>
        <v>Lainnya 2.3 (1) ……..</v>
      </c>
      <c r="GH57" s="163" t="str">
        <f t="shared" si="838"/>
        <v>Bijih </v>
      </c>
      <c r="GI57" s="163" t="str">
        <f t="shared" si="838"/>
        <v>Ton </v>
      </c>
      <c r="GJ57" s="156">
        <f>637.436*1000</f>
        <v>637436</v>
      </c>
      <c r="GK57" s="169">
        <v>178648.0</v>
      </c>
      <c r="GL57" s="156">
        <f t="shared" si="653"/>
        <v>113876.6665</v>
      </c>
      <c r="GM57" s="164"/>
      <c r="GN57" s="156">
        <f t="shared" si="654"/>
        <v>0</v>
      </c>
      <c r="GO57" s="165"/>
      <c r="GP57" s="165"/>
      <c r="GQ57" s="166"/>
      <c r="GR57" s="156">
        <f t="shared" si="655"/>
        <v>113876.6665</v>
      </c>
      <c r="GS57" s="164">
        <f t="shared" si="656"/>
        <v>0.4604471269</v>
      </c>
      <c r="GT57" s="167">
        <f t="shared" si="657"/>
        <v>52434.18392</v>
      </c>
      <c r="GU57" s="168">
        <f t="shared" si="658"/>
        <v>61442.4826</v>
      </c>
      <c r="GV57" s="159"/>
      <c r="GW57" s="161">
        <f t="shared" si="725"/>
        <v>9</v>
      </c>
      <c r="GX57" s="162" t="str">
        <f t="shared" ref="GX57:GZ57" si="839">IFERROR(VLOOKUP($R57,$A$13:$D$30,-GX$12,FALSE),"")</f>
        <v>Lainnya 2.3 (1) ……..</v>
      </c>
      <c r="GY57" s="163" t="str">
        <f t="shared" si="839"/>
        <v>Bijih </v>
      </c>
      <c r="GZ57" s="163" t="str">
        <f t="shared" si="839"/>
        <v>Ton </v>
      </c>
      <c r="HA57" s="156">
        <f>212.591*1000</f>
        <v>212591</v>
      </c>
      <c r="HB57" s="169">
        <v>37058.5</v>
      </c>
      <c r="HC57" s="156">
        <f t="shared" si="660"/>
        <v>7878.303574</v>
      </c>
      <c r="HD57" s="164"/>
      <c r="HE57" s="156">
        <f t="shared" si="661"/>
        <v>0</v>
      </c>
      <c r="HF57" s="165"/>
      <c r="HG57" s="165"/>
      <c r="HH57" s="166"/>
      <c r="HI57" s="156">
        <f t="shared" si="662"/>
        <v>7878.303574</v>
      </c>
      <c r="HJ57" s="164">
        <f t="shared" si="663"/>
        <v>0.4604471269</v>
      </c>
      <c r="HK57" s="167">
        <f t="shared" si="664"/>
        <v>3627.542245</v>
      </c>
      <c r="HL57" s="168">
        <f t="shared" si="665"/>
        <v>4250.761328</v>
      </c>
      <c r="HM57" s="159"/>
      <c r="HN57" s="161">
        <f t="shared" si="727"/>
        <v>9</v>
      </c>
      <c r="HO57" s="162" t="str">
        <f t="shared" ref="HO57:HQ57" si="840">IFERROR(VLOOKUP($R57,$A$13:$D$30,-HO$12,FALSE),"")</f>
        <v>Lainnya 2.3 (1) ……..</v>
      </c>
      <c r="HP57" s="163" t="str">
        <f t="shared" si="840"/>
        <v>Bijih </v>
      </c>
      <c r="HQ57" s="163" t="str">
        <f t="shared" si="840"/>
        <v>Ton </v>
      </c>
      <c r="HR57" s="156"/>
      <c r="HS57" s="169">
        <v>10903.7</v>
      </c>
      <c r="HT57" s="156">
        <f t="shared" si="667"/>
        <v>0</v>
      </c>
      <c r="HU57" s="164"/>
      <c r="HV57" s="156">
        <f t="shared" si="668"/>
        <v>0</v>
      </c>
      <c r="HW57" s="165"/>
      <c r="HX57" s="165"/>
      <c r="HY57" s="166"/>
      <c r="HZ57" s="156">
        <f t="shared" si="669"/>
        <v>0</v>
      </c>
      <c r="IA57" s="164">
        <f t="shared" si="670"/>
        <v>0.4604471269</v>
      </c>
      <c r="IB57" s="167">
        <f t="shared" si="671"/>
        <v>0</v>
      </c>
      <c r="IC57" s="168">
        <f t="shared" si="672"/>
        <v>0</v>
      </c>
      <c r="ID57" s="159"/>
      <c r="IE57" s="161">
        <f t="shared" si="729"/>
        <v>9</v>
      </c>
      <c r="IF57" s="162" t="str">
        <f t="shared" ref="IF57:IH57" si="841">IFERROR(VLOOKUP($R57,$A$13:$D$30,-IF$12,FALSE),"")</f>
        <v>Lainnya 2.3 (1) ……..</v>
      </c>
      <c r="IG57" s="163" t="str">
        <f t="shared" si="841"/>
        <v>Bijih </v>
      </c>
      <c r="IH57" s="163" t="str">
        <f t="shared" si="841"/>
        <v>Ton </v>
      </c>
      <c r="II57" s="156"/>
      <c r="IJ57" s="156"/>
      <c r="IK57" s="156">
        <f t="shared" si="674"/>
        <v>0</v>
      </c>
      <c r="IL57" s="164"/>
      <c r="IM57" s="156">
        <f t="shared" si="675"/>
        <v>0</v>
      </c>
      <c r="IN57" s="165"/>
      <c r="IO57" s="165"/>
      <c r="IP57" s="166"/>
      <c r="IQ57" s="156">
        <f t="shared" si="676"/>
        <v>0</v>
      </c>
      <c r="IR57" s="164">
        <f t="shared" si="677"/>
        <v>0.4604471269</v>
      </c>
      <c r="IS57" s="167">
        <f t="shared" si="678"/>
        <v>0</v>
      </c>
      <c r="IT57" s="168">
        <f t="shared" si="679"/>
        <v>0</v>
      </c>
      <c r="IU57" s="159"/>
      <c r="IV57" s="161">
        <f t="shared" si="731"/>
        <v>9</v>
      </c>
      <c r="IW57" s="162" t="str">
        <f t="shared" ref="IW57:IY57" si="842">IFERROR(VLOOKUP($R57,$A$13:$D$30,-IW$12,FALSE),"")</f>
        <v>Lainnya 2.3 (1) ……..</v>
      </c>
      <c r="IX57" s="163" t="str">
        <f t="shared" si="842"/>
        <v>Bijih </v>
      </c>
      <c r="IY57" s="163" t="str">
        <f t="shared" si="842"/>
        <v>Ton </v>
      </c>
      <c r="IZ57" s="156" t="str">
        <f>IJ57</f>
        <v/>
      </c>
      <c r="JA57" s="156" t="str">
        <f>IJ57</f>
        <v/>
      </c>
      <c r="JB57" s="156">
        <f t="shared" si="681"/>
        <v>0</v>
      </c>
      <c r="JC57" s="164"/>
      <c r="JD57" s="156">
        <f t="shared" si="682"/>
        <v>0</v>
      </c>
      <c r="JE57" s="165"/>
      <c r="JF57" s="165"/>
      <c r="JG57" s="166"/>
      <c r="JH57" s="156">
        <f t="shared" si="683"/>
        <v>0</v>
      </c>
      <c r="JI57" s="164">
        <f t="shared" si="684"/>
        <v>0.4604471269</v>
      </c>
      <c r="JJ57" s="167">
        <f t="shared" si="685"/>
        <v>0</v>
      </c>
      <c r="JK57" s="168">
        <f t="shared" si="686"/>
        <v>0</v>
      </c>
      <c r="JL57" s="159"/>
      <c r="JM57" s="161">
        <f t="shared" si="733"/>
        <v>9</v>
      </c>
      <c r="JN57" s="162" t="str">
        <f t="shared" ref="JN57:JP57" si="843">IFERROR(VLOOKUP($R57,$A$13:$D$30,-JN$12,FALSE),"")</f>
        <v>Lainnya 2.3 (1) ……..</v>
      </c>
      <c r="JO57" s="163" t="str">
        <f t="shared" si="843"/>
        <v>Bijih </v>
      </c>
      <c r="JP57" s="163" t="str">
        <f t="shared" si="843"/>
        <v>Ton </v>
      </c>
      <c r="JQ57" s="156" t="str">
        <f>JA57</f>
        <v/>
      </c>
      <c r="JR57" s="156" t="str">
        <f>JA57</f>
        <v/>
      </c>
      <c r="JS57" s="156">
        <f t="shared" si="688"/>
        <v>0</v>
      </c>
      <c r="JT57" s="164"/>
      <c r="JU57" s="156">
        <f t="shared" si="689"/>
        <v>0</v>
      </c>
      <c r="JV57" s="165"/>
      <c r="JW57" s="165"/>
      <c r="JX57" s="166"/>
      <c r="JY57" s="156">
        <f t="shared" si="690"/>
        <v>0</v>
      </c>
      <c r="JZ57" s="164">
        <f t="shared" si="691"/>
        <v>0.4604471269</v>
      </c>
      <c r="KA57" s="167">
        <f t="shared" si="692"/>
        <v>0</v>
      </c>
      <c r="KB57" s="168">
        <f t="shared" si="693"/>
        <v>0</v>
      </c>
      <c r="KC57" s="159"/>
      <c r="KD57" s="161">
        <f t="shared" si="735"/>
        <v>9</v>
      </c>
      <c r="KE57" s="162" t="str">
        <f t="shared" ref="KE57:KG57" si="844">IFERROR(VLOOKUP($R57,$A$13:$D$30,-KE$12,FALSE),"")</f>
        <v>Lainnya 2.3 (1) ……..</v>
      </c>
      <c r="KF57" s="163" t="str">
        <f t="shared" si="844"/>
        <v>Bijih </v>
      </c>
      <c r="KG57" s="163" t="str">
        <f t="shared" si="844"/>
        <v>Ton </v>
      </c>
      <c r="KH57" s="156" t="str">
        <f>JR57</f>
        <v/>
      </c>
      <c r="KI57" s="156" t="str">
        <f>JR57</f>
        <v/>
      </c>
      <c r="KJ57" s="156">
        <f t="shared" si="695"/>
        <v>0</v>
      </c>
      <c r="KK57" s="164"/>
      <c r="KL57" s="156">
        <f t="shared" si="696"/>
        <v>0</v>
      </c>
      <c r="KM57" s="165"/>
      <c r="KN57" s="165"/>
      <c r="KO57" s="166"/>
      <c r="KP57" s="156">
        <f t="shared" si="697"/>
        <v>0</v>
      </c>
      <c r="KQ57" s="164">
        <f t="shared" si="698"/>
        <v>0.4604471269</v>
      </c>
      <c r="KR57" s="167">
        <f t="shared" si="699"/>
        <v>0</v>
      </c>
      <c r="KS57" s="168">
        <f t="shared" si="700"/>
        <v>0</v>
      </c>
      <c r="KT57" s="159"/>
      <c r="KU57" s="160"/>
    </row>
    <row r="58" ht="15.75" customHeight="1">
      <c r="A58" s="161">
        <f t="shared" si="701"/>
        <v>10</v>
      </c>
      <c r="B58" s="162" t="str">
        <f t="shared" ref="B58:D58" si="845">IFERROR(VLOOKUP($A58,$A$13:$D$30,-B$12,FALSE),"")</f>
        <v>Lainnya 2.3 (2) ………</v>
      </c>
      <c r="C58" s="163" t="str">
        <f t="shared" si="845"/>
        <v>Bijih </v>
      </c>
      <c r="D58" s="163" t="str">
        <f t="shared" si="845"/>
        <v>Ton </v>
      </c>
      <c r="E58" s="156" t="str">
        <f>ADHK!E58</f>
        <v/>
      </c>
      <c r="F58" s="156" t="str">
        <f>ADHK!F58</f>
        <v/>
      </c>
      <c r="G58" s="156">
        <f t="shared" si="576"/>
        <v>0</v>
      </c>
      <c r="H58" s="164"/>
      <c r="I58" s="156">
        <f t="shared" si="577"/>
        <v>0</v>
      </c>
      <c r="J58" s="165"/>
      <c r="K58" s="165"/>
      <c r="L58" s="166"/>
      <c r="M58" s="156">
        <f t="shared" si="578"/>
        <v>0</v>
      </c>
      <c r="N58" s="164">
        <f t="shared" si="579"/>
        <v>0.4604471269</v>
      </c>
      <c r="O58" s="167">
        <f t="shared" si="580"/>
        <v>0</v>
      </c>
      <c r="P58" s="168">
        <f t="shared" si="581"/>
        <v>0</v>
      </c>
      <c r="Q58" s="159"/>
      <c r="R58" s="161">
        <f t="shared" si="703"/>
        <v>10</v>
      </c>
      <c r="S58" s="162" t="str">
        <f t="shared" ref="S58:U58" si="846">IFERROR(VLOOKUP($R58,$A$13:$D$30,-S$12,FALSE),"")</f>
        <v>Lainnya 2.3 (2) ………</v>
      </c>
      <c r="T58" s="163" t="str">
        <f t="shared" si="846"/>
        <v>Bijih </v>
      </c>
      <c r="U58" s="163" t="str">
        <f t="shared" si="846"/>
        <v>Ton </v>
      </c>
      <c r="V58" s="156" t="str">
        <f>ADHK!V58</f>
        <v/>
      </c>
      <c r="W58" s="156"/>
      <c r="X58" s="156">
        <f t="shared" si="583"/>
        <v>0</v>
      </c>
      <c r="Y58" s="164"/>
      <c r="Z58" s="156">
        <f t="shared" si="584"/>
        <v>0</v>
      </c>
      <c r="AA58" s="165"/>
      <c r="AB58" s="165"/>
      <c r="AC58" s="166"/>
      <c r="AD58" s="156">
        <f t="shared" si="585"/>
        <v>0</v>
      </c>
      <c r="AE58" s="164">
        <f t="shared" si="586"/>
        <v>0.4604471269</v>
      </c>
      <c r="AF58" s="167">
        <f t="shared" si="587"/>
        <v>0</v>
      </c>
      <c r="AG58" s="168">
        <f t="shared" si="588"/>
        <v>0</v>
      </c>
      <c r="AH58" s="159"/>
      <c r="AI58" s="161">
        <f t="shared" si="705"/>
        <v>10</v>
      </c>
      <c r="AJ58" s="162" t="str">
        <f t="shared" ref="AJ58:AL58" si="847">IFERROR(VLOOKUP($R58,$A$13:$D$30,-AJ$12,FALSE),"")</f>
        <v>Lainnya 2.3 (2) ………</v>
      </c>
      <c r="AK58" s="163" t="str">
        <f t="shared" si="847"/>
        <v>Bijih </v>
      </c>
      <c r="AL58" s="163" t="str">
        <f t="shared" si="847"/>
        <v>Ton </v>
      </c>
      <c r="AM58" s="156" t="str">
        <f>ADHK!AM58</f>
        <v/>
      </c>
      <c r="AN58" s="156"/>
      <c r="AO58" s="156">
        <f t="shared" si="590"/>
        <v>0</v>
      </c>
      <c r="AP58" s="164"/>
      <c r="AQ58" s="156">
        <f t="shared" si="591"/>
        <v>0</v>
      </c>
      <c r="AR58" s="165"/>
      <c r="AS58" s="165"/>
      <c r="AT58" s="166"/>
      <c r="AU58" s="156">
        <f t="shared" si="592"/>
        <v>0</v>
      </c>
      <c r="AV58" s="164">
        <f t="shared" si="593"/>
        <v>0.4604471269</v>
      </c>
      <c r="AW58" s="167">
        <f t="shared" si="594"/>
        <v>0</v>
      </c>
      <c r="AX58" s="168">
        <f t="shared" si="595"/>
        <v>0</v>
      </c>
      <c r="AY58" s="159"/>
      <c r="AZ58" s="161">
        <f t="shared" si="707"/>
        <v>10</v>
      </c>
      <c r="BA58" s="162" t="str">
        <f t="shared" ref="BA58:BC58" si="848">IFERROR(VLOOKUP($R58,$A$13:$D$30,-BA$12,FALSE),"")</f>
        <v>Lainnya 2.3 (2) ………</v>
      </c>
      <c r="BB58" s="163" t="str">
        <f t="shared" si="848"/>
        <v>Bijih </v>
      </c>
      <c r="BC58" s="163" t="str">
        <f t="shared" si="848"/>
        <v>Ton </v>
      </c>
      <c r="BD58" s="156" t="str">
        <f>ADHK!BD58</f>
        <v/>
      </c>
      <c r="BE58" s="156"/>
      <c r="BF58" s="156">
        <f t="shared" si="597"/>
        <v>0</v>
      </c>
      <c r="BG58" s="164"/>
      <c r="BH58" s="156">
        <f t="shared" si="598"/>
        <v>0</v>
      </c>
      <c r="BI58" s="165"/>
      <c r="BJ58" s="165"/>
      <c r="BK58" s="166"/>
      <c r="BL58" s="156">
        <f t="shared" si="599"/>
        <v>0</v>
      </c>
      <c r="BM58" s="164">
        <f t="shared" si="600"/>
        <v>0.4604471269</v>
      </c>
      <c r="BN58" s="167">
        <f t="shared" si="601"/>
        <v>0</v>
      </c>
      <c r="BO58" s="168">
        <f t="shared" si="602"/>
        <v>0</v>
      </c>
      <c r="BP58" s="159"/>
      <c r="BQ58" s="161">
        <f t="shared" si="709"/>
        <v>10</v>
      </c>
      <c r="BR58" s="162" t="str">
        <f t="shared" ref="BR58:BT58" si="849">IFERROR(VLOOKUP($R58,$A$13:$D$30,-BR$12,FALSE),"")</f>
        <v>Lainnya 2.3 (2) ………</v>
      </c>
      <c r="BS58" s="163" t="str">
        <f t="shared" si="849"/>
        <v>Bijih </v>
      </c>
      <c r="BT58" s="163" t="str">
        <f t="shared" si="849"/>
        <v>Ton </v>
      </c>
      <c r="BU58" s="156" t="str">
        <f>ADHK!BU58</f>
        <v/>
      </c>
      <c r="BV58" s="156"/>
      <c r="BW58" s="156">
        <f t="shared" si="604"/>
        <v>0</v>
      </c>
      <c r="BX58" s="164"/>
      <c r="BY58" s="156">
        <f t="shared" si="605"/>
        <v>0</v>
      </c>
      <c r="BZ58" s="165"/>
      <c r="CA58" s="165"/>
      <c r="CB58" s="166"/>
      <c r="CC58" s="156">
        <f t="shared" si="606"/>
        <v>0</v>
      </c>
      <c r="CD58" s="164">
        <f t="shared" si="607"/>
        <v>0.4604471269</v>
      </c>
      <c r="CE58" s="167">
        <f t="shared" si="608"/>
        <v>0</v>
      </c>
      <c r="CF58" s="168">
        <f t="shared" si="609"/>
        <v>0</v>
      </c>
      <c r="CG58" s="159"/>
      <c r="CH58" s="161">
        <f t="shared" si="711"/>
        <v>10</v>
      </c>
      <c r="CI58" s="162" t="str">
        <f t="shared" ref="CI58:CK58" si="850">IFERROR(VLOOKUP($R58,$A$13:$D$30,-CI$12,FALSE),"")</f>
        <v>Lainnya 2.3 (2) ………</v>
      </c>
      <c r="CJ58" s="163" t="str">
        <f t="shared" si="850"/>
        <v>Bijih </v>
      </c>
      <c r="CK58" s="163" t="str">
        <f t="shared" si="850"/>
        <v>Ton </v>
      </c>
      <c r="CL58" s="156" t="str">
        <f>ADHK!CL58</f>
        <v/>
      </c>
      <c r="CM58" s="156"/>
      <c r="CN58" s="156">
        <f t="shared" si="611"/>
        <v>0</v>
      </c>
      <c r="CO58" s="164"/>
      <c r="CP58" s="156">
        <f t="shared" si="612"/>
        <v>0</v>
      </c>
      <c r="CQ58" s="165"/>
      <c r="CR58" s="165"/>
      <c r="CS58" s="166"/>
      <c r="CT58" s="156">
        <f t="shared" si="613"/>
        <v>0</v>
      </c>
      <c r="CU58" s="164">
        <f t="shared" si="614"/>
        <v>0.4604471269</v>
      </c>
      <c r="CV58" s="167">
        <f t="shared" si="615"/>
        <v>0</v>
      </c>
      <c r="CW58" s="168">
        <f t="shared" si="616"/>
        <v>0</v>
      </c>
      <c r="CX58" s="159"/>
      <c r="CY58" s="161">
        <f t="shared" si="713"/>
        <v>10</v>
      </c>
      <c r="CZ58" s="162" t="str">
        <f t="shared" ref="CZ58:DB58" si="851">IFERROR(VLOOKUP($R58,$A$13:$D$30,-CZ$12,FALSE),"")</f>
        <v>Lainnya 2.3 (2) ………</v>
      </c>
      <c r="DA58" s="163" t="str">
        <f t="shared" si="851"/>
        <v>Bijih </v>
      </c>
      <c r="DB58" s="163" t="str">
        <f t="shared" si="851"/>
        <v>Ton </v>
      </c>
      <c r="DC58" s="156" t="str">
        <f>ADHK!DC58</f>
        <v/>
      </c>
      <c r="DD58" s="156"/>
      <c r="DE58" s="156">
        <f t="shared" si="618"/>
        <v>0</v>
      </c>
      <c r="DF58" s="164"/>
      <c r="DG58" s="156">
        <f t="shared" si="619"/>
        <v>0</v>
      </c>
      <c r="DH58" s="165"/>
      <c r="DI58" s="165"/>
      <c r="DJ58" s="166"/>
      <c r="DK58" s="156">
        <f t="shared" si="620"/>
        <v>0</v>
      </c>
      <c r="DL58" s="164">
        <f t="shared" si="621"/>
        <v>0.4604471269</v>
      </c>
      <c r="DM58" s="167">
        <f t="shared" si="622"/>
        <v>0</v>
      </c>
      <c r="DN58" s="168">
        <f t="shared" si="623"/>
        <v>0</v>
      </c>
      <c r="DO58" s="159"/>
      <c r="DP58" s="161">
        <f t="shared" si="715"/>
        <v>10</v>
      </c>
      <c r="DQ58" s="162" t="str">
        <f t="shared" ref="DQ58:DS58" si="852">IFERROR(VLOOKUP($R58,$A$13:$D$30,-DQ$12,FALSE),"")</f>
        <v>Lainnya 2.3 (2) ………</v>
      </c>
      <c r="DR58" s="163" t="str">
        <f t="shared" si="852"/>
        <v>Bijih </v>
      </c>
      <c r="DS58" s="163" t="str">
        <f t="shared" si="852"/>
        <v>Ton </v>
      </c>
      <c r="DT58" s="156" t="str">
        <f>ADHK!DT58</f>
        <v/>
      </c>
      <c r="DU58" s="156"/>
      <c r="DV58" s="156">
        <f t="shared" si="625"/>
        <v>0</v>
      </c>
      <c r="DW58" s="164"/>
      <c r="DX58" s="156">
        <f t="shared" si="626"/>
        <v>0</v>
      </c>
      <c r="DY58" s="165"/>
      <c r="DZ58" s="165"/>
      <c r="EA58" s="166"/>
      <c r="EB58" s="156">
        <f t="shared" si="627"/>
        <v>0</v>
      </c>
      <c r="EC58" s="164">
        <f t="shared" si="628"/>
        <v>0.4604471269</v>
      </c>
      <c r="ED58" s="167">
        <f t="shared" si="629"/>
        <v>0</v>
      </c>
      <c r="EE58" s="168">
        <f t="shared" si="630"/>
        <v>0</v>
      </c>
      <c r="EF58" s="159"/>
      <c r="EG58" s="161">
        <f t="shared" si="717"/>
        <v>10</v>
      </c>
      <c r="EH58" s="162" t="str">
        <f t="shared" ref="EH58:EJ58" si="853">IFERROR(VLOOKUP($R58,$A$13:$D$30,-EH$12,FALSE),"")</f>
        <v>Lainnya 2.3 (2) ………</v>
      </c>
      <c r="EI58" s="163" t="str">
        <f t="shared" si="853"/>
        <v>Bijih </v>
      </c>
      <c r="EJ58" s="163" t="str">
        <f t="shared" si="853"/>
        <v>Ton </v>
      </c>
      <c r="EK58" s="156" t="str">
        <f>ADHK!EK58</f>
        <v/>
      </c>
      <c r="EL58" s="156"/>
      <c r="EM58" s="156">
        <f t="shared" si="632"/>
        <v>0</v>
      </c>
      <c r="EN58" s="164"/>
      <c r="EO58" s="156">
        <f t="shared" si="633"/>
        <v>0</v>
      </c>
      <c r="EP58" s="165"/>
      <c r="EQ58" s="165"/>
      <c r="ER58" s="166"/>
      <c r="ES58" s="156">
        <f t="shared" si="634"/>
        <v>0</v>
      </c>
      <c r="ET58" s="164">
        <f t="shared" si="635"/>
        <v>0.4604471269</v>
      </c>
      <c r="EU58" s="167">
        <f t="shared" si="636"/>
        <v>0</v>
      </c>
      <c r="EV58" s="168">
        <f t="shared" si="637"/>
        <v>0</v>
      </c>
      <c r="EW58" s="159"/>
      <c r="EX58" s="161">
        <f t="shared" si="719"/>
        <v>10</v>
      </c>
      <c r="EY58" s="162" t="str">
        <f t="shared" ref="EY58:FA58" si="854">IFERROR(VLOOKUP($R58,$A$13:$D$30,-EY$12,FALSE),"")</f>
        <v>Lainnya 2.3 (2) ………</v>
      </c>
      <c r="EZ58" s="163" t="str">
        <f t="shared" si="854"/>
        <v>Bijih </v>
      </c>
      <c r="FA58" s="163" t="str">
        <f t="shared" si="854"/>
        <v>Ton </v>
      </c>
      <c r="FB58" s="156" t="str">
        <f>ADHK!FB58</f>
        <v/>
      </c>
      <c r="FC58" s="156"/>
      <c r="FD58" s="156">
        <f t="shared" si="639"/>
        <v>0</v>
      </c>
      <c r="FE58" s="164"/>
      <c r="FF58" s="156">
        <f t="shared" si="640"/>
        <v>0</v>
      </c>
      <c r="FG58" s="165"/>
      <c r="FH58" s="165"/>
      <c r="FI58" s="166"/>
      <c r="FJ58" s="156">
        <f t="shared" si="641"/>
        <v>0</v>
      </c>
      <c r="FK58" s="164">
        <f t="shared" si="642"/>
        <v>0.4604471269</v>
      </c>
      <c r="FL58" s="167">
        <f t="shared" si="643"/>
        <v>0</v>
      </c>
      <c r="FM58" s="168">
        <f t="shared" si="644"/>
        <v>0</v>
      </c>
      <c r="FN58" s="159"/>
      <c r="FO58" s="161">
        <f t="shared" si="721"/>
        <v>10</v>
      </c>
      <c r="FP58" s="162" t="str">
        <f t="shared" ref="FP58:FR58" si="855">IFERROR(VLOOKUP($R58,$A$13:$D$30,-FP$12,FALSE),"")</f>
        <v>Lainnya 2.3 (2) ………</v>
      </c>
      <c r="FQ58" s="163" t="str">
        <f t="shared" si="855"/>
        <v>Bijih </v>
      </c>
      <c r="FR58" s="163" t="str">
        <f t="shared" si="855"/>
        <v>Ton </v>
      </c>
      <c r="FS58" s="156" t="str">
        <f>ADHK!FS58</f>
        <v/>
      </c>
      <c r="FT58" s="156"/>
      <c r="FU58" s="156">
        <f t="shared" si="646"/>
        <v>0</v>
      </c>
      <c r="FV58" s="164"/>
      <c r="FW58" s="156">
        <f t="shared" si="647"/>
        <v>0</v>
      </c>
      <c r="FX58" s="165"/>
      <c r="FY58" s="165"/>
      <c r="FZ58" s="166"/>
      <c r="GA58" s="156">
        <f t="shared" si="648"/>
        <v>0</v>
      </c>
      <c r="GB58" s="164">
        <f t="shared" si="649"/>
        <v>0.4604471269</v>
      </c>
      <c r="GC58" s="167">
        <f t="shared" si="650"/>
        <v>0</v>
      </c>
      <c r="GD58" s="168">
        <f t="shared" si="651"/>
        <v>0</v>
      </c>
      <c r="GE58" s="159"/>
      <c r="GF58" s="161">
        <f t="shared" si="723"/>
        <v>10</v>
      </c>
      <c r="GG58" s="162" t="str">
        <f t="shared" ref="GG58:GI58" si="856">IFERROR(VLOOKUP($R58,$A$13:$D$30,-GG$12,FALSE),"")</f>
        <v>Lainnya 2.3 (2) ………</v>
      </c>
      <c r="GH58" s="163" t="str">
        <f t="shared" si="856"/>
        <v>Bijih </v>
      </c>
      <c r="GI58" s="163" t="str">
        <f t="shared" si="856"/>
        <v>Ton </v>
      </c>
      <c r="GJ58" s="156" t="str">
        <f>ADHK!GJ58</f>
        <v/>
      </c>
      <c r="GK58" s="156"/>
      <c r="GL58" s="156">
        <f t="shared" si="653"/>
        <v>0</v>
      </c>
      <c r="GM58" s="164"/>
      <c r="GN58" s="156">
        <f t="shared" si="654"/>
        <v>0</v>
      </c>
      <c r="GO58" s="165"/>
      <c r="GP58" s="165"/>
      <c r="GQ58" s="166"/>
      <c r="GR58" s="156">
        <f t="shared" si="655"/>
        <v>0</v>
      </c>
      <c r="GS58" s="164">
        <f t="shared" si="656"/>
        <v>0.4604471269</v>
      </c>
      <c r="GT58" s="167">
        <f t="shared" si="657"/>
        <v>0</v>
      </c>
      <c r="GU58" s="168">
        <f t="shared" si="658"/>
        <v>0</v>
      </c>
      <c r="GV58" s="159"/>
      <c r="GW58" s="161">
        <f t="shared" si="725"/>
        <v>10</v>
      </c>
      <c r="GX58" s="162" t="str">
        <f t="shared" ref="GX58:GZ58" si="857">IFERROR(VLOOKUP($R58,$A$13:$D$30,-GX$12,FALSE),"")</f>
        <v>Lainnya 2.3 (2) ………</v>
      </c>
      <c r="GY58" s="163" t="str">
        <f t="shared" si="857"/>
        <v>Bijih </v>
      </c>
      <c r="GZ58" s="163" t="str">
        <f t="shared" si="857"/>
        <v>Ton </v>
      </c>
      <c r="HA58" s="156" t="str">
        <f>ADHK!HA58</f>
        <v/>
      </c>
      <c r="HB58" s="156"/>
      <c r="HC58" s="156">
        <f t="shared" si="660"/>
        <v>0</v>
      </c>
      <c r="HD58" s="164"/>
      <c r="HE58" s="156">
        <f t="shared" si="661"/>
        <v>0</v>
      </c>
      <c r="HF58" s="165"/>
      <c r="HG58" s="165"/>
      <c r="HH58" s="166"/>
      <c r="HI58" s="156">
        <f t="shared" si="662"/>
        <v>0</v>
      </c>
      <c r="HJ58" s="164">
        <f t="shared" si="663"/>
        <v>0.4604471269</v>
      </c>
      <c r="HK58" s="167">
        <f t="shared" si="664"/>
        <v>0</v>
      </c>
      <c r="HL58" s="168">
        <f t="shared" si="665"/>
        <v>0</v>
      </c>
      <c r="HM58" s="159"/>
      <c r="HN58" s="161">
        <f t="shared" si="727"/>
        <v>10</v>
      </c>
      <c r="HO58" s="162" t="str">
        <f t="shared" ref="HO58:HQ58" si="858">IFERROR(VLOOKUP($R58,$A$13:$D$30,-HO$12,FALSE),"")</f>
        <v>Lainnya 2.3 (2) ………</v>
      </c>
      <c r="HP58" s="163" t="str">
        <f t="shared" si="858"/>
        <v>Bijih </v>
      </c>
      <c r="HQ58" s="163" t="str">
        <f t="shared" si="858"/>
        <v>Ton </v>
      </c>
      <c r="HR58" s="156" t="str">
        <f>ADHK!HR58</f>
        <v/>
      </c>
      <c r="HS58" s="156"/>
      <c r="HT58" s="156">
        <f t="shared" si="667"/>
        <v>0</v>
      </c>
      <c r="HU58" s="164"/>
      <c r="HV58" s="156">
        <f t="shared" si="668"/>
        <v>0</v>
      </c>
      <c r="HW58" s="165"/>
      <c r="HX58" s="165"/>
      <c r="HY58" s="166"/>
      <c r="HZ58" s="156">
        <f t="shared" si="669"/>
        <v>0</v>
      </c>
      <c r="IA58" s="164">
        <f t="shared" si="670"/>
        <v>0.4604471269</v>
      </c>
      <c r="IB58" s="167">
        <f t="shared" si="671"/>
        <v>0</v>
      </c>
      <c r="IC58" s="168">
        <f t="shared" si="672"/>
        <v>0</v>
      </c>
      <c r="ID58" s="159"/>
      <c r="IE58" s="161">
        <f t="shared" si="729"/>
        <v>10</v>
      </c>
      <c r="IF58" s="162" t="str">
        <f t="shared" ref="IF58:IH58" si="859">IFERROR(VLOOKUP($R58,$A$13:$D$30,-IF$12,FALSE),"")</f>
        <v>Lainnya 2.3 (2) ………</v>
      </c>
      <c r="IG58" s="163" t="str">
        <f t="shared" si="859"/>
        <v>Bijih </v>
      </c>
      <c r="IH58" s="163" t="str">
        <f t="shared" si="859"/>
        <v>Ton </v>
      </c>
      <c r="II58" s="156" t="str">
        <f>ADHK!II58</f>
        <v/>
      </c>
      <c r="IJ58" s="156"/>
      <c r="IK58" s="156">
        <f t="shared" si="674"/>
        <v>0</v>
      </c>
      <c r="IL58" s="164"/>
      <c r="IM58" s="156">
        <f t="shared" si="675"/>
        <v>0</v>
      </c>
      <c r="IN58" s="165"/>
      <c r="IO58" s="165"/>
      <c r="IP58" s="166"/>
      <c r="IQ58" s="156">
        <f t="shared" si="676"/>
        <v>0</v>
      </c>
      <c r="IR58" s="164">
        <f t="shared" si="677"/>
        <v>0.4604471269</v>
      </c>
      <c r="IS58" s="167">
        <f t="shared" si="678"/>
        <v>0</v>
      </c>
      <c r="IT58" s="168">
        <f t="shared" si="679"/>
        <v>0</v>
      </c>
      <c r="IU58" s="159"/>
      <c r="IV58" s="161">
        <f t="shared" si="731"/>
        <v>10</v>
      </c>
      <c r="IW58" s="162" t="str">
        <f t="shared" ref="IW58:IY58" si="860">IFERROR(VLOOKUP($R58,$A$13:$D$30,-IW$12,FALSE),"")</f>
        <v>Lainnya 2.3 (2) ………</v>
      </c>
      <c r="IX58" s="163" t="str">
        <f t="shared" si="860"/>
        <v>Bijih </v>
      </c>
      <c r="IY58" s="163" t="str">
        <f t="shared" si="860"/>
        <v>Ton </v>
      </c>
      <c r="IZ58" s="156" t="str">
        <f>ADHK!IZ58</f>
        <v/>
      </c>
      <c r="JA58" s="156"/>
      <c r="JB58" s="156">
        <f t="shared" si="681"/>
        <v>0</v>
      </c>
      <c r="JC58" s="164"/>
      <c r="JD58" s="156">
        <f t="shared" si="682"/>
        <v>0</v>
      </c>
      <c r="JE58" s="165"/>
      <c r="JF58" s="165"/>
      <c r="JG58" s="166"/>
      <c r="JH58" s="156">
        <f t="shared" si="683"/>
        <v>0</v>
      </c>
      <c r="JI58" s="164">
        <f t="shared" si="684"/>
        <v>0.4604471269</v>
      </c>
      <c r="JJ58" s="167">
        <f t="shared" si="685"/>
        <v>0</v>
      </c>
      <c r="JK58" s="168">
        <f t="shared" si="686"/>
        <v>0</v>
      </c>
      <c r="JL58" s="159"/>
      <c r="JM58" s="161">
        <f t="shared" si="733"/>
        <v>10</v>
      </c>
      <c r="JN58" s="162" t="str">
        <f t="shared" ref="JN58:JP58" si="861">IFERROR(VLOOKUP($R58,$A$13:$D$30,-JN$12,FALSE),"")</f>
        <v>Lainnya 2.3 (2) ………</v>
      </c>
      <c r="JO58" s="163" t="str">
        <f t="shared" si="861"/>
        <v>Bijih </v>
      </c>
      <c r="JP58" s="163" t="str">
        <f t="shared" si="861"/>
        <v>Ton </v>
      </c>
      <c r="JQ58" s="156" t="str">
        <f>ADHK!KY58</f>
        <v/>
      </c>
      <c r="JR58" s="156"/>
      <c r="JS58" s="156">
        <f t="shared" si="688"/>
        <v>0</v>
      </c>
      <c r="JT58" s="164"/>
      <c r="JU58" s="156">
        <f t="shared" si="689"/>
        <v>0</v>
      </c>
      <c r="JV58" s="165"/>
      <c r="JW58" s="165"/>
      <c r="JX58" s="166"/>
      <c r="JY58" s="156">
        <f t="shared" si="690"/>
        <v>0</v>
      </c>
      <c r="JZ58" s="164">
        <f t="shared" si="691"/>
        <v>0.4604471269</v>
      </c>
      <c r="KA58" s="167">
        <f t="shared" si="692"/>
        <v>0</v>
      </c>
      <c r="KB58" s="168">
        <f t="shared" si="693"/>
        <v>0</v>
      </c>
      <c r="KC58" s="159"/>
      <c r="KD58" s="161">
        <f t="shared" si="735"/>
        <v>10</v>
      </c>
      <c r="KE58" s="162" t="str">
        <f t="shared" ref="KE58:KG58" si="862">IFERROR(VLOOKUP($R58,$A$13:$D$30,-KE$12,FALSE),"")</f>
        <v>Lainnya 2.3 (2) ………</v>
      </c>
      <c r="KF58" s="163" t="str">
        <f t="shared" si="862"/>
        <v>Bijih </v>
      </c>
      <c r="KG58" s="163" t="str">
        <f t="shared" si="862"/>
        <v>Ton </v>
      </c>
      <c r="KH58" s="156" t="str">
        <f>ADHK!LP58</f>
        <v/>
      </c>
      <c r="KI58" s="156"/>
      <c r="KJ58" s="156">
        <f t="shared" si="695"/>
        <v>0</v>
      </c>
      <c r="KK58" s="164"/>
      <c r="KL58" s="156">
        <f t="shared" si="696"/>
        <v>0</v>
      </c>
      <c r="KM58" s="165"/>
      <c r="KN58" s="165"/>
      <c r="KO58" s="166"/>
      <c r="KP58" s="156">
        <f t="shared" si="697"/>
        <v>0</v>
      </c>
      <c r="KQ58" s="164">
        <f t="shared" si="698"/>
        <v>0.4604471269</v>
      </c>
      <c r="KR58" s="167">
        <f t="shared" si="699"/>
        <v>0</v>
      </c>
      <c r="KS58" s="168">
        <f t="shared" si="700"/>
        <v>0</v>
      </c>
      <c r="KT58" s="159"/>
      <c r="KU58" s="160"/>
    </row>
    <row r="59" ht="15.75" customHeight="1">
      <c r="A59" s="161">
        <f t="shared" si="701"/>
        <v>11</v>
      </c>
      <c r="B59" s="162" t="str">
        <f t="shared" ref="B59:D59" si="863">IFERROR(VLOOKUP($A59,$A$13:$D$30,-B$12,FALSE),"")</f>
        <v>Lainnya 2.3 (3) …….</v>
      </c>
      <c r="C59" s="163" t="str">
        <f t="shared" si="863"/>
        <v/>
      </c>
      <c r="D59" s="163" t="str">
        <f t="shared" si="863"/>
        <v/>
      </c>
      <c r="E59" s="156" t="str">
        <f>ADHK!E59</f>
        <v/>
      </c>
      <c r="F59" s="156" t="str">
        <f>ADHK!F59</f>
        <v/>
      </c>
      <c r="G59" s="156">
        <f t="shared" si="576"/>
        <v>0</v>
      </c>
      <c r="H59" s="164"/>
      <c r="I59" s="156">
        <f t="shared" si="577"/>
        <v>0</v>
      </c>
      <c r="J59" s="165"/>
      <c r="K59" s="165"/>
      <c r="L59" s="166"/>
      <c r="M59" s="156">
        <f t="shared" si="578"/>
        <v>0</v>
      </c>
      <c r="N59" s="164">
        <f t="shared" si="579"/>
        <v>0.4604471269</v>
      </c>
      <c r="O59" s="167">
        <f t="shared" si="580"/>
        <v>0</v>
      </c>
      <c r="P59" s="168">
        <f t="shared" si="581"/>
        <v>0</v>
      </c>
      <c r="Q59" s="159"/>
      <c r="R59" s="161">
        <f t="shared" si="703"/>
        <v>11</v>
      </c>
      <c r="S59" s="162" t="str">
        <f t="shared" ref="S59:U59" si="864">IFERROR(VLOOKUP($R59,$A$13:$D$30,-S$12,FALSE),"")</f>
        <v>Lainnya 2.3 (3) …….</v>
      </c>
      <c r="T59" s="163" t="str">
        <f t="shared" si="864"/>
        <v/>
      </c>
      <c r="U59" s="163" t="str">
        <f t="shared" si="864"/>
        <v/>
      </c>
      <c r="V59" s="156" t="str">
        <f>ADHK!V59</f>
        <v/>
      </c>
      <c r="W59" s="156"/>
      <c r="X59" s="156">
        <f t="shared" si="583"/>
        <v>0</v>
      </c>
      <c r="Y59" s="164"/>
      <c r="Z59" s="156">
        <f t="shared" si="584"/>
        <v>0</v>
      </c>
      <c r="AA59" s="165"/>
      <c r="AB59" s="165"/>
      <c r="AC59" s="166"/>
      <c r="AD59" s="156">
        <f t="shared" si="585"/>
        <v>0</v>
      </c>
      <c r="AE59" s="164">
        <f t="shared" si="586"/>
        <v>0.4604471269</v>
      </c>
      <c r="AF59" s="167">
        <f t="shared" si="587"/>
        <v>0</v>
      </c>
      <c r="AG59" s="168">
        <f t="shared" si="588"/>
        <v>0</v>
      </c>
      <c r="AH59" s="159"/>
      <c r="AI59" s="161">
        <f t="shared" si="705"/>
        <v>11</v>
      </c>
      <c r="AJ59" s="162" t="str">
        <f t="shared" ref="AJ59:AL59" si="865">IFERROR(VLOOKUP($R59,$A$13:$D$30,-AJ$12,FALSE),"")</f>
        <v>Lainnya 2.3 (3) …….</v>
      </c>
      <c r="AK59" s="163" t="str">
        <f t="shared" si="865"/>
        <v/>
      </c>
      <c r="AL59" s="163" t="str">
        <f t="shared" si="865"/>
        <v/>
      </c>
      <c r="AM59" s="156" t="str">
        <f>ADHK!AM59</f>
        <v/>
      </c>
      <c r="AN59" s="156"/>
      <c r="AO59" s="156">
        <f t="shared" si="590"/>
        <v>0</v>
      </c>
      <c r="AP59" s="164"/>
      <c r="AQ59" s="156">
        <f t="shared" si="591"/>
        <v>0</v>
      </c>
      <c r="AR59" s="165"/>
      <c r="AS59" s="165"/>
      <c r="AT59" s="166"/>
      <c r="AU59" s="156">
        <f t="shared" si="592"/>
        <v>0</v>
      </c>
      <c r="AV59" s="164">
        <f t="shared" si="593"/>
        <v>0.4604471269</v>
      </c>
      <c r="AW59" s="167">
        <f t="shared" si="594"/>
        <v>0</v>
      </c>
      <c r="AX59" s="168">
        <f t="shared" si="595"/>
        <v>0</v>
      </c>
      <c r="AY59" s="159"/>
      <c r="AZ59" s="161">
        <f t="shared" si="707"/>
        <v>11</v>
      </c>
      <c r="BA59" s="162" t="str">
        <f t="shared" ref="BA59:BC59" si="866">IFERROR(VLOOKUP($R59,$A$13:$D$30,-BA$12,FALSE),"")</f>
        <v>Lainnya 2.3 (3) …….</v>
      </c>
      <c r="BB59" s="163" t="str">
        <f t="shared" si="866"/>
        <v/>
      </c>
      <c r="BC59" s="163" t="str">
        <f t="shared" si="866"/>
        <v/>
      </c>
      <c r="BD59" s="156" t="str">
        <f>ADHK!BD59</f>
        <v/>
      </c>
      <c r="BE59" s="156"/>
      <c r="BF59" s="156">
        <f t="shared" si="597"/>
        <v>0</v>
      </c>
      <c r="BG59" s="164"/>
      <c r="BH59" s="156">
        <f t="shared" si="598"/>
        <v>0</v>
      </c>
      <c r="BI59" s="165"/>
      <c r="BJ59" s="165"/>
      <c r="BK59" s="166"/>
      <c r="BL59" s="156">
        <f t="shared" si="599"/>
        <v>0</v>
      </c>
      <c r="BM59" s="164">
        <f t="shared" si="600"/>
        <v>0.4604471269</v>
      </c>
      <c r="BN59" s="167">
        <f t="shared" si="601"/>
        <v>0</v>
      </c>
      <c r="BO59" s="168">
        <f t="shared" si="602"/>
        <v>0</v>
      </c>
      <c r="BP59" s="159"/>
      <c r="BQ59" s="161">
        <f t="shared" si="709"/>
        <v>11</v>
      </c>
      <c r="BR59" s="162" t="str">
        <f t="shared" ref="BR59:BT59" si="867">IFERROR(VLOOKUP($R59,$A$13:$D$30,-BR$12,FALSE),"")</f>
        <v>Lainnya 2.3 (3) …….</v>
      </c>
      <c r="BS59" s="163" t="str">
        <f t="shared" si="867"/>
        <v/>
      </c>
      <c r="BT59" s="163" t="str">
        <f t="shared" si="867"/>
        <v/>
      </c>
      <c r="BU59" s="156" t="str">
        <f>ADHK!BU59</f>
        <v/>
      </c>
      <c r="BV59" s="156"/>
      <c r="BW59" s="156">
        <f t="shared" si="604"/>
        <v>0</v>
      </c>
      <c r="BX59" s="164"/>
      <c r="BY59" s="156">
        <f t="shared" si="605"/>
        <v>0</v>
      </c>
      <c r="BZ59" s="165"/>
      <c r="CA59" s="165"/>
      <c r="CB59" s="166"/>
      <c r="CC59" s="156">
        <f t="shared" si="606"/>
        <v>0</v>
      </c>
      <c r="CD59" s="164">
        <f t="shared" si="607"/>
        <v>0.4604471269</v>
      </c>
      <c r="CE59" s="167">
        <f t="shared" si="608"/>
        <v>0</v>
      </c>
      <c r="CF59" s="168">
        <f t="shared" si="609"/>
        <v>0</v>
      </c>
      <c r="CG59" s="159"/>
      <c r="CH59" s="161">
        <f t="shared" si="711"/>
        <v>11</v>
      </c>
      <c r="CI59" s="162" t="str">
        <f t="shared" ref="CI59:CK59" si="868">IFERROR(VLOOKUP($R59,$A$13:$D$30,-CI$12,FALSE),"")</f>
        <v>Lainnya 2.3 (3) …….</v>
      </c>
      <c r="CJ59" s="163" t="str">
        <f t="shared" si="868"/>
        <v/>
      </c>
      <c r="CK59" s="163" t="str">
        <f t="shared" si="868"/>
        <v/>
      </c>
      <c r="CL59" s="156" t="str">
        <f>ADHK!CL59</f>
        <v/>
      </c>
      <c r="CM59" s="156"/>
      <c r="CN59" s="156">
        <f t="shared" si="611"/>
        <v>0</v>
      </c>
      <c r="CO59" s="164"/>
      <c r="CP59" s="156">
        <f t="shared" si="612"/>
        <v>0</v>
      </c>
      <c r="CQ59" s="165"/>
      <c r="CR59" s="165"/>
      <c r="CS59" s="166"/>
      <c r="CT59" s="156">
        <f t="shared" si="613"/>
        <v>0</v>
      </c>
      <c r="CU59" s="164">
        <f t="shared" si="614"/>
        <v>0.4604471269</v>
      </c>
      <c r="CV59" s="167">
        <f t="shared" si="615"/>
        <v>0</v>
      </c>
      <c r="CW59" s="168">
        <f t="shared" si="616"/>
        <v>0</v>
      </c>
      <c r="CX59" s="159"/>
      <c r="CY59" s="161">
        <f t="shared" si="713"/>
        <v>11</v>
      </c>
      <c r="CZ59" s="162" t="str">
        <f t="shared" ref="CZ59:DB59" si="869">IFERROR(VLOOKUP($R59,$A$13:$D$30,-CZ$12,FALSE),"")</f>
        <v>Lainnya 2.3 (3) …….</v>
      </c>
      <c r="DA59" s="163" t="str">
        <f t="shared" si="869"/>
        <v/>
      </c>
      <c r="DB59" s="163" t="str">
        <f t="shared" si="869"/>
        <v/>
      </c>
      <c r="DC59" s="156" t="str">
        <f>ADHK!DC59</f>
        <v/>
      </c>
      <c r="DD59" s="156"/>
      <c r="DE59" s="156">
        <f t="shared" si="618"/>
        <v>0</v>
      </c>
      <c r="DF59" s="164"/>
      <c r="DG59" s="156">
        <f t="shared" si="619"/>
        <v>0</v>
      </c>
      <c r="DH59" s="165"/>
      <c r="DI59" s="165"/>
      <c r="DJ59" s="166"/>
      <c r="DK59" s="156">
        <f t="shared" si="620"/>
        <v>0</v>
      </c>
      <c r="DL59" s="164">
        <f t="shared" si="621"/>
        <v>0.4604471269</v>
      </c>
      <c r="DM59" s="167">
        <f t="shared" si="622"/>
        <v>0</v>
      </c>
      <c r="DN59" s="168">
        <f t="shared" si="623"/>
        <v>0</v>
      </c>
      <c r="DO59" s="159"/>
      <c r="DP59" s="161">
        <f t="shared" si="715"/>
        <v>11</v>
      </c>
      <c r="DQ59" s="162" t="str">
        <f t="shared" ref="DQ59:DS59" si="870">IFERROR(VLOOKUP($R59,$A$13:$D$30,-DQ$12,FALSE),"")</f>
        <v>Lainnya 2.3 (3) …….</v>
      </c>
      <c r="DR59" s="163" t="str">
        <f t="shared" si="870"/>
        <v/>
      </c>
      <c r="DS59" s="163" t="str">
        <f t="shared" si="870"/>
        <v/>
      </c>
      <c r="DT59" s="156" t="str">
        <f>ADHK!DT59</f>
        <v/>
      </c>
      <c r="DU59" s="156"/>
      <c r="DV59" s="156">
        <f t="shared" si="625"/>
        <v>0</v>
      </c>
      <c r="DW59" s="164"/>
      <c r="DX59" s="156">
        <f t="shared" si="626"/>
        <v>0</v>
      </c>
      <c r="DY59" s="165"/>
      <c r="DZ59" s="165"/>
      <c r="EA59" s="166"/>
      <c r="EB59" s="156">
        <f t="shared" si="627"/>
        <v>0</v>
      </c>
      <c r="EC59" s="164">
        <f t="shared" si="628"/>
        <v>0.4604471269</v>
      </c>
      <c r="ED59" s="167">
        <f t="shared" si="629"/>
        <v>0</v>
      </c>
      <c r="EE59" s="168">
        <f t="shared" si="630"/>
        <v>0</v>
      </c>
      <c r="EF59" s="159"/>
      <c r="EG59" s="161">
        <f t="shared" si="717"/>
        <v>11</v>
      </c>
      <c r="EH59" s="162" t="str">
        <f t="shared" ref="EH59:EJ59" si="871">IFERROR(VLOOKUP($R59,$A$13:$D$30,-EH$12,FALSE),"")</f>
        <v>Lainnya 2.3 (3) …….</v>
      </c>
      <c r="EI59" s="163" t="str">
        <f t="shared" si="871"/>
        <v/>
      </c>
      <c r="EJ59" s="163" t="str">
        <f t="shared" si="871"/>
        <v/>
      </c>
      <c r="EK59" s="156" t="str">
        <f>ADHK!EK59</f>
        <v/>
      </c>
      <c r="EL59" s="156"/>
      <c r="EM59" s="156">
        <f t="shared" si="632"/>
        <v>0</v>
      </c>
      <c r="EN59" s="164"/>
      <c r="EO59" s="156">
        <f t="shared" si="633"/>
        <v>0</v>
      </c>
      <c r="EP59" s="165"/>
      <c r="EQ59" s="165"/>
      <c r="ER59" s="166"/>
      <c r="ES59" s="156">
        <f t="shared" si="634"/>
        <v>0</v>
      </c>
      <c r="ET59" s="164">
        <f t="shared" si="635"/>
        <v>0.4604471269</v>
      </c>
      <c r="EU59" s="167">
        <f t="shared" si="636"/>
        <v>0</v>
      </c>
      <c r="EV59" s="168">
        <f t="shared" si="637"/>
        <v>0</v>
      </c>
      <c r="EW59" s="159"/>
      <c r="EX59" s="161">
        <f t="shared" si="719"/>
        <v>11</v>
      </c>
      <c r="EY59" s="162" t="str">
        <f t="shared" ref="EY59:FA59" si="872">IFERROR(VLOOKUP($R59,$A$13:$D$30,-EY$12,FALSE),"")</f>
        <v>Lainnya 2.3 (3) …….</v>
      </c>
      <c r="EZ59" s="163" t="str">
        <f t="shared" si="872"/>
        <v/>
      </c>
      <c r="FA59" s="163" t="str">
        <f t="shared" si="872"/>
        <v/>
      </c>
      <c r="FB59" s="156" t="str">
        <f>ADHK!FB59</f>
        <v/>
      </c>
      <c r="FC59" s="156"/>
      <c r="FD59" s="156">
        <f t="shared" si="639"/>
        <v>0</v>
      </c>
      <c r="FE59" s="164"/>
      <c r="FF59" s="156">
        <f t="shared" si="640"/>
        <v>0</v>
      </c>
      <c r="FG59" s="165"/>
      <c r="FH59" s="165"/>
      <c r="FI59" s="166"/>
      <c r="FJ59" s="156">
        <f t="shared" si="641"/>
        <v>0</v>
      </c>
      <c r="FK59" s="164">
        <f t="shared" si="642"/>
        <v>0.4604471269</v>
      </c>
      <c r="FL59" s="167">
        <f t="shared" si="643"/>
        <v>0</v>
      </c>
      <c r="FM59" s="168">
        <f t="shared" si="644"/>
        <v>0</v>
      </c>
      <c r="FN59" s="159"/>
      <c r="FO59" s="161">
        <f t="shared" si="721"/>
        <v>11</v>
      </c>
      <c r="FP59" s="162" t="str">
        <f t="shared" ref="FP59:FR59" si="873">IFERROR(VLOOKUP($R59,$A$13:$D$30,-FP$12,FALSE),"")</f>
        <v>Lainnya 2.3 (3) …….</v>
      </c>
      <c r="FQ59" s="163" t="str">
        <f t="shared" si="873"/>
        <v/>
      </c>
      <c r="FR59" s="163" t="str">
        <f t="shared" si="873"/>
        <v/>
      </c>
      <c r="FS59" s="156" t="str">
        <f>ADHK!FS59</f>
        <v/>
      </c>
      <c r="FT59" s="156"/>
      <c r="FU59" s="156">
        <f t="shared" si="646"/>
        <v>0</v>
      </c>
      <c r="FV59" s="164"/>
      <c r="FW59" s="156">
        <f t="shared" si="647"/>
        <v>0</v>
      </c>
      <c r="FX59" s="165"/>
      <c r="FY59" s="165"/>
      <c r="FZ59" s="166"/>
      <c r="GA59" s="156">
        <f t="shared" si="648"/>
        <v>0</v>
      </c>
      <c r="GB59" s="164">
        <f t="shared" si="649"/>
        <v>0.4604471269</v>
      </c>
      <c r="GC59" s="167">
        <f t="shared" si="650"/>
        <v>0</v>
      </c>
      <c r="GD59" s="168">
        <f t="shared" si="651"/>
        <v>0</v>
      </c>
      <c r="GE59" s="159"/>
      <c r="GF59" s="161">
        <f t="shared" si="723"/>
        <v>11</v>
      </c>
      <c r="GG59" s="162" t="str">
        <f t="shared" ref="GG59:GI59" si="874">IFERROR(VLOOKUP($R59,$A$13:$D$30,-GG$12,FALSE),"")</f>
        <v>Lainnya 2.3 (3) …….</v>
      </c>
      <c r="GH59" s="163" t="str">
        <f t="shared" si="874"/>
        <v/>
      </c>
      <c r="GI59" s="163" t="str">
        <f t="shared" si="874"/>
        <v/>
      </c>
      <c r="GJ59" s="156" t="str">
        <f>ADHK!GJ59</f>
        <v/>
      </c>
      <c r="GK59" s="156"/>
      <c r="GL59" s="156">
        <f t="shared" si="653"/>
        <v>0</v>
      </c>
      <c r="GM59" s="164"/>
      <c r="GN59" s="156">
        <f t="shared" si="654"/>
        <v>0</v>
      </c>
      <c r="GO59" s="165"/>
      <c r="GP59" s="165"/>
      <c r="GQ59" s="166"/>
      <c r="GR59" s="156">
        <f t="shared" si="655"/>
        <v>0</v>
      </c>
      <c r="GS59" s="164">
        <f t="shared" si="656"/>
        <v>0.4604471269</v>
      </c>
      <c r="GT59" s="167">
        <f t="shared" si="657"/>
        <v>0</v>
      </c>
      <c r="GU59" s="168">
        <f t="shared" si="658"/>
        <v>0</v>
      </c>
      <c r="GV59" s="159"/>
      <c r="GW59" s="161">
        <f t="shared" si="725"/>
        <v>11</v>
      </c>
      <c r="GX59" s="162" t="str">
        <f t="shared" ref="GX59:GZ59" si="875">IFERROR(VLOOKUP($R59,$A$13:$D$30,-GX$12,FALSE),"")</f>
        <v>Lainnya 2.3 (3) …….</v>
      </c>
      <c r="GY59" s="163" t="str">
        <f t="shared" si="875"/>
        <v/>
      </c>
      <c r="GZ59" s="163" t="str">
        <f t="shared" si="875"/>
        <v/>
      </c>
      <c r="HA59" s="156" t="str">
        <f>ADHK!HA59</f>
        <v/>
      </c>
      <c r="HB59" s="156"/>
      <c r="HC59" s="156">
        <f t="shared" si="660"/>
        <v>0</v>
      </c>
      <c r="HD59" s="164"/>
      <c r="HE59" s="156">
        <f t="shared" si="661"/>
        <v>0</v>
      </c>
      <c r="HF59" s="165"/>
      <c r="HG59" s="165"/>
      <c r="HH59" s="166"/>
      <c r="HI59" s="156">
        <f t="shared" si="662"/>
        <v>0</v>
      </c>
      <c r="HJ59" s="164">
        <f t="shared" si="663"/>
        <v>0.4604471269</v>
      </c>
      <c r="HK59" s="167">
        <f t="shared" si="664"/>
        <v>0</v>
      </c>
      <c r="HL59" s="168">
        <f t="shared" si="665"/>
        <v>0</v>
      </c>
      <c r="HM59" s="159"/>
      <c r="HN59" s="161">
        <f t="shared" si="727"/>
        <v>11</v>
      </c>
      <c r="HO59" s="162" t="str">
        <f t="shared" ref="HO59:HQ59" si="876">IFERROR(VLOOKUP($R59,$A$13:$D$30,-HO$12,FALSE),"")</f>
        <v>Lainnya 2.3 (3) …….</v>
      </c>
      <c r="HP59" s="163" t="str">
        <f t="shared" si="876"/>
        <v/>
      </c>
      <c r="HQ59" s="163" t="str">
        <f t="shared" si="876"/>
        <v/>
      </c>
      <c r="HR59" s="156" t="str">
        <f>ADHK!HR59</f>
        <v/>
      </c>
      <c r="HS59" s="156"/>
      <c r="HT59" s="156">
        <f t="shared" si="667"/>
        <v>0</v>
      </c>
      <c r="HU59" s="164"/>
      <c r="HV59" s="156">
        <f t="shared" si="668"/>
        <v>0</v>
      </c>
      <c r="HW59" s="165"/>
      <c r="HX59" s="165"/>
      <c r="HY59" s="166"/>
      <c r="HZ59" s="156">
        <f t="shared" si="669"/>
        <v>0</v>
      </c>
      <c r="IA59" s="164">
        <f t="shared" si="670"/>
        <v>0.4604471269</v>
      </c>
      <c r="IB59" s="167">
        <f t="shared" si="671"/>
        <v>0</v>
      </c>
      <c r="IC59" s="168">
        <f t="shared" si="672"/>
        <v>0</v>
      </c>
      <c r="ID59" s="159"/>
      <c r="IE59" s="161">
        <f t="shared" si="729"/>
        <v>11</v>
      </c>
      <c r="IF59" s="162" t="str">
        <f t="shared" ref="IF59:IH59" si="877">IFERROR(VLOOKUP($R59,$A$13:$D$30,-IF$12,FALSE),"")</f>
        <v>Lainnya 2.3 (3) …….</v>
      </c>
      <c r="IG59" s="163" t="str">
        <f t="shared" si="877"/>
        <v/>
      </c>
      <c r="IH59" s="163" t="str">
        <f t="shared" si="877"/>
        <v/>
      </c>
      <c r="II59" s="156" t="str">
        <f>ADHK!II59</f>
        <v/>
      </c>
      <c r="IJ59" s="156"/>
      <c r="IK59" s="156">
        <f t="shared" si="674"/>
        <v>0</v>
      </c>
      <c r="IL59" s="164"/>
      <c r="IM59" s="156">
        <f t="shared" si="675"/>
        <v>0</v>
      </c>
      <c r="IN59" s="165"/>
      <c r="IO59" s="165"/>
      <c r="IP59" s="166"/>
      <c r="IQ59" s="156">
        <f t="shared" si="676"/>
        <v>0</v>
      </c>
      <c r="IR59" s="164">
        <f t="shared" si="677"/>
        <v>0.4604471269</v>
      </c>
      <c r="IS59" s="167">
        <f t="shared" si="678"/>
        <v>0</v>
      </c>
      <c r="IT59" s="168">
        <f t="shared" si="679"/>
        <v>0</v>
      </c>
      <c r="IU59" s="159"/>
      <c r="IV59" s="161">
        <f t="shared" si="731"/>
        <v>11</v>
      </c>
      <c r="IW59" s="162" t="str">
        <f t="shared" ref="IW59:IY59" si="878">IFERROR(VLOOKUP($R59,$A$13:$D$30,-IW$12,FALSE),"")</f>
        <v>Lainnya 2.3 (3) …….</v>
      </c>
      <c r="IX59" s="163" t="str">
        <f t="shared" si="878"/>
        <v/>
      </c>
      <c r="IY59" s="163" t="str">
        <f t="shared" si="878"/>
        <v/>
      </c>
      <c r="IZ59" s="156" t="str">
        <f>ADHK!IZ59</f>
        <v/>
      </c>
      <c r="JA59" s="156"/>
      <c r="JB59" s="156">
        <f t="shared" si="681"/>
        <v>0</v>
      </c>
      <c r="JC59" s="164"/>
      <c r="JD59" s="156">
        <f t="shared" si="682"/>
        <v>0</v>
      </c>
      <c r="JE59" s="165"/>
      <c r="JF59" s="165"/>
      <c r="JG59" s="166"/>
      <c r="JH59" s="156">
        <f t="shared" si="683"/>
        <v>0</v>
      </c>
      <c r="JI59" s="164">
        <f t="shared" si="684"/>
        <v>0.4604471269</v>
      </c>
      <c r="JJ59" s="167">
        <f t="shared" si="685"/>
        <v>0</v>
      </c>
      <c r="JK59" s="168">
        <f t="shared" si="686"/>
        <v>0</v>
      </c>
      <c r="JL59" s="159"/>
      <c r="JM59" s="161">
        <f t="shared" si="733"/>
        <v>11</v>
      </c>
      <c r="JN59" s="162" t="str">
        <f t="shared" ref="JN59:JP59" si="879">IFERROR(VLOOKUP($R59,$A$13:$D$30,-JN$12,FALSE),"")</f>
        <v>Lainnya 2.3 (3) …….</v>
      </c>
      <c r="JO59" s="163" t="str">
        <f t="shared" si="879"/>
        <v/>
      </c>
      <c r="JP59" s="163" t="str">
        <f t="shared" si="879"/>
        <v/>
      </c>
      <c r="JQ59" s="156" t="str">
        <f>ADHK!KY59</f>
        <v/>
      </c>
      <c r="JR59" s="156"/>
      <c r="JS59" s="156">
        <f t="shared" si="688"/>
        <v>0</v>
      </c>
      <c r="JT59" s="164"/>
      <c r="JU59" s="156">
        <f t="shared" si="689"/>
        <v>0</v>
      </c>
      <c r="JV59" s="165"/>
      <c r="JW59" s="165"/>
      <c r="JX59" s="166"/>
      <c r="JY59" s="156">
        <f t="shared" si="690"/>
        <v>0</v>
      </c>
      <c r="JZ59" s="164">
        <f t="shared" si="691"/>
        <v>0.4604471269</v>
      </c>
      <c r="KA59" s="167">
        <f t="shared" si="692"/>
        <v>0</v>
      </c>
      <c r="KB59" s="168">
        <f t="shared" si="693"/>
        <v>0</v>
      </c>
      <c r="KC59" s="159"/>
      <c r="KD59" s="161">
        <f t="shared" si="735"/>
        <v>11</v>
      </c>
      <c r="KE59" s="162" t="str">
        <f t="shared" ref="KE59:KG59" si="880">IFERROR(VLOOKUP($R59,$A$13:$D$30,-KE$12,FALSE),"")</f>
        <v>Lainnya 2.3 (3) …….</v>
      </c>
      <c r="KF59" s="163" t="str">
        <f t="shared" si="880"/>
        <v/>
      </c>
      <c r="KG59" s="163" t="str">
        <f t="shared" si="880"/>
        <v/>
      </c>
      <c r="KH59" s="156" t="str">
        <f>ADHK!LP59</f>
        <v/>
      </c>
      <c r="KI59" s="156"/>
      <c r="KJ59" s="156">
        <f t="shared" si="695"/>
        <v>0</v>
      </c>
      <c r="KK59" s="164"/>
      <c r="KL59" s="156">
        <f t="shared" si="696"/>
        <v>0</v>
      </c>
      <c r="KM59" s="165"/>
      <c r="KN59" s="165"/>
      <c r="KO59" s="166"/>
      <c r="KP59" s="156">
        <f t="shared" si="697"/>
        <v>0</v>
      </c>
      <c r="KQ59" s="164">
        <f t="shared" si="698"/>
        <v>0.4604471269</v>
      </c>
      <c r="KR59" s="167">
        <f t="shared" si="699"/>
        <v>0</v>
      </c>
      <c r="KS59" s="168">
        <f t="shared" si="700"/>
        <v>0</v>
      </c>
      <c r="KT59" s="159"/>
      <c r="KU59" s="160"/>
    </row>
    <row r="60" ht="15.75" customHeight="1">
      <c r="A60" s="161">
        <f t="shared" si="701"/>
        <v>12</v>
      </c>
      <c r="B60" s="162" t="str">
        <f t="shared" ref="B60:D60" si="881">IFERROR(VLOOKUP($A60,$A$13:$D$30,-B$12,FALSE),"")</f>
        <v>Lainnya 2.3 (4) …….</v>
      </c>
      <c r="C60" s="163" t="str">
        <f t="shared" si="881"/>
        <v/>
      </c>
      <c r="D60" s="163" t="str">
        <f t="shared" si="881"/>
        <v/>
      </c>
      <c r="E60" s="156" t="str">
        <f>ADHK!E60</f>
        <v/>
      </c>
      <c r="F60" s="156" t="str">
        <f>ADHK!F60</f>
        <v/>
      </c>
      <c r="G60" s="156">
        <f t="shared" si="576"/>
        <v>0</v>
      </c>
      <c r="H60" s="164"/>
      <c r="I60" s="156">
        <f t="shared" si="577"/>
        <v>0</v>
      </c>
      <c r="J60" s="165"/>
      <c r="K60" s="165"/>
      <c r="L60" s="166"/>
      <c r="M60" s="156">
        <f t="shared" si="578"/>
        <v>0</v>
      </c>
      <c r="N60" s="164">
        <f t="shared" si="579"/>
        <v>0.4604471269</v>
      </c>
      <c r="O60" s="167">
        <f t="shared" si="580"/>
        <v>0</v>
      </c>
      <c r="P60" s="168">
        <f t="shared" si="581"/>
        <v>0</v>
      </c>
      <c r="Q60" s="159"/>
      <c r="R60" s="161">
        <f t="shared" si="703"/>
        <v>12</v>
      </c>
      <c r="S60" s="162" t="str">
        <f t="shared" ref="S60:U60" si="882">IFERROR(VLOOKUP($R60,$A$13:$D$30,-S$12,FALSE),"")</f>
        <v>Lainnya 2.3 (4) …….</v>
      </c>
      <c r="T60" s="163" t="str">
        <f t="shared" si="882"/>
        <v/>
      </c>
      <c r="U60" s="163" t="str">
        <f t="shared" si="882"/>
        <v/>
      </c>
      <c r="V60" s="156" t="str">
        <f>ADHK!V60</f>
        <v/>
      </c>
      <c r="W60" s="156"/>
      <c r="X60" s="156">
        <f t="shared" si="583"/>
        <v>0</v>
      </c>
      <c r="Y60" s="164"/>
      <c r="Z60" s="156">
        <f t="shared" si="584"/>
        <v>0</v>
      </c>
      <c r="AA60" s="165"/>
      <c r="AB60" s="165"/>
      <c r="AC60" s="166"/>
      <c r="AD60" s="156">
        <f t="shared" si="585"/>
        <v>0</v>
      </c>
      <c r="AE60" s="164">
        <f t="shared" si="586"/>
        <v>0.4604471269</v>
      </c>
      <c r="AF60" s="167">
        <f t="shared" si="587"/>
        <v>0</v>
      </c>
      <c r="AG60" s="168">
        <f t="shared" si="588"/>
        <v>0</v>
      </c>
      <c r="AH60" s="159"/>
      <c r="AI60" s="161">
        <f t="shared" si="705"/>
        <v>12</v>
      </c>
      <c r="AJ60" s="162" t="str">
        <f t="shared" ref="AJ60:AL60" si="883">IFERROR(VLOOKUP($R60,$A$13:$D$30,-AJ$12,FALSE),"")</f>
        <v>Lainnya 2.3 (4) …….</v>
      </c>
      <c r="AK60" s="163" t="str">
        <f t="shared" si="883"/>
        <v/>
      </c>
      <c r="AL60" s="163" t="str">
        <f t="shared" si="883"/>
        <v/>
      </c>
      <c r="AM60" s="156" t="str">
        <f>ADHK!AM60</f>
        <v/>
      </c>
      <c r="AN60" s="156"/>
      <c r="AO60" s="156">
        <f t="shared" si="590"/>
        <v>0</v>
      </c>
      <c r="AP60" s="164"/>
      <c r="AQ60" s="156">
        <f t="shared" si="591"/>
        <v>0</v>
      </c>
      <c r="AR60" s="165"/>
      <c r="AS60" s="165"/>
      <c r="AT60" s="166"/>
      <c r="AU60" s="156">
        <f t="shared" si="592"/>
        <v>0</v>
      </c>
      <c r="AV60" s="164">
        <f t="shared" si="593"/>
        <v>0.4604471269</v>
      </c>
      <c r="AW60" s="167">
        <f t="shared" si="594"/>
        <v>0</v>
      </c>
      <c r="AX60" s="168">
        <f t="shared" si="595"/>
        <v>0</v>
      </c>
      <c r="AY60" s="159"/>
      <c r="AZ60" s="161">
        <f t="shared" si="707"/>
        <v>12</v>
      </c>
      <c r="BA60" s="162" t="str">
        <f t="shared" ref="BA60:BC60" si="884">IFERROR(VLOOKUP($R60,$A$13:$D$30,-BA$12,FALSE),"")</f>
        <v>Lainnya 2.3 (4) …….</v>
      </c>
      <c r="BB60" s="163" t="str">
        <f t="shared" si="884"/>
        <v/>
      </c>
      <c r="BC60" s="163" t="str">
        <f t="shared" si="884"/>
        <v/>
      </c>
      <c r="BD60" s="156" t="str">
        <f>ADHK!BD60</f>
        <v/>
      </c>
      <c r="BE60" s="156"/>
      <c r="BF60" s="156">
        <f t="shared" si="597"/>
        <v>0</v>
      </c>
      <c r="BG60" s="164"/>
      <c r="BH60" s="156">
        <f t="shared" si="598"/>
        <v>0</v>
      </c>
      <c r="BI60" s="165"/>
      <c r="BJ60" s="165"/>
      <c r="BK60" s="166"/>
      <c r="BL60" s="156">
        <f t="shared" si="599"/>
        <v>0</v>
      </c>
      <c r="BM60" s="164">
        <f t="shared" si="600"/>
        <v>0.4604471269</v>
      </c>
      <c r="BN60" s="167">
        <f t="shared" si="601"/>
        <v>0</v>
      </c>
      <c r="BO60" s="168">
        <f t="shared" si="602"/>
        <v>0</v>
      </c>
      <c r="BP60" s="159"/>
      <c r="BQ60" s="161">
        <f t="shared" si="709"/>
        <v>12</v>
      </c>
      <c r="BR60" s="162" t="str">
        <f t="shared" ref="BR60:BT60" si="885">IFERROR(VLOOKUP($R60,$A$13:$D$30,-BR$12,FALSE),"")</f>
        <v>Lainnya 2.3 (4) …….</v>
      </c>
      <c r="BS60" s="163" t="str">
        <f t="shared" si="885"/>
        <v/>
      </c>
      <c r="BT60" s="163" t="str">
        <f t="shared" si="885"/>
        <v/>
      </c>
      <c r="BU60" s="156" t="str">
        <f>ADHK!BU60</f>
        <v/>
      </c>
      <c r="BV60" s="156"/>
      <c r="BW60" s="156">
        <f t="shared" si="604"/>
        <v>0</v>
      </c>
      <c r="BX60" s="164"/>
      <c r="BY60" s="156">
        <f t="shared" si="605"/>
        <v>0</v>
      </c>
      <c r="BZ60" s="165"/>
      <c r="CA60" s="165"/>
      <c r="CB60" s="166"/>
      <c r="CC60" s="156">
        <f t="shared" si="606"/>
        <v>0</v>
      </c>
      <c r="CD60" s="164">
        <f t="shared" si="607"/>
        <v>0.4604471269</v>
      </c>
      <c r="CE60" s="167">
        <f t="shared" si="608"/>
        <v>0</v>
      </c>
      <c r="CF60" s="168">
        <f t="shared" si="609"/>
        <v>0</v>
      </c>
      <c r="CG60" s="159"/>
      <c r="CH60" s="161">
        <f t="shared" si="711"/>
        <v>12</v>
      </c>
      <c r="CI60" s="162" t="str">
        <f t="shared" ref="CI60:CK60" si="886">IFERROR(VLOOKUP($R60,$A$13:$D$30,-CI$12,FALSE),"")</f>
        <v>Lainnya 2.3 (4) …….</v>
      </c>
      <c r="CJ60" s="163" t="str">
        <f t="shared" si="886"/>
        <v/>
      </c>
      <c r="CK60" s="163" t="str">
        <f t="shared" si="886"/>
        <v/>
      </c>
      <c r="CL60" s="156" t="str">
        <f>ADHK!CL60</f>
        <v/>
      </c>
      <c r="CM60" s="156"/>
      <c r="CN60" s="156">
        <f t="shared" si="611"/>
        <v>0</v>
      </c>
      <c r="CO60" s="164"/>
      <c r="CP60" s="156">
        <f t="shared" si="612"/>
        <v>0</v>
      </c>
      <c r="CQ60" s="165"/>
      <c r="CR60" s="165"/>
      <c r="CS60" s="166"/>
      <c r="CT60" s="156">
        <f t="shared" si="613"/>
        <v>0</v>
      </c>
      <c r="CU60" s="164">
        <f t="shared" si="614"/>
        <v>0.4604471269</v>
      </c>
      <c r="CV60" s="167">
        <f t="shared" si="615"/>
        <v>0</v>
      </c>
      <c r="CW60" s="168">
        <f t="shared" si="616"/>
        <v>0</v>
      </c>
      <c r="CX60" s="159"/>
      <c r="CY60" s="161">
        <f t="shared" si="713"/>
        <v>12</v>
      </c>
      <c r="CZ60" s="162" t="str">
        <f t="shared" ref="CZ60:DB60" si="887">IFERROR(VLOOKUP($R60,$A$13:$D$30,-CZ$12,FALSE),"")</f>
        <v>Lainnya 2.3 (4) …….</v>
      </c>
      <c r="DA60" s="163" t="str">
        <f t="shared" si="887"/>
        <v/>
      </c>
      <c r="DB60" s="163" t="str">
        <f t="shared" si="887"/>
        <v/>
      </c>
      <c r="DC60" s="156" t="str">
        <f>ADHK!DC60</f>
        <v/>
      </c>
      <c r="DD60" s="156"/>
      <c r="DE60" s="156">
        <f t="shared" si="618"/>
        <v>0</v>
      </c>
      <c r="DF60" s="164"/>
      <c r="DG60" s="156">
        <f t="shared" si="619"/>
        <v>0</v>
      </c>
      <c r="DH60" s="165"/>
      <c r="DI60" s="165"/>
      <c r="DJ60" s="166"/>
      <c r="DK60" s="156">
        <f t="shared" si="620"/>
        <v>0</v>
      </c>
      <c r="DL60" s="164">
        <f t="shared" si="621"/>
        <v>0.4604471269</v>
      </c>
      <c r="DM60" s="167">
        <f t="shared" si="622"/>
        <v>0</v>
      </c>
      <c r="DN60" s="168">
        <f t="shared" si="623"/>
        <v>0</v>
      </c>
      <c r="DO60" s="159"/>
      <c r="DP60" s="161">
        <f t="shared" si="715"/>
        <v>12</v>
      </c>
      <c r="DQ60" s="162" t="str">
        <f t="shared" ref="DQ60:DS60" si="888">IFERROR(VLOOKUP($R60,$A$13:$D$30,-DQ$12,FALSE),"")</f>
        <v>Lainnya 2.3 (4) …….</v>
      </c>
      <c r="DR60" s="163" t="str">
        <f t="shared" si="888"/>
        <v/>
      </c>
      <c r="DS60" s="163" t="str">
        <f t="shared" si="888"/>
        <v/>
      </c>
      <c r="DT60" s="156" t="str">
        <f>ADHK!DT60</f>
        <v/>
      </c>
      <c r="DU60" s="156"/>
      <c r="DV60" s="156">
        <f t="shared" si="625"/>
        <v>0</v>
      </c>
      <c r="DW60" s="164"/>
      <c r="DX60" s="156">
        <f t="shared" si="626"/>
        <v>0</v>
      </c>
      <c r="DY60" s="165"/>
      <c r="DZ60" s="165"/>
      <c r="EA60" s="166"/>
      <c r="EB60" s="156">
        <f t="shared" si="627"/>
        <v>0</v>
      </c>
      <c r="EC60" s="164">
        <f t="shared" si="628"/>
        <v>0.4604471269</v>
      </c>
      <c r="ED60" s="167">
        <f t="shared" si="629"/>
        <v>0</v>
      </c>
      <c r="EE60" s="168">
        <f t="shared" si="630"/>
        <v>0</v>
      </c>
      <c r="EF60" s="159"/>
      <c r="EG60" s="161">
        <f t="shared" si="717"/>
        <v>12</v>
      </c>
      <c r="EH60" s="162" t="str">
        <f t="shared" ref="EH60:EJ60" si="889">IFERROR(VLOOKUP($R60,$A$13:$D$30,-EH$12,FALSE),"")</f>
        <v>Lainnya 2.3 (4) …….</v>
      </c>
      <c r="EI60" s="163" t="str">
        <f t="shared" si="889"/>
        <v/>
      </c>
      <c r="EJ60" s="163" t="str">
        <f t="shared" si="889"/>
        <v/>
      </c>
      <c r="EK60" s="156" t="str">
        <f>ADHK!EK60</f>
        <v/>
      </c>
      <c r="EL60" s="156"/>
      <c r="EM60" s="156">
        <f t="shared" si="632"/>
        <v>0</v>
      </c>
      <c r="EN60" s="164"/>
      <c r="EO60" s="156">
        <f t="shared" si="633"/>
        <v>0</v>
      </c>
      <c r="EP60" s="165"/>
      <c r="EQ60" s="165"/>
      <c r="ER60" s="166"/>
      <c r="ES60" s="156">
        <f t="shared" si="634"/>
        <v>0</v>
      </c>
      <c r="ET60" s="164">
        <f t="shared" si="635"/>
        <v>0.4604471269</v>
      </c>
      <c r="EU60" s="167">
        <f t="shared" si="636"/>
        <v>0</v>
      </c>
      <c r="EV60" s="168">
        <f t="shared" si="637"/>
        <v>0</v>
      </c>
      <c r="EW60" s="159"/>
      <c r="EX60" s="161">
        <f t="shared" si="719"/>
        <v>12</v>
      </c>
      <c r="EY60" s="162" t="str">
        <f t="shared" ref="EY60:FA60" si="890">IFERROR(VLOOKUP($R60,$A$13:$D$30,-EY$12,FALSE),"")</f>
        <v>Lainnya 2.3 (4) …….</v>
      </c>
      <c r="EZ60" s="163" t="str">
        <f t="shared" si="890"/>
        <v/>
      </c>
      <c r="FA60" s="163" t="str">
        <f t="shared" si="890"/>
        <v/>
      </c>
      <c r="FB60" s="156" t="str">
        <f>ADHK!FB60</f>
        <v/>
      </c>
      <c r="FC60" s="156"/>
      <c r="FD60" s="156">
        <f t="shared" si="639"/>
        <v>0</v>
      </c>
      <c r="FE60" s="164"/>
      <c r="FF60" s="156">
        <f t="shared" si="640"/>
        <v>0</v>
      </c>
      <c r="FG60" s="165"/>
      <c r="FH60" s="165"/>
      <c r="FI60" s="166"/>
      <c r="FJ60" s="156">
        <f t="shared" si="641"/>
        <v>0</v>
      </c>
      <c r="FK60" s="164">
        <f t="shared" si="642"/>
        <v>0.4604471269</v>
      </c>
      <c r="FL60" s="167">
        <f t="shared" si="643"/>
        <v>0</v>
      </c>
      <c r="FM60" s="168">
        <f t="shared" si="644"/>
        <v>0</v>
      </c>
      <c r="FN60" s="159"/>
      <c r="FO60" s="161">
        <f t="shared" si="721"/>
        <v>12</v>
      </c>
      <c r="FP60" s="162" t="str">
        <f t="shared" ref="FP60:FR60" si="891">IFERROR(VLOOKUP($R60,$A$13:$D$30,-FP$12,FALSE),"")</f>
        <v>Lainnya 2.3 (4) …….</v>
      </c>
      <c r="FQ60" s="163" t="str">
        <f t="shared" si="891"/>
        <v/>
      </c>
      <c r="FR60" s="163" t="str">
        <f t="shared" si="891"/>
        <v/>
      </c>
      <c r="FS60" s="156" t="str">
        <f>ADHK!FS60</f>
        <v/>
      </c>
      <c r="FT60" s="156"/>
      <c r="FU60" s="156">
        <f t="shared" si="646"/>
        <v>0</v>
      </c>
      <c r="FV60" s="164"/>
      <c r="FW60" s="156">
        <f t="shared" si="647"/>
        <v>0</v>
      </c>
      <c r="FX60" s="165"/>
      <c r="FY60" s="165"/>
      <c r="FZ60" s="166"/>
      <c r="GA60" s="156">
        <f t="shared" si="648"/>
        <v>0</v>
      </c>
      <c r="GB60" s="164">
        <f t="shared" si="649"/>
        <v>0.4604471269</v>
      </c>
      <c r="GC60" s="167">
        <f t="shared" si="650"/>
        <v>0</v>
      </c>
      <c r="GD60" s="168">
        <f t="shared" si="651"/>
        <v>0</v>
      </c>
      <c r="GE60" s="159"/>
      <c r="GF60" s="161">
        <f t="shared" si="723"/>
        <v>12</v>
      </c>
      <c r="GG60" s="162" t="str">
        <f t="shared" ref="GG60:GI60" si="892">IFERROR(VLOOKUP($R60,$A$13:$D$30,-GG$12,FALSE),"")</f>
        <v>Lainnya 2.3 (4) …….</v>
      </c>
      <c r="GH60" s="163" t="str">
        <f t="shared" si="892"/>
        <v/>
      </c>
      <c r="GI60" s="163" t="str">
        <f t="shared" si="892"/>
        <v/>
      </c>
      <c r="GJ60" s="156" t="str">
        <f>ADHK!GJ60</f>
        <v/>
      </c>
      <c r="GK60" s="156"/>
      <c r="GL60" s="156">
        <f t="shared" si="653"/>
        <v>0</v>
      </c>
      <c r="GM60" s="164"/>
      <c r="GN60" s="156">
        <f t="shared" si="654"/>
        <v>0</v>
      </c>
      <c r="GO60" s="165"/>
      <c r="GP60" s="165"/>
      <c r="GQ60" s="166"/>
      <c r="GR60" s="156">
        <f t="shared" si="655"/>
        <v>0</v>
      </c>
      <c r="GS60" s="164">
        <f t="shared" si="656"/>
        <v>0.4604471269</v>
      </c>
      <c r="GT60" s="167">
        <f t="shared" si="657"/>
        <v>0</v>
      </c>
      <c r="GU60" s="168">
        <f t="shared" si="658"/>
        <v>0</v>
      </c>
      <c r="GV60" s="159"/>
      <c r="GW60" s="161">
        <f t="shared" si="725"/>
        <v>12</v>
      </c>
      <c r="GX60" s="162" t="str">
        <f t="shared" ref="GX60:GZ60" si="893">IFERROR(VLOOKUP($R60,$A$13:$D$30,-GX$12,FALSE),"")</f>
        <v>Lainnya 2.3 (4) …….</v>
      </c>
      <c r="GY60" s="163" t="str">
        <f t="shared" si="893"/>
        <v/>
      </c>
      <c r="GZ60" s="163" t="str">
        <f t="shared" si="893"/>
        <v/>
      </c>
      <c r="HA60" s="156" t="str">
        <f>ADHK!HA60</f>
        <v/>
      </c>
      <c r="HB60" s="156"/>
      <c r="HC60" s="156">
        <f t="shared" si="660"/>
        <v>0</v>
      </c>
      <c r="HD60" s="164"/>
      <c r="HE60" s="156">
        <f t="shared" si="661"/>
        <v>0</v>
      </c>
      <c r="HF60" s="165"/>
      <c r="HG60" s="165"/>
      <c r="HH60" s="166"/>
      <c r="HI60" s="156">
        <f t="shared" si="662"/>
        <v>0</v>
      </c>
      <c r="HJ60" s="164">
        <f t="shared" si="663"/>
        <v>0.4604471269</v>
      </c>
      <c r="HK60" s="167">
        <f t="shared" si="664"/>
        <v>0</v>
      </c>
      <c r="HL60" s="168">
        <f t="shared" si="665"/>
        <v>0</v>
      </c>
      <c r="HM60" s="159"/>
      <c r="HN60" s="161">
        <f t="shared" si="727"/>
        <v>12</v>
      </c>
      <c r="HO60" s="162" t="str">
        <f t="shared" ref="HO60:HQ60" si="894">IFERROR(VLOOKUP($R60,$A$13:$D$30,-HO$12,FALSE),"")</f>
        <v>Lainnya 2.3 (4) …….</v>
      </c>
      <c r="HP60" s="163" t="str">
        <f t="shared" si="894"/>
        <v/>
      </c>
      <c r="HQ60" s="163" t="str">
        <f t="shared" si="894"/>
        <v/>
      </c>
      <c r="HR60" s="156" t="str">
        <f>ADHK!HR60</f>
        <v/>
      </c>
      <c r="HS60" s="156"/>
      <c r="HT60" s="156">
        <f t="shared" si="667"/>
        <v>0</v>
      </c>
      <c r="HU60" s="164"/>
      <c r="HV60" s="156">
        <f t="shared" si="668"/>
        <v>0</v>
      </c>
      <c r="HW60" s="165"/>
      <c r="HX60" s="165"/>
      <c r="HY60" s="166"/>
      <c r="HZ60" s="156">
        <f t="shared" si="669"/>
        <v>0</v>
      </c>
      <c r="IA60" s="164">
        <f t="shared" si="670"/>
        <v>0.4604471269</v>
      </c>
      <c r="IB60" s="167">
        <f t="shared" si="671"/>
        <v>0</v>
      </c>
      <c r="IC60" s="168">
        <f t="shared" si="672"/>
        <v>0</v>
      </c>
      <c r="ID60" s="159"/>
      <c r="IE60" s="161">
        <f t="shared" si="729"/>
        <v>12</v>
      </c>
      <c r="IF60" s="162" t="str">
        <f t="shared" ref="IF60:IH60" si="895">IFERROR(VLOOKUP($R60,$A$13:$D$30,-IF$12,FALSE),"")</f>
        <v>Lainnya 2.3 (4) …….</v>
      </c>
      <c r="IG60" s="163" t="str">
        <f t="shared" si="895"/>
        <v/>
      </c>
      <c r="IH60" s="163" t="str">
        <f t="shared" si="895"/>
        <v/>
      </c>
      <c r="II60" s="156" t="str">
        <f>ADHK!II60</f>
        <v/>
      </c>
      <c r="IJ60" s="156"/>
      <c r="IK60" s="156">
        <f t="shared" si="674"/>
        <v>0</v>
      </c>
      <c r="IL60" s="164"/>
      <c r="IM60" s="156">
        <f t="shared" si="675"/>
        <v>0</v>
      </c>
      <c r="IN60" s="165"/>
      <c r="IO60" s="165"/>
      <c r="IP60" s="166"/>
      <c r="IQ60" s="156">
        <f t="shared" si="676"/>
        <v>0</v>
      </c>
      <c r="IR60" s="164">
        <f t="shared" si="677"/>
        <v>0.4604471269</v>
      </c>
      <c r="IS60" s="167">
        <f t="shared" si="678"/>
        <v>0</v>
      </c>
      <c r="IT60" s="168">
        <f t="shared" si="679"/>
        <v>0</v>
      </c>
      <c r="IU60" s="159"/>
      <c r="IV60" s="161">
        <f t="shared" si="731"/>
        <v>12</v>
      </c>
      <c r="IW60" s="162" t="str">
        <f t="shared" ref="IW60:IY60" si="896">IFERROR(VLOOKUP($R60,$A$13:$D$30,-IW$12,FALSE),"")</f>
        <v>Lainnya 2.3 (4) …….</v>
      </c>
      <c r="IX60" s="163" t="str">
        <f t="shared" si="896"/>
        <v/>
      </c>
      <c r="IY60" s="163" t="str">
        <f t="shared" si="896"/>
        <v/>
      </c>
      <c r="IZ60" s="156" t="str">
        <f>ADHK!IZ60</f>
        <v/>
      </c>
      <c r="JA60" s="156"/>
      <c r="JB60" s="156">
        <f t="shared" si="681"/>
        <v>0</v>
      </c>
      <c r="JC60" s="164"/>
      <c r="JD60" s="156">
        <f t="shared" si="682"/>
        <v>0</v>
      </c>
      <c r="JE60" s="165"/>
      <c r="JF60" s="165"/>
      <c r="JG60" s="166"/>
      <c r="JH60" s="156">
        <f t="shared" si="683"/>
        <v>0</v>
      </c>
      <c r="JI60" s="164">
        <f t="shared" si="684"/>
        <v>0.4604471269</v>
      </c>
      <c r="JJ60" s="167">
        <f t="shared" si="685"/>
        <v>0</v>
      </c>
      <c r="JK60" s="168">
        <f t="shared" si="686"/>
        <v>0</v>
      </c>
      <c r="JL60" s="159"/>
      <c r="JM60" s="161">
        <f t="shared" si="733"/>
        <v>12</v>
      </c>
      <c r="JN60" s="162" t="str">
        <f t="shared" ref="JN60:JP60" si="897">IFERROR(VLOOKUP($R60,$A$13:$D$30,-JN$12,FALSE),"")</f>
        <v>Lainnya 2.3 (4) …….</v>
      </c>
      <c r="JO60" s="163" t="str">
        <f t="shared" si="897"/>
        <v/>
      </c>
      <c r="JP60" s="163" t="str">
        <f t="shared" si="897"/>
        <v/>
      </c>
      <c r="JQ60" s="156" t="str">
        <f>ADHK!KY60</f>
        <v/>
      </c>
      <c r="JR60" s="156"/>
      <c r="JS60" s="156">
        <f t="shared" si="688"/>
        <v>0</v>
      </c>
      <c r="JT60" s="164"/>
      <c r="JU60" s="156">
        <f t="shared" si="689"/>
        <v>0</v>
      </c>
      <c r="JV60" s="165"/>
      <c r="JW60" s="165"/>
      <c r="JX60" s="166"/>
      <c r="JY60" s="156">
        <f t="shared" si="690"/>
        <v>0</v>
      </c>
      <c r="JZ60" s="164">
        <f t="shared" si="691"/>
        <v>0.4604471269</v>
      </c>
      <c r="KA60" s="167">
        <f t="shared" si="692"/>
        <v>0</v>
      </c>
      <c r="KB60" s="168">
        <f t="shared" si="693"/>
        <v>0</v>
      </c>
      <c r="KC60" s="159"/>
      <c r="KD60" s="161">
        <f t="shared" si="735"/>
        <v>12</v>
      </c>
      <c r="KE60" s="162" t="str">
        <f t="shared" ref="KE60:KG60" si="898">IFERROR(VLOOKUP($R60,$A$13:$D$30,-KE$12,FALSE),"")</f>
        <v>Lainnya 2.3 (4) …….</v>
      </c>
      <c r="KF60" s="163" t="str">
        <f t="shared" si="898"/>
        <v/>
      </c>
      <c r="KG60" s="163" t="str">
        <f t="shared" si="898"/>
        <v/>
      </c>
      <c r="KH60" s="156" t="str">
        <f>ADHK!LP60</f>
        <v/>
      </c>
      <c r="KI60" s="156"/>
      <c r="KJ60" s="156">
        <f t="shared" si="695"/>
        <v>0</v>
      </c>
      <c r="KK60" s="164"/>
      <c r="KL60" s="156">
        <f t="shared" si="696"/>
        <v>0</v>
      </c>
      <c r="KM60" s="165"/>
      <c r="KN60" s="165"/>
      <c r="KO60" s="166"/>
      <c r="KP60" s="156">
        <f t="shared" si="697"/>
        <v>0</v>
      </c>
      <c r="KQ60" s="164">
        <f t="shared" si="698"/>
        <v>0.4604471269</v>
      </c>
      <c r="KR60" s="167">
        <f t="shared" si="699"/>
        <v>0</v>
      </c>
      <c r="KS60" s="168">
        <f t="shared" si="700"/>
        <v>0</v>
      </c>
      <c r="KT60" s="159"/>
      <c r="KU60" s="160"/>
    </row>
    <row r="61" ht="15.75" customHeight="1">
      <c r="A61" s="161">
        <f t="shared" si="701"/>
        <v>13</v>
      </c>
      <c r="B61" s="162" t="str">
        <f t="shared" ref="B61:D61" si="899">IFERROR(VLOOKUP($A61,$A$13:$D$30,-B$12,FALSE),"")</f>
        <v>Lainnya 2.3 (5) …….</v>
      </c>
      <c r="C61" s="163" t="str">
        <f t="shared" si="899"/>
        <v/>
      </c>
      <c r="D61" s="163" t="str">
        <f t="shared" si="899"/>
        <v/>
      </c>
      <c r="E61" s="156" t="str">
        <f>ADHK!E61</f>
        <v/>
      </c>
      <c r="F61" s="156" t="str">
        <f>ADHK!F61</f>
        <v/>
      </c>
      <c r="G61" s="156">
        <f t="shared" si="576"/>
        <v>0</v>
      </c>
      <c r="H61" s="164"/>
      <c r="I61" s="156">
        <f t="shared" si="577"/>
        <v>0</v>
      </c>
      <c r="J61" s="165"/>
      <c r="K61" s="165"/>
      <c r="L61" s="166"/>
      <c r="M61" s="156">
        <f t="shared" si="578"/>
        <v>0</v>
      </c>
      <c r="N61" s="164">
        <f t="shared" si="579"/>
        <v>0.4604471269</v>
      </c>
      <c r="O61" s="167">
        <f t="shared" si="580"/>
        <v>0</v>
      </c>
      <c r="P61" s="168">
        <f t="shared" si="581"/>
        <v>0</v>
      </c>
      <c r="Q61" s="159"/>
      <c r="R61" s="161">
        <f t="shared" si="703"/>
        <v>13</v>
      </c>
      <c r="S61" s="162" t="str">
        <f t="shared" ref="S61:U61" si="900">IFERROR(VLOOKUP($R61,$A$13:$D$30,-S$12,FALSE),"")</f>
        <v>Lainnya 2.3 (5) …….</v>
      </c>
      <c r="T61" s="163" t="str">
        <f t="shared" si="900"/>
        <v/>
      </c>
      <c r="U61" s="163" t="str">
        <f t="shared" si="900"/>
        <v/>
      </c>
      <c r="V61" s="156" t="str">
        <f>ADHK!V61</f>
        <v/>
      </c>
      <c r="W61" s="156"/>
      <c r="X61" s="156">
        <f t="shared" si="583"/>
        <v>0</v>
      </c>
      <c r="Y61" s="164"/>
      <c r="Z61" s="156">
        <f t="shared" si="584"/>
        <v>0</v>
      </c>
      <c r="AA61" s="165"/>
      <c r="AB61" s="165"/>
      <c r="AC61" s="166"/>
      <c r="AD61" s="156">
        <f t="shared" si="585"/>
        <v>0</v>
      </c>
      <c r="AE61" s="164">
        <f t="shared" si="586"/>
        <v>0.4604471269</v>
      </c>
      <c r="AF61" s="167">
        <f t="shared" si="587"/>
        <v>0</v>
      </c>
      <c r="AG61" s="168">
        <f t="shared" si="588"/>
        <v>0</v>
      </c>
      <c r="AH61" s="159"/>
      <c r="AI61" s="161">
        <f t="shared" si="705"/>
        <v>13</v>
      </c>
      <c r="AJ61" s="162" t="str">
        <f t="shared" ref="AJ61:AL61" si="901">IFERROR(VLOOKUP($R61,$A$13:$D$30,-AJ$12,FALSE),"")</f>
        <v>Lainnya 2.3 (5) …….</v>
      </c>
      <c r="AK61" s="163" t="str">
        <f t="shared" si="901"/>
        <v/>
      </c>
      <c r="AL61" s="163" t="str">
        <f t="shared" si="901"/>
        <v/>
      </c>
      <c r="AM61" s="156" t="str">
        <f>ADHK!AM61</f>
        <v/>
      </c>
      <c r="AN61" s="156"/>
      <c r="AO61" s="156">
        <f t="shared" si="590"/>
        <v>0</v>
      </c>
      <c r="AP61" s="164"/>
      <c r="AQ61" s="156">
        <f t="shared" si="591"/>
        <v>0</v>
      </c>
      <c r="AR61" s="165"/>
      <c r="AS61" s="165"/>
      <c r="AT61" s="166"/>
      <c r="AU61" s="156">
        <f t="shared" si="592"/>
        <v>0</v>
      </c>
      <c r="AV61" s="164">
        <f t="shared" si="593"/>
        <v>0.4604471269</v>
      </c>
      <c r="AW61" s="167">
        <f t="shared" si="594"/>
        <v>0</v>
      </c>
      <c r="AX61" s="168">
        <f t="shared" si="595"/>
        <v>0</v>
      </c>
      <c r="AY61" s="159"/>
      <c r="AZ61" s="161">
        <f t="shared" si="707"/>
        <v>13</v>
      </c>
      <c r="BA61" s="162" t="str">
        <f t="shared" ref="BA61:BC61" si="902">IFERROR(VLOOKUP($R61,$A$13:$D$30,-BA$12,FALSE),"")</f>
        <v>Lainnya 2.3 (5) …….</v>
      </c>
      <c r="BB61" s="163" t="str">
        <f t="shared" si="902"/>
        <v/>
      </c>
      <c r="BC61" s="163" t="str">
        <f t="shared" si="902"/>
        <v/>
      </c>
      <c r="BD61" s="156" t="str">
        <f>ADHK!BD61</f>
        <v/>
      </c>
      <c r="BE61" s="156"/>
      <c r="BF61" s="156">
        <f t="shared" si="597"/>
        <v>0</v>
      </c>
      <c r="BG61" s="164"/>
      <c r="BH61" s="156">
        <f t="shared" si="598"/>
        <v>0</v>
      </c>
      <c r="BI61" s="165"/>
      <c r="BJ61" s="165"/>
      <c r="BK61" s="166"/>
      <c r="BL61" s="156">
        <f t="shared" si="599"/>
        <v>0</v>
      </c>
      <c r="BM61" s="164">
        <f t="shared" si="600"/>
        <v>0.4604471269</v>
      </c>
      <c r="BN61" s="167">
        <f t="shared" si="601"/>
        <v>0</v>
      </c>
      <c r="BO61" s="168">
        <f t="shared" si="602"/>
        <v>0</v>
      </c>
      <c r="BP61" s="159"/>
      <c r="BQ61" s="161">
        <f t="shared" si="709"/>
        <v>13</v>
      </c>
      <c r="BR61" s="162" t="str">
        <f t="shared" ref="BR61:BT61" si="903">IFERROR(VLOOKUP($R61,$A$13:$D$30,-BR$12,FALSE),"")</f>
        <v>Lainnya 2.3 (5) …….</v>
      </c>
      <c r="BS61" s="163" t="str">
        <f t="shared" si="903"/>
        <v/>
      </c>
      <c r="BT61" s="163" t="str">
        <f t="shared" si="903"/>
        <v/>
      </c>
      <c r="BU61" s="156" t="str">
        <f>ADHK!BU61</f>
        <v/>
      </c>
      <c r="BV61" s="156"/>
      <c r="BW61" s="156">
        <f t="shared" si="604"/>
        <v>0</v>
      </c>
      <c r="BX61" s="164"/>
      <c r="BY61" s="156">
        <f t="shared" si="605"/>
        <v>0</v>
      </c>
      <c r="BZ61" s="165"/>
      <c r="CA61" s="165"/>
      <c r="CB61" s="166"/>
      <c r="CC61" s="156">
        <f t="shared" si="606"/>
        <v>0</v>
      </c>
      <c r="CD61" s="164">
        <f t="shared" si="607"/>
        <v>0.4604471269</v>
      </c>
      <c r="CE61" s="167">
        <f t="shared" si="608"/>
        <v>0</v>
      </c>
      <c r="CF61" s="168">
        <f t="shared" si="609"/>
        <v>0</v>
      </c>
      <c r="CG61" s="159"/>
      <c r="CH61" s="161">
        <f t="shared" si="711"/>
        <v>13</v>
      </c>
      <c r="CI61" s="162" t="str">
        <f t="shared" ref="CI61:CK61" si="904">IFERROR(VLOOKUP($R61,$A$13:$D$30,-CI$12,FALSE),"")</f>
        <v>Lainnya 2.3 (5) …….</v>
      </c>
      <c r="CJ61" s="163" t="str">
        <f t="shared" si="904"/>
        <v/>
      </c>
      <c r="CK61" s="163" t="str">
        <f t="shared" si="904"/>
        <v/>
      </c>
      <c r="CL61" s="156" t="str">
        <f>ADHK!CL61</f>
        <v/>
      </c>
      <c r="CM61" s="156"/>
      <c r="CN61" s="156">
        <f t="shared" si="611"/>
        <v>0</v>
      </c>
      <c r="CO61" s="164"/>
      <c r="CP61" s="156">
        <f t="shared" si="612"/>
        <v>0</v>
      </c>
      <c r="CQ61" s="165"/>
      <c r="CR61" s="165"/>
      <c r="CS61" s="166"/>
      <c r="CT61" s="156">
        <f t="shared" si="613"/>
        <v>0</v>
      </c>
      <c r="CU61" s="164">
        <f t="shared" si="614"/>
        <v>0.4604471269</v>
      </c>
      <c r="CV61" s="167">
        <f t="shared" si="615"/>
        <v>0</v>
      </c>
      <c r="CW61" s="168">
        <f t="shared" si="616"/>
        <v>0</v>
      </c>
      <c r="CX61" s="159"/>
      <c r="CY61" s="161">
        <f t="shared" si="713"/>
        <v>13</v>
      </c>
      <c r="CZ61" s="162" t="str">
        <f t="shared" ref="CZ61:DB61" si="905">IFERROR(VLOOKUP($R61,$A$13:$D$30,-CZ$12,FALSE),"")</f>
        <v>Lainnya 2.3 (5) …….</v>
      </c>
      <c r="DA61" s="163" t="str">
        <f t="shared" si="905"/>
        <v/>
      </c>
      <c r="DB61" s="163" t="str">
        <f t="shared" si="905"/>
        <v/>
      </c>
      <c r="DC61" s="156" t="str">
        <f>ADHK!DC61</f>
        <v/>
      </c>
      <c r="DD61" s="156"/>
      <c r="DE61" s="156">
        <f t="shared" si="618"/>
        <v>0</v>
      </c>
      <c r="DF61" s="164"/>
      <c r="DG61" s="156">
        <f t="shared" si="619"/>
        <v>0</v>
      </c>
      <c r="DH61" s="165"/>
      <c r="DI61" s="165"/>
      <c r="DJ61" s="166"/>
      <c r="DK61" s="156">
        <f t="shared" si="620"/>
        <v>0</v>
      </c>
      <c r="DL61" s="164">
        <f t="shared" si="621"/>
        <v>0.4604471269</v>
      </c>
      <c r="DM61" s="167">
        <f t="shared" si="622"/>
        <v>0</v>
      </c>
      <c r="DN61" s="168">
        <f t="shared" si="623"/>
        <v>0</v>
      </c>
      <c r="DO61" s="159"/>
      <c r="DP61" s="161">
        <f t="shared" si="715"/>
        <v>13</v>
      </c>
      <c r="DQ61" s="162" t="str">
        <f t="shared" ref="DQ61:DS61" si="906">IFERROR(VLOOKUP($R61,$A$13:$D$30,-DQ$12,FALSE),"")</f>
        <v>Lainnya 2.3 (5) …….</v>
      </c>
      <c r="DR61" s="163" t="str">
        <f t="shared" si="906"/>
        <v/>
      </c>
      <c r="DS61" s="163" t="str">
        <f t="shared" si="906"/>
        <v/>
      </c>
      <c r="DT61" s="156" t="str">
        <f>ADHK!DT61</f>
        <v/>
      </c>
      <c r="DU61" s="156"/>
      <c r="DV61" s="156">
        <f t="shared" si="625"/>
        <v>0</v>
      </c>
      <c r="DW61" s="164"/>
      <c r="DX61" s="156">
        <f t="shared" si="626"/>
        <v>0</v>
      </c>
      <c r="DY61" s="165"/>
      <c r="DZ61" s="165"/>
      <c r="EA61" s="166"/>
      <c r="EB61" s="156">
        <f t="shared" si="627"/>
        <v>0</v>
      </c>
      <c r="EC61" s="164">
        <f t="shared" si="628"/>
        <v>0.4604471269</v>
      </c>
      <c r="ED61" s="167">
        <f t="shared" si="629"/>
        <v>0</v>
      </c>
      <c r="EE61" s="168">
        <f t="shared" si="630"/>
        <v>0</v>
      </c>
      <c r="EF61" s="159"/>
      <c r="EG61" s="161">
        <f t="shared" si="717"/>
        <v>13</v>
      </c>
      <c r="EH61" s="162" t="str">
        <f t="shared" ref="EH61:EJ61" si="907">IFERROR(VLOOKUP($R61,$A$13:$D$30,-EH$12,FALSE),"")</f>
        <v>Lainnya 2.3 (5) …….</v>
      </c>
      <c r="EI61" s="163" t="str">
        <f t="shared" si="907"/>
        <v/>
      </c>
      <c r="EJ61" s="163" t="str">
        <f t="shared" si="907"/>
        <v/>
      </c>
      <c r="EK61" s="156" t="str">
        <f>ADHK!EK61</f>
        <v/>
      </c>
      <c r="EL61" s="156"/>
      <c r="EM61" s="156">
        <f t="shared" si="632"/>
        <v>0</v>
      </c>
      <c r="EN61" s="164"/>
      <c r="EO61" s="156">
        <f t="shared" si="633"/>
        <v>0</v>
      </c>
      <c r="EP61" s="165"/>
      <c r="EQ61" s="165"/>
      <c r="ER61" s="166"/>
      <c r="ES61" s="156">
        <f t="shared" si="634"/>
        <v>0</v>
      </c>
      <c r="ET61" s="164">
        <f t="shared" si="635"/>
        <v>0.4604471269</v>
      </c>
      <c r="EU61" s="167">
        <f t="shared" si="636"/>
        <v>0</v>
      </c>
      <c r="EV61" s="168">
        <f t="shared" si="637"/>
        <v>0</v>
      </c>
      <c r="EW61" s="159"/>
      <c r="EX61" s="161">
        <f t="shared" si="719"/>
        <v>13</v>
      </c>
      <c r="EY61" s="162" t="str">
        <f t="shared" ref="EY61:FA61" si="908">IFERROR(VLOOKUP($R61,$A$13:$D$30,-EY$12,FALSE),"")</f>
        <v>Lainnya 2.3 (5) …….</v>
      </c>
      <c r="EZ61" s="163" t="str">
        <f t="shared" si="908"/>
        <v/>
      </c>
      <c r="FA61" s="163" t="str">
        <f t="shared" si="908"/>
        <v/>
      </c>
      <c r="FB61" s="156" t="str">
        <f>ADHK!FB61</f>
        <v/>
      </c>
      <c r="FC61" s="156"/>
      <c r="FD61" s="156">
        <f t="shared" si="639"/>
        <v>0</v>
      </c>
      <c r="FE61" s="164"/>
      <c r="FF61" s="156">
        <f t="shared" si="640"/>
        <v>0</v>
      </c>
      <c r="FG61" s="165"/>
      <c r="FH61" s="165"/>
      <c r="FI61" s="166"/>
      <c r="FJ61" s="156">
        <f t="shared" si="641"/>
        <v>0</v>
      </c>
      <c r="FK61" s="164">
        <f t="shared" si="642"/>
        <v>0.4604471269</v>
      </c>
      <c r="FL61" s="167">
        <f t="shared" si="643"/>
        <v>0</v>
      </c>
      <c r="FM61" s="168">
        <f t="shared" si="644"/>
        <v>0</v>
      </c>
      <c r="FN61" s="159"/>
      <c r="FO61" s="161">
        <f t="shared" si="721"/>
        <v>13</v>
      </c>
      <c r="FP61" s="162" t="str">
        <f t="shared" ref="FP61:FR61" si="909">IFERROR(VLOOKUP($R61,$A$13:$D$30,-FP$12,FALSE),"")</f>
        <v>Lainnya 2.3 (5) …….</v>
      </c>
      <c r="FQ61" s="163" t="str">
        <f t="shared" si="909"/>
        <v/>
      </c>
      <c r="FR61" s="163" t="str">
        <f t="shared" si="909"/>
        <v/>
      </c>
      <c r="FS61" s="156" t="str">
        <f>ADHK!FS61</f>
        <v/>
      </c>
      <c r="FT61" s="156"/>
      <c r="FU61" s="156">
        <f t="shared" si="646"/>
        <v>0</v>
      </c>
      <c r="FV61" s="164"/>
      <c r="FW61" s="156">
        <f t="shared" si="647"/>
        <v>0</v>
      </c>
      <c r="FX61" s="165"/>
      <c r="FY61" s="165"/>
      <c r="FZ61" s="166"/>
      <c r="GA61" s="156">
        <f t="shared" si="648"/>
        <v>0</v>
      </c>
      <c r="GB61" s="164">
        <f t="shared" si="649"/>
        <v>0.4604471269</v>
      </c>
      <c r="GC61" s="167">
        <f t="shared" si="650"/>
        <v>0</v>
      </c>
      <c r="GD61" s="168">
        <f t="shared" si="651"/>
        <v>0</v>
      </c>
      <c r="GE61" s="159"/>
      <c r="GF61" s="161">
        <f t="shared" si="723"/>
        <v>13</v>
      </c>
      <c r="GG61" s="162" t="str">
        <f t="shared" ref="GG61:GI61" si="910">IFERROR(VLOOKUP($R61,$A$13:$D$30,-GG$12,FALSE),"")</f>
        <v>Lainnya 2.3 (5) …….</v>
      </c>
      <c r="GH61" s="163" t="str">
        <f t="shared" si="910"/>
        <v/>
      </c>
      <c r="GI61" s="163" t="str">
        <f t="shared" si="910"/>
        <v/>
      </c>
      <c r="GJ61" s="156" t="str">
        <f>ADHK!GJ61</f>
        <v/>
      </c>
      <c r="GK61" s="156"/>
      <c r="GL61" s="156">
        <f t="shared" si="653"/>
        <v>0</v>
      </c>
      <c r="GM61" s="164"/>
      <c r="GN61" s="156">
        <f t="shared" si="654"/>
        <v>0</v>
      </c>
      <c r="GO61" s="165"/>
      <c r="GP61" s="165"/>
      <c r="GQ61" s="166"/>
      <c r="GR61" s="156">
        <f t="shared" si="655"/>
        <v>0</v>
      </c>
      <c r="GS61" s="164">
        <f t="shared" si="656"/>
        <v>0.4604471269</v>
      </c>
      <c r="GT61" s="167">
        <f t="shared" si="657"/>
        <v>0</v>
      </c>
      <c r="GU61" s="168">
        <f t="shared" si="658"/>
        <v>0</v>
      </c>
      <c r="GV61" s="159"/>
      <c r="GW61" s="161">
        <f t="shared" si="725"/>
        <v>13</v>
      </c>
      <c r="GX61" s="162" t="str">
        <f t="shared" ref="GX61:GZ61" si="911">IFERROR(VLOOKUP($R61,$A$13:$D$30,-GX$12,FALSE),"")</f>
        <v>Lainnya 2.3 (5) …….</v>
      </c>
      <c r="GY61" s="163" t="str">
        <f t="shared" si="911"/>
        <v/>
      </c>
      <c r="GZ61" s="163" t="str">
        <f t="shared" si="911"/>
        <v/>
      </c>
      <c r="HA61" s="156"/>
      <c r="HB61" s="169"/>
      <c r="HC61" s="156">
        <f t="shared" si="660"/>
        <v>0</v>
      </c>
      <c r="HD61" s="164"/>
      <c r="HE61" s="156">
        <f t="shared" si="661"/>
        <v>0</v>
      </c>
      <c r="HF61" s="165"/>
      <c r="HG61" s="165"/>
      <c r="HH61" s="166"/>
      <c r="HI61" s="156">
        <f t="shared" si="662"/>
        <v>0</v>
      </c>
      <c r="HJ61" s="164">
        <f t="shared" si="663"/>
        <v>0.4604471269</v>
      </c>
      <c r="HK61" s="167">
        <f t="shared" si="664"/>
        <v>0</v>
      </c>
      <c r="HL61" s="168">
        <f t="shared" si="665"/>
        <v>0</v>
      </c>
      <c r="HM61" s="159"/>
      <c r="HN61" s="161">
        <f t="shared" si="727"/>
        <v>13</v>
      </c>
      <c r="HO61" s="162" t="str">
        <f t="shared" ref="HO61:HQ61" si="912">IFERROR(VLOOKUP($R61,$A$13:$D$30,-HO$12,FALSE),"")</f>
        <v>Lainnya 2.3 (5) …….</v>
      </c>
      <c r="HP61" s="163" t="str">
        <f t="shared" si="912"/>
        <v/>
      </c>
      <c r="HQ61" s="163" t="str">
        <f t="shared" si="912"/>
        <v/>
      </c>
      <c r="HR61" s="156"/>
      <c r="HS61" s="156"/>
      <c r="HT61" s="156">
        <f t="shared" si="667"/>
        <v>0</v>
      </c>
      <c r="HU61" s="164"/>
      <c r="HV61" s="156">
        <f t="shared" si="668"/>
        <v>0</v>
      </c>
      <c r="HW61" s="165"/>
      <c r="HX61" s="165"/>
      <c r="HY61" s="166"/>
      <c r="HZ61" s="156">
        <f t="shared" si="669"/>
        <v>0</v>
      </c>
      <c r="IA61" s="164">
        <f t="shared" si="670"/>
        <v>0.4604471269</v>
      </c>
      <c r="IB61" s="167">
        <f t="shared" si="671"/>
        <v>0</v>
      </c>
      <c r="IC61" s="168">
        <f t="shared" si="672"/>
        <v>0</v>
      </c>
      <c r="ID61" s="159"/>
      <c r="IE61" s="161">
        <f t="shared" si="729"/>
        <v>13</v>
      </c>
      <c r="IF61" s="162" t="str">
        <f t="shared" ref="IF61:IH61" si="913">IFERROR(VLOOKUP($R61,$A$13:$D$30,-IF$12,FALSE),"")</f>
        <v>Lainnya 2.3 (5) …….</v>
      </c>
      <c r="IG61" s="163" t="str">
        <f t="shared" si="913"/>
        <v/>
      </c>
      <c r="IH61" s="163" t="str">
        <f t="shared" si="913"/>
        <v/>
      </c>
      <c r="II61" s="156" t="str">
        <f>ADHK!II61</f>
        <v/>
      </c>
      <c r="IJ61" s="156"/>
      <c r="IK61" s="156">
        <f t="shared" si="674"/>
        <v>0</v>
      </c>
      <c r="IL61" s="164"/>
      <c r="IM61" s="156">
        <f t="shared" si="675"/>
        <v>0</v>
      </c>
      <c r="IN61" s="165"/>
      <c r="IO61" s="165"/>
      <c r="IP61" s="166"/>
      <c r="IQ61" s="156">
        <f t="shared" si="676"/>
        <v>0</v>
      </c>
      <c r="IR61" s="164">
        <f t="shared" si="677"/>
        <v>0.4604471269</v>
      </c>
      <c r="IS61" s="167">
        <f t="shared" si="678"/>
        <v>0</v>
      </c>
      <c r="IT61" s="168">
        <f t="shared" si="679"/>
        <v>0</v>
      </c>
      <c r="IU61" s="159"/>
      <c r="IV61" s="161">
        <f t="shared" si="731"/>
        <v>13</v>
      </c>
      <c r="IW61" s="162" t="str">
        <f t="shared" ref="IW61:IY61" si="914">IFERROR(VLOOKUP($R61,$A$13:$D$30,-IW$12,FALSE),"")</f>
        <v>Lainnya 2.3 (5) …….</v>
      </c>
      <c r="IX61" s="163" t="str">
        <f t="shared" si="914"/>
        <v/>
      </c>
      <c r="IY61" s="163" t="str">
        <f t="shared" si="914"/>
        <v/>
      </c>
      <c r="IZ61" s="156" t="str">
        <f>ADHK!IZ61</f>
        <v/>
      </c>
      <c r="JA61" s="156"/>
      <c r="JB61" s="156">
        <f t="shared" si="681"/>
        <v>0</v>
      </c>
      <c r="JC61" s="164"/>
      <c r="JD61" s="156">
        <f t="shared" si="682"/>
        <v>0</v>
      </c>
      <c r="JE61" s="165"/>
      <c r="JF61" s="165"/>
      <c r="JG61" s="166"/>
      <c r="JH61" s="156">
        <f t="shared" si="683"/>
        <v>0</v>
      </c>
      <c r="JI61" s="164">
        <f t="shared" si="684"/>
        <v>0.4604471269</v>
      </c>
      <c r="JJ61" s="167">
        <f t="shared" si="685"/>
        <v>0</v>
      </c>
      <c r="JK61" s="168">
        <f t="shared" si="686"/>
        <v>0</v>
      </c>
      <c r="JL61" s="159"/>
      <c r="JM61" s="161">
        <f t="shared" si="733"/>
        <v>13</v>
      </c>
      <c r="JN61" s="162" t="str">
        <f t="shared" ref="JN61:JP61" si="915">IFERROR(VLOOKUP($R61,$A$13:$D$30,-JN$12,FALSE),"")</f>
        <v>Lainnya 2.3 (5) …….</v>
      </c>
      <c r="JO61" s="163" t="str">
        <f t="shared" si="915"/>
        <v/>
      </c>
      <c r="JP61" s="163" t="str">
        <f t="shared" si="915"/>
        <v/>
      </c>
      <c r="JQ61" s="156" t="str">
        <f>ADHK!KY61</f>
        <v/>
      </c>
      <c r="JR61" s="156"/>
      <c r="JS61" s="156">
        <f t="shared" si="688"/>
        <v>0</v>
      </c>
      <c r="JT61" s="164"/>
      <c r="JU61" s="156">
        <f t="shared" si="689"/>
        <v>0</v>
      </c>
      <c r="JV61" s="165"/>
      <c r="JW61" s="165"/>
      <c r="JX61" s="166"/>
      <c r="JY61" s="156">
        <f t="shared" si="690"/>
        <v>0</v>
      </c>
      <c r="JZ61" s="164">
        <f t="shared" si="691"/>
        <v>0.4604471269</v>
      </c>
      <c r="KA61" s="167">
        <f t="shared" si="692"/>
        <v>0</v>
      </c>
      <c r="KB61" s="168">
        <f t="shared" si="693"/>
        <v>0</v>
      </c>
      <c r="KC61" s="159"/>
      <c r="KD61" s="161">
        <f t="shared" si="735"/>
        <v>13</v>
      </c>
      <c r="KE61" s="162" t="str">
        <f t="shared" ref="KE61:KG61" si="916">IFERROR(VLOOKUP($R61,$A$13:$D$30,-KE$12,FALSE),"")</f>
        <v>Lainnya 2.3 (5) …….</v>
      </c>
      <c r="KF61" s="163" t="str">
        <f t="shared" si="916"/>
        <v/>
      </c>
      <c r="KG61" s="163" t="str">
        <f t="shared" si="916"/>
        <v/>
      </c>
      <c r="KH61" s="156" t="str">
        <f>ADHK!LP61</f>
        <v/>
      </c>
      <c r="KI61" s="156"/>
      <c r="KJ61" s="156">
        <f t="shared" si="695"/>
        <v>0</v>
      </c>
      <c r="KK61" s="164"/>
      <c r="KL61" s="156">
        <f t="shared" si="696"/>
        <v>0</v>
      </c>
      <c r="KM61" s="165"/>
      <c r="KN61" s="165"/>
      <c r="KO61" s="166"/>
      <c r="KP61" s="156">
        <f t="shared" si="697"/>
        <v>0</v>
      </c>
      <c r="KQ61" s="164">
        <f t="shared" si="698"/>
        <v>0.4604471269</v>
      </c>
      <c r="KR61" s="167">
        <f t="shared" si="699"/>
        <v>0</v>
      </c>
      <c r="KS61" s="168">
        <f t="shared" si="700"/>
        <v>0</v>
      </c>
      <c r="KT61" s="159"/>
      <c r="KU61" s="160"/>
    </row>
    <row r="62" ht="15.75" customHeight="1">
      <c r="A62" s="161">
        <f t="shared" si="701"/>
        <v>14</v>
      </c>
      <c r="B62" s="162" t="str">
        <f t="shared" ref="B62:D62" si="917">IFERROR(VLOOKUP($A62,$A$13:$D$30,-B$12,FALSE),"")</f>
        <v>Lainnya 2.3 (6) …….</v>
      </c>
      <c r="C62" s="163" t="str">
        <f t="shared" si="917"/>
        <v/>
      </c>
      <c r="D62" s="163" t="str">
        <f t="shared" si="917"/>
        <v/>
      </c>
      <c r="E62" s="156" t="str">
        <f>ADHK!E62</f>
        <v/>
      </c>
      <c r="F62" s="156" t="str">
        <f>ADHK!F62</f>
        <v/>
      </c>
      <c r="G62" s="156">
        <f t="shared" si="576"/>
        <v>0</v>
      </c>
      <c r="H62" s="164"/>
      <c r="I62" s="156">
        <f t="shared" si="577"/>
        <v>0</v>
      </c>
      <c r="J62" s="165"/>
      <c r="K62" s="165"/>
      <c r="L62" s="166"/>
      <c r="M62" s="156">
        <f t="shared" si="578"/>
        <v>0</v>
      </c>
      <c r="N62" s="164">
        <f t="shared" si="579"/>
        <v>0.4604471269</v>
      </c>
      <c r="O62" s="167">
        <f t="shared" si="580"/>
        <v>0</v>
      </c>
      <c r="P62" s="168">
        <f t="shared" si="581"/>
        <v>0</v>
      </c>
      <c r="Q62" s="159"/>
      <c r="R62" s="161">
        <f t="shared" si="703"/>
        <v>14</v>
      </c>
      <c r="S62" s="162" t="str">
        <f t="shared" ref="S62:U62" si="918">IFERROR(VLOOKUP($R62,$A$13:$D$30,-S$12,FALSE),"")</f>
        <v>Lainnya 2.3 (6) …….</v>
      </c>
      <c r="T62" s="163" t="str">
        <f t="shared" si="918"/>
        <v/>
      </c>
      <c r="U62" s="163" t="str">
        <f t="shared" si="918"/>
        <v/>
      </c>
      <c r="V62" s="156" t="str">
        <f>ADHK!V62</f>
        <v/>
      </c>
      <c r="W62" s="156"/>
      <c r="X62" s="156">
        <f t="shared" si="583"/>
        <v>0</v>
      </c>
      <c r="Y62" s="164"/>
      <c r="Z62" s="156">
        <f t="shared" si="584"/>
        <v>0</v>
      </c>
      <c r="AA62" s="165"/>
      <c r="AB62" s="165"/>
      <c r="AC62" s="166"/>
      <c r="AD62" s="156">
        <f t="shared" si="585"/>
        <v>0</v>
      </c>
      <c r="AE62" s="164">
        <f t="shared" si="586"/>
        <v>0.4604471269</v>
      </c>
      <c r="AF62" s="167">
        <f t="shared" si="587"/>
        <v>0</v>
      </c>
      <c r="AG62" s="168">
        <f t="shared" si="588"/>
        <v>0</v>
      </c>
      <c r="AH62" s="159"/>
      <c r="AI62" s="161">
        <f t="shared" si="705"/>
        <v>14</v>
      </c>
      <c r="AJ62" s="162" t="str">
        <f t="shared" ref="AJ62:AL62" si="919">IFERROR(VLOOKUP($R62,$A$13:$D$30,-AJ$12,FALSE),"")</f>
        <v>Lainnya 2.3 (6) …….</v>
      </c>
      <c r="AK62" s="163" t="str">
        <f t="shared" si="919"/>
        <v/>
      </c>
      <c r="AL62" s="163" t="str">
        <f t="shared" si="919"/>
        <v/>
      </c>
      <c r="AM62" s="156" t="str">
        <f>ADHK!AM62</f>
        <v/>
      </c>
      <c r="AN62" s="156"/>
      <c r="AO62" s="156">
        <f t="shared" si="590"/>
        <v>0</v>
      </c>
      <c r="AP62" s="164"/>
      <c r="AQ62" s="156">
        <f t="shared" si="591"/>
        <v>0</v>
      </c>
      <c r="AR62" s="165"/>
      <c r="AS62" s="165"/>
      <c r="AT62" s="166"/>
      <c r="AU62" s="156">
        <f t="shared" si="592"/>
        <v>0</v>
      </c>
      <c r="AV62" s="164">
        <f t="shared" si="593"/>
        <v>0.4604471269</v>
      </c>
      <c r="AW62" s="167">
        <f t="shared" si="594"/>
        <v>0</v>
      </c>
      <c r="AX62" s="168">
        <f t="shared" si="595"/>
        <v>0</v>
      </c>
      <c r="AY62" s="159"/>
      <c r="AZ62" s="161">
        <f t="shared" si="707"/>
        <v>14</v>
      </c>
      <c r="BA62" s="162" t="str">
        <f t="shared" ref="BA62:BC62" si="920">IFERROR(VLOOKUP($R62,$A$13:$D$30,-BA$12,FALSE),"")</f>
        <v>Lainnya 2.3 (6) …….</v>
      </c>
      <c r="BB62" s="163" t="str">
        <f t="shared" si="920"/>
        <v/>
      </c>
      <c r="BC62" s="163" t="str">
        <f t="shared" si="920"/>
        <v/>
      </c>
      <c r="BD62" s="156" t="str">
        <f>ADHK!BD62</f>
        <v/>
      </c>
      <c r="BE62" s="156"/>
      <c r="BF62" s="156">
        <f t="shared" si="597"/>
        <v>0</v>
      </c>
      <c r="BG62" s="164"/>
      <c r="BH62" s="156">
        <f t="shared" si="598"/>
        <v>0</v>
      </c>
      <c r="BI62" s="165"/>
      <c r="BJ62" s="165"/>
      <c r="BK62" s="166"/>
      <c r="BL62" s="156">
        <f t="shared" si="599"/>
        <v>0</v>
      </c>
      <c r="BM62" s="164">
        <f t="shared" si="600"/>
        <v>0.4604471269</v>
      </c>
      <c r="BN62" s="167">
        <f t="shared" si="601"/>
        <v>0</v>
      </c>
      <c r="BO62" s="168">
        <f t="shared" si="602"/>
        <v>0</v>
      </c>
      <c r="BP62" s="159"/>
      <c r="BQ62" s="161">
        <f t="shared" si="709"/>
        <v>14</v>
      </c>
      <c r="BR62" s="162" t="str">
        <f t="shared" ref="BR62:BT62" si="921">IFERROR(VLOOKUP($R62,$A$13:$D$30,-BR$12,FALSE),"")</f>
        <v>Lainnya 2.3 (6) …….</v>
      </c>
      <c r="BS62" s="163" t="str">
        <f t="shared" si="921"/>
        <v/>
      </c>
      <c r="BT62" s="163" t="str">
        <f t="shared" si="921"/>
        <v/>
      </c>
      <c r="BU62" s="156" t="str">
        <f>ADHK!BU62</f>
        <v/>
      </c>
      <c r="BV62" s="156"/>
      <c r="BW62" s="156">
        <f t="shared" si="604"/>
        <v>0</v>
      </c>
      <c r="BX62" s="164"/>
      <c r="BY62" s="156">
        <f t="shared" si="605"/>
        <v>0</v>
      </c>
      <c r="BZ62" s="165"/>
      <c r="CA62" s="165"/>
      <c r="CB62" s="166"/>
      <c r="CC62" s="156">
        <f t="shared" si="606"/>
        <v>0</v>
      </c>
      <c r="CD62" s="164">
        <f t="shared" si="607"/>
        <v>0.4604471269</v>
      </c>
      <c r="CE62" s="167">
        <f t="shared" si="608"/>
        <v>0</v>
      </c>
      <c r="CF62" s="168">
        <f t="shared" si="609"/>
        <v>0</v>
      </c>
      <c r="CG62" s="159"/>
      <c r="CH62" s="161">
        <f t="shared" si="711"/>
        <v>14</v>
      </c>
      <c r="CI62" s="162" t="str">
        <f t="shared" ref="CI62:CK62" si="922">IFERROR(VLOOKUP($R62,$A$13:$D$30,-CI$12,FALSE),"")</f>
        <v>Lainnya 2.3 (6) …….</v>
      </c>
      <c r="CJ62" s="163" t="str">
        <f t="shared" si="922"/>
        <v/>
      </c>
      <c r="CK62" s="163" t="str">
        <f t="shared" si="922"/>
        <v/>
      </c>
      <c r="CL62" s="156" t="str">
        <f>ADHK!CL62</f>
        <v/>
      </c>
      <c r="CM62" s="156"/>
      <c r="CN62" s="156">
        <f t="shared" si="611"/>
        <v>0</v>
      </c>
      <c r="CO62" s="164"/>
      <c r="CP62" s="156">
        <f t="shared" si="612"/>
        <v>0</v>
      </c>
      <c r="CQ62" s="165"/>
      <c r="CR62" s="165"/>
      <c r="CS62" s="166"/>
      <c r="CT62" s="156">
        <f t="shared" si="613"/>
        <v>0</v>
      </c>
      <c r="CU62" s="164">
        <f t="shared" si="614"/>
        <v>0.4604471269</v>
      </c>
      <c r="CV62" s="167">
        <f t="shared" si="615"/>
        <v>0</v>
      </c>
      <c r="CW62" s="168">
        <f t="shared" si="616"/>
        <v>0</v>
      </c>
      <c r="CX62" s="159"/>
      <c r="CY62" s="161">
        <f t="shared" si="713"/>
        <v>14</v>
      </c>
      <c r="CZ62" s="162" t="str">
        <f t="shared" ref="CZ62:DB62" si="923">IFERROR(VLOOKUP($R62,$A$13:$D$30,-CZ$12,FALSE),"")</f>
        <v>Lainnya 2.3 (6) …….</v>
      </c>
      <c r="DA62" s="163" t="str">
        <f t="shared" si="923"/>
        <v/>
      </c>
      <c r="DB62" s="163" t="str">
        <f t="shared" si="923"/>
        <v/>
      </c>
      <c r="DC62" s="156" t="str">
        <f>ADHK!DC62</f>
        <v/>
      </c>
      <c r="DD62" s="156"/>
      <c r="DE62" s="156">
        <f t="shared" si="618"/>
        <v>0</v>
      </c>
      <c r="DF62" s="164"/>
      <c r="DG62" s="156">
        <f t="shared" si="619"/>
        <v>0</v>
      </c>
      <c r="DH62" s="165"/>
      <c r="DI62" s="165"/>
      <c r="DJ62" s="166"/>
      <c r="DK62" s="156">
        <f t="shared" si="620"/>
        <v>0</v>
      </c>
      <c r="DL62" s="164">
        <f t="shared" si="621"/>
        <v>0.4604471269</v>
      </c>
      <c r="DM62" s="167">
        <f t="shared" si="622"/>
        <v>0</v>
      </c>
      <c r="DN62" s="168">
        <f t="shared" si="623"/>
        <v>0</v>
      </c>
      <c r="DO62" s="159"/>
      <c r="DP62" s="161">
        <f t="shared" si="715"/>
        <v>14</v>
      </c>
      <c r="DQ62" s="162" t="str">
        <f t="shared" ref="DQ62:DS62" si="924">IFERROR(VLOOKUP($R62,$A$13:$D$30,-DQ$12,FALSE),"")</f>
        <v>Lainnya 2.3 (6) …….</v>
      </c>
      <c r="DR62" s="163" t="str">
        <f t="shared" si="924"/>
        <v/>
      </c>
      <c r="DS62" s="163" t="str">
        <f t="shared" si="924"/>
        <v/>
      </c>
      <c r="DT62" s="156" t="str">
        <f>ADHK!DT62</f>
        <v/>
      </c>
      <c r="DU62" s="156"/>
      <c r="DV62" s="156">
        <f t="shared" si="625"/>
        <v>0</v>
      </c>
      <c r="DW62" s="164"/>
      <c r="DX62" s="156">
        <f t="shared" si="626"/>
        <v>0</v>
      </c>
      <c r="DY62" s="165"/>
      <c r="DZ62" s="165"/>
      <c r="EA62" s="166"/>
      <c r="EB62" s="156">
        <f t="shared" si="627"/>
        <v>0</v>
      </c>
      <c r="EC62" s="164">
        <f t="shared" si="628"/>
        <v>0.4604471269</v>
      </c>
      <c r="ED62" s="167">
        <f t="shared" si="629"/>
        <v>0</v>
      </c>
      <c r="EE62" s="168">
        <f t="shared" si="630"/>
        <v>0</v>
      </c>
      <c r="EF62" s="159"/>
      <c r="EG62" s="161">
        <f t="shared" si="717"/>
        <v>14</v>
      </c>
      <c r="EH62" s="162" t="str">
        <f t="shared" ref="EH62:EJ62" si="925">IFERROR(VLOOKUP($R62,$A$13:$D$30,-EH$12,FALSE),"")</f>
        <v>Lainnya 2.3 (6) …….</v>
      </c>
      <c r="EI62" s="163" t="str">
        <f t="shared" si="925"/>
        <v/>
      </c>
      <c r="EJ62" s="163" t="str">
        <f t="shared" si="925"/>
        <v/>
      </c>
      <c r="EK62" s="156" t="str">
        <f>ADHK!EK62</f>
        <v/>
      </c>
      <c r="EL62" s="156"/>
      <c r="EM62" s="156">
        <f t="shared" si="632"/>
        <v>0</v>
      </c>
      <c r="EN62" s="164"/>
      <c r="EO62" s="156">
        <f t="shared" si="633"/>
        <v>0</v>
      </c>
      <c r="EP62" s="165"/>
      <c r="EQ62" s="165"/>
      <c r="ER62" s="166"/>
      <c r="ES62" s="156">
        <f t="shared" si="634"/>
        <v>0</v>
      </c>
      <c r="ET62" s="164">
        <f t="shared" si="635"/>
        <v>0.4604471269</v>
      </c>
      <c r="EU62" s="167">
        <f t="shared" si="636"/>
        <v>0</v>
      </c>
      <c r="EV62" s="168">
        <f t="shared" si="637"/>
        <v>0</v>
      </c>
      <c r="EW62" s="159"/>
      <c r="EX62" s="161">
        <f t="shared" si="719"/>
        <v>14</v>
      </c>
      <c r="EY62" s="162" t="str">
        <f t="shared" ref="EY62:FA62" si="926">IFERROR(VLOOKUP($R62,$A$13:$D$30,-EY$12,FALSE),"")</f>
        <v>Lainnya 2.3 (6) …….</v>
      </c>
      <c r="EZ62" s="163" t="str">
        <f t="shared" si="926"/>
        <v/>
      </c>
      <c r="FA62" s="163" t="str">
        <f t="shared" si="926"/>
        <v/>
      </c>
      <c r="FB62" s="156" t="str">
        <f>ADHK!FB62</f>
        <v/>
      </c>
      <c r="FC62" s="156"/>
      <c r="FD62" s="156">
        <f t="shared" si="639"/>
        <v>0</v>
      </c>
      <c r="FE62" s="164"/>
      <c r="FF62" s="156">
        <f t="shared" si="640"/>
        <v>0</v>
      </c>
      <c r="FG62" s="165"/>
      <c r="FH62" s="165"/>
      <c r="FI62" s="166"/>
      <c r="FJ62" s="156">
        <f t="shared" si="641"/>
        <v>0</v>
      </c>
      <c r="FK62" s="164">
        <f t="shared" si="642"/>
        <v>0.4604471269</v>
      </c>
      <c r="FL62" s="167">
        <f t="shared" si="643"/>
        <v>0</v>
      </c>
      <c r="FM62" s="168">
        <f t="shared" si="644"/>
        <v>0</v>
      </c>
      <c r="FN62" s="159"/>
      <c r="FO62" s="161">
        <f t="shared" si="721"/>
        <v>14</v>
      </c>
      <c r="FP62" s="162" t="str">
        <f t="shared" ref="FP62:FR62" si="927">IFERROR(VLOOKUP($R62,$A$13:$D$30,-FP$12,FALSE),"")</f>
        <v>Lainnya 2.3 (6) …….</v>
      </c>
      <c r="FQ62" s="163" t="str">
        <f t="shared" si="927"/>
        <v/>
      </c>
      <c r="FR62" s="163" t="str">
        <f t="shared" si="927"/>
        <v/>
      </c>
      <c r="FS62" s="156" t="str">
        <f>ADHK!FS62</f>
        <v/>
      </c>
      <c r="FT62" s="156"/>
      <c r="FU62" s="156">
        <f t="shared" si="646"/>
        <v>0</v>
      </c>
      <c r="FV62" s="164"/>
      <c r="FW62" s="156">
        <f t="shared" si="647"/>
        <v>0</v>
      </c>
      <c r="FX62" s="165"/>
      <c r="FY62" s="165"/>
      <c r="FZ62" s="166"/>
      <c r="GA62" s="156">
        <f t="shared" si="648"/>
        <v>0</v>
      </c>
      <c r="GB62" s="164">
        <f t="shared" si="649"/>
        <v>0.4604471269</v>
      </c>
      <c r="GC62" s="167">
        <f t="shared" si="650"/>
        <v>0</v>
      </c>
      <c r="GD62" s="168">
        <f t="shared" si="651"/>
        <v>0</v>
      </c>
      <c r="GE62" s="159"/>
      <c r="GF62" s="161">
        <f t="shared" si="723"/>
        <v>14</v>
      </c>
      <c r="GG62" s="162" t="str">
        <f t="shared" ref="GG62:GI62" si="928">IFERROR(VLOOKUP($R62,$A$13:$D$30,-GG$12,FALSE),"")</f>
        <v>Lainnya 2.3 (6) …….</v>
      </c>
      <c r="GH62" s="163" t="str">
        <f t="shared" si="928"/>
        <v/>
      </c>
      <c r="GI62" s="163" t="str">
        <f t="shared" si="928"/>
        <v/>
      </c>
      <c r="GJ62" s="156" t="str">
        <f>ADHK!GJ62</f>
        <v/>
      </c>
      <c r="GK62" s="156"/>
      <c r="GL62" s="156">
        <f t="shared" si="653"/>
        <v>0</v>
      </c>
      <c r="GM62" s="164"/>
      <c r="GN62" s="156">
        <f t="shared" si="654"/>
        <v>0</v>
      </c>
      <c r="GO62" s="165"/>
      <c r="GP62" s="165"/>
      <c r="GQ62" s="166"/>
      <c r="GR62" s="156">
        <f t="shared" si="655"/>
        <v>0</v>
      </c>
      <c r="GS62" s="164">
        <f t="shared" si="656"/>
        <v>0.4604471269</v>
      </c>
      <c r="GT62" s="167">
        <f t="shared" si="657"/>
        <v>0</v>
      </c>
      <c r="GU62" s="168">
        <f t="shared" si="658"/>
        <v>0</v>
      </c>
      <c r="GV62" s="159"/>
      <c r="GW62" s="161">
        <f t="shared" si="725"/>
        <v>14</v>
      </c>
      <c r="GX62" s="162" t="str">
        <f t="shared" ref="GX62:GZ62" si="929">IFERROR(VLOOKUP($R62,$A$13:$D$30,-GX$12,FALSE),"")</f>
        <v>Lainnya 2.3 (6) …….</v>
      </c>
      <c r="GY62" s="163" t="str">
        <f t="shared" si="929"/>
        <v/>
      </c>
      <c r="GZ62" s="163" t="str">
        <f t="shared" si="929"/>
        <v/>
      </c>
      <c r="HA62" s="156"/>
      <c r="HB62" s="169"/>
      <c r="HC62" s="156">
        <f t="shared" si="660"/>
        <v>0</v>
      </c>
      <c r="HD62" s="164"/>
      <c r="HE62" s="156">
        <f t="shared" si="661"/>
        <v>0</v>
      </c>
      <c r="HF62" s="165"/>
      <c r="HG62" s="165"/>
      <c r="HH62" s="166"/>
      <c r="HI62" s="156">
        <f t="shared" si="662"/>
        <v>0</v>
      </c>
      <c r="HJ62" s="164">
        <f t="shared" si="663"/>
        <v>0.4604471269</v>
      </c>
      <c r="HK62" s="167">
        <f t="shared" si="664"/>
        <v>0</v>
      </c>
      <c r="HL62" s="168">
        <f t="shared" si="665"/>
        <v>0</v>
      </c>
      <c r="HM62" s="159"/>
      <c r="HN62" s="161">
        <f t="shared" si="727"/>
        <v>14</v>
      </c>
      <c r="HO62" s="162" t="str">
        <f t="shared" ref="HO62:HQ62" si="930">IFERROR(VLOOKUP($R62,$A$13:$D$30,-HO$12,FALSE),"")</f>
        <v>Lainnya 2.3 (6) …….</v>
      </c>
      <c r="HP62" s="163" t="str">
        <f t="shared" si="930"/>
        <v/>
      </c>
      <c r="HQ62" s="163" t="str">
        <f t="shared" si="930"/>
        <v/>
      </c>
      <c r="HR62" s="156"/>
      <c r="HS62" s="169"/>
      <c r="HT62" s="156">
        <f t="shared" si="667"/>
        <v>0</v>
      </c>
      <c r="HU62" s="164"/>
      <c r="HV62" s="156">
        <f t="shared" si="668"/>
        <v>0</v>
      </c>
      <c r="HW62" s="165"/>
      <c r="HX62" s="165"/>
      <c r="HY62" s="166"/>
      <c r="HZ62" s="156">
        <f t="shared" si="669"/>
        <v>0</v>
      </c>
      <c r="IA62" s="164">
        <f t="shared" si="670"/>
        <v>0.4604471269</v>
      </c>
      <c r="IB62" s="167">
        <f t="shared" si="671"/>
        <v>0</v>
      </c>
      <c r="IC62" s="168">
        <f t="shared" si="672"/>
        <v>0</v>
      </c>
      <c r="ID62" s="159"/>
      <c r="IE62" s="161">
        <f t="shared" si="729"/>
        <v>14</v>
      </c>
      <c r="IF62" s="162" t="str">
        <f t="shared" ref="IF62:IH62" si="931">IFERROR(VLOOKUP($R62,$A$13:$D$30,-IF$12,FALSE),"")</f>
        <v>Lainnya 2.3 (6) …….</v>
      </c>
      <c r="IG62" s="163" t="str">
        <f t="shared" si="931"/>
        <v/>
      </c>
      <c r="IH62" s="163" t="str">
        <f t="shared" si="931"/>
        <v/>
      </c>
      <c r="II62" s="156" t="str">
        <f>ADHK!II62</f>
        <v/>
      </c>
      <c r="IJ62" s="156"/>
      <c r="IK62" s="156">
        <f t="shared" si="674"/>
        <v>0</v>
      </c>
      <c r="IL62" s="164"/>
      <c r="IM62" s="156">
        <f t="shared" si="675"/>
        <v>0</v>
      </c>
      <c r="IN62" s="165"/>
      <c r="IO62" s="165"/>
      <c r="IP62" s="166"/>
      <c r="IQ62" s="156">
        <f t="shared" si="676"/>
        <v>0</v>
      </c>
      <c r="IR62" s="164">
        <f t="shared" si="677"/>
        <v>0.4604471269</v>
      </c>
      <c r="IS62" s="167">
        <f t="shared" si="678"/>
        <v>0</v>
      </c>
      <c r="IT62" s="168">
        <f t="shared" si="679"/>
        <v>0</v>
      </c>
      <c r="IU62" s="159"/>
      <c r="IV62" s="161">
        <f t="shared" si="731"/>
        <v>14</v>
      </c>
      <c r="IW62" s="162" t="str">
        <f t="shared" ref="IW62:IY62" si="932">IFERROR(VLOOKUP($R62,$A$13:$D$30,-IW$12,FALSE),"")</f>
        <v>Lainnya 2.3 (6) …….</v>
      </c>
      <c r="IX62" s="163" t="str">
        <f t="shared" si="932"/>
        <v/>
      </c>
      <c r="IY62" s="163" t="str">
        <f t="shared" si="932"/>
        <v/>
      </c>
      <c r="IZ62" s="156" t="str">
        <f>ADHK!IZ62</f>
        <v/>
      </c>
      <c r="JA62" s="156"/>
      <c r="JB62" s="156">
        <f t="shared" si="681"/>
        <v>0</v>
      </c>
      <c r="JC62" s="164"/>
      <c r="JD62" s="156">
        <f t="shared" si="682"/>
        <v>0</v>
      </c>
      <c r="JE62" s="165"/>
      <c r="JF62" s="165"/>
      <c r="JG62" s="166"/>
      <c r="JH62" s="156">
        <f t="shared" si="683"/>
        <v>0</v>
      </c>
      <c r="JI62" s="164">
        <f t="shared" si="684"/>
        <v>0.4604471269</v>
      </c>
      <c r="JJ62" s="167">
        <f t="shared" si="685"/>
        <v>0</v>
      </c>
      <c r="JK62" s="168">
        <f t="shared" si="686"/>
        <v>0</v>
      </c>
      <c r="JL62" s="159"/>
      <c r="JM62" s="161">
        <f t="shared" si="733"/>
        <v>14</v>
      </c>
      <c r="JN62" s="162" t="str">
        <f t="shared" ref="JN62:JP62" si="933">IFERROR(VLOOKUP($R62,$A$13:$D$30,-JN$12,FALSE),"")</f>
        <v>Lainnya 2.3 (6) …….</v>
      </c>
      <c r="JO62" s="163" t="str">
        <f t="shared" si="933"/>
        <v/>
      </c>
      <c r="JP62" s="163" t="str">
        <f t="shared" si="933"/>
        <v/>
      </c>
      <c r="JQ62" s="156" t="str">
        <f>ADHK!KY62</f>
        <v/>
      </c>
      <c r="JR62" s="156"/>
      <c r="JS62" s="156">
        <f t="shared" si="688"/>
        <v>0</v>
      </c>
      <c r="JT62" s="164"/>
      <c r="JU62" s="156">
        <f t="shared" si="689"/>
        <v>0</v>
      </c>
      <c r="JV62" s="165"/>
      <c r="JW62" s="165"/>
      <c r="JX62" s="166"/>
      <c r="JY62" s="156">
        <f t="shared" si="690"/>
        <v>0</v>
      </c>
      <c r="JZ62" s="164">
        <f t="shared" si="691"/>
        <v>0.4604471269</v>
      </c>
      <c r="KA62" s="167">
        <f t="shared" si="692"/>
        <v>0</v>
      </c>
      <c r="KB62" s="168">
        <f t="shared" si="693"/>
        <v>0</v>
      </c>
      <c r="KC62" s="159"/>
      <c r="KD62" s="161">
        <f t="shared" si="735"/>
        <v>14</v>
      </c>
      <c r="KE62" s="162" t="str">
        <f t="shared" ref="KE62:KG62" si="934">IFERROR(VLOOKUP($R62,$A$13:$D$30,-KE$12,FALSE),"")</f>
        <v>Lainnya 2.3 (6) …….</v>
      </c>
      <c r="KF62" s="163" t="str">
        <f t="shared" si="934"/>
        <v/>
      </c>
      <c r="KG62" s="163" t="str">
        <f t="shared" si="934"/>
        <v/>
      </c>
      <c r="KH62" s="156" t="str">
        <f>ADHK!LP62</f>
        <v/>
      </c>
      <c r="KI62" s="156"/>
      <c r="KJ62" s="156">
        <f t="shared" si="695"/>
        <v>0</v>
      </c>
      <c r="KK62" s="164"/>
      <c r="KL62" s="156">
        <f t="shared" si="696"/>
        <v>0</v>
      </c>
      <c r="KM62" s="165"/>
      <c r="KN62" s="165"/>
      <c r="KO62" s="166"/>
      <c r="KP62" s="156">
        <f t="shared" si="697"/>
        <v>0</v>
      </c>
      <c r="KQ62" s="164">
        <f t="shared" si="698"/>
        <v>0.4604471269</v>
      </c>
      <c r="KR62" s="167">
        <f t="shared" si="699"/>
        <v>0</v>
      </c>
      <c r="KS62" s="168">
        <f t="shared" si="700"/>
        <v>0</v>
      </c>
      <c r="KT62" s="159"/>
      <c r="KU62" s="160"/>
    </row>
    <row r="63" ht="15.75" customHeight="1">
      <c r="A63" s="161">
        <f t="shared" si="701"/>
        <v>15</v>
      </c>
      <c r="B63" s="162" t="str">
        <f t="shared" ref="B63:D63" si="935">IFERROR(VLOOKUP($A63,$A$13:$D$30,-B$12,FALSE),"")</f>
        <v>Lainnya 2.3 (7) …….</v>
      </c>
      <c r="C63" s="163" t="str">
        <f t="shared" si="935"/>
        <v/>
      </c>
      <c r="D63" s="163" t="str">
        <f t="shared" si="935"/>
        <v/>
      </c>
      <c r="E63" s="156" t="str">
        <f>ADHK!E63</f>
        <v/>
      </c>
      <c r="F63" s="156">
        <f>ADHK!F63</f>
        <v>6500000</v>
      </c>
      <c r="G63" s="156">
        <f t="shared" si="576"/>
        <v>0</v>
      </c>
      <c r="H63" s="164"/>
      <c r="I63" s="156">
        <f t="shared" si="577"/>
        <v>0</v>
      </c>
      <c r="J63" s="165"/>
      <c r="K63" s="165"/>
      <c r="L63" s="166"/>
      <c r="M63" s="156">
        <f t="shared" si="578"/>
        <v>0</v>
      </c>
      <c r="N63" s="164">
        <f t="shared" si="579"/>
        <v>0.4604471269</v>
      </c>
      <c r="O63" s="167">
        <f t="shared" si="580"/>
        <v>0</v>
      </c>
      <c r="P63" s="168">
        <f t="shared" si="581"/>
        <v>0</v>
      </c>
      <c r="Q63" s="159"/>
      <c r="R63" s="161">
        <f t="shared" si="703"/>
        <v>15</v>
      </c>
      <c r="S63" s="162" t="str">
        <f t="shared" ref="S63:U63" si="936">IFERROR(VLOOKUP($R63,$A$13:$D$30,-S$12,FALSE),"")</f>
        <v>Lainnya 2.3 (7) …….</v>
      </c>
      <c r="T63" s="163" t="str">
        <f t="shared" si="936"/>
        <v/>
      </c>
      <c r="U63" s="163" t="str">
        <f t="shared" si="936"/>
        <v/>
      </c>
      <c r="V63" s="156" t="str">
        <f>ADHK!V63</f>
        <v/>
      </c>
      <c r="W63" s="156"/>
      <c r="X63" s="156">
        <f t="shared" si="583"/>
        <v>0</v>
      </c>
      <c r="Y63" s="164"/>
      <c r="Z63" s="156">
        <f t="shared" si="584"/>
        <v>0</v>
      </c>
      <c r="AA63" s="165"/>
      <c r="AB63" s="165"/>
      <c r="AC63" s="166"/>
      <c r="AD63" s="156">
        <f t="shared" si="585"/>
        <v>0</v>
      </c>
      <c r="AE63" s="164">
        <f t="shared" si="586"/>
        <v>0.4604471269</v>
      </c>
      <c r="AF63" s="167">
        <f t="shared" si="587"/>
        <v>0</v>
      </c>
      <c r="AG63" s="168">
        <f t="shared" si="588"/>
        <v>0</v>
      </c>
      <c r="AH63" s="159"/>
      <c r="AI63" s="161">
        <f t="shared" si="705"/>
        <v>15</v>
      </c>
      <c r="AJ63" s="162" t="str">
        <f t="shared" ref="AJ63:AL63" si="937">IFERROR(VLOOKUP($R63,$A$13:$D$30,-AJ$12,FALSE),"")</f>
        <v>Lainnya 2.3 (7) …….</v>
      </c>
      <c r="AK63" s="163" t="str">
        <f t="shared" si="937"/>
        <v/>
      </c>
      <c r="AL63" s="163" t="str">
        <f t="shared" si="937"/>
        <v/>
      </c>
      <c r="AM63" s="156" t="str">
        <f>ADHK!AM63</f>
        <v/>
      </c>
      <c r="AN63" s="156"/>
      <c r="AO63" s="156">
        <f t="shared" si="590"/>
        <v>0</v>
      </c>
      <c r="AP63" s="164"/>
      <c r="AQ63" s="156">
        <f t="shared" si="591"/>
        <v>0</v>
      </c>
      <c r="AR63" s="165"/>
      <c r="AS63" s="165"/>
      <c r="AT63" s="166"/>
      <c r="AU63" s="156">
        <f t="shared" si="592"/>
        <v>0</v>
      </c>
      <c r="AV63" s="164">
        <f t="shared" si="593"/>
        <v>0.4604471269</v>
      </c>
      <c r="AW63" s="167">
        <f t="shared" si="594"/>
        <v>0</v>
      </c>
      <c r="AX63" s="168">
        <f t="shared" si="595"/>
        <v>0</v>
      </c>
      <c r="AY63" s="159"/>
      <c r="AZ63" s="161">
        <f t="shared" si="707"/>
        <v>15</v>
      </c>
      <c r="BA63" s="162" t="str">
        <f t="shared" ref="BA63:BC63" si="938">IFERROR(VLOOKUP($R63,$A$13:$D$30,-BA$12,FALSE),"")</f>
        <v>Lainnya 2.3 (7) …….</v>
      </c>
      <c r="BB63" s="163" t="str">
        <f t="shared" si="938"/>
        <v/>
      </c>
      <c r="BC63" s="163" t="str">
        <f t="shared" si="938"/>
        <v/>
      </c>
      <c r="BD63" s="156" t="str">
        <f>ADHK!BD63</f>
        <v/>
      </c>
      <c r="BE63" s="156"/>
      <c r="BF63" s="156">
        <f t="shared" si="597"/>
        <v>0</v>
      </c>
      <c r="BG63" s="164"/>
      <c r="BH63" s="156">
        <f t="shared" si="598"/>
        <v>0</v>
      </c>
      <c r="BI63" s="165"/>
      <c r="BJ63" s="165"/>
      <c r="BK63" s="166"/>
      <c r="BL63" s="156">
        <f t="shared" si="599"/>
        <v>0</v>
      </c>
      <c r="BM63" s="164">
        <f t="shared" si="600"/>
        <v>0.4604471269</v>
      </c>
      <c r="BN63" s="167">
        <f t="shared" si="601"/>
        <v>0</v>
      </c>
      <c r="BO63" s="168">
        <f t="shared" si="602"/>
        <v>0</v>
      </c>
      <c r="BP63" s="159"/>
      <c r="BQ63" s="161">
        <f t="shared" si="709"/>
        <v>15</v>
      </c>
      <c r="BR63" s="162" t="str">
        <f t="shared" ref="BR63:BT63" si="939">IFERROR(VLOOKUP($R63,$A$13:$D$30,-BR$12,FALSE),"")</f>
        <v>Lainnya 2.3 (7) …….</v>
      </c>
      <c r="BS63" s="163" t="str">
        <f t="shared" si="939"/>
        <v/>
      </c>
      <c r="BT63" s="163" t="str">
        <f t="shared" si="939"/>
        <v/>
      </c>
      <c r="BU63" s="156" t="str">
        <f>ADHK!BU63</f>
        <v/>
      </c>
      <c r="BV63" s="156"/>
      <c r="BW63" s="156">
        <f t="shared" si="604"/>
        <v>0</v>
      </c>
      <c r="BX63" s="164"/>
      <c r="BY63" s="156">
        <f t="shared" si="605"/>
        <v>0</v>
      </c>
      <c r="BZ63" s="165"/>
      <c r="CA63" s="165"/>
      <c r="CB63" s="166"/>
      <c r="CC63" s="156">
        <f t="shared" si="606"/>
        <v>0</v>
      </c>
      <c r="CD63" s="164">
        <f t="shared" si="607"/>
        <v>0.4604471269</v>
      </c>
      <c r="CE63" s="167">
        <f t="shared" si="608"/>
        <v>0</v>
      </c>
      <c r="CF63" s="168">
        <f t="shared" si="609"/>
        <v>0</v>
      </c>
      <c r="CG63" s="159"/>
      <c r="CH63" s="161">
        <f t="shared" si="711"/>
        <v>15</v>
      </c>
      <c r="CI63" s="162" t="str">
        <f t="shared" ref="CI63:CK63" si="940">IFERROR(VLOOKUP($R63,$A$13:$D$30,-CI$12,FALSE),"")</f>
        <v>Lainnya 2.3 (7) …….</v>
      </c>
      <c r="CJ63" s="163" t="str">
        <f t="shared" si="940"/>
        <v/>
      </c>
      <c r="CK63" s="163" t="str">
        <f t="shared" si="940"/>
        <v/>
      </c>
      <c r="CL63" s="156" t="str">
        <f>ADHK!CL63</f>
        <v/>
      </c>
      <c r="CM63" s="156"/>
      <c r="CN63" s="156">
        <f t="shared" si="611"/>
        <v>0</v>
      </c>
      <c r="CO63" s="164"/>
      <c r="CP63" s="156">
        <f t="shared" si="612"/>
        <v>0</v>
      </c>
      <c r="CQ63" s="165"/>
      <c r="CR63" s="165"/>
      <c r="CS63" s="166"/>
      <c r="CT63" s="156">
        <f t="shared" si="613"/>
        <v>0</v>
      </c>
      <c r="CU63" s="164">
        <f t="shared" si="614"/>
        <v>0.4604471269</v>
      </c>
      <c r="CV63" s="167">
        <f t="shared" si="615"/>
        <v>0</v>
      </c>
      <c r="CW63" s="168">
        <f t="shared" si="616"/>
        <v>0</v>
      </c>
      <c r="CX63" s="159"/>
      <c r="CY63" s="161">
        <f t="shared" si="713"/>
        <v>15</v>
      </c>
      <c r="CZ63" s="162" t="str">
        <f t="shared" ref="CZ63:DB63" si="941">IFERROR(VLOOKUP($R63,$A$13:$D$30,-CZ$12,FALSE),"")</f>
        <v>Lainnya 2.3 (7) …….</v>
      </c>
      <c r="DA63" s="163" t="str">
        <f t="shared" si="941"/>
        <v/>
      </c>
      <c r="DB63" s="163" t="str">
        <f t="shared" si="941"/>
        <v/>
      </c>
      <c r="DC63" s="156" t="str">
        <f>ADHK!DC63</f>
        <v/>
      </c>
      <c r="DD63" s="156"/>
      <c r="DE63" s="156">
        <f t="shared" si="618"/>
        <v>0</v>
      </c>
      <c r="DF63" s="164"/>
      <c r="DG63" s="156">
        <f t="shared" si="619"/>
        <v>0</v>
      </c>
      <c r="DH63" s="165"/>
      <c r="DI63" s="165"/>
      <c r="DJ63" s="166"/>
      <c r="DK63" s="156">
        <f t="shared" si="620"/>
        <v>0</v>
      </c>
      <c r="DL63" s="164">
        <f t="shared" si="621"/>
        <v>0.4604471269</v>
      </c>
      <c r="DM63" s="167">
        <f t="shared" si="622"/>
        <v>0</v>
      </c>
      <c r="DN63" s="168">
        <f t="shared" si="623"/>
        <v>0</v>
      </c>
      <c r="DO63" s="159"/>
      <c r="DP63" s="161">
        <f t="shared" si="715"/>
        <v>15</v>
      </c>
      <c r="DQ63" s="162" t="str">
        <f t="shared" ref="DQ63:DS63" si="942">IFERROR(VLOOKUP($R63,$A$13:$D$30,-DQ$12,FALSE),"")</f>
        <v>Lainnya 2.3 (7) …….</v>
      </c>
      <c r="DR63" s="163" t="str">
        <f t="shared" si="942"/>
        <v/>
      </c>
      <c r="DS63" s="163" t="str">
        <f t="shared" si="942"/>
        <v/>
      </c>
      <c r="DT63" s="156" t="str">
        <f>ADHK!DT63</f>
        <v/>
      </c>
      <c r="DU63" s="156"/>
      <c r="DV63" s="156">
        <f t="shared" si="625"/>
        <v>0</v>
      </c>
      <c r="DW63" s="164"/>
      <c r="DX63" s="156">
        <f t="shared" si="626"/>
        <v>0</v>
      </c>
      <c r="DY63" s="165"/>
      <c r="DZ63" s="165"/>
      <c r="EA63" s="166"/>
      <c r="EB63" s="156">
        <f t="shared" si="627"/>
        <v>0</v>
      </c>
      <c r="EC63" s="164">
        <f t="shared" si="628"/>
        <v>0.4604471269</v>
      </c>
      <c r="ED63" s="167">
        <f t="shared" si="629"/>
        <v>0</v>
      </c>
      <c r="EE63" s="168">
        <f t="shared" si="630"/>
        <v>0</v>
      </c>
      <c r="EF63" s="159"/>
      <c r="EG63" s="161">
        <f t="shared" si="717"/>
        <v>15</v>
      </c>
      <c r="EH63" s="162" t="str">
        <f t="shared" ref="EH63:EJ63" si="943">IFERROR(VLOOKUP($R63,$A$13:$D$30,-EH$12,FALSE),"")</f>
        <v>Lainnya 2.3 (7) …….</v>
      </c>
      <c r="EI63" s="163" t="str">
        <f t="shared" si="943"/>
        <v/>
      </c>
      <c r="EJ63" s="163" t="str">
        <f t="shared" si="943"/>
        <v/>
      </c>
      <c r="EK63" s="156" t="str">
        <f>ADHK!EK63</f>
        <v/>
      </c>
      <c r="EL63" s="156"/>
      <c r="EM63" s="156">
        <f t="shared" si="632"/>
        <v>0</v>
      </c>
      <c r="EN63" s="164"/>
      <c r="EO63" s="156">
        <f t="shared" si="633"/>
        <v>0</v>
      </c>
      <c r="EP63" s="165"/>
      <c r="EQ63" s="165"/>
      <c r="ER63" s="166"/>
      <c r="ES63" s="156">
        <f t="shared" si="634"/>
        <v>0</v>
      </c>
      <c r="ET63" s="164">
        <f t="shared" si="635"/>
        <v>0.4604471269</v>
      </c>
      <c r="EU63" s="167">
        <f t="shared" si="636"/>
        <v>0</v>
      </c>
      <c r="EV63" s="168">
        <f t="shared" si="637"/>
        <v>0</v>
      </c>
      <c r="EW63" s="159"/>
      <c r="EX63" s="161">
        <f t="shared" si="719"/>
        <v>15</v>
      </c>
      <c r="EY63" s="162" t="str">
        <f t="shared" ref="EY63:FA63" si="944">IFERROR(VLOOKUP($R63,$A$13:$D$30,-EY$12,FALSE),"")</f>
        <v>Lainnya 2.3 (7) …….</v>
      </c>
      <c r="EZ63" s="163" t="str">
        <f t="shared" si="944"/>
        <v/>
      </c>
      <c r="FA63" s="163" t="str">
        <f t="shared" si="944"/>
        <v/>
      </c>
      <c r="FB63" s="156" t="str">
        <f>ADHK!FB63</f>
        <v/>
      </c>
      <c r="FC63" s="156"/>
      <c r="FD63" s="156">
        <f t="shared" si="639"/>
        <v>0</v>
      </c>
      <c r="FE63" s="164"/>
      <c r="FF63" s="156">
        <f t="shared" si="640"/>
        <v>0</v>
      </c>
      <c r="FG63" s="165"/>
      <c r="FH63" s="165"/>
      <c r="FI63" s="166"/>
      <c r="FJ63" s="156">
        <f t="shared" si="641"/>
        <v>0</v>
      </c>
      <c r="FK63" s="164">
        <f t="shared" si="642"/>
        <v>0.4604471269</v>
      </c>
      <c r="FL63" s="167">
        <f t="shared" si="643"/>
        <v>0</v>
      </c>
      <c r="FM63" s="168">
        <f t="shared" si="644"/>
        <v>0</v>
      </c>
      <c r="FN63" s="159"/>
      <c r="FO63" s="161">
        <f t="shared" si="721"/>
        <v>15</v>
      </c>
      <c r="FP63" s="162" t="str">
        <f t="shared" ref="FP63:FR63" si="945">IFERROR(VLOOKUP($R63,$A$13:$D$30,-FP$12,FALSE),"")</f>
        <v>Lainnya 2.3 (7) …….</v>
      </c>
      <c r="FQ63" s="163" t="str">
        <f t="shared" si="945"/>
        <v/>
      </c>
      <c r="FR63" s="163" t="str">
        <f t="shared" si="945"/>
        <v/>
      </c>
      <c r="FS63" s="156" t="str">
        <f>ADHK!FS63</f>
        <v/>
      </c>
      <c r="FT63" s="156"/>
      <c r="FU63" s="156">
        <f t="shared" si="646"/>
        <v>0</v>
      </c>
      <c r="FV63" s="164"/>
      <c r="FW63" s="156">
        <f t="shared" si="647"/>
        <v>0</v>
      </c>
      <c r="FX63" s="165"/>
      <c r="FY63" s="165"/>
      <c r="FZ63" s="166"/>
      <c r="GA63" s="156">
        <f t="shared" si="648"/>
        <v>0</v>
      </c>
      <c r="GB63" s="164">
        <f t="shared" si="649"/>
        <v>0.4604471269</v>
      </c>
      <c r="GC63" s="167">
        <f t="shared" si="650"/>
        <v>0</v>
      </c>
      <c r="GD63" s="168">
        <f t="shared" si="651"/>
        <v>0</v>
      </c>
      <c r="GE63" s="159"/>
      <c r="GF63" s="161">
        <f t="shared" si="723"/>
        <v>15</v>
      </c>
      <c r="GG63" s="162" t="str">
        <f t="shared" ref="GG63:GI63" si="946">IFERROR(VLOOKUP($R63,$A$13:$D$30,-GG$12,FALSE),"")</f>
        <v>Lainnya 2.3 (7) …….</v>
      </c>
      <c r="GH63" s="163" t="str">
        <f t="shared" si="946"/>
        <v/>
      </c>
      <c r="GI63" s="163" t="str">
        <f t="shared" si="946"/>
        <v/>
      </c>
      <c r="GJ63" s="156" t="str">
        <f>ADHK!GJ63</f>
        <v/>
      </c>
      <c r="GK63" s="156"/>
      <c r="GL63" s="156">
        <f t="shared" si="653"/>
        <v>0</v>
      </c>
      <c r="GM63" s="164"/>
      <c r="GN63" s="156">
        <f t="shared" si="654"/>
        <v>0</v>
      </c>
      <c r="GO63" s="165"/>
      <c r="GP63" s="165"/>
      <c r="GQ63" s="166"/>
      <c r="GR63" s="156">
        <f t="shared" si="655"/>
        <v>0</v>
      </c>
      <c r="GS63" s="164">
        <f t="shared" si="656"/>
        <v>0.4604471269</v>
      </c>
      <c r="GT63" s="167">
        <f t="shared" si="657"/>
        <v>0</v>
      </c>
      <c r="GU63" s="168">
        <f t="shared" si="658"/>
        <v>0</v>
      </c>
      <c r="GV63" s="159"/>
      <c r="GW63" s="161">
        <f t="shared" si="725"/>
        <v>15</v>
      </c>
      <c r="GX63" s="162" t="str">
        <f t="shared" ref="GX63:GZ63" si="947">IFERROR(VLOOKUP($R63,$A$13:$D$30,-GX$12,FALSE),"")</f>
        <v>Lainnya 2.3 (7) …….</v>
      </c>
      <c r="GY63" s="163" t="str">
        <f t="shared" si="947"/>
        <v/>
      </c>
      <c r="GZ63" s="163" t="str">
        <f t="shared" si="947"/>
        <v/>
      </c>
      <c r="HA63" s="156"/>
      <c r="HB63" s="169"/>
      <c r="HC63" s="156">
        <f t="shared" si="660"/>
        <v>0</v>
      </c>
      <c r="HD63" s="164"/>
      <c r="HE63" s="156">
        <f t="shared" si="661"/>
        <v>0</v>
      </c>
      <c r="HF63" s="165"/>
      <c r="HG63" s="165"/>
      <c r="HH63" s="166"/>
      <c r="HI63" s="156">
        <f t="shared" si="662"/>
        <v>0</v>
      </c>
      <c r="HJ63" s="164">
        <f t="shared" si="663"/>
        <v>0.4604471269</v>
      </c>
      <c r="HK63" s="167">
        <f t="shared" si="664"/>
        <v>0</v>
      </c>
      <c r="HL63" s="168">
        <f t="shared" si="665"/>
        <v>0</v>
      </c>
      <c r="HM63" s="159"/>
      <c r="HN63" s="161">
        <f t="shared" si="727"/>
        <v>15</v>
      </c>
      <c r="HO63" s="162" t="str">
        <f t="shared" ref="HO63:HQ63" si="948">IFERROR(VLOOKUP($R63,$A$13:$D$30,-HO$12,FALSE),"")</f>
        <v>Lainnya 2.3 (7) …….</v>
      </c>
      <c r="HP63" s="163" t="str">
        <f t="shared" si="948"/>
        <v/>
      </c>
      <c r="HQ63" s="163" t="str">
        <f t="shared" si="948"/>
        <v/>
      </c>
      <c r="HR63" s="156"/>
      <c r="HS63" s="156"/>
      <c r="HT63" s="156">
        <f t="shared" si="667"/>
        <v>0</v>
      </c>
      <c r="HU63" s="164"/>
      <c r="HV63" s="156">
        <f t="shared" si="668"/>
        <v>0</v>
      </c>
      <c r="HW63" s="165"/>
      <c r="HX63" s="165"/>
      <c r="HY63" s="166"/>
      <c r="HZ63" s="156">
        <f t="shared" si="669"/>
        <v>0</v>
      </c>
      <c r="IA63" s="164">
        <f t="shared" si="670"/>
        <v>0.4604471269</v>
      </c>
      <c r="IB63" s="167">
        <f t="shared" si="671"/>
        <v>0</v>
      </c>
      <c r="IC63" s="168">
        <f t="shared" si="672"/>
        <v>0</v>
      </c>
      <c r="ID63" s="159"/>
      <c r="IE63" s="161">
        <f t="shared" si="729"/>
        <v>15</v>
      </c>
      <c r="IF63" s="162" t="str">
        <f t="shared" ref="IF63:IH63" si="949">IFERROR(VLOOKUP($R63,$A$13:$D$30,-IF$12,FALSE),"")</f>
        <v>Lainnya 2.3 (7) …….</v>
      </c>
      <c r="IG63" s="163" t="str">
        <f t="shared" si="949"/>
        <v/>
      </c>
      <c r="IH63" s="163" t="str">
        <f t="shared" si="949"/>
        <v/>
      </c>
      <c r="II63" s="156" t="str">
        <f>ADHK!II63</f>
        <v/>
      </c>
      <c r="IJ63" s="156"/>
      <c r="IK63" s="156">
        <f t="shared" si="674"/>
        <v>0</v>
      </c>
      <c r="IL63" s="164"/>
      <c r="IM63" s="156">
        <f t="shared" si="675"/>
        <v>0</v>
      </c>
      <c r="IN63" s="165"/>
      <c r="IO63" s="165"/>
      <c r="IP63" s="166"/>
      <c r="IQ63" s="156">
        <f t="shared" si="676"/>
        <v>0</v>
      </c>
      <c r="IR63" s="164">
        <f t="shared" si="677"/>
        <v>0.4604471269</v>
      </c>
      <c r="IS63" s="167">
        <f t="shared" si="678"/>
        <v>0</v>
      </c>
      <c r="IT63" s="168">
        <f t="shared" si="679"/>
        <v>0</v>
      </c>
      <c r="IU63" s="159"/>
      <c r="IV63" s="161">
        <f t="shared" si="731"/>
        <v>15</v>
      </c>
      <c r="IW63" s="162" t="str">
        <f t="shared" ref="IW63:IY63" si="950">IFERROR(VLOOKUP($R63,$A$13:$D$30,-IW$12,FALSE),"")</f>
        <v>Lainnya 2.3 (7) …….</v>
      </c>
      <c r="IX63" s="163" t="str">
        <f t="shared" si="950"/>
        <v/>
      </c>
      <c r="IY63" s="163" t="str">
        <f t="shared" si="950"/>
        <v/>
      </c>
      <c r="IZ63" s="156" t="str">
        <f>ADHK!IZ63</f>
        <v/>
      </c>
      <c r="JA63" s="156"/>
      <c r="JB63" s="156">
        <f t="shared" si="681"/>
        <v>0</v>
      </c>
      <c r="JC63" s="164"/>
      <c r="JD63" s="156">
        <f t="shared" si="682"/>
        <v>0</v>
      </c>
      <c r="JE63" s="165"/>
      <c r="JF63" s="165"/>
      <c r="JG63" s="166"/>
      <c r="JH63" s="156">
        <f t="shared" si="683"/>
        <v>0</v>
      </c>
      <c r="JI63" s="164">
        <f t="shared" si="684"/>
        <v>0.4604471269</v>
      </c>
      <c r="JJ63" s="167">
        <f t="shared" si="685"/>
        <v>0</v>
      </c>
      <c r="JK63" s="168">
        <f t="shared" si="686"/>
        <v>0</v>
      </c>
      <c r="JL63" s="159"/>
      <c r="JM63" s="161">
        <f t="shared" si="733"/>
        <v>15</v>
      </c>
      <c r="JN63" s="162" t="str">
        <f t="shared" ref="JN63:JP63" si="951">IFERROR(VLOOKUP($R63,$A$13:$D$30,-JN$12,FALSE),"")</f>
        <v>Lainnya 2.3 (7) …….</v>
      </c>
      <c r="JO63" s="163" t="str">
        <f t="shared" si="951"/>
        <v/>
      </c>
      <c r="JP63" s="163" t="str">
        <f t="shared" si="951"/>
        <v/>
      </c>
      <c r="JQ63" s="156" t="str">
        <f>ADHK!KY63</f>
        <v/>
      </c>
      <c r="JR63" s="156"/>
      <c r="JS63" s="156">
        <f t="shared" si="688"/>
        <v>0</v>
      </c>
      <c r="JT63" s="164"/>
      <c r="JU63" s="156">
        <f t="shared" si="689"/>
        <v>0</v>
      </c>
      <c r="JV63" s="165"/>
      <c r="JW63" s="165"/>
      <c r="JX63" s="166"/>
      <c r="JY63" s="156">
        <f t="shared" si="690"/>
        <v>0</v>
      </c>
      <c r="JZ63" s="164">
        <f t="shared" si="691"/>
        <v>0.4604471269</v>
      </c>
      <c r="KA63" s="167">
        <f t="shared" si="692"/>
        <v>0</v>
      </c>
      <c r="KB63" s="168">
        <f t="shared" si="693"/>
        <v>0</v>
      </c>
      <c r="KC63" s="159"/>
      <c r="KD63" s="161">
        <f t="shared" si="735"/>
        <v>15</v>
      </c>
      <c r="KE63" s="162" t="str">
        <f t="shared" ref="KE63:KG63" si="952">IFERROR(VLOOKUP($R63,$A$13:$D$30,-KE$12,FALSE),"")</f>
        <v>Lainnya 2.3 (7) …….</v>
      </c>
      <c r="KF63" s="163" t="str">
        <f t="shared" si="952"/>
        <v/>
      </c>
      <c r="KG63" s="163" t="str">
        <f t="shared" si="952"/>
        <v/>
      </c>
      <c r="KH63" s="156" t="str">
        <f>ADHK!LP63</f>
        <v/>
      </c>
      <c r="KI63" s="156"/>
      <c r="KJ63" s="156">
        <f t="shared" si="695"/>
        <v>0</v>
      </c>
      <c r="KK63" s="164"/>
      <c r="KL63" s="156">
        <f t="shared" si="696"/>
        <v>0</v>
      </c>
      <c r="KM63" s="165"/>
      <c r="KN63" s="165"/>
      <c r="KO63" s="166"/>
      <c r="KP63" s="156">
        <f t="shared" si="697"/>
        <v>0</v>
      </c>
      <c r="KQ63" s="164">
        <f t="shared" si="698"/>
        <v>0.4604471269</v>
      </c>
      <c r="KR63" s="167">
        <f t="shared" si="699"/>
        <v>0</v>
      </c>
      <c r="KS63" s="168">
        <f t="shared" si="700"/>
        <v>0</v>
      </c>
      <c r="KT63" s="159"/>
      <c r="KU63" s="160"/>
    </row>
    <row r="64" ht="15.75" customHeight="1">
      <c r="A64" s="161">
        <f t="shared" si="701"/>
        <v>16</v>
      </c>
      <c r="B64" s="162" t="str">
        <f t="shared" ref="B64:D64" si="953">IFERROR(VLOOKUP($A64,$A$13:$D$30,-B$12,FALSE),"")</f>
        <v>Lainnya 2.3 (8) …….</v>
      </c>
      <c r="C64" s="163" t="str">
        <f t="shared" si="953"/>
        <v/>
      </c>
      <c r="D64" s="163" t="str">
        <f t="shared" si="953"/>
        <v/>
      </c>
      <c r="E64" s="156" t="str">
        <f>ADHK!E64</f>
        <v/>
      </c>
      <c r="F64" s="156" t="str">
        <f>ADHK!F64</f>
        <v/>
      </c>
      <c r="G64" s="156">
        <f t="shared" si="576"/>
        <v>0</v>
      </c>
      <c r="H64" s="164"/>
      <c r="I64" s="156">
        <f t="shared" si="577"/>
        <v>0</v>
      </c>
      <c r="J64" s="165"/>
      <c r="K64" s="165"/>
      <c r="L64" s="166"/>
      <c r="M64" s="156">
        <f t="shared" si="578"/>
        <v>0</v>
      </c>
      <c r="N64" s="164">
        <f t="shared" si="579"/>
        <v>0.4604471269</v>
      </c>
      <c r="O64" s="167">
        <f t="shared" si="580"/>
        <v>0</v>
      </c>
      <c r="P64" s="168">
        <f t="shared" si="581"/>
        <v>0</v>
      </c>
      <c r="Q64" s="159"/>
      <c r="R64" s="161">
        <f t="shared" si="703"/>
        <v>16</v>
      </c>
      <c r="S64" s="162" t="str">
        <f t="shared" ref="S64:U64" si="954">IFERROR(VLOOKUP($R64,$A$13:$D$30,-S$12,FALSE),"")</f>
        <v>Lainnya 2.3 (8) …….</v>
      </c>
      <c r="T64" s="163" t="str">
        <f t="shared" si="954"/>
        <v/>
      </c>
      <c r="U64" s="163" t="str">
        <f t="shared" si="954"/>
        <v/>
      </c>
      <c r="V64" s="156" t="str">
        <f>ADHK!V64</f>
        <v/>
      </c>
      <c r="W64" s="156"/>
      <c r="X64" s="156">
        <f t="shared" si="583"/>
        <v>0</v>
      </c>
      <c r="Y64" s="164"/>
      <c r="Z64" s="156">
        <f t="shared" si="584"/>
        <v>0</v>
      </c>
      <c r="AA64" s="165"/>
      <c r="AB64" s="165"/>
      <c r="AC64" s="166"/>
      <c r="AD64" s="156">
        <f t="shared" si="585"/>
        <v>0</v>
      </c>
      <c r="AE64" s="164">
        <f t="shared" si="586"/>
        <v>0.4604471269</v>
      </c>
      <c r="AF64" s="167">
        <f t="shared" si="587"/>
        <v>0</v>
      </c>
      <c r="AG64" s="168">
        <f t="shared" si="588"/>
        <v>0</v>
      </c>
      <c r="AH64" s="159"/>
      <c r="AI64" s="161">
        <f t="shared" si="705"/>
        <v>16</v>
      </c>
      <c r="AJ64" s="162" t="str">
        <f t="shared" ref="AJ64:AL64" si="955">IFERROR(VLOOKUP($R64,$A$13:$D$30,-AJ$12,FALSE),"")</f>
        <v>Lainnya 2.3 (8) …….</v>
      </c>
      <c r="AK64" s="163" t="str">
        <f t="shared" si="955"/>
        <v/>
      </c>
      <c r="AL64" s="163" t="str">
        <f t="shared" si="955"/>
        <v/>
      </c>
      <c r="AM64" s="156" t="str">
        <f>ADHK!AM64</f>
        <v/>
      </c>
      <c r="AN64" s="156"/>
      <c r="AO64" s="156">
        <f t="shared" si="590"/>
        <v>0</v>
      </c>
      <c r="AP64" s="164"/>
      <c r="AQ64" s="156">
        <f t="shared" si="591"/>
        <v>0</v>
      </c>
      <c r="AR64" s="165"/>
      <c r="AS64" s="165"/>
      <c r="AT64" s="166"/>
      <c r="AU64" s="156">
        <f t="shared" si="592"/>
        <v>0</v>
      </c>
      <c r="AV64" s="164">
        <f t="shared" si="593"/>
        <v>0.4604471269</v>
      </c>
      <c r="AW64" s="167">
        <f t="shared" si="594"/>
        <v>0</v>
      </c>
      <c r="AX64" s="168">
        <f t="shared" si="595"/>
        <v>0</v>
      </c>
      <c r="AY64" s="159"/>
      <c r="AZ64" s="161">
        <f t="shared" si="707"/>
        <v>16</v>
      </c>
      <c r="BA64" s="162" t="str">
        <f t="shared" ref="BA64:BC64" si="956">IFERROR(VLOOKUP($R64,$A$13:$D$30,-BA$12,FALSE),"")</f>
        <v>Lainnya 2.3 (8) …….</v>
      </c>
      <c r="BB64" s="163" t="str">
        <f t="shared" si="956"/>
        <v/>
      </c>
      <c r="BC64" s="163" t="str">
        <f t="shared" si="956"/>
        <v/>
      </c>
      <c r="BD64" s="156" t="str">
        <f>ADHK!BD64</f>
        <v/>
      </c>
      <c r="BE64" s="156"/>
      <c r="BF64" s="156">
        <f t="shared" si="597"/>
        <v>0</v>
      </c>
      <c r="BG64" s="164"/>
      <c r="BH64" s="156">
        <f t="shared" si="598"/>
        <v>0</v>
      </c>
      <c r="BI64" s="165"/>
      <c r="BJ64" s="165"/>
      <c r="BK64" s="166"/>
      <c r="BL64" s="156">
        <f t="shared" si="599"/>
        <v>0</v>
      </c>
      <c r="BM64" s="164">
        <f t="shared" si="600"/>
        <v>0.4604471269</v>
      </c>
      <c r="BN64" s="167">
        <f t="shared" si="601"/>
        <v>0</v>
      </c>
      <c r="BO64" s="168">
        <f t="shared" si="602"/>
        <v>0</v>
      </c>
      <c r="BP64" s="159"/>
      <c r="BQ64" s="161">
        <f t="shared" si="709"/>
        <v>16</v>
      </c>
      <c r="BR64" s="162" t="str">
        <f t="shared" ref="BR64:BT64" si="957">IFERROR(VLOOKUP($R64,$A$13:$D$30,-BR$12,FALSE),"")</f>
        <v>Lainnya 2.3 (8) …….</v>
      </c>
      <c r="BS64" s="163" t="str">
        <f t="shared" si="957"/>
        <v/>
      </c>
      <c r="BT64" s="163" t="str">
        <f t="shared" si="957"/>
        <v/>
      </c>
      <c r="BU64" s="156" t="str">
        <f>ADHK!BU64</f>
        <v/>
      </c>
      <c r="BV64" s="156"/>
      <c r="BW64" s="156">
        <f t="shared" si="604"/>
        <v>0</v>
      </c>
      <c r="BX64" s="164"/>
      <c r="BY64" s="156">
        <f t="shared" si="605"/>
        <v>0</v>
      </c>
      <c r="BZ64" s="165"/>
      <c r="CA64" s="165"/>
      <c r="CB64" s="166"/>
      <c r="CC64" s="156">
        <f t="shared" si="606"/>
        <v>0</v>
      </c>
      <c r="CD64" s="164">
        <f t="shared" si="607"/>
        <v>0.4604471269</v>
      </c>
      <c r="CE64" s="167">
        <f t="shared" si="608"/>
        <v>0</v>
      </c>
      <c r="CF64" s="168">
        <f t="shared" si="609"/>
        <v>0</v>
      </c>
      <c r="CG64" s="159"/>
      <c r="CH64" s="161">
        <f t="shared" si="711"/>
        <v>16</v>
      </c>
      <c r="CI64" s="162" t="str">
        <f t="shared" ref="CI64:CK64" si="958">IFERROR(VLOOKUP($R64,$A$13:$D$30,-CI$12,FALSE),"")</f>
        <v>Lainnya 2.3 (8) …….</v>
      </c>
      <c r="CJ64" s="163" t="str">
        <f t="shared" si="958"/>
        <v/>
      </c>
      <c r="CK64" s="163" t="str">
        <f t="shared" si="958"/>
        <v/>
      </c>
      <c r="CL64" s="156" t="str">
        <f>ADHK!CL64</f>
        <v/>
      </c>
      <c r="CM64" s="156"/>
      <c r="CN64" s="156">
        <f t="shared" si="611"/>
        <v>0</v>
      </c>
      <c r="CO64" s="164"/>
      <c r="CP64" s="156">
        <f t="shared" si="612"/>
        <v>0</v>
      </c>
      <c r="CQ64" s="165"/>
      <c r="CR64" s="165"/>
      <c r="CS64" s="166"/>
      <c r="CT64" s="156">
        <f t="shared" si="613"/>
        <v>0</v>
      </c>
      <c r="CU64" s="164">
        <f t="shared" si="614"/>
        <v>0.4604471269</v>
      </c>
      <c r="CV64" s="167">
        <f t="shared" si="615"/>
        <v>0</v>
      </c>
      <c r="CW64" s="168">
        <f t="shared" si="616"/>
        <v>0</v>
      </c>
      <c r="CX64" s="159"/>
      <c r="CY64" s="161">
        <f t="shared" si="713"/>
        <v>16</v>
      </c>
      <c r="CZ64" s="162" t="str">
        <f t="shared" ref="CZ64:DB64" si="959">IFERROR(VLOOKUP($R64,$A$13:$D$30,-CZ$12,FALSE),"")</f>
        <v>Lainnya 2.3 (8) …….</v>
      </c>
      <c r="DA64" s="163" t="str">
        <f t="shared" si="959"/>
        <v/>
      </c>
      <c r="DB64" s="163" t="str">
        <f t="shared" si="959"/>
        <v/>
      </c>
      <c r="DC64" s="156" t="str">
        <f>ADHK!DC64</f>
        <v/>
      </c>
      <c r="DD64" s="156"/>
      <c r="DE64" s="156">
        <f t="shared" si="618"/>
        <v>0</v>
      </c>
      <c r="DF64" s="164"/>
      <c r="DG64" s="156">
        <f t="shared" si="619"/>
        <v>0</v>
      </c>
      <c r="DH64" s="165"/>
      <c r="DI64" s="165"/>
      <c r="DJ64" s="166"/>
      <c r="DK64" s="156">
        <f t="shared" si="620"/>
        <v>0</v>
      </c>
      <c r="DL64" s="164">
        <f t="shared" si="621"/>
        <v>0.4604471269</v>
      </c>
      <c r="DM64" s="167">
        <f t="shared" si="622"/>
        <v>0</v>
      </c>
      <c r="DN64" s="168">
        <f t="shared" si="623"/>
        <v>0</v>
      </c>
      <c r="DO64" s="159"/>
      <c r="DP64" s="161">
        <f t="shared" si="715"/>
        <v>16</v>
      </c>
      <c r="DQ64" s="162" t="str">
        <f t="shared" ref="DQ64:DS64" si="960">IFERROR(VLOOKUP($R64,$A$13:$D$30,-DQ$12,FALSE),"")</f>
        <v>Lainnya 2.3 (8) …….</v>
      </c>
      <c r="DR64" s="163" t="str">
        <f t="shared" si="960"/>
        <v/>
      </c>
      <c r="DS64" s="163" t="str">
        <f t="shared" si="960"/>
        <v/>
      </c>
      <c r="DT64" s="156" t="str">
        <f>ADHK!DT64</f>
        <v/>
      </c>
      <c r="DU64" s="156"/>
      <c r="DV64" s="156">
        <f t="shared" si="625"/>
        <v>0</v>
      </c>
      <c r="DW64" s="164"/>
      <c r="DX64" s="156">
        <f t="shared" si="626"/>
        <v>0</v>
      </c>
      <c r="DY64" s="165"/>
      <c r="DZ64" s="165"/>
      <c r="EA64" s="166"/>
      <c r="EB64" s="156">
        <f t="shared" si="627"/>
        <v>0</v>
      </c>
      <c r="EC64" s="164">
        <f t="shared" si="628"/>
        <v>0.4604471269</v>
      </c>
      <c r="ED64" s="167">
        <f t="shared" si="629"/>
        <v>0</v>
      </c>
      <c r="EE64" s="168">
        <f t="shared" si="630"/>
        <v>0</v>
      </c>
      <c r="EF64" s="159"/>
      <c r="EG64" s="161">
        <f t="shared" si="717"/>
        <v>16</v>
      </c>
      <c r="EH64" s="162" t="str">
        <f t="shared" ref="EH64:EJ64" si="961">IFERROR(VLOOKUP($R64,$A$13:$D$30,-EH$12,FALSE),"")</f>
        <v>Lainnya 2.3 (8) …….</v>
      </c>
      <c r="EI64" s="163" t="str">
        <f t="shared" si="961"/>
        <v/>
      </c>
      <c r="EJ64" s="163" t="str">
        <f t="shared" si="961"/>
        <v/>
      </c>
      <c r="EK64" s="156" t="str">
        <f>ADHK!EK64</f>
        <v/>
      </c>
      <c r="EL64" s="156"/>
      <c r="EM64" s="156">
        <f t="shared" si="632"/>
        <v>0</v>
      </c>
      <c r="EN64" s="164"/>
      <c r="EO64" s="156">
        <f t="shared" si="633"/>
        <v>0</v>
      </c>
      <c r="EP64" s="165"/>
      <c r="EQ64" s="165"/>
      <c r="ER64" s="166"/>
      <c r="ES64" s="156">
        <f t="shared" si="634"/>
        <v>0</v>
      </c>
      <c r="ET64" s="164">
        <f t="shared" si="635"/>
        <v>0.4604471269</v>
      </c>
      <c r="EU64" s="167">
        <f t="shared" si="636"/>
        <v>0</v>
      </c>
      <c r="EV64" s="168">
        <f t="shared" si="637"/>
        <v>0</v>
      </c>
      <c r="EW64" s="159"/>
      <c r="EX64" s="161">
        <f t="shared" si="719"/>
        <v>16</v>
      </c>
      <c r="EY64" s="162" t="str">
        <f t="shared" ref="EY64:FA64" si="962">IFERROR(VLOOKUP($R64,$A$13:$D$30,-EY$12,FALSE),"")</f>
        <v>Lainnya 2.3 (8) …….</v>
      </c>
      <c r="EZ64" s="163" t="str">
        <f t="shared" si="962"/>
        <v/>
      </c>
      <c r="FA64" s="163" t="str">
        <f t="shared" si="962"/>
        <v/>
      </c>
      <c r="FB64" s="156" t="str">
        <f>ADHK!FB64</f>
        <v/>
      </c>
      <c r="FC64" s="156"/>
      <c r="FD64" s="156">
        <f t="shared" si="639"/>
        <v>0</v>
      </c>
      <c r="FE64" s="164"/>
      <c r="FF64" s="156">
        <f t="shared" si="640"/>
        <v>0</v>
      </c>
      <c r="FG64" s="165"/>
      <c r="FH64" s="165"/>
      <c r="FI64" s="166"/>
      <c r="FJ64" s="156">
        <f t="shared" si="641"/>
        <v>0</v>
      </c>
      <c r="FK64" s="164">
        <f t="shared" si="642"/>
        <v>0.4604471269</v>
      </c>
      <c r="FL64" s="167">
        <f t="shared" si="643"/>
        <v>0</v>
      </c>
      <c r="FM64" s="168">
        <f t="shared" si="644"/>
        <v>0</v>
      </c>
      <c r="FN64" s="159"/>
      <c r="FO64" s="161">
        <f t="shared" si="721"/>
        <v>16</v>
      </c>
      <c r="FP64" s="162" t="str">
        <f t="shared" ref="FP64:FR64" si="963">IFERROR(VLOOKUP($R64,$A$13:$D$30,-FP$12,FALSE),"")</f>
        <v>Lainnya 2.3 (8) …….</v>
      </c>
      <c r="FQ64" s="163" t="str">
        <f t="shared" si="963"/>
        <v/>
      </c>
      <c r="FR64" s="163" t="str">
        <f t="shared" si="963"/>
        <v/>
      </c>
      <c r="FS64" s="156" t="str">
        <f>ADHK!FS64</f>
        <v/>
      </c>
      <c r="FT64" s="156"/>
      <c r="FU64" s="156">
        <f t="shared" si="646"/>
        <v>0</v>
      </c>
      <c r="FV64" s="164"/>
      <c r="FW64" s="156">
        <f t="shared" si="647"/>
        <v>0</v>
      </c>
      <c r="FX64" s="165"/>
      <c r="FY64" s="165"/>
      <c r="FZ64" s="166"/>
      <c r="GA64" s="156">
        <f t="shared" si="648"/>
        <v>0</v>
      </c>
      <c r="GB64" s="164">
        <f t="shared" si="649"/>
        <v>0.4604471269</v>
      </c>
      <c r="GC64" s="167">
        <f t="shared" si="650"/>
        <v>0</v>
      </c>
      <c r="GD64" s="168">
        <f t="shared" si="651"/>
        <v>0</v>
      </c>
      <c r="GE64" s="159"/>
      <c r="GF64" s="161">
        <f t="shared" si="723"/>
        <v>16</v>
      </c>
      <c r="GG64" s="162" t="str">
        <f t="shared" ref="GG64:GI64" si="964">IFERROR(VLOOKUP($R64,$A$13:$D$30,-GG$12,FALSE),"")</f>
        <v>Lainnya 2.3 (8) …….</v>
      </c>
      <c r="GH64" s="163" t="str">
        <f t="shared" si="964"/>
        <v/>
      </c>
      <c r="GI64" s="163" t="str">
        <f t="shared" si="964"/>
        <v/>
      </c>
      <c r="GJ64" s="156" t="str">
        <f>ADHK!GJ64</f>
        <v/>
      </c>
      <c r="GK64" s="156"/>
      <c r="GL64" s="156">
        <f t="shared" si="653"/>
        <v>0</v>
      </c>
      <c r="GM64" s="164"/>
      <c r="GN64" s="156">
        <f t="shared" si="654"/>
        <v>0</v>
      </c>
      <c r="GO64" s="165"/>
      <c r="GP64" s="165"/>
      <c r="GQ64" s="166"/>
      <c r="GR64" s="156">
        <f t="shared" si="655"/>
        <v>0</v>
      </c>
      <c r="GS64" s="164">
        <f t="shared" si="656"/>
        <v>0.4604471269</v>
      </c>
      <c r="GT64" s="167">
        <f t="shared" si="657"/>
        <v>0</v>
      </c>
      <c r="GU64" s="168">
        <f t="shared" si="658"/>
        <v>0</v>
      </c>
      <c r="GV64" s="159"/>
      <c r="GW64" s="161">
        <f t="shared" si="725"/>
        <v>16</v>
      </c>
      <c r="GX64" s="162" t="str">
        <f t="shared" ref="GX64:GZ64" si="965">IFERROR(VLOOKUP($R64,$A$13:$D$30,-GX$12,FALSE),"")</f>
        <v>Lainnya 2.3 (8) …….</v>
      </c>
      <c r="GY64" s="163" t="str">
        <f t="shared" si="965"/>
        <v/>
      </c>
      <c r="GZ64" s="163" t="str">
        <f t="shared" si="965"/>
        <v/>
      </c>
      <c r="HA64" s="156" t="str">
        <f>ADHK!HA64</f>
        <v/>
      </c>
      <c r="HB64" s="156"/>
      <c r="HC64" s="156">
        <f t="shared" si="660"/>
        <v>0</v>
      </c>
      <c r="HD64" s="164"/>
      <c r="HE64" s="156">
        <f t="shared" si="661"/>
        <v>0</v>
      </c>
      <c r="HF64" s="165"/>
      <c r="HG64" s="165"/>
      <c r="HH64" s="166"/>
      <c r="HI64" s="156">
        <f t="shared" si="662"/>
        <v>0</v>
      </c>
      <c r="HJ64" s="164">
        <f t="shared" si="663"/>
        <v>0.4604471269</v>
      </c>
      <c r="HK64" s="167">
        <f t="shared" si="664"/>
        <v>0</v>
      </c>
      <c r="HL64" s="168">
        <f t="shared" si="665"/>
        <v>0</v>
      </c>
      <c r="HM64" s="159"/>
      <c r="HN64" s="161">
        <f t="shared" si="727"/>
        <v>16</v>
      </c>
      <c r="HO64" s="162" t="str">
        <f t="shared" ref="HO64:HQ64" si="966">IFERROR(VLOOKUP($R64,$A$13:$D$30,-HO$12,FALSE),"")</f>
        <v>Lainnya 2.3 (8) …….</v>
      </c>
      <c r="HP64" s="163" t="str">
        <f t="shared" si="966"/>
        <v/>
      </c>
      <c r="HQ64" s="163" t="str">
        <f t="shared" si="966"/>
        <v/>
      </c>
      <c r="HR64" s="156"/>
      <c r="HS64" s="169"/>
      <c r="HT64" s="156">
        <f t="shared" si="667"/>
        <v>0</v>
      </c>
      <c r="HU64" s="164"/>
      <c r="HV64" s="156">
        <f t="shared" si="668"/>
        <v>0</v>
      </c>
      <c r="HW64" s="165"/>
      <c r="HX64" s="165"/>
      <c r="HY64" s="166"/>
      <c r="HZ64" s="156">
        <f t="shared" si="669"/>
        <v>0</v>
      </c>
      <c r="IA64" s="164">
        <f t="shared" si="670"/>
        <v>0.4604471269</v>
      </c>
      <c r="IB64" s="167">
        <f t="shared" si="671"/>
        <v>0</v>
      </c>
      <c r="IC64" s="168">
        <f t="shared" si="672"/>
        <v>0</v>
      </c>
      <c r="ID64" s="159"/>
      <c r="IE64" s="161">
        <f t="shared" si="729"/>
        <v>16</v>
      </c>
      <c r="IF64" s="162" t="str">
        <f t="shared" ref="IF64:IH64" si="967">IFERROR(VLOOKUP($R64,$A$13:$D$30,-IF$12,FALSE),"")</f>
        <v>Lainnya 2.3 (8) …….</v>
      </c>
      <c r="IG64" s="163" t="str">
        <f t="shared" si="967"/>
        <v/>
      </c>
      <c r="IH64" s="163" t="str">
        <f t="shared" si="967"/>
        <v/>
      </c>
      <c r="II64" s="156" t="str">
        <f>ADHK!II64</f>
        <v/>
      </c>
      <c r="IJ64" s="156"/>
      <c r="IK64" s="156">
        <f t="shared" si="674"/>
        <v>0</v>
      </c>
      <c r="IL64" s="164"/>
      <c r="IM64" s="156">
        <f t="shared" si="675"/>
        <v>0</v>
      </c>
      <c r="IN64" s="165"/>
      <c r="IO64" s="165"/>
      <c r="IP64" s="166"/>
      <c r="IQ64" s="156">
        <f t="shared" si="676"/>
        <v>0</v>
      </c>
      <c r="IR64" s="164">
        <f t="shared" si="677"/>
        <v>0.4604471269</v>
      </c>
      <c r="IS64" s="167">
        <f t="shared" si="678"/>
        <v>0</v>
      </c>
      <c r="IT64" s="168">
        <f t="shared" si="679"/>
        <v>0</v>
      </c>
      <c r="IU64" s="159"/>
      <c r="IV64" s="161">
        <f t="shared" si="731"/>
        <v>16</v>
      </c>
      <c r="IW64" s="162" t="str">
        <f t="shared" ref="IW64:IY64" si="968">IFERROR(VLOOKUP($R64,$A$13:$D$30,-IW$12,FALSE),"")</f>
        <v>Lainnya 2.3 (8) …….</v>
      </c>
      <c r="IX64" s="163" t="str">
        <f t="shared" si="968"/>
        <v/>
      </c>
      <c r="IY64" s="163" t="str">
        <f t="shared" si="968"/>
        <v/>
      </c>
      <c r="IZ64" s="156" t="str">
        <f>ADHK!IZ64</f>
        <v/>
      </c>
      <c r="JA64" s="156"/>
      <c r="JB64" s="156">
        <f t="shared" si="681"/>
        <v>0</v>
      </c>
      <c r="JC64" s="164"/>
      <c r="JD64" s="156">
        <f t="shared" si="682"/>
        <v>0</v>
      </c>
      <c r="JE64" s="165"/>
      <c r="JF64" s="165"/>
      <c r="JG64" s="166"/>
      <c r="JH64" s="156">
        <f t="shared" si="683"/>
        <v>0</v>
      </c>
      <c r="JI64" s="164">
        <f t="shared" si="684"/>
        <v>0.4604471269</v>
      </c>
      <c r="JJ64" s="167">
        <f t="shared" si="685"/>
        <v>0</v>
      </c>
      <c r="JK64" s="168">
        <f t="shared" si="686"/>
        <v>0</v>
      </c>
      <c r="JL64" s="159"/>
      <c r="JM64" s="161">
        <f t="shared" si="733"/>
        <v>16</v>
      </c>
      <c r="JN64" s="162" t="str">
        <f t="shared" ref="JN64:JP64" si="969">IFERROR(VLOOKUP($R64,$A$13:$D$30,-JN$12,FALSE),"")</f>
        <v>Lainnya 2.3 (8) …….</v>
      </c>
      <c r="JO64" s="163" t="str">
        <f t="shared" si="969"/>
        <v/>
      </c>
      <c r="JP64" s="163" t="str">
        <f t="shared" si="969"/>
        <v/>
      </c>
      <c r="JQ64" s="156" t="str">
        <f>ADHK!KY64</f>
        <v/>
      </c>
      <c r="JR64" s="156"/>
      <c r="JS64" s="156">
        <f t="shared" si="688"/>
        <v>0</v>
      </c>
      <c r="JT64" s="164"/>
      <c r="JU64" s="156">
        <f t="shared" si="689"/>
        <v>0</v>
      </c>
      <c r="JV64" s="165"/>
      <c r="JW64" s="165"/>
      <c r="JX64" s="166"/>
      <c r="JY64" s="156">
        <f t="shared" si="690"/>
        <v>0</v>
      </c>
      <c r="JZ64" s="164">
        <f t="shared" si="691"/>
        <v>0.4604471269</v>
      </c>
      <c r="KA64" s="167">
        <f t="shared" si="692"/>
        <v>0</v>
      </c>
      <c r="KB64" s="168">
        <f t="shared" si="693"/>
        <v>0</v>
      </c>
      <c r="KC64" s="159"/>
      <c r="KD64" s="161">
        <f t="shared" si="735"/>
        <v>16</v>
      </c>
      <c r="KE64" s="162" t="str">
        <f t="shared" ref="KE64:KG64" si="970">IFERROR(VLOOKUP($R64,$A$13:$D$30,-KE$12,FALSE),"")</f>
        <v>Lainnya 2.3 (8) …….</v>
      </c>
      <c r="KF64" s="163" t="str">
        <f t="shared" si="970"/>
        <v/>
      </c>
      <c r="KG64" s="163" t="str">
        <f t="shared" si="970"/>
        <v/>
      </c>
      <c r="KH64" s="156" t="str">
        <f>ADHK!LP64</f>
        <v/>
      </c>
      <c r="KI64" s="156"/>
      <c r="KJ64" s="156">
        <f t="shared" si="695"/>
        <v>0</v>
      </c>
      <c r="KK64" s="164"/>
      <c r="KL64" s="156">
        <f t="shared" si="696"/>
        <v>0</v>
      </c>
      <c r="KM64" s="165"/>
      <c r="KN64" s="165"/>
      <c r="KO64" s="166"/>
      <c r="KP64" s="156">
        <f t="shared" si="697"/>
        <v>0</v>
      </c>
      <c r="KQ64" s="164">
        <f t="shared" si="698"/>
        <v>0.4604471269</v>
      </c>
      <c r="KR64" s="167">
        <f t="shared" si="699"/>
        <v>0</v>
      </c>
      <c r="KS64" s="168">
        <f t="shared" si="700"/>
        <v>0</v>
      </c>
      <c r="KT64" s="159"/>
      <c r="KU64" s="160"/>
    </row>
    <row r="65" ht="15.75" customHeight="1">
      <c r="A65" s="161">
        <f t="shared" si="701"/>
        <v>17</v>
      </c>
      <c r="B65" s="162" t="str">
        <f t="shared" ref="B65:D65" si="971">IFERROR(VLOOKUP($A65,$A$13:$D$30,-B$12,FALSE),"")</f>
        <v>Lainnya 2.3 (9) …….</v>
      </c>
      <c r="C65" s="163" t="str">
        <f t="shared" si="971"/>
        <v/>
      </c>
      <c r="D65" s="163" t="str">
        <f t="shared" si="971"/>
        <v/>
      </c>
      <c r="E65" s="156" t="str">
        <f>ADHK!E65</f>
        <v/>
      </c>
      <c r="F65" s="156" t="str">
        <f>ADHK!F65</f>
        <v/>
      </c>
      <c r="G65" s="156">
        <f t="shared" si="576"/>
        <v>0</v>
      </c>
      <c r="H65" s="164"/>
      <c r="I65" s="156">
        <f t="shared" si="577"/>
        <v>0</v>
      </c>
      <c r="J65" s="165"/>
      <c r="K65" s="165"/>
      <c r="L65" s="166"/>
      <c r="M65" s="156">
        <f t="shared" si="578"/>
        <v>0</v>
      </c>
      <c r="N65" s="164">
        <f t="shared" si="579"/>
        <v>0.4604471269</v>
      </c>
      <c r="O65" s="167">
        <f t="shared" si="580"/>
        <v>0</v>
      </c>
      <c r="P65" s="168">
        <f t="shared" si="581"/>
        <v>0</v>
      </c>
      <c r="Q65" s="159"/>
      <c r="R65" s="161">
        <f t="shared" si="703"/>
        <v>17</v>
      </c>
      <c r="S65" s="162" t="str">
        <f t="shared" ref="S65:U65" si="972">IFERROR(VLOOKUP($R65,$A$13:$D$30,-S$12,FALSE),"")</f>
        <v>Lainnya 2.3 (9) …….</v>
      </c>
      <c r="T65" s="163" t="str">
        <f t="shared" si="972"/>
        <v/>
      </c>
      <c r="U65" s="163" t="str">
        <f t="shared" si="972"/>
        <v/>
      </c>
      <c r="V65" s="156" t="str">
        <f>ADHK!V65</f>
        <v/>
      </c>
      <c r="W65" s="156"/>
      <c r="X65" s="156">
        <f t="shared" si="583"/>
        <v>0</v>
      </c>
      <c r="Y65" s="164"/>
      <c r="Z65" s="156">
        <f t="shared" si="584"/>
        <v>0</v>
      </c>
      <c r="AA65" s="165"/>
      <c r="AB65" s="165"/>
      <c r="AC65" s="166"/>
      <c r="AD65" s="156">
        <f t="shared" si="585"/>
        <v>0</v>
      </c>
      <c r="AE65" s="164">
        <f t="shared" si="586"/>
        <v>0.4604471269</v>
      </c>
      <c r="AF65" s="167">
        <f t="shared" si="587"/>
        <v>0</v>
      </c>
      <c r="AG65" s="168">
        <f t="shared" si="588"/>
        <v>0</v>
      </c>
      <c r="AH65" s="159"/>
      <c r="AI65" s="161">
        <f t="shared" si="705"/>
        <v>17</v>
      </c>
      <c r="AJ65" s="162" t="str">
        <f t="shared" ref="AJ65:AL65" si="973">IFERROR(VLOOKUP($R65,$A$13:$D$30,-AJ$12,FALSE),"")</f>
        <v>Lainnya 2.3 (9) …….</v>
      </c>
      <c r="AK65" s="163" t="str">
        <f t="shared" si="973"/>
        <v/>
      </c>
      <c r="AL65" s="163" t="str">
        <f t="shared" si="973"/>
        <v/>
      </c>
      <c r="AM65" s="156" t="str">
        <f>ADHK!AM65</f>
        <v/>
      </c>
      <c r="AN65" s="156"/>
      <c r="AO65" s="156">
        <f t="shared" si="590"/>
        <v>0</v>
      </c>
      <c r="AP65" s="164"/>
      <c r="AQ65" s="156">
        <f t="shared" si="591"/>
        <v>0</v>
      </c>
      <c r="AR65" s="165"/>
      <c r="AS65" s="165"/>
      <c r="AT65" s="166"/>
      <c r="AU65" s="156">
        <f t="shared" si="592"/>
        <v>0</v>
      </c>
      <c r="AV65" s="164">
        <f t="shared" si="593"/>
        <v>0.4604471269</v>
      </c>
      <c r="AW65" s="167">
        <f t="shared" si="594"/>
        <v>0</v>
      </c>
      <c r="AX65" s="168">
        <f t="shared" si="595"/>
        <v>0</v>
      </c>
      <c r="AY65" s="159"/>
      <c r="AZ65" s="161">
        <f t="shared" si="707"/>
        <v>17</v>
      </c>
      <c r="BA65" s="162" t="str">
        <f t="shared" ref="BA65:BC65" si="974">IFERROR(VLOOKUP($R65,$A$13:$D$30,-BA$12,FALSE),"")</f>
        <v>Lainnya 2.3 (9) …….</v>
      </c>
      <c r="BB65" s="163" t="str">
        <f t="shared" si="974"/>
        <v/>
      </c>
      <c r="BC65" s="163" t="str">
        <f t="shared" si="974"/>
        <v/>
      </c>
      <c r="BD65" s="156" t="str">
        <f>ADHK!BD65</f>
        <v/>
      </c>
      <c r="BE65" s="156"/>
      <c r="BF65" s="156">
        <f t="shared" si="597"/>
        <v>0</v>
      </c>
      <c r="BG65" s="164"/>
      <c r="BH65" s="156">
        <f t="shared" si="598"/>
        <v>0</v>
      </c>
      <c r="BI65" s="165"/>
      <c r="BJ65" s="165"/>
      <c r="BK65" s="166"/>
      <c r="BL65" s="156">
        <f t="shared" si="599"/>
        <v>0</v>
      </c>
      <c r="BM65" s="164">
        <f t="shared" si="600"/>
        <v>0.4604471269</v>
      </c>
      <c r="BN65" s="167">
        <f t="shared" si="601"/>
        <v>0</v>
      </c>
      <c r="BO65" s="168">
        <f t="shared" si="602"/>
        <v>0</v>
      </c>
      <c r="BP65" s="159"/>
      <c r="BQ65" s="161">
        <f t="shared" si="709"/>
        <v>17</v>
      </c>
      <c r="BR65" s="162" t="str">
        <f t="shared" ref="BR65:BT65" si="975">IFERROR(VLOOKUP($R65,$A$13:$D$30,-BR$12,FALSE),"")</f>
        <v>Lainnya 2.3 (9) …….</v>
      </c>
      <c r="BS65" s="163" t="str">
        <f t="shared" si="975"/>
        <v/>
      </c>
      <c r="BT65" s="163" t="str">
        <f t="shared" si="975"/>
        <v/>
      </c>
      <c r="BU65" s="156" t="str">
        <f>ADHK!BU65</f>
        <v/>
      </c>
      <c r="BV65" s="156"/>
      <c r="BW65" s="156">
        <f t="shared" si="604"/>
        <v>0</v>
      </c>
      <c r="BX65" s="164"/>
      <c r="BY65" s="156">
        <f t="shared" si="605"/>
        <v>0</v>
      </c>
      <c r="BZ65" s="165"/>
      <c r="CA65" s="165"/>
      <c r="CB65" s="166"/>
      <c r="CC65" s="156">
        <f t="shared" si="606"/>
        <v>0</v>
      </c>
      <c r="CD65" s="164">
        <f t="shared" si="607"/>
        <v>0.4604471269</v>
      </c>
      <c r="CE65" s="167">
        <f t="shared" si="608"/>
        <v>0</v>
      </c>
      <c r="CF65" s="168">
        <f t="shared" si="609"/>
        <v>0</v>
      </c>
      <c r="CG65" s="159"/>
      <c r="CH65" s="161">
        <f t="shared" si="711"/>
        <v>17</v>
      </c>
      <c r="CI65" s="162" t="str">
        <f t="shared" ref="CI65:CK65" si="976">IFERROR(VLOOKUP($R65,$A$13:$D$30,-CI$12,FALSE),"")</f>
        <v>Lainnya 2.3 (9) …….</v>
      </c>
      <c r="CJ65" s="163" t="str">
        <f t="shared" si="976"/>
        <v/>
      </c>
      <c r="CK65" s="163" t="str">
        <f t="shared" si="976"/>
        <v/>
      </c>
      <c r="CL65" s="156" t="str">
        <f>ADHK!CL65</f>
        <v/>
      </c>
      <c r="CM65" s="156"/>
      <c r="CN65" s="156">
        <f t="shared" si="611"/>
        <v>0</v>
      </c>
      <c r="CO65" s="164"/>
      <c r="CP65" s="156">
        <f t="shared" si="612"/>
        <v>0</v>
      </c>
      <c r="CQ65" s="165"/>
      <c r="CR65" s="165"/>
      <c r="CS65" s="166"/>
      <c r="CT65" s="156">
        <f t="shared" si="613"/>
        <v>0</v>
      </c>
      <c r="CU65" s="164">
        <f t="shared" si="614"/>
        <v>0.4604471269</v>
      </c>
      <c r="CV65" s="167">
        <f t="shared" si="615"/>
        <v>0</v>
      </c>
      <c r="CW65" s="168">
        <f t="shared" si="616"/>
        <v>0</v>
      </c>
      <c r="CX65" s="159"/>
      <c r="CY65" s="161">
        <f t="shared" si="713"/>
        <v>17</v>
      </c>
      <c r="CZ65" s="162" t="str">
        <f t="shared" ref="CZ65:DB65" si="977">IFERROR(VLOOKUP($R65,$A$13:$D$30,-CZ$12,FALSE),"")</f>
        <v>Lainnya 2.3 (9) …….</v>
      </c>
      <c r="DA65" s="163" t="str">
        <f t="shared" si="977"/>
        <v/>
      </c>
      <c r="DB65" s="163" t="str">
        <f t="shared" si="977"/>
        <v/>
      </c>
      <c r="DC65" s="156" t="str">
        <f>ADHK!DC65</f>
        <v/>
      </c>
      <c r="DD65" s="156"/>
      <c r="DE65" s="156">
        <f t="shared" si="618"/>
        <v>0</v>
      </c>
      <c r="DF65" s="164"/>
      <c r="DG65" s="156">
        <f t="shared" si="619"/>
        <v>0</v>
      </c>
      <c r="DH65" s="165"/>
      <c r="DI65" s="165"/>
      <c r="DJ65" s="166"/>
      <c r="DK65" s="156">
        <f t="shared" si="620"/>
        <v>0</v>
      </c>
      <c r="DL65" s="164">
        <f t="shared" si="621"/>
        <v>0.4604471269</v>
      </c>
      <c r="DM65" s="167">
        <f t="shared" si="622"/>
        <v>0</v>
      </c>
      <c r="DN65" s="168">
        <f t="shared" si="623"/>
        <v>0</v>
      </c>
      <c r="DO65" s="159"/>
      <c r="DP65" s="161">
        <f t="shared" si="715"/>
        <v>17</v>
      </c>
      <c r="DQ65" s="162" t="str">
        <f t="shared" ref="DQ65:DS65" si="978">IFERROR(VLOOKUP($R65,$A$13:$D$30,-DQ$12,FALSE),"")</f>
        <v>Lainnya 2.3 (9) …….</v>
      </c>
      <c r="DR65" s="163" t="str">
        <f t="shared" si="978"/>
        <v/>
      </c>
      <c r="DS65" s="163" t="str">
        <f t="shared" si="978"/>
        <v/>
      </c>
      <c r="DT65" s="156" t="str">
        <f>ADHK!DT65</f>
        <v/>
      </c>
      <c r="DU65" s="156"/>
      <c r="DV65" s="156">
        <f t="shared" si="625"/>
        <v>0</v>
      </c>
      <c r="DW65" s="164"/>
      <c r="DX65" s="156">
        <f t="shared" si="626"/>
        <v>0</v>
      </c>
      <c r="DY65" s="165"/>
      <c r="DZ65" s="165"/>
      <c r="EA65" s="166"/>
      <c r="EB65" s="156">
        <f t="shared" si="627"/>
        <v>0</v>
      </c>
      <c r="EC65" s="164">
        <f t="shared" si="628"/>
        <v>0.4604471269</v>
      </c>
      <c r="ED65" s="167">
        <f t="shared" si="629"/>
        <v>0</v>
      </c>
      <c r="EE65" s="168">
        <f t="shared" si="630"/>
        <v>0</v>
      </c>
      <c r="EF65" s="159"/>
      <c r="EG65" s="161">
        <f t="shared" si="717"/>
        <v>17</v>
      </c>
      <c r="EH65" s="162" t="str">
        <f t="shared" ref="EH65:EJ65" si="979">IFERROR(VLOOKUP($R65,$A$13:$D$30,-EH$12,FALSE),"")</f>
        <v>Lainnya 2.3 (9) …….</v>
      </c>
      <c r="EI65" s="163" t="str">
        <f t="shared" si="979"/>
        <v/>
      </c>
      <c r="EJ65" s="163" t="str">
        <f t="shared" si="979"/>
        <v/>
      </c>
      <c r="EK65" s="156" t="str">
        <f>ADHK!EK65</f>
        <v/>
      </c>
      <c r="EL65" s="156"/>
      <c r="EM65" s="156">
        <f t="shared" si="632"/>
        <v>0</v>
      </c>
      <c r="EN65" s="164"/>
      <c r="EO65" s="156">
        <f t="shared" si="633"/>
        <v>0</v>
      </c>
      <c r="EP65" s="165"/>
      <c r="EQ65" s="165"/>
      <c r="ER65" s="166"/>
      <c r="ES65" s="156">
        <f t="shared" si="634"/>
        <v>0</v>
      </c>
      <c r="ET65" s="164">
        <f t="shared" si="635"/>
        <v>0.4604471269</v>
      </c>
      <c r="EU65" s="167">
        <f t="shared" si="636"/>
        <v>0</v>
      </c>
      <c r="EV65" s="168">
        <f t="shared" si="637"/>
        <v>0</v>
      </c>
      <c r="EW65" s="159"/>
      <c r="EX65" s="161">
        <f t="shared" si="719"/>
        <v>17</v>
      </c>
      <c r="EY65" s="162" t="str">
        <f t="shared" ref="EY65:FA65" si="980">IFERROR(VLOOKUP($R65,$A$13:$D$30,-EY$12,FALSE),"")</f>
        <v>Lainnya 2.3 (9) …….</v>
      </c>
      <c r="EZ65" s="163" t="str">
        <f t="shared" si="980"/>
        <v/>
      </c>
      <c r="FA65" s="163" t="str">
        <f t="shared" si="980"/>
        <v/>
      </c>
      <c r="FB65" s="156" t="str">
        <f>ADHK!FB65</f>
        <v/>
      </c>
      <c r="FC65" s="156"/>
      <c r="FD65" s="156">
        <f t="shared" si="639"/>
        <v>0</v>
      </c>
      <c r="FE65" s="164"/>
      <c r="FF65" s="156">
        <f t="shared" si="640"/>
        <v>0</v>
      </c>
      <c r="FG65" s="165"/>
      <c r="FH65" s="165"/>
      <c r="FI65" s="166"/>
      <c r="FJ65" s="156">
        <f t="shared" si="641"/>
        <v>0</v>
      </c>
      <c r="FK65" s="164">
        <f t="shared" si="642"/>
        <v>0.4604471269</v>
      </c>
      <c r="FL65" s="167">
        <f t="shared" si="643"/>
        <v>0</v>
      </c>
      <c r="FM65" s="168">
        <f t="shared" si="644"/>
        <v>0</v>
      </c>
      <c r="FN65" s="159"/>
      <c r="FO65" s="161">
        <f t="shared" si="721"/>
        <v>17</v>
      </c>
      <c r="FP65" s="162" t="str">
        <f t="shared" ref="FP65:FR65" si="981">IFERROR(VLOOKUP($R65,$A$13:$D$30,-FP$12,FALSE),"")</f>
        <v>Lainnya 2.3 (9) …….</v>
      </c>
      <c r="FQ65" s="163" t="str">
        <f t="shared" si="981"/>
        <v/>
      </c>
      <c r="FR65" s="163" t="str">
        <f t="shared" si="981"/>
        <v/>
      </c>
      <c r="FS65" s="156" t="str">
        <f>ADHK!FS65</f>
        <v/>
      </c>
      <c r="FT65" s="156"/>
      <c r="FU65" s="156">
        <f t="shared" si="646"/>
        <v>0</v>
      </c>
      <c r="FV65" s="164"/>
      <c r="FW65" s="156">
        <f t="shared" si="647"/>
        <v>0</v>
      </c>
      <c r="FX65" s="165"/>
      <c r="FY65" s="165"/>
      <c r="FZ65" s="166"/>
      <c r="GA65" s="156">
        <f t="shared" si="648"/>
        <v>0</v>
      </c>
      <c r="GB65" s="164">
        <f t="shared" si="649"/>
        <v>0.4604471269</v>
      </c>
      <c r="GC65" s="167">
        <f t="shared" si="650"/>
        <v>0</v>
      </c>
      <c r="GD65" s="168">
        <f t="shared" si="651"/>
        <v>0</v>
      </c>
      <c r="GE65" s="159"/>
      <c r="GF65" s="161">
        <f t="shared" si="723"/>
        <v>17</v>
      </c>
      <c r="GG65" s="162" t="str">
        <f t="shared" ref="GG65:GI65" si="982">IFERROR(VLOOKUP($R65,$A$13:$D$30,-GG$12,FALSE),"")</f>
        <v>Lainnya 2.3 (9) …….</v>
      </c>
      <c r="GH65" s="163" t="str">
        <f t="shared" si="982"/>
        <v/>
      </c>
      <c r="GI65" s="163" t="str">
        <f t="shared" si="982"/>
        <v/>
      </c>
      <c r="GJ65" s="156" t="str">
        <f>ADHK!GJ65</f>
        <v/>
      </c>
      <c r="GK65" s="156"/>
      <c r="GL65" s="156">
        <f t="shared" si="653"/>
        <v>0</v>
      </c>
      <c r="GM65" s="164"/>
      <c r="GN65" s="156">
        <f t="shared" si="654"/>
        <v>0</v>
      </c>
      <c r="GO65" s="165"/>
      <c r="GP65" s="165"/>
      <c r="GQ65" s="166"/>
      <c r="GR65" s="156">
        <f t="shared" si="655"/>
        <v>0</v>
      </c>
      <c r="GS65" s="164">
        <f t="shared" si="656"/>
        <v>0.4604471269</v>
      </c>
      <c r="GT65" s="167">
        <f t="shared" si="657"/>
        <v>0</v>
      </c>
      <c r="GU65" s="168">
        <f t="shared" si="658"/>
        <v>0</v>
      </c>
      <c r="GV65" s="159"/>
      <c r="GW65" s="161">
        <f t="shared" si="725"/>
        <v>17</v>
      </c>
      <c r="GX65" s="162" t="str">
        <f t="shared" ref="GX65:GZ65" si="983">IFERROR(VLOOKUP($R65,$A$13:$D$30,-GX$12,FALSE),"")</f>
        <v>Lainnya 2.3 (9) …….</v>
      </c>
      <c r="GY65" s="163" t="str">
        <f t="shared" si="983"/>
        <v/>
      </c>
      <c r="GZ65" s="163" t="str">
        <f t="shared" si="983"/>
        <v/>
      </c>
      <c r="HA65" s="156" t="str">
        <f>ADHK!HA65</f>
        <v/>
      </c>
      <c r="HB65" s="156"/>
      <c r="HC65" s="156">
        <f t="shared" si="660"/>
        <v>0</v>
      </c>
      <c r="HD65" s="164"/>
      <c r="HE65" s="156">
        <f t="shared" si="661"/>
        <v>0</v>
      </c>
      <c r="HF65" s="165"/>
      <c r="HG65" s="165"/>
      <c r="HH65" s="166"/>
      <c r="HI65" s="156">
        <f t="shared" si="662"/>
        <v>0</v>
      </c>
      <c r="HJ65" s="164">
        <f t="shared" si="663"/>
        <v>0.4604471269</v>
      </c>
      <c r="HK65" s="167">
        <f t="shared" si="664"/>
        <v>0</v>
      </c>
      <c r="HL65" s="168">
        <f t="shared" si="665"/>
        <v>0</v>
      </c>
      <c r="HM65" s="159"/>
      <c r="HN65" s="161">
        <f t="shared" si="727"/>
        <v>17</v>
      </c>
      <c r="HO65" s="162" t="str">
        <f t="shared" ref="HO65:HQ65" si="984">IFERROR(VLOOKUP($R65,$A$13:$D$30,-HO$12,FALSE),"")</f>
        <v>Lainnya 2.3 (9) …….</v>
      </c>
      <c r="HP65" s="163" t="str">
        <f t="shared" si="984"/>
        <v/>
      </c>
      <c r="HQ65" s="163" t="str">
        <f t="shared" si="984"/>
        <v/>
      </c>
      <c r="HR65" s="156"/>
      <c r="HS65" s="169"/>
      <c r="HT65" s="156">
        <f t="shared" si="667"/>
        <v>0</v>
      </c>
      <c r="HU65" s="164"/>
      <c r="HV65" s="156">
        <f t="shared" si="668"/>
        <v>0</v>
      </c>
      <c r="HW65" s="165"/>
      <c r="HX65" s="165"/>
      <c r="HY65" s="166"/>
      <c r="HZ65" s="156">
        <f t="shared" si="669"/>
        <v>0</v>
      </c>
      <c r="IA65" s="164">
        <f t="shared" si="670"/>
        <v>0.4604471269</v>
      </c>
      <c r="IB65" s="167">
        <f t="shared" si="671"/>
        <v>0</v>
      </c>
      <c r="IC65" s="168">
        <f t="shared" si="672"/>
        <v>0</v>
      </c>
      <c r="ID65" s="159"/>
      <c r="IE65" s="161">
        <f t="shared" si="729"/>
        <v>17</v>
      </c>
      <c r="IF65" s="162" t="str">
        <f t="shared" ref="IF65:IH65" si="985">IFERROR(VLOOKUP($R65,$A$13:$D$30,-IF$12,FALSE),"")</f>
        <v>Lainnya 2.3 (9) …….</v>
      </c>
      <c r="IG65" s="163" t="str">
        <f t="shared" si="985"/>
        <v/>
      </c>
      <c r="IH65" s="163" t="str">
        <f t="shared" si="985"/>
        <v/>
      </c>
      <c r="II65" s="156" t="str">
        <f>ADHK!II65</f>
        <v/>
      </c>
      <c r="IJ65" s="156"/>
      <c r="IK65" s="156">
        <f t="shared" si="674"/>
        <v>0</v>
      </c>
      <c r="IL65" s="164"/>
      <c r="IM65" s="156">
        <f t="shared" si="675"/>
        <v>0</v>
      </c>
      <c r="IN65" s="165"/>
      <c r="IO65" s="165"/>
      <c r="IP65" s="166"/>
      <c r="IQ65" s="156">
        <f t="shared" si="676"/>
        <v>0</v>
      </c>
      <c r="IR65" s="164">
        <f t="shared" si="677"/>
        <v>0.4604471269</v>
      </c>
      <c r="IS65" s="167">
        <f t="shared" si="678"/>
        <v>0</v>
      </c>
      <c r="IT65" s="168">
        <f t="shared" si="679"/>
        <v>0</v>
      </c>
      <c r="IU65" s="159"/>
      <c r="IV65" s="161">
        <f t="shared" si="731"/>
        <v>17</v>
      </c>
      <c r="IW65" s="162" t="str">
        <f t="shared" ref="IW65:IY65" si="986">IFERROR(VLOOKUP($R65,$A$13:$D$30,-IW$12,FALSE),"")</f>
        <v>Lainnya 2.3 (9) …….</v>
      </c>
      <c r="IX65" s="163" t="str">
        <f t="shared" si="986"/>
        <v/>
      </c>
      <c r="IY65" s="163" t="str">
        <f t="shared" si="986"/>
        <v/>
      </c>
      <c r="IZ65" s="156" t="str">
        <f>ADHK!IZ65</f>
        <v/>
      </c>
      <c r="JA65" s="156"/>
      <c r="JB65" s="156">
        <f t="shared" si="681"/>
        <v>0</v>
      </c>
      <c r="JC65" s="164"/>
      <c r="JD65" s="156">
        <f t="shared" si="682"/>
        <v>0</v>
      </c>
      <c r="JE65" s="165"/>
      <c r="JF65" s="165"/>
      <c r="JG65" s="166"/>
      <c r="JH65" s="156">
        <f t="shared" si="683"/>
        <v>0</v>
      </c>
      <c r="JI65" s="164">
        <f t="shared" si="684"/>
        <v>0.4604471269</v>
      </c>
      <c r="JJ65" s="167">
        <f t="shared" si="685"/>
        <v>0</v>
      </c>
      <c r="JK65" s="168">
        <f t="shared" si="686"/>
        <v>0</v>
      </c>
      <c r="JL65" s="159"/>
      <c r="JM65" s="161">
        <f t="shared" si="733"/>
        <v>17</v>
      </c>
      <c r="JN65" s="162" t="str">
        <f t="shared" ref="JN65:JP65" si="987">IFERROR(VLOOKUP($R65,$A$13:$D$30,-JN$12,FALSE),"")</f>
        <v>Lainnya 2.3 (9) …….</v>
      </c>
      <c r="JO65" s="163" t="str">
        <f t="shared" si="987"/>
        <v/>
      </c>
      <c r="JP65" s="163" t="str">
        <f t="shared" si="987"/>
        <v/>
      </c>
      <c r="JQ65" s="156" t="str">
        <f>ADHK!KY65</f>
        <v/>
      </c>
      <c r="JR65" s="156"/>
      <c r="JS65" s="156">
        <f t="shared" si="688"/>
        <v>0</v>
      </c>
      <c r="JT65" s="164"/>
      <c r="JU65" s="156">
        <f t="shared" si="689"/>
        <v>0</v>
      </c>
      <c r="JV65" s="165"/>
      <c r="JW65" s="165"/>
      <c r="JX65" s="166"/>
      <c r="JY65" s="156">
        <f t="shared" si="690"/>
        <v>0</v>
      </c>
      <c r="JZ65" s="164">
        <f t="shared" si="691"/>
        <v>0.4604471269</v>
      </c>
      <c r="KA65" s="167">
        <f t="shared" si="692"/>
        <v>0</v>
      </c>
      <c r="KB65" s="168">
        <f t="shared" si="693"/>
        <v>0</v>
      </c>
      <c r="KC65" s="159"/>
      <c r="KD65" s="161">
        <f t="shared" si="735"/>
        <v>17</v>
      </c>
      <c r="KE65" s="162" t="str">
        <f t="shared" ref="KE65:KG65" si="988">IFERROR(VLOOKUP($R65,$A$13:$D$30,-KE$12,FALSE),"")</f>
        <v>Lainnya 2.3 (9) …….</v>
      </c>
      <c r="KF65" s="163" t="str">
        <f t="shared" si="988"/>
        <v/>
      </c>
      <c r="KG65" s="163" t="str">
        <f t="shared" si="988"/>
        <v/>
      </c>
      <c r="KH65" s="156" t="str">
        <f>ADHK!LP65</f>
        <v/>
      </c>
      <c r="KI65" s="156"/>
      <c r="KJ65" s="156">
        <f t="shared" si="695"/>
        <v>0</v>
      </c>
      <c r="KK65" s="164"/>
      <c r="KL65" s="156">
        <f t="shared" si="696"/>
        <v>0</v>
      </c>
      <c r="KM65" s="165"/>
      <c r="KN65" s="165"/>
      <c r="KO65" s="166"/>
      <c r="KP65" s="156">
        <f t="shared" si="697"/>
        <v>0</v>
      </c>
      <c r="KQ65" s="164">
        <f t="shared" si="698"/>
        <v>0.4604471269</v>
      </c>
      <c r="KR65" s="167">
        <f t="shared" si="699"/>
        <v>0</v>
      </c>
      <c r="KS65" s="168">
        <f t="shared" si="700"/>
        <v>0</v>
      </c>
      <c r="KT65" s="159"/>
      <c r="KU65" s="160"/>
    </row>
    <row r="66" ht="15.75" customHeight="1">
      <c r="A66" s="161"/>
      <c r="B66" s="162"/>
      <c r="C66" s="171"/>
      <c r="D66" s="171"/>
      <c r="E66" s="156"/>
      <c r="F66" s="156"/>
      <c r="G66" s="156"/>
      <c r="H66" s="156"/>
      <c r="I66" s="156"/>
      <c r="J66" s="165"/>
      <c r="K66" s="165"/>
      <c r="L66" s="165"/>
      <c r="M66" s="156"/>
      <c r="N66" s="156"/>
      <c r="O66" s="156"/>
      <c r="P66" s="168"/>
      <c r="Q66" s="159"/>
      <c r="R66" s="161"/>
      <c r="S66" s="162"/>
      <c r="T66" s="171"/>
      <c r="U66" s="171"/>
      <c r="V66" s="156"/>
      <c r="W66" s="156"/>
      <c r="X66" s="156"/>
      <c r="Y66" s="156"/>
      <c r="Z66" s="156"/>
      <c r="AA66" s="165"/>
      <c r="AB66" s="165"/>
      <c r="AC66" s="165"/>
      <c r="AD66" s="156"/>
      <c r="AE66" s="156"/>
      <c r="AF66" s="156"/>
      <c r="AG66" s="168"/>
      <c r="AH66" s="159"/>
      <c r="AI66" s="161"/>
      <c r="AJ66" s="162"/>
      <c r="AK66" s="171"/>
      <c r="AL66" s="171"/>
      <c r="AM66" s="156"/>
      <c r="AN66" s="156"/>
      <c r="AO66" s="156"/>
      <c r="AP66" s="156"/>
      <c r="AQ66" s="156"/>
      <c r="AR66" s="165"/>
      <c r="AS66" s="165"/>
      <c r="AT66" s="165"/>
      <c r="AU66" s="156"/>
      <c r="AV66" s="156"/>
      <c r="AW66" s="156"/>
      <c r="AX66" s="168"/>
      <c r="AY66" s="159"/>
      <c r="AZ66" s="161"/>
      <c r="BA66" s="162"/>
      <c r="BB66" s="171"/>
      <c r="BC66" s="171"/>
      <c r="BD66" s="156"/>
      <c r="BE66" s="156"/>
      <c r="BF66" s="156"/>
      <c r="BG66" s="156"/>
      <c r="BH66" s="156"/>
      <c r="BI66" s="165"/>
      <c r="BJ66" s="165"/>
      <c r="BK66" s="165"/>
      <c r="BL66" s="156"/>
      <c r="BM66" s="156"/>
      <c r="BN66" s="156"/>
      <c r="BO66" s="168"/>
      <c r="BP66" s="159"/>
      <c r="BQ66" s="161"/>
      <c r="BR66" s="162"/>
      <c r="BS66" s="171"/>
      <c r="BT66" s="171"/>
      <c r="BU66" s="156"/>
      <c r="BV66" s="156"/>
      <c r="BW66" s="156"/>
      <c r="BX66" s="156"/>
      <c r="BY66" s="156"/>
      <c r="BZ66" s="165"/>
      <c r="CA66" s="165"/>
      <c r="CB66" s="165"/>
      <c r="CC66" s="156"/>
      <c r="CD66" s="156"/>
      <c r="CE66" s="156"/>
      <c r="CF66" s="168"/>
      <c r="CG66" s="159"/>
      <c r="CH66" s="161"/>
      <c r="CI66" s="162"/>
      <c r="CJ66" s="171"/>
      <c r="CK66" s="171"/>
      <c r="CL66" s="156"/>
      <c r="CM66" s="156"/>
      <c r="CN66" s="156"/>
      <c r="CO66" s="156"/>
      <c r="CP66" s="156"/>
      <c r="CQ66" s="165"/>
      <c r="CR66" s="165"/>
      <c r="CS66" s="165"/>
      <c r="CT66" s="156"/>
      <c r="CU66" s="156"/>
      <c r="CV66" s="156"/>
      <c r="CW66" s="168"/>
      <c r="CX66" s="159"/>
      <c r="CY66" s="161"/>
      <c r="CZ66" s="162"/>
      <c r="DA66" s="171"/>
      <c r="DB66" s="171"/>
      <c r="DC66" s="156"/>
      <c r="DD66" s="156"/>
      <c r="DE66" s="156"/>
      <c r="DF66" s="156"/>
      <c r="DG66" s="156"/>
      <c r="DH66" s="165"/>
      <c r="DI66" s="165"/>
      <c r="DJ66" s="165"/>
      <c r="DK66" s="156"/>
      <c r="DL66" s="156"/>
      <c r="DM66" s="156"/>
      <c r="DN66" s="168"/>
      <c r="DO66" s="159"/>
      <c r="DP66" s="161"/>
      <c r="DQ66" s="162"/>
      <c r="DR66" s="171"/>
      <c r="DS66" s="171"/>
      <c r="DT66" s="156"/>
      <c r="DU66" s="156"/>
      <c r="DV66" s="156"/>
      <c r="DW66" s="156"/>
      <c r="DX66" s="156"/>
      <c r="DY66" s="165"/>
      <c r="DZ66" s="165"/>
      <c r="EA66" s="165"/>
      <c r="EB66" s="156"/>
      <c r="EC66" s="156"/>
      <c r="ED66" s="156"/>
      <c r="EE66" s="168"/>
      <c r="EF66" s="159"/>
      <c r="EG66" s="161"/>
      <c r="EH66" s="162"/>
      <c r="EI66" s="171"/>
      <c r="EJ66" s="171"/>
      <c r="EK66" s="156"/>
      <c r="EL66" s="156"/>
      <c r="EM66" s="156"/>
      <c r="EN66" s="156"/>
      <c r="EO66" s="156"/>
      <c r="EP66" s="165"/>
      <c r="EQ66" s="165"/>
      <c r="ER66" s="165"/>
      <c r="ES66" s="156"/>
      <c r="ET66" s="156"/>
      <c r="EU66" s="156"/>
      <c r="EV66" s="168"/>
      <c r="EW66" s="159"/>
      <c r="EX66" s="161"/>
      <c r="EY66" s="162"/>
      <c r="EZ66" s="171"/>
      <c r="FA66" s="171"/>
      <c r="FB66" s="156"/>
      <c r="FC66" s="156"/>
      <c r="FD66" s="156"/>
      <c r="FE66" s="156"/>
      <c r="FF66" s="156"/>
      <c r="FG66" s="165"/>
      <c r="FH66" s="165"/>
      <c r="FI66" s="165"/>
      <c r="FJ66" s="156"/>
      <c r="FK66" s="156"/>
      <c r="FL66" s="156"/>
      <c r="FM66" s="168"/>
      <c r="FN66" s="159"/>
      <c r="FO66" s="161"/>
      <c r="FP66" s="162"/>
      <c r="FQ66" s="171"/>
      <c r="FR66" s="171"/>
      <c r="FS66" s="156"/>
      <c r="FT66" s="156"/>
      <c r="FU66" s="156"/>
      <c r="FV66" s="156"/>
      <c r="FW66" s="156"/>
      <c r="FX66" s="165"/>
      <c r="FY66" s="165"/>
      <c r="FZ66" s="165"/>
      <c r="GA66" s="156"/>
      <c r="GB66" s="156"/>
      <c r="GC66" s="156"/>
      <c r="GD66" s="168"/>
      <c r="GE66" s="159"/>
      <c r="GF66" s="161"/>
      <c r="GG66" s="162"/>
      <c r="GH66" s="171"/>
      <c r="GI66" s="171"/>
      <c r="GJ66" s="156"/>
      <c r="GK66" s="156"/>
      <c r="GL66" s="156"/>
      <c r="GM66" s="156"/>
      <c r="GN66" s="156"/>
      <c r="GO66" s="165"/>
      <c r="GP66" s="165"/>
      <c r="GQ66" s="165"/>
      <c r="GR66" s="156"/>
      <c r="GS66" s="156"/>
      <c r="GT66" s="156"/>
      <c r="GU66" s="168"/>
      <c r="GV66" s="159"/>
      <c r="GW66" s="161"/>
      <c r="GX66" s="162"/>
      <c r="GY66" s="171"/>
      <c r="GZ66" s="171"/>
      <c r="HA66" s="156"/>
      <c r="HB66" s="156"/>
      <c r="HC66" s="156"/>
      <c r="HD66" s="156"/>
      <c r="HE66" s="156"/>
      <c r="HF66" s="165"/>
      <c r="HG66" s="165"/>
      <c r="HH66" s="165"/>
      <c r="HI66" s="156"/>
      <c r="HJ66" s="156"/>
      <c r="HK66" s="156"/>
      <c r="HL66" s="168"/>
      <c r="HM66" s="159"/>
      <c r="HN66" s="161"/>
      <c r="HO66" s="162"/>
      <c r="HP66" s="171"/>
      <c r="HQ66" s="171"/>
      <c r="HR66" s="156"/>
      <c r="HS66" s="156"/>
      <c r="HT66" s="156"/>
      <c r="HU66" s="156"/>
      <c r="HV66" s="156"/>
      <c r="HW66" s="165"/>
      <c r="HX66" s="165"/>
      <c r="HY66" s="165"/>
      <c r="HZ66" s="156"/>
      <c r="IA66" s="156"/>
      <c r="IB66" s="156"/>
      <c r="IC66" s="168"/>
      <c r="ID66" s="159"/>
      <c r="IE66" s="161"/>
      <c r="IF66" s="162"/>
      <c r="IG66" s="171"/>
      <c r="IH66" s="171"/>
      <c r="II66" s="156"/>
      <c r="IJ66" s="156"/>
      <c r="IK66" s="156"/>
      <c r="IL66" s="156"/>
      <c r="IM66" s="156"/>
      <c r="IN66" s="165"/>
      <c r="IO66" s="165"/>
      <c r="IP66" s="165"/>
      <c r="IQ66" s="156"/>
      <c r="IR66" s="156"/>
      <c r="IS66" s="156"/>
      <c r="IT66" s="168"/>
      <c r="IU66" s="159"/>
      <c r="IV66" s="161"/>
      <c r="IW66" s="162"/>
      <c r="IX66" s="171"/>
      <c r="IY66" s="171"/>
      <c r="IZ66" s="156"/>
      <c r="JA66" s="156"/>
      <c r="JB66" s="156"/>
      <c r="JC66" s="156"/>
      <c r="JD66" s="156"/>
      <c r="JE66" s="165"/>
      <c r="JF66" s="165"/>
      <c r="JG66" s="165"/>
      <c r="JH66" s="156"/>
      <c r="JI66" s="156"/>
      <c r="JJ66" s="156"/>
      <c r="JK66" s="168"/>
      <c r="JL66" s="159"/>
      <c r="JM66" s="161"/>
      <c r="JN66" s="162"/>
      <c r="JO66" s="171"/>
      <c r="JP66" s="171"/>
      <c r="JQ66" s="156"/>
      <c r="JR66" s="156"/>
      <c r="JS66" s="156"/>
      <c r="JT66" s="156"/>
      <c r="JU66" s="156"/>
      <c r="JV66" s="165"/>
      <c r="JW66" s="165"/>
      <c r="JX66" s="165"/>
      <c r="JY66" s="156"/>
      <c r="JZ66" s="156"/>
      <c r="KA66" s="156"/>
      <c r="KB66" s="168"/>
      <c r="KC66" s="159"/>
      <c r="KD66" s="161"/>
      <c r="KE66" s="162"/>
      <c r="KF66" s="171"/>
      <c r="KG66" s="171"/>
      <c r="KH66" s="156"/>
      <c r="KI66" s="156"/>
      <c r="KJ66" s="156"/>
      <c r="KK66" s="156"/>
      <c r="KL66" s="156"/>
      <c r="KM66" s="165"/>
      <c r="KN66" s="165"/>
      <c r="KO66" s="165"/>
      <c r="KP66" s="156"/>
      <c r="KQ66" s="156"/>
      <c r="KR66" s="156"/>
      <c r="KS66" s="168"/>
      <c r="KT66" s="159"/>
      <c r="KU66" s="160"/>
    </row>
    <row r="67" ht="15.75" customHeight="1">
      <c r="A67" s="172" t="s">
        <v>51</v>
      </c>
      <c r="B67" s="102"/>
      <c r="C67" s="173"/>
      <c r="D67" s="173"/>
      <c r="E67" s="174"/>
      <c r="F67" s="174"/>
      <c r="G67" s="175">
        <f>SUM(G49:G66)</f>
        <v>0</v>
      </c>
      <c r="H67" s="174"/>
      <c r="I67" s="175">
        <f>SUM(I49:I66)</f>
        <v>0</v>
      </c>
      <c r="J67" s="174"/>
      <c r="K67" s="174"/>
      <c r="L67" s="174"/>
      <c r="M67" s="175">
        <f>SUM(M49:M66)</f>
        <v>0</v>
      </c>
      <c r="N67" s="174"/>
      <c r="O67" s="175">
        <f t="shared" ref="O67:P67" si="989">SUM(O49:O66)</f>
        <v>0</v>
      </c>
      <c r="P67" s="175">
        <f t="shared" si="989"/>
        <v>0</v>
      </c>
      <c r="Q67" s="176"/>
      <c r="R67" s="172" t="s">
        <v>51</v>
      </c>
      <c r="S67" s="102"/>
      <c r="T67" s="173"/>
      <c r="U67" s="173"/>
      <c r="V67" s="174"/>
      <c r="W67" s="174"/>
      <c r="X67" s="175">
        <f>SUM(X49:X66)</f>
        <v>0</v>
      </c>
      <c r="Y67" s="174"/>
      <c r="Z67" s="175">
        <f>SUM(Z49:Z66)</f>
        <v>0</v>
      </c>
      <c r="AA67" s="174"/>
      <c r="AB67" s="174"/>
      <c r="AC67" s="174"/>
      <c r="AD67" s="175">
        <f>SUM(AD49:AD66)</f>
        <v>0</v>
      </c>
      <c r="AE67" s="174"/>
      <c r="AF67" s="175">
        <f t="shared" ref="AF67:AG67" si="990">SUM(AF49:AF66)</f>
        <v>0</v>
      </c>
      <c r="AG67" s="175">
        <f t="shared" si="990"/>
        <v>0</v>
      </c>
      <c r="AH67" s="176"/>
      <c r="AI67" s="172" t="s">
        <v>51</v>
      </c>
      <c r="AJ67" s="102"/>
      <c r="AK67" s="173"/>
      <c r="AL67" s="173"/>
      <c r="AM67" s="174"/>
      <c r="AN67" s="174"/>
      <c r="AO67" s="175">
        <f>SUM(AO49:AO66)</f>
        <v>0</v>
      </c>
      <c r="AP67" s="174"/>
      <c r="AQ67" s="175">
        <f>SUM(AQ49:AQ66)</f>
        <v>0</v>
      </c>
      <c r="AR67" s="174"/>
      <c r="AS67" s="174"/>
      <c r="AT67" s="174"/>
      <c r="AU67" s="175">
        <f>SUM(AU49:AU66)</f>
        <v>0</v>
      </c>
      <c r="AV67" s="174"/>
      <c r="AW67" s="175">
        <f t="shared" ref="AW67:AX67" si="991">SUM(AW49:AW66)</f>
        <v>0</v>
      </c>
      <c r="AX67" s="175">
        <f t="shared" si="991"/>
        <v>0</v>
      </c>
      <c r="AY67" s="176"/>
      <c r="AZ67" s="172" t="s">
        <v>51</v>
      </c>
      <c r="BA67" s="102"/>
      <c r="BB67" s="173"/>
      <c r="BC67" s="173"/>
      <c r="BD67" s="174"/>
      <c r="BE67" s="174"/>
      <c r="BF67" s="175">
        <f>SUM(BF49:BF66)</f>
        <v>0</v>
      </c>
      <c r="BG67" s="174"/>
      <c r="BH67" s="175">
        <f>SUM(BH49:BH66)</f>
        <v>0</v>
      </c>
      <c r="BI67" s="174"/>
      <c r="BJ67" s="174"/>
      <c r="BK67" s="174"/>
      <c r="BL67" s="175">
        <f>SUM(BL49:BL66)</f>
        <v>0</v>
      </c>
      <c r="BM67" s="174"/>
      <c r="BN67" s="175">
        <f t="shared" ref="BN67:BO67" si="992">SUM(BN49:BN66)</f>
        <v>0</v>
      </c>
      <c r="BO67" s="175">
        <f t="shared" si="992"/>
        <v>0</v>
      </c>
      <c r="BP67" s="176"/>
      <c r="BQ67" s="172" t="s">
        <v>51</v>
      </c>
      <c r="BR67" s="102"/>
      <c r="BS67" s="173"/>
      <c r="BT67" s="173"/>
      <c r="BU67" s="174"/>
      <c r="BV67" s="174"/>
      <c r="BW67" s="175">
        <f>SUM(BW49:BW66)</f>
        <v>0</v>
      </c>
      <c r="BX67" s="174"/>
      <c r="BY67" s="175">
        <f>SUM(BY49:BY66)</f>
        <v>0</v>
      </c>
      <c r="BZ67" s="174"/>
      <c r="CA67" s="174"/>
      <c r="CB67" s="174"/>
      <c r="CC67" s="175">
        <f>SUM(CC49:CC66)</f>
        <v>0</v>
      </c>
      <c r="CD67" s="174"/>
      <c r="CE67" s="175">
        <f t="shared" ref="CE67:CF67" si="993">SUM(CE49:CE66)</f>
        <v>0</v>
      </c>
      <c r="CF67" s="175">
        <f t="shared" si="993"/>
        <v>0</v>
      </c>
      <c r="CG67" s="176"/>
      <c r="CH67" s="172" t="s">
        <v>51</v>
      </c>
      <c r="CI67" s="102"/>
      <c r="CJ67" s="173"/>
      <c r="CK67" s="173"/>
      <c r="CL67" s="174"/>
      <c r="CM67" s="174"/>
      <c r="CN67" s="175">
        <f>SUM(CN49:CN66)</f>
        <v>0</v>
      </c>
      <c r="CO67" s="174"/>
      <c r="CP67" s="175">
        <f>SUM(CP49:CP66)</f>
        <v>0</v>
      </c>
      <c r="CQ67" s="174"/>
      <c r="CR67" s="174"/>
      <c r="CS67" s="174"/>
      <c r="CT67" s="175">
        <f>SUM(CT49:CT66)</f>
        <v>0</v>
      </c>
      <c r="CU67" s="174"/>
      <c r="CV67" s="175">
        <f t="shared" ref="CV67:CW67" si="994">SUM(CV49:CV66)</f>
        <v>0</v>
      </c>
      <c r="CW67" s="175">
        <f t="shared" si="994"/>
        <v>0</v>
      </c>
      <c r="CX67" s="176"/>
      <c r="CY67" s="172" t="s">
        <v>51</v>
      </c>
      <c r="CZ67" s="102"/>
      <c r="DA67" s="173"/>
      <c r="DB67" s="173"/>
      <c r="DC67" s="174"/>
      <c r="DD67" s="174"/>
      <c r="DE67" s="175">
        <f>SUM(DE49:DE66)</f>
        <v>0</v>
      </c>
      <c r="DF67" s="174"/>
      <c r="DG67" s="175">
        <f>SUM(DG49:DG66)</f>
        <v>0</v>
      </c>
      <c r="DH67" s="174"/>
      <c r="DI67" s="174"/>
      <c r="DJ67" s="174"/>
      <c r="DK67" s="175">
        <f>SUM(DK49:DK66)</f>
        <v>0</v>
      </c>
      <c r="DL67" s="174"/>
      <c r="DM67" s="175">
        <f t="shared" ref="DM67:DN67" si="995">SUM(DM49:DM66)</f>
        <v>0</v>
      </c>
      <c r="DN67" s="175">
        <f t="shared" si="995"/>
        <v>0</v>
      </c>
      <c r="DO67" s="176"/>
      <c r="DP67" s="172" t="s">
        <v>51</v>
      </c>
      <c r="DQ67" s="102"/>
      <c r="DR67" s="173"/>
      <c r="DS67" s="173"/>
      <c r="DT67" s="174"/>
      <c r="DU67" s="174"/>
      <c r="DV67" s="175">
        <f>SUM(DV49:DV66)</f>
        <v>0</v>
      </c>
      <c r="DW67" s="174"/>
      <c r="DX67" s="175">
        <f>SUM(DX49:DX66)</f>
        <v>0</v>
      </c>
      <c r="DY67" s="174"/>
      <c r="DZ67" s="174"/>
      <c r="EA67" s="174"/>
      <c r="EB67" s="175">
        <f>SUM(EB49:EB66)</f>
        <v>0</v>
      </c>
      <c r="EC67" s="174"/>
      <c r="ED67" s="175">
        <f t="shared" ref="ED67:EE67" si="996">SUM(ED49:ED66)</f>
        <v>0</v>
      </c>
      <c r="EE67" s="175">
        <f t="shared" si="996"/>
        <v>0</v>
      </c>
      <c r="EF67" s="176"/>
      <c r="EG67" s="172" t="s">
        <v>51</v>
      </c>
      <c r="EH67" s="102"/>
      <c r="EI67" s="173"/>
      <c r="EJ67" s="173"/>
      <c r="EK67" s="174"/>
      <c r="EL67" s="174"/>
      <c r="EM67" s="175">
        <f>SUM(EM49:EM66)</f>
        <v>0</v>
      </c>
      <c r="EN67" s="174"/>
      <c r="EO67" s="175">
        <f>SUM(EO49:EO66)</f>
        <v>0</v>
      </c>
      <c r="EP67" s="174"/>
      <c r="EQ67" s="174"/>
      <c r="ER67" s="174"/>
      <c r="ES67" s="175">
        <f>SUM(ES49:ES66)</f>
        <v>0</v>
      </c>
      <c r="ET67" s="174"/>
      <c r="EU67" s="175">
        <f t="shared" ref="EU67:EV67" si="997">SUM(EU49:EU66)</f>
        <v>0</v>
      </c>
      <c r="EV67" s="175">
        <f t="shared" si="997"/>
        <v>0</v>
      </c>
      <c r="EW67" s="176"/>
      <c r="EX67" s="172" t="s">
        <v>51</v>
      </c>
      <c r="EY67" s="102"/>
      <c r="EZ67" s="173"/>
      <c r="FA67" s="173"/>
      <c r="FB67" s="174"/>
      <c r="FC67" s="174"/>
      <c r="FD67" s="175">
        <f>SUM(FD49:FD66)</f>
        <v>0</v>
      </c>
      <c r="FE67" s="174"/>
      <c r="FF67" s="175">
        <f>SUM(FF49:FF66)</f>
        <v>0</v>
      </c>
      <c r="FG67" s="174"/>
      <c r="FH67" s="174"/>
      <c r="FI67" s="174"/>
      <c r="FJ67" s="175">
        <f>SUM(FJ49:FJ66)</f>
        <v>0</v>
      </c>
      <c r="FK67" s="174"/>
      <c r="FL67" s="175">
        <f t="shared" ref="FL67:FM67" si="998">SUM(FL49:FL66)</f>
        <v>0</v>
      </c>
      <c r="FM67" s="175">
        <f t="shared" si="998"/>
        <v>0</v>
      </c>
      <c r="FN67" s="176"/>
      <c r="FO67" s="172" t="s">
        <v>51</v>
      </c>
      <c r="FP67" s="102"/>
      <c r="FQ67" s="173"/>
      <c r="FR67" s="173"/>
      <c r="FS67" s="174"/>
      <c r="FT67" s="174"/>
      <c r="FU67" s="175">
        <f>SUM(FU49:FU66)</f>
        <v>821733.4354</v>
      </c>
      <c r="FV67" s="174"/>
      <c r="FW67" s="175">
        <f>SUM(FW49:FW66)</f>
        <v>0</v>
      </c>
      <c r="FX67" s="174"/>
      <c r="FY67" s="174"/>
      <c r="FZ67" s="174"/>
      <c r="GA67" s="175">
        <f>SUM(GA49:GA66)</f>
        <v>821733.4354</v>
      </c>
      <c r="GB67" s="174"/>
      <c r="GC67" s="175">
        <f t="shared" ref="GC67:GD67" si="999">SUM(GC49:GC66)</f>
        <v>378364.7994</v>
      </c>
      <c r="GD67" s="175">
        <f t="shared" si="999"/>
        <v>443368.636</v>
      </c>
      <c r="GE67" s="176"/>
      <c r="GF67" s="172" t="s">
        <v>51</v>
      </c>
      <c r="GG67" s="102"/>
      <c r="GH67" s="173"/>
      <c r="GI67" s="173"/>
      <c r="GJ67" s="174"/>
      <c r="GK67" s="174"/>
      <c r="GL67" s="175">
        <f>SUM(GL49:GL66)</f>
        <v>1517439.651</v>
      </c>
      <c r="GM67" s="174"/>
      <c r="GN67" s="175">
        <f>SUM(GN49:GN66)</f>
        <v>0</v>
      </c>
      <c r="GO67" s="174"/>
      <c r="GP67" s="174"/>
      <c r="GQ67" s="174"/>
      <c r="GR67" s="175">
        <f>SUM(GR49:GR66)</f>
        <v>1517439.651</v>
      </c>
      <c r="GS67" s="174"/>
      <c r="GT67" s="175">
        <f t="shared" ref="GT67:GU67" si="1000">SUM(GT49:GT66)</f>
        <v>698700.7276</v>
      </c>
      <c r="GU67" s="175">
        <f t="shared" si="1000"/>
        <v>818738.9235</v>
      </c>
      <c r="GV67" s="176"/>
      <c r="GW67" s="172" t="s">
        <v>51</v>
      </c>
      <c r="GX67" s="102"/>
      <c r="GY67" s="173"/>
      <c r="GZ67" s="173"/>
      <c r="HA67" s="174"/>
      <c r="HB67" s="174"/>
      <c r="HC67" s="175">
        <f>SUM(HC49:HC66)</f>
        <v>1482581.359</v>
      </c>
      <c r="HD67" s="174"/>
      <c r="HE67" s="175">
        <f>SUM(HE49:HE66)</f>
        <v>0</v>
      </c>
      <c r="HF67" s="174"/>
      <c r="HG67" s="174"/>
      <c r="HH67" s="174"/>
      <c r="HI67" s="175">
        <f>SUM(HI49:HI66)</f>
        <v>1482581.359</v>
      </c>
      <c r="HJ67" s="174"/>
      <c r="HK67" s="175">
        <f t="shared" ref="HK67:HL67" si="1001">SUM(HK49:HK66)</f>
        <v>682650.327</v>
      </c>
      <c r="HL67" s="175">
        <f t="shared" si="1001"/>
        <v>799931.0317</v>
      </c>
      <c r="HM67" s="176"/>
      <c r="HN67" s="172" t="s">
        <v>51</v>
      </c>
      <c r="HO67" s="102"/>
      <c r="HP67" s="173"/>
      <c r="HQ67" s="173"/>
      <c r="HR67" s="174"/>
      <c r="HS67" s="174"/>
      <c r="HT67" s="175">
        <f>SUM(HT49:HT66)</f>
        <v>2605408.877</v>
      </c>
      <c r="HU67" s="174"/>
      <c r="HV67" s="175">
        <f>SUM(HV49:HV66)</f>
        <v>0</v>
      </c>
      <c r="HW67" s="174"/>
      <c r="HX67" s="174"/>
      <c r="HY67" s="174"/>
      <c r="HZ67" s="175">
        <f>SUM(HZ49:HZ66)</f>
        <v>2605408.877</v>
      </c>
      <c r="IA67" s="174"/>
      <c r="IB67" s="175">
        <f t="shared" ref="IB67:IC67" si="1002">SUM(IB49:IB66)</f>
        <v>1199653.032</v>
      </c>
      <c r="IC67" s="175">
        <f t="shared" si="1002"/>
        <v>1405755.845</v>
      </c>
      <c r="ID67" s="176"/>
      <c r="IE67" s="172" t="s">
        <v>51</v>
      </c>
      <c r="IF67" s="102"/>
      <c r="IG67" s="173"/>
      <c r="IH67" s="173"/>
      <c r="II67" s="174"/>
      <c r="IJ67" s="174"/>
      <c r="IK67" s="175">
        <f>SUM(IK49:IK66)</f>
        <v>1855732.309</v>
      </c>
      <c r="IL67" s="174"/>
      <c r="IM67" s="175">
        <f>SUM(IM49:IM66)</f>
        <v>0</v>
      </c>
      <c r="IN67" s="174"/>
      <c r="IO67" s="174"/>
      <c r="IP67" s="174"/>
      <c r="IQ67" s="175">
        <f>SUM(IQ49:IQ66)</f>
        <v>1855732.309</v>
      </c>
      <c r="IR67" s="174"/>
      <c r="IS67" s="175">
        <f t="shared" ref="IS67:IT67" si="1003">SUM(IS49:IS66)</f>
        <v>854466.6098</v>
      </c>
      <c r="IT67" s="175">
        <f t="shared" si="1003"/>
        <v>1001265.699</v>
      </c>
      <c r="IU67" s="176"/>
      <c r="IV67" s="172" t="s">
        <v>51</v>
      </c>
      <c r="IW67" s="102"/>
      <c r="IX67" s="173"/>
      <c r="IY67" s="173"/>
      <c r="IZ67" s="174"/>
      <c r="JA67" s="174"/>
      <c r="JB67" s="175">
        <f>SUM(JB49:JB66)</f>
        <v>4282994.699</v>
      </c>
      <c r="JC67" s="174"/>
      <c r="JD67" s="175">
        <f>SUM(JD49:JD66)</f>
        <v>0</v>
      </c>
      <c r="JE67" s="174"/>
      <c r="JF67" s="174"/>
      <c r="JG67" s="174"/>
      <c r="JH67" s="175">
        <f>SUM(JH49:JH66)</f>
        <v>4282994.699</v>
      </c>
      <c r="JI67" s="174"/>
      <c r="JJ67" s="175">
        <f t="shared" ref="JJ67:JK67" si="1004">SUM(JJ49:JJ66)</f>
        <v>1972092.604</v>
      </c>
      <c r="JK67" s="175">
        <f t="shared" si="1004"/>
        <v>2310902.095</v>
      </c>
      <c r="JL67" s="176"/>
      <c r="JM67" s="172" t="s">
        <v>51</v>
      </c>
      <c r="JN67" s="102"/>
      <c r="JO67" s="173"/>
      <c r="JP67" s="173"/>
      <c r="JQ67" s="174"/>
      <c r="JR67" s="174"/>
      <c r="JS67" s="175">
        <f>SUM(JS49:JS66)</f>
        <v>4728554.432</v>
      </c>
      <c r="JT67" s="174"/>
      <c r="JU67" s="175">
        <f>SUM(JU49:JU66)</f>
        <v>0</v>
      </c>
      <c r="JV67" s="174"/>
      <c r="JW67" s="174"/>
      <c r="JX67" s="174"/>
      <c r="JY67" s="175">
        <f>SUM(JY49:JY66)</f>
        <v>4728554.432</v>
      </c>
      <c r="JZ67" s="174"/>
      <c r="KA67" s="175">
        <f t="shared" ref="KA67:KB67" si="1005">SUM(KA49:KA66)</f>
        <v>2177249.302</v>
      </c>
      <c r="KB67" s="175">
        <f t="shared" si="1005"/>
        <v>2551305.129</v>
      </c>
      <c r="KC67" s="176"/>
      <c r="KD67" s="172" t="s">
        <v>51</v>
      </c>
      <c r="KE67" s="102"/>
      <c r="KF67" s="173"/>
      <c r="KG67" s="173"/>
      <c r="KH67" s="174"/>
      <c r="KI67" s="174"/>
      <c r="KJ67" s="175">
        <f>SUM(KJ49:KJ66)</f>
        <v>0</v>
      </c>
      <c r="KK67" s="174"/>
      <c r="KL67" s="175">
        <f>SUM(KL49:KL66)</f>
        <v>0</v>
      </c>
      <c r="KM67" s="174"/>
      <c r="KN67" s="174"/>
      <c r="KO67" s="174"/>
      <c r="KP67" s="175">
        <f>SUM(KP49:KP66)</f>
        <v>0</v>
      </c>
      <c r="KQ67" s="174"/>
      <c r="KR67" s="175">
        <f t="shared" ref="KR67:KS67" si="1006">SUM(KR49:KR66)</f>
        <v>0</v>
      </c>
      <c r="KS67" s="175">
        <f t="shared" si="1006"/>
        <v>0</v>
      </c>
      <c r="KT67" s="176"/>
      <c r="KU67" s="177"/>
    </row>
    <row r="68" ht="15.75" customHeight="1">
      <c r="A68" s="161"/>
      <c r="B68" s="171"/>
      <c r="C68" s="171"/>
      <c r="D68" s="171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67"/>
      <c r="P68" s="168"/>
      <c r="Q68" s="159"/>
      <c r="R68" s="161"/>
      <c r="S68" s="171"/>
      <c r="T68" s="171"/>
      <c r="U68" s="171"/>
      <c r="V68" s="156"/>
      <c r="W68" s="156"/>
      <c r="X68" s="156"/>
      <c r="Y68" s="156"/>
      <c r="Z68" s="156"/>
      <c r="AA68" s="156"/>
      <c r="AB68" s="156"/>
      <c r="AC68" s="156"/>
      <c r="AD68" s="156"/>
      <c r="AE68" s="156"/>
      <c r="AF68" s="167"/>
      <c r="AG68" s="168"/>
      <c r="AH68" s="159"/>
      <c r="AI68" s="161"/>
      <c r="AJ68" s="171"/>
      <c r="AK68" s="171"/>
      <c r="AL68" s="171"/>
      <c r="AM68" s="156"/>
      <c r="AN68" s="156"/>
      <c r="AO68" s="156"/>
      <c r="AP68" s="156"/>
      <c r="AQ68" s="156"/>
      <c r="AR68" s="156"/>
      <c r="AS68" s="156"/>
      <c r="AT68" s="156"/>
      <c r="AU68" s="156"/>
      <c r="AV68" s="156"/>
      <c r="AW68" s="167"/>
      <c r="AX68" s="168"/>
      <c r="AY68" s="159"/>
      <c r="AZ68" s="161"/>
      <c r="BA68" s="171"/>
      <c r="BB68" s="171"/>
      <c r="BC68" s="171"/>
      <c r="BD68" s="156"/>
      <c r="BE68" s="156"/>
      <c r="BF68" s="156"/>
      <c r="BG68" s="156"/>
      <c r="BH68" s="156"/>
      <c r="BI68" s="156"/>
      <c r="BJ68" s="156"/>
      <c r="BK68" s="156"/>
      <c r="BL68" s="156"/>
      <c r="BM68" s="156"/>
      <c r="BN68" s="167"/>
      <c r="BO68" s="168"/>
      <c r="BP68" s="159"/>
      <c r="BQ68" s="161"/>
      <c r="BR68" s="171"/>
      <c r="BS68" s="171"/>
      <c r="BT68" s="171"/>
      <c r="BU68" s="156"/>
      <c r="BV68" s="156"/>
      <c r="BW68" s="156"/>
      <c r="BX68" s="156"/>
      <c r="BY68" s="156"/>
      <c r="BZ68" s="156"/>
      <c r="CA68" s="156"/>
      <c r="CB68" s="156"/>
      <c r="CC68" s="156"/>
      <c r="CD68" s="156"/>
      <c r="CE68" s="167"/>
      <c r="CF68" s="168"/>
      <c r="CG68" s="159"/>
      <c r="CH68" s="161"/>
      <c r="CI68" s="171"/>
      <c r="CJ68" s="171"/>
      <c r="CK68" s="171"/>
      <c r="CL68" s="156"/>
      <c r="CM68" s="156"/>
      <c r="CN68" s="156"/>
      <c r="CO68" s="156"/>
      <c r="CP68" s="156"/>
      <c r="CQ68" s="156"/>
      <c r="CR68" s="156"/>
      <c r="CS68" s="156"/>
      <c r="CT68" s="156"/>
      <c r="CU68" s="156"/>
      <c r="CV68" s="167"/>
      <c r="CW68" s="168"/>
      <c r="CX68" s="159"/>
      <c r="CY68" s="161"/>
      <c r="CZ68" s="171"/>
      <c r="DA68" s="171"/>
      <c r="DB68" s="171"/>
      <c r="DC68" s="156"/>
      <c r="DD68" s="156"/>
      <c r="DE68" s="156"/>
      <c r="DF68" s="156"/>
      <c r="DG68" s="156"/>
      <c r="DH68" s="156"/>
      <c r="DI68" s="156"/>
      <c r="DJ68" s="156"/>
      <c r="DK68" s="156"/>
      <c r="DL68" s="156"/>
      <c r="DM68" s="167"/>
      <c r="DN68" s="168"/>
      <c r="DO68" s="159"/>
      <c r="DP68" s="161"/>
      <c r="DQ68" s="171"/>
      <c r="DR68" s="171"/>
      <c r="DS68" s="171"/>
      <c r="DT68" s="156"/>
      <c r="DU68" s="156"/>
      <c r="DV68" s="156"/>
      <c r="DW68" s="156"/>
      <c r="DX68" s="156"/>
      <c r="DY68" s="156"/>
      <c r="DZ68" s="156"/>
      <c r="EA68" s="156"/>
      <c r="EB68" s="156"/>
      <c r="EC68" s="156"/>
      <c r="ED68" s="167"/>
      <c r="EE68" s="168"/>
      <c r="EF68" s="159"/>
      <c r="EG68" s="161"/>
      <c r="EH68" s="171"/>
      <c r="EI68" s="171"/>
      <c r="EJ68" s="171"/>
      <c r="EK68" s="156"/>
      <c r="EL68" s="156"/>
      <c r="EM68" s="156"/>
      <c r="EN68" s="156"/>
      <c r="EO68" s="156"/>
      <c r="EP68" s="156"/>
      <c r="EQ68" s="156"/>
      <c r="ER68" s="156"/>
      <c r="ES68" s="156"/>
      <c r="ET68" s="156"/>
      <c r="EU68" s="167"/>
      <c r="EV68" s="168"/>
      <c r="EW68" s="159"/>
      <c r="EX68" s="161"/>
      <c r="EY68" s="171"/>
      <c r="EZ68" s="171"/>
      <c r="FA68" s="171"/>
      <c r="FB68" s="156"/>
      <c r="FC68" s="156"/>
      <c r="FD68" s="156"/>
      <c r="FE68" s="156"/>
      <c r="FF68" s="156"/>
      <c r="FG68" s="156"/>
      <c r="FH68" s="156"/>
      <c r="FI68" s="156"/>
      <c r="FJ68" s="156"/>
      <c r="FK68" s="156"/>
      <c r="FL68" s="167"/>
      <c r="FM68" s="168"/>
      <c r="FN68" s="159"/>
      <c r="FO68" s="161"/>
      <c r="FP68" s="171"/>
      <c r="FQ68" s="171"/>
      <c r="FR68" s="171"/>
      <c r="FS68" s="156"/>
      <c r="FT68" s="156"/>
      <c r="FU68" s="156"/>
      <c r="FV68" s="156"/>
      <c r="FW68" s="156"/>
      <c r="FX68" s="156"/>
      <c r="FY68" s="156"/>
      <c r="FZ68" s="156"/>
      <c r="GA68" s="156"/>
      <c r="GB68" s="156"/>
      <c r="GC68" s="167"/>
      <c r="GD68" s="168"/>
      <c r="GE68" s="159"/>
      <c r="GF68" s="161"/>
      <c r="GG68" s="171"/>
      <c r="GH68" s="171"/>
      <c r="GI68" s="171"/>
      <c r="GJ68" s="156"/>
      <c r="GK68" s="156"/>
      <c r="GL68" s="156"/>
      <c r="GM68" s="156"/>
      <c r="GN68" s="156"/>
      <c r="GO68" s="156"/>
      <c r="GP68" s="156"/>
      <c r="GQ68" s="156"/>
      <c r="GR68" s="156"/>
      <c r="GS68" s="156"/>
      <c r="GT68" s="167"/>
      <c r="GU68" s="168"/>
      <c r="GV68" s="159"/>
      <c r="GW68" s="161"/>
      <c r="GX68" s="171"/>
      <c r="GY68" s="171"/>
      <c r="GZ68" s="171"/>
      <c r="HA68" s="156"/>
      <c r="HB68" s="156"/>
      <c r="HC68" s="156"/>
      <c r="HD68" s="156"/>
      <c r="HE68" s="156"/>
      <c r="HF68" s="156"/>
      <c r="HG68" s="156"/>
      <c r="HH68" s="156"/>
      <c r="HI68" s="156"/>
      <c r="HJ68" s="156"/>
      <c r="HK68" s="167"/>
      <c r="HL68" s="168"/>
      <c r="HM68" s="159"/>
      <c r="HN68" s="161"/>
      <c r="HO68" s="171"/>
      <c r="HP68" s="171"/>
      <c r="HQ68" s="171"/>
      <c r="HR68" s="156"/>
      <c r="HS68" s="156"/>
      <c r="HT68" s="156"/>
      <c r="HU68" s="156"/>
      <c r="HV68" s="156"/>
      <c r="HW68" s="156"/>
      <c r="HX68" s="156"/>
      <c r="HY68" s="156"/>
      <c r="HZ68" s="156"/>
      <c r="IA68" s="156"/>
      <c r="IB68" s="167"/>
      <c r="IC68" s="168"/>
      <c r="ID68" s="159"/>
      <c r="IE68" s="161"/>
      <c r="IF68" s="171"/>
      <c r="IG68" s="171"/>
      <c r="IH68" s="171"/>
      <c r="II68" s="156"/>
      <c r="IJ68" s="156"/>
      <c r="IK68" s="156"/>
      <c r="IL68" s="156"/>
      <c r="IM68" s="156"/>
      <c r="IN68" s="156"/>
      <c r="IO68" s="156"/>
      <c r="IP68" s="156"/>
      <c r="IQ68" s="156"/>
      <c r="IR68" s="156"/>
      <c r="IS68" s="167"/>
      <c r="IT68" s="168"/>
      <c r="IU68" s="159"/>
      <c r="IV68" s="161"/>
      <c r="IW68" s="171"/>
      <c r="IX68" s="171"/>
      <c r="IY68" s="171"/>
      <c r="IZ68" s="156"/>
      <c r="JA68" s="156"/>
      <c r="JB68" s="156"/>
      <c r="JC68" s="156"/>
      <c r="JD68" s="156"/>
      <c r="JE68" s="156"/>
      <c r="JF68" s="156"/>
      <c r="JG68" s="156"/>
      <c r="JH68" s="156"/>
      <c r="JI68" s="156"/>
      <c r="JJ68" s="167"/>
      <c r="JK68" s="168"/>
      <c r="JL68" s="159"/>
      <c r="JM68" s="161"/>
      <c r="JN68" s="171"/>
      <c r="JO68" s="171"/>
      <c r="JP68" s="171"/>
      <c r="JQ68" s="156"/>
      <c r="JR68" s="156"/>
      <c r="JS68" s="156"/>
      <c r="JT68" s="156"/>
      <c r="JU68" s="156"/>
      <c r="JV68" s="156"/>
      <c r="JW68" s="156"/>
      <c r="JX68" s="156"/>
      <c r="JY68" s="156"/>
      <c r="JZ68" s="156"/>
      <c r="KA68" s="167"/>
      <c r="KB68" s="168"/>
      <c r="KC68" s="159"/>
      <c r="KD68" s="161"/>
      <c r="KE68" s="171"/>
      <c r="KF68" s="171"/>
      <c r="KG68" s="171"/>
      <c r="KH68" s="156"/>
      <c r="KI68" s="156"/>
      <c r="KJ68" s="156"/>
      <c r="KK68" s="156"/>
      <c r="KL68" s="156"/>
      <c r="KM68" s="156"/>
      <c r="KN68" s="156"/>
      <c r="KO68" s="156"/>
      <c r="KP68" s="156"/>
      <c r="KQ68" s="156"/>
      <c r="KR68" s="167"/>
      <c r="KS68" s="168"/>
      <c r="KT68" s="159"/>
      <c r="KU68" s="160"/>
    </row>
    <row r="69" ht="15.75" customHeight="1">
      <c r="A69" s="161"/>
      <c r="B69" s="178" t="str">
        <f>"Output Sekunder "&amp;" %"</f>
        <v>Output Sekunder  %</v>
      </c>
      <c r="C69" s="179"/>
      <c r="D69" s="179"/>
      <c r="E69" s="156"/>
      <c r="F69" s="180"/>
      <c r="G69" s="180"/>
      <c r="H69" s="180"/>
      <c r="I69" s="180"/>
      <c r="J69" s="180"/>
      <c r="K69" s="180"/>
      <c r="L69" s="180"/>
      <c r="M69" s="181">
        <f>E69/100*M67</f>
        <v>0</v>
      </c>
      <c r="N69" s="180"/>
      <c r="O69" s="180"/>
      <c r="P69" s="182">
        <f t="shared" ref="P69:P70" si="1007">M69</f>
        <v>0</v>
      </c>
      <c r="Q69" s="159"/>
      <c r="R69" s="161"/>
      <c r="S69" s="178" t="str">
        <f>"Output Sekunder "&amp;" %"</f>
        <v>Output Sekunder  %</v>
      </c>
      <c r="T69" s="179"/>
      <c r="U69" s="179"/>
      <c r="V69" s="156"/>
      <c r="W69" s="180"/>
      <c r="X69" s="180"/>
      <c r="Y69" s="180"/>
      <c r="Z69" s="180"/>
      <c r="AA69" s="180"/>
      <c r="AB69" s="180"/>
      <c r="AC69" s="180"/>
      <c r="AD69" s="181">
        <f>V69/100*AD67</f>
        <v>0</v>
      </c>
      <c r="AE69" s="180"/>
      <c r="AF69" s="180"/>
      <c r="AG69" s="182">
        <f t="shared" ref="AG69:AG70" si="1008">AD69</f>
        <v>0</v>
      </c>
      <c r="AH69" s="159"/>
      <c r="AI69" s="161"/>
      <c r="AJ69" s="178" t="str">
        <f>"Output Sekunder "&amp;" %"</f>
        <v>Output Sekunder  %</v>
      </c>
      <c r="AK69" s="179"/>
      <c r="AL69" s="179"/>
      <c r="AM69" s="156"/>
      <c r="AN69" s="180"/>
      <c r="AO69" s="180"/>
      <c r="AP69" s="180"/>
      <c r="AQ69" s="180"/>
      <c r="AR69" s="180"/>
      <c r="AS69" s="180"/>
      <c r="AT69" s="180"/>
      <c r="AU69" s="181">
        <f>AM69/100*AU67</f>
        <v>0</v>
      </c>
      <c r="AV69" s="180"/>
      <c r="AW69" s="180"/>
      <c r="AX69" s="182">
        <f t="shared" ref="AX69:AX70" si="1009">AU69</f>
        <v>0</v>
      </c>
      <c r="AY69" s="159"/>
      <c r="AZ69" s="161"/>
      <c r="BA69" s="178" t="str">
        <f>"Output Sekunder "&amp;" %"</f>
        <v>Output Sekunder  %</v>
      </c>
      <c r="BB69" s="179"/>
      <c r="BC69" s="179"/>
      <c r="BD69" s="156"/>
      <c r="BE69" s="180"/>
      <c r="BF69" s="180"/>
      <c r="BG69" s="180"/>
      <c r="BH69" s="180"/>
      <c r="BI69" s="180"/>
      <c r="BJ69" s="180"/>
      <c r="BK69" s="180"/>
      <c r="BL69" s="181">
        <f>BD69/100*BL67</f>
        <v>0</v>
      </c>
      <c r="BM69" s="180"/>
      <c r="BN69" s="180"/>
      <c r="BO69" s="182">
        <f t="shared" ref="BO69:BO70" si="1010">BL69</f>
        <v>0</v>
      </c>
      <c r="BP69" s="159"/>
      <c r="BQ69" s="161"/>
      <c r="BR69" s="178" t="str">
        <f>"Output Sekunder "&amp;" %"</f>
        <v>Output Sekunder  %</v>
      </c>
      <c r="BS69" s="179"/>
      <c r="BT69" s="179"/>
      <c r="BU69" s="156"/>
      <c r="BV69" s="180"/>
      <c r="BW69" s="180"/>
      <c r="BX69" s="180"/>
      <c r="BY69" s="180"/>
      <c r="BZ69" s="180"/>
      <c r="CA69" s="180"/>
      <c r="CB69" s="180"/>
      <c r="CC69" s="181">
        <f>BU69/100*CC67</f>
        <v>0</v>
      </c>
      <c r="CD69" s="180"/>
      <c r="CE69" s="180"/>
      <c r="CF69" s="182">
        <f t="shared" ref="CF69:CF70" si="1011">CC69</f>
        <v>0</v>
      </c>
      <c r="CG69" s="159"/>
      <c r="CH69" s="161"/>
      <c r="CI69" s="178" t="str">
        <f>"Output Sekunder "&amp;" %"</f>
        <v>Output Sekunder  %</v>
      </c>
      <c r="CJ69" s="179"/>
      <c r="CK69" s="179"/>
      <c r="CL69" s="156"/>
      <c r="CM69" s="180"/>
      <c r="CN69" s="180"/>
      <c r="CO69" s="180"/>
      <c r="CP69" s="180"/>
      <c r="CQ69" s="180"/>
      <c r="CR69" s="180"/>
      <c r="CS69" s="180"/>
      <c r="CT69" s="181">
        <f>CL69/100*CT67</f>
        <v>0</v>
      </c>
      <c r="CU69" s="180"/>
      <c r="CV69" s="180"/>
      <c r="CW69" s="182">
        <f t="shared" ref="CW69:CW70" si="1012">CT69</f>
        <v>0</v>
      </c>
      <c r="CX69" s="159"/>
      <c r="CY69" s="161"/>
      <c r="CZ69" s="178" t="str">
        <f>"Output Sekunder "&amp;" %"</f>
        <v>Output Sekunder  %</v>
      </c>
      <c r="DA69" s="179"/>
      <c r="DB69" s="179"/>
      <c r="DC69" s="156"/>
      <c r="DD69" s="180"/>
      <c r="DE69" s="180"/>
      <c r="DF69" s="180"/>
      <c r="DG69" s="180"/>
      <c r="DH69" s="180"/>
      <c r="DI69" s="180"/>
      <c r="DJ69" s="180"/>
      <c r="DK69" s="181">
        <f>DC69/100*DK67</f>
        <v>0</v>
      </c>
      <c r="DL69" s="180"/>
      <c r="DM69" s="180"/>
      <c r="DN69" s="182">
        <f t="shared" ref="DN69:DN70" si="1013">DK69</f>
        <v>0</v>
      </c>
      <c r="DO69" s="159"/>
      <c r="DP69" s="161"/>
      <c r="DQ69" s="178" t="str">
        <f>"Output Sekunder "&amp;" %"</f>
        <v>Output Sekunder  %</v>
      </c>
      <c r="DR69" s="179"/>
      <c r="DS69" s="179"/>
      <c r="DT69" s="156"/>
      <c r="DU69" s="180"/>
      <c r="DV69" s="180"/>
      <c r="DW69" s="180"/>
      <c r="DX69" s="180"/>
      <c r="DY69" s="180"/>
      <c r="DZ69" s="180"/>
      <c r="EA69" s="180"/>
      <c r="EB69" s="181">
        <f>DT69/100*EB67</f>
        <v>0</v>
      </c>
      <c r="EC69" s="180"/>
      <c r="ED69" s="180"/>
      <c r="EE69" s="182">
        <f t="shared" ref="EE69:EE70" si="1014">EB69</f>
        <v>0</v>
      </c>
      <c r="EF69" s="159"/>
      <c r="EG69" s="161"/>
      <c r="EH69" s="178" t="str">
        <f>"Output Sekunder "&amp;" %"</f>
        <v>Output Sekunder  %</v>
      </c>
      <c r="EI69" s="179"/>
      <c r="EJ69" s="179"/>
      <c r="EK69" s="156"/>
      <c r="EL69" s="180"/>
      <c r="EM69" s="180"/>
      <c r="EN69" s="180"/>
      <c r="EO69" s="180"/>
      <c r="EP69" s="180"/>
      <c r="EQ69" s="180"/>
      <c r="ER69" s="180"/>
      <c r="ES69" s="181">
        <f>EK69/100*ES67</f>
        <v>0</v>
      </c>
      <c r="ET69" s="180"/>
      <c r="EU69" s="180"/>
      <c r="EV69" s="182">
        <f t="shared" ref="EV69:EV70" si="1015">ES69</f>
        <v>0</v>
      </c>
      <c r="EW69" s="159"/>
      <c r="EX69" s="161"/>
      <c r="EY69" s="178" t="str">
        <f>"Output Sekunder "&amp;" %"</f>
        <v>Output Sekunder  %</v>
      </c>
      <c r="EZ69" s="179"/>
      <c r="FA69" s="179"/>
      <c r="FB69" s="156"/>
      <c r="FC69" s="180"/>
      <c r="FD69" s="180"/>
      <c r="FE69" s="180"/>
      <c r="FF69" s="180"/>
      <c r="FG69" s="180"/>
      <c r="FH69" s="180"/>
      <c r="FI69" s="180"/>
      <c r="FJ69" s="181">
        <f>FB69/100*FJ67</f>
        <v>0</v>
      </c>
      <c r="FK69" s="180"/>
      <c r="FL69" s="180"/>
      <c r="FM69" s="182">
        <f t="shared" ref="FM69:FM70" si="1016">FJ69</f>
        <v>0</v>
      </c>
      <c r="FN69" s="159"/>
      <c r="FO69" s="161"/>
      <c r="FP69" s="178" t="str">
        <f>"Output Sekunder "&amp;" %"</f>
        <v>Output Sekunder  %</v>
      </c>
      <c r="FQ69" s="179"/>
      <c r="FR69" s="179"/>
      <c r="FS69" s="156"/>
      <c r="FT69" s="180"/>
      <c r="FU69" s="180"/>
      <c r="FV69" s="180"/>
      <c r="FW69" s="180"/>
      <c r="FX69" s="180"/>
      <c r="FY69" s="180"/>
      <c r="FZ69" s="180"/>
      <c r="GA69" s="181">
        <f>FS69/100*GA67</f>
        <v>0</v>
      </c>
      <c r="GB69" s="180"/>
      <c r="GC69" s="180"/>
      <c r="GD69" s="182">
        <f t="shared" ref="GD69:GD70" si="1017">GA69</f>
        <v>0</v>
      </c>
      <c r="GE69" s="159"/>
      <c r="GF69" s="161"/>
      <c r="GG69" s="178" t="str">
        <f>"Output Sekunder "&amp;" %"</f>
        <v>Output Sekunder  %</v>
      </c>
      <c r="GH69" s="179"/>
      <c r="GI69" s="179"/>
      <c r="GJ69" s="156"/>
      <c r="GK69" s="180"/>
      <c r="GL69" s="180"/>
      <c r="GM69" s="180"/>
      <c r="GN69" s="180"/>
      <c r="GO69" s="180"/>
      <c r="GP69" s="180"/>
      <c r="GQ69" s="180"/>
      <c r="GR69" s="181">
        <f>GJ69/100*GR67</f>
        <v>0</v>
      </c>
      <c r="GS69" s="180"/>
      <c r="GT69" s="180"/>
      <c r="GU69" s="182">
        <f t="shared" ref="GU69:GU70" si="1018">GR69</f>
        <v>0</v>
      </c>
      <c r="GV69" s="159"/>
      <c r="GW69" s="161"/>
      <c r="GX69" s="178" t="str">
        <f>"Output Sekunder "&amp;" %"</f>
        <v>Output Sekunder  %</v>
      </c>
      <c r="GY69" s="179"/>
      <c r="GZ69" s="179"/>
      <c r="HA69" s="156"/>
      <c r="HB69" s="180"/>
      <c r="HC69" s="180"/>
      <c r="HD69" s="180"/>
      <c r="HE69" s="180"/>
      <c r="HF69" s="180"/>
      <c r="HG69" s="180"/>
      <c r="HH69" s="180"/>
      <c r="HI69" s="181">
        <f>HA69/100*HI67</f>
        <v>0</v>
      </c>
      <c r="HJ69" s="180"/>
      <c r="HK69" s="180"/>
      <c r="HL69" s="182">
        <f t="shared" ref="HL69:HL70" si="1019">HI69</f>
        <v>0</v>
      </c>
      <c r="HM69" s="159"/>
      <c r="HN69" s="161"/>
      <c r="HO69" s="178" t="str">
        <f>"Output Sekunder "&amp;" %"</f>
        <v>Output Sekunder  %</v>
      </c>
      <c r="HP69" s="179"/>
      <c r="HQ69" s="179"/>
      <c r="HR69" s="156"/>
      <c r="HS69" s="180"/>
      <c r="HT69" s="180"/>
      <c r="HU69" s="180"/>
      <c r="HV69" s="180"/>
      <c r="HW69" s="180"/>
      <c r="HX69" s="180"/>
      <c r="HY69" s="180"/>
      <c r="HZ69" s="181">
        <f>HR69/100*HZ67</f>
        <v>0</v>
      </c>
      <c r="IA69" s="180"/>
      <c r="IB69" s="180"/>
      <c r="IC69" s="182">
        <f t="shared" ref="IC69:IC70" si="1020">HZ69</f>
        <v>0</v>
      </c>
      <c r="ID69" s="159"/>
      <c r="IE69" s="161"/>
      <c r="IF69" s="178" t="str">
        <f>"Output Sekunder "&amp;" %"</f>
        <v>Output Sekunder  %</v>
      </c>
      <c r="IG69" s="179"/>
      <c r="IH69" s="179"/>
      <c r="II69" s="156"/>
      <c r="IJ69" s="180"/>
      <c r="IK69" s="180"/>
      <c r="IL69" s="180"/>
      <c r="IM69" s="180"/>
      <c r="IN69" s="180"/>
      <c r="IO69" s="180"/>
      <c r="IP69" s="180"/>
      <c r="IQ69" s="181">
        <f>II69/100*IQ67</f>
        <v>0</v>
      </c>
      <c r="IR69" s="180"/>
      <c r="IS69" s="180"/>
      <c r="IT69" s="182">
        <f t="shared" ref="IT69:IT70" si="1021">IQ69</f>
        <v>0</v>
      </c>
      <c r="IU69" s="159"/>
      <c r="IV69" s="161"/>
      <c r="IW69" s="178" t="str">
        <f>"Output Sekunder "&amp;" %"</f>
        <v>Output Sekunder  %</v>
      </c>
      <c r="IX69" s="179"/>
      <c r="IY69" s="179"/>
      <c r="IZ69" s="156"/>
      <c r="JA69" s="180"/>
      <c r="JB69" s="180"/>
      <c r="JC69" s="180"/>
      <c r="JD69" s="180"/>
      <c r="JE69" s="180"/>
      <c r="JF69" s="180"/>
      <c r="JG69" s="180"/>
      <c r="JH69" s="181">
        <f>IZ69/100*JH67</f>
        <v>0</v>
      </c>
      <c r="JI69" s="180"/>
      <c r="JJ69" s="180"/>
      <c r="JK69" s="182">
        <f t="shared" ref="JK69:JK70" si="1022">JH69</f>
        <v>0</v>
      </c>
      <c r="JL69" s="159"/>
      <c r="JM69" s="161"/>
      <c r="JN69" s="178" t="str">
        <f>"Output Sekunder "&amp;" %"</f>
        <v>Output Sekunder  %</v>
      </c>
      <c r="JO69" s="179"/>
      <c r="JP69" s="179"/>
      <c r="JQ69" s="156"/>
      <c r="JR69" s="180"/>
      <c r="JS69" s="180"/>
      <c r="JT69" s="180"/>
      <c r="JU69" s="180"/>
      <c r="JV69" s="180"/>
      <c r="JW69" s="180"/>
      <c r="JX69" s="180"/>
      <c r="JY69" s="181">
        <f>JQ69/100*JY67</f>
        <v>0</v>
      </c>
      <c r="JZ69" s="180"/>
      <c r="KA69" s="180"/>
      <c r="KB69" s="182">
        <f t="shared" ref="KB69:KB70" si="1023">JY69</f>
        <v>0</v>
      </c>
      <c r="KC69" s="159"/>
      <c r="KD69" s="161"/>
      <c r="KE69" s="178" t="str">
        <f>"Output Sekunder "&amp;" %"</f>
        <v>Output Sekunder  %</v>
      </c>
      <c r="KF69" s="179"/>
      <c r="KG69" s="179"/>
      <c r="KH69" s="156"/>
      <c r="KI69" s="180"/>
      <c r="KJ69" s="180"/>
      <c r="KK69" s="180"/>
      <c r="KL69" s="180"/>
      <c r="KM69" s="180"/>
      <c r="KN69" s="180"/>
      <c r="KO69" s="180"/>
      <c r="KP69" s="181">
        <f>KH69/100*KP67</f>
        <v>0</v>
      </c>
      <c r="KQ69" s="180"/>
      <c r="KR69" s="180"/>
      <c r="KS69" s="182">
        <f t="shared" ref="KS69:KS70" si="1024">KP69</f>
        <v>0</v>
      </c>
      <c r="KT69" s="159"/>
      <c r="KU69" s="160"/>
    </row>
    <row r="70" ht="15.75" customHeight="1">
      <c r="A70" s="161"/>
      <c r="B70" s="183" t="str">
        <f>"Adjusment "&amp;" %"</f>
        <v>Adjusment  %</v>
      </c>
      <c r="C70" s="184"/>
      <c r="D70" s="184"/>
      <c r="E70" s="156"/>
      <c r="F70" s="180"/>
      <c r="G70" s="180"/>
      <c r="H70" s="180"/>
      <c r="I70" s="180"/>
      <c r="J70" s="180"/>
      <c r="K70" s="180"/>
      <c r="L70" s="180"/>
      <c r="M70" s="185">
        <f>E70/100*(M67+M69)</f>
        <v>0</v>
      </c>
      <c r="N70" s="180"/>
      <c r="O70" s="180"/>
      <c r="P70" s="186">
        <f t="shared" si="1007"/>
        <v>0</v>
      </c>
      <c r="Q70" s="159"/>
      <c r="R70" s="161"/>
      <c r="S70" s="183" t="str">
        <f>"Adjusment "&amp;" %"</f>
        <v>Adjusment  %</v>
      </c>
      <c r="T70" s="184"/>
      <c r="U70" s="184"/>
      <c r="V70" s="156"/>
      <c r="W70" s="180"/>
      <c r="X70" s="180"/>
      <c r="Y70" s="180"/>
      <c r="Z70" s="180"/>
      <c r="AA70" s="180"/>
      <c r="AB70" s="180"/>
      <c r="AC70" s="180"/>
      <c r="AD70" s="185">
        <f>V70/100*(AD67+AD69)</f>
        <v>0</v>
      </c>
      <c r="AE70" s="180"/>
      <c r="AF70" s="180"/>
      <c r="AG70" s="186">
        <f t="shared" si="1008"/>
        <v>0</v>
      </c>
      <c r="AH70" s="159"/>
      <c r="AI70" s="161"/>
      <c r="AJ70" s="183" t="str">
        <f>"Adjusment "&amp;" %"</f>
        <v>Adjusment  %</v>
      </c>
      <c r="AK70" s="184"/>
      <c r="AL70" s="184"/>
      <c r="AM70" s="156"/>
      <c r="AN70" s="180"/>
      <c r="AO70" s="180"/>
      <c r="AP70" s="180"/>
      <c r="AQ70" s="180"/>
      <c r="AR70" s="180"/>
      <c r="AS70" s="180"/>
      <c r="AT70" s="180"/>
      <c r="AU70" s="185">
        <f>AM70/100*(AU67+AU69)</f>
        <v>0</v>
      </c>
      <c r="AV70" s="180"/>
      <c r="AW70" s="180"/>
      <c r="AX70" s="186">
        <f t="shared" si="1009"/>
        <v>0</v>
      </c>
      <c r="AY70" s="159"/>
      <c r="AZ70" s="161"/>
      <c r="BA70" s="183" t="str">
        <f>"Adjusment "&amp;" %"</f>
        <v>Adjusment  %</v>
      </c>
      <c r="BB70" s="184"/>
      <c r="BC70" s="184"/>
      <c r="BD70" s="156"/>
      <c r="BE70" s="180"/>
      <c r="BF70" s="180"/>
      <c r="BG70" s="180"/>
      <c r="BH70" s="180"/>
      <c r="BI70" s="180"/>
      <c r="BJ70" s="180"/>
      <c r="BK70" s="180"/>
      <c r="BL70" s="185">
        <f>BD70/100*(BL67+BL69)</f>
        <v>0</v>
      </c>
      <c r="BM70" s="180"/>
      <c r="BN70" s="180"/>
      <c r="BO70" s="186">
        <f t="shared" si="1010"/>
        <v>0</v>
      </c>
      <c r="BP70" s="159"/>
      <c r="BQ70" s="161"/>
      <c r="BR70" s="183" t="str">
        <f>"Adjusment "&amp;" %"</f>
        <v>Adjusment  %</v>
      </c>
      <c r="BS70" s="184"/>
      <c r="BT70" s="184"/>
      <c r="BU70" s="156"/>
      <c r="BV70" s="180"/>
      <c r="BW70" s="180"/>
      <c r="BX70" s="180"/>
      <c r="BY70" s="180"/>
      <c r="BZ70" s="180"/>
      <c r="CA70" s="180"/>
      <c r="CB70" s="180"/>
      <c r="CC70" s="185">
        <f>BU70/100*(CC67+CC69)</f>
        <v>0</v>
      </c>
      <c r="CD70" s="180"/>
      <c r="CE70" s="180"/>
      <c r="CF70" s="186">
        <f t="shared" si="1011"/>
        <v>0</v>
      </c>
      <c r="CG70" s="159"/>
      <c r="CH70" s="161"/>
      <c r="CI70" s="183" t="str">
        <f>"Adjusment "&amp;" %"</f>
        <v>Adjusment  %</v>
      </c>
      <c r="CJ70" s="184"/>
      <c r="CK70" s="184"/>
      <c r="CL70" s="156"/>
      <c r="CM70" s="180"/>
      <c r="CN70" s="180"/>
      <c r="CO70" s="180"/>
      <c r="CP70" s="180"/>
      <c r="CQ70" s="180"/>
      <c r="CR70" s="180"/>
      <c r="CS70" s="180"/>
      <c r="CT70" s="185">
        <f>CL70/100*(CT67+CT69)</f>
        <v>0</v>
      </c>
      <c r="CU70" s="180"/>
      <c r="CV70" s="180"/>
      <c r="CW70" s="186">
        <f t="shared" si="1012"/>
        <v>0</v>
      </c>
      <c r="CX70" s="159"/>
      <c r="CY70" s="161"/>
      <c r="CZ70" s="183" t="str">
        <f>"Adjusment "&amp;" %"</f>
        <v>Adjusment  %</v>
      </c>
      <c r="DA70" s="184"/>
      <c r="DB70" s="184"/>
      <c r="DC70" s="156"/>
      <c r="DD70" s="180"/>
      <c r="DE70" s="180"/>
      <c r="DF70" s="180"/>
      <c r="DG70" s="180"/>
      <c r="DH70" s="180"/>
      <c r="DI70" s="180"/>
      <c r="DJ70" s="180"/>
      <c r="DK70" s="185">
        <f>DC70/100*(DK67+DK69)</f>
        <v>0</v>
      </c>
      <c r="DL70" s="180"/>
      <c r="DM70" s="180"/>
      <c r="DN70" s="186">
        <f t="shared" si="1013"/>
        <v>0</v>
      </c>
      <c r="DO70" s="159"/>
      <c r="DP70" s="161"/>
      <c r="DQ70" s="183" t="str">
        <f>"Adjusment "&amp;" %"</f>
        <v>Adjusment  %</v>
      </c>
      <c r="DR70" s="184"/>
      <c r="DS70" s="184"/>
      <c r="DT70" s="156"/>
      <c r="DU70" s="180"/>
      <c r="DV70" s="180"/>
      <c r="DW70" s="180"/>
      <c r="DX70" s="180"/>
      <c r="DY70" s="180"/>
      <c r="DZ70" s="180"/>
      <c r="EA70" s="180"/>
      <c r="EB70" s="185">
        <f>DT70/100*(EB67+EB69)</f>
        <v>0</v>
      </c>
      <c r="EC70" s="180"/>
      <c r="ED70" s="180"/>
      <c r="EE70" s="186">
        <f t="shared" si="1014"/>
        <v>0</v>
      </c>
      <c r="EF70" s="159"/>
      <c r="EG70" s="161"/>
      <c r="EH70" s="183" t="str">
        <f>"Adjusment "&amp;" %"</f>
        <v>Adjusment  %</v>
      </c>
      <c r="EI70" s="184"/>
      <c r="EJ70" s="184"/>
      <c r="EK70" s="156"/>
      <c r="EL70" s="180"/>
      <c r="EM70" s="180"/>
      <c r="EN70" s="180"/>
      <c r="EO70" s="180"/>
      <c r="EP70" s="180"/>
      <c r="EQ70" s="180"/>
      <c r="ER70" s="180"/>
      <c r="ES70" s="185">
        <f>EK70/100*(ES67+ES69)</f>
        <v>0</v>
      </c>
      <c r="ET70" s="180"/>
      <c r="EU70" s="180"/>
      <c r="EV70" s="186">
        <f t="shared" si="1015"/>
        <v>0</v>
      </c>
      <c r="EW70" s="159"/>
      <c r="EX70" s="161"/>
      <c r="EY70" s="183" t="str">
        <f>"Adjusment "&amp;" %"</f>
        <v>Adjusment  %</v>
      </c>
      <c r="EZ70" s="184"/>
      <c r="FA70" s="184"/>
      <c r="FB70" s="156"/>
      <c r="FC70" s="180"/>
      <c r="FD70" s="180"/>
      <c r="FE70" s="180"/>
      <c r="FF70" s="180"/>
      <c r="FG70" s="180"/>
      <c r="FH70" s="180"/>
      <c r="FI70" s="180"/>
      <c r="FJ70" s="185">
        <f>FB70/100*(FJ67+FJ69)</f>
        <v>0</v>
      </c>
      <c r="FK70" s="180"/>
      <c r="FL70" s="180"/>
      <c r="FM70" s="186">
        <f t="shared" si="1016"/>
        <v>0</v>
      </c>
      <c r="FN70" s="159"/>
      <c r="FO70" s="161"/>
      <c r="FP70" s="183" t="str">
        <f>"Adjusment "&amp;" %"</f>
        <v>Adjusment  %</v>
      </c>
      <c r="FQ70" s="184"/>
      <c r="FR70" s="184"/>
      <c r="FS70" s="156"/>
      <c r="FT70" s="180"/>
      <c r="FU70" s="180"/>
      <c r="FV70" s="180"/>
      <c r="FW70" s="180"/>
      <c r="FX70" s="180"/>
      <c r="FY70" s="180"/>
      <c r="FZ70" s="180"/>
      <c r="GA70" s="185">
        <f>FS70/100*(GA67+GA69)</f>
        <v>0</v>
      </c>
      <c r="GB70" s="180"/>
      <c r="GC70" s="180"/>
      <c r="GD70" s="186">
        <f t="shared" si="1017"/>
        <v>0</v>
      </c>
      <c r="GE70" s="159"/>
      <c r="GF70" s="161"/>
      <c r="GG70" s="183" t="str">
        <f>"Adjusment "&amp;" %"</f>
        <v>Adjusment  %</v>
      </c>
      <c r="GH70" s="184"/>
      <c r="GI70" s="184"/>
      <c r="GJ70" s="156"/>
      <c r="GK70" s="180"/>
      <c r="GL70" s="180"/>
      <c r="GM70" s="180"/>
      <c r="GN70" s="180"/>
      <c r="GO70" s="180"/>
      <c r="GP70" s="180"/>
      <c r="GQ70" s="180"/>
      <c r="GR70" s="185">
        <f>GJ70/100*(GR67+GR69)</f>
        <v>0</v>
      </c>
      <c r="GS70" s="180"/>
      <c r="GT70" s="180"/>
      <c r="GU70" s="186">
        <f t="shared" si="1018"/>
        <v>0</v>
      </c>
      <c r="GV70" s="159"/>
      <c r="GW70" s="161"/>
      <c r="GX70" s="183" t="str">
        <f>"Adjusment "&amp;" %"</f>
        <v>Adjusment  %</v>
      </c>
      <c r="GY70" s="184"/>
      <c r="GZ70" s="184"/>
      <c r="HA70" s="156"/>
      <c r="HB70" s="180"/>
      <c r="HC70" s="180"/>
      <c r="HD70" s="180"/>
      <c r="HE70" s="180"/>
      <c r="HF70" s="180"/>
      <c r="HG70" s="180"/>
      <c r="HH70" s="180"/>
      <c r="HI70" s="185">
        <f>HA70/100*(HI67+HI69)</f>
        <v>0</v>
      </c>
      <c r="HJ70" s="180"/>
      <c r="HK70" s="180"/>
      <c r="HL70" s="186">
        <f t="shared" si="1019"/>
        <v>0</v>
      </c>
      <c r="HM70" s="159"/>
      <c r="HN70" s="161"/>
      <c r="HO70" s="183" t="str">
        <f>"Adjusment "&amp;" %"</f>
        <v>Adjusment  %</v>
      </c>
      <c r="HP70" s="184"/>
      <c r="HQ70" s="184"/>
      <c r="HR70" s="156"/>
      <c r="HS70" s="180"/>
      <c r="HT70" s="180"/>
      <c r="HU70" s="180"/>
      <c r="HV70" s="180"/>
      <c r="HW70" s="180"/>
      <c r="HX70" s="180"/>
      <c r="HY70" s="180"/>
      <c r="HZ70" s="185">
        <f>HR70/100*(HZ67+HZ69)</f>
        <v>0</v>
      </c>
      <c r="IA70" s="180"/>
      <c r="IB70" s="180"/>
      <c r="IC70" s="186">
        <f t="shared" si="1020"/>
        <v>0</v>
      </c>
      <c r="ID70" s="159"/>
      <c r="IE70" s="161"/>
      <c r="IF70" s="183" t="str">
        <f>"Adjusment "&amp;" %"</f>
        <v>Adjusment  %</v>
      </c>
      <c r="IG70" s="184"/>
      <c r="IH70" s="184"/>
      <c r="II70" s="156"/>
      <c r="IJ70" s="180"/>
      <c r="IK70" s="180"/>
      <c r="IL70" s="180"/>
      <c r="IM70" s="180"/>
      <c r="IN70" s="180"/>
      <c r="IO70" s="180"/>
      <c r="IP70" s="180"/>
      <c r="IQ70" s="185">
        <f>II70/100*(IQ67+IQ69)</f>
        <v>0</v>
      </c>
      <c r="IR70" s="180"/>
      <c r="IS70" s="180"/>
      <c r="IT70" s="186">
        <f t="shared" si="1021"/>
        <v>0</v>
      </c>
      <c r="IU70" s="159"/>
      <c r="IV70" s="161"/>
      <c r="IW70" s="183" t="str">
        <f>"Adjusment "&amp;" %"</f>
        <v>Adjusment  %</v>
      </c>
      <c r="IX70" s="184"/>
      <c r="IY70" s="184"/>
      <c r="IZ70" s="156"/>
      <c r="JA70" s="180"/>
      <c r="JB70" s="180"/>
      <c r="JC70" s="180"/>
      <c r="JD70" s="180"/>
      <c r="JE70" s="180"/>
      <c r="JF70" s="180"/>
      <c r="JG70" s="180"/>
      <c r="JH70" s="185">
        <f>IZ70/100*(JH67+JH69)</f>
        <v>0</v>
      </c>
      <c r="JI70" s="180"/>
      <c r="JJ70" s="180"/>
      <c r="JK70" s="186">
        <f t="shared" si="1022"/>
        <v>0</v>
      </c>
      <c r="JL70" s="159"/>
      <c r="JM70" s="161"/>
      <c r="JN70" s="183" t="str">
        <f>"Adjusment "&amp;" %"</f>
        <v>Adjusment  %</v>
      </c>
      <c r="JO70" s="184"/>
      <c r="JP70" s="184"/>
      <c r="JQ70" s="156"/>
      <c r="JR70" s="180"/>
      <c r="JS70" s="180"/>
      <c r="JT70" s="180"/>
      <c r="JU70" s="180"/>
      <c r="JV70" s="180"/>
      <c r="JW70" s="180"/>
      <c r="JX70" s="180"/>
      <c r="JY70" s="185">
        <f>JQ70/100*(JY67+JY69)</f>
        <v>0</v>
      </c>
      <c r="JZ70" s="180"/>
      <c r="KA70" s="180"/>
      <c r="KB70" s="186">
        <f t="shared" si="1023"/>
        <v>0</v>
      </c>
      <c r="KC70" s="159"/>
      <c r="KD70" s="161"/>
      <c r="KE70" s="183" t="str">
        <f>"Adjusment "&amp;" %"</f>
        <v>Adjusment  %</v>
      </c>
      <c r="KF70" s="184"/>
      <c r="KG70" s="184"/>
      <c r="KH70" s="156"/>
      <c r="KI70" s="180"/>
      <c r="KJ70" s="180"/>
      <c r="KK70" s="180"/>
      <c r="KL70" s="180"/>
      <c r="KM70" s="180"/>
      <c r="KN70" s="180"/>
      <c r="KO70" s="180"/>
      <c r="KP70" s="185">
        <f>KH70/100*(KP67+KP69)</f>
        <v>0</v>
      </c>
      <c r="KQ70" s="180"/>
      <c r="KR70" s="180"/>
      <c r="KS70" s="186">
        <f t="shared" si="1024"/>
        <v>0</v>
      </c>
      <c r="KT70" s="159"/>
      <c r="KU70" s="160"/>
    </row>
    <row r="71" ht="15.75" customHeight="1">
      <c r="A71" s="161"/>
      <c r="B71" s="162"/>
      <c r="C71" s="163"/>
      <c r="D71" s="163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68"/>
      <c r="Q71" s="159"/>
      <c r="R71" s="161"/>
      <c r="S71" s="162"/>
      <c r="T71" s="163"/>
      <c r="U71" s="163"/>
      <c r="V71" s="156"/>
      <c r="W71" s="156"/>
      <c r="X71" s="156"/>
      <c r="Y71" s="156"/>
      <c r="Z71" s="156"/>
      <c r="AA71" s="156"/>
      <c r="AB71" s="156"/>
      <c r="AC71" s="156"/>
      <c r="AD71" s="156"/>
      <c r="AE71" s="156"/>
      <c r="AF71" s="156"/>
      <c r="AG71" s="168"/>
      <c r="AH71" s="159"/>
      <c r="AI71" s="161"/>
      <c r="AJ71" s="162"/>
      <c r="AK71" s="163"/>
      <c r="AL71" s="163"/>
      <c r="AM71" s="156"/>
      <c r="AN71" s="156"/>
      <c r="AO71" s="156"/>
      <c r="AP71" s="156"/>
      <c r="AQ71" s="156"/>
      <c r="AR71" s="156"/>
      <c r="AS71" s="156"/>
      <c r="AT71" s="156"/>
      <c r="AU71" s="156"/>
      <c r="AV71" s="156"/>
      <c r="AW71" s="156"/>
      <c r="AX71" s="168"/>
      <c r="AY71" s="159"/>
      <c r="AZ71" s="161"/>
      <c r="BA71" s="162"/>
      <c r="BB71" s="163"/>
      <c r="BC71" s="163"/>
      <c r="BD71" s="156"/>
      <c r="BE71" s="156"/>
      <c r="BF71" s="156"/>
      <c r="BG71" s="156"/>
      <c r="BH71" s="156"/>
      <c r="BI71" s="156"/>
      <c r="BJ71" s="156"/>
      <c r="BK71" s="156"/>
      <c r="BL71" s="156"/>
      <c r="BM71" s="156"/>
      <c r="BN71" s="156"/>
      <c r="BO71" s="168"/>
      <c r="BP71" s="159"/>
      <c r="BQ71" s="161"/>
      <c r="BR71" s="162"/>
      <c r="BS71" s="163"/>
      <c r="BT71" s="163"/>
      <c r="BU71" s="156"/>
      <c r="BV71" s="156"/>
      <c r="BW71" s="156"/>
      <c r="BX71" s="156"/>
      <c r="BY71" s="156"/>
      <c r="BZ71" s="156"/>
      <c r="CA71" s="156"/>
      <c r="CB71" s="156"/>
      <c r="CC71" s="156"/>
      <c r="CD71" s="156"/>
      <c r="CE71" s="156"/>
      <c r="CF71" s="168"/>
      <c r="CG71" s="159"/>
      <c r="CH71" s="161"/>
      <c r="CI71" s="162"/>
      <c r="CJ71" s="163"/>
      <c r="CK71" s="163"/>
      <c r="CL71" s="156"/>
      <c r="CM71" s="156"/>
      <c r="CN71" s="156"/>
      <c r="CO71" s="156"/>
      <c r="CP71" s="156"/>
      <c r="CQ71" s="156"/>
      <c r="CR71" s="156"/>
      <c r="CS71" s="156"/>
      <c r="CT71" s="156"/>
      <c r="CU71" s="156"/>
      <c r="CV71" s="156"/>
      <c r="CW71" s="168"/>
      <c r="CX71" s="159"/>
      <c r="CY71" s="161"/>
      <c r="CZ71" s="162"/>
      <c r="DA71" s="163"/>
      <c r="DB71" s="163"/>
      <c r="DC71" s="156"/>
      <c r="DD71" s="156"/>
      <c r="DE71" s="156"/>
      <c r="DF71" s="156"/>
      <c r="DG71" s="156"/>
      <c r="DH71" s="156"/>
      <c r="DI71" s="156"/>
      <c r="DJ71" s="156"/>
      <c r="DK71" s="156"/>
      <c r="DL71" s="156"/>
      <c r="DM71" s="156"/>
      <c r="DN71" s="168"/>
      <c r="DO71" s="159"/>
      <c r="DP71" s="161"/>
      <c r="DQ71" s="162"/>
      <c r="DR71" s="163"/>
      <c r="DS71" s="163"/>
      <c r="DT71" s="156"/>
      <c r="DU71" s="156"/>
      <c r="DV71" s="156"/>
      <c r="DW71" s="156"/>
      <c r="DX71" s="156"/>
      <c r="DY71" s="156"/>
      <c r="DZ71" s="156"/>
      <c r="EA71" s="156"/>
      <c r="EB71" s="156"/>
      <c r="EC71" s="156"/>
      <c r="ED71" s="156"/>
      <c r="EE71" s="168"/>
      <c r="EF71" s="159"/>
      <c r="EG71" s="161"/>
      <c r="EH71" s="162"/>
      <c r="EI71" s="163"/>
      <c r="EJ71" s="163"/>
      <c r="EK71" s="156"/>
      <c r="EL71" s="156"/>
      <c r="EM71" s="156"/>
      <c r="EN71" s="156"/>
      <c r="EO71" s="156"/>
      <c r="EP71" s="156"/>
      <c r="EQ71" s="156"/>
      <c r="ER71" s="156"/>
      <c r="ES71" s="156"/>
      <c r="ET71" s="156"/>
      <c r="EU71" s="156"/>
      <c r="EV71" s="168"/>
      <c r="EW71" s="159"/>
      <c r="EX71" s="161"/>
      <c r="EY71" s="162"/>
      <c r="EZ71" s="163"/>
      <c r="FA71" s="163"/>
      <c r="FB71" s="156"/>
      <c r="FC71" s="156"/>
      <c r="FD71" s="156"/>
      <c r="FE71" s="156"/>
      <c r="FF71" s="156"/>
      <c r="FG71" s="156"/>
      <c r="FH71" s="156"/>
      <c r="FI71" s="156"/>
      <c r="FJ71" s="156"/>
      <c r="FK71" s="156"/>
      <c r="FL71" s="156"/>
      <c r="FM71" s="168"/>
      <c r="FN71" s="159"/>
      <c r="FO71" s="161"/>
      <c r="FP71" s="162"/>
      <c r="FQ71" s="163"/>
      <c r="FR71" s="163"/>
      <c r="FS71" s="156"/>
      <c r="FT71" s="156"/>
      <c r="FU71" s="156"/>
      <c r="FV71" s="156"/>
      <c r="FW71" s="156"/>
      <c r="FX71" s="156"/>
      <c r="FY71" s="156"/>
      <c r="FZ71" s="156"/>
      <c r="GA71" s="156"/>
      <c r="GB71" s="156"/>
      <c r="GC71" s="156"/>
      <c r="GD71" s="168"/>
      <c r="GE71" s="159"/>
      <c r="GF71" s="161"/>
      <c r="GG71" s="162"/>
      <c r="GH71" s="163"/>
      <c r="GI71" s="163"/>
      <c r="GJ71" s="156"/>
      <c r="GK71" s="156"/>
      <c r="GL71" s="156"/>
      <c r="GM71" s="156"/>
      <c r="GN71" s="156"/>
      <c r="GO71" s="156"/>
      <c r="GP71" s="156"/>
      <c r="GQ71" s="156"/>
      <c r="GR71" s="156"/>
      <c r="GS71" s="156"/>
      <c r="GT71" s="156"/>
      <c r="GU71" s="168"/>
      <c r="GV71" s="159"/>
      <c r="GW71" s="161"/>
      <c r="GX71" s="162"/>
      <c r="GY71" s="163"/>
      <c r="GZ71" s="163"/>
      <c r="HA71" s="156"/>
      <c r="HB71" s="156"/>
      <c r="HC71" s="156"/>
      <c r="HD71" s="156"/>
      <c r="HE71" s="156"/>
      <c r="HF71" s="156"/>
      <c r="HG71" s="156"/>
      <c r="HH71" s="156"/>
      <c r="HI71" s="156"/>
      <c r="HJ71" s="156"/>
      <c r="HK71" s="156"/>
      <c r="HL71" s="168"/>
      <c r="HM71" s="159"/>
      <c r="HN71" s="161"/>
      <c r="HO71" s="162"/>
      <c r="HP71" s="163"/>
      <c r="HQ71" s="163"/>
      <c r="HR71" s="156"/>
      <c r="HS71" s="156"/>
      <c r="HT71" s="156"/>
      <c r="HU71" s="156"/>
      <c r="HV71" s="156"/>
      <c r="HW71" s="156"/>
      <c r="HX71" s="156"/>
      <c r="HY71" s="156"/>
      <c r="HZ71" s="156"/>
      <c r="IA71" s="156"/>
      <c r="IB71" s="156"/>
      <c r="IC71" s="168"/>
      <c r="ID71" s="159"/>
      <c r="IE71" s="161"/>
      <c r="IF71" s="162"/>
      <c r="IG71" s="163"/>
      <c r="IH71" s="163"/>
      <c r="II71" s="156"/>
      <c r="IJ71" s="156"/>
      <c r="IK71" s="156"/>
      <c r="IL71" s="156"/>
      <c r="IM71" s="156"/>
      <c r="IN71" s="156"/>
      <c r="IO71" s="156"/>
      <c r="IP71" s="156"/>
      <c r="IQ71" s="156"/>
      <c r="IR71" s="156"/>
      <c r="IS71" s="156"/>
      <c r="IT71" s="168"/>
      <c r="IU71" s="159"/>
      <c r="IV71" s="161"/>
      <c r="IW71" s="162"/>
      <c r="IX71" s="163"/>
      <c r="IY71" s="163"/>
      <c r="IZ71" s="156"/>
      <c r="JA71" s="156"/>
      <c r="JB71" s="156"/>
      <c r="JC71" s="156"/>
      <c r="JD71" s="156"/>
      <c r="JE71" s="156"/>
      <c r="JF71" s="156"/>
      <c r="JG71" s="156"/>
      <c r="JH71" s="156"/>
      <c r="JI71" s="156"/>
      <c r="JJ71" s="156"/>
      <c r="JK71" s="168"/>
      <c r="JL71" s="159"/>
      <c r="JM71" s="161"/>
      <c r="JN71" s="162"/>
      <c r="JO71" s="163"/>
      <c r="JP71" s="163"/>
      <c r="JQ71" s="156"/>
      <c r="JR71" s="156"/>
      <c r="JS71" s="156"/>
      <c r="JT71" s="156"/>
      <c r="JU71" s="156"/>
      <c r="JV71" s="156"/>
      <c r="JW71" s="156"/>
      <c r="JX71" s="156"/>
      <c r="JY71" s="156"/>
      <c r="JZ71" s="156"/>
      <c r="KA71" s="156"/>
      <c r="KB71" s="168"/>
      <c r="KC71" s="159"/>
      <c r="KD71" s="161"/>
      <c r="KE71" s="162"/>
      <c r="KF71" s="163"/>
      <c r="KG71" s="163"/>
      <c r="KH71" s="156"/>
      <c r="KI71" s="156"/>
      <c r="KJ71" s="156"/>
      <c r="KK71" s="156"/>
      <c r="KL71" s="156"/>
      <c r="KM71" s="156"/>
      <c r="KN71" s="156"/>
      <c r="KO71" s="156"/>
      <c r="KP71" s="156"/>
      <c r="KQ71" s="156"/>
      <c r="KR71" s="156"/>
      <c r="KS71" s="168"/>
      <c r="KT71" s="159"/>
      <c r="KU71" s="160"/>
    </row>
    <row r="72" ht="24.0" customHeight="1">
      <c r="A72" s="187" t="s">
        <v>52</v>
      </c>
      <c r="B72" s="118"/>
      <c r="C72" s="188"/>
      <c r="D72" s="188"/>
      <c r="E72" s="189"/>
      <c r="F72" s="189"/>
      <c r="G72" s="190">
        <f>SUM(G67:G71)</f>
        <v>0</v>
      </c>
      <c r="H72" s="189"/>
      <c r="I72" s="190">
        <f>SUM(I67:I71)</f>
        <v>0</v>
      </c>
      <c r="J72" s="189"/>
      <c r="K72" s="189"/>
      <c r="L72" s="189"/>
      <c r="M72" s="190">
        <f>SUM(M67:M71)</f>
        <v>0</v>
      </c>
      <c r="N72" s="189"/>
      <c r="O72" s="190">
        <f t="shared" ref="O72:P72" si="1025">SUM(O67:O71)</f>
        <v>0</v>
      </c>
      <c r="P72" s="190">
        <f t="shared" si="1025"/>
        <v>0</v>
      </c>
      <c r="Q72" s="176"/>
      <c r="R72" s="187" t="s">
        <v>52</v>
      </c>
      <c r="S72" s="118"/>
      <c r="T72" s="188"/>
      <c r="U72" s="188"/>
      <c r="V72" s="189"/>
      <c r="W72" s="189"/>
      <c r="X72" s="190">
        <f>SUM(X67:X71)</f>
        <v>0</v>
      </c>
      <c r="Y72" s="189"/>
      <c r="Z72" s="190">
        <f>SUM(Z67:Z71)</f>
        <v>0</v>
      </c>
      <c r="AA72" s="189"/>
      <c r="AB72" s="189"/>
      <c r="AC72" s="189"/>
      <c r="AD72" s="190">
        <f>SUM(AD67:AD71)</f>
        <v>0</v>
      </c>
      <c r="AE72" s="189"/>
      <c r="AF72" s="190">
        <f t="shared" ref="AF72:AG72" si="1026">SUM(AF67:AF71)</f>
        <v>0</v>
      </c>
      <c r="AG72" s="190">
        <f t="shared" si="1026"/>
        <v>0</v>
      </c>
      <c r="AH72" s="176"/>
      <c r="AI72" s="187" t="s">
        <v>52</v>
      </c>
      <c r="AJ72" s="118"/>
      <c r="AK72" s="188"/>
      <c r="AL72" s="188"/>
      <c r="AM72" s="189"/>
      <c r="AN72" s="189"/>
      <c r="AO72" s="190">
        <f>SUM(AO67:AO71)</f>
        <v>0</v>
      </c>
      <c r="AP72" s="189"/>
      <c r="AQ72" s="190">
        <f>SUM(AQ67:AQ71)</f>
        <v>0</v>
      </c>
      <c r="AR72" s="189"/>
      <c r="AS72" s="189"/>
      <c r="AT72" s="189"/>
      <c r="AU72" s="190">
        <f>SUM(AU67:AU71)</f>
        <v>0</v>
      </c>
      <c r="AV72" s="189"/>
      <c r="AW72" s="190">
        <f t="shared" ref="AW72:AX72" si="1027">SUM(AW67:AW71)</f>
        <v>0</v>
      </c>
      <c r="AX72" s="190">
        <f t="shared" si="1027"/>
        <v>0</v>
      </c>
      <c r="AY72" s="176"/>
      <c r="AZ72" s="187" t="s">
        <v>52</v>
      </c>
      <c r="BA72" s="118"/>
      <c r="BB72" s="188"/>
      <c r="BC72" s="188"/>
      <c r="BD72" s="189"/>
      <c r="BE72" s="189"/>
      <c r="BF72" s="190">
        <f>SUM(BF67:BF71)</f>
        <v>0</v>
      </c>
      <c r="BG72" s="189"/>
      <c r="BH72" s="190">
        <f>SUM(BH67:BH71)</f>
        <v>0</v>
      </c>
      <c r="BI72" s="189"/>
      <c r="BJ72" s="189"/>
      <c r="BK72" s="189"/>
      <c r="BL72" s="190">
        <f>SUM(BL67:BL71)</f>
        <v>0</v>
      </c>
      <c r="BM72" s="189"/>
      <c r="BN72" s="190">
        <f t="shared" ref="BN72:BO72" si="1028">SUM(BN67:BN71)</f>
        <v>0</v>
      </c>
      <c r="BO72" s="190">
        <f t="shared" si="1028"/>
        <v>0</v>
      </c>
      <c r="BP72" s="176"/>
      <c r="BQ72" s="187" t="s">
        <v>52</v>
      </c>
      <c r="BR72" s="118"/>
      <c r="BS72" s="188"/>
      <c r="BT72" s="188"/>
      <c r="BU72" s="189"/>
      <c r="BV72" s="189"/>
      <c r="BW72" s="190">
        <f>SUM(BW67:BW71)</f>
        <v>0</v>
      </c>
      <c r="BX72" s="189"/>
      <c r="BY72" s="190">
        <f>SUM(BY67:BY71)</f>
        <v>0</v>
      </c>
      <c r="BZ72" s="189"/>
      <c r="CA72" s="189"/>
      <c r="CB72" s="189"/>
      <c r="CC72" s="190">
        <f>SUM(CC67:CC71)</f>
        <v>0</v>
      </c>
      <c r="CD72" s="189"/>
      <c r="CE72" s="190">
        <f t="shared" ref="CE72:CF72" si="1029">SUM(CE67:CE71)</f>
        <v>0</v>
      </c>
      <c r="CF72" s="190">
        <f t="shared" si="1029"/>
        <v>0</v>
      </c>
      <c r="CG72" s="176"/>
      <c r="CH72" s="187" t="s">
        <v>52</v>
      </c>
      <c r="CI72" s="118"/>
      <c r="CJ72" s="188"/>
      <c r="CK72" s="188"/>
      <c r="CL72" s="189"/>
      <c r="CM72" s="189"/>
      <c r="CN72" s="190">
        <f>SUM(CN67:CN71)</f>
        <v>0</v>
      </c>
      <c r="CO72" s="189"/>
      <c r="CP72" s="190">
        <f>SUM(CP67:CP71)</f>
        <v>0</v>
      </c>
      <c r="CQ72" s="189"/>
      <c r="CR72" s="189"/>
      <c r="CS72" s="189"/>
      <c r="CT72" s="190">
        <f>SUM(CT67:CT71)</f>
        <v>0</v>
      </c>
      <c r="CU72" s="189"/>
      <c r="CV72" s="190">
        <f t="shared" ref="CV72:CW72" si="1030">SUM(CV67:CV71)</f>
        <v>0</v>
      </c>
      <c r="CW72" s="190">
        <f t="shared" si="1030"/>
        <v>0</v>
      </c>
      <c r="CX72" s="176"/>
      <c r="CY72" s="187" t="s">
        <v>52</v>
      </c>
      <c r="CZ72" s="118"/>
      <c r="DA72" s="188"/>
      <c r="DB72" s="188"/>
      <c r="DC72" s="189"/>
      <c r="DD72" s="189"/>
      <c r="DE72" s="190">
        <f>SUM(DE67:DE71)</f>
        <v>0</v>
      </c>
      <c r="DF72" s="189"/>
      <c r="DG72" s="190">
        <f>SUM(DG67:DG71)</f>
        <v>0</v>
      </c>
      <c r="DH72" s="189"/>
      <c r="DI72" s="189"/>
      <c r="DJ72" s="189"/>
      <c r="DK72" s="190">
        <f>SUM(DK67:DK71)</f>
        <v>0</v>
      </c>
      <c r="DL72" s="189"/>
      <c r="DM72" s="190">
        <f t="shared" ref="DM72:DN72" si="1031">SUM(DM67:DM71)</f>
        <v>0</v>
      </c>
      <c r="DN72" s="190">
        <f t="shared" si="1031"/>
        <v>0</v>
      </c>
      <c r="DO72" s="176"/>
      <c r="DP72" s="187" t="s">
        <v>52</v>
      </c>
      <c r="DQ72" s="118"/>
      <c r="DR72" s="188"/>
      <c r="DS72" s="188"/>
      <c r="DT72" s="189"/>
      <c r="DU72" s="189"/>
      <c r="DV72" s="190">
        <f>SUM(DV67:DV71)</f>
        <v>0</v>
      </c>
      <c r="DW72" s="189"/>
      <c r="DX72" s="190">
        <f>SUM(DX67:DX71)</f>
        <v>0</v>
      </c>
      <c r="DY72" s="189"/>
      <c r="DZ72" s="189"/>
      <c r="EA72" s="189"/>
      <c r="EB72" s="190">
        <f>SUM(EB67:EB71)</f>
        <v>0</v>
      </c>
      <c r="EC72" s="189"/>
      <c r="ED72" s="190">
        <f t="shared" ref="ED72:EE72" si="1032">SUM(ED67:ED71)</f>
        <v>0</v>
      </c>
      <c r="EE72" s="190">
        <f t="shared" si="1032"/>
        <v>0</v>
      </c>
      <c r="EF72" s="176"/>
      <c r="EG72" s="187" t="s">
        <v>52</v>
      </c>
      <c r="EH72" s="118"/>
      <c r="EI72" s="188"/>
      <c r="EJ72" s="188"/>
      <c r="EK72" s="189"/>
      <c r="EL72" s="189"/>
      <c r="EM72" s="190">
        <f>SUM(EM67:EM71)</f>
        <v>0</v>
      </c>
      <c r="EN72" s="189"/>
      <c r="EO72" s="190">
        <f>SUM(EO67:EO71)</f>
        <v>0</v>
      </c>
      <c r="EP72" s="189"/>
      <c r="EQ72" s="189"/>
      <c r="ER72" s="189"/>
      <c r="ES72" s="190">
        <f>SUM(ES67:ES71)</f>
        <v>0</v>
      </c>
      <c r="ET72" s="189"/>
      <c r="EU72" s="190">
        <f t="shared" ref="EU72:EV72" si="1033">SUM(EU67:EU71)</f>
        <v>0</v>
      </c>
      <c r="EV72" s="190">
        <f t="shared" si="1033"/>
        <v>0</v>
      </c>
      <c r="EW72" s="176"/>
      <c r="EX72" s="187" t="s">
        <v>52</v>
      </c>
      <c r="EY72" s="118"/>
      <c r="EZ72" s="188"/>
      <c r="FA72" s="188"/>
      <c r="FB72" s="189"/>
      <c r="FC72" s="189"/>
      <c r="FD72" s="190">
        <f>SUM(FD67:FD71)</f>
        <v>0</v>
      </c>
      <c r="FE72" s="189"/>
      <c r="FF72" s="190">
        <f>SUM(FF67:FF71)</f>
        <v>0</v>
      </c>
      <c r="FG72" s="189"/>
      <c r="FH72" s="189"/>
      <c r="FI72" s="189"/>
      <c r="FJ72" s="190">
        <f>SUM(FJ67:FJ71)</f>
        <v>0</v>
      </c>
      <c r="FK72" s="189"/>
      <c r="FL72" s="190">
        <f t="shared" ref="FL72:FM72" si="1034">SUM(FL67:FL71)</f>
        <v>0</v>
      </c>
      <c r="FM72" s="190">
        <f t="shared" si="1034"/>
        <v>0</v>
      </c>
      <c r="FN72" s="176"/>
      <c r="FO72" s="187" t="s">
        <v>52</v>
      </c>
      <c r="FP72" s="118"/>
      <c r="FQ72" s="188"/>
      <c r="FR72" s="188"/>
      <c r="FS72" s="189"/>
      <c r="FT72" s="189"/>
      <c r="FU72" s="190">
        <f>SUM(FU67:FU71)</f>
        <v>821733.4354</v>
      </c>
      <c r="FV72" s="189"/>
      <c r="FW72" s="190">
        <f>SUM(FW67:FW71)</f>
        <v>0</v>
      </c>
      <c r="FX72" s="189"/>
      <c r="FY72" s="189"/>
      <c r="FZ72" s="189"/>
      <c r="GA72" s="190">
        <f>SUM(GA67:GA71)</f>
        <v>821733.4354</v>
      </c>
      <c r="GB72" s="189"/>
      <c r="GC72" s="190">
        <f t="shared" ref="GC72:GD72" si="1035">SUM(GC67:GC71)</f>
        <v>378364.7994</v>
      </c>
      <c r="GD72" s="190">
        <f t="shared" si="1035"/>
        <v>443368.636</v>
      </c>
      <c r="GE72" s="176"/>
      <c r="GF72" s="187" t="s">
        <v>52</v>
      </c>
      <c r="GG72" s="118"/>
      <c r="GH72" s="188"/>
      <c r="GI72" s="188"/>
      <c r="GJ72" s="189"/>
      <c r="GK72" s="189"/>
      <c r="GL72" s="190">
        <f>SUM(GL67:GL71)</f>
        <v>1517439.651</v>
      </c>
      <c r="GM72" s="189"/>
      <c r="GN72" s="190">
        <f>SUM(GN67:GN71)</f>
        <v>0</v>
      </c>
      <c r="GO72" s="189"/>
      <c r="GP72" s="189"/>
      <c r="GQ72" s="189"/>
      <c r="GR72" s="190">
        <f>SUM(GR67:GR71)</f>
        <v>1517439.651</v>
      </c>
      <c r="GS72" s="189"/>
      <c r="GT72" s="190">
        <f t="shared" ref="GT72:GU72" si="1036">SUM(GT67:GT71)</f>
        <v>698700.7276</v>
      </c>
      <c r="GU72" s="190">
        <f t="shared" si="1036"/>
        <v>818738.9235</v>
      </c>
      <c r="GV72" s="176"/>
      <c r="GW72" s="187" t="s">
        <v>52</v>
      </c>
      <c r="GX72" s="118"/>
      <c r="GY72" s="188"/>
      <c r="GZ72" s="188"/>
      <c r="HA72" s="189"/>
      <c r="HB72" s="189"/>
      <c r="HC72" s="190">
        <f>SUM(HC67:HC71)</f>
        <v>1482581.359</v>
      </c>
      <c r="HD72" s="189"/>
      <c r="HE72" s="190">
        <f>SUM(HE67:HE71)</f>
        <v>0</v>
      </c>
      <c r="HF72" s="189"/>
      <c r="HG72" s="189"/>
      <c r="HH72" s="189"/>
      <c r="HI72" s="190">
        <f>SUM(HI67:HI71)</f>
        <v>1482581.359</v>
      </c>
      <c r="HJ72" s="189"/>
      <c r="HK72" s="190">
        <f t="shared" ref="HK72:HL72" si="1037">SUM(HK67:HK71)</f>
        <v>682650.327</v>
      </c>
      <c r="HL72" s="190">
        <f t="shared" si="1037"/>
        <v>799931.0317</v>
      </c>
      <c r="HM72" s="176"/>
      <c r="HN72" s="187" t="s">
        <v>52</v>
      </c>
      <c r="HO72" s="118"/>
      <c r="HP72" s="188"/>
      <c r="HQ72" s="188"/>
      <c r="HR72" s="189"/>
      <c r="HS72" s="189"/>
      <c r="HT72" s="190">
        <f>SUM(HT67:HT71)</f>
        <v>2605408.877</v>
      </c>
      <c r="HU72" s="189"/>
      <c r="HV72" s="190">
        <f>SUM(HV67:HV71)</f>
        <v>0</v>
      </c>
      <c r="HW72" s="189"/>
      <c r="HX72" s="189"/>
      <c r="HY72" s="189"/>
      <c r="HZ72" s="190">
        <f>SUM(HZ67:HZ71)</f>
        <v>2605408.877</v>
      </c>
      <c r="IA72" s="189"/>
      <c r="IB72" s="190">
        <f t="shared" ref="IB72:IC72" si="1038">SUM(IB67:IB71)</f>
        <v>1199653.032</v>
      </c>
      <c r="IC72" s="190">
        <f t="shared" si="1038"/>
        <v>1405755.845</v>
      </c>
      <c r="ID72" s="176"/>
      <c r="IE72" s="187" t="s">
        <v>52</v>
      </c>
      <c r="IF72" s="118"/>
      <c r="IG72" s="188"/>
      <c r="IH72" s="188"/>
      <c r="II72" s="189"/>
      <c r="IJ72" s="189"/>
      <c r="IK72" s="190">
        <f>SUM(IK67:IK71)</f>
        <v>1855732.309</v>
      </c>
      <c r="IL72" s="189"/>
      <c r="IM72" s="190">
        <f>SUM(IM67:IM71)</f>
        <v>0</v>
      </c>
      <c r="IN72" s="189"/>
      <c r="IO72" s="189"/>
      <c r="IP72" s="189"/>
      <c r="IQ72" s="190">
        <f>SUM(IQ67:IQ71)</f>
        <v>1855732.309</v>
      </c>
      <c r="IR72" s="189"/>
      <c r="IS72" s="190">
        <f t="shared" ref="IS72:IT72" si="1039">SUM(IS67:IS71)</f>
        <v>854466.6098</v>
      </c>
      <c r="IT72" s="190">
        <f t="shared" si="1039"/>
        <v>1001265.699</v>
      </c>
      <c r="IU72" s="176"/>
      <c r="IV72" s="187" t="s">
        <v>52</v>
      </c>
      <c r="IW72" s="118"/>
      <c r="IX72" s="188"/>
      <c r="IY72" s="188"/>
      <c r="IZ72" s="189"/>
      <c r="JA72" s="189"/>
      <c r="JB72" s="190">
        <f>SUM(JB67:JB71)</f>
        <v>4282994.699</v>
      </c>
      <c r="JC72" s="189"/>
      <c r="JD72" s="190">
        <f>SUM(JD67:JD71)</f>
        <v>0</v>
      </c>
      <c r="JE72" s="189"/>
      <c r="JF72" s="189"/>
      <c r="JG72" s="189"/>
      <c r="JH72" s="190">
        <f>SUM(JH67:JH71)</f>
        <v>4282994.699</v>
      </c>
      <c r="JI72" s="189"/>
      <c r="JJ72" s="190">
        <f t="shared" ref="JJ72:JK72" si="1040">SUM(JJ67:JJ71)</f>
        <v>1972092.604</v>
      </c>
      <c r="JK72" s="190">
        <f t="shared" si="1040"/>
        <v>2310902.095</v>
      </c>
      <c r="JL72" s="176"/>
      <c r="JM72" s="187" t="s">
        <v>52</v>
      </c>
      <c r="JN72" s="118"/>
      <c r="JO72" s="188"/>
      <c r="JP72" s="188"/>
      <c r="JQ72" s="189"/>
      <c r="JR72" s="189"/>
      <c r="JS72" s="190">
        <f>SUM(JS67:JS71)</f>
        <v>4728554.432</v>
      </c>
      <c r="JT72" s="189"/>
      <c r="JU72" s="190">
        <f>SUM(JU67:JU71)</f>
        <v>0</v>
      </c>
      <c r="JV72" s="189"/>
      <c r="JW72" s="189"/>
      <c r="JX72" s="189"/>
      <c r="JY72" s="190">
        <f>SUM(JY67:JY71)</f>
        <v>4728554.432</v>
      </c>
      <c r="JZ72" s="189"/>
      <c r="KA72" s="190">
        <f t="shared" ref="KA72:KB72" si="1041">SUM(KA67:KA71)</f>
        <v>2177249.302</v>
      </c>
      <c r="KB72" s="190">
        <f t="shared" si="1041"/>
        <v>2551305.129</v>
      </c>
      <c r="KC72" s="176"/>
      <c r="KD72" s="187" t="s">
        <v>52</v>
      </c>
      <c r="KE72" s="118"/>
      <c r="KF72" s="188"/>
      <c r="KG72" s="188"/>
      <c r="KH72" s="189"/>
      <c r="KI72" s="189"/>
      <c r="KJ72" s="190">
        <f>SUM(KJ67:KJ71)</f>
        <v>0</v>
      </c>
      <c r="KK72" s="189"/>
      <c r="KL72" s="190">
        <f>SUM(KL67:KL71)</f>
        <v>0</v>
      </c>
      <c r="KM72" s="189"/>
      <c r="KN72" s="189"/>
      <c r="KO72" s="189"/>
      <c r="KP72" s="190">
        <f>SUM(KP67:KP71)</f>
        <v>0</v>
      </c>
      <c r="KQ72" s="189"/>
      <c r="KR72" s="190">
        <f t="shared" ref="KR72:KS72" si="1042">SUM(KR67:KR71)</f>
        <v>0</v>
      </c>
      <c r="KS72" s="190">
        <f t="shared" si="1042"/>
        <v>0</v>
      </c>
      <c r="KT72" s="176"/>
      <c r="KU72" s="177"/>
    </row>
    <row r="73" ht="15.0" customHeight="1">
      <c r="A73" s="44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7"/>
      <c r="R73" s="44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7"/>
      <c r="AI73" s="44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/>
      <c r="AY73" s="37"/>
      <c r="AZ73" s="44"/>
      <c r="BA73" s="36"/>
      <c r="BB73" s="36"/>
      <c r="BC73" s="36"/>
      <c r="BD73" s="36"/>
      <c r="BE73" s="36"/>
      <c r="BF73" s="36"/>
      <c r="BG73" s="36"/>
      <c r="BH73" s="36"/>
      <c r="BI73" s="36"/>
      <c r="BJ73" s="36"/>
      <c r="BK73" s="36"/>
      <c r="BL73" s="36"/>
      <c r="BM73" s="36"/>
      <c r="BN73" s="36"/>
      <c r="BO73" s="36"/>
      <c r="BP73" s="37"/>
      <c r="BQ73" s="44"/>
      <c r="BR73" s="36"/>
      <c r="BS73" s="36"/>
      <c r="BT73" s="36"/>
      <c r="BU73" s="36"/>
      <c r="BV73" s="36"/>
      <c r="BW73" s="36"/>
      <c r="BX73" s="36"/>
      <c r="BY73" s="36"/>
      <c r="BZ73" s="36"/>
      <c r="CA73" s="36"/>
      <c r="CB73" s="36"/>
      <c r="CC73" s="36"/>
      <c r="CD73" s="36"/>
      <c r="CE73" s="36"/>
      <c r="CF73" s="36"/>
      <c r="CG73" s="37"/>
      <c r="CH73" s="44"/>
      <c r="CI73" s="36"/>
      <c r="CJ73" s="36"/>
      <c r="CK73" s="36"/>
      <c r="CL73" s="36"/>
      <c r="CM73" s="36"/>
      <c r="CN73" s="36"/>
      <c r="CO73" s="36"/>
      <c r="CP73" s="36"/>
      <c r="CQ73" s="36"/>
      <c r="CR73" s="36"/>
      <c r="CS73" s="36"/>
      <c r="CT73" s="36"/>
      <c r="CU73" s="36"/>
      <c r="CV73" s="36"/>
      <c r="CW73" s="36"/>
      <c r="CX73" s="37"/>
      <c r="CY73" s="44"/>
      <c r="CZ73" s="36"/>
      <c r="DA73" s="36"/>
      <c r="DB73" s="36"/>
      <c r="DC73" s="36"/>
      <c r="DD73" s="36"/>
      <c r="DE73" s="36"/>
      <c r="DF73" s="36"/>
      <c r="DG73" s="36"/>
      <c r="DH73" s="36"/>
      <c r="DI73" s="36"/>
      <c r="DJ73" s="36"/>
      <c r="DK73" s="36"/>
      <c r="DL73" s="36"/>
      <c r="DM73" s="36"/>
      <c r="DN73" s="36"/>
      <c r="DO73" s="37"/>
      <c r="DP73" s="44"/>
      <c r="DQ73" s="36"/>
      <c r="DR73" s="36"/>
      <c r="DS73" s="36"/>
      <c r="DT73" s="36"/>
      <c r="DU73" s="36"/>
      <c r="DV73" s="36"/>
      <c r="DW73" s="36"/>
      <c r="DX73" s="36"/>
      <c r="DY73" s="36"/>
      <c r="DZ73" s="36"/>
      <c r="EA73" s="36"/>
      <c r="EB73" s="36"/>
      <c r="EC73" s="36"/>
      <c r="ED73" s="36"/>
      <c r="EE73" s="36"/>
      <c r="EF73" s="37"/>
      <c r="EG73" s="44"/>
      <c r="EH73" s="36"/>
      <c r="EI73" s="36"/>
      <c r="EJ73" s="36"/>
      <c r="EK73" s="36"/>
      <c r="EL73" s="36"/>
      <c r="EM73" s="36"/>
      <c r="EN73" s="36"/>
      <c r="EO73" s="36"/>
      <c r="EP73" s="36"/>
      <c r="EQ73" s="36"/>
      <c r="ER73" s="36"/>
      <c r="ES73" s="36"/>
      <c r="ET73" s="36"/>
      <c r="EU73" s="36"/>
      <c r="EV73" s="36"/>
      <c r="EW73" s="37"/>
      <c r="EX73" s="44"/>
      <c r="EY73" s="36"/>
      <c r="EZ73" s="36"/>
      <c r="FA73" s="36"/>
      <c r="FB73" s="36"/>
      <c r="FC73" s="36"/>
      <c r="FD73" s="36"/>
      <c r="FE73" s="36"/>
      <c r="FF73" s="36"/>
      <c r="FG73" s="36"/>
      <c r="FH73" s="36"/>
      <c r="FI73" s="36"/>
      <c r="FJ73" s="36"/>
      <c r="FK73" s="36"/>
      <c r="FL73" s="36"/>
      <c r="FM73" s="36"/>
      <c r="FN73" s="37"/>
      <c r="FO73" s="44"/>
      <c r="FP73" s="36"/>
      <c r="FQ73" s="36"/>
      <c r="FR73" s="36"/>
      <c r="FS73" s="36"/>
      <c r="FT73" s="36"/>
      <c r="FU73" s="36"/>
      <c r="FV73" s="36"/>
      <c r="FW73" s="36"/>
      <c r="FX73" s="36"/>
      <c r="FY73" s="36"/>
      <c r="FZ73" s="36"/>
      <c r="GA73" s="36"/>
      <c r="GB73" s="36"/>
      <c r="GC73" s="36"/>
      <c r="GD73" s="36"/>
      <c r="GE73" s="37"/>
      <c r="GF73" s="44"/>
      <c r="GG73" s="36"/>
      <c r="GH73" s="36"/>
      <c r="GI73" s="36"/>
      <c r="GJ73" s="36"/>
      <c r="GK73" s="36"/>
      <c r="GL73" s="36"/>
      <c r="GM73" s="36"/>
      <c r="GN73" s="36"/>
      <c r="GO73" s="36"/>
      <c r="GP73" s="36"/>
      <c r="GQ73" s="36"/>
      <c r="GR73" s="36"/>
      <c r="GS73" s="36"/>
      <c r="GT73" s="36"/>
      <c r="GU73" s="36"/>
      <c r="GV73" s="37"/>
      <c r="GW73" s="44"/>
      <c r="GX73" s="36"/>
      <c r="GY73" s="36"/>
      <c r="GZ73" s="36"/>
      <c r="HA73" s="36"/>
      <c r="HB73" s="36"/>
      <c r="HC73" s="36"/>
      <c r="HD73" s="36"/>
      <c r="HE73" s="36"/>
      <c r="HF73" s="36"/>
      <c r="HG73" s="36"/>
      <c r="HH73" s="36"/>
      <c r="HI73" s="36"/>
      <c r="HJ73" s="36"/>
      <c r="HK73" s="36"/>
      <c r="HL73" s="36"/>
      <c r="HM73" s="37"/>
      <c r="HN73" s="44"/>
      <c r="HO73" s="36"/>
      <c r="HP73" s="36"/>
      <c r="HQ73" s="36"/>
      <c r="HR73" s="36"/>
      <c r="HS73" s="36"/>
      <c r="HT73" s="36"/>
      <c r="HU73" s="36"/>
      <c r="HV73" s="36"/>
      <c r="HW73" s="36"/>
      <c r="HX73" s="36"/>
      <c r="HY73" s="36"/>
      <c r="HZ73" s="36"/>
      <c r="IA73" s="36"/>
      <c r="IB73" s="36"/>
      <c r="IC73" s="36"/>
      <c r="ID73" s="37"/>
      <c r="IE73" s="44"/>
      <c r="IF73" s="36"/>
      <c r="IG73" s="36"/>
      <c r="IH73" s="36"/>
      <c r="II73" s="36"/>
      <c r="IJ73" s="36"/>
      <c r="IK73" s="36"/>
      <c r="IL73" s="36"/>
      <c r="IM73" s="36"/>
      <c r="IN73" s="36"/>
      <c r="IO73" s="36"/>
      <c r="IP73" s="36"/>
      <c r="IQ73" s="36"/>
      <c r="IR73" s="36"/>
      <c r="IS73" s="36"/>
      <c r="IT73" s="36"/>
      <c r="IU73" s="37"/>
      <c r="IV73" s="44"/>
      <c r="IW73" s="36"/>
      <c r="IX73" s="36"/>
      <c r="IY73" s="36"/>
      <c r="IZ73" s="36"/>
      <c r="JA73" s="36"/>
      <c r="JB73" s="36"/>
      <c r="JC73" s="36"/>
      <c r="JD73" s="36"/>
      <c r="JE73" s="36"/>
      <c r="JF73" s="36"/>
      <c r="JG73" s="36"/>
      <c r="JH73" s="36"/>
      <c r="JI73" s="36"/>
      <c r="JJ73" s="36"/>
      <c r="JK73" s="36"/>
      <c r="JL73" s="37"/>
      <c r="JM73" s="44"/>
      <c r="JN73" s="36"/>
      <c r="JO73" s="36"/>
      <c r="JP73" s="36"/>
      <c r="JQ73" s="36"/>
      <c r="JR73" s="36"/>
      <c r="JS73" s="36"/>
      <c r="JT73" s="36"/>
      <c r="JU73" s="36"/>
      <c r="JV73" s="36"/>
      <c r="JW73" s="36"/>
      <c r="JX73" s="36"/>
      <c r="JY73" s="36"/>
      <c r="JZ73" s="36"/>
      <c r="KA73" s="36"/>
      <c r="KB73" s="36"/>
      <c r="KC73" s="37"/>
      <c r="KD73" s="44"/>
      <c r="KE73" s="36"/>
      <c r="KF73" s="36"/>
      <c r="KG73" s="36"/>
      <c r="KH73" s="36"/>
      <c r="KI73" s="36"/>
      <c r="KJ73" s="36"/>
      <c r="KK73" s="36"/>
      <c r="KL73" s="36"/>
      <c r="KM73" s="36"/>
      <c r="KN73" s="36"/>
      <c r="KO73" s="36"/>
      <c r="KP73" s="36"/>
      <c r="KQ73" s="36"/>
      <c r="KR73" s="36"/>
      <c r="KS73" s="36"/>
      <c r="KT73" s="37"/>
      <c r="KU73" s="36"/>
    </row>
    <row r="74" ht="15.0" customHeight="1">
      <c r="A74" s="44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7"/>
      <c r="R74" s="44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7"/>
      <c r="AI74" s="44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  <c r="AW74" s="36"/>
      <c r="AX74" s="36"/>
      <c r="AY74" s="37"/>
      <c r="AZ74" s="44"/>
      <c r="BA74" s="36"/>
      <c r="BB74" s="36"/>
      <c r="BC74" s="36"/>
      <c r="BD74" s="36"/>
      <c r="BE74" s="36"/>
      <c r="BF74" s="36"/>
      <c r="BG74" s="36"/>
      <c r="BH74" s="36"/>
      <c r="BI74" s="36"/>
      <c r="BJ74" s="36"/>
      <c r="BK74" s="36"/>
      <c r="BL74" s="36"/>
      <c r="BM74" s="36"/>
      <c r="BN74" s="36"/>
      <c r="BO74" s="36"/>
      <c r="BP74" s="37"/>
      <c r="BQ74" s="44"/>
      <c r="BR74" s="36"/>
      <c r="BS74" s="36"/>
      <c r="BT74" s="36"/>
      <c r="BU74" s="36"/>
      <c r="BV74" s="36"/>
      <c r="BW74" s="36"/>
      <c r="BX74" s="36"/>
      <c r="BY74" s="36"/>
      <c r="BZ74" s="36"/>
      <c r="CA74" s="36"/>
      <c r="CB74" s="36"/>
      <c r="CC74" s="36"/>
      <c r="CD74" s="36"/>
      <c r="CE74" s="36"/>
      <c r="CF74" s="36"/>
      <c r="CG74" s="37"/>
      <c r="CH74" s="44"/>
      <c r="CI74" s="36"/>
      <c r="CJ74" s="36"/>
      <c r="CK74" s="36"/>
      <c r="CL74" s="36"/>
      <c r="CM74" s="36"/>
      <c r="CN74" s="36"/>
      <c r="CO74" s="36"/>
      <c r="CP74" s="36"/>
      <c r="CQ74" s="36"/>
      <c r="CR74" s="36"/>
      <c r="CS74" s="36"/>
      <c r="CT74" s="36"/>
      <c r="CU74" s="36"/>
      <c r="CV74" s="36"/>
      <c r="CW74" s="36"/>
      <c r="CX74" s="37"/>
      <c r="CY74" s="44"/>
      <c r="CZ74" s="36"/>
      <c r="DA74" s="36"/>
      <c r="DB74" s="36"/>
      <c r="DC74" s="36"/>
      <c r="DD74" s="36"/>
      <c r="DE74" s="36"/>
      <c r="DF74" s="36"/>
      <c r="DG74" s="36"/>
      <c r="DH74" s="36"/>
      <c r="DI74" s="36"/>
      <c r="DJ74" s="36"/>
      <c r="DK74" s="36"/>
      <c r="DL74" s="36"/>
      <c r="DM74" s="36"/>
      <c r="DN74" s="36"/>
      <c r="DO74" s="37"/>
      <c r="DP74" s="44"/>
      <c r="DQ74" s="36"/>
      <c r="DR74" s="36"/>
      <c r="DS74" s="36"/>
      <c r="DT74" s="36"/>
      <c r="DU74" s="36"/>
      <c r="DV74" s="36"/>
      <c r="DW74" s="36"/>
      <c r="DX74" s="36"/>
      <c r="DY74" s="36"/>
      <c r="DZ74" s="36"/>
      <c r="EA74" s="36"/>
      <c r="EB74" s="36"/>
      <c r="EC74" s="36"/>
      <c r="ED74" s="36"/>
      <c r="EE74" s="36"/>
      <c r="EF74" s="37"/>
      <c r="EG74" s="44"/>
      <c r="EH74" s="36"/>
      <c r="EI74" s="36"/>
      <c r="EJ74" s="36"/>
      <c r="EK74" s="36"/>
      <c r="EL74" s="36"/>
      <c r="EM74" s="36"/>
      <c r="EN74" s="36"/>
      <c r="EO74" s="36"/>
      <c r="EP74" s="36"/>
      <c r="EQ74" s="36"/>
      <c r="ER74" s="36"/>
      <c r="ES74" s="36"/>
      <c r="ET74" s="36"/>
      <c r="EU74" s="36"/>
      <c r="EV74" s="36"/>
      <c r="EW74" s="37"/>
      <c r="EX74" s="44"/>
      <c r="EY74" s="36"/>
      <c r="EZ74" s="36"/>
      <c r="FA74" s="36"/>
      <c r="FB74" s="36"/>
      <c r="FC74" s="36"/>
      <c r="FD74" s="36"/>
      <c r="FE74" s="36"/>
      <c r="FF74" s="36"/>
      <c r="FG74" s="36"/>
      <c r="FH74" s="36"/>
      <c r="FI74" s="36"/>
      <c r="FJ74" s="36"/>
      <c r="FK74" s="36"/>
      <c r="FL74" s="36"/>
      <c r="FM74" s="36"/>
      <c r="FN74" s="37"/>
      <c r="FO74" s="44"/>
      <c r="FP74" s="36"/>
      <c r="FQ74" s="36"/>
      <c r="FR74" s="36"/>
      <c r="FS74" s="36"/>
      <c r="FT74" s="36"/>
      <c r="FU74" s="36"/>
      <c r="FV74" s="36"/>
      <c r="FW74" s="36"/>
      <c r="FX74" s="36"/>
      <c r="FY74" s="36"/>
      <c r="FZ74" s="36"/>
      <c r="GA74" s="36"/>
      <c r="GB74" s="36"/>
      <c r="GC74" s="36"/>
      <c r="GD74" s="36"/>
      <c r="GE74" s="37"/>
      <c r="GF74" s="44"/>
      <c r="GG74" s="36"/>
      <c r="GH74" s="36"/>
      <c r="GI74" s="36"/>
      <c r="GJ74" s="36"/>
      <c r="GK74" s="36"/>
      <c r="GL74" s="36"/>
      <c r="GM74" s="36"/>
      <c r="GN74" s="36"/>
      <c r="GO74" s="36"/>
      <c r="GP74" s="36"/>
      <c r="GQ74" s="36"/>
      <c r="GR74" s="36"/>
      <c r="GS74" s="36"/>
      <c r="GT74" s="36"/>
      <c r="GU74" s="36"/>
      <c r="GV74" s="37"/>
      <c r="GW74" s="44"/>
      <c r="GX74" s="36"/>
      <c r="GY74" s="36"/>
      <c r="GZ74" s="36"/>
      <c r="HA74" s="36"/>
      <c r="HB74" s="36"/>
      <c r="HC74" s="36"/>
      <c r="HD74" s="36"/>
      <c r="HE74" s="36"/>
      <c r="HF74" s="36"/>
      <c r="HG74" s="36"/>
      <c r="HH74" s="36"/>
      <c r="HI74" s="36"/>
      <c r="HJ74" s="36"/>
      <c r="HK74" s="36"/>
      <c r="HL74" s="36"/>
      <c r="HM74" s="37"/>
      <c r="HN74" s="44"/>
      <c r="HO74" s="36"/>
      <c r="HP74" s="36"/>
      <c r="HQ74" s="36"/>
      <c r="HR74" s="36"/>
      <c r="HS74" s="36"/>
      <c r="HT74" s="36"/>
      <c r="HU74" s="36"/>
      <c r="HV74" s="36"/>
      <c r="HW74" s="36"/>
      <c r="HX74" s="36"/>
      <c r="HY74" s="36"/>
      <c r="HZ74" s="36"/>
      <c r="IA74" s="36"/>
      <c r="IB74" s="36"/>
      <c r="IC74" s="36"/>
      <c r="ID74" s="37"/>
      <c r="IE74" s="44"/>
      <c r="IF74" s="36"/>
      <c r="IG74" s="36"/>
      <c r="IH74" s="36"/>
      <c r="II74" s="36"/>
      <c r="IJ74" s="36"/>
      <c r="IK74" s="36"/>
      <c r="IL74" s="36"/>
      <c r="IM74" s="36"/>
      <c r="IN74" s="36"/>
      <c r="IO74" s="36"/>
      <c r="IP74" s="36"/>
      <c r="IQ74" s="36"/>
      <c r="IR74" s="36"/>
      <c r="IS74" s="36"/>
      <c r="IT74" s="36"/>
      <c r="IU74" s="37"/>
      <c r="IV74" s="44"/>
      <c r="IW74" s="36"/>
      <c r="IX74" s="36"/>
      <c r="IY74" s="36"/>
      <c r="IZ74" s="36"/>
      <c r="JA74" s="36"/>
      <c r="JB74" s="36"/>
      <c r="JC74" s="36"/>
      <c r="JD74" s="36"/>
      <c r="JE74" s="36"/>
      <c r="JF74" s="36"/>
      <c r="JG74" s="36"/>
      <c r="JH74" s="36"/>
      <c r="JI74" s="36"/>
      <c r="JJ74" s="36"/>
      <c r="JK74" s="36"/>
      <c r="JL74" s="37"/>
      <c r="JM74" s="44"/>
      <c r="JN74" s="36"/>
      <c r="JO74" s="36"/>
      <c r="JP74" s="36"/>
      <c r="JQ74" s="36"/>
      <c r="JR74" s="36"/>
      <c r="JS74" s="36"/>
      <c r="JT74" s="36"/>
      <c r="JU74" s="36"/>
      <c r="JV74" s="36"/>
      <c r="JW74" s="36"/>
      <c r="JX74" s="36"/>
      <c r="JY74" s="36"/>
      <c r="JZ74" s="36"/>
      <c r="KA74" s="36"/>
      <c r="KB74" s="36"/>
      <c r="KC74" s="37"/>
      <c r="KD74" s="44"/>
      <c r="KE74" s="36"/>
      <c r="KF74" s="36"/>
      <c r="KG74" s="36"/>
      <c r="KH74" s="36"/>
      <c r="KI74" s="36"/>
      <c r="KJ74" s="36"/>
      <c r="KK74" s="36"/>
      <c r="KL74" s="36"/>
      <c r="KM74" s="36"/>
      <c r="KN74" s="36"/>
      <c r="KO74" s="36"/>
      <c r="KP74" s="36"/>
      <c r="KQ74" s="36"/>
      <c r="KR74" s="36"/>
      <c r="KS74" s="36"/>
      <c r="KT74" s="37"/>
      <c r="KU74" s="36"/>
    </row>
    <row r="75" ht="15.0" customHeight="1">
      <c r="A75" s="44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7"/>
      <c r="R75" s="44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7"/>
      <c r="AI75" s="44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W75" s="36"/>
      <c r="AX75" s="36"/>
      <c r="AY75" s="37"/>
      <c r="AZ75" s="44"/>
      <c r="BA75" s="36"/>
      <c r="BB75" s="36"/>
      <c r="BC75" s="36"/>
      <c r="BD75" s="36"/>
      <c r="BE75" s="36"/>
      <c r="BF75" s="36"/>
      <c r="BG75" s="36"/>
      <c r="BH75" s="36"/>
      <c r="BI75" s="36"/>
      <c r="BJ75" s="36"/>
      <c r="BK75" s="36"/>
      <c r="BL75" s="36"/>
      <c r="BM75" s="36"/>
      <c r="BN75" s="36"/>
      <c r="BO75" s="36"/>
      <c r="BP75" s="37"/>
      <c r="BQ75" s="44"/>
      <c r="BR75" s="36"/>
      <c r="BS75" s="36"/>
      <c r="BT75" s="36"/>
      <c r="BU75" s="36"/>
      <c r="BV75" s="36"/>
      <c r="BW75" s="36"/>
      <c r="BX75" s="36"/>
      <c r="BY75" s="36"/>
      <c r="BZ75" s="36"/>
      <c r="CA75" s="36"/>
      <c r="CB75" s="36"/>
      <c r="CC75" s="36"/>
      <c r="CD75" s="36"/>
      <c r="CE75" s="36"/>
      <c r="CF75" s="36"/>
      <c r="CG75" s="37"/>
      <c r="CH75" s="44"/>
      <c r="CI75" s="36"/>
      <c r="CJ75" s="36"/>
      <c r="CK75" s="36"/>
      <c r="CL75" s="36"/>
      <c r="CM75" s="36"/>
      <c r="CN75" s="36"/>
      <c r="CO75" s="36"/>
      <c r="CP75" s="36"/>
      <c r="CQ75" s="36"/>
      <c r="CR75" s="36"/>
      <c r="CS75" s="36"/>
      <c r="CT75" s="36"/>
      <c r="CU75" s="36"/>
      <c r="CV75" s="36"/>
      <c r="CW75" s="36"/>
      <c r="CX75" s="37"/>
      <c r="CY75" s="44"/>
      <c r="CZ75" s="36"/>
      <c r="DA75" s="36"/>
      <c r="DB75" s="36"/>
      <c r="DC75" s="36"/>
      <c r="DD75" s="36"/>
      <c r="DE75" s="36"/>
      <c r="DF75" s="36"/>
      <c r="DG75" s="36"/>
      <c r="DH75" s="36"/>
      <c r="DI75" s="36"/>
      <c r="DJ75" s="36"/>
      <c r="DK75" s="36"/>
      <c r="DL75" s="36"/>
      <c r="DM75" s="36"/>
      <c r="DN75" s="36"/>
      <c r="DO75" s="37"/>
      <c r="DP75" s="44"/>
      <c r="DQ75" s="36"/>
      <c r="DR75" s="36"/>
      <c r="DS75" s="36"/>
      <c r="DT75" s="36"/>
      <c r="DU75" s="36"/>
      <c r="DV75" s="36"/>
      <c r="DW75" s="36"/>
      <c r="DX75" s="36"/>
      <c r="DY75" s="36"/>
      <c r="DZ75" s="36"/>
      <c r="EA75" s="36"/>
      <c r="EB75" s="36"/>
      <c r="EC75" s="36"/>
      <c r="ED75" s="36"/>
      <c r="EE75" s="36"/>
      <c r="EF75" s="37"/>
      <c r="EG75" s="44"/>
      <c r="EH75" s="36"/>
      <c r="EI75" s="36"/>
      <c r="EJ75" s="36"/>
      <c r="EK75" s="36"/>
      <c r="EL75" s="36"/>
      <c r="EM75" s="36"/>
      <c r="EN75" s="36"/>
      <c r="EO75" s="36"/>
      <c r="EP75" s="36"/>
      <c r="EQ75" s="36"/>
      <c r="ER75" s="36"/>
      <c r="ES75" s="36"/>
      <c r="ET75" s="36"/>
      <c r="EU75" s="36"/>
      <c r="EV75" s="36"/>
      <c r="EW75" s="37"/>
      <c r="EX75" s="44"/>
      <c r="EY75" s="36"/>
      <c r="EZ75" s="36"/>
      <c r="FA75" s="36"/>
      <c r="FB75" s="36"/>
      <c r="FC75" s="36"/>
      <c r="FD75" s="36"/>
      <c r="FE75" s="36"/>
      <c r="FF75" s="36"/>
      <c r="FG75" s="36"/>
      <c r="FH75" s="36"/>
      <c r="FI75" s="36"/>
      <c r="FJ75" s="36"/>
      <c r="FK75" s="36"/>
      <c r="FL75" s="36"/>
      <c r="FM75" s="36"/>
      <c r="FN75" s="37"/>
      <c r="FO75" s="44"/>
      <c r="FP75" s="36"/>
      <c r="FQ75" s="36"/>
      <c r="FR75" s="36"/>
      <c r="FS75" s="36"/>
      <c r="FT75" s="36"/>
      <c r="FU75" s="36"/>
      <c r="FV75" s="36"/>
      <c r="FW75" s="36"/>
      <c r="FX75" s="36"/>
      <c r="FY75" s="36"/>
      <c r="FZ75" s="36"/>
      <c r="GA75" s="36"/>
      <c r="GB75" s="36"/>
      <c r="GC75" s="36"/>
      <c r="GD75" s="36"/>
      <c r="GE75" s="37"/>
      <c r="GF75" s="44"/>
      <c r="GG75" s="36"/>
      <c r="GH75" s="36"/>
      <c r="GI75" s="36"/>
      <c r="GJ75" s="36"/>
      <c r="GK75" s="36"/>
      <c r="GL75" s="36"/>
      <c r="GM75" s="36"/>
      <c r="GN75" s="36"/>
      <c r="GO75" s="36"/>
      <c r="GP75" s="36"/>
      <c r="GQ75" s="36"/>
      <c r="GR75" s="36"/>
      <c r="GS75" s="36"/>
      <c r="GT75" s="36"/>
      <c r="GU75" s="36"/>
      <c r="GV75" s="37"/>
      <c r="GW75" s="44"/>
      <c r="GX75" s="36"/>
      <c r="GY75" s="36"/>
      <c r="GZ75" s="36"/>
      <c r="HA75" s="36"/>
      <c r="HB75" s="36"/>
      <c r="HC75" s="36"/>
      <c r="HD75" s="36"/>
      <c r="HE75" s="36"/>
      <c r="HF75" s="36"/>
      <c r="HG75" s="36"/>
      <c r="HH75" s="36"/>
      <c r="HI75" s="36"/>
      <c r="HJ75" s="36"/>
      <c r="HK75" s="36"/>
      <c r="HL75" s="36"/>
      <c r="HM75" s="37"/>
      <c r="HN75" s="44"/>
      <c r="HO75" s="36"/>
      <c r="HP75" s="36"/>
      <c r="HQ75" s="36"/>
      <c r="HR75" s="36"/>
      <c r="HS75" s="36"/>
      <c r="HT75" s="36"/>
      <c r="HU75" s="36"/>
      <c r="HV75" s="36"/>
      <c r="HW75" s="36"/>
      <c r="HX75" s="36"/>
      <c r="HY75" s="36"/>
      <c r="HZ75" s="36"/>
      <c r="IA75" s="36"/>
      <c r="IB75" s="36"/>
      <c r="IC75" s="36"/>
      <c r="ID75" s="37"/>
      <c r="IE75" s="44"/>
      <c r="IF75" s="36"/>
      <c r="IG75" s="36"/>
      <c r="IH75" s="36"/>
      <c r="II75" s="36"/>
      <c r="IJ75" s="36"/>
      <c r="IK75" s="36"/>
      <c r="IL75" s="36"/>
      <c r="IM75" s="36"/>
      <c r="IN75" s="36"/>
      <c r="IO75" s="36"/>
      <c r="IP75" s="36"/>
      <c r="IQ75" s="36"/>
      <c r="IR75" s="36"/>
      <c r="IS75" s="36"/>
      <c r="IT75" s="36"/>
      <c r="IU75" s="37"/>
      <c r="IV75" s="44"/>
      <c r="IW75" s="36"/>
      <c r="IX75" s="36"/>
      <c r="IY75" s="36"/>
      <c r="IZ75" s="36"/>
      <c r="JA75" s="36"/>
      <c r="JB75" s="36"/>
      <c r="JC75" s="36"/>
      <c r="JD75" s="36"/>
      <c r="JE75" s="36"/>
      <c r="JF75" s="36"/>
      <c r="JG75" s="36"/>
      <c r="JH75" s="36"/>
      <c r="JI75" s="36"/>
      <c r="JJ75" s="36"/>
      <c r="JK75" s="36"/>
      <c r="JL75" s="37"/>
      <c r="JM75" s="44"/>
      <c r="JN75" s="36"/>
      <c r="JO75" s="36"/>
      <c r="JP75" s="36"/>
      <c r="JQ75" s="36"/>
      <c r="JR75" s="36"/>
      <c r="JS75" s="36"/>
      <c r="JT75" s="36"/>
      <c r="JU75" s="36"/>
      <c r="JV75" s="36"/>
      <c r="JW75" s="36"/>
      <c r="JX75" s="36"/>
      <c r="JY75" s="36"/>
      <c r="JZ75" s="36"/>
      <c r="KA75" s="36"/>
      <c r="KB75" s="36"/>
      <c r="KC75" s="37"/>
      <c r="KD75" s="44"/>
      <c r="KE75" s="36"/>
      <c r="KF75" s="36"/>
      <c r="KG75" s="36"/>
      <c r="KH75" s="36"/>
      <c r="KI75" s="36"/>
      <c r="KJ75" s="36"/>
      <c r="KK75" s="36"/>
      <c r="KL75" s="36"/>
      <c r="KM75" s="36"/>
      <c r="KN75" s="36"/>
      <c r="KO75" s="36"/>
      <c r="KP75" s="36"/>
      <c r="KQ75" s="36"/>
      <c r="KR75" s="36"/>
      <c r="KS75" s="36"/>
      <c r="KT75" s="37"/>
      <c r="KU75" s="36"/>
    </row>
    <row r="76" ht="15.0" customHeight="1">
      <c r="A76" s="191"/>
      <c r="B76" s="192" t="s">
        <v>24</v>
      </c>
      <c r="C76" s="193" t="s">
        <v>54</v>
      </c>
      <c r="D76" s="192"/>
      <c r="E76" s="192"/>
      <c r="F76" s="192"/>
      <c r="G76" s="192" t="s">
        <v>25</v>
      </c>
      <c r="H76" s="192"/>
      <c r="I76" s="194"/>
      <c r="J76" s="195"/>
      <c r="K76" s="195"/>
      <c r="L76" s="195"/>
      <c r="M76" s="195"/>
      <c r="N76" s="195"/>
      <c r="O76" s="195"/>
      <c r="P76" s="49" t="s">
        <v>26</v>
      </c>
      <c r="Q76" s="196"/>
      <c r="R76" s="191"/>
      <c r="S76" s="192" t="s">
        <v>24</v>
      </c>
      <c r="T76" s="192" t="str">
        <f t="shared" ref="T76:T79" si="1043">C76</f>
        <v>: Provinsi Sulawesi Tenggara</v>
      </c>
      <c r="U76" s="192"/>
      <c r="V76" s="192"/>
      <c r="W76" s="192"/>
      <c r="X76" s="192" t="s">
        <v>25</v>
      </c>
      <c r="Y76" s="192"/>
      <c r="Z76" s="194"/>
      <c r="AA76" s="195"/>
      <c r="AB76" s="195"/>
      <c r="AC76" s="195"/>
      <c r="AD76" s="195"/>
      <c r="AE76" s="195"/>
      <c r="AF76" s="195"/>
      <c r="AG76" s="49" t="s">
        <v>26</v>
      </c>
      <c r="AH76" s="196"/>
      <c r="AI76" s="191"/>
      <c r="AJ76" s="192" t="s">
        <v>24</v>
      </c>
      <c r="AK76" s="192" t="str">
        <f t="shared" ref="AK76:AK79" si="1044">T76</f>
        <v>: Provinsi Sulawesi Tenggara</v>
      </c>
      <c r="AL76" s="192"/>
      <c r="AM76" s="192"/>
      <c r="AN76" s="192"/>
      <c r="AO76" s="192" t="s">
        <v>25</v>
      </c>
      <c r="AP76" s="192"/>
      <c r="AQ76" s="194"/>
      <c r="AR76" s="195"/>
      <c r="AS76" s="195"/>
      <c r="AT76" s="195"/>
      <c r="AU76" s="195"/>
      <c r="AV76" s="195"/>
      <c r="AW76" s="195"/>
      <c r="AX76" s="49" t="s">
        <v>26</v>
      </c>
      <c r="AY76" s="196"/>
      <c r="AZ76" s="191"/>
      <c r="BA76" s="192" t="s">
        <v>24</v>
      </c>
      <c r="BB76" s="192" t="str">
        <f t="shared" ref="BB76:BB79" si="1045">AK76</f>
        <v>: Provinsi Sulawesi Tenggara</v>
      </c>
      <c r="BC76" s="192"/>
      <c r="BD76" s="192"/>
      <c r="BE76" s="192"/>
      <c r="BF76" s="192" t="s">
        <v>25</v>
      </c>
      <c r="BG76" s="192"/>
      <c r="BH76" s="194"/>
      <c r="BI76" s="195"/>
      <c r="BJ76" s="195"/>
      <c r="BK76" s="195"/>
      <c r="BL76" s="195"/>
      <c r="BM76" s="195"/>
      <c r="BN76" s="195"/>
      <c r="BO76" s="49" t="s">
        <v>26</v>
      </c>
      <c r="BP76" s="196"/>
      <c r="BQ76" s="191"/>
      <c r="BR76" s="192" t="s">
        <v>24</v>
      </c>
      <c r="BS76" s="192" t="str">
        <f t="shared" ref="BS76:BS79" si="1046">BB76</f>
        <v>: Provinsi Sulawesi Tenggara</v>
      </c>
      <c r="BT76" s="192"/>
      <c r="BU76" s="192"/>
      <c r="BV76" s="192"/>
      <c r="BW76" s="192" t="s">
        <v>25</v>
      </c>
      <c r="BX76" s="192"/>
      <c r="BY76" s="194"/>
      <c r="BZ76" s="195"/>
      <c r="CA76" s="195"/>
      <c r="CB76" s="195"/>
      <c r="CC76" s="195"/>
      <c r="CD76" s="195"/>
      <c r="CE76" s="195"/>
      <c r="CF76" s="49" t="s">
        <v>26</v>
      </c>
      <c r="CG76" s="196"/>
      <c r="CH76" s="191"/>
      <c r="CI76" s="192" t="s">
        <v>24</v>
      </c>
      <c r="CJ76" s="192" t="str">
        <f t="shared" ref="CJ76:CJ79" si="1047">BS76</f>
        <v>: Provinsi Sulawesi Tenggara</v>
      </c>
      <c r="CK76" s="192"/>
      <c r="CL76" s="192"/>
      <c r="CM76" s="192"/>
      <c r="CN76" s="192" t="s">
        <v>25</v>
      </c>
      <c r="CO76" s="192"/>
      <c r="CP76" s="194"/>
      <c r="CQ76" s="195"/>
      <c r="CR76" s="195"/>
      <c r="CS76" s="195"/>
      <c r="CT76" s="195"/>
      <c r="CU76" s="195"/>
      <c r="CV76" s="195"/>
      <c r="CW76" s="49" t="s">
        <v>26</v>
      </c>
      <c r="CX76" s="196"/>
      <c r="CY76" s="191"/>
      <c r="CZ76" s="192" t="s">
        <v>24</v>
      </c>
      <c r="DA76" s="192" t="str">
        <f t="shared" ref="DA76:DA79" si="1048">CJ76</f>
        <v>: Provinsi Sulawesi Tenggara</v>
      </c>
      <c r="DB76" s="192"/>
      <c r="DC76" s="192"/>
      <c r="DD76" s="192"/>
      <c r="DE76" s="192" t="s">
        <v>25</v>
      </c>
      <c r="DF76" s="192"/>
      <c r="DG76" s="194"/>
      <c r="DH76" s="195"/>
      <c r="DI76" s="195"/>
      <c r="DJ76" s="195"/>
      <c r="DK76" s="195"/>
      <c r="DL76" s="195"/>
      <c r="DM76" s="195"/>
      <c r="DN76" s="49" t="s">
        <v>26</v>
      </c>
      <c r="DO76" s="196"/>
      <c r="DP76" s="191"/>
      <c r="DQ76" s="192" t="s">
        <v>24</v>
      </c>
      <c r="DR76" s="192" t="str">
        <f t="shared" ref="DR76:DR79" si="1049">DA76</f>
        <v>: Provinsi Sulawesi Tenggara</v>
      </c>
      <c r="DS76" s="192"/>
      <c r="DT76" s="192"/>
      <c r="DU76" s="192"/>
      <c r="DV76" s="192" t="s">
        <v>25</v>
      </c>
      <c r="DW76" s="192"/>
      <c r="DX76" s="194"/>
      <c r="DY76" s="195"/>
      <c r="DZ76" s="195"/>
      <c r="EA76" s="195"/>
      <c r="EB76" s="195"/>
      <c r="EC76" s="195"/>
      <c r="ED76" s="195"/>
      <c r="EE76" s="49" t="s">
        <v>26</v>
      </c>
      <c r="EF76" s="196"/>
      <c r="EG76" s="191"/>
      <c r="EH76" s="192" t="s">
        <v>24</v>
      </c>
      <c r="EI76" s="192" t="str">
        <f t="shared" ref="EI76:EI79" si="1050">DR76</f>
        <v>: Provinsi Sulawesi Tenggara</v>
      </c>
      <c r="EJ76" s="192"/>
      <c r="EK76" s="192"/>
      <c r="EL76" s="192"/>
      <c r="EM76" s="192" t="s">
        <v>25</v>
      </c>
      <c r="EN76" s="192"/>
      <c r="EO76" s="194"/>
      <c r="EP76" s="195"/>
      <c r="EQ76" s="195"/>
      <c r="ER76" s="195"/>
      <c r="ES76" s="195"/>
      <c r="ET76" s="195"/>
      <c r="EU76" s="195"/>
      <c r="EV76" s="49" t="s">
        <v>26</v>
      </c>
      <c r="EW76" s="196"/>
      <c r="EX76" s="191"/>
      <c r="EY76" s="192" t="s">
        <v>24</v>
      </c>
      <c r="EZ76" s="192" t="str">
        <f t="shared" ref="EZ76:EZ79" si="1051">EI76</f>
        <v>: Provinsi Sulawesi Tenggara</v>
      </c>
      <c r="FA76" s="192"/>
      <c r="FB76" s="192"/>
      <c r="FC76" s="192"/>
      <c r="FD76" s="192" t="s">
        <v>25</v>
      </c>
      <c r="FE76" s="192"/>
      <c r="FF76" s="194"/>
      <c r="FG76" s="195"/>
      <c r="FH76" s="195"/>
      <c r="FI76" s="195"/>
      <c r="FJ76" s="195"/>
      <c r="FK76" s="195"/>
      <c r="FL76" s="195"/>
      <c r="FM76" s="49" t="s">
        <v>26</v>
      </c>
      <c r="FN76" s="196"/>
      <c r="FO76" s="191"/>
      <c r="FP76" s="192" t="s">
        <v>24</v>
      </c>
      <c r="FQ76" s="192" t="str">
        <f t="shared" ref="FQ76:FQ79" si="1052">EZ76</f>
        <v>: Provinsi Sulawesi Tenggara</v>
      </c>
      <c r="FR76" s="192"/>
      <c r="FS76" s="192"/>
      <c r="FT76" s="192"/>
      <c r="FU76" s="192" t="s">
        <v>25</v>
      </c>
      <c r="FV76" s="192"/>
      <c r="FW76" s="194"/>
      <c r="FX76" s="195"/>
      <c r="FY76" s="195"/>
      <c r="FZ76" s="195"/>
      <c r="GA76" s="195"/>
      <c r="GB76" s="195"/>
      <c r="GC76" s="195"/>
      <c r="GD76" s="49" t="s">
        <v>26</v>
      </c>
      <c r="GE76" s="196"/>
      <c r="GF76" s="191"/>
      <c r="GG76" s="192" t="s">
        <v>24</v>
      </c>
      <c r="GH76" s="192" t="str">
        <f t="shared" ref="GH76:GH79" si="1053">FQ76</f>
        <v>: Provinsi Sulawesi Tenggara</v>
      </c>
      <c r="GI76" s="192"/>
      <c r="GJ76" s="192"/>
      <c r="GK76" s="192"/>
      <c r="GL76" s="192" t="s">
        <v>25</v>
      </c>
      <c r="GM76" s="192"/>
      <c r="GN76" s="194"/>
      <c r="GO76" s="195"/>
      <c r="GP76" s="195"/>
      <c r="GQ76" s="195"/>
      <c r="GR76" s="195"/>
      <c r="GS76" s="195"/>
      <c r="GT76" s="195"/>
      <c r="GU76" s="49" t="s">
        <v>26</v>
      </c>
      <c r="GV76" s="196"/>
      <c r="GW76" s="191"/>
      <c r="GX76" s="192" t="s">
        <v>24</v>
      </c>
      <c r="GY76" s="192" t="str">
        <f t="shared" ref="GY76:GY79" si="1054">GH76</f>
        <v>: Provinsi Sulawesi Tenggara</v>
      </c>
      <c r="GZ76" s="192"/>
      <c r="HA76" s="192"/>
      <c r="HB76" s="192"/>
      <c r="HC76" s="192" t="s">
        <v>25</v>
      </c>
      <c r="HD76" s="192"/>
      <c r="HE76" s="194"/>
      <c r="HF76" s="195"/>
      <c r="HG76" s="195"/>
      <c r="HH76" s="195"/>
      <c r="HI76" s="195"/>
      <c r="HJ76" s="195"/>
      <c r="HK76" s="195"/>
      <c r="HL76" s="49" t="s">
        <v>26</v>
      </c>
      <c r="HM76" s="196"/>
      <c r="HN76" s="191"/>
      <c r="HO76" s="192" t="s">
        <v>24</v>
      </c>
      <c r="HP76" s="192" t="str">
        <f t="shared" ref="HP76:HP79" si="1055">GY76</f>
        <v>: Provinsi Sulawesi Tenggara</v>
      </c>
      <c r="HQ76" s="192"/>
      <c r="HR76" s="192"/>
      <c r="HS76" s="192"/>
      <c r="HT76" s="192" t="s">
        <v>25</v>
      </c>
      <c r="HU76" s="192"/>
      <c r="HV76" s="194"/>
      <c r="HW76" s="195"/>
      <c r="HX76" s="195"/>
      <c r="HY76" s="195"/>
      <c r="HZ76" s="195"/>
      <c r="IA76" s="195"/>
      <c r="IB76" s="195"/>
      <c r="IC76" s="49" t="s">
        <v>26</v>
      </c>
      <c r="ID76" s="196"/>
      <c r="IE76" s="191"/>
      <c r="IF76" s="192" t="s">
        <v>24</v>
      </c>
      <c r="IG76" s="192" t="str">
        <f t="shared" ref="IG76:IG79" si="1056">HP76</f>
        <v>: Provinsi Sulawesi Tenggara</v>
      </c>
      <c r="IH76" s="192"/>
      <c r="II76" s="192"/>
      <c r="IJ76" s="192"/>
      <c r="IK76" s="192" t="s">
        <v>25</v>
      </c>
      <c r="IL76" s="192"/>
      <c r="IM76" s="194"/>
      <c r="IN76" s="195"/>
      <c r="IO76" s="195"/>
      <c r="IP76" s="195"/>
      <c r="IQ76" s="195"/>
      <c r="IR76" s="195"/>
      <c r="IS76" s="195"/>
      <c r="IT76" s="49" t="s">
        <v>26</v>
      </c>
      <c r="IU76" s="196"/>
      <c r="IV76" s="191"/>
      <c r="IW76" s="192" t="s">
        <v>24</v>
      </c>
      <c r="IX76" s="192" t="str">
        <f t="shared" ref="IX76:IX79" si="1057">IG76</f>
        <v>: Provinsi Sulawesi Tenggara</v>
      </c>
      <c r="IY76" s="192"/>
      <c r="IZ76" s="192"/>
      <c r="JA76" s="192"/>
      <c r="JB76" s="192" t="s">
        <v>25</v>
      </c>
      <c r="JC76" s="192"/>
      <c r="JD76" s="194"/>
      <c r="JE76" s="195"/>
      <c r="JF76" s="195"/>
      <c r="JG76" s="195"/>
      <c r="JH76" s="195"/>
      <c r="JI76" s="195"/>
      <c r="JJ76" s="195"/>
      <c r="JK76" s="49" t="s">
        <v>26</v>
      </c>
      <c r="JL76" s="197"/>
      <c r="JM76" s="191"/>
      <c r="JN76" s="192" t="s">
        <v>24</v>
      </c>
      <c r="JO76" s="192" t="str">
        <f t="shared" ref="JO76:JO79" si="1058">IX76</f>
        <v>: Provinsi Sulawesi Tenggara</v>
      </c>
      <c r="JP76" s="192"/>
      <c r="JQ76" s="192"/>
      <c r="JR76" s="192"/>
      <c r="JS76" s="192" t="s">
        <v>25</v>
      </c>
      <c r="JT76" s="192"/>
      <c r="JU76" s="194"/>
      <c r="JV76" s="195"/>
      <c r="JW76" s="195"/>
      <c r="JX76" s="195"/>
      <c r="JY76" s="195"/>
      <c r="JZ76" s="195"/>
      <c r="KA76" s="195"/>
      <c r="KB76" s="49" t="s">
        <v>26</v>
      </c>
      <c r="KC76" s="197"/>
      <c r="KD76" s="191"/>
      <c r="KE76" s="192" t="s">
        <v>24</v>
      </c>
      <c r="KF76" s="192" t="str">
        <f t="shared" ref="KF76:KF79" si="1059">JO76</f>
        <v>: Provinsi Sulawesi Tenggara</v>
      </c>
      <c r="KG76" s="192"/>
      <c r="KH76" s="192"/>
      <c r="KI76" s="192"/>
      <c r="KJ76" s="192" t="s">
        <v>25</v>
      </c>
      <c r="KK76" s="192"/>
      <c r="KL76" s="194"/>
      <c r="KM76" s="195"/>
      <c r="KN76" s="195"/>
      <c r="KO76" s="195"/>
      <c r="KP76" s="195"/>
      <c r="KQ76" s="195"/>
      <c r="KR76" s="195"/>
      <c r="KS76" s="49" t="s">
        <v>26</v>
      </c>
      <c r="KT76" s="197"/>
      <c r="KU76" s="195"/>
    </row>
    <row r="77" ht="15.0" customHeight="1">
      <c r="A77" s="198"/>
      <c r="B77" s="199" t="s">
        <v>27</v>
      </c>
      <c r="C77" s="199" t="s">
        <v>55</v>
      </c>
      <c r="D77" s="199"/>
      <c r="E77" s="199"/>
      <c r="F77" s="199"/>
      <c r="G77" s="199" t="s">
        <v>28</v>
      </c>
      <c r="H77" s="199"/>
      <c r="I77" s="200"/>
      <c r="J77" s="195"/>
      <c r="K77" s="195"/>
      <c r="L77" s="195"/>
      <c r="M77" s="195"/>
      <c r="N77" s="195"/>
      <c r="O77" s="195"/>
      <c r="P77" s="55"/>
      <c r="Q77" s="196"/>
      <c r="R77" s="198"/>
      <c r="S77" s="199" t="s">
        <v>27</v>
      </c>
      <c r="T77" s="199" t="str">
        <f t="shared" si="1043"/>
        <v>: Pertambangan dan Penggalian    </v>
      </c>
      <c r="U77" s="199"/>
      <c r="V77" s="199"/>
      <c r="W77" s="199"/>
      <c r="X77" s="199" t="s">
        <v>28</v>
      </c>
      <c r="Y77" s="199"/>
      <c r="Z77" s="200"/>
      <c r="AA77" s="195"/>
      <c r="AB77" s="195"/>
      <c r="AC77" s="195"/>
      <c r="AD77" s="195"/>
      <c r="AE77" s="195"/>
      <c r="AF77" s="195"/>
      <c r="AG77" s="55"/>
      <c r="AH77" s="196"/>
      <c r="AI77" s="198"/>
      <c r="AJ77" s="199" t="s">
        <v>27</v>
      </c>
      <c r="AK77" s="199" t="str">
        <f t="shared" si="1044"/>
        <v>: Pertambangan dan Penggalian    </v>
      </c>
      <c r="AL77" s="199"/>
      <c r="AM77" s="199"/>
      <c r="AN77" s="199"/>
      <c r="AO77" s="199" t="s">
        <v>28</v>
      </c>
      <c r="AP77" s="199"/>
      <c r="AQ77" s="200"/>
      <c r="AR77" s="195"/>
      <c r="AS77" s="195"/>
      <c r="AT77" s="195"/>
      <c r="AU77" s="195"/>
      <c r="AV77" s="195"/>
      <c r="AW77" s="195"/>
      <c r="AX77" s="55"/>
      <c r="AY77" s="196"/>
      <c r="AZ77" s="198"/>
      <c r="BA77" s="199" t="s">
        <v>27</v>
      </c>
      <c r="BB77" s="199" t="str">
        <f t="shared" si="1045"/>
        <v>: Pertambangan dan Penggalian    </v>
      </c>
      <c r="BC77" s="199"/>
      <c r="BD77" s="199"/>
      <c r="BE77" s="199"/>
      <c r="BF77" s="199" t="s">
        <v>28</v>
      </c>
      <c r="BG77" s="199"/>
      <c r="BH77" s="200"/>
      <c r="BI77" s="195"/>
      <c r="BJ77" s="195"/>
      <c r="BK77" s="195"/>
      <c r="BL77" s="195"/>
      <c r="BM77" s="195"/>
      <c r="BN77" s="195"/>
      <c r="BO77" s="55"/>
      <c r="BP77" s="196"/>
      <c r="BQ77" s="198"/>
      <c r="BR77" s="199" t="s">
        <v>27</v>
      </c>
      <c r="BS77" s="199" t="str">
        <f t="shared" si="1046"/>
        <v>: Pertambangan dan Penggalian    </v>
      </c>
      <c r="BT77" s="199"/>
      <c r="BU77" s="199"/>
      <c r="BV77" s="199"/>
      <c r="BW77" s="199" t="s">
        <v>28</v>
      </c>
      <c r="BX77" s="199"/>
      <c r="BY77" s="200"/>
      <c r="BZ77" s="195"/>
      <c r="CA77" s="195"/>
      <c r="CB77" s="195"/>
      <c r="CC77" s="195"/>
      <c r="CD77" s="195"/>
      <c r="CE77" s="195"/>
      <c r="CF77" s="55"/>
      <c r="CG77" s="196"/>
      <c r="CH77" s="198"/>
      <c r="CI77" s="199" t="s">
        <v>27</v>
      </c>
      <c r="CJ77" s="199" t="str">
        <f t="shared" si="1047"/>
        <v>: Pertambangan dan Penggalian    </v>
      </c>
      <c r="CK77" s="199"/>
      <c r="CL77" s="199"/>
      <c r="CM77" s="199"/>
      <c r="CN77" s="199" t="s">
        <v>28</v>
      </c>
      <c r="CO77" s="199"/>
      <c r="CP77" s="200"/>
      <c r="CQ77" s="195"/>
      <c r="CR77" s="195"/>
      <c r="CS77" s="195"/>
      <c r="CT77" s="195"/>
      <c r="CU77" s="195"/>
      <c r="CV77" s="195"/>
      <c r="CW77" s="55"/>
      <c r="CX77" s="196"/>
      <c r="CY77" s="198"/>
      <c r="CZ77" s="199" t="s">
        <v>27</v>
      </c>
      <c r="DA77" s="199" t="str">
        <f t="shared" si="1048"/>
        <v>: Pertambangan dan Penggalian    </v>
      </c>
      <c r="DB77" s="199"/>
      <c r="DC77" s="199"/>
      <c r="DD77" s="199"/>
      <c r="DE77" s="199" t="s">
        <v>28</v>
      </c>
      <c r="DF77" s="199"/>
      <c r="DG77" s="200"/>
      <c r="DH77" s="195"/>
      <c r="DI77" s="195"/>
      <c r="DJ77" s="195"/>
      <c r="DK77" s="195"/>
      <c r="DL77" s="195"/>
      <c r="DM77" s="195"/>
      <c r="DN77" s="55"/>
      <c r="DO77" s="196"/>
      <c r="DP77" s="198"/>
      <c r="DQ77" s="199" t="s">
        <v>27</v>
      </c>
      <c r="DR77" s="199" t="str">
        <f t="shared" si="1049"/>
        <v>: Pertambangan dan Penggalian    </v>
      </c>
      <c r="DS77" s="199"/>
      <c r="DT77" s="199"/>
      <c r="DU77" s="199"/>
      <c r="DV77" s="199" t="s">
        <v>28</v>
      </c>
      <c r="DW77" s="199"/>
      <c r="DX77" s="200"/>
      <c r="DY77" s="195"/>
      <c r="DZ77" s="195"/>
      <c r="EA77" s="195"/>
      <c r="EB77" s="195"/>
      <c r="EC77" s="195"/>
      <c r="ED77" s="195"/>
      <c r="EE77" s="55"/>
      <c r="EF77" s="196"/>
      <c r="EG77" s="198"/>
      <c r="EH77" s="199" t="s">
        <v>27</v>
      </c>
      <c r="EI77" s="199" t="str">
        <f t="shared" si="1050"/>
        <v>: Pertambangan dan Penggalian    </v>
      </c>
      <c r="EJ77" s="199"/>
      <c r="EK77" s="199"/>
      <c r="EL77" s="199"/>
      <c r="EM77" s="199" t="s">
        <v>28</v>
      </c>
      <c r="EN77" s="199"/>
      <c r="EO77" s="200"/>
      <c r="EP77" s="195"/>
      <c r="EQ77" s="195"/>
      <c r="ER77" s="195"/>
      <c r="ES77" s="195"/>
      <c r="ET77" s="195"/>
      <c r="EU77" s="195"/>
      <c r="EV77" s="55"/>
      <c r="EW77" s="196"/>
      <c r="EX77" s="198"/>
      <c r="EY77" s="199" t="s">
        <v>27</v>
      </c>
      <c r="EZ77" s="199" t="str">
        <f t="shared" si="1051"/>
        <v>: Pertambangan dan Penggalian    </v>
      </c>
      <c r="FA77" s="199"/>
      <c r="FB77" s="199"/>
      <c r="FC77" s="199"/>
      <c r="FD77" s="199" t="s">
        <v>28</v>
      </c>
      <c r="FE77" s="199"/>
      <c r="FF77" s="200"/>
      <c r="FG77" s="195"/>
      <c r="FH77" s="195"/>
      <c r="FI77" s="195"/>
      <c r="FJ77" s="195"/>
      <c r="FK77" s="195"/>
      <c r="FL77" s="195"/>
      <c r="FM77" s="55"/>
      <c r="FN77" s="196"/>
      <c r="FO77" s="198"/>
      <c r="FP77" s="199" t="s">
        <v>27</v>
      </c>
      <c r="FQ77" s="199" t="str">
        <f t="shared" si="1052"/>
        <v>: Pertambangan dan Penggalian    </v>
      </c>
      <c r="FR77" s="199"/>
      <c r="FS77" s="199"/>
      <c r="FT77" s="199"/>
      <c r="FU77" s="199" t="s">
        <v>28</v>
      </c>
      <c r="FV77" s="199"/>
      <c r="FW77" s="200"/>
      <c r="FX77" s="195"/>
      <c r="FY77" s="195"/>
      <c r="FZ77" s="195"/>
      <c r="GA77" s="195"/>
      <c r="GB77" s="195"/>
      <c r="GC77" s="195"/>
      <c r="GD77" s="55"/>
      <c r="GE77" s="196"/>
      <c r="GF77" s="198"/>
      <c r="GG77" s="199" t="s">
        <v>27</v>
      </c>
      <c r="GH77" s="199" t="str">
        <f t="shared" si="1053"/>
        <v>: Pertambangan dan Penggalian    </v>
      </c>
      <c r="GI77" s="199"/>
      <c r="GJ77" s="199"/>
      <c r="GK77" s="199"/>
      <c r="GL77" s="199" t="s">
        <v>28</v>
      </c>
      <c r="GM77" s="199"/>
      <c r="GN77" s="200"/>
      <c r="GO77" s="195"/>
      <c r="GP77" s="195"/>
      <c r="GQ77" s="195"/>
      <c r="GR77" s="195"/>
      <c r="GS77" s="195"/>
      <c r="GT77" s="195"/>
      <c r="GU77" s="55"/>
      <c r="GV77" s="196"/>
      <c r="GW77" s="198"/>
      <c r="GX77" s="199" t="s">
        <v>27</v>
      </c>
      <c r="GY77" s="199" t="str">
        <f t="shared" si="1054"/>
        <v>: Pertambangan dan Penggalian    </v>
      </c>
      <c r="GZ77" s="199"/>
      <c r="HA77" s="199"/>
      <c r="HB77" s="199"/>
      <c r="HC77" s="199" t="s">
        <v>28</v>
      </c>
      <c r="HD77" s="199"/>
      <c r="HE77" s="200"/>
      <c r="HF77" s="195"/>
      <c r="HG77" s="195"/>
      <c r="HH77" s="195"/>
      <c r="HI77" s="195"/>
      <c r="HJ77" s="195"/>
      <c r="HK77" s="195"/>
      <c r="HL77" s="55"/>
      <c r="HM77" s="196"/>
      <c r="HN77" s="198"/>
      <c r="HO77" s="199" t="s">
        <v>27</v>
      </c>
      <c r="HP77" s="199" t="str">
        <f t="shared" si="1055"/>
        <v>: Pertambangan dan Penggalian    </v>
      </c>
      <c r="HQ77" s="199"/>
      <c r="HR77" s="199"/>
      <c r="HS77" s="199"/>
      <c r="HT77" s="199" t="s">
        <v>28</v>
      </c>
      <c r="HU77" s="199"/>
      <c r="HV77" s="200"/>
      <c r="HW77" s="195"/>
      <c r="HX77" s="195"/>
      <c r="HY77" s="195"/>
      <c r="HZ77" s="195"/>
      <c r="IA77" s="195"/>
      <c r="IB77" s="195"/>
      <c r="IC77" s="55"/>
      <c r="ID77" s="196"/>
      <c r="IE77" s="198"/>
      <c r="IF77" s="199" t="s">
        <v>27</v>
      </c>
      <c r="IG77" s="199" t="str">
        <f t="shared" si="1056"/>
        <v>: Pertambangan dan Penggalian    </v>
      </c>
      <c r="IH77" s="199"/>
      <c r="II77" s="199"/>
      <c r="IJ77" s="199"/>
      <c r="IK77" s="199" t="s">
        <v>28</v>
      </c>
      <c r="IL77" s="199"/>
      <c r="IM77" s="200"/>
      <c r="IN77" s="195"/>
      <c r="IO77" s="195"/>
      <c r="IP77" s="195"/>
      <c r="IQ77" s="195"/>
      <c r="IR77" s="195"/>
      <c r="IS77" s="195"/>
      <c r="IT77" s="55"/>
      <c r="IU77" s="196"/>
      <c r="IV77" s="198"/>
      <c r="IW77" s="199" t="s">
        <v>27</v>
      </c>
      <c r="IX77" s="199" t="str">
        <f t="shared" si="1057"/>
        <v>: Pertambangan dan Penggalian    </v>
      </c>
      <c r="IY77" s="199"/>
      <c r="IZ77" s="199"/>
      <c r="JA77" s="199"/>
      <c r="JB77" s="199" t="s">
        <v>28</v>
      </c>
      <c r="JC77" s="199"/>
      <c r="JD77" s="200"/>
      <c r="JE77" s="195"/>
      <c r="JF77" s="195"/>
      <c r="JG77" s="195"/>
      <c r="JH77" s="195"/>
      <c r="JI77" s="195"/>
      <c r="JJ77" s="195"/>
      <c r="JK77" s="55"/>
      <c r="JL77" s="197"/>
      <c r="JM77" s="198"/>
      <c r="JN77" s="199" t="s">
        <v>27</v>
      </c>
      <c r="JO77" s="199" t="str">
        <f t="shared" si="1058"/>
        <v>: Pertambangan dan Penggalian    </v>
      </c>
      <c r="JP77" s="199"/>
      <c r="JQ77" s="199"/>
      <c r="JR77" s="199"/>
      <c r="JS77" s="199" t="s">
        <v>28</v>
      </c>
      <c r="JT77" s="199"/>
      <c r="JU77" s="200"/>
      <c r="JV77" s="195"/>
      <c r="JW77" s="195"/>
      <c r="JX77" s="195"/>
      <c r="JY77" s="195"/>
      <c r="JZ77" s="195"/>
      <c r="KA77" s="195"/>
      <c r="KB77" s="55"/>
      <c r="KC77" s="197"/>
      <c r="KD77" s="198"/>
      <c r="KE77" s="199" t="s">
        <v>27</v>
      </c>
      <c r="KF77" s="199" t="str">
        <f t="shared" si="1059"/>
        <v>: Pertambangan dan Penggalian    </v>
      </c>
      <c r="KG77" s="199"/>
      <c r="KH77" s="199"/>
      <c r="KI77" s="199"/>
      <c r="KJ77" s="199" t="s">
        <v>28</v>
      </c>
      <c r="KK77" s="199"/>
      <c r="KL77" s="200"/>
      <c r="KM77" s="195"/>
      <c r="KN77" s="195"/>
      <c r="KO77" s="195"/>
      <c r="KP77" s="195"/>
      <c r="KQ77" s="195"/>
      <c r="KR77" s="195"/>
      <c r="KS77" s="55"/>
      <c r="KT77" s="197"/>
      <c r="KU77" s="195"/>
    </row>
    <row r="78" ht="15.0" customHeight="1">
      <c r="A78" s="198"/>
      <c r="B78" s="199" t="s">
        <v>29</v>
      </c>
      <c r="C78" s="199" t="s">
        <v>56</v>
      </c>
      <c r="D78" s="199"/>
      <c r="E78" s="199"/>
      <c r="F78" s="199"/>
      <c r="G78" s="201" t="s">
        <v>30</v>
      </c>
      <c r="H78" s="199"/>
      <c r="I78" s="200"/>
      <c r="J78" s="195"/>
      <c r="K78" s="195"/>
      <c r="L78" s="195"/>
      <c r="M78" s="195"/>
      <c r="N78" s="195"/>
      <c r="O78" s="195"/>
      <c r="P78" s="57" t="str">
        <f>"II/"&amp;P$6</f>
        <v>II/2010</v>
      </c>
      <c r="Q78" s="196"/>
      <c r="R78" s="198"/>
      <c r="S78" s="199" t="s">
        <v>29</v>
      </c>
      <c r="T78" s="199" t="str">
        <f t="shared" si="1043"/>
        <v>: Pertambangan Bijih Logam</v>
      </c>
      <c r="U78" s="199"/>
      <c r="V78" s="199"/>
      <c r="W78" s="199"/>
      <c r="X78" s="201" t="s">
        <v>30</v>
      </c>
      <c r="Y78" s="199"/>
      <c r="Z78" s="200"/>
      <c r="AA78" s="195"/>
      <c r="AB78" s="195"/>
      <c r="AC78" s="195"/>
      <c r="AD78" s="195"/>
      <c r="AE78" s="195"/>
      <c r="AF78" s="195"/>
      <c r="AG78" s="57" t="str">
        <f>"II/"&amp;AG$6</f>
        <v>II/2011</v>
      </c>
      <c r="AH78" s="196"/>
      <c r="AI78" s="198"/>
      <c r="AJ78" s="199" t="s">
        <v>29</v>
      </c>
      <c r="AK78" s="199" t="str">
        <f t="shared" si="1044"/>
        <v>: Pertambangan Bijih Logam</v>
      </c>
      <c r="AL78" s="199"/>
      <c r="AM78" s="199"/>
      <c r="AN78" s="199"/>
      <c r="AO78" s="201" t="s">
        <v>30</v>
      </c>
      <c r="AP78" s="199"/>
      <c r="AQ78" s="200"/>
      <c r="AR78" s="195"/>
      <c r="AS78" s="195"/>
      <c r="AT78" s="195"/>
      <c r="AU78" s="195"/>
      <c r="AV78" s="195"/>
      <c r="AW78" s="195"/>
      <c r="AX78" s="57" t="str">
        <f>"II/"&amp;AX$6</f>
        <v>II/2012</v>
      </c>
      <c r="AY78" s="196"/>
      <c r="AZ78" s="198"/>
      <c r="BA78" s="199" t="s">
        <v>29</v>
      </c>
      <c r="BB78" s="199" t="str">
        <f t="shared" si="1045"/>
        <v>: Pertambangan Bijih Logam</v>
      </c>
      <c r="BC78" s="199"/>
      <c r="BD78" s="199"/>
      <c r="BE78" s="199"/>
      <c r="BF78" s="201" t="s">
        <v>30</v>
      </c>
      <c r="BG78" s="199"/>
      <c r="BH78" s="200"/>
      <c r="BI78" s="195"/>
      <c r="BJ78" s="195"/>
      <c r="BK78" s="195"/>
      <c r="BL78" s="195"/>
      <c r="BM78" s="195"/>
      <c r="BN78" s="195"/>
      <c r="BO78" s="57" t="str">
        <f>"II/"&amp;BO$6</f>
        <v>II/2013</v>
      </c>
      <c r="BP78" s="196"/>
      <c r="BQ78" s="198"/>
      <c r="BR78" s="199" t="s">
        <v>29</v>
      </c>
      <c r="BS78" s="199" t="str">
        <f t="shared" si="1046"/>
        <v>: Pertambangan Bijih Logam</v>
      </c>
      <c r="BT78" s="199"/>
      <c r="BU78" s="199"/>
      <c r="BV78" s="199"/>
      <c r="BW78" s="201" t="s">
        <v>30</v>
      </c>
      <c r="BX78" s="199"/>
      <c r="BY78" s="200"/>
      <c r="BZ78" s="195"/>
      <c r="CA78" s="195"/>
      <c r="CB78" s="195"/>
      <c r="CC78" s="195"/>
      <c r="CD78" s="195"/>
      <c r="CE78" s="195"/>
      <c r="CF78" s="57" t="str">
        <f>"II/"&amp;CF$6</f>
        <v>II/2014</v>
      </c>
      <c r="CG78" s="196"/>
      <c r="CH78" s="198"/>
      <c r="CI78" s="199" t="s">
        <v>29</v>
      </c>
      <c r="CJ78" s="199" t="str">
        <f t="shared" si="1047"/>
        <v>: Pertambangan Bijih Logam</v>
      </c>
      <c r="CK78" s="199"/>
      <c r="CL78" s="199"/>
      <c r="CM78" s="199"/>
      <c r="CN78" s="201" t="s">
        <v>30</v>
      </c>
      <c r="CO78" s="199"/>
      <c r="CP78" s="200"/>
      <c r="CQ78" s="195"/>
      <c r="CR78" s="195"/>
      <c r="CS78" s="195"/>
      <c r="CT78" s="195"/>
      <c r="CU78" s="195"/>
      <c r="CV78" s="195"/>
      <c r="CW78" s="57" t="str">
        <f>"II/"&amp;CW$6</f>
        <v>II/2015</v>
      </c>
      <c r="CX78" s="196"/>
      <c r="CY78" s="198"/>
      <c r="CZ78" s="199" t="s">
        <v>29</v>
      </c>
      <c r="DA78" s="199" t="str">
        <f t="shared" si="1048"/>
        <v>: Pertambangan Bijih Logam</v>
      </c>
      <c r="DB78" s="199"/>
      <c r="DC78" s="199"/>
      <c r="DD78" s="199"/>
      <c r="DE78" s="201" t="s">
        <v>30</v>
      </c>
      <c r="DF78" s="199"/>
      <c r="DG78" s="200"/>
      <c r="DH78" s="195"/>
      <c r="DI78" s="195"/>
      <c r="DJ78" s="195"/>
      <c r="DK78" s="195"/>
      <c r="DL78" s="195"/>
      <c r="DM78" s="195"/>
      <c r="DN78" s="57" t="str">
        <f>"II/"&amp;DN$6</f>
        <v>II/2016</v>
      </c>
      <c r="DO78" s="196"/>
      <c r="DP78" s="198"/>
      <c r="DQ78" s="199" t="s">
        <v>29</v>
      </c>
      <c r="DR78" s="199" t="str">
        <f t="shared" si="1049"/>
        <v>: Pertambangan Bijih Logam</v>
      </c>
      <c r="DS78" s="199"/>
      <c r="DT78" s="199"/>
      <c r="DU78" s="199"/>
      <c r="DV78" s="201" t="s">
        <v>30</v>
      </c>
      <c r="DW78" s="199"/>
      <c r="DX78" s="200"/>
      <c r="DY78" s="195"/>
      <c r="DZ78" s="195"/>
      <c r="EA78" s="195"/>
      <c r="EB78" s="195"/>
      <c r="EC78" s="195"/>
      <c r="ED78" s="195"/>
      <c r="EE78" s="57" t="str">
        <f>"II/"&amp;EE$6</f>
        <v>II/2017</v>
      </c>
      <c r="EF78" s="196"/>
      <c r="EG78" s="198"/>
      <c r="EH78" s="199" t="s">
        <v>29</v>
      </c>
      <c r="EI78" s="199" t="str">
        <f t="shared" si="1050"/>
        <v>: Pertambangan Bijih Logam</v>
      </c>
      <c r="EJ78" s="199"/>
      <c r="EK78" s="199"/>
      <c r="EL78" s="199"/>
      <c r="EM78" s="201" t="s">
        <v>30</v>
      </c>
      <c r="EN78" s="199"/>
      <c r="EO78" s="200"/>
      <c r="EP78" s="195"/>
      <c r="EQ78" s="195"/>
      <c r="ER78" s="195"/>
      <c r="ES78" s="195"/>
      <c r="ET78" s="195"/>
      <c r="EU78" s="195"/>
      <c r="EV78" s="57" t="str">
        <f>"II/"&amp;EV$6</f>
        <v>II/2018</v>
      </c>
      <c r="EW78" s="196"/>
      <c r="EX78" s="198"/>
      <c r="EY78" s="199" t="s">
        <v>29</v>
      </c>
      <c r="EZ78" s="199" t="str">
        <f t="shared" si="1051"/>
        <v>: Pertambangan Bijih Logam</v>
      </c>
      <c r="FA78" s="199"/>
      <c r="FB78" s="199"/>
      <c r="FC78" s="199"/>
      <c r="FD78" s="201" t="s">
        <v>30</v>
      </c>
      <c r="FE78" s="199"/>
      <c r="FF78" s="200"/>
      <c r="FG78" s="195"/>
      <c r="FH78" s="195"/>
      <c r="FI78" s="195"/>
      <c r="FJ78" s="195"/>
      <c r="FK78" s="195"/>
      <c r="FL78" s="195"/>
      <c r="FM78" s="57" t="str">
        <f>"II/"&amp;FM$6</f>
        <v>II/2019</v>
      </c>
      <c r="FN78" s="196"/>
      <c r="FO78" s="198"/>
      <c r="FP78" s="199" t="s">
        <v>29</v>
      </c>
      <c r="FQ78" s="199" t="str">
        <f t="shared" si="1052"/>
        <v>: Pertambangan Bijih Logam</v>
      </c>
      <c r="FR78" s="199"/>
      <c r="FS78" s="199"/>
      <c r="FT78" s="199"/>
      <c r="FU78" s="201" t="s">
        <v>30</v>
      </c>
      <c r="FV78" s="199"/>
      <c r="FW78" s="200"/>
      <c r="FX78" s="195"/>
      <c r="FY78" s="195"/>
      <c r="FZ78" s="195"/>
      <c r="GA78" s="195"/>
      <c r="GB78" s="195"/>
      <c r="GC78" s="195"/>
      <c r="GD78" s="57" t="str">
        <f>"II/"&amp;GD$6</f>
        <v>II/2020</v>
      </c>
      <c r="GE78" s="196"/>
      <c r="GF78" s="198"/>
      <c r="GG78" s="199" t="s">
        <v>29</v>
      </c>
      <c r="GH78" s="199" t="str">
        <f t="shared" si="1053"/>
        <v>: Pertambangan Bijih Logam</v>
      </c>
      <c r="GI78" s="199"/>
      <c r="GJ78" s="199"/>
      <c r="GK78" s="199"/>
      <c r="GL78" s="201" t="s">
        <v>30</v>
      </c>
      <c r="GM78" s="199"/>
      <c r="GN78" s="200"/>
      <c r="GO78" s="195"/>
      <c r="GP78" s="195"/>
      <c r="GQ78" s="195"/>
      <c r="GR78" s="195"/>
      <c r="GS78" s="195"/>
      <c r="GT78" s="195"/>
      <c r="GU78" s="57" t="str">
        <f>"II/"&amp;GU$6</f>
        <v>II/2021</v>
      </c>
      <c r="GV78" s="196"/>
      <c r="GW78" s="198"/>
      <c r="GX78" s="199" t="s">
        <v>29</v>
      </c>
      <c r="GY78" s="199" t="str">
        <f t="shared" si="1054"/>
        <v>: Pertambangan Bijih Logam</v>
      </c>
      <c r="GZ78" s="199"/>
      <c r="HA78" s="199"/>
      <c r="HB78" s="199"/>
      <c r="HC78" s="201" t="s">
        <v>30</v>
      </c>
      <c r="HD78" s="199"/>
      <c r="HE78" s="200"/>
      <c r="HF78" s="195"/>
      <c r="HG78" s="195"/>
      <c r="HH78" s="195"/>
      <c r="HI78" s="195"/>
      <c r="HJ78" s="195"/>
      <c r="HK78" s="195"/>
      <c r="HL78" s="57" t="str">
        <f>"II/"&amp;HL$6</f>
        <v>II/2022</v>
      </c>
      <c r="HM78" s="196"/>
      <c r="HN78" s="198"/>
      <c r="HO78" s="199" t="s">
        <v>29</v>
      </c>
      <c r="HP78" s="199" t="str">
        <f t="shared" si="1055"/>
        <v>: Pertambangan Bijih Logam</v>
      </c>
      <c r="HQ78" s="199"/>
      <c r="HR78" s="199"/>
      <c r="HS78" s="199"/>
      <c r="HT78" s="201" t="s">
        <v>30</v>
      </c>
      <c r="HU78" s="199"/>
      <c r="HV78" s="200"/>
      <c r="HW78" s="195"/>
      <c r="HX78" s="195"/>
      <c r="HY78" s="195"/>
      <c r="HZ78" s="195"/>
      <c r="IA78" s="195"/>
      <c r="IB78" s="195"/>
      <c r="IC78" s="57" t="str">
        <f>"II/"&amp;IC$6</f>
        <v>II/2023</v>
      </c>
      <c r="ID78" s="196"/>
      <c r="IE78" s="198"/>
      <c r="IF78" s="199" t="s">
        <v>29</v>
      </c>
      <c r="IG78" s="199" t="str">
        <f t="shared" si="1056"/>
        <v>: Pertambangan Bijih Logam</v>
      </c>
      <c r="IH78" s="199"/>
      <c r="II78" s="199"/>
      <c r="IJ78" s="199"/>
      <c r="IK78" s="201" t="s">
        <v>30</v>
      </c>
      <c r="IL78" s="199"/>
      <c r="IM78" s="200"/>
      <c r="IN78" s="195"/>
      <c r="IO78" s="195"/>
      <c r="IP78" s="195"/>
      <c r="IQ78" s="195"/>
      <c r="IR78" s="195"/>
      <c r="IS78" s="195"/>
      <c r="IT78" s="57" t="str">
        <f>"II/"&amp;IT$6</f>
        <v>II/2024</v>
      </c>
      <c r="IU78" s="196"/>
      <c r="IV78" s="198"/>
      <c r="IW78" s="199" t="s">
        <v>29</v>
      </c>
      <c r="IX78" s="199" t="str">
        <f t="shared" si="1057"/>
        <v>: Pertambangan Bijih Logam</v>
      </c>
      <c r="IY78" s="199"/>
      <c r="IZ78" s="199"/>
      <c r="JA78" s="199"/>
      <c r="JB78" s="201" t="s">
        <v>30</v>
      </c>
      <c r="JC78" s="199"/>
      <c r="JD78" s="200"/>
      <c r="JE78" s="195"/>
      <c r="JF78" s="195"/>
      <c r="JG78" s="195"/>
      <c r="JH78" s="195"/>
      <c r="JI78" s="195"/>
      <c r="JJ78" s="195"/>
      <c r="JK78" s="57" t="str">
        <f>"II/"&amp;JK$6</f>
        <v>II/2025</v>
      </c>
      <c r="JL78" s="197"/>
      <c r="JM78" s="198"/>
      <c r="JN78" s="199" t="s">
        <v>29</v>
      </c>
      <c r="JO78" s="199" t="str">
        <f t="shared" si="1058"/>
        <v>: Pertambangan Bijih Logam</v>
      </c>
      <c r="JP78" s="199"/>
      <c r="JQ78" s="199"/>
      <c r="JR78" s="199"/>
      <c r="JS78" s="201" t="s">
        <v>30</v>
      </c>
      <c r="JT78" s="199"/>
      <c r="JU78" s="200"/>
      <c r="JV78" s="195"/>
      <c r="JW78" s="195"/>
      <c r="JX78" s="195"/>
      <c r="JY78" s="195"/>
      <c r="JZ78" s="195"/>
      <c r="KA78" s="195"/>
      <c r="KB78" s="57" t="str">
        <f>"II/"&amp;KB$6</f>
        <v>II/2026</v>
      </c>
      <c r="KC78" s="197"/>
      <c r="KD78" s="198"/>
      <c r="KE78" s="199" t="s">
        <v>29</v>
      </c>
      <c r="KF78" s="199" t="str">
        <f t="shared" si="1059"/>
        <v>: Pertambangan Bijih Logam</v>
      </c>
      <c r="KG78" s="199"/>
      <c r="KH78" s="199"/>
      <c r="KI78" s="199"/>
      <c r="KJ78" s="201" t="s">
        <v>30</v>
      </c>
      <c r="KK78" s="199"/>
      <c r="KL78" s="200"/>
      <c r="KM78" s="195"/>
      <c r="KN78" s="195"/>
      <c r="KO78" s="195"/>
      <c r="KP78" s="195"/>
      <c r="KQ78" s="195"/>
      <c r="KR78" s="195"/>
      <c r="KS78" s="57" t="str">
        <f>"II/"&amp;KS$6</f>
        <v>II/2027</v>
      </c>
      <c r="KT78" s="197"/>
      <c r="KU78" s="195"/>
    </row>
    <row r="79" ht="15.0" customHeight="1">
      <c r="A79" s="198"/>
      <c r="B79" s="199" t="s">
        <v>31</v>
      </c>
      <c r="C79" s="199" t="s">
        <v>56</v>
      </c>
      <c r="D79" s="199"/>
      <c r="E79" s="199"/>
      <c r="F79" s="199"/>
      <c r="G79" s="202" t="s">
        <v>57</v>
      </c>
      <c r="H79" s="199"/>
      <c r="I79" s="200"/>
      <c r="J79" s="195"/>
      <c r="K79" s="195"/>
      <c r="L79" s="195"/>
      <c r="M79" s="195"/>
      <c r="N79" s="195"/>
      <c r="O79" s="195"/>
      <c r="P79" s="55"/>
      <c r="Q79" s="196"/>
      <c r="R79" s="198"/>
      <c r="S79" s="199" t="s">
        <v>31</v>
      </c>
      <c r="T79" s="199" t="str">
        <f t="shared" si="1043"/>
        <v>: Pertambangan Bijih Logam</v>
      </c>
      <c r="U79" s="199"/>
      <c r="V79" s="199"/>
      <c r="W79" s="199"/>
      <c r="X79" s="202" t="s">
        <v>57</v>
      </c>
      <c r="Y79" s="199"/>
      <c r="Z79" s="200"/>
      <c r="AA79" s="195"/>
      <c r="AB79" s="195"/>
      <c r="AC79" s="195"/>
      <c r="AD79" s="195"/>
      <c r="AE79" s="195"/>
      <c r="AF79" s="195"/>
      <c r="AG79" s="55"/>
      <c r="AH79" s="196"/>
      <c r="AI79" s="198"/>
      <c r="AJ79" s="199" t="s">
        <v>31</v>
      </c>
      <c r="AK79" s="199" t="str">
        <f t="shared" si="1044"/>
        <v>: Pertambangan Bijih Logam</v>
      </c>
      <c r="AL79" s="199"/>
      <c r="AM79" s="199"/>
      <c r="AN79" s="199"/>
      <c r="AO79" s="202" t="s">
        <v>57</v>
      </c>
      <c r="AP79" s="199"/>
      <c r="AQ79" s="200"/>
      <c r="AR79" s="195"/>
      <c r="AS79" s="195"/>
      <c r="AT79" s="195"/>
      <c r="AU79" s="195"/>
      <c r="AV79" s="195"/>
      <c r="AW79" s="195"/>
      <c r="AX79" s="55"/>
      <c r="AY79" s="196"/>
      <c r="AZ79" s="198"/>
      <c r="BA79" s="199" t="s">
        <v>31</v>
      </c>
      <c r="BB79" s="199" t="str">
        <f t="shared" si="1045"/>
        <v>: Pertambangan Bijih Logam</v>
      </c>
      <c r="BC79" s="199"/>
      <c r="BD79" s="199"/>
      <c r="BE79" s="199"/>
      <c r="BF79" s="202" t="s">
        <v>57</v>
      </c>
      <c r="BG79" s="199"/>
      <c r="BH79" s="200"/>
      <c r="BI79" s="195"/>
      <c r="BJ79" s="195"/>
      <c r="BK79" s="195"/>
      <c r="BL79" s="195"/>
      <c r="BM79" s="195"/>
      <c r="BN79" s="195"/>
      <c r="BO79" s="55"/>
      <c r="BP79" s="196"/>
      <c r="BQ79" s="198"/>
      <c r="BR79" s="199" t="s">
        <v>31</v>
      </c>
      <c r="BS79" s="199" t="str">
        <f t="shared" si="1046"/>
        <v>: Pertambangan Bijih Logam</v>
      </c>
      <c r="BT79" s="199"/>
      <c r="BU79" s="199"/>
      <c r="BV79" s="199"/>
      <c r="BW79" s="202" t="s">
        <v>57</v>
      </c>
      <c r="BX79" s="199"/>
      <c r="BY79" s="200"/>
      <c r="BZ79" s="195"/>
      <c r="CA79" s="195"/>
      <c r="CB79" s="195"/>
      <c r="CC79" s="195"/>
      <c r="CD79" s="195"/>
      <c r="CE79" s="195"/>
      <c r="CF79" s="55"/>
      <c r="CG79" s="196"/>
      <c r="CH79" s="198"/>
      <c r="CI79" s="199" t="s">
        <v>31</v>
      </c>
      <c r="CJ79" s="199" t="str">
        <f t="shared" si="1047"/>
        <v>: Pertambangan Bijih Logam</v>
      </c>
      <c r="CK79" s="199"/>
      <c r="CL79" s="199"/>
      <c r="CM79" s="199"/>
      <c r="CN79" s="202" t="s">
        <v>57</v>
      </c>
      <c r="CO79" s="199"/>
      <c r="CP79" s="200"/>
      <c r="CQ79" s="195"/>
      <c r="CR79" s="195"/>
      <c r="CS79" s="195"/>
      <c r="CT79" s="195"/>
      <c r="CU79" s="195"/>
      <c r="CV79" s="195"/>
      <c r="CW79" s="55"/>
      <c r="CX79" s="196"/>
      <c r="CY79" s="198"/>
      <c r="CZ79" s="199" t="s">
        <v>31</v>
      </c>
      <c r="DA79" s="199" t="str">
        <f t="shared" si="1048"/>
        <v>: Pertambangan Bijih Logam</v>
      </c>
      <c r="DB79" s="199"/>
      <c r="DC79" s="199"/>
      <c r="DD79" s="199"/>
      <c r="DE79" s="202" t="s">
        <v>57</v>
      </c>
      <c r="DF79" s="199"/>
      <c r="DG79" s="200"/>
      <c r="DH79" s="195"/>
      <c r="DI79" s="195"/>
      <c r="DJ79" s="195"/>
      <c r="DK79" s="195"/>
      <c r="DL79" s="195"/>
      <c r="DM79" s="195"/>
      <c r="DN79" s="55"/>
      <c r="DO79" s="196"/>
      <c r="DP79" s="198"/>
      <c r="DQ79" s="199" t="s">
        <v>31</v>
      </c>
      <c r="DR79" s="199" t="str">
        <f t="shared" si="1049"/>
        <v>: Pertambangan Bijih Logam</v>
      </c>
      <c r="DS79" s="199"/>
      <c r="DT79" s="199"/>
      <c r="DU79" s="199"/>
      <c r="DV79" s="202" t="s">
        <v>57</v>
      </c>
      <c r="DW79" s="199"/>
      <c r="DX79" s="200"/>
      <c r="DY79" s="195"/>
      <c r="DZ79" s="195"/>
      <c r="EA79" s="195"/>
      <c r="EB79" s="195"/>
      <c r="EC79" s="195"/>
      <c r="ED79" s="195"/>
      <c r="EE79" s="55"/>
      <c r="EF79" s="196"/>
      <c r="EG79" s="198"/>
      <c r="EH79" s="199" t="s">
        <v>31</v>
      </c>
      <c r="EI79" s="199" t="str">
        <f t="shared" si="1050"/>
        <v>: Pertambangan Bijih Logam</v>
      </c>
      <c r="EJ79" s="199"/>
      <c r="EK79" s="199"/>
      <c r="EL79" s="199"/>
      <c r="EM79" s="202" t="s">
        <v>57</v>
      </c>
      <c r="EN79" s="199"/>
      <c r="EO79" s="200"/>
      <c r="EP79" s="195"/>
      <c r="EQ79" s="195"/>
      <c r="ER79" s="195"/>
      <c r="ES79" s="195"/>
      <c r="ET79" s="195"/>
      <c r="EU79" s="195"/>
      <c r="EV79" s="55"/>
      <c r="EW79" s="196"/>
      <c r="EX79" s="198"/>
      <c r="EY79" s="199" t="s">
        <v>31</v>
      </c>
      <c r="EZ79" s="199" t="str">
        <f t="shared" si="1051"/>
        <v>: Pertambangan Bijih Logam</v>
      </c>
      <c r="FA79" s="199"/>
      <c r="FB79" s="199"/>
      <c r="FC79" s="199"/>
      <c r="FD79" s="202" t="s">
        <v>57</v>
      </c>
      <c r="FE79" s="199"/>
      <c r="FF79" s="200"/>
      <c r="FG79" s="195"/>
      <c r="FH79" s="195"/>
      <c r="FI79" s="195"/>
      <c r="FJ79" s="195"/>
      <c r="FK79" s="195"/>
      <c r="FL79" s="195"/>
      <c r="FM79" s="55"/>
      <c r="FN79" s="196"/>
      <c r="FO79" s="198"/>
      <c r="FP79" s="199" t="s">
        <v>31</v>
      </c>
      <c r="FQ79" s="199" t="str">
        <f t="shared" si="1052"/>
        <v>: Pertambangan Bijih Logam</v>
      </c>
      <c r="FR79" s="199"/>
      <c r="FS79" s="199"/>
      <c r="FT79" s="199"/>
      <c r="FU79" s="202" t="s">
        <v>57</v>
      </c>
      <c r="FV79" s="199"/>
      <c r="FW79" s="200"/>
      <c r="FX79" s="195"/>
      <c r="FY79" s="195"/>
      <c r="FZ79" s="195"/>
      <c r="GA79" s="195"/>
      <c r="GB79" s="195"/>
      <c r="GC79" s="195"/>
      <c r="GD79" s="55"/>
      <c r="GE79" s="196"/>
      <c r="GF79" s="198"/>
      <c r="GG79" s="199" t="s">
        <v>31</v>
      </c>
      <c r="GH79" s="199" t="str">
        <f t="shared" si="1053"/>
        <v>: Pertambangan Bijih Logam</v>
      </c>
      <c r="GI79" s="199"/>
      <c r="GJ79" s="199"/>
      <c r="GK79" s="199"/>
      <c r="GL79" s="202" t="s">
        <v>57</v>
      </c>
      <c r="GM79" s="199"/>
      <c r="GN79" s="200"/>
      <c r="GO79" s="195"/>
      <c r="GP79" s="195"/>
      <c r="GQ79" s="195"/>
      <c r="GR79" s="195"/>
      <c r="GS79" s="195"/>
      <c r="GT79" s="195"/>
      <c r="GU79" s="55"/>
      <c r="GV79" s="196"/>
      <c r="GW79" s="198"/>
      <c r="GX79" s="199" t="s">
        <v>31</v>
      </c>
      <c r="GY79" s="199" t="str">
        <f t="shared" si="1054"/>
        <v>: Pertambangan Bijih Logam</v>
      </c>
      <c r="GZ79" s="199"/>
      <c r="HA79" s="199"/>
      <c r="HB79" s="199"/>
      <c r="HC79" s="202" t="s">
        <v>57</v>
      </c>
      <c r="HD79" s="199"/>
      <c r="HE79" s="200"/>
      <c r="HF79" s="195"/>
      <c r="HG79" s="195"/>
      <c r="HH79" s="195"/>
      <c r="HI79" s="195"/>
      <c r="HJ79" s="195"/>
      <c r="HK79" s="195"/>
      <c r="HL79" s="55"/>
      <c r="HM79" s="196"/>
      <c r="HN79" s="198"/>
      <c r="HO79" s="199" t="s">
        <v>31</v>
      </c>
      <c r="HP79" s="199" t="str">
        <f t="shared" si="1055"/>
        <v>: Pertambangan Bijih Logam</v>
      </c>
      <c r="HQ79" s="199"/>
      <c r="HR79" s="199"/>
      <c r="HS79" s="199"/>
      <c r="HT79" s="202" t="s">
        <v>57</v>
      </c>
      <c r="HU79" s="199"/>
      <c r="HV79" s="200"/>
      <c r="HW79" s="195"/>
      <c r="HX79" s="195"/>
      <c r="HY79" s="195"/>
      <c r="HZ79" s="195"/>
      <c r="IA79" s="195"/>
      <c r="IB79" s="195"/>
      <c r="IC79" s="55"/>
      <c r="ID79" s="196"/>
      <c r="IE79" s="198"/>
      <c r="IF79" s="199" t="s">
        <v>31</v>
      </c>
      <c r="IG79" s="199" t="str">
        <f t="shared" si="1056"/>
        <v>: Pertambangan Bijih Logam</v>
      </c>
      <c r="IH79" s="199"/>
      <c r="II79" s="199"/>
      <c r="IJ79" s="199"/>
      <c r="IK79" s="202" t="s">
        <v>57</v>
      </c>
      <c r="IL79" s="199"/>
      <c r="IM79" s="200"/>
      <c r="IN79" s="195"/>
      <c r="IO79" s="195"/>
      <c r="IP79" s="195"/>
      <c r="IQ79" s="195"/>
      <c r="IR79" s="195"/>
      <c r="IS79" s="195"/>
      <c r="IT79" s="55"/>
      <c r="IU79" s="196"/>
      <c r="IV79" s="198"/>
      <c r="IW79" s="199" t="s">
        <v>31</v>
      </c>
      <c r="IX79" s="199" t="str">
        <f t="shared" si="1057"/>
        <v>: Pertambangan Bijih Logam</v>
      </c>
      <c r="IY79" s="199"/>
      <c r="IZ79" s="199"/>
      <c r="JA79" s="199"/>
      <c r="JB79" s="202" t="s">
        <v>57</v>
      </c>
      <c r="JC79" s="199"/>
      <c r="JD79" s="200"/>
      <c r="JE79" s="195"/>
      <c r="JF79" s="195"/>
      <c r="JG79" s="195"/>
      <c r="JH79" s="195"/>
      <c r="JI79" s="195"/>
      <c r="JJ79" s="195"/>
      <c r="JK79" s="55"/>
      <c r="JL79" s="197"/>
      <c r="JM79" s="198"/>
      <c r="JN79" s="199" t="s">
        <v>31</v>
      </c>
      <c r="JO79" s="199" t="str">
        <f t="shared" si="1058"/>
        <v>: Pertambangan Bijih Logam</v>
      </c>
      <c r="JP79" s="199"/>
      <c r="JQ79" s="199"/>
      <c r="JR79" s="199"/>
      <c r="JS79" s="202" t="s">
        <v>57</v>
      </c>
      <c r="JT79" s="199"/>
      <c r="JU79" s="200"/>
      <c r="JV79" s="195"/>
      <c r="JW79" s="195"/>
      <c r="JX79" s="195"/>
      <c r="JY79" s="195"/>
      <c r="JZ79" s="195"/>
      <c r="KA79" s="195"/>
      <c r="KB79" s="55"/>
      <c r="KC79" s="197"/>
      <c r="KD79" s="198"/>
      <c r="KE79" s="199" t="s">
        <v>31</v>
      </c>
      <c r="KF79" s="199" t="str">
        <f t="shared" si="1059"/>
        <v>: Pertambangan Bijih Logam</v>
      </c>
      <c r="KG79" s="199"/>
      <c r="KH79" s="199"/>
      <c r="KI79" s="199"/>
      <c r="KJ79" s="202" t="s">
        <v>57</v>
      </c>
      <c r="KK79" s="199"/>
      <c r="KL79" s="200"/>
      <c r="KM79" s="195"/>
      <c r="KN79" s="195"/>
      <c r="KO79" s="195"/>
      <c r="KP79" s="195"/>
      <c r="KQ79" s="195"/>
      <c r="KR79" s="195"/>
      <c r="KS79" s="55"/>
      <c r="KT79" s="197"/>
      <c r="KU79" s="195"/>
    </row>
    <row r="80" ht="15.75" customHeight="1">
      <c r="A80" s="203"/>
      <c r="B80" s="204" t="s">
        <v>32</v>
      </c>
      <c r="C80" s="204" t="s">
        <v>33</v>
      </c>
      <c r="D80" s="204"/>
      <c r="E80" s="204"/>
      <c r="F80" s="204"/>
      <c r="G80" s="204" t="str">
        <f>"Tahun "&amp;P$6</f>
        <v>Tahun 2010</v>
      </c>
      <c r="H80" s="204"/>
      <c r="I80" s="205"/>
      <c r="J80" s="195"/>
      <c r="K80" s="195"/>
      <c r="L80" s="195"/>
      <c r="M80" s="195"/>
      <c r="N80" s="195"/>
      <c r="O80" s="195"/>
      <c r="P80" s="195"/>
      <c r="Q80" s="196"/>
      <c r="R80" s="203"/>
      <c r="S80" s="204" t="s">
        <v>32</v>
      </c>
      <c r="T80" s="204" t="s">
        <v>33</v>
      </c>
      <c r="U80" s="204"/>
      <c r="V80" s="204"/>
      <c r="W80" s="204"/>
      <c r="X80" s="204" t="str">
        <f>"Tahun "&amp;AG$6</f>
        <v>Tahun 2011</v>
      </c>
      <c r="Y80" s="204"/>
      <c r="Z80" s="205"/>
      <c r="AA80" s="195"/>
      <c r="AB80" s="195"/>
      <c r="AC80" s="195"/>
      <c r="AD80" s="195"/>
      <c r="AE80" s="195"/>
      <c r="AF80" s="195"/>
      <c r="AG80" s="195"/>
      <c r="AH80" s="196"/>
      <c r="AI80" s="203"/>
      <c r="AJ80" s="204" t="s">
        <v>32</v>
      </c>
      <c r="AK80" s="204" t="s">
        <v>33</v>
      </c>
      <c r="AL80" s="204"/>
      <c r="AM80" s="204"/>
      <c r="AN80" s="204"/>
      <c r="AO80" s="204" t="str">
        <f>"Tahun "&amp;AX$6</f>
        <v>Tahun 2012</v>
      </c>
      <c r="AP80" s="204"/>
      <c r="AQ80" s="205"/>
      <c r="AR80" s="195"/>
      <c r="AS80" s="195"/>
      <c r="AT80" s="195"/>
      <c r="AU80" s="195"/>
      <c r="AV80" s="195"/>
      <c r="AW80" s="195"/>
      <c r="AX80" s="195"/>
      <c r="AY80" s="196"/>
      <c r="AZ80" s="203"/>
      <c r="BA80" s="204" t="s">
        <v>32</v>
      </c>
      <c r="BB80" s="204" t="s">
        <v>33</v>
      </c>
      <c r="BC80" s="204"/>
      <c r="BD80" s="204"/>
      <c r="BE80" s="204"/>
      <c r="BF80" s="204" t="str">
        <f>"Tahun "&amp;BO$6</f>
        <v>Tahun 2013</v>
      </c>
      <c r="BG80" s="204"/>
      <c r="BH80" s="205"/>
      <c r="BI80" s="195"/>
      <c r="BJ80" s="195"/>
      <c r="BK80" s="195"/>
      <c r="BL80" s="195"/>
      <c r="BM80" s="195"/>
      <c r="BN80" s="195"/>
      <c r="BO80" s="195"/>
      <c r="BP80" s="196"/>
      <c r="BQ80" s="203"/>
      <c r="BR80" s="204" t="s">
        <v>32</v>
      </c>
      <c r="BS80" s="204" t="s">
        <v>33</v>
      </c>
      <c r="BT80" s="204"/>
      <c r="BU80" s="204"/>
      <c r="BV80" s="204"/>
      <c r="BW80" s="204" t="str">
        <f>"Tahun "&amp;CF$6</f>
        <v>Tahun 2014</v>
      </c>
      <c r="BX80" s="204"/>
      <c r="BY80" s="205"/>
      <c r="BZ80" s="195"/>
      <c r="CA80" s="195"/>
      <c r="CB80" s="195"/>
      <c r="CC80" s="195"/>
      <c r="CD80" s="195"/>
      <c r="CE80" s="195"/>
      <c r="CF80" s="195"/>
      <c r="CG80" s="196"/>
      <c r="CH80" s="203"/>
      <c r="CI80" s="204" t="s">
        <v>32</v>
      </c>
      <c r="CJ80" s="204" t="s">
        <v>33</v>
      </c>
      <c r="CK80" s="204"/>
      <c r="CL80" s="204"/>
      <c r="CM80" s="204"/>
      <c r="CN80" s="204" t="str">
        <f>"Tahun "&amp;CW$6</f>
        <v>Tahun 2015</v>
      </c>
      <c r="CO80" s="204"/>
      <c r="CP80" s="205"/>
      <c r="CQ80" s="195"/>
      <c r="CR80" s="195"/>
      <c r="CS80" s="195"/>
      <c r="CT80" s="195"/>
      <c r="CU80" s="195"/>
      <c r="CV80" s="195"/>
      <c r="CW80" s="195"/>
      <c r="CX80" s="196"/>
      <c r="CY80" s="203"/>
      <c r="CZ80" s="204" t="s">
        <v>32</v>
      </c>
      <c r="DA80" s="204" t="s">
        <v>33</v>
      </c>
      <c r="DB80" s="204"/>
      <c r="DC80" s="204"/>
      <c r="DD80" s="204"/>
      <c r="DE80" s="204" t="str">
        <f>"Tahun "&amp;DN$6</f>
        <v>Tahun 2016</v>
      </c>
      <c r="DF80" s="204"/>
      <c r="DG80" s="205"/>
      <c r="DH80" s="195"/>
      <c r="DI80" s="195"/>
      <c r="DJ80" s="195"/>
      <c r="DK80" s="195"/>
      <c r="DL80" s="195"/>
      <c r="DM80" s="195"/>
      <c r="DN80" s="195"/>
      <c r="DO80" s="196"/>
      <c r="DP80" s="203"/>
      <c r="DQ80" s="204" t="s">
        <v>32</v>
      </c>
      <c r="DR80" s="204" t="s">
        <v>33</v>
      </c>
      <c r="DS80" s="204"/>
      <c r="DT80" s="204"/>
      <c r="DU80" s="204"/>
      <c r="DV80" s="204" t="str">
        <f>"Tahun "&amp;EE$6</f>
        <v>Tahun 2017</v>
      </c>
      <c r="DW80" s="204"/>
      <c r="DX80" s="205"/>
      <c r="DY80" s="195"/>
      <c r="DZ80" s="195"/>
      <c r="EA80" s="195"/>
      <c r="EB80" s="195"/>
      <c r="EC80" s="195"/>
      <c r="ED80" s="195"/>
      <c r="EE80" s="195"/>
      <c r="EF80" s="196"/>
      <c r="EG80" s="203"/>
      <c r="EH80" s="204" t="s">
        <v>32</v>
      </c>
      <c r="EI80" s="204" t="s">
        <v>33</v>
      </c>
      <c r="EJ80" s="204"/>
      <c r="EK80" s="204"/>
      <c r="EL80" s="204"/>
      <c r="EM80" s="204" t="str">
        <f>"Tahun "&amp;EV$6</f>
        <v>Tahun 2018</v>
      </c>
      <c r="EN80" s="204"/>
      <c r="EO80" s="205"/>
      <c r="EP80" s="195"/>
      <c r="EQ80" s="195"/>
      <c r="ER80" s="195"/>
      <c r="ES80" s="195"/>
      <c r="ET80" s="195"/>
      <c r="EU80" s="195"/>
      <c r="EV80" s="195"/>
      <c r="EW80" s="196"/>
      <c r="EX80" s="203"/>
      <c r="EY80" s="204" t="s">
        <v>32</v>
      </c>
      <c r="EZ80" s="204" t="s">
        <v>33</v>
      </c>
      <c r="FA80" s="204"/>
      <c r="FB80" s="204"/>
      <c r="FC80" s="204"/>
      <c r="FD80" s="204" t="str">
        <f>"Tahun "&amp;FM$6</f>
        <v>Tahun 2019</v>
      </c>
      <c r="FE80" s="204"/>
      <c r="FF80" s="205"/>
      <c r="FG80" s="195"/>
      <c r="FH80" s="195"/>
      <c r="FI80" s="195"/>
      <c r="FJ80" s="195"/>
      <c r="FK80" s="195"/>
      <c r="FL80" s="195"/>
      <c r="FM80" s="195"/>
      <c r="FN80" s="196"/>
      <c r="FO80" s="203"/>
      <c r="FP80" s="204" t="s">
        <v>32</v>
      </c>
      <c r="FQ80" s="204" t="s">
        <v>33</v>
      </c>
      <c r="FR80" s="204"/>
      <c r="FS80" s="204"/>
      <c r="FT80" s="204"/>
      <c r="FU80" s="204" t="str">
        <f>"Tahun "&amp;GD$6</f>
        <v>Tahun 2020</v>
      </c>
      <c r="FV80" s="204"/>
      <c r="FW80" s="205"/>
      <c r="FX80" s="195"/>
      <c r="FY80" s="195"/>
      <c r="FZ80" s="195"/>
      <c r="GA80" s="195"/>
      <c r="GB80" s="195"/>
      <c r="GC80" s="195"/>
      <c r="GD80" s="195"/>
      <c r="GE80" s="196"/>
      <c r="GF80" s="203"/>
      <c r="GG80" s="204" t="s">
        <v>32</v>
      </c>
      <c r="GH80" s="204" t="s">
        <v>33</v>
      </c>
      <c r="GI80" s="204"/>
      <c r="GJ80" s="204"/>
      <c r="GK80" s="204"/>
      <c r="GL80" s="204" t="str">
        <f>"Tahun "&amp;GU$6</f>
        <v>Tahun 2021</v>
      </c>
      <c r="GM80" s="204"/>
      <c r="GN80" s="205"/>
      <c r="GO80" s="195"/>
      <c r="GP80" s="195"/>
      <c r="GQ80" s="195"/>
      <c r="GR80" s="195"/>
      <c r="GS80" s="195"/>
      <c r="GT80" s="195"/>
      <c r="GU80" s="195"/>
      <c r="GV80" s="196"/>
      <c r="GW80" s="203"/>
      <c r="GX80" s="204" t="s">
        <v>32</v>
      </c>
      <c r="GY80" s="204" t="s">
        <v>33</v>
      </c>
      <c r="GZ80" s="204"/>
      <c r="HA80" s="204"/>
      <c r="HB80" s="204"/>
      <c r="HC80" s="204" t="str">
        <f>"Tahun "&amp;HL$6</f>
        <v>Tahun 2022</v>
      </c>
      <c r="HD80" s="204"/>
      <c r="HE80" s="205"/>
      <c r="HF80" s="195"/>
      <c r="HG80" s="195"/>
      <c r="HH80" s="195"/>
      <c r="HI80" s="195"/>
      <c r="HJ80" s="195"/>
      <c r="HK80" s="195"/>
      <c r="HL80" s="195"/>
      <c r="HM80" s="196"/>
      <c r="HN80" s="203"/>
      <c r="HO80" s="204" t="s">
        <v>32</v>
      </c>
      <c r="HP80" s="204" t="s">
        <v>33</v>
      </c>
      <c r="HQ80" s="204"/>
      <c r="HR80" s="204"/>
      <c r="HS80" s="204"/>
      <c r="HT80" s="204" t="str">
        <f>"Tahun "&amp;IC$6</f>
        <v>Tahun 2023</v>
      </c>
      <c r="HU80" s="204"/>
      <c r="HV80" s="205"/>
      <c r="HW80" s="195"/>
      <c r="HX80" s="195"/>
      <c r="HY80" s="195"/>
      <c r="HZ80" s="195"/>
      <c r="IA80" s="195"/>
      <c r="IB80" s="195"/>
      <c r="IC80" s="195"/>
      <c r="ID80" s="196"/>
      <c r="IE80" s="203"/>
      <c r="IF80" s="204" t="s">
        <v>32</v>
      </c>
      <c r="IG80" s="204" t="s">
        <v>33</v>
      </c>
      <c r="IH80" s="204"/>
      <c r="II80" s="204"/>
      <c r="IJ80" s="204"/>
      <c r="IK80" s="204" t="str">
        <f>"Tahun "&amp;IT$6</f>
        <v>Tahun 2024</v>
      </c>
      <c r="IL80" s="204"/>
      <c r="IM80" s="205"/>
      <c r="IN80" s="195"/>
      <c r="IO80" s="195"/>
      <c r="IP80" s="195"/>
      <c r="IQ80" s="195"/>
      <c r="IR80" s="195"/>
      <c r="IS80" s="195"/>
      <c r="IT80" s="195"/>
      <c r="IU80" s="196"/>
      <c r="IV80" s="203"/>
      <c r="IW80" s="204" t="s">
        <v>32</v>
      </c>
      <c r="IX80" s="204" t="s">
        <v>33</v>
      </c>
      <c r="IY80" s="204"/>
      <c r="IZ80" s="204"/>
      <c r="JA80" s="204"/>
      <c r="JB80" s="204" t="str">
        <f>"Tahun "&amp;JK$6</f>
        <v>Tahun 2025</v>
      </c>
      <c r="JC80" s="204"/>
      <c r="JD80" s="205"/>
      <c r="JE80" s="195"/>
      <c r="JF80" s="195"/>
      <c r="JG80" s="195"/>
      <c r="JH80" s="195"/>
      <c r="JI80" s="195"/>
      <c r="JJ80" s="195"/>
      <c r="JK80" s="195"/>
      <c r="JL80" s="196"/>
      <c r="JM80" s="203"/>
      <c r="JN80" s="204" t="s">
        <v>32</v>
      </c>
      <c r="JO80" s="204" t="s">
        <v>33</v>
      </c>
      <c r="JP80" s="204"/>
      <c r="JQ80" s="204"/>
      <c r="JR80" s="204"/>
      <c r="JS80" s="204" t="str">
        <f>"Tahun "&amp;KB$6</f>
        <v>Tahun 2026</v>
      </c>
      <c r="JT80" s="204"/>
      <c r="JU80" s="205"/>
      <c r="JV80" s="195"/>
      <c r="JW80" s="195"/>
      <c r="JX80" s="195"/>
      <c r="JY80" s="195"/>
      <c r="JZ80" s="195"/>
      <c r="KA80" s="195"/>
      <c r="KB80" s="195"/>
      <c r="KC80" s="196"/>
      <c r="KD80" s="203"/>
      <c r="KE80" s="204" t="s">
        <v>32</v>
      </c>
      <c r="KF80" s="204" t="s">
        <v>33</v>
      </c>
      <c r="KG80" s="204"/>
      <c r="KH80" s="204"/>
      <c r="KI80" s="204"/>
      <c r="KJ80" s="204" t="str">
        <f>"Tahun "&amp;KS$6</f>
        <v>Tahun 2027</v>
      </c>
      <c r="KK80" s="204"/>
      <c r="KL80" s="205"/>
      <c r="KM80" s="195"/>
      <c r="KN80" s="195"/>
      <c r="KO80" s="195"/>
      <c r="KP80" s="195"/>
      <c r="KQ80" s="195"/>
      <c r="KR80" s="195"/>
      <c r="KS80" s="195"/>
      <c r="KT80" s="196"/>
      <c r="KU80" s="195"/>
    </row>
    <row r="81" ht="15.75" customHeight="1">
      <c r="A81" s="206"/>
      <c r="B81" s="207"/>
      <c r="C81" s="207"/>
      <c r="D81" s="207"/>
      <c r="E81" s="207"/>
      <c r="F81" s="207"/>
      <c r="G81" s="207"/>
      <c r="H81" s="207"/>
      <c r="I81" s="207"/>
      <c r="J81" s="207"/>
      <c r="K81" s="207"/>
      <c r="L81" s="207"/>
      <c r="M81" s="207"/>
      <c r="N81" s="207"/>
      <c r="O81" s="207"/>
      <c r="P81" s="207"/>
      <c r="Q81" s="208"/>
      <c r="R81" s="206"/>
      <c r="S81" s="207"/>
      <c r="T81" s="207"/>
      <c r="U81" s="207"/>
      <c r="V81" s="207"/>
      <c r="W81" s="207"/>
      <c r="X81" s="207"/>
      <c r="Y81" s="207"/>
      <c r="Z81" s="207"/>
      <c r="AA81" s="207"/>
      <c r="AB81" s="207"/>
      <c r="AC81" s="207"/>
      <c r="AD81" s="207"/>
      <c r="AE81" s="207"/>
      <c r="AF81" s="207"/>
      <c r="AG81" s="207"/>
      <c r="AH81" s="208"/>
      <c r="AI81" s="206"/>
      <c r="AJ81" s="207"/>
      <c r="AK81" s="207"/>
      <c r="AL81" s="207"/>
      <c r="AM81" s="207"/>
      <c r="AN81" s="207"/>
      <c r="AO81" s="207"/>
      <c r="AP81" s="207"/>
      <c r="AQ81" s="207"/>
      <c r="AR81" s="207"/>
      <c r="AS81" s="207"/>
      <c r="AT81" s="207"/>
      <c r="AU81" s="207"/>
      <c r="AV81" s="207"/>
      <c r="AW81" s="207"/>
      <c r="AX81" s="207"/>
      <c r="AY81" s="208"/>
      <c r="AZ81" s="206"/>
      <c r="BA81" s="207"/>
      <c r="BB81" s="207"/>
      <c r="BC81" s="207"/>
      <c r="BD81" s="207"/>
      <c r="BE81" s="207"/>
      <c r="BF81" s="207"/>
      <c r="BG81" s="207"/>
      <c r="BH81" s="207"/>
      <c r="BI81" s="207"/>
      <c r="BJ81" s="207"/>
      <c r="BK81" s="207"/>
      <c r="BL81" s="207"/>
      <c r="BM81" s="207"/>
      <c r="BN81" s="207"/>
      <c r="BO81" s="207"/>
      <c r="BP81" s="208"/>
      <c r="BQ81" s="206"/>
      <c r="BR81" s="207"/>
      <c r="BS81" s="207"/>
      <c r="BT81" s="207"/>
      <c r="BU81" s="207"/>
      <c r="BV81" s="207"/>
      <c r="BW81" s="207"/>
      <c r="BX81" s="207"/>
      <c r="BY81" s="207"/>
      <c r="BZ81" s="207"/>
      <c r="CA81" s="207"/>
      <c r="CB81" s="207"/>
      <c r="CC81" s="207"/>
      <c r="CD81" s="207"/>
      <c r="CE81" s="207"/>
      <c r="CF81" s="207"/>
      <c r="CG81" s="208"/>
      <c r="CH81" s="206"/>
      <c r="CI81" s="207"/>
      <c r="CJ81" s="207"/>
      <c r="CK81" s="207"/>
      <c r="CL81" s="207"/>
      <c r="CM81" s="207"/>
      <c r="CN81" s="207"/>
      <c r="CO81" s="207"/>
      <c r="CP81" s="207"/>
      <c r="CQ81" s="207"/>
      <c r="CR81" s="207"/>
      <c r="CS81" s="207"/>
      <c r="CT81" s="207"/>
      <c r="CU81" s="207"/>
      <c r="CV81" s="207"/>
      <c r="CW81" s="207"/>
      <c r="CX81" s="208"/>
      <c r="CY81" s="206"/>
      <c r="CZ81" s="207"/>
      <c r="DA81" s="207"/>
      <c r="DB81" s="207"/>
      <c r="DC81" s="207"/>
      <c r="DD81" s="207"/>
      <c r="DE81" s="207"/>
      <c r="DF81" s="207"/>
      <c r="DG81" s="207"/>
      <c r="DH81" s="207"/>
      <c r="DI81" s="207"/>
      <c r="DJ81" s="207"/>
      <c r="DK81" s="207"/>
      <c r="DL81" s="207"/>
      <c r="DM81" s="207"/>
      <c r="DN81" s="207"/>
      <c r="DO81" s="208"/>
      <c r="DP81" s="206"/>
      <c r="DQ81" s="207"/>
      <c r="DR81" s="207"/>
      <c r="DS81" s="207"/>
      <c r="DT81" s="207"/>
      <c r="DU81" s="207"/>
      <c r="DV81" s="207"/>
      <c r="DW81" s="207"/>
      <c r="DX81" s="207"/>
      <c r="DY81" s="207"/>
      <c r="DZ81" s="207"/>
      <c r="EA81" s="207"/>
      <c r="EB81" s="207"/>
      <c r="EC81" s="207"/>
      <c r="ED81" s="207"/>
      <c r="EE81" s="207"/>
      <c r="EF81" s="208"/>
      <c r="EG81" s="206"/>
      <c r="EH81" s="207"/>
      <c r="EI81" s="207"/>
      <c r="EJ81" s="207"/>
      <c r="EK81" s="207"/>
      <c r="EL81" s="207"/>
      <c r="EM81" s="207"/>
      <c r="EN81" s="207"/>
      <c r="EO81" s="207"/>
      <c r="EP81" s="207"/>
      <c r="EQ81" s="207"/>
      <c r="ER81" s="207"/>
      <c r="ES81" s="207"/>
      <c r="ET81" s="207"/>
      <c r="EU81" s="207"/>
      <c r="EV81" s="207"/>
      <c r="EW81" s="208"/>
      <c r="EX81" s="206"/>
      <c r="EY81" s="207"/>
      <c r="EZ81" s="207"/>
      <c r="FA81" s="207"/>
      <c r="FB81" s="207"/>
      <c r="FC81" s="207"/>
      <c r="FD81" s="207"/>
      <c r="FE81" s="207"/>
      <c r="FF81" s="207"/>
      <c r="FG81" s="207"/>
      <c r="FH81" s="207"/>
      <c r="FI81" s="207"/>
      <c r="FJ81" s="207"/>
      <c r="FK81" s="207"/>
      <c r="FL81" s="207"/>
      <c r="FM81" s="207"/>
      <c r="FN81" s="208"/>
      <c r="FO81" s="206"/>
      <c r="FP81" s="207"/>
      <c r="FQ81" s="207"/>
      <c r="FR81" s="207"/>
      <c r="FS81" s="207"/>
      <c r="FT81" s="207"/>
      <c r="FU81" s="207"/>
      <c r="FV81" s="207"/>
      <c r="FW81" s="207"/>
      <c r="FX81" s="207"/>
      <c r="FY81" s="207"/>
      <c r="FZ81" s="207"/>
      <c r="GA81" s="207"/>
      <c r="GB81" s="207"/>
      <c r="GC81" s="207"/>
      <c r="GD81" s="207"/>
      <c r="GE81" s="208"/>
      <c r="GF81" s="206"/>
      <c r="GG81" s="207"/>
      <c r="GH81" s="207"/>
      <c r="GI81" s="207"/>
      <c r="GJ81" s="207"/>
      <c r="GK81" s="207"/>
      <c r="GL81" s="207"/>
      <c r="GM81" s="207"/>
      <c r="GN81" s="207"/>
      <c r="GO81" s="207"/>
      <c r="GP81" s="207"/>
      <c r="GQ81" s="207"/>
      <c r="GR81" s="207"/>
      <c r="GS81" s="207"/>
      <c r="GT81" s="207"/>
      <c r="GU81" s="207"/>
      <c r="GV81" s="208"/>
      <c r="GW81" s="206"/>
      <c r="GX81" s="207"/>
      <c r="GY81" s="207"/>
      <c r="GZ81" s="207"/>
      <c r="HA81" s="207"/>
      <c r="HB81" s="207"/>
      <c r="HC81" s="207"/>
      <c r="HD81" s="207"/>
      <c r="HE81" s="207"/>
      <c r="HF81" s="207"/>
      <c r="HG81" s="207"/>
      <c r="HH81" s="207"/>
      <c r="HI81" s="207"/>
      <c r="HJ81" s="207"/>
      <c r="HK81" s="207"/>
      <c r="HL81" s="207"/>
      <c r="HM81" s="208"/>
      <c r="HN81" s="206"/>
      <c r="HO81" s="207"/>
      <c r="HP81" s="207"/>
      <c r="HQ81" s="207"/>
      <c r="HR81" s="207"/>
      <c r="HS81" s="207"/>
      <c r="HT81" s="207"/>
      <c r="HU81" s="207"/>
      <c r="HV81" s="207"/>
      <c r="HW81" s="207"/>
      <c r="HX81" s="207"/>
      <c r="HY81" s="207"/>
      <c r="HZ81" s="207"/>
      <c r="IA81" s="207"/>
      <c r="IB81" s="207"/>
      <c r="IC81" s="207"/>
      <c r="ID81" s="208"/>
      <c r="IE81" s="206"/>
      <c r="IF81" s="207"/>
      <c r="IG81" s="207"/>
      <c r="IH81" s="207"/>
      <c r="II81" s="207"/>
      <c r="IJ81" s="207"/>
      <c r="IK81" s="207"/>
      <c r="IL81" s="207"/>
      <c r="IM81" s="207"/>
      <c r="IN81" s="207"/>
      <c r="IO81" s="207"/>
      <c r="IP81" s="207"/>
      <c r="IQ81" s="207"/>
      <c r="IR81" s="207"/>
      <c r="IS81" s="207"/>
      <c r="IT81" s="207"/>
      <c r="IU81" s="208"/>
      <c r="IV81" s="206"/>
      <c r="IW81" s="207"/>
      <c r="IX81" s="207"/>
      <c r="IY81" s="207"/>
      <c r="IZ81" s="207"/>
      <c r="JA81" s="207"/>
      <c r="JB81" s="207"/>
      <c r="JC81" s="207"/>
      <c r="JD81" s="207"/>
      <c r="JE81" s="207"/>
      <c r="JF81" s="207"/>
      <c r="JG81" s="207"/>
      <c r="JH81" s="207"/>
      <c r="JI81" s="207"/>
      <c r="JJ81" s="207"/>
      <c r="JK81" s="207"/>
      <c r="JL81" s="208"/>
      <c r="JM81" s="206"/>
      <c r="JN81" s="207"/>
      <c r="JO81" s="207"/>
      <c r="JP81" s="207"/>
      <c r="JQ81" s="207"/>
      <c r="JR81" s="207"/>
      <c r="JS81" s="207"/>
      <c r="JT81" s="207"/>
      <c r="JU81" s="207"/>
      <c r="JV81" s="207"/>
      <c r="JW81" s="207"/>
      <c r="JX81" s="207"/>
      <c r="JY81" s="207"/>
      <c r="JZ81" s="207"/>
      <c r="KA81" s="207"/>
      <c r="KB81" s="207"/>
      <c r="KC81" s="208"/>
      <c r="KD81" s="206"/>
      <c r="KE81" s="207"/>
      <c r="KF81" s="207"/>
      <c r="KG81" s="207"/>
      <c r="KH81" s="207"/>
      <c r="KI81" s="207"/>
      <c r="KJ81" s="207"/>
      <c r="KK81" s="207"/>
      <c r="KL81" s="207"/>
      <c r="KM81" s="207"/>
      <c r="KN81" s="207"/>
      <c r="KO81" s="207"/>
      <c r="KP81" s="207"/>
      <c r="KQ81" s="207"/>
      <c r="KR81" s="207"/>
      <c r="KS81" s="207"/>
      <c r="KT81" s="208"/>
      <c r="KU81" s="207"/>
    </row>
    <row r="82" ht="33.75" customHeight="1">
      <c r="A82" s="209" t="s">
        <v>34</v>
      </c>
      <c r="B82" s="210" t="s">
        <v>35</v>
      </c>
      <c r="C82" s="211" t="s">
        <v>36</v>
      </c>
      <c r="D82" s="66"/>
      <c r="E82" s="66"/>
      <c r="F82" s="66"/>
      <c r="G82" s="67"/>
      <c r="H82" s="211" t="s">
        <v>37</v>
      </c>
      <c r="I82" s="67"/>
      <c r="J82" s="211" t="s">
        <v>38</v>
      </c>
      <c r="K82" s="66"/>
      <c r="L82" s="67"/>
      <c r="M82" s="210" t="s">
        <v>39</v>
      </c>
      <c r="N82" s="211" t="s">
        <v>40</v>
      </c>
      <c r="O82" s="67"/>
      <c r="P82" s="212" t="s">
        <v>41</v>
      </c>
      <c r="Q82" s="213"/>
      <c r="R82" s="209" t="s">
        <v>34</v>
      </c>
      <c r="S82" s="210" t="s">
        <v>35</v>
      </c>
      <c r="T82" s="211" t="s">
        <v>36</v>
      </c>
      <c r="U82" s="66"/>
      <c r="V82" s="66"/>
      <c r="W82" s="66"/>
      <c r="X82" s="67"/>
      <c r="Y82" s="211" t="s">
        <v>37</v>
      </c>
      <c r="Z82" s="67"/>
      <c r="AA82" s="211" t="s">
        <v>38</v>
      </c>
      <c r="AB82" s="66"/>
      <c r="AC82" s="67"/>
      <c r="AD82" s="210" t="s">
        <v>39</v>
      </c>
      <c r="AE82" s="211" t="s">
        <v>40</v>
      </c>
      <c r="AF82" s="67"/>
      <c r="AG82" s="212" t="s">
        <v>41</v>
      </c>
      <c r="AH82" s="213"/>
      <c r="AI82" s="209" t="s">
        <v>34</v>
      </c>
      <c r="AJ82" s="210" t="s">
        <v>35</v>
      </c>
      <c r="AK82" s="211" t="s">
        <v>36</v>
      </c>
      <c r="AL82" s="66"/>
      <c r="AM82" s="66"/>
      <c r="AN82" s="66"/>
      <c r="AO82" s="67"/>
      <c r="AP82" s="211" t="s">
        <v>37</v>
      </c>
      <c r="AQ82" s="67"/>
      <c r="AR82" s="211" t="s">
        <v>38</v>
      </c>
      <c r="AS82" s="66"/>
      <c r="AT82" s="67"/>
      <c r="AU82" s="210" t="s">
        <v>39</v>
      </c>
      <c r="AV82" s="211" t="s">
        <v>40</v>
      </c>
      <c r="AW82" s="67"/>
      <c r="AX82" s="212" t="s">
        <v>41</v>
      </c>
      <c r="AY82" s="213"/>
      <c r="AZ82" s="209" t="s">
        <v>34</v>
      </c>
      <c r="BA82" s="210" t="s">
        <v>35</v>
      </c>
      <c r="BB82" s="211" t="s">
        <v>36</v>
      </c>
      <c r="BC82" s="66"/>
      <c r="BD82" s="66"/>
      <c r="BE82" s="66"/>
      <c r="BF82" s="67"/>
      <c r="BG82" s="211" t="s">
        <v>37</v>
      </c>
      <c r="BH82" s="67"/>
      <c r="BI82" s="211" t="s">
        <v>38</v>
      </c>
      <c r="BJ82" s="66"/>
      <c r="BK82" s="67"/>
      <c r="BL82" s="210" t="s">
        <v>39</v>
      </c>
      <c r="BM82" s="211" t="s">
        <v>40</v>
      </c>
      <c r="BN82" s="67"/>
      <c r="BO82" s="212" t="s">
        <v>41</v>
      </c>
      <c r="BP82" s="213"/>
      <c r="BQ82" s="209" t="s">
        <v>34</v>
      </c>
      <c r="BR82" s="210" t="s">
        <v>35</v>
      </c>
      <c r="BS82" s="211" t="s">
        <v>36</v>
      </c>
      <c r="BT82" s="66"/>
      <c r="BU82" s="66"/>
      <c r="BV82" s="66"/>
      <c r="BW82" s="67"/>
      <c r="BX82" s="211" t="s">
        <v>37</v>
      </c>
      <c r="BY82" s="67"/>
      <c r="BZ82" s="211" t="s">
        <v>38</v>
      </c>
      <c r="CA82" s="66"/>
      <c r="CB82" s="67"/>
      <c r="CC82" s="210" t="s">
        <v>39</v>
      </c>
      <c r="CD82" s="211" t="s">
        <v>40</v>
      </c>
      <c r="CE82" s="67"/>
      <c r="CF82" s="212" t="s">
        <v>41</v>
      </c>
      <c r="CG82" s="213"/>
      <c r="CH82" s="209" t="s">
        <v>34</v>
      </c>
      <c r="CI82" s="210" t="s">
        <v>35</v>
      </c>
      <c r="CJ82" s="211" t="s">
        <v>36</v>
      </c>
      <c r="CK82" s="66"/>
      <c r="CL82" s="66"/>
      <c r="CM82" s="66"/>
      <c r="CN82" s="67"/>
      <c r="CO82" s="211" t="s">
        <v>37</v>
      </c>
      <c r="CP82" s="67"/>
      <c r="CQ82" s="211" t="s">
        <v>38</v>
      </c>
      <c r="CR82" s="66"/>
      <c r="CS82" s="67"/>
      <c r="CT82" s="210" t="s">
        <v>39</v>
      </c>
      <c r="CU82" s="211" t="s">
        <v>40</v>
      </c>
      <c r="CV82" s="67"/>
      <c r="CW82" s="212" t="s">
        <v>41</v>
      </c>
      <c r="CX82" s="213"/>
      <c r="CY82" s="209" t="s">
        <v>34</v>
      </c>
      <c r="CZ82" s="210" t="s">
        <v>35</v>
      </c>
      <c r="DA82" s="211" t="s">
        <v>36</v>
      </c>
      <c r="DB82" s="66"/>
      <c r="DC82" s="66"/>
      <c r="DD82" s="66"/>
      <c r="DE82" s="67"/>
      <c r="DF82" s="211" t="s">
        <v>37</v>
      </c>
      <c r="DG82" s="67"/>
      <c r="DH82" s="211" t="s">
        <v>38</v>
      </c>
      <c r="DI82" s="66"/>
      <c r="DJ82" s="67"/>
      <c r="DK82" s="210" t="s">
        <v>39</v>
      </c>
      <c r="DL82" s="211" t="s">
        <v>40</v>
      </c>
      <c r="DM82" s="67"/>
      <c r="DN82" s="212" t="s">
        <v>41</v>
      </c>
      <c r="DO82" s="213"/>
      <c r="DP82" s="209" t="s">
        <v>34</v>
      </c>
      <c r="DQ82" s="210" t="s">
        <v>35</v>
      </c>
      <c r="DR82" s="211" t="s">
        <v>36</v>
      </c>
      <c r="DS82" s="66"/>
      <c r="DT82" s="66"/>
      <c r="DU82" s="66"/>
      <c r="DV82" s="67"/>
      <c r="DW82" s="211" t="s">
        <v>37</v>
      </c>
      <c r="DX82" s="67"/>
      <c r="DY82" s="211" t="s">
        <v>38</v>
      </c>
      <c r="DZ82" s="66"/>
      <c r="EA82" s="67"/>
      <c r="EB82" s="210" t="s">
        <v>39</v>
      </c>
      <c r="EC82" s="211" t="s">
        <v>40</v>
      </c>
      <c r="ED82" s="67"/>
      <c r="EE82" s="212" t="s">
        <v>41</v>
      </c>
      <c r="EF82" s="213"/>
      <c r="EG82" s="209" t="s">
        <v>34</v>
      </c>
      <c r="EH82" s="210" t="s">
        <v>35</v>
      </c>
      <c r="EI82" s="211" t="s">
        <v>36</v>
      </c>
      <c r="EJ82" s="66"/>
      <c r="EK82" s="66"/>
      <c r="EL82" s="66"/>
      <c r="EM82" s="67"/>
      <c r="EN82" s="211" t="s">
        <v>37</v>
      </c>
      <c r="EO82" s="67"/>
      <c r="EP82" s="211" t="s">
        <v>38</v>
      </c>
      <c r="EQ82" s="66"/>
      <c r="ER82" s="67"/>
      <c r="ES82" s="210" t="s">
        <v>39</v>
      </c>
      <c r="ET82" s="211" t="s">
        <v>40</v>
      </c>
      <c r="EU82" s="67"/>
      <c r="EV82" s="212" t="s">
        <v>41</v>
      </c>
      <c r="EW82" s="213"/>
      <c r="EX82" s="209" t="s">
        <v>34</v>
      </c>
      <c r="EY82" s="210" t="s">
        <v>35</v>
      </c>
      <c r="EZ82" s="211" t="s">
        <v>36</v>
      </c>
      <c r="FA82" s="66"/>
      <c r="FB82" s="66"/>
      <c r="FC82" s="66"/>
      <c r="FD82" s="67"/>
      <c r="FE82" s="211" t="s">
        <v>37</v>
      </c>
      <c r="FF82" s="67"/>
      <c r="FG82" s="211" t="s">
        <v>38</v>
      </c>
      <c r="FH82" s="66"/>
      <c r="FI82" s="67"/>
      <c r="FJ82" s="210" t="s">
        <v>39</v>
      </c>
      <c r="FK82" s="211" t="s">
        <v>40</v>
      </c>
      <c r="FL82" s="67"/>
      <c r="FM82" s="212" t="s">
        <v>41</v>
      </c>
      <c r="FN82" s="213"/>
      <c r="FO82" s="209" t="s">
        <v>34</v>
      </c>
      <c r="FP82" s="210" t="s">
        <v>35</v>
      </c>
      <c r="FQ82" s="211" t="s">
        <v>36</v>
      </c>
      <c r="FR82" s="66"/>
      <c r="FS82" s="66"/>
      <c r="FT82" s="66"/>
      <c r="FU82" s="67"/>
      <c r="FV82" s="211" t="s">
        <v>37</v>
      </c>
      <c r="FW82" s="67"/>
      <c r="FX82" s="211" t="s">
        <v>38</v>
      </c>
      <c r="FY82" s="66"/>
      <c r="FZ82" s="67"/>
      <c r="GA82" s="210" t="s">
        <v>39</v>
      </c>
      <c r="GB82" s="211" t="s">
        <v>40</v>
      </c>
      <c r="GC82" s="67"/>
      <c r="GD82" s="212" t="s">
        <v>41</v>
      </c>
      <c r="GE82" s="213"/>
      <c r="GF82" s="209" t="s">
        <v>34</v>
      </c>
      <c r="GG82" s="210" t="s">
        <v>35</v>
      </c>
      <c r="GH82" s="211" t="s">
        <v>36</v>
      </c>
      <c r="GI82" s="66"/>
      <c r="GJ82" s="66"/>
      <c r="GK82" s="66"/>
      <c r="GL82" s="67"/>
      <c r="GM82" s="211" t="s">
        <v>37</v>
      </c>
      <c r="GN82" s="67"/>
      <c r="GO82" s="211" t="s">
        <v>38</v>
      </c>
      <c r="GP82" s="66"/>
      <c r="GQ82" s="67"/>
      <c r="GR82" s="210" t="s">
        <v>39</v>
      </c>
      <c r="GS82" s="211" t="s">
        <v>40</v>
      </c>
      <c r="GT82" s="67"/>
      <c r="GU82" s="212" t="s">
        <v>41</v>
      </c>
      <c r="GV82" s="213"/>
      <c r="GW82" s="209" t="s">
        <v>34</v>
      </c>
      <c r="GX82" s="210" t="s">
        <v>35</v>
      </c>
      <c r="GY82" s="211" t="s">
        <v>36</v>
      </c>
      <c r="GZ82" s="66"/>
      <c r="HA82" s="66"/>
      <c r="HB82" s="66"/>
      <c r="HC82" s="67"/>
      <c r="HD82" s="211" t="s">
        <v>37</v>
      </c>
      <c r="HE82" s="67"/>
      <c r="HF82" s="211" t="s">
        <v>38</v>
      </c>
      <c r="HG82" s="66"/>
      <c r="HH82" s="67"/>
      <c r="HI82" s="210" t="s">
        <v>39</v>
      </c>
      <c r="HJ82" s="211" t="s">
        <v>40</v>
      </c>
      <c r="HK82" s="67"/>
      <c r="HL82" s="212" t="s">
        <v>41</v>
      </c>
      <c r="HM82" s="213"/>
      <c r="HN82" s="209" t="s">
        <v>34</v>
      </c>
      <c r="HO82" s="210" t="s">
        <v>35</v>
      </c>
      <c r="HP82" s="211" t="s">
        <v>36</v>
      </c>
      <c r="HQ82" s="66"/>
      <c r="HR82" s="66"/>
      <c r="HS82" s="66"/>
      <c r="HT82" s="67"/>
      <c r="HU82" s="211" t="s">
        <v>37</v>
      </c>
      <c r="HV82" s="67"/>
      <c r="HW82" s="211" t="s">
        <v>38</v>
      </c>
      <c r="HX82" s="66"/>
      <c r="HY82" s="67"/>
      <c r="HZ82" s="210" t="s">
        <v>39</v>
      </c>
      <c r="IA82" s="211" t="s">
        <v>40</v>
      </c>
      <c r="IB82" s="67"/>
      <c r="IC82" s="212" t="s">
        <v>41</v>
      </c>
      <c r="ID82" s="213"/>
      <c r="IE82" s="209" t="s">
        <v>34</v>
      </c>
      <c r="IF82" s="210" t="s">
        <v>35</v>
      </c>
      <c r="IG82" s="211" t="s">
        <v>36</v>
      </c>
      <c r="IH82" s="66"/>
      <c r="II82" s="66"/>
      <c r="IJ82" s="66"/>
      <c r="IK82" s="67"/>
      <c r="IL82" s="211" t="s">
        <v>37</v>
      </c>
      <c r="IM82" s="67"/>
      <c r="IN82" s="211" t="s">
        <v>38</v>
      </c>
      <c r="IO82" s="66"/>
      <c r="IP82" s="67"/>
      <c r="IQ82" s="210" t="s">
        <v>39</v>
      </c>
      <c r="IR82" s="211" t="s">
        <v>40</v>
      </c>
      <c r="IS82" s="67"/>
      <c r="IT82" s="212" t="s">
        <v>41</v>
      </c>
      <c r="IU82" s="213"/>
      <c r="IV82" s="209" t="s">
        <v>34</v>
      </c>
      <c r="IW82" s="210" t="s">
        <v>35</v>
      </c>
      <c r="IX82" s="211" t="s">
        <v>36</v>
      </c>
      <c r="IY82" s="66"/>
      <c r="IZ82" s="66"/>
      <c r="JA82" s="66"/>
      <c r="JB82" s="67"/>
      <c r="JC82" s="211" t="s">
        <v>37</v>
      </c>
      <c r="JD82" s="67"/>
      <c r="JE82" s="211" t="s">
        <v>38</v>
      </c>
      <c r="JF82" s="66"/>
      <c r="JG82" s="67"/>
      <c r="JH82" s="210" t="s">
        <v>39</v>
      </c>
      <c r="JI82" s="211" t="s">
        <v>40</v>
      </c>
      <c r="JJ82" s="67"/>
      <c r="JK82" s="212" t="s">
        <v>41</v>
      </c>
      <c r="JL82" s="214"/>
      <c r="JM82" s="209" t="s">
        <v>34</v>
      </c>
      <c r="JN82" s="210" t="s">
        <v>35</v>
      </c>
      <c r="JO82" s="211" t="s">
        <v>36</v>
      </c>
      <c r="JP82" s="66"/>
      <c r="JQ82" s="66"/>
      <c r="JR82" s="66"/>
      <c r="JS82" s="67"/>
      <c r="JT82" s="211" t="s">
        <v>37</v>
      </c>
      <c r="JU82" s="67"/>
      <c r="JV82" s="211" t="s">
        <v>38</v>
      </c>
      <c r="JW82" s="66"/>
      <c r="JX82" s="67"/>
      <c r="JY82" s="210" t="s">
        <v>39</v>
      </c>
      <c r="JZ82" s="211" t="s">
        <v>40</v>
      </c>
      <c r="KA82" s="67"/>
      <c r="KB82" s="212" t="s">
        <v>41</v>
      </c>
      <c r="KC82" s="214"/>
      <c r="KD82" s="209" t="s">
        <v>34</v>
      </c>
      <c r="KE82" s="210" t="s">
        <v>35</v>
      </c>
      <c r="KF82" s="211" t="s">
        <v>36</v>
      </c>
      <c r="KG82" s="66"/>
      <c r="KH82" s="66"/>
      <c r="KI82" s="66"/>
      <c r="KJ82" s="67"/>
      <c r="KK82" s="211" t="s">
        <v>37</v>
      </c>
      <c r="KL82" s="67"/>
      <c r="KM82" s="211" t="s">
        <v>38</v>
      </c>
      <c r="KN82" s="66"/>
      <c r="KO82" s="67"/>
      <c r="KP82" s="210" t="s">
        <v>39</v>
      </c>
      <c r="KQ82" s="211" t="s">
        <v>40</v>
      </c>
      <c r="KR82" s="67"/>
      <c r="KS82" s="212" t="s">
        <v>41</v>
      </c>
      <c r="KT82" s="214"/>
      <c r="KU82" s="215"/>
    </row>
    <row r="83" ht="66.0" customHeight="1">
      <c r="A83" s="72"/>
      <c r="B83" s="55"/>
      <c r="C83" s="216" t="s">
        <v>42</v>
      </c>
      <c r="D83" s="216" t="s">
        <v>43</v>
      </c>
      <c r="E83" s="216" t="s">
        <v>44</v>
      </c>
      <c r="F83" s="216" t="s">
        <v>45</v>
      </c>
      <c r="G83" s="216" t="s">
        <v>46</v>
      </c>
      <c r="H83" s="217" t="s">
        <v>47</v>
      </c>
      <c r="I83" s="216" t="s">
        <v>48</v>
      </c>
      <c r="J83" s="217" t="str">
        <f>"Total Biaya Perawatan "&amp;G79&amp;" (Juta Rp)"</f>
        <v>Total Biaya Perawatan Triwulan II (Juta Rp)</v>
      </c>
      <c r="K83" s="217" t="str">
        <f>"Total Biaya Perawatan "&amp;G43&amp;" (Juta Rp)"</f>
        <v>Total Biaya Perawatan Triwulan I (Juta Rp)</v>
      </c>
      <c r="L83" s="216" t="s">
        <v>49</v>
      </c>
      <c r="M83" s="55"/>
      <c r="N83" s="217" t="s">
        <v>47</v>
      </c>
      <c r="O83" s="217" t="s">
        <v>50</v>
      </c>
      <c r="P83" s="75"/>
      <c r="Q83" s="213"/>
      <c r="R83" s="72"/>
      <c r="S83" s="55"/>
      <c r="T83" s="216" t="s">
        <v>42</v>
      </c>
      <c r="U83" s="216" t="s">
        <v>43</v>
      </c>
      <c r="V83" s="216" t="s">
        <v>44</v>
      </c>
      <c r="W83" s="216" t="s">
        <v>45</v>
      </c>
      <c r="X83" s="216" t="s">
        <v>46</v>
      </c>
      <c r="Y83" s="217" t="s">
        <v>47</v>
      </c>
      <c r="Z83" s="216" t="s">
        <v>48</v>
      </c>
      <c r="AA83" s="217" t="str">
        <f>"Total Biaya Perawatan "&amp;X79&amp;" (Juta Rp)"</f>
        <v>Total Biaya Perawatan Triwulan II (Juta Rp)</v>
      </c>
      <c r="AB83" s="217" t="str">
        <f>"Total Biaya Perawatan "&amp;X43&amp;" (Juta Rp)"</f>
        <v>Total Biaya Perawatan Triwulan I (Juta Rp)</v>
      </c>
      <c r="AC83" s="216" t="s">
        <v>49</v>
      </c>
      <c r="AD83" s="55"/>
      <c r="AE83" s="217" t="s">
        <v>47</v>
      </c>
      <c r="AF83" s="217" t="s">
        <v>50</v>
      </c>
      <c r="AG83" s="75"/>
      <c r="AH83" s="213"/>
      <c r="AI83" s="72"/>
      <c r="AJ83" s="55"/>
      <c r="AK83" s="216" t="s">
        <v>42</v>
      </c>
      <c r="AL83" s="216" t="s">
        <v>43</v>
      </c>
      <c r="AM83" s="216" t="s">
        <v>44</v>
      </c>
      <c r="AN83" s="216" t="s">
        <v>45</v>
      </c>
      <c r="AO83" s="216" t="s">
        <v>46</v>
      </c>
      <c r="AP83" s="217" t="s">
        <v>47</v>
      </c>
      <c r="AQ83" s="216" t="s">
        <v>48</v>
      </c>
      <c r="AR83" s="217" t="str">
        <f>"Total Biaya Perawatan "&amp;AO79&amp;" (Juta Rp)"</f>
        <v>Total Biaya Perawatan Triwulan II (Juta Rp)</v>
      </c>
      <c r="AS83" s="217" t="str">
        <f>"Total Biaya Perawatan "&amp;AO43&amp;" (Juta Rp)"</f>
        <v>Total Biaya Perawatan Triwulan I (Juta Rp)</v>
      </c>
      <c r="AT83" s="216" t="s">
        <v>49</v>
      </c>
      <c r="AU83" s="55"/>
      <c r="AV83" s="217" t="s">
        <v>47</v>
      </c>
      <c r="AW83" s="217" t="s">
        <v>50</v>
      </c>
      <c r="AX83" s="75"/>
      <c r="AY83" s="213"/>
      <c r="AZ83" s="72"/>
      <c r="BA83" s="55"/>
      <c r="BB83" s="216" t="s">
        <v>42</v>
      </c>
      <c r="BC83" s="216" t="s">
        <v>43</v>
      </c>
      <c r="BD83" s="216" t="s">
        <v>44</v>
      </c>
      <c r="BE83" s="216" t="s">
        <v>45</v>
      </c>
      <c r="BF83" s="216" t="s">
        <v>46</v>
      </c>
      <c r="BG83" s="217" t="s">
        <v>47</v>
      </c>
      <c r="BH83" s="216" t="s">
        <v>48</v>
      </c>
      <c r="BI83" s="217" t="str">
        <f>"Total Biaya Perawatan "&amp;BF79&amp;" (Juta Rp)"</f>
        <v>Total Biaya Perawatan Triwulan II (Juta Rp)</v>
      </c>
      <c r="BJ83" s="217" t="str">
        <f>"Total Biaya Perawatan "&amp;BF43&amp;" (Juta Rp)"</f>
        <v>Total Biaya Perawatan Triwulan I (Juta Rp)</v>
      </c>
      <c r="BK83" s="216" t="s">
        <v>49</v>
      </c>
      <c r="BL83" s="55"/>
      <c r="BM83" s="217" t="s">
        <v>47</v>
      </c>
      <c r="BN83" s="217" t="s">
        <v>50</v>
      </c>
      <c r="BO83" s="75"/>
      <c r="BP83" s="213"/>
      <c r="BQ83" s="72"/>
      <c r="BR83" s="55"/>
      <c r="BS83" s="216" t="s">
        <v>42</v>
      </c>
      <c r="BT83" s="216" t="s">
        <v>43</v>
      </c>
      <c r="BU83" s="216" t="s">
        <v>44</v>
      </c>
      <c r="BV83" s="216" t="s">
        <v>45</v>
      </c>
      <c r="BW83" s="216" t="s">
        <v>46</v>
      </c>
      <c r="BX83" s="217" t="s">
        <v>47</v>
      </c>
      <c r="BY83" s="216" t="s">
        <v>48</v>
      </c>
      <c r="BZ83" s="217" t="str">
        <f>"Total Biaya Perawatan "&amp;BW79&amp;" (Juta Rp)"</f>
        <v>Total Biaya Perawatan Triwulan II (Juta Rp)</v>
      </c>
      <c r="CA83" s="217" t="str">
        <f>"Total Biaya Perawatan "&amp;BW43&amp;" (Juta Rp)"</f>
        <v>Total Biaya Perawatan Triwulan I (Juta Rp)</v>
      </c>
      <c r="CB83" s="216" t="s">
        <v>49</v>
      </c>
      <c r="CC83" s="55"/>
      <c r="CD83" s="217" t="s">
        <v>47</v>
      </c>
      <c r="CE83" s="217" t="s">
        <v>50</v>
      </c>
      <c r="CF83" s="75"/>
      <c r="CG83" s="213"/>
      <c r="CH83" s="72"/>
      <c r="CI83" s="55"/>
      <c r="CJ83" s="216" t="s">
        <v>42</v>
      </c>
      <c r="CK83" s="216" t="s">
        <v>43</v>
      </c>
      <c r="CL83" s="216" t="s">
        <v>44</v>
      </c>
      <c r="CM83" s="216" t="s">
        <v>45</v>
      </c>
      <c r="CN83" s="216" t="s">
        <v>46</v>
      </c>
      <c r="CO83" s="217" t="s">
        <v>47</v>
      </c>
      <c r="CP83" s="216" t="s">
        <v>48</v>
      </c>
      <c r="CQ83" s="217" t="str">
        <f>"Total Biaya Perawatan "&amp;CN79&amp;" (Juta Rp)"</f>
        <v>Total Biaya Perawatan Triwulan II (Juta Rp)</v>
      </c>
      <c r="CR83" s="217" t="str">
        <f>"Total Biaya Perawatan "&amp;CN43&amp;" (Juta Rp)"</f>
        <v>Total Biaya Perawatan Triwulan I (Juta Rp)</v>
      </c>
      <c r="CS83" s="216" t="s">
        <v>49</v>
      </c>
      <c r="CT83" s="55"/>
      <c r="CU83" s="217" t="s">
        <v>47</v>
      </c>
      <c r="CV83" s="217" t="s">
        <v>50</v>
      </c>
      <c r="CW83" s="75"/>
      <c r="CX83" s="213"/>
      <c r="CY83" s="72"/>
      <c r="CZ83" s="55"/>
      <c r="DA83" s="216" t="s">
        <v>42</v>
      </c>
      <c r="DB83" s="216" t="s">
        <v>43</v>
      </c>
      <c r="DC83" s="216" t="s">
        <v>44</v>
      </c>
      <c r="DD83" s="216" t="s">
        <v>45</v>
      </c>
      <c r="DE83" s="216" t="s">
        <v>46</v>
      </c>
      <c r="DF83" s="217" t="s">
        <v>47</v>
      </c>
      <c r="DG83" s="216" t="s">
        <v>48</v>
      </c>
      <c r="DH83" s="217" t="str">
        <f>"Total Biaya Perawatan "&amp;DE79&amp;" (Juta Rp)"</f>
        <v>Total Biaya Perawatan Triwulan II (Juta Rp)</v>
      </c>
      <c r="DI83" s="217" t="str">
        <f>"Total Biaya Perawatan "&amp;DE43&amp;" (Juta Rp)"</f>
        <v>Total Biaya Perawatan Triwulan I (Juta Rp)</v>
      </c>
      <c r="DJ83" s="216" t="s">
        <v>49</v>
      </c>
      <c r="DK83" s="55"/>
      <c r="DL83" s="217" t="s">
        <v>47</v>
      </c>
      <c r="DM83" s="217" t="s">
        <v>50</v>
      </c>
      <c r="DN83" s="75"/>
      <c r="DO83" s="213"/>
      <c r="DP83" s="72"/>
      <c r="DQ83" s="55"/>
      <c r="DR83" s="216" t="s">
        <v>42</v>
      </c>
      <c r="DS83" s="216" t="s">
        <v>43</v>
      </c>
      <c r="DT83" s="216" t="s">
        <v>44</v>
      </c>
      <c r="DU83" s="216" t="s">
        <v>45</v>
      </c>
      <c r="DV83" s="216" t="s">
        <v>46</v>
      </c>
      <c r="DW83" s="217" t="s">
        <v>47</v>
      </c>
      <c r="DX83" s="216" t="s">
        <v>48</v>
      </c>
      <c r="DY83" s="217" t="str">
        <f>"Total Biaya Perawatan "&amp;DV79&amp;" (Juta Rp)"</f>
        <v>Total Biaya Perawatan Triwulan II (Juta Rp)</v>
      </c>
      <c r="DZ83" s="217" t="str">
        <f>"Total Biaya Perawatan "&amp;DV43&amp;" (Juta Rp)"</f>
        <v>Total Biaya Perawatan Triwulan I (Juta Rp)</v>
      </c>
      <c r="EA83" s="216" t="s">
        <v>49</v>
      </c>
      <c r="EB83" s="55"/>
      <c r="EC83" s="217" t="s">
        <v>47</v>
      </c>
      <c r="ED83" s="217" t="s">
        <v>50</v>
      </c>
      <c r="EE83" s="75"/>
      <c r="EF83" s="213"/>
      <c r="EG83" s="72"/>
      <c r="EH83" s="55"/>
      <c r="EI83" s="216" t="s">
        <v>42</v>
      </c>
      <c r="EJ83" s="216" t="s">
        <v>43</v>
      </c>
      <c r="EK83" s="216" t="s">
        <v>44</v>
      </c>
      <c r="EL83" s="216" t="s">
        <v>45</v>
      </c>
      <c r="EM83" s="216" t="s">
        <v>46</v>
      </c>
      <c r="EN83" s="217" t="s">
        <v>47</v>
      </c>
      <c r="EO83" s="216" t="s">
        <v>48</v>
      </c>
      <c r="EP83" s="217" t="str">
        <f>"Total Biaya Perawatan "&amp;EM79&amp;" (Juta Rp)"</f>
        <v>Total Biaya Perawatan Triwulan II (Juta Rp)</v>
      </c>
      <c r="EQ83" s="217" t="str">
        <f>"Total Biaya Perawatan "&amp;EM43&amp;" (Juta Rp)"</f>
        <v>Total Biaya Perawatan Triwulan I (Juta Rp)</v>
      </c>
      <c r="ER83" s="216" t="s">
        <v>49</v>
      </c>
      <c r="ES83" s="55"/>
      <c r="ET83" s="217" t="s">
        <v>47</v>
      </c>
      <c r="EU83" s="217" t="s">
        <v>50</v>
      </c>
      <c r="EV83" s="75"/>
      <c r="EW83" s="213"/>
      <c r="EX83" s="72"/>
      <c r="EY83" s="55"/>
      <c r="EZ83" s="216" t="s">
        <v>42</v>
      </c>
      <c r="FA83" s="216" t="s">
        <v>43</v>
      </c>
      <c r="FB83" s="216" t="s">
        <v>44</v>
      </c>
      <c r="FC83" s="216" t="s">
        <v>45</v>
      </c>
      <c r="FD83" s="216" t="s">
        <v>46</v>
      </c>
      <c r="FE83" s="217" t="s">
        <v>47</v>
      </c>
      <c r="FF83" s="216" t="s">
        <v>48</v>
      </c>
      <c r="FG83" s="217" t="str">
        <f>"Total Biaya Perawatan "&amp;FD79&amp;" (Juta Rp)"</f>
        <v>Total Biaya Perawatan Triwulan II (Juta Rp)</v>
      </c>
      <c r="FH83" s="217" t="str">
        <f>"Total Biaya Perawatan "&amp;FD43&amp;" (Juta Rp)"</f>
        <v>Total Biaya Perawatan Triwulan I (Juta Rp)</v>
      </c>
      <c r="FI83" s="216" t="s">
        <v>49</v>
      </c>
      <c r="FJ83" s="55"/>
      <c r="FK83" s="217" t="s">
        <v>47</v>
      </c>
      <c r="FL83" s="217" t="s">
        <v>50</v>
      </c>
      <c r="FM83" s="75"/>
      <c r="FN83" s="213"/>
      <c r="FO83" s="72"/>
      <c r="FP83" s="55"/>
      <c r="FQ83" s="216" t="s">
        <v>42</v>
      </c>
      <c r="FR83" s="216" t="s">
        <v>43</v>
      </c>
      <c r="FS83" s="216" t="s">
        <v>44</v>
      </c>
      <c r="FT83" s="216" t="s">
        <v>45</v>
      </c>
      <c r="FU83" s="216" t="s">
        <v>46</v>
      </c>
      <c r="FV83" s="217" t="s">
        <v>47</v>
      </c>
      <c r="FW83" s="216" t="s">
        <v>48</v>
      </c>
      <c r="FX83" s="217" t="str">
        <f>"Total Biaya Perawatan "&amp;FU79&amp;" (Juta Rp)"</f>
        <v>Total Biaya Perawatan Triwulan II (Juta Rp)</v>
      </c>
      <c r="FY83" s="217" t="str">
        <f>"Total Biaya Perawatan "&amp;FU43&amp;" (Juta Rp)"</f>
        <v>Total Biaya Perawatan Triwulan I (Juta Rp)</v>
      </c>
      <c r="FZ83" s="216" t="s">
        <v>49</v>
      </c>
      <c r="GA83" s="55"/>
      <c r="GB83" s="217" t="s">
        <v>47</v>
      </c>
      <c r="GC83" s="217" t="s">
        <v>50</v>
      </c>
      <c r="GD83" s="75"/>
      <c r="GE83" s="213"/>
      <c r="GF83" s="72"/>
      <c r="GG83" s="55"/>
      <c r="GH83" s="216" t="s">
        <v>42</v>
      </c>
      <c r="GI83" s="216" t="s">
        <v>43</v>
      </c>
      <c r="GJ83" s="216" t="s">
        <v>44</v>
      </c>
      <c r="GK83" s="216" t="s">
        <v>45</v>
      </c>
      <c r="GL83" s="216" t="s">
        <v>46</v>
      </c>
      <c r="GM83" s="217" t="s">
        <v>47</v>
      </c>
      <c r="GN83" s="216" t="s">
        <v>48</v>
      </c>
      <c r="GO83" s="217" t="str">
        <f>"Total Biaya Perawatan "&amp;GL79&amp;" (Juta Rp)"</f>
        <v>Total Biaya Perawatan Triwulan II (Juta Rp)</v>
      </c>
      <c r="GP83" s="217" t="str">
        <f>"Total Biaya Perawatan "&amp;GL43&amp;" (Juta Rp)"</f>
        <v>Total Biaya Perawatan Triwulan I (Juta Rp)</v>
      </c>
      <c r="GQ83" s="216" t="s">
        <v>49</v>
      </c>
      <c r="GR83" s="55"/>
      <c r="GS83" s="217" t="s">
        <v>47</v>
      </c>
      <c r="GT83" s="217" t="s">
        <v>50</v>
      </c>
      <c r="GU83" s="75"/>
      <c r="GV83" s="213"/>
      <c r="GW83" s="72"/>
      <c r="GX83" s="55"/>
      <c r="GY83" s="216" t="s">
        <v>42</v>
      </c>
      <c r="GZ83" s="216" t="s">
        <v>43</v>
      </c>
      <c r="HA83" s="216" t="s">
        <v>44</v>
      </c>
      <c r="HB83" s="216" t="s">
        <v>45</v>
      </c>
      <c r="HC83" s="216" t="s">
        <v>46</v>
      </c>
      <c r="HD83" s="217" t="s">
        <v>47</v>
      </c>
      <c r="HE83" s="216" t="s">
        <v>48</v>
      </c>
      <c r="HF83" s="217" t="str">
        <f>"Total Biaya Perawatan "&amp;HC79&amp;" (Juta Rp)"</f>
        <v>Total Biaya Perawatan Triwulan II (Juta Rp)</v>
      </c>
      <c r="HG83" s="217" t="str">
        <f>"Total Biaya Perawatan "&amp;HC43&amp;" (Juta Rp)"</f>
        <v>Total Biaya Perawatan Triwulan I (Juta Rp)</v>
      </c>
      <c r="HH83" s="216" t="s">
        <v>49</v>
      </c>
      <c r="HI83" s="55"/>
      <c r="HJ83" s="217" t="s">
        <v>47</v>
      </c>
      <c r="HK83" s="217" t="s">
        <v>50</v>
      </c>
      <c r="HL83" s="75"/>
      <c r="HM83" s="213"/>
      <c r="HN83" s="72"/>
      <c r="HO83" s="55"/>
      <c r="HP83" s="216" t="s">
        <v>42</v>
      </c>
      <c r="HQ83" s="216" t="s">
        <v>43</v>
      </c>
      <c r="HR83" s="216" t="s">
        <v>44</v>
      </c>
      <c r="HS83" s="216" t="s">
        <v>45</v>
      </c>
      <c r="HT83" s="216" t="s">
        <v>46</v>
      </c>
      <c r="HU83" s="217" t="s">
        <v>47</v>
      </c>
      <c r="HV83" s="216" t="s">
        <v>48</v>
      </c>
      <c r="HW83" s="217" t="str">
        <f>"Total Biaya Perawatan "&amp;HT79&amp;" (Juta Rp)"</f>
        <v>Total Biaya Perawatan Triwulan II (Juta Rp)</v>
      </c>
      <c r="HX83" s="217" t="str">
        <f>"Total Biaya Perawatan "&amp;HT43&amp;" (Juta Rp)"</f>
        <v>Total Biaya Perawatan Triwulan I (Juta Rp)</v>
      </c>
      <c r="HY83" s="216" t="s">
        <v>49</v>
      </c>
      <c r="HZ83" s="55"/>
      <c r="IA83" s="217" t="s">
        <v>47</v>
      </c>
      <c r="IB83" s="217" t="s">
        <v>50</v>
      </c>
      <c r="IC83" s="75"/>
      <c r="ID83" s="213"/>
      <c r="IE83" s="72"/>
      <c r="IF83" s="55"/>
      <c r="IG83" s="216" t="s">
        <v>42</v>
      </c>
      <c r="IH83" s="216" t="s">
        <v>43</v>
      </c>
      <c r="II83" s="216" t="s">
        <v>44</v>
      </c>
      <c r="IJ83" s="216" t="s">
        <v>45</v>
      </c>
      <c r="IK83" s="216" t="s">
        <v>46</v>
      </c>
      <c r="IL83" s="217" t="s">
        <v>47</v>
      </c>
      <c r="IM83" s="216" t="s">
        <v>48</v>
      </c>
      <c r="IN83" s="217" t="str">
        <f>"Total Biaya Perawatan "&amp;IK79&amp;" (Juta Rp)"</f>
        <v>Total Biaya Perawatan Triwulan II (Juta Rp)</v>
      </c>
      <c r="IO83" s="217" t="str">
        <f>"Total Biaya Perawatan "&amp;IK43&amp;" (Juta Rp)"</f>
        <v>Total Biaya Perawatan Triwulan I (Juta Rp)</v>
      </c>
      <c r="IP83" s="216" t="s">
        <v>49</v>
      </c>
      <c r="IQ83" s="55"/>
      <c r="IR83" s="217" t="s">
        <v>47</v>
      </c>
      <c r="IS83" s="217" t="s">
        <v>50</v>
      </c>
      <c r="IT83" s="75"/>
      <c r="IU83" s="213"/>
      <c r="IV83" s="72"/>
      <c r="IW83" s="55"/>
      <c r="IX83" s="216" t="s">
        <v>42</v>
      </c>
      <c r="IY83" s="216" t="s">
        <v>43</v>
      </c>
      <c r="IZ83" s="216" t="s">
        <v>44</v>
      </c>
      <c r="JA83" s="216" t="s">
        <v>45</v>
      </c>
      <c r="JB83" s="216" t="s">
        <v>46</v>
      </c>
      <c r="JC83" s="217" t="s">
        <v>47</v>
      </c>
      <c r="JD83" s="216" t="s">
        <v>48</v>
      </c>
      <c r="JE83" s="217" t="str">
        <f>"Total Biaya Perawatan "&amp;JB79&amp;" (Juta Rp)"</f>
        <v>Total Biaya Perawatan Triwulan II (Juta Rp)</v>
      </c>
      <c r="JF83" s="217" t="str">
        <f>"Total Biaya Perawatan "&amp;JB43&amp;" (Juta Rp)"</f>
        <v>Total Biaya Perawatan Triwulan I (Juta Rp)</v>
      </c>
      <c r="JG83" s="216" t="s">
        <v>49</v>
      </c>
      <c r="JH83" s="55"/>
      <c r="JI83" s="217" t="s">
        <v>47</v>
      </c>
      <c r="JJ83" s="217" t="s">
        <v>50</v>
      </c>
      <c r="JK83" s="75"/>
      <c r="JL83" s="214"/>
      <c r="JM83" s="72"/>
      <c r="JN83" s="55"/>
      <c r="JO83" s="216" t="s">
        <v>42</v>
      </c>
      <c r="JP83" s="216" t="s">
        <v>43</v>
      </c>
      <c r="JQ83" s="216" t="s">
        <v>44</v>
      </c>
      <c r="JR83" s="216" t="s">
        <v>45</v>
      </c>
      <c r="JS83" s="216" t="s">
        <v>46</v>
      </c>
      <c r="JT83" s="217" t="s">
        <v>47</v>
      </c>
      <c r="JU83" s="216" t="s">
        <v>48</v>
      </c>
      <c r="JV83" s="217" t="str">
        <f>"Total Biaya Perawatan "&amp;JS79&amp;" (Juta Rp)"</f>
        <v>Total Biaya Perawatan Triwulan II (Juta Rp)</v>
      </c>
      <c r="JW83" s="217" t="str">
        <f>"Total Biaya Perawatan "&amp;JS43&amp;" (Juta Rp)"</f>
        <v>Total Biaya Perawatan Triwulan I (Juta Rp)</v>
      </c>
      <c r="JX83" s="216" t="s">
        <v>49</v>
      </c>
      <c r="JY83" s="55"/>
      <c r="JZ83" s="217" t="s">
        <v>47</v>
      </c>
      <c r="KA83" s="217" t="s">
        <v>50</v>
      </c>
      <c r="KB83" s="75"/>
      <c r="KC83" s="214"/>
      <c r="KD83" s="72"/>
      <c r="KE83" s="55"/>
      <c r="KF83" s="216" t="s">
        <v>42</v>
      </c>
      <c r="KG83" s="216" t="s">
        <v>43</v>
      </c>
      <c r="KH83" s="216" t="s">
        <v>44</v>
      </c>
      <c r="KI83" s="216" t="s">
        <v>45</v>
      </c>
      <c r="KJ83" s="216" t="s">
        <v>46</v>
      </c>
      <c r="KK83" s="217" t="s">
        <v>47</v>
      </c>
      <c r="KL83" s="216" t="s">
        <v>48</v>
      </c>
      <c r="KM83" s="217" t="str">
        <f>"Total Biaya Perawatan "&amp;KJ79&amp;" (Juta Rp)"</f>
        <v>Total Biaya Perawatan Triwulan II (Juta Rp)</v>
      </c>
      <c r="KN83" s="217" t="str">
        <f>"Total Biaya Perawatan "&amp;KJ43&amp;" (Juta Rp)"</f>
        <v>Total Biaya Perawatan Triwulan I (Juta Rp)</v>
      </c>
      <c r="KO83" s="216" t="s">
        <v>49</v>
      </c>
      <c r="KP83" s="55"/>
      <c r="KQ83" s="217" t="s">
        <v>47</v>
      </c>
      <c r="KR83" s="217" t="s">
        <v>50</v>
      </c>
      <c r="KS83" s="75"/>
      <c r="KT83" s="214"/>
      <c r="KU83" s="215"/>
    </row>
    <row r="84" ht="15.75" customHeight="1">
      <c r="A84" s="218">
        <v>-1.0</v>
      </c>
      <c r="B84" s="219">
        <v>-2.0</v>
      </c>
      <c r="C84" s="219">
        <v>-3.0</v>
      </c>
      <c r="D84" s="219">
        <v>-4.0</v>
      </c>
      <c r="E84" s="219">
        <v>-5.0</v>
      </c>
      <c r="F84" s="219">
        <v>-6.0</v>
      </c>
      <c r="G84" s="219">
        <v>-7.0</v>
      </c>
      <c r="H84" s="219">
        <v>-8.0</v>
      </c>
      <c r="I84" s="219">
        <v>-9.0</v>
      </c>
      <c r="J84" s="219">
        <v>-10.0</v>
      </c>
      <c r="K84" s="219">
        <v>-11.0</v>
      </c>
      <c r="L84" s="219">
        <v>-12.0</v>
      </c>
      <c r="M84" s="219">
        <v>-13.0</v>
      </c>
      <c r="N84" s="219">
        <v>-14.0</v>
      </c>
      <c r="O84" s="219">
        <v>-15.0</v>
      </c>
      <c r="P84" s="219">
        <v>-16.0</v>
      </c>
      <c r="Q84" s="220"/>
      <c r="R84" s="218">
        <v>-1.0</v>
      </c>
      <c r="S84" s="219">
        <v>-2.0</v>
      </c>
      <c r="T84" s="219">
        <v>-3.0</v>
      </c>
      <c r="U84" s="219">
        <v>-4.0</v>
      </c>
      <c r="V84" s="219">
        <v>-5.0</v>
      </c>
      <c r="W84" s="219">
        <v>-6.0</v>
      </c>
      <c r="X84" s="219">
        <v>-7.0</v>
      </c>
      <c r="Y84" s="219">
        <v>-8.0</v>
      </c>
      <c r="Z84" s="219">
        <v>-9.0</v>
      </c>
      <c r="AA84" s="219">
        <v>-10.0</v>
      </c>
      <c r="AB84" s="219">
        <v>-11.0</v>
      </c>
      <c r="AC84" s="219">
        <v>-12.0</v>
      </c>
      <c r="AD84" s="219">
        <v>-13.0</v>
      </c>
      <c r="AE84" s="219">
        <v>-14.0</v>
      </c>
      <c r="AF84" s="219">
        <v>-15.0</v>
      </c>
      <c r="AG84" s="219">
        <v>-16.0</v>
      </c>
      <c r="AH84" s="220"/>
      <c r="AI84" s="218">
        <v>-1.0</v>
      </c>
      <c r="AJ84" s="219">
        <v>-2.0</v>
      </c>
      <c r="AK84" s="219">
        <v>-3.0</v>
      </c>
      <c r="AL84" s="219">
        <v>-4.0</v>
      </c>
      <c r="AM84" s="219">
        <v>-5.0</v>
      </c>
      <c r="AN84" s="219">
        <v>-6.0</v>
      </c>
      <c r="AO84" s="219">
        <v>-7.0</v>
      </c>
      <c r="AP84" s="219">
        <v>-8.0</v>
      </c>
      <c r="AQ84" s="219">
        <v>-9.0</v>
      </c>
      <c r="AR84" s="219">
        <v>-10.0</v>
      </c>
      <c r="AS84" s="219">
        <v>-11.0</v>
      </c>
      <c r="AT84" s="219">
        <v>-12.0</v>
      </c>
      <c r="AU84" s="219">
        <v>-13.0</v>
      </c>
      <c r="AV84" s="219">
        <v>-14.0</v>
      </c>
      <c r="AW84" s="219">
        <v>-15.0</v>
      </c>
      <c r="AX84" s="219">
        <v>-16.0</v>
      </c>
      <c r="AY84" s="220"/>
      <c r="AZ84" s="218">
        <v>-1.0</v>
      </c>
      <c r="BA84" s="219">
        <v>-2.0</v>
      </c>
      <c r="BB84" s="219">
        <v>-3.0</v>
      </c>
      <c r="BC84" s="219">
        <v>-4.0</v>
      </c>
      <c r="BD84" s="219">
        <v>-5.0</v>
      </c>
      <c r="BE84" s="219">
        <v>-6.0</v>
      </c>
      <c r="BF84" s="219">
        <v>-7.0</v>
      </c>
      <c r="BG84" s="219">
        <v>-8.0</v>
      </c>
      <c r="BH84" s="219">
        <v>-9.0</v>
      </c>
      <c r="BI84" s="219">
        <v>-10.0</v>
      </c>
      <c r="BJ84" s="219">
        <v>-11.0</v>
      </c>
      <c r="BK84" s="219">
        <v>-12.0</v>
      </c>
      <c r="BL84" s="219">
        <v>-13.0</v>
      </c>
      <c r="BM84" s="219">
        <v>-14.0</v>
      </c>
      <c r="BN84" s="219">
        <v>-15.0</v>
      </c>
      <c r="BO84" s="219">
        <v>-16.0</v>
      </c>
      <c r="BP84" s="220"/>
      <c r="BQ84" s="218">
        <v>-1.0</v>
      </c>
      <c r="BR84" s="219">
        <v>-2.0</v>
      </c>
      <c r="BS84" s="219">
        <v>-3.0</v>
      </c>
      <c r="BT84" s="219">
        <v>-4.0</v>
      </c>
      <c r="BU84" s="219">
        <v>-5.0</v>
      </c>
      <c r="BV84" s="219">
        <v>-6.0</v>
      </c>
      <c r="BW84" s="219">
        <v>-7.0</v>
      </c>
      <c r="BX84" s="219">
        <v>-8.0</v>
      </c>
      <c r="BY84" s="219">
        <v>-9.0</v>
      </c>
      <c r="BZ84" s="219">
        <v>-10.0</v>
      </c>
      <c r="CA84" s="219">
        <v>-11.0</v>
      </c>
      <c r="CB84" s="219">
        <v>-12.0</v>
      </c>
      <c r="CC84" s="219">
        <v>-13.0</v>
      </c>
      <c r="CD84" s="219">
        <v>-14.0</v>
      </c>
      <c r="CE84" s="219">
        <v>-15.0</v>
      </c>
      <c r="CF84" s="219">
        <v>-16.0</v>
      </c>
      <c r="CG84" s="220"/>
      <c r="CH84" s="218">
        <v>-1.0</v>
      </c>
      <c r="CI84" s="219">
        <v>-2.0</v>
      </c>
      <c r="CJ84" s="219">
        <v>-3.0</v>
      </c>
      <c r="CK84" s="219">
        <v>-4.0</v>
      </c>
      <c r="CL84" s="219">
        <v>-5.0</v>
      </c>
      <c r="CM84" s="219">
        <v>-6.0</v>
      </c>
      <c r="CN84" s="219">
        <v>-7.0</v>
      </c>
      <c r="CO84" s="219">
        <v>-8.0</v>
      </c>
      <c r="CP84" s="219">
        <v>-9.0</v>
      </c>
      <c r="CQ84" s="219">
        <v>-10.0</v>
      </c>
      <c r="CR84" s="219">
        <v>-11.0</v>
      </c>
      <c r="CS84" s="219">
        <v>-12.0</v>
      </c>
      <c r="CT84" s="219">
        <v>-13.0</v>
      </c>
      <c r="CU84" s="219">
        <v>-14.0</v>
      </c>
      <c r="CV84" s="219">
        <v>-15.0</v>
      </c>
      <c r="CW84" s="219">
        <v>-16.0</v>
      </c>
      <c r="CX84" s="220"/>
      <c r="CY84" s="218">
        <v>-1.0</v>
      </c>
      <c r="CZ84" s="219">
        <v>-2.0</v>
      </c>
      <c r="DA84" s="219">
        <v>-3.0</v>
      </c>
      <c r="DB84" s="219">
        <v>-4.0</v>
      </c>
      <c r="DC84" s="219">
        <v>-5.0</v>
      </c>
      <c r="DD84" s="219">
        <v>-6.0</v>
      </c>
      <c r="DE84" s="219">
        <v>-7.0</v>
      </c>
      <c r="DF84" s="219">
        <v>-8.0</v>
      </c>
      <c r="DG84" s="219">
        <v>-9.0</v>
      </c>
      <c r="DH84" s="219">
        <v>-10.0</v>
      </c>
      <c r="DI84" s="219">
        <v>-11.0</v>
      </c>
      <c r="DJ84" s="219">
        <v>-12.0</v>
      </c>
      <c r="DK84" s="219">
        <v>-13.0</v>
      </c>
      <c r="DL84" s="219">
        <v>-14.0</v>
      </c>
      <c r="DM84" s="219">
        <v>-15.0</v>
      </c>
      <c r="DN84" s="219">
        <v>-16.0</v>
      </c>
      <c r="DO84" s="220"/>
      <c r="DP84" s="218">
        <v>-1.0</v>
      </c>
      <c r="DQ84" s="219">
        <v>-2.0</v>
      </c>
      <c r="DR84" s="219">
        <v>-3.0</v>
      </c>
      <c r="DS84" s="219">
        <v>-4.0</v>
      </c>
      <c r="DT84" s="219">
        <v>-5.0</v>
      </c>
      <c r="DU84" s="219">
        <v>-6.0</v>
      </c>
      <c r="DV84" s="219">
        <v>-7.0</v>
      </c>
      <c r="DW84" s="219">
        <v>-8.0</v>
      </c>
      <c r="DX84" s="219">
        <v>-9.0</v>
      </c>
      <c r="DY84" s="219">
        <v>-10.0</v>
      </c>
      <c r="DZ84" s="219">
        <v>-11.0</v>
      </c>
      <c r="EA84" s="219">
        <v>-12.0</v>
      </c>
      <c r="EB84" s="219">
        <v>-13.0</v>
      </c>
      <c r="EC84" s="219">
        <v>-14.0</v>
      </c>
      <c r="ED84" s="219">
        <v>-15.0</v>
      </c>
      <c r="EE84" s="219">
        <v>-16.0</v>
      </c>
      <c r="EF84" s="220"/>
      <c r="EG84" s="218">
        <v>-1.0</v>
      </c>
      <c r="EH84" s="219">
        <v>-2.0</v>
      </c>
      <c r="EI84" s="219">
        <v>-3.0</v>
      </c>
      <c r="EJ84" s="219">
        <v>-4.0</v>
      </c>
      <c r="EK84" s="219">
        <v>-5.0</v>
      </c>
      <c r="EL84" s="219">
        <v>-6.0</v>
      </c>
      <c r="EM84" s="219">
        <v>-7.0</v>
      </c>
      <c r="EN84" s="219">
        <v>-8.0</v>
      </c>
      <c r="EO84" s="219">
        <v>-9.0</v>
      </c>
      <c r="EP84" s="219">
        <v>-10.0</v>
      </c>
      <c r="EQ84" s="219">
        <v>-11.0</v>
      </c>
      <c r="ER84" s="219">
        <v>-12.0</v>
      </c>
      <c r="ES84" s="219">
        <v>-13.0</v>
      </c>
      <c r="ET84" s="219">
        <v>-14.0</v>
      </c>
      <c r="EU84" s="219">
        <v>-15.0</v>
      </c>
      <c r="EV84" s="219">
        <v>-16.0</v>
      </c>
      <c r="EW84" s="220"/>
      <c r="EX84" s="218">
        <v>-1.0</v>
      </c>
      <c r="EY84" s="219">
        <v>-2.0</v>
      </c>
      <c r="EZ84" s="219">
        <v>-3.0</v>
      </c>
      <c r="FA84" s="219">
        <v>-4.0</v>
      </c>
      <c r="FB84" s="219">
        <v>-5.0</v>
      </c>
      <c r="FC84" s="219">
        <v>-6.0</v>
      </c>
      <c r="FD84" s="219">
        <v>-7.0</v>
      </c>
      <c r="FE84" s="219">
        <v>-8.0</v>
      </c>
      <c r="FF84" s="219">
        <v>-9.0</v>
      </c>
      <c r="FG84" s="219">
        <v>-10.0</v>
      </c>
      <c r="FH84" s="219">
        <v>-11.0</v>
      </c>
      <c r="FI84" s="219">
        <v>-12.0</v>
      </c>
      <c r="FJ84" s="219">
        <v>-13.0</v>
      </c>
      <c r="FK84" s="219">
        <v>-14.0</v>
      </c>
      <c r="FL84" s="219">
        <v>-15.0</v>
      </c>
      <c r="FM84" s="219">
        <v>-16.0</v>
      </c>
      <c r="FN84" s="220"/>
      <c r="FO84" s="218">
        <v>-1.0</v>
      </c>
      <c r="FP84" s="219">
        <v>-2.0</v>
      </c>
      <c r="FQ84" s="219">
        <v>-3.0</v>
      </c>
      <c r="FR84" s="219">
        <v>-4.0</v>
      </c>
      <c r="FS84" s="219">
        <v>-5.0</v>
      </c>
      <c r="FT84" s="219">
        <v>-6.0</v>
      </c>
      <c r="FU84" s="219">
        <v>-7.0</v>
      </c>
      <c r="FV84" s="219">
        <v>-8.0</v>
      </c>
      <c r="FW84" s="219">
        <v>-9.0</v>
      </c>
      <c r="FX84" s="219">
        <v>-10.0</v>
      </c>
      <c r="FY84" s="219">
        <v>-11.0</v>
      </c>
      <c r="FZ84" s="219">
        <v>-12.0</v>
      </c>
      <c r="GA84" s="219">
        <v>-13.0</v>
      </c>
      <c r="GB84" s="219">
        <v>-14.0</v>
      </c>
      <c r="GC84" s="219">
        <v>-15.0</v>
      </c>
      <c r="GD84" s="219">
        <v>-16.0</v>
      </c>
      <c r="GE84" s="220"/>
      <c r="GF84" s="218">
        <v>-1.0</v>
      </c>
      <c r="GG84" s="219">
        <v>-2.0</v>
      </c>
      <c r="GH84" s="219">
        <v>-3.0</v>
      </c>
      <c r="GI84" s="219">
        <v>-4.0</v>
      </c>
      <c r="GJ84" s="219">
        <v>-5.0</v>
      </c>
      <c r="GK84" s="219">
        <v>-6.0</v>
      </c>
      <c r="GL84" s="219">
        <v>-7.0</v>
      </c>
      <c r="GM84" s="219">
        <v>-8.0</v>
      </c>
      <c r="GN84" s="219">
        <v>-9.0</v>
      </c>
      <c r="GO84" s="219">
        <v>-10.0</v>
      </c>
      <c r="GP84" s="219">
        <v>-11.0</v>
      </c>
      <c r="GQ84" s="219">
        <v>-12.0</v>
      </c>
      <c r="GR84" s="219">
        <v>-13.0</v>
      </c>
      <c r="GS84" s="219">
        <v>-14.0</v>
      </c>
      <c r="GT84" s="219">
        <v>-15.0</v>
      </c>
      <c r="GU84" s="219">
        <v>-16.0</v>
      </c>
      <c r="GV84" s="220"/>
      <c r="GW84" s="218">
        <v>-1.0</v>
      </c>
      <c r="GX84" s="219">
        <v>-2.0</v>
      </c>
      <c r="GY84" s="219">
        <v>-3.0</v>
      </c>
      <c r="GZ84" s="219">
        <v>-4.0</v>
      </c>
      <c r="HA84" s="219">
        <v>-5.0</v>
      </c>
      <c r="HB84" s="219">
        <v>-6.0</v>
      </c>
      <c r="HC84" s="219">
        <v>-7.0</v>
      </c>
      <c r="HD84" s="219">
        <v>-8.0</v>
      </c>
      <c r="HE84" s="219">
        <v>-9.0</v>
      </c>
      <c r="HF84" s="219">
        <v>-10.0</v>
      </c>
      <c r="HG84" s="219">
        <v>-11.0</v>
      </c>
      <c r="HH84" s="219">
        <v>-12.0</v>
      </c>
      <c r="HI84" s="219">
        <v>-13.0</v>
      </c>
      <c r="HJ84" s="219">
        <v>-14.0</v>
      </c>
      <c r="HK84" s="219">
        <v>-15.0</v>
      </c>
      <c r="HL84" s="219">
        <v>-16.0</v>
      </c>
      <c r="HM84" s="220"/>
      <c r="HN84" s="218">
        <v>-1.0</v>
      </c>
      <c r="HO84" s="219">
        <v>-2.0</v>
      </c>
      <c r="HP84" s="219">
        <v>-3.0</v>
      </c>
      <c r="HQ84" s="219">
        <v>-4.0</v>
      </c>
      <c r="HR84" s="219">
        <v>-5.0</v>
      </c>
      <c r="HS84" s="219">
        <v>-6.0</v>
      </c>
      <c r="HT84" s="219">
        <v>-7.0</v>
      </c>
      <c r="HU84" s="219">
        <v>-8.0</v>
      </c>
      <c r="HV84" s="219">
        <v>-9.0</v>
      </c>
      <c r="HW84" s="219">
        <v>-10.0</v>
      </c>
      <c r="HX84" s="219">
        <v>-11.0</v>
      </c>
      <c r="HY84" s="219">
        <v>-12.0</v>
      </c>
      <c r="HZ84" s="219">
        <v>-13.0</v>
      </c>
      <c r="IA84" s="219">
        <v>-14.0</v>
      </c>
      <c r="IB84" s="219">
        <v>-15.0</v>
      </c>
      <c r="IC84" s="219">
        <v>-16.0</v>
      </c>
      <c r="ID84" s="220"/>
      <c r="IE84" s="218">
        <v>-1.0</v>
      </c>
      <c r="IF84" s="219">
        <v>-2.0</v>
      </c>
      <c r="IG84" s="219">
        <v>-3.0</v>
      </c>
      <c r="IH84" s="219">
        <v>-4.0</v>
      </c>
      <c r="II84" s="219">
        <v>-5.0</v>
      </c>
      <c r="IJ84" s="219">
        <v>-6.0</v>
      </c>
      <c r="IK84" s="219">
        <v>-7.0</v>
      </c>
      <c r="IL84" s="219">
        <v>-8.0</v>
      </c>
      <c r="IM84" s="219">
        <v>-9.0</v>
      </c>
      <c r="IN84" s="219">
        <v>-10.0</v>
      </c>
      <c r="IO84" s="219">
        <v>-11.0</v>
      </c>
      <c r="IP84" s="219">
        <v>-12.0</v>
      </c>
      <c r="IQ84" s="219">
        <v>-13.0</v>
      </c>
      <c r="IR84" s="219">
        <v>-14.0</v>
      </c>
      <c r="IS84" s="219">
        <v>-15.0</v>
      </c>
      <c r="IT84" s="219">
        <v>-16.0</v>
      </c>
      <c r="IU84" s="220"/>
      <c r="IV84" s="218">
        <v>-1.0</v>
      </c>
      <c r="IW84" s="219">
        <v>-2.0</v>
      </c>
      <c r="IX84" s="219">
        <v>-3.0</v>
      </c>
      <c r="IY84" s="219">
        <v>-4.0</v>
      </c>
      <c r="IZ84" s="219">
        <v>-5.0</v>
      </c>
      <c r="JA84" s="219">
        <v>-6.0</v>
      </c>
      <c r="JB84" s="219">
        <v>-7.0</v>
      </c>
      <c r="JC84" s="219">
        <v>-8.0</v>
      </c>
      <c r="JD84" s="219">
        <v>-9.0</v>
      </c>
      <c r="JE84" s="219">
        <v>-10.0</v>
      </c>
      <c r="JF84" s="219">
        <v>-11.0</v>
      </c>
      <c r="JG84" s="219">
        <v>-12.0</v>
      </c>
      <c r="JH84" s="219">
        <v>-13.0</v>
      </c>
      <c r="JI84" s="219">
        <v>-14.0</v>
      </c>
      <c r="JJ84" s="219">
        <v>-15.0</v>
      </c>
      <c r="JK84" s="219">
        <v>-16.0</v>
      </c>
      <c r="JL84" s="220"/>
      <c r="JM84" s="218">
        <v>-1.0</v>
      </c>
      <c r="JN84" s="219">
        <v>-2.0</v>
      </c>
      <c r="JO84" s="219">
        <v>-3.0</v>
      </c>
      <c r="JP84" s="219">
        <v>-4.0</v>
      </c>
      <c r="JQ84" s="219">
        <v>-5.0</v>
      </c>
      <c r="JR84" s="219">
        <v>-6.0</v>
      </c>
      <c r="JS84" s="219">
        <v>-7.0</v>
      </c>
      <c r="JT84" s="219">
        <v>-8.0</v>
      </c>
      <c r="JU84" s="219">
        <v>-9.0</v>
      </c>
      <c r="JV84" s="219">
        <v>-10.0</v>
      </c>
      <c r="JW84" s="219">
        <v>-11.0</v>
      </c>
      <c r="JX84" s="219">
        <v>-12.0</v>
      </c>
      <c r="JY84" s="219">
        <v>-13.0</v>
      </c>
      <c r="JZ84" s="219">
        <v>-14.0</v>
      </c>
      <c r="KA84" s="219">
        <v>-15.0</v>
      </c>
      <c r="KB84" s="219">
        <v>-16.0</v>
      </c>
      <c r="KC84" s="220"/>
      <c r="KD84" s="218">
        <v>-1.0</v>
      </c>
      <c r="KE84" s="219">
        <v>-2.0</v>
      </c>
      <c r="KF84" s="219">
        <v>-3.0</v>
      </c>
      <c r="KG84" s="219">
        <v>-4.0</v>
      </c>
      <c r="KH84" s="219">
        <v>-5.0</v>
      </c>
      <c r="KI84" s="219">
        <v>-6.0</v>
      </c>
      <c r="KJ84" s="219">
        <v>-7.0</v>
      </c>
      <c r="KK84" s="219">
        <v>-8.0</v>
      </c>
      <c r="KL84" s="219">
        <v>-9.0</v>
      </c>
      <c r="KM84" s="219">
        <v>-10.0</v>
      </c>
      <c r="KN84" s="219">
        <v>-11.0</v>
      </c>
      <c r="KO84" s="219">
        <v>-12.0</v>
      </c>
      <c r="KP84" s="219">
        <v>-13.0</v>
      </c>
      <c r="KQ84" s="219">
        <v>-14.0</v>
      </c>
      <c r="KR84" s="219">
        <v>-15.0</v>
      </c>
      <c r="KS84" s="219">
        <v>-16.0</v>
      </c>
      <c r="KT84" s="220"/>
      <c r="KU84" s="221"/>
    </row>
    <row r="85" ht="15.75" customHeight="1">
      <c r="A85" s="222">
        <v>1.0</v>
      </c>
      <c r="B85" s="223" t="str">
        <f t="shared" ref="B85:D85" si="1060">IFERROR(VLOOKUP($A85,$A$13:$D$30,-B$12,FALSE),"")</f>
        <v>Bijih  Emas</v>
      </c>
      <c r="C85" s="224" t="str">
        <f t="shared" si="1060"/>
        <v>Bijih </v>
      </c>
      <c r="D85" s="224" t="str">
        <f t="shared" si="1060"/>
        <v>Kg</v>
      </c>
      <c r="E85" s="225" t="str">
        <f>ADHK!E85</f>
        <v/>
      </c>
      <c r="F85" s="225" t="str">
        <f>ADHK!F85</f>
        <v/>
      </c>
      <c r="G85" s="225">
        <f t="shared" ref="G85:G101" si="1079">IFERROR(+E85*F85/1000000,"")</f>
        <v>0</v>
      </c>
      <c r="H85" s="226"/>
      <c r="I85" s="225">
        <f t="shared" ref="I85:I101" si="1080">IFERROR(+G85*H85,"")</f>
        <v>0</v>
      </c>
      <c r="J85" s="85"/>
      <c r="K85" s="85"/>
      <c r="L85" s="86"/>
      <c r="M85" s="227">
        <f t="shared" ref="M85:M101" si="1081">IFERROR(+(IF(G85="","0",G85))+(IF(I85="","0",I85))+(IF(L85="","0",L85)),"")</f>
        <v>0</v>
      </c>
      <c r="N85" s="226">
        <f t="shared" ref="N85:N101" si="1082">N49</f>
        <v>0.4604471269</v>
      </c>
      <c r="O85" s="228">
        <f t="shared" ref="O85:O101" si="1083">IFERROR(+N85*(M85-L85),"")</f>
        <v>0</v>
      </c>
      <c r="P85" s="229">
        <f t="shared" ref="P85:P101" si="1084">IFERROR(+(IF(M85="","0",M85))-(IF(O85="","0",O85)),"")</f>
        <v>0</v>
      </c>
      <c r="Q85" s="230"/>
      <c r="R85" s="222">
        <v>1.0</v>
      </c>
      <c r="S85" s="223" t="str">
        <f t="shared" ref="S85:U85" si="1061">IFERROR(VLOOKUP($R85,$A$13:$D$30,-S$12,FALSE),"")</f>
        <v>Bijih  Emas</v>
      </c>
      <c r="T85" s="224" t="str">
        <f t="shared" si="1061"/>
        <v>Bijih </v>
      </c>
      <c r="U85" s="224" t="str">
        <f t="shared" si="1061"/>
        <v>Kg</v>
      </c>
      <c r="V85" s="225" t="str">
        <f>ADHK!V85</f>
        <v/>
      </c>
      <c r="W85" s="225"/>
      <c r="X85" s="225">
        <f t="shared" ref="X85:X101" si="1086">IFERROR(+V85*W85/1000000,"")</f>
        <v>0</v>
      </c>
      <c r="Y85" s="226"/>
      <c r="Z85" s="225">
        <f t="shared" ref="Z85:Z101" si="1087">IFERROR(+X85*Y85,"")</f>
        <v>0</v>
      </c>
      <c r="AA85" s="85"/>
      <c r="AB85" s="85"/>
      <c r="AC85" s="86"/>
      <c r="AD85" s="227">
        <f t="shared" ref="AD85:AD101" si="1088">IFERROR(+(IF(X85="","0",X85))+(IF(Z85="","0",Z85))+(IF(AC85="","0",AC85)),"")</f>
        <v>0</v>
      </c>
      <c r="AE85" s="226">
        <f t="shared" ref="AE85:AE101" si="1089">AE49</f>
        <v>0.4604471269</v>
      </c>
      <c r="AF85" s="228">
        <f t="shared" ref="AF85:AF101" si="1090">IFERROR(+AE85*(AD85-AC85),"")</f>
        <v>0</v>
      </c>
      <c r="AG85" s="229">
        <f t="shared" ref="AG85:AG101" si="1091">IFERROR(+(IF(AD85="","0",AD85))-(IF(AF85="","0",AF85)),"")</f>
        <v>0</v>
      </c>
      <c r="AH85" s="230"/>
      <c r="AI85" s="222">
        <v>1.0</v>
      </c>
      <c r="AJ85" s="223" t="str">
        <f t="shared" ref="AJ85:AL85" si="1062">IFERROR(VLOOKUP($R85,$A$13:$D$30,-AJ$12,FALSE),"")</f>
        <v>Bijih  Emas</v>
      </c>
      <c r="AK85" s="224" t="str">
        <f t="shared" si="1062"/>
        <v>Bijih </v>
      </c>
      <c r="AL85" s="224" t="str">
        <f t="shared" si="1062"/>
        <v>Kg</v>
      </c>
      <c r="AM85" s="225" t="str">
        <f>ADHK!AM85</f>
        <v/>
      </c>
      <c r="AN85" s="225"/>
      <c r="AO85" s="225">
        <f t="shared" ref="AO85:AO101" si="1093">IFERROR(+AM85*AN85/1000000,"")</f>
        <v>0</v>
      </c>
      <c r="AP85" s="226"/>
      <c r="AQ85" s="225">
        <f t="shared" ref="AQ85:AQ101" si="1094">IFERROR(+AO85*AP85,"")</f>
        <v>0</v>
      </c>
      <c r="AR85" s="85"/>
      <c r="AS85" s="85"/>
      <c r="AT85" s="86"/>
      <c r="AU85" s="227">
        <f t="shared" ref="AU85:AU101" si="1095">IFERROR(+(IF(AO85="","0",AO85))+(IF(AQ85="","0",AQ85))+(IF(AT85="","0",AT85)),"")</f>
        <v>0</v>
      </c>
      <c r="AV85" s="226">
        <f t="shared" ref="AV85:AV101" si="1096">AV49</f>
        <v>0.4604471269</v>
      </c>
      <c r="AW85" s="228">
        <f t="shared" ref="AW85:AW101" si="1097">IFERROR(+AV85*(AU85-AT85),"")</f>
        <v>0</v>
      </c>
      <c r="AX85" s="229">
        <f t="shared" ref="AX85:AX101" si="1098">IFERROR(+(IF(AU85="","0",AU85))-(IF(AW85="","0",AW85)),"")</f>
        <v>0</v>
      </c>
      <c r="AY85" s="230"/>
      <c r="AZ85" s="222">
        <v>1.0</v>
      </c>
      <c r="BA85" s="223" t="str">
        <f t="shared" ref="BA85:BC85" si="1063">IFERROR(VLOOKUP($R85,$A$13:$D$30,-BA$12,FALSE),"")</f>
        <v>Bijih  Emas</v>
      </c>
      <c r="BB85" s="224" t="str">
        <f t="shared" si="1063"/>
        <v>Bijih </v>
      </c>
      <c r="BC85" s="224" t="str">
        <f t="shared" si="1063"/>
        <v>Kg</v>
      </c>
      <c r="BD85" s="225" t="str">
        <f>ADHK!BD85</f>
        <v/>
      </c>
      <c r="BE85" s="225"/>
      <c r="BF85" s="225">
        <f t="shared" ref="BF85:BF101" si="1100">IFERROR(+BD85*BE85/1000000,"")</f>
        <v>0</v>
      </c>
      <c r="BG85" s="226"/>
      <c r="BH85" s="225">
        <f t="shared" ref="BH85:BH101" si="1101">IFERROR(+BF85*BG85,"")</f>
        <v>0</v>
      </c>
      <c r="BI85" s="85"/>
      <c r="BJ85" s="85"/>
      <c r="BK85" s="86"/>
      <c r="BL85" s="227">
        <f t="shared" ref="BL85:BL101" si="1102">IFERROR(+(IF(BF85="","0",BF85))+(IF(BH85="","0",BH85))+(IF(BK85="","0",BK85)),"")</f>
        <v>0</v>
      </c>
      <c r="BM85" s="226">
        <f t="shared" ref="BM85:BM101" si="1103">BM49</f>
        <v>0.4604471269</v>
      </c>
      <c r="BN85" s="228">
        <f t="shared" ref="BN85:BN101" si="1104">IFERROR(+BM85*(BL85-BK85),"")</f>
        <v>0</v>
      </c>
      <c r="BO85" s="229">
        <f t="shared" ref="BO85:BO101" si="1105">IFERROR(+(IF(BL85="","0",BL85))-(IF(BN85="","0",BN85)),"")</f>
        <v>0</v>
      </c>
      <c r="BP85" s="230"/>
      <c r="BQ85" s="222">
        <v>1.0</v>
      </c>
      <c r="BR85" s="223" t="str">
        <f t="shared" ref="BR85:BT85" si="1064">IFERROR(VLOOKUP($R85,$A$13:$D$30,-BR$12,FALSE),"")</f>
        <v>Bijih  Emas</v>
      </c>
      <c r="BS85" s="224" t="str">
        <f t="shared" si="1064"/>
        <v>Bijih </v>
      </c>
      <c r="BT85" s="224" t="str">
        <f t="shared" si="1064"/>
        <v>Kg</v>
      </c>
      <c r="BU85" s="225" t="str">
        <f>ADHK!BU85</f>
        <v/>
      </c>
      <c r="BV85" s="225"/>
      <c r="BW85" s="225">
        <f t="shared" ref="BW85:BW101" si="1107">IFERROR(+BU85*BV85/1000000,"")</f>
        <v>0</v>
      </c>
      <c r="BX85" s="226"/>
      <c r="BY85" s="225">
        <f t="shared" ref="BY85:BY101" si="1108">IFERROR(+BW85*BX85,"")</f>
        <v>0</v>
      </c>
      <c r="BZ85" s="85"/>
      <c r="CA85" s="85"/>
      <c r="CB85" s="86"/>
      <c r="CC85" s="227">
        <f t="shared" ref="CC85:CC101" si="1109">IFERROR(+(IF(BW85="","0",BW85))+(IF(BY85="","0",BY85))+(IF(CB85="","0",CB85)),"")</f>
        <v>0</v>
      </c>
      <c r="CD85" s="226">
        <f t="shared" ref="CD85:CD101" si="1110">CD49</f>
        <v>0.4604471269</v>
      </c>
      <c r="CE85" s="228">
        <f t="shared" ref="CE85:CE101" si="1111">IFERROR(+CD85*(CC85-CB85),"")</f>
        <v>0</v>
      </c>
      <c r="CF85" s="229">
        <f t="shared" ref="CF85:CF101" si="1112">IFERROR(+(IF(CC85="","0",CC85))-(IF(CE85="","0",CE85)),"")</f>
        <v>0</v>
      </c>
      <c r="CG85" s="230"/>
      <c r="CH85" s="222">
        <v>1.0</v>
      </c>
      <c r="CI85" s="223" t="str">
        <f t="shared" ref="CI85:CK85" si="1065">IFERROR(VLOOKUP($R85,$A$13:$D$30,-CI$12,FALSE),"")</f>
        <v>Bijih  Emas</v>
      </c>
      <c r="CJ85" s="224" t="str">
        <f t="shared" si="1065"/>
        <v>Bijih </v>
      </c>
      <c r="CK85" s="224" t="str">
        <f t="shared" si="1065"/>
        <v>Kg</v>
      </c>
      <c r="CL85" s="225" t="str">
        <f>ADHK!CL85</f>
        <v/>
      </c>
      <c r="CM85" s="225"/>
      <c r="CN85" s="225">
        <f t="shared" ref="CN85:CN101" si="1114">IFERROR(+CL85*CM85/1000000,"")</f>
        <v>0</v>
      </c>
      <c r="CO85" s="226"/>
      <c r="CP85" s="225">
        <f t="shared" ref="CP85:CP101" si="1115">IFERROR(+CN85*CO85,"")</f>
        <v>0</v>
      </c>
      <c r="CQ85" s="85"/>
      <c r="CR85" s="85"/>
      <c r="CS85" s="86"/>
      <c r="CT85" s="227">
        <f t="shared" ref="CT85:CT101" si="1116">IFERROR(+(IF(CN85="","0",CN85))+(IF(CP85="","0",CP85))+(IF(CS85="","0",CS85)),"")</f>
        <v>0</v>
      </c>
      <c r="CU85" s="226">
        <f t="shared" ref="CU85:CU101" si="1117">CU49</f>
        <v>0.4604471269</v>
      </c>
      <c r="CV85" s="228">
        <f t="shared" ref="CV85:CV101" si="1118">IFERROR(+CU85*(CT85-CS85),"")</f>
        <v>0</v>
      </c>
      <c r="CW85" s="229">
        <f t="shared" ref="CW85:CW101" si="1119">IFERROR(+(IF(CT85="","0",CT85))-(IF(CV85="","0",CV85)),"")</f>
        <v>0</v>
      </c>
      <c r="CX85" s="230"/>
      <c r="CY85" s="222">
        <v>1.0</v>
      </c>
      <c r="CZ85" s="223" t="str">
        <f t="shared" ref="CZ85:DB85" si="1066">IFERROR(VLOOKUP($R85,$A$13:$D$30,-CZ$12,FALSE),"")</f>
        <v>Bijih  Emas</v>
      </c>
      <c r="DA85" s="224" t="str">
        <f t="shared" si="1066"/>
        <v>Bijih </v>
      </c>
      <c r="DB85" s="224" t="str">
        <f t="shared" si="1066"/>
        <v>Kg</v>
      </c>
      <c r="DC85" s="225" t="str">
        <f>ADHK!DC85</f>
        <v/>
      </c>
      <c r="DD85" s="225"/>
      <c r="DE85" s="225">
        <f t="shared" ref="DE85:DE101" si="1121">IFERROR(+DC85*DD85/1000000,"")</f>
        <v>0</v>
      </c>
      <c r="DF85" s="226"/>
      <c r="DG85" s="225">
        <f t="shared" ref="DG85:DG101" si="1122">IFERROR(+DE85*DF85,"")</f>
        <v>0</v>
      </c>
      <c r="DH85" s="85"/>
      <c r="DI85" s="85"/>
      <c r="DJ85" s="86"/>
      <c r="DK85" s="227">
        <f t="shared" ref="DK85:DK101" si="1123">IFERROR(+(IF(DE85="","0",DE85))+(IF(DG85="","0",DG85))+(IF(DJ85="","0",DJ85)),"")</f>
        <v>0</v>
      </c>
      <c r="DL85" s="226">
        <f t="shared" ref="DL85:DL101" si="1124">DL49</f>
        <v>0.4604471269</v>
      </c>
      <c r="DM85" s="228">
        <f t="shared" ref="DM85:DM101" si="1125">IFERROR(+DL85*(DK85-DJ85),"")</f>
        <v>0</v>
      </c>
      <c r="DN85" s="229">
        <f t="shared" ref="DN85:DN101" si="1126">IFERROR(+(IF(DK85="","0",DK85))-(IF(DM85="","0",DM85)),"")</f>
        <v>0</v>
      </c>
      <c r="DO85" s="230"/>
      <c r="DP85" s="222">
        <v>1.0</v>
      </c>
      <c r="DQ85" s="223" t="str">
        <f t="shared" ref="DQ85:DS85" si="1067">IFERROR(VLOOKUP($R85,$A$13:$D$30,-DQ$12,FALSE),"")</f>
        <v>Bijih  Emas</v>
      </c>
      <c r="DR85" s="224" t="str">
        <f t="shared" si="1067"/>
        <v>Bijih </v>
      </c>
      <c r="DS85" s="224" t="str">
        <f t="shared" si="1067"/>
        <v>Kg</v>
      </c>
      <c r="DT85" s="225" t="str">
        <f>ADHK!DT85</f>
        <v/>
      </c>
      <c r="DU85" s="225"/>
      <c r="DV85" s="225">
        <f t="shared" ref="DV85:DV101" si="1128">IFERROR(+DT85*DU85/1000000,"")</f>
        <v>0</v>
      </c>
      <c r="DW85" s="226"/>
      <c r="DX85" s="225">
        <f t="shared" ref="DX85:DX101" si="1129">IFERROR(+DV85*DW85,"")</f>
        <v>0</v>
      </c>
      <c r="DY85" s="85"/>
      <c r="DZ85" s="85"/>
      <c r="EA85" s="86"/>
      <c r="EB85" s="227">
        <f t="shared" ref="EB85:EB101" si="1130">IFERROR(+(IF(DV85="","0",DV85))+(IF(DX85="","0",DX85))+(IF(EA85="","0",EA85)),"")</f>
        <v>0</v>
      </c>
      <c r="EC85" s="226">
        <f t="shared" ref="EC85:EC101" si="1131">EC49</f>
        <v>0.4604471269</v>
      </c>
      <c r="ED85" s="228">
        <f t="shared" ref="ED85:ED101" si="1132">IFERROR(+EC85*(EB85-EA85),"")</f>
        <v>0</v>
      </c>
      <c r="EE85" s="229">
        <f t="shared" ref="EE85:EE101" si="1133">IFERROR(+(IF(EB85="","0",EB85))-(IF(ED85="","0",ED85)),"")</f>
        <v>0</v>
      </c>
      <c r="EF85" s="230"/>
      <c r="EG85" s="222">
        <v>1.0</v>
      </c>
      <c r="EH85" s="223" t="str">
        <f t="shared" ref="EH85:EJ85" si="1068">IFERROR(VLOOKUP($R85,$A$13:$D$30,-EH$12,FALSE),"")</f>
        <v>Bijih  Emas</v>
      </c>
      <c r="EI85" s="224" t="str">
        <f t="shared" si="1068"/>
        <v>Bijih </v>
      </c>
      <c r="EJ85" s="224" t="str">
        <f t="shared" si="1068"/>
        <v>Kg</v>
      </c>
      <c r="EK85" s="225" t="str">
        <f>ADHK!EK85</f>
        <v/>
      </c>
      <c r="EL85" s="225"/>
      <c r="EM85" s="225">
        <f t="shared" ref="EM85:EM101" si="1135">IFERROR(+EK85*EL85/1000000,"")</f>
        <v>0</v>
      </c>
      <c r="EN85" s="226"/>
      <c r="EO85" s="225">
        <f t="shared" ref="EO85:EO101" si="1136">IFERROR(+EM85*EN85,"")</f>
        <v>0</v>
      </c>
      <c r="EP85" s="85"/>
      <c r="EQ85" s="85"/>
      <c r="ER85" s="86"/>
      <c r="ES85" s="227">
        <f t="shared" ref="ES85:ES101" si="1137">IFERROR(+(IF(EM85="","0",EM85))+(IF(EO85="","0",EO85))+(IF(ER85="","0",ER85)),"")</f>
        <v>0</v>
      </c>
      <c r="ET85" s="226">
        <f t="shared" ref="ET85:ET101" si="1138">ET49</f>
        <v>0.4604471269</v>
      </c>
      <c r="EU85" s="228">
        <f t="shared" ref="EU85:EU101" si="1139">IFERROR(+ET85*(ES85-ER85),"")</f>
        <v>0</v>
      </c>
      <c r="EV85" s="229">
        <f t="shared" ref="EV85:EV101" si="1140">IFERROR(+(IF(ES85="","0",ES85))-(IF(EU85="","0",EU85)),"")</f>
        <v>0</v>
      </c>
      <c r="EW85" s="230"/>
      <c r="EX85" s="222">
        <v>1.0</v>
      </c>
      <c r="EY85" s="223" t="str">
        <f t="shared" ref="EY85:FA85" si="1069">IFERROR(VLOOKUP($R85,$A$13:$D$30,-EY$12,FALSE),"")</f>
        <v>Bijih  Emas</v>
      </c>
      <c r="EZ85" s="224" t="str">
        <f t="shared" si="1069"/>
        <v>Bijih </v>
      </c>
      <c r="FA85" s="224" t="str">
        <f t="shared" si="1069"/>
        <v>Kg</v>
      </c>
      <c r="FB85" s="225" t="str">
        <f>ADHK!FB85</f>
        <v/>
      </c>
      <c r="FC85" s="225"/>
      <c r="FD85" s="225">
        <f t="shared" ref="FD85:FD101" si="1142">IFERROR(+FB85*FC85/1000000,"")</f>
        <v>0</v>
      </c>
      <c r="FE85" s="226"/>
      <c r="FF85" s="225">
        <f t="shared" ref="FF85:FF101" si="1143">IFERROR(+FD85*FE85,"")</f>
        <v>0</v>
      </c>
      <c r="FG85" s="85"/>
      <c r="FH85" s="85"/>
      <c r="FI85" s="86"/>
      <c r="FJ85" s="227">
        <f t="shared" ref="FJ85:FJ101" si="1144">IFERROR(+(IF(FD85="","0",FD85))+(IF(FF85="","0",FF85))+(IF(FI85="","0",FI85)),"")</f>
        <v>0</v>
      </c>
      <c r="FK85" s="226">
        <f t="shared" ref="FK85:FK101" si="1145">FK49</f>
        <v>0.4604471269</v>
      </c>
      <c r="FL85" s="228">
        <f t="shared" ref="FL85:FL101" si="1146">IFERROR(+FK85*(FJ85-FI85),"")</f>
        <v>0</v>
      </c>
      <c r="FM85" s="229">
        <f t="shared" ref="FM85:FM101" si="1147">IFERROR(+(IF(FJ85="","0",FJ85))-(IF(FL85="","0",FL85)),"")</f>
        <v>0</v>
      </c>
      <c r="FN85" s="230"/>
      <c r="FO85" s="222">
        <v>1.0</v>
      </c>
      <c r="FP85" s="223" t="str">
        <f t="shared" ref="FP85:FR85" si="1070">IFERROR(VLOOKUP($R85,$A$13:$D$30,-FP$12,FALSE),"")</f>
        <v>Bijih  Emas</v>
      </c>
      <c r="FQ85" s="224" t="str">
        <f t="shared" si="1070"/>
        <v>Bijih </v>
      </c>
      <c r="FR85" s="224" t="str">
        <f t="shared" si="1070"/>
        <v>Kg</v>
      </c>
      <c r="FS85" s="225" t="str">
        <f>ADHK!FS85</f>
        <v/>
      </c>
      <c r="FT85" s="225"/>
      <c r="FU85" s="225">
        <f t="shared" ref="FU85:FU101" si="1149">IFERROR(+FS85*FT85/1000000,"")</f>
        <v>0</v>
      </c>
      <c r="FV85" s="226"/>
      <c r="FW85" s="225">
        <f t="shared" ref="FW85:FW101" si="1150">IFERROR(+FU85*FV85,"")</f>
        <v>0</v>
      </c>
      <c r="FX85" s="85"/>
      <c r="FY85" s="85"/>
      <c r="FZ85" s="86"/>
      <c r="GA85" s="227">
        <f t="shared" ref="GA85:GA101" si="1151">IFERROR(+(IF(FU85="","0",FU85))+(IF(FW85="","0",FW85))+(IF(FZ85="","0",FZ85)),"")</f>
        <v>0</v>
      </c>
      <c r="GB85" s="226">
        <f t="shared" ref="GB85:GB101" si="1152">GB49</f>
        <v>0.4604471269</v>
      </c>
      <c r="GC85" s="228">
        <f t="shared" ref="GC85:GC101" si="1153">IFERROR(+GB85*(GA85-FZ85),"")</f>
        <v>0</v>
      </c>
      <c r="GD85" s="229">
        <f t="shared" ref="GD85:GD101" si="1154">IFERROR(+(IF(GA85="","0",GA85))-(IF(GC85="","0",GC85)),"")</f>
        <v>0</v>
      </c>
      <c r="GE85" s="230"/>
      <c r="GF85" s="222">
        <v>1.0</v>
      </c>
      <c r="GG85" s="223" t="str">
        <f t="shared" ref="GG85:GI85" si="1071">IFERROR(VLOOKUP($R85,$A$13:$D$30,-GG$12,FALSE),"")</f>
        <v>Bijih  Emas</v>
      </c>
      <c r="GH85" s="224" t="str">
        <f t="shared" si="1071"/>
        <v>Bijih </v>
      </c>
      <c r="GI85" s="224" t="str">
        <f t="shared" si="1071"/>
        <v>Kg</v>
      </c>
      <c r="GJ85" s="225" t="str">
        <f>ADHK!GJ85</f>
        <v/>
      </c>
      <c r="GK85" s="225"/>
      <c r="GL85" s="225">
        <f t="shared" ref="GL85:GL101" si="1156">IFERROR(+GJ85*GK85/1000000,"")</f>
        <v>0</v>
      </c>
      <c r="GM85" s="226"/>
      <c r="GN85" s="225">
        <f t="shared" ref="GN85:GN101" si="1157">IFERROR(+GL85*GM85,"")</f>
        <v>0</v>
      </c>
      <c r="GO85" s="85"/>
      <c r="GP85" s="85"/>
      <c r="GQ85" s="86"/>
      <c r="GR85" s="227">
        <f t="shared" ref="GR85:GR101" si="1158">IFERROR(+(IF(GL85="","0",GL85))+(IF(GN85="","0",GN85))+(IF(GQ85="","0",GQ85)),"")</f>
        <v>0</v>
      </c>
      <c r="GS85" s="226">
        <f t="shared" ref="GS85:GS101" si="1159">GS49</f>
        <v>0.4604471269</v>
      </c>
      <c r="GT85" s="228">
        <f t="shared" ref="GT85:GT101" si="1160">IFERROR(+GS85*(GR85-GQ85),"")</f>
        <v>0</v>
      </c>
      <c r="GU85" s="229">
        <f t="shared" ref="GU85:GU101" si="1161">IFERROR(+(IF(GR85="","0",GR85))-(IF(GT85="","0",GT85)),"")</f>
        <v>0</v>
      </c>
      <c r="GV85" s="230"/>
      <c r="GW85" s="222">
        <v>1.0</v>
      </c>
      <c r="GX85" s="223" t="str">
        <f t="shared" ref="GX85:GZ85" si="1072">IFERROR(VLOOKUP($R85,$A$13:$D$30,-GX$12,FALSE),"")</f>
        <v>Bijih  Emas</v>
      </c>
      <c r="GY85" s="224" t="str">
        <f t="shared" si="1072"/>
        <v>Bijih </v>
      </c>
      <c r="GZ85" s="224" t="str">
        <f t="shared" si="1072"/>
        <v>Kg</v>
      </c>
      <c r="HA85" s="225" t="str">
        <f>ADHK!HA85</f>
        <v/>
      </c>
      <c r="HB85" s="225"/>
      <c r="HC85" s="225">
        <f t="shared" ref="HC85:HC101" si="1163">IFERROR(+HA85*HB85/1000000,"")</f>
        <v>0</v>
      </c>
      <c r="HD85" s="226"/>
      <c r="HE85" s="225">
        <f t="shared" ref="HE85:HE101" si="1164">IFERROR(+HC85*HD85,"")</f>
        <v>0</v>
      </c>
      <c r="HF85" s="85"/>
      <c r="HG85" s="85"/>
      <c r="HH85" s="86"/>
      <c r="HI85" s="227">
        <f t="shared" ref="HI85:HI101" si="1165">IFERROR(+(IF(HC85="","0",HC85))+(IF(HE85="","0",HE85))+(IF(HH85="","0",HH85)),"")</f>
        <v>0</v>
      </c>
      <c r="HJ85" s="226">
        <f t="shared" ref="HJ85:HJ101" si="1166">HJ49</f>
        <v>0.4604471269</v>
      </c>
      <c r="HK85" s="228">
        <f t="shared" ref="HK85:HK101" si="1167">IFERROR(+HJ85*(HI85-HH85),"")</f>
        <v>0</v>
      </c>
      <c r="HL85" s="229">
        <f t="shared" ref="HL85:HL101" si="1168">IFERROR(+(IF(HI85="","0",HI85))-(IF(HK85="","0",HK85)),"")</f>
        <v>0</v>
      </c>
      <c r="HM85" s="230"/>
      <c r="HN85" s="222">
        <v>1.0</v>
      </c>
      <c r="HO85" s="223" t="str">
        <f t="shared" ref="HO85:HQ85" si="1073">IFERROR(VLOOKUP($R85,$A$13:$D$30,-HO$12,FALSE),"")</f>
        <v>Bijih  Emas</v>
      </c>
      <c r="HP85" s="224" t="str">
        <f t="shared" si="1073"/>
        <v>Bijih </v>
      </c>
      <c r="HQ85" s="224" t="str">
        <f t="shared" si="1073"/>
        <v>Kg</v>
      </c>
      <c r="HR85" s="225" t="str">
        <f>ADHK!HR85</f>
        <v/>
      </c>
      <c r="HS85" s="225"/>
      <c r="HT85" s="225">
        <f t="shared" ref="HT85:HT101" si="1170">IFERROR(+HR85*HS85/1000000,"")</f>
        <v>0</v>
      </c>
      <c r="HU85" s="226"/>
      <c r="HV85" s="225">
        <f t="shared" ref="HV85:HV101" si="1171">IFERROR(+HT85*HU85,"")</f>
        <v>0</v>
      </c>
      <c r="HW85" s="85"/>
      <c r="HX85" s="85"/>
      <c r="HY85" s="86"/>
      <c r="HZ85" s="227">
        <f t="shared" ref="HZ85:HZ101" si="1172">IFERROR(+(IF(HT85="","0",HT85))+(IF(HV85="","0",HV85))+(IF(HY85="","0",HY85)),"")</f>
        <v>0</v>
      </c>
      <c r="IA85" s="226">
        <f t="shared" ref="IA85:IA101" si="1173">IA49</f>
        <v>0.4604471269</v>
      </c>
      <c r="IB85" s="228">
        <f t="shared" ref="IB85:IB101" si="1174">IFERROR(+IA85*(HZ85-HY85),"")</f>
        <v>0</v>
      </c>
      <c r="IC85" s="229">
        <f t="shared" ref="IC85:IC101" si="1175">IFERROR(+(IF(HZ85="","0",HZ85))-(IF(IB85="","0",IB85)),"")</f>
        <v>0</v>
      </c>
      <c r="ID85" s="230"/>
      <c r="IE85" s="222">
        <v>1.0</v>
      </c>
      <c r="IF85" s="223" t="str">
        <f t="shared" ref="IF85:IH85" si="1074">IFERROR(VLOOKUP($R85,$A$13:$D$30,-IF$12,FALSE),"")</f>
        <v>Bijih  Emas</v>
      </c>
      <c r="IG85" s="224" t="str">
        <f t="shared" si="1074"/>
        <v>Bijih </v>
      </c>
      <c r="IH85" s="224" t="str">
        <f t="shared" si="1074"/>
        <v>Kg</v>
      </c>
      <c r="II85" s="225" t="str">
        <f>ADHK!II85</f>
        <v/>
      </c>
      <c r="IJ85" s="225"/>
      <c r="IK85" s="225">
        <f t="shared" ref="IK85:IK101" si="1177">IFERROR(+II85*IJ85/1000000,"")</f>
        <v>0</v>
      </c>
      <c r="IL85" s="226"/>
      <c r="IM85" s="225">
        <f t="shared" ref="IM85:IM101" si="1178">IFERROR(+IK85*IL85,"")</f>
        <v>0</v>
      </c>
      <c r="IN85" s="85"/>
      <c r="IO85" s="85"/>
      <c r="IP85" s="86"/>
      <c r="IQ85" s="227">
        <f t="shared" ref="IQ85:IQ101" si="1179">IFERROR(+(IF(IK85="","0",IK85))+(IF(IM85="","0",IM85))+(IF(IP85="","0",IP85)),"")</f>
        <v>0</v>
      </c>
      <c r="IR85" s="226">
        <f t="shared" ref="IR85:IR101" si="1180">IR49</f>
        <v>0.4604471269</v>
      </c>
      <c r="IS85" s="228">
        <f t="shared" ref="IS85:IS101" si="1181">IFERROR(+IR85*(IQ85-IP85),"")</f>
        <v>0</v>
      </c>
      <c r="IT85" s="229">
        <f t="shared" ref="IT85:IT101" si="1182">IFERROR(+(IF(IQ85="","0",IQ85))-(IF(IS85="","0",IS85)),"")</f>
        <v>0</v>
      </c>
      <c r="IU85" s="230"/>
      <c r="IV85" s="222">
        <v>1.0</v>
      </c>
      <c r="IW85" s="223" t="str">
        <f t="shared" ref="IW85:IY85" si="1075">IFERROR(VLOOKUP($R85,$A$13:$D$30,-IW$12,FALSE),"")</f>
        <v>Bijih  Emas</v>
      </c>
      <c r="IX85" s="224" t="str">
        <f t="shared" si="1075"/>
        <v>Bijih </v>
      </c>
      <c r="IY85" s="224" t="str">
        <f t="shared" si="1075"/>
        <v>Kg</v>
      </c>
      <c r="IZ85" s="225" t="str">
        <f>ADHK!IZ85</f>
        <v/>
      </c>
      <c r="JA85" s="225"/>
      <c r="JB85" s="225">
        <f t="shared" ref="JB85:JB101" si="1184">IFERROR(+IZ85*JA85/1000000,"")</f>
        <v>0</v>
      </c>
      <c r="JC85" s="226"/>
      <c r="JD85" s="225">
        <f t="shared" ref="JD85:JD101" si="1185">IFERROR(+JB85*JC85,"")</f>
        <v>0</v>
      </c>
      <c r="JE85" s="85"/>
      <c r="JF85" s="85"/>
      <c r="JG85" s="86"/>
      <c r="JH85" s="227">
        <f t="shared" ref="JH85:JH101" si="1186">IFERROR(+(IF(JB85="","0",JB85))+(IF(JD85="","0",JD85))+(IF(JG85="","0",JG85)),"")</f>
        <v>0</v>
      </c>
      <c r="JI85" s="226">
        <f t="shared" ref="JI85:JI101" si="1187">JI49</f>
        <v>0.4604471269</v>
      </c>
      <c r="JJ85" s="228">
        <f t="shared" ref="JJ85:JJ101" si="1188">IFERROR(+JI85*(JH85-JG85),"")</f>
        <v>0</v>
      </c>
      <c r="JK85" s="229">
        <f t="shared" ref="JK85:JK101" si="1189">IFERROR(+(IF(JH85="","0",JH85))-(IF(JJ85="","0",JJ85)),"")</f>
        <v>0</v>
      </c>
      <c r="JL85" s="230"/>
      <c r="JM85" s="222">
        <v>1.0</v>
      </c>
      <c r="JN85" s="223" t="str">
        <f t="shared" ref="JN85:JP85" si="1076">IFERROR(VLOOKUP($R85,$A$13:$D$30,-JN$12,FALSE),"")</f>
        <v>Bijih  Emas</v>
      </c>
      <c r="JO85" s="224" t="str">
        <f t="shared" si="1076"/>
        <v>Bijih </v>
      </c>
      <c r="JP85" s="224" t="str">
        <f t="shared" si="1076"/>
        <v>Kg</v>
      </c>
      <c r="JQ85" s="225" t="str">
        <f>ADHK!KY85</f>
        <v/>
      </c>
      <c r="JR85" s="225"/>
      <c r="JS85" s="225">
        <f t="shared" ref="JS85:JS101" si="1191">IFERROR(+JQ85*JR85/1000000,"")</f>
        <v>0</v>
      </c>
      <c r="JT85" s="226"/>
      <c r="JU85" s="225">
        <f t="shared" ref="JU85:JU101" si="1192">IFERROR(+JS85*JT85,"")</f>
        <v>0</v>
      </c>
      <c r="JV85" s="85"/>
      <c r="JW85" s="85"/>
      <c r="JX85" s="86"/>
      <c r="JY85" s="227">
        <f t="shared" ref="JY85:JY101" si="1193">IFERROR(+(IF(JS85="","0",JS85))+(IF(JU85="","0",JU85))+(IF(JX85="","0",JX85)),"")</f>
        <v>0</v>
      </c>
      <c r="JZ85" s="226">
        <f t="shared" ref="JZ85:JZ101" si="1194">JZ49</f>
        <v>0.4604471269</v>
      </c>
      <c r="KA85" s="228">
        <f t="shared" ref="KA85:KA101" si="1195">IFERROR(+JZ85*(JY85-JX85),"")</f>
        <v>0</v>
      </c>
      <c r="KB85" s="229">
        <f t="shared" ref="KB85:KB101" si="1196">IFERROR(+(IF(JY85="","0",JY85))-(IF(KA85="","0",KA85)),"")</f>
        <v>0</v>
      </c>
      <c r="KC85" s="230"/>
      <c r="KD85" s="222">
        <v>1.0</v>
      </c>
      <c r="KE85" s="223" t="str">
        <f t="shared" ref="KE85:KG85" si="1077">IFERROR(VLOOKUP($R85,$A$13:$D$30,-KE$12,FALSE),"")</f>
        <v>Bijih  Emas</v>
      </c>
      <c r="KF85" s="224" t="str">
        <f t="shared" si="1077"/>
        <v>Bijih </v>
      </c>
      <c r="KG85" s="224" t="str">
        <f t="shared" si="1077"/>
        <v>Kg</v>
      </c>
      <c r="KH85" s="225" t="str">
        <f>ADHK!LP85</f>
        <v/>
      </c>
      <c r="KI85" s="225"/>
      <c r="KJ85" s="225">
        <f t="shared" ref="KJ85:KJ101" si="1198">IFERROR(+KH85*KI85/1000000,"")</f>
        <v>0</v>
      </c>
      <c r="KK85" s="226"/>
      <c r="KL85" s="225">
        <f t="shared" ref="KL85:KL101" si="1199">IFERROR(+KJ85*KK85,"")</f>
        <v>0</v>
      </c>
      <c r="KM85" s="85"/>
      <c r="KN85" s="85"/>
      <c r="KO85" s="86"/>
      <c r="KP85" s="227">
        <f t="shared" ref="KP85:KP101" si="1200">IFERROR(+(IF(KJ85="","0",KJ85))+(IF(KL85="","0",KL85))+(IF(KO85="","0",KO85)),"")</f>
        <v>0</v>
      </c>
      <c r="KQ85" s="226">
        <f t="shared" ref="KQ85:KQ101" si="1201">KQ49</f>
        <v>0.4604471269</v>
      </c>
      <c r="KR85" s="228">
        <f t="shared" ref="KR85:KR101" si="1202">IFERROR(+KQ85*(KP85-KO85),"")</f>
        <v>0</v>
      </c>
      <c r="KS85" s="229">
        <f t="shared" ref="KS85:KS101" si="1203">IFERROR(+(IF(KP85="","0",KP85))-(IF(KR85="","0",KR85)),"")</f>
        <v>0</v>
      </c>
      <c r="KT85" s="230"/>
      <c r="KU85" s="231"/>
    </row>
    <row r="86" ht="15.75" customHeight="1">
      <c r="A86" s="232">
        <f t="shared" ref="A86:A101" si="1204">A85+1</f>
        <v>2</v>
      </c>
      <c r="B86" s="233" t="str">
        <f t="shared" ref="B86:D86" si="1078">IFERROR(VLOOKUP($A86,$A$13:$D$30,-B$12,FALSE),"")</f>
        <v>Bijih  Perak</v>
      </c>
      <c r="C86" s="234" t="str">
        <f t="shared" si="1078"/>
        <v>Bijih </v>
      </c>
      <c r="D86" s="234" t="str">
        <f t="shared" si="1078"/>
        <v>Kg</v>
      </c>
      <c r="E86" s="227" t="str">
        <f>ADHK!E86</f>
        <v/>
      </c>
      <c r="F86" s="227" t="str">
        <f>ADHK!F86</f>
        <v/>
      </c>
      <c r="G86" s="227">
        <f t="shared" si="1079"/>
        <v>0</v>
      </c>
      <c r="H86" s="235"/>
      <c r="I86" s="227">
        <f t="shared" si="1080"/>
        <v>0</v>
      </c>
      <c r="J86" s="96"/>
      <c r="K86" s="96"/>
      <c r="L86" s="97"/>
      <c r="M86" s="227">
        <f t="shared" si="1081"/>
        <v>0</v>
      </c>
      <c r="N86" s="235">
        <f t="shared" si="1082"/>
        <v>0.4604471269</v>
      </c>
      <c r="O86" s="236">
        <f t="shared" si="1083"/>
        <v>0</v>
      </c>
      <c r="P86" s="237">
        <f t="shared" si="1084"/>
        <v>0</v>
      </c>
      <c r="Q86" s="230"/>
      <c r="R86" s="232">
        <f t="shared" ref="R86:R101" si="1206">R85+1</f>
        <v>2</v>
      </c>
      <c r="S86" s="233" t="str">
        <f t="shared" ref="S86:U86" si="1085">IFERROR(VLOOKUP($R86,$A$13:$D$30,-S$12,FALSE),"")</f>
        <v>Bijih  Perak</v>
      </c>
      <c r="T86" s="234" t="str">
        <f t="shared" si="1085"/>
        <v>Bijih </v>
      </c>
      <c r="U86" s="234" t="str">
        <f t="shared" si="1085"/>
        <v>Kg</v>
      </c>
      <c r="V86" s="227" t="str">
        <f>ADHK!V86</f>
        <v/>
      </c>
      <c r="W86" s="227"/>
      <c r="X86" s="227">
        <f t="shared" si="1086"/>
        <v>0</v>
      </c>
      <c r="Y86" s="235"/>
      <c r="Z86" s="227">
        <f t="shared" si="1087"/>
        <v>0</v>
      </c>
      <c r="AA86" s="96"/>
      <c r="AB86" s="96"/>
      <c r="AC86" s="97"/>
      <c r="AD86" s="227">
        <f t="shared" si="1088"/>
        <v>0</v>
      </c>
      <c r="AE86" s="235">
        <f t="shared" si="1089"/>
        <v>0.4604471269</v>
      </c>
      <c r="AF86" s="236">
        <f t="shared" si="1090"/>
        <v>0</v>
      </c>
      <c r="AG86" s="237">
        <f t="shared" si="1091"/>
        <v>0</v>
      </c>
      <c r="AH86" s="230"/>
      <c r="AI86" s="232">
        <f t="shared" ref="AI86:AI101" si="1208">AI85+1</f>
        <v>2</v>
      </c>
      <c r="AJ86" s="233" t="str">
        <f t="shared" ref="AJ86:AL86" si="1092">IFERROR(VLOOKUP($R86,$A$13:$D$30,-AJ$12,FALSE),"")</f>
        <v>Bijih  Perak</v>
      </c>
      <c r="AK86" s="234" t="str">
        <f t="shared" si="1092"/>
        <v>Bijih </v>
      </c>
      <c r="AL86" s="234" t="str">
        <f t="shared" si="1092"/>
        <v>Kg</v>
      </c>
      <c r="AM86" s="227" t="str">
        <f>ADHK!AM86</f>
        <v/>
      </c>
      <c r="AN86" s="227"/>
      <c r="AO86" s="227">
        <f t="shared" si="1093"/>
        <v>0</v>
      </c>
      <c r="AP86" s="235"/>
      <c r="AQ86" s="227">
        <f t="shared" si="1094"/>
        <v>0</v>
      </c>
      <c r="AR86" s="96"/>
      <c r="AS86" s="96"/>
      <c r="AT86" s="97"/>
      <c r="AU86" s="227">
        <f t="shared" si="1095"/>
        <v>0</v>
      </c>
      <c r="AV86" s="235">
        <f t="shared" si="1096"/>
        <v>0.4604471269</v>
      </c>
      <c r="AW86" s="236">
        <f t="shared" si="1097"/>
        <v>0</v>
      </c>
      <c r="AX86" s="237">
        <f t="shared" si="1098"/>
        <v>0</v>
      </c>
      <c r="AY86" s="230"/>
      <c r="AZ86" s="232">
        <f t="shared" ref="AZ86:AZ101" si="1210">AZ85+1</f>
        <v>2</v>
      </c>
      <c r="BA86" s="233" t="str">
        <f t="shared" ref="BA86:BC86" si="1099">IFERROR(VLOOKUP($R86,$A$13:$D$30,-BA$12,FALSE),"")</f>
        <v>Bijih  Perak</v>
      </c>
      <c r="BB86" s="234" t="str">
        <f t="shared" si="1099"/>
        <v>Bijih </v>
      </c>
      <c r="BC86" s="234" t="str">
        <f t="shared" si="1099"/>
        <v>Kg</v>
      </c>
      <c r="BD86" s="227" t="str">
        <f>ADHK!BD86</f>
        <v/>
      </c>
      <c r="BE86" s="227"/>
      <c r="BF86" s="227">
        <f t="shared" si="1100"/>
        <v>0</v>
      </c>
      <c r="BG86" s="235"/>
      <c r="BH86" s="227">
        <f t="shared" si="1101"/>
        <v>0</v>
      </c>
      <c r="BI86" s="96"/>
      <c r="BJ86" s="96"/>
      <c r="BK86" s="97"/>
      <c r="BL86" s="227">
        <f t="shared" si="1102"/>
        <v>0</v>
      </c>
      <c r="BM86" s="235">
        <f t="shared" si="1103"/>
        <v>0.4604471269</v>
      </c>
      <c r="BN86" s="236">
        <f t="shared" si="1104"/>
        <v>0</v>
      </c>
      <c r="BO86" s="237">
        <f t="shared" si="1105"/>
        <v>0</v>
      </c>
      <c r="BP86" s="230"/>
      <c r="BQ86" s="232">
        <f t="shared" ref="BQ86:BQ101" si="1212">BQ85+1</f>
        <v>2</v>
      </c>
      <c r="BR86" s="233" t="str">
        <f t="shared" ref="BR86:BT86" si="1106">IFERROR(VLOOKUP($R86,$A$13:$D$30,-BR$12,FALSE),"")</f>
        <v>Bijih  Perak</v>
      </c>
      <c r="BS86" s="234" t="str">
        <f t="shared" si="1106"/>
        <v>Bijih </v>
      </c>
      <c r="BT86" s="234" t="str">
        <f t="shared" si="1106"/>
        <v>Kg</v>
      </c>
      <c r="BU86" s="227" t="str">
        <f>ADHK!BU86</f>
        <v/>
      </c>
      <c r="BV86" s="227"/>
      <c r="BW86" s="227">
        <f t="shared" si="1107"/>
        <v>0</v>
      </c>
      <c r="BX86" s="235"/>
      <c r="BY86" s="227">
        <f t="shared" si="1108"/>
        <v>0</v>
      </c>
      <c r="BZ86" s="96"/>
      <c r="CA86" s="96"/>
      <c r="CB86" s="97"/>
      <c r="CC86" s="227">
        <f t="shared" si="1109"/>
        <v>0</v>
      </c>
      <c r="CD86" s="235">
        <f t="shared" si="1110"/>
        <v>0.4604471269</v>
      </c>
      <c r="CE86" s="236">
        <f t="shared" si="1111"/>
        <v>0</v>
      </c>
      <c r="CF86" s="237">
        <f t="shared" si="1112"/>
        <v>0</v>
      </c>
      <c r="CG86" s="230"/>
      <c r="CH86" s="232">
        <f t="shared" ref="CH86:CH101" si="1214">CH85+1</f>
        <v>2</v>
      </c>
      <c r="CI86" s="233" t="str">
        <f t="shared" ref="CI86:CK86" si="1113">IFERROR(VLOOKUP($R86,$A$13:$D$30,-CI$12,FALSE),"")</f>
        <v>Bijih  Perak</v>
      </c>
      <c r="CJ86" s="234" t="str">
        <f t="shared" si="1113"/>
        <v>Bijih </v>
      </c>
      <c r="CK86" s="234" t="str">
        <f t="shared" si="1113"/>
        <v>Kg</v>
      </c>
      <c r="CL86" s="227" t="str">
        <f>ADHK!CL86</f>
        <v/>
      </c>
      <c r="CM86" s="227"/>
      <c r="CN86" s="227">
        <f t="shared" si="1114"/>
        <v>0</v>
      </c>
      <c r="CO86" s="235"/>
      <c r="CP86" s="227">
        <f t="shared" si="1115"/>
        <v>0</v>
      </c>
      <c r="CQ86" s="96"/>
      <c r="CR86" s="96"/>
      <c r="CS86" s="97"/>
      <c r="CT86" s="227">
        <f t="shared" si="1116"/>
        <v>0</v>
      </c>
      <c r="CU86" s="235">
        <f t="shared" si="1117"/>
        <v>0.4604471269</v>
      </c>
      <c r="CV86" s="236">
        <f t="shared" si="1118"/>
        <v>0</v>
      </c>
      <c r="CW86" s="237">
        <f t="shared" si="1119"/>
        <v>0</v>
      </c>
      <c r="CX86" s="230"/>
      <c r="CY86" s="232">
        <f t="shared" ref="CY86:CY101" si="1216">CY85+1</f>
        <v>2</v>
      </c>
      <c r="CZ86" s="233" t="str">
        <f t="shared" ref="CZ86:DB86" si="1120">IFERROR(VLOOKUP($R86,$A$13:$D$30,-CZ$12,FALSE),"")</f>
        <v>Bijih  Perak</v>
      </c>
      <c r="DA86" s="234" t="str">
        <f t="shared" si="1120"/>
        <v>Bijih </v>
      </c>
      <c r="DB86" s="234" t="str">
        <f t="shared" si="1120"/>
        <v>Kg</v>
      </c>
      <c r="DC86" s="227" t="str">
        <f>ADHK!DC86</f>
        <v/>
      </c>
      <c r="DD86" s="227"/>
      <c r="DE86" s="227">
        <f t="shared" si="1121"/>
        <v>0</v>
      </c>
      <c r="DF86" s="235"/>
      <c r="DG86" s="227">
        <f t="shared" si="1122"/>
        <v>0</v>
      </c>
      <c r="DH86" s="96"/>
      <c r="DI86" s="96"/>
      <c r="DJ86" s="97"/>
      <c r="DK86" s="227">
        <f t="shared" si="1123"/>
        <v>0</v>
      </c>
      <c r="DL86" s="235">
        <f t="shared" si="1124"/>
        <v>0.4604471269</v>
      </c>
      <c r="DM86" s="236">
        <f t="shared" si="1125"/>
        <v>0</v>
      </c>
      <c r="DN86" s="237">
        <f t="shared" si="1126"/>
        <v>0</v>
      </c>
      <c r="DO86" s="230"/>
      <c r="DP86" s="232">
        <f t="shared" ref="DP86:DP101" si="1218">DP85+1</f>
        <v>2</v>
      </c>
      <c r="DQ86" s="233" t="str">
        <f t="shared" ref="DQ86:DS86" si="1127">IFERROR(VLOOKUP($R86,$A$13:$D$30,-DQ$12,FALSE),"")</f>
        <v>Bijih  Perak</v>
      </c>
      <c r="DR86" s="234" t="str">
        <f t="shared" si="1127"/>
        <v>Bijih </v>
      </c>
      <c r="DS86" s="234" t="str">
        <f t="shared" si="1127"/>
        <v>Kg</v>
      </c>
      <c r="DT86" s="227" t="str">
        <f>ADHK!DT86</f>
        <v/>
      </c>
      <c r="DU86" s="227"/>
      <c r="DV86" s="227">
        <f t="shared" si="1128"/>
        <v>0</v>
      </c>
      <c r="DW86" s="235"/>
      <c r="DX86" s="227">
        <f t="shared" si="1129"/>
        <v>0</v>
      </c>
      <c r="DY86" s="96"/>
      <c r="DZ86" s="96"/>
      <c r="EA86" s="97"/>
      <c r="EB86" s="227">
        <f t="shared" si="1130"/>
        <v>0</v>
      </c>
      <c r="EC86" s="235">
        <f t="shared" si="1131"/>
        <v>0.4604471269</v>
      </c>
      <c r="ED86" s="236">
        <f t="shared" si="1132"/>
        <v>0</v>
      </c>
      <c r="EE86" s="237">
        <f t="shared" si="1133"/>
        <v>0</v>
      </c>
      <c r="EF86" s="230"/>
      <c r="EG86" s="232">
        <f t="shared" ref="EG86:EG101" si="1220">EG85+1</f>
        <v>2</v>
      </c>
      <c r="EH86" s="233" t="str">
        <f t="shared" ref="EH86:EJ86" si="1134">IFERROR(VLOOKUP($R86,$A$13:$D$30,-EH$12,FALSE),"")</f>
        <v>Bijih  Perak</v>
      </c>
      <c r="EI86" s="234" t="str">
        <f t="shared" si="1134"/>
        <v>Bijih </v>
      </c>
      <c r="EJ86" s="234" t="str">
        <f t="shared" si="1134"/>
        <v>Kg</v>
      </c>
      <c r="EK86" s="227" t="str">
        <f>ADHK!EK86</f>
        <v/>
      </c>
      <c r="EL86" s="227"/>
      <c r="EM86" s="227">
        <f t="shared" si="1135"/>
        <v>0</v>
      </c>
      <c r="EN86" s="235"/>
      <c r="EO86" s="227">
        <f t="shared" si="1136"/>
        <v>0</v>
      </c>
      <c r="EP86" s="96"/>
      <c r="EQ86" s="96"/>
      <c r="ER86" s="97"/>
      <c r="ES86" s="227">
        <f t="shared" si="1137"/>
        <v>0</v>
      </c>
      <c r="ET86" s="235">
        <f t="shared" si="1138"/>
        <v>0.4604471269</v>
      </c>
      <c r="EU86" s="236">
        <f t="shared" si="1139"/>
        <v>0</v>
      </c>
      <c r="EV86" s="237">
        <f t="shared" si="1140"/>
        <v>0</v>
      </c>
      <c r="EW86" s="230"/>
      <c r="EX86" s="232">
        <f t="shared" ref="EX86:EX101" si="1222">EX85+1</f>
        <v>2</v>
      </c>
      <c r="EY86" s="233" t="str">
        <f t="shared" ref="EY86:FA86" si="1141">IFERROR(VLOOKUP($R86,$A$13:$D$30,-EY$12,FALSE),"")</f>
        <v>Bijih  Perak</v>
      </c>
      <c r="EZ86" s="234" t="str">
        <f t="shared" si="1141"/>
        <v>Bijih </v>
      </c>
      <c r="FA86" s="234" t="str">
        <f t="shared" si="1141"/>
        <v>Kg</v>
      </c>
      <c r="FB86" s="227" t="str">
        <f>ADHK!FB86</f>
        <v/>
      </c>
      <c r="FC86" s="227"/>
      <c r="FD86" s="227">
        <f t="shared" si="1142"/>
        <v>0</v>
      </c>
      <c r="FE86" s="235"/>
      <c r="FF86" s="227">
        <f t="shared" si="1143"/>
        <v>0</v>
      </c>
      <c r="FG86" s="96"/>
      <c r="FH86" s="96"/>
      <c r="FI86" s="97"/>
      <c r="FJ86" s="227">
        <f t="shared" si="1144"/>
        <v>0</v>
      </c>
      <c r="FK86" s="235">
        <f t="shared" si="1145"/>
        <v>0.4604471269</v>
      </c>
      <c r="FL86" s="236">
        <f t="shared" si="1146"/>
        <v>0</v>
      </c>
      <c r="FM86" s="237">
        <f t="shared" si="1147"/>
        <v>0</v>
      </c>
      <c r="FN86" s="230"/>
      <c r="FO86" s="232">
        <f t="shared" ref="FO86:FO101" si="1224">FO85+1</f>
        <v>2</v>
      </c>
      <c r="FP86" s="233" t="str">
        <f t="shared" ref="FP86:FR86" si="1148">IFERROR(VLOOKUP($R86,$A$13:$D$30,-FP$12,FALSE),"")</f>
        <v>Bijih  Perak</v>
      </c>
      <c r="FQ86" s="234" t="str">
        <f t="shared" si="1148"/>
        <v>Bijih </v>
      </c>
      <c r="FR86" s="234" t="str">
        <f t="shared" si="1148"/>
        <v>Kg</v>
      </c>
      <c r="FS86" s="227" t="str">
        <f>ADHK!FS86</f>
        <v/>
      </c>
      <c r="FT86" s="227"/>
      <c r="FU86" s="227">
        <f t="shared" si="1149"/>
        <v>0</v>
      </c>
      <c r="FV86" s="235"/>
      <c r="FW86" s="227">
        <f t="shared" si="1150"/>
        <v>0</v>
      </c>
      <c r="FX86" s="96"/>
      <c r="FY86" s="96"/>
      <c r="FZ86" s="97"/>
      <c r="GA86" s="227">
        <f t="shared" si="1151"/>
        <v>0</v>
      </c>
      <c r="GB86" s="235">
        <f t="shared" si="1152"/>
        <v>0.4604471269</v>
      </c>
      <c r="GC86" s="236">
        <f t="shared" si="1153"/>
        <v>0</v>
      </c>
      <c r="GD86" s="237">
        <f t="shared" si="1154"/>
        <v>0</v>
      </c>
      <c r="GE86" s="230"/>
      <c r="GF86" s="232">
        <f t="shared" ref="GF86:GF101" si="1226">GF85+1</f>
        <v>2</v>
      </c>
      <c r="GG86" s="233" t="str">
        <f t="shared" ref="GG86:GI86" si="1155">IFERROR(VLOOKUP($R86,$A$13:$D$30,-GG$12,FALSE),"")</f>
        <v>Bijih  Perak</v>
      </c>
      <c r="GH86" s="234" t="str">
        <f t="shared" si="1155"/>
        <v>Bijih </v>
      </c>
      <c r="GI86" s="234" t="str">
        <f t="shared" si="1155"/>
        <v>Kg</v>
      </c>
      <c r="GJ86" s="227" t="str">
        <f>ADHK!GJ86</f>
        <v/>
      </c>
      <c r="GK86" s="227"/>
      <c r="GL86" s="227">
        <f t="shared" si="1156"/>
        <v>0</v>
      </c>
      <c r="GM86" s="235"/>
      <c r="GN86" s="227">
        <f t="shared" si="1157"/>
        <v>0</v>
      </c>
      <c r="GO86" s="96"/>
      <c r="GP86" s="96"/>
      <c r="GQ86" s="97"/>
      <c r="GR86" s="227">
        <f t="shared" si="1158"/>
        <v>0</v>
      </c>
      <c r="GS86" s="235">
        <f t="shared" si="1159"/>
        <v>0.4604471269</v>
      </c>
      <c r="GT86" s="236">
        <f t="shared" si="1160"/>
        <v>0</v>
      </c>
      <c r="GU86" s="237">
        <f t="shared" si="1161"/>
        <v>0</v>
      </c>
      <c r="GV86" s="230"/>
      <c r="GW86" s="232">
        <f t="shared" ref="GW86:GW101" si="1228">GW85+1</f>
        <v>2</v>
      </c>
      <c r="GX86" s="233" t="str">
        <f t="shared" ref="GX86:GZ86" si="1162">IFERROR(VLOOKUP($R86,$A$13:$D$30,-GX$12,FALSE),"")</f>
        <v>Bijih  Perak</v>
      </c>
      <c r="GY86" s="234" t="str">
        <f t="shared" si="1162"/>
        <v>Bijih </v>
      </c>
      <c r="GZ86" s="234" t="str">
        <f t="shared" si="1162"/>
        <v>Kg</v>
      </c>
      <c r="HA86" s="227" t="str">
        <f>ADHK!HA86</f>
        <v/>
      </c>
      <c r="HB86" s="227"/>
      <c r="HC86" s="227">
        <f t="shared" si="1163"/>
        <v>0</v>
      </c>
      <c r="HD86" s="235"/>
      <c r="HE86" s="227">
        <f t="shared" si="1164"/>
        <v>0</v>
      </c>
      <c r="HF86" s="96"/>
      <c r="HG86" s="96"/>
      <c r="HH86" s="97"/>
      <c r="HI86" s="227">
        <f t="shared" si="1165"/>
        <v>0</v>
      </c>
      <c r="HJ86" s="235">
        <f t="shared" si="1166"/>
        <v>0.4604471269</v>
      </c>
      <c r="HK86" s="236">
        <f t="shared" si="1167"/>
        <v>0</v>
      </c>
      <c r="HL86" s="237">
        <f t="shared" si="1168"/>
        <v>0</v>
      </c>
      <c r="HM86" s="230"/>
      <c r="HN86" s="232">
        <f t="shared" ref="HN86:HN101" si="1230">HN85+1</f>
        <v>2</v>
      </c>
      <c r="HO86" s="233" t="str">
        <f t="shared" ref="HO86:HQ86" si="1169">IFERROR(VLOOKUP($R86,$A$13:$D$30,-HO$12,FALSE),"")</f>
        <v>Bijih  Perak</v>
      </c>
      <c r="HP86" s="234" t="str">
        <f t="shared" si="1169"/>
        <v>Bijih </v>
      </c>
      <c r="HQ86" s="234" t="str">
        <f t="shared" si="1169"/>
        <v>Kg</v>
      </c>
      <c r="HR86" s="227" t="str">
        <f>ADHK!HR86</f>
        <v/>
      </c>
      <c r="HS86" s="227"/>
      <c r="HT86" s="227">
        <f t="shared" si="1170"/>
        <v>0</v>
      </c>
      <c r="HU86" s="235"/>
      <c r="HV86" s="227">
        <f t="shared" si="1171"/>
        <v>0</v>
      </c>
      <c r="HW86" s="96"/>
      <c r="HX86" s="96"/>
      <c r="HY86" s="97"/>
      <c r="HZ86" s="227">
        <f t="shared" si="1172"/>
        <v>0</v>
      </c>
      <c r="IA86" s="235">
        <f t="shared" si="1173"/>
        <v>0.4604471269</v>
      </c>
      <c r="IB86" s="236">
        <f t="shared" si="1174"/>
        <v>0</v>
      </c>
      <c r="IC86" s="237">
        <f t="shared" si="1175"/>
        <v>0</v>
      </c>
      <c r="ID86" s="230"/>
      <c r="IE86" s="232">
        <f t="shared" ref="IE86:IE101" si="1232">IE85+1</f>
        <v>2</v>
      </c>
      <c r="IF86" s="233" t="str">
        <f t="shared" ref="IF86:IH86" si="1176">IFERROR(VLOOKUP($R86,$A$13:$D$30,-IF$12,FALSE),"")</f>
        <v>Bijih  Perak</v>
      </c>
      <c r="IG86" s="234" t="str">
        <f t="shared" si="1176"/>
        <v>Bijih </v>
      </c>
      <c r="IH86" s="234" t="str">
        <f t="shared" si="1176"/>
        <v>Kg</v>
      </c>
      <c r="II86" s="227" t="str">
        <f>ADHK!II86</f>
        <v/>
      </c>
      <c r="IJ86" s="227"/>
      <c r="IK86" s="227">
        <f t="shared" si="1177"/>
        <v>0</v>
      </c>
      <c r="IL86" s="235"/>
      <c r="IM86" s="227">
        <f t="shared" si="1178"/>
        <v>0</v>
      </c>
      <c r="IN86" s="96"/>
      <c r="IO86" s="96"/>
      <c r="IP86" s="97"/>
      <c r="IQ86" s="227">
        <f t="shared" si="1179"/>
        <v>0</v>
      </c>
      <c r="IR86" s="235">
        <f t="shared" si="1180"/>
        <v>0.4604471269</v>
      </c>
      <c r="IS86" s="236">
        <f t="shared" si="1181"/>
        <v>0</v>
      </c>
      <c r="IT86" s="237">
        <f t="shared" si="1182"/>
        <v>0</v>
      </c>
      <c r="IU86" s="230"/>
      <c r="IV86" s="232">
        <f t="shared" ref="IV86:IV101" si="1234">IV85+1</f>
        <v>2</v>
      </c>
      <c r="IW86" s="233" t="str">
        <f t="shared" ref="IW86:IY86" si="1183">IFERROR(VLOOKUP($R86,$A$13:$D$30,-IW$12,FALSE),"")</f>
        <v>Bijih  Perak</v>
      </c>
      <c r="IX86" s="234" t="str">
        <f t="shared" si="1183"/>
        <v>Bijih </v>
      </c>
      <c r="IY86" s="234" t="str">
        <f t="shared" si="1183"/>
        <v>Kg</v>
      </c>
      <c r="IZ86" s="227" t="str">
        <f>ADHK!IZ86</f>
        <v/>
      </c>
      <c r="JA86" s="227"/>
      <c r="JB86" s="227">
        <f t="shared" si="1184"/>
        <v>0</v>
      </c>
      <c r="JC86" s="235"/>
      <c r="JD86" s="227">
        <f t="shared" si="1185"/>
        <v>0</v>
      </c>
      <c r="JE86" s="96"/>
      <c r="JF86" s="96"/>
      <c r="JG86" s="97"/>
      <c r="JH86" s="227">
        <f t="shared" si="1186"/>
        <v>0</v>
      </c>
      <c r="JI86" s="235">
        <f t="shared" si="1187"/>
        <v>0.4604471269</v>
      </c>
      <c r="JJ86" s="236">
        <f t="shared" si="1188"/>
        <v>0</v>
      </c>
      <c r="JK86" s="237">
        <f t="shared" si="1189"/>
        <v>0</v>
      </c>
      <c r="JL86" s="230"/>
      <c r="JM86" s="232">
        <f t="shared" ref="JM86:JM101" si="1236">JM85+1</f>
        <v>2</v>
      </c>
      <c r="JN86" s="233" t="str">
        <f t="shared" ref="JN86:JP86" si="1190">IFERROR(VLOOKUP($R86,$A$13:$D$30,-JN$12,FALSE),"")</f>
        <v>Bijih  Perak</v>
      </c>
      <c r="JO86" s="234" t="str">
        <f t="shared" si="1190"/>
        <v>Bijih </v>
      </c>
      <c r="JP86" s="234" t="str">
        <f t="shared" si="1190"/>
        <v>Kg</v>
      </c>
      <c r="JQ86" s="227" t="str">
        <f>ADHK!KY86</f>
        <v/>
      </c>
      <c r="JR86" s="227"/>
      <c r="JS86" s="227">
        <f t="shared" si="1191"/>
        <v>0</v>
      </c>
      <c r="JT86" s="235"/>
      <c r="JU86" s="227">
        <f t="shared" si="1192"/>
        <v>0</v>
      </c>
      <c r="JV86" s="96"/>
      <c r="JW86" s="96"/>
      <c r="JX86" s="97"/>
      <c r="JY86" s="227">
        <f t="shared" si="1193"/>
        <v>0</v>
      </c>
      <c r="JZ86" s="235">
        <f t="shared" si="1194"/>
        <v>0.4604471269</v>
      </c>
      <c r="KA86" s="236">
        <f t="shared" si="1195"/>
        <v>0</v>
      </c>
      <c r="KB86" s="237">
        <f t="shared" si="1196"/>
        <v>0</v>
      </c>
      <c r="KC86" s="230"/>
      <c r="KD86" s="232">
        <f t="shared" ref="KD86:KD101" si="1238">KD85+1</f>
        <v>2</v>
      </c>
      <c r="KE86" s="233" t="str">
        <f t="shared" ref="KE86:KG86" si="1197">IFERROR(VLOOKUP($R86,$A$13:$D$30,-KE$12,FALSE),"")</f>
        <v>Bijih  Perak</v>
      </c>
      <c r="KF86" s="234" t="str">
        <f t="shared" si="1197"/>
        <v>Bijih </v>
      </c>
      <c r="KG86" s="234" t="str">
        <f t="shared" si="1197"/>
        <v>Kg</v>
      </c>
      <c r="KH86" s="227" t="str">
        <f>ADHK!LP86</f>
        <v/>
      </c>
      <c r="KI86" s="227"/>
      <c r="KJ86" s="227">
        <f t="shared" si="1198"/>
        <v>0</v>
      </c>
      <c r="KK86" s="235"/>
      <c r="KL86" s="227">
        <f t="shared" si="1199"/>
        <v>0</v>
      </c>
      <c r="KM86" s="96"/>
      <c r="KN86" s="96"/>
      <c r="KO86" s="97"/>
      <c r="KP86" s="227">
        <f t="shared" si="1200"/>
        <v>0</v>
      </c>
      <c r="KQ86" s="235">
        <f t="shared" si="1201"/>
        <v>0.4604471269</v>
      </c>
      <c r="KR86" s="236">
        <f t="shared" si="1202"/>
        <v>0</v>
      </c>
      <c r="KS86" s="237">
        <f t="shared" si="1203"/>
        <v>0</v>
      </c>
      <c r="KT86" s="230"/>
      <c r="KU86" s="231"/>
    </row>
    <row r="87" ht="15.75" customHeight="1">
      <c r="A87" s="232">
        <f t="shared" si="1204"/>
        <v>3</v>
      </c>
      <c r="B87" s="233" t="str">
        <f t="shared" ref="B87:D87" si="1205">IFERROR(VLOOKUP($A87,$A$13:$D$30,-B$12,FALSE),"")</f>
        <v>Tembaga</v>
      </c>
      <c r="C87" s="234" t="str">
        <f t="shared" si="1205"/>
        <v>Bijih </v>
      </c>
      <c r="D87" s="234" t="str">
        <f t="shared" si="1205"/>
        <v>Ton </v>
      </c>
      <c r="E87" s="227" t="str">
        <f>ADHK!E87</f>
        <v/>
      </c>
      <c r="F87" s="227" t="str">
        <f>ADHK!F87</f>
        <v/>
      </c>
      <c r="G87" s="227">
        <f t="shared" si="1079"/>
        <v>0</v>
      </c>
      <c r="H87" s="235"/>
      <c r="I87" s="227">
        <f t="shared" si="1080"/>
        <v>0</v>
      </c>
      <c r="J87" s="96"/>
      <c r="K87" s="96"/>
      <c r="L87" s="97"/>
      <c r="M87" s="227">
        <f t="shared" si="1081"/>
        <v>0</v>
      </c>
      <c r="N87" s="235">
        <f t="shared" si="1082"/>
        <v>0.4604471269</v>
      </c>
      <c r="O87" s="236">
        <f t="shared" si="1083"/>
        <v>0</v>
      </c>
      <c r="P87" s="237">
        <f t="shared" si="1084"/>
        <v>0</v>
      </c>
      <c r="Q87" s="230"/>
      <c r="R87" s="232">
        <f t="shared" si="1206"/>
        <v>3</v>
      </c>
      <c r="S87" s="233" t="str">
        <f t="shared" ref="S87:U87" si="1207">IFERROR(VLOOKUP($R87,$A$13:$D$30,-S$12,FALSE),"")</f>
        <v>Tembaga</v>
      </c>
      <c r="T87" s="234" t="str">
        <f t="shared" si="1207"/>
        <v>Bijih </v>
      </c>
      <c r="U87" s="234" t="str">
        <f t="shared" si="1207"/>
        <v>Ton </v>
      </c>
      <c r="V87" s="227" t="str">
        <f>ADHK!V87</f>
        <v/>
      </c>
      <c r="W87" s="227"/>
      <c r="X87" s="227">
        <f t="shared" si="1086"/>
        <v>0</v>
      </c>
      <c r="Y87" s="235"/>
      <c r="Z87" s="227">
        <f t="shared" si="1087"/>
        <v>0</v>
      </c>
      <c r="AA87" s="96"/>
      <c r="AB87" s="96"/>
      <c r="AC87" s="97"/>
      <c r="AD87" s="227">
        <f t="shared" si="1088"/>
        <v>0</v>
      </c>
      <c r="AE87" s="235">
        <f t="shared" si="1089"/>
        <v>0.4604471269</v>
      </c>
      <c r="AF87" s="236">
        <f t="shared" si="1090"/>
        <v>0</v>
      </c>
      <c r="AG87" s="237">
        <f t="shared" si="1091"/>
        <v>0</v>
      </c>
      <c r="AH87" s="230"/>
      <c r="AI87" s="232">
        <f t="shared" si="1208"/>
        <v>3</v>
      </c>
      <c r="AJ87" s="233" t="str">
        <f t="shared" ref="AJ87:AL87" si="1209">IFERROR(VLOOKUP($R87,$A$13:$D$30,-AJ$12,FALSE),"")</f>
        <v>Tembaga</v>
      </c>
      <c r="AK87" s="234" t="str">
        <f t="shared" si="1209"/>
        <v>Bijih </v>
      </c>
      <c r="AL87" s="234" t="str">
        <f t="shared" si="1209"/>
        <v>Ton </v>
      </c>
      <c r="AM87" s="227" t="str">
        <f>ADHK!AM87</f>
        <v/>
      </c>
      <c r="AN87" s="227"/>
      <c r="AO87" s="227">
        <f t="shared" si="1093"/>
        <v>0</v>
      </c>
      <c r="AP87" s="235"/>
      <c r="AQ87" s="227">
        <f t="shared" si="1094"/>
        <v>0</v>
      </c>
      <c r="AR87" s="96"/>
      <c r="AS87" s="96"/>
      <c r="AT87" s="97"/>
      <c r="AU87" s="227">
        <f t="shared" si="1095"/>
        <v>0</v>
      </c>
      <c r="AV87" s="235">
        <f t="shared" si="1096"/>
        <v>0.4604471269</v>
      </c>
      <c r="AW87" s="236">
        <f t="shared" si="1097"/>
        <v>0</v>
      </c>
      <c r="AX87" s="237">
        <f t="shared" si="1098"/>
        <v>0</v>
      </c>
      <c r="AY87" s="230"/>
      <c r="AZ87" s="232">
        <f t="shared" si="1210"/>
        <v>3</v>
      </c>
      <c r="BA87" s="233" t="str">
        <f t="shared" ref="BA87:BC87" si="1211">IFERROR(VLOOKUP($R87,$A$13:$D$30,-BA$12,FALSE),"")</f>
        <v>Tembaga</v>
      </c>
      <c r="BB87" s="234" t="str">
        <f t="shared" si="1211"/>
        <v>Bijih </v>
      </c>
      <c r="BC87" s="234" t="str">
        <f t="shared" si="1211"/>
        <v>Ton </v>
      </c>
      <c r="BD87" s="227" t="str">
        <f>ADHK!BD87</f>
        <v/>
      </c>
      <c r="BE87" s="227"/>
      <c r="BF87" s="227">
        <f t="shared" si="1100"/>
        <v>0</v>
      </c>
      <c r="BG87" s="235"/>
      <c r="BH87" s="227">
        <f t="shared" si="1101"/>
        <v>0</v>
      </c>
      <c r="BI87" s="96"/>
      <c r="BJ87" s="96"/>
      <c r="BK87" s="97"/>
      <c r="BL87" s="227">
        <f t="shared" si="1102"/>
        <v>0</v>
      </c>
      <c r="BM87" s="235">
        <f t="shared" si="1103"/>
        <v>0.4604471269</v>
      </c>
      <c r="BN87" s="236">
        <f t="shared" si="1104"/>
        <v>0</v>
      </c>
      <c r="BO87" s="237">
        <f t="shared" si="1105"/>
        <v>0</v>
      </c>
      <c r="BP87" s="230"/>
      <c r="BQ87" s="232">
        <f t="shared" si="1212"/>
        <v>3</v>
      </c>
      <c r="BR87" s="233" t="str">
        <f t="shared" ref="BR87:BT87" si="1213">IFERROR(VLOOKUP($R87,$A$13:$D$30,-BR$12,FALSE),"")</f>
        <v>Tembaga</v>
      </c>
      <c r="BS87" s="234" t="str">
        <f t="shared" si="1213"/>
        <v>Bijih </v>
      </c>
      <c r="BT87" s="234" t="str">
        <f t="shared" si="1213"/>
        <v>Ton </v>
      </c>
      <c r="BU87" s="227" t="str">
        <f>ADHK!BU87</f>
        <v/>
      </c>
      <c r="BV87" s="227"/>
      <c r="BW87" s="227">
        <f t="shared" si="1107"/>
        <v>0</v>
      </c>
      <c r="BX87" s="235"/>
      <c r="BY87" s="227">
        <f t="shared" si="1108"/>
        <v>0</v>
      </c>
      <c r="BZ87" s="96"/>
      <c r="CA87" s="96"/>
      <c r="CB87" s="97"/>
      <c r="CC87" s="227">
        <f t="shared" si="1109"/>
        <v>0</v>
      </c>
      <c r="CD87" s="235">
        <f t="shared" si="1110"/>
        <v>0.4604471269</v>
      </c>
      <c r="CE87" s="236">
        <f t="shared" si="1111"/>
        <v>0</v>
      </c>
      <c r="CF87" s="237">
        <f t="shared" si="1112"/>
        <v>0</v>
      </c>
      <c r="CG87" s="230"/>
      <c r="CH87" s="232">
        <f t="shared" si="1214"/>
        <v>3</v>
      </c>
      <c r="CI87" s="233" t="str">
        <f t="shared" ref="CI87:CK87" si="1215">IFERROR(VLOOKUP($R87,$A$13:$D$30,-CI$12,FALSE),"")</f>
        <v>Tembaga</v>
      </c>
      <c r="CJ87" s="234" t="str">
        <f t="shared" si="1215"/>
        <v>Bijih </v>
      </c>
      <c r="CK87" s="234" t="str">
        <f t="shared" si="1215"/>
        <v>Ton </v>
      </c>
      <c r="CL87" s="227" t="str">
        <f>ADHK!CL87</f>
        <v/>
      </c>
      <c r="CM87" s="227"/>
      <c r="CN87" s="227">
        <f t="shared" si="1114"/>
        <v>0</v>
      </c>
      <c r="CO87" s="235"/>
      <c r="CP87" s="227">
        <f t="shared" si="1115"/>
        <v>0</v>
      </c>
      <c r="CQ87" s="96"/>
      <c r="CR87" s="96"/>
      <c r="CS87" s="97"/>
      <c r="CT87" s="227">
        <f t="shared" si="1116"/>
        <v>0</v>
      </c>
      <c r="CU87" s="235">
        <f t="shared" si="1117"/>
        <v>0.4604471269</v>
      </c>
      <c r="CV87" s="236">
        <f t="shared" si="1118"/>
        <v>0</v>
      </c>
      <c r="CW87" s="237">
        <f t="shared" si="1119"/>
        <v>0</v>
      </c>
      <c r="CX87" s="230"/>
      <c r="CY87" s="232">
        <f t="shared" si="1216"/>
        <v>3</v>
      </c>
      <c r="CZ87" s="233" t="str">
        <f t="shared" ref="CZ87:DB87" si="1217">IFERROR(VLOOKUP($R87,$A$13:$D$30,-CZ$12,FALSE),"")</f>
        <v>Tembaga</v>
      </c>
      <c r="DA87" s="234" t="str">
        <f t="shared" si="1217"/>
        <v>Bijih </v>
      </c>
      <c r="DB87" s="234" t="str">
        <f t="shared" si="1217"/>
        <v>Ton </v>
      </c>
      <c r="DC87" s="227" t="str">
        <f>ADHK!DC87</f>
        <v/>
      </c>
      <c r="DD87" s="227"/>
      <c r="DE87" s="227">
        <f t="shared" si="1121"/>
        <v>0</v>
      </c>
      <c r="DF87" s="235"/>
      <c r="DG87" s="227">
        <f t="shared" si="1122"/>
        <v>0</v>
      </c>
      <c r="DH87" s="96"/>
      <c r="DI87" s="96"/>
      <c r="DJ87" s="97"/>
      <c r="DK87" s="227">
        <f t="shared" si="1123"/>
        <v>0</v>
      </c>
      <c r="DL87" s="235">
        <f t="shared" si="1124"/>
        <v>0.4604471269</v>
      </c>
      <c r="DM87" s="236">
        <f t="shared" si="1125"/>
        <v>0</v>
      </c>
      <c r="DN87" s="237">
        <f t="shared" si="1126"/>
        <v>0</v>
      </c>
      <c r="DO87" s="230"/>
      <c r="DP87" s="232">
        <f t="shared" si="1218"/>
        <v>3</v>
      </c>
      <c r="DQ87" s="233" t="str">
        <f t="shared" ref="DQ87:DS87" si="1219">IFERROR(VLOOKUP($R87,$A$13:$D$30,-DQ$12,FALSE),"")</f>
        <v>Tembaga</v>
      </c>
      <c r="DR87" s="234" t="str">
        <f t="shared" si="1219"/>
        <v>Bijih </v>
      </c>
      <c r="DS87" s="234" t="str">
        <f t="shared" si="1219"/>
        <v>Ton </v>
      </c>
      <c r="DT87" s="227" t="str">
        <f>ADHK!DT87</f>
        <v/>
      </c>
      <c r="DU87" s="227"/>
      <c r="DV87" s="227">
        <f t="shared" si="1128"/>
        <v>0</v>
      </c>
      <c r="DW87" s="235"/>
      <c r="DX87" s="227">
        <f t="shared" si="1129"/>
        <v>0</v>
      </c>
      <c r="DY87" s="96"/>
      <c r="DZ87" s="96"/>
      <c r="EA87" s="97"/>
      <c r="EB87" s="227">
        <f t="shared" si="1130"/>
        <v>0</v>
      </c>
      <c r="EC87" s="235">
        <f t="shared" si="1131"/>
        <v>0.4604471269</v>
      </c>
      <c r="ED87" s="236">
        <f t="shared" si="1132"/>
        <v>0</v>
      </c>
      <c r="EE87" s="237">
        <f t="shared" si="1133"/>
        <v>0</v>
      </c>
      <c r="EF87" s="230"/>
      <c r="EG87" s="232">
        <f t="shared" si="1220"/>
        <v>3</v>
      </c>
      <c r="EH87" s="233" t="str">
        <f t="shared" ref="EH87:EJ87" si="1221">IFERROR(VLOOKUP($R87,$A$13:$D$30,-EH$12,FALSE),"")</f>
        <v>Tembaga</v>
      </c>
      <c r="EI87" s="234" t="str">
        <f t="shared" si="1221"/>
        <v>Bijih </v>
      </c>
      <c r="EJ87" s="234" t="str">
        <f t="shared" si="1221"/>
        <v>Ton </v>
      </c>
      <c r="EK87" s="227" t="str">
        <f>ADHK!EK87</f>
        <v/>
      </c>
      <c r="EL87" s="227"/>
      <c r="EM87" s="227">
        <f t="shared" si="1135"/>
        <v>0</v>
      </c>
      <c r="EN87" s="235"/>
      <c r="EO87" s="227">
        <f t="shared" si="1136"/>
        <v>0</v>
      </c>
      <c r="EP87" s="96"/>
      <c r="EQ87" s="96"/>
      <c r="ER87" s="97"/>
      <c r="ES87" s="227">
        <f t="shared" si="1137"/>
        <v>0</v>
      </c>
      <c r="ET87" s="235">
        <f t="shared" si="1138"/>
        <v>0.4604471269</v>
      </c>
      <c r="EU87" s="236">
        <f t="shared" si="1139"/>
        <v>0</v>
      </c>
      <c r="EV87" s="237">
        <f t="shared" si="1140"/>
        <v>0</v>
      </c>
      <c r="EW87" s="230"/>
      <c r="EX87" s="232">
        <f t="shared" si="1222"/>
        <v>3</v>
      </c>
      <c r="EY87" s="233" t="str">
        <f t="shared" ref="EY87:FA87" si="1223">IFERROR(VLOOKUP($R87,$A$13:$D$30,-EY$12,FALSE),"")</f>
        <v>Tembaga</v>
      </c>
      <c r="EZ87" s="234" t="str">
        <f t="shared" si="1223"/>
        <v>Bijih </v>
      </c>
      <c r="FA87" s="234" t="str">
        <f t="shared" si="1223"/>
        <v>Ton </v>
      </c>
      <c r="FB87" s="227" t="str">
        <f>ADHK!FB87</f>
        <v/>
      </c>
      <c r="FC87" s="227"/>
      <c r="FD87" s="227">
        <f t="shared" si="1142"/>
        <v>0</v>
      </c>
      <c r="FE87" s="235"/>
      <c r="FF87" s="227">
        <f t="shared" si="1143"/>
        <v>0</v>
      </c>
      <c r="FG87" s="96"/>
      <c r="FH87" s="96"/>
      <c r="FI87" s="97"/>
      <c r="FJ87" s="227">
        <f t="shared" si="1144"/>
        <v>0</v>
      </c>
      <c r="FK87" s="235">
        <f t="shared" si="1145"/>
        <v>0.4604471269</v>
      </c>
      <c r="FL87" s="236">
        <f t="shared" si="1146"/>
        <v>0</v>
      </c>
      <c r="FM87" s="237">
        <f t="shared" si="1147"/>
        <v>0</v>
      </c>
      <c r="FN87" s="230"/>
      <c r="FO87" s="232">
        <f t="shared" si="1224"/>
        <v>3</v>
      </c>
      <c r="FP87" s="233" t="str">
        <f t="shared" ref="FP87:FR87" si="1225">IFERROR(VLOOKUP($R87,$A$13:$D$30,-FP$12,FALSE),"")</f>
        <v>Tembaga</v>
      </c>
      <c r="FQ87" s="234" t="str">
        <f t="shared" si="1225"/>
        <v>Bijih </v>
      </c>
      <c r="FR87" s="234" t="str">
        <f t="shared" si="1225"/>
        <v>Ton </v>
      </c>
      <c r="FS87" s="227" t="str">
        <f>ADHK!FS87</f>
        <v/>
      </c>
      <c r="FT87" s="227"/>
      <c r="FU87" s="227">
        <f t="shared" si="1149"/>
        <v>0</v>
      </c>
      <c r="FV87" s="235"/>
      <c r="FW87" s="227">
        <f t="shared" si="1150"/>
        <v>0</v>
      </c>
      <c r="FX87" s="96"/>
      <c r="FY87" s="96"/>
      <c r="FZ87" s="97"/>
      <c r="GA87" s="227">
        <f t="shared" si="1151"/>
        <v>0</v>
      </c>
      <c r="GB87" s="235">
        <f t="shared" si="1152"/>
        <v>0.4604471269</v>
      </c>
      <c r="GC87" s="236">
        <f t="shared" si="1153"/>
        <v>0</v>
      </c>
      <c r="GD87" s="237">
        <f t="shared" si="1154"/>
        <v>0</v>
      </c>
      <c r="GE87" s="230"/>
      <c r="GF87" s="232">
        <f t="shared" si="1226"/>
        <v>3</v>
      </c>
      <c r="GG87" s="233" t="str">
        <f t="shared" ref="GG87:GI87" si="1227">IFERROR(VLOOKUP($R87,$A$13:$D$30,-GG$12,FALSE),"")</f>
        <v>Tembaga</v>
      </c>
      <c r="GH87" s="234" t="str">
        <f t="shared" si="1227"/>
        <v>Bijih </v>
      </c>
      <c r="GI87" s="234" t="str">
        <f t="shared" si="1227"/>
        <v>Ton </v>
      </c>
      <c r="GJ87" s="227" t="str">
        <f>ADHK!GJ87</f>
        <v/>
      </c>
      <c r="GK87" s="227"/>
      <c r="GL87" s="227">
        <f t="shared" si="1156"/>
        <v>0</v>
      </c>
      <c r="GM87" s="235"/>
      <c r="GN87" s="227">
        <f t="shared" si="1157"/>
        <v>0</v>
      </c>
      <c r="GO87" s="96"/>
      <c r="GP87" s="96"/>
      <c r="GQ87" s="97"/>
      <c r="GR87" s="227">
        <f t="shared" si="1158"/>
        <v>0</v>
      </c>
      <c r="GS87" s="235">
        <f t="shared" si="1159"/>
        <v>0.4604471269</v>
      </c>
      <c r="GT87" s="236">
        <f t="shared" si="1160"/>
        <v>0</v>
      </c>
      <c r="GU87" s="237">
        <f t="shared" si="1161"/>
        <v>0</v>
      </c>
      <c r="GV87" s="230"/>
      <c r="GW87" s="232">
        <f t="shared" si="1228"/>
        <v>3</v>
      </c>
      <c r="GX87" s="233" t="str">
        <f t="shared" ref="GX87:GZ87" si="1229">IFERROR(VLOOKUP($R87,$A$13:$D$30,-GX$12,FALSE),"")</f>
        <v>Tembaga</v>
      </c>
      <c r="GY87" s="234" t="str">
        <f t="shared" si="1229"/>
        <v>Bijih </v>
      </c>
      <c r="GZ87" s="234" t="str">
        <f t="shared" si="1229"/>
        <v>Ton </v>
      </c>
      <c r="HA87" s="227" t="str">
        <f>ADHK!HA87</f>
        <v/>
      </c>
      <c r="HB87" s="227"/>
      <c r="HC87" s="227">
        <f t="shared" si="1163"/>
        <v>0</v>
      </c>
      <c r="HD87" s="235"/>
      <c r="HE87" s="227">
        <f t="shared" si="1164"/>
        <v>0</v>
      </c>
      <c r="HF87" s="96"/>
      <c r="HG87" s="96"/>
      <c r="HH87" s="97"/>
      <c r="HI87" s="227">
        <f t="shared" si="1165"/>
        <v>0</v>
      </c>
      <c r="HJ87" s="235">
        <f t="shared" si="1166"/>
        <v>0.4604471269</v>
      </c>
      <c r="HK87" s="236">
        <f t="shared" si="1167"/>
        <v>0</v>
      </c>
      <c r="HL87" s="237">
        <f t="shared" si="1168"/>
        <v>0</v>
      </c>
      <c r="HM87" s="230"/>
      <c r="HN87" s="232">
        <f t="shared" si="1230"/>
        <v>3</v>
      </c>
      <c r="HO87" s="233" t="str">
        <f t="shared" ref="HO87:HQ87" si="1231">IFERROR(VLOOKUP($R87,$A$13:$D$30,-HO$12,FALSE),"")</f>
        <v>Tembaga</v>
      </c>
      <c r="HP87" s="234" t="str">
        <f t="shared" si="1231"/>
        <v>Bijih </v>
      </c>
      <c r="HQ87" s="234" t="str">
        <f t="shared" si="1231"/>
        <v>Ton </v>
      </c>
      <c r="HR87" s="227" t="str">
        <f>ADHK!HR87</f>
        <v/>
      </c>
      <c r="HS87" s="227"/>
      <c r="HT87" s="227">
        <f t="shared" si="1170"/>
        <v>0</v>
      </c>
      <c r="HU87" s="235"/>
      <c r="HV87" s="227">
        <f t="shared" si="1171"/>
        <v>0</v>
      </c>
      <c r="HW87" s="96"/>
      <c r="HX87" s="96"/>
      <c r="HY87" s="97"/>
      <c r="HZ87" s="227">
        <f t="shared" si="1172"/>
        <v>0</v>
      </c>
      <c r="IA87" s="235">
        <f t="shared" si="1173"/>
        <v>0.4604471269</v>
      </c>
      <c r="IB87" s="236">
        <f t="shared" si="1174"/>
        <v>0</v>
      </c>
      <c r="IC87" s="237">
        <f t="shared" si="1175"/>
        <v>0</v>
      </c>
      <c r="ID87" s="230"/>
      <c r="IE87" s="232">
        <f t="shared" si="1232"/>
        <v>3</v>
      </c>
      <c r="IF87" s="233" t="str">
        <f t="shared" ref="IF87:IH87" si="1233">IFERROR(VLOOKUP($R87,$A$13:$D$30,-IF$12,FALSE),"")</f>
        <v>Tembaga</v>
      </c>
      <c r="IG87" s="234" t="str">
        <f t="shared" si="1233"/>
        <v>Bijih </v>
      </c>
      <c r="IH87" s="234" t="str">
        <f t="shared" si="1233"/>
        <v>Ton </v>
      </c>
      <c r="II87" s="227" t="str">
        <f>ADHK!II87</f>
        <v/>
      </c>
      <c r="IJ87" s="227"/>
      <c r="IK87" s="227">
        <f t="shared" si="1177"/>
        <v>0</v>
      </c>
      <c r="IL87" s="235"/>
      <c r="IM87" s="227">
        <f t="shared" si="1178"/>
        <v>0</v>
      </c>
      <c r="IN87" s="96"/>
      <c r="IO87" s="96"/>
      <c r="IP87" s="97"/>
      <c r="IQ87" s="227">
        <f t="shared" si="1179"/>
        <v>0</v>
      </c>
      <c r="IR87" s="235">
        <f t="shared" si="1180"/>
        <v>0.4604471269</v>
      </c>
      <c r="IS87" s="236">
        <f t="shared" si="1181"/>
        <v>0</v>
      </c>
      <c r="IT87" s="237">
        <f t="shared" si="1182"/>
        <v>0</v>
      </c>
      <c r="IU87" s="230"/>
      <c r="IV87" s="232">
        <f t="shared" si="1234"/>
        <v>3</v>
      </c>
      <c r="IW87" s="233" t="str">
        <f t="shared" ref="IW87:IY87" si="1235">IFERROR(VLOOKUP($R87,$A$13:$D$30,-IW$12,FALSE),"")</f>
        <v>Tembaga</v>
      </c>
      <c r="IX87" s="234" t="str">
        <f t="shared" si="1235"/>
        <v>Bijih </v>
      </c>
      <c r="IY87" s="234" t="str">
        <f t="shared" si="1235"/>
        <v>Ton </v>
      </c>
      <c r="IZ87" s="227" t="str">
        <f>ADHK!IZ87</f>
        <v/>
      </c>
      <c r="JA87" s="227"/>
      <c r="JB87" s="227">
        <f t="shared" si="1184"/>
        <v>0</v>
      </c>
      <c r="JC87" s="235"/>
      <c r="JD87" s="227">
        <f t="shared" si="1185"/>
        <v>0</v>
      </c>
      <c r="JE87" s="96"/>
      <c r="JF87" s="96"/>
      <c r="JG87" s="97"/>
      <c r="JH87" s="227">
        <f t="shared" si="1186"/>
        <v>0</v>
      </c>
      <c r="JI87" s="235">
        <f t="shared" si="1187"/>
        <v>0.4604471269</v>
      </c>
      <c r="JJ87" s="236">
        <f t="shared" si="1188"/>
        <v>0</v>
      </c>
      <c r="JK87" s="237">
        <f t="shared" si="1189"/>
        <v>0</v>
      </c>
      <c r="JL87" s="230"/>
      <c r="JM87" s="232">
        <f t="shared" si="1236"/>
        <v>3</v>
      </c>
      <c r="JN87" s="233" t="str">
        <f t="shared" ref="JN87:JP87" si="1237">IFERROR(VLOOKUP($R87,$A$13:$D$30,-JN$12,FALSE),"")</f>
        <v>Tembaga</v>
      </c>
      <c r="JO87" s="234" t="str">
        <f t="shared" si="1237"/>
        <v>Bijih </v>
      </c>
      <c r="JP87" s="234" t="str">
        <f t="shared" si="1237"/>
        <v>Ton </v>
      </c>
      <c r="JQ87" s="227" t="str">
        <f>ADHK!KY87</f>
        <v/>
      </c>
      <c r="JR87" s="227"/>
      <c r="JS87" s="227">
        <f t="shared" si="1191"/>
        <v>0</v>
      </c>
      <c r="JT87" s="235"/>
      <c r="JU87" s="227">
        <f t="shared" si="1192"/>
        <v>0</v>
      </c>
      <c r="JV87" s="96"/>
      <c r="JW87" s="96"/>
      <c r="JX87" s="97"/>
      <c r="JY87" s="227">
        <f t="shared" si="1193"/>
        <v>0</v>
      </c>
      <c r="JZ87" s="235">
        <f t="shared" si="1194"/>
        <v>0.4604471269</v>
      </c>
      <c r="KA87" s="236">
        <f t="shared" si="1195"/>
        <v>0</v>
      </c>
      <c r="KB87" s="237">
        <f t="shared" si="1196"/>
        <v>0</v>
      </c>
      <c r="KC87" s="230"/>
      <c r="KD87" s="232">
        <f t="shared" si="1238"/>
        <v>3</v>
      </c>
      <c r="KE87" s="233" t="str">
        <f t="shared" ref="KE87:KG87" si="1239">IFERROR(VLOOKUP($R87,$A$13:$D$30,-KE$12,FALSE),"")</f>
        <v>Tembaga</v>
      </c>
      <c r="KF87" s="234" t="str">
        <f t="shared" si="1239"/>
        <v>Bijih </v>
      </c>
      <c r="KG87" s="234" t="str">
        <f t="shared" si="1239"/>
        <v>Ton </v>
      </c>
      <c r="KH87" s="227" t="str">
        <f>ADHK!LP87</f>
        <v/>
      </c>
      <c r="KI87" s="227"/>
      <c r="KJ87" s="227">
        <f t="shared" si="1198"/>
        <v>0</v>
      </c>
      <c r="KK87" s="235"/>
      <c r="KL87" s="227">
        <f t="shared" si="1199"/>
        <v>0</v>
      </c>
      <c r="KM87" s="96"/>
      <c r="KN87" s="96"/>
      <c r="KO87" s="97"/>
      <c r="KP87" s="227">
        <f t="shared" si="1200"/>
        <v>0</v>
      </c>
      <c r="KQ87" s="235">
        <f t="shared" si="1201"/>
        <v>0.4604471269</v>
      </c>
      <c r="KR87" s="236">
        <f t="shared" si="1202"/>
        <v>0</v>
      </c>
      <c r="KS87" s="237">
        <f t="shared" si="1203"/>
        <v>0</v>
      </c>
      <c r="KT87" s="230"/>
      <c r="KU87" s="231"/>
    </row>
    <row r="88" ht="15.75" customHeight="1">
      <c r="A88" s="232">
        <f t="shared" si="1204"/>
        <v>4</v>
      </c>
      <c r="B88" s="233" t="str">
        <f t="shared" ref="B88:D88" si="1240">IFERROR(VLOOKUP($A88,$A$13:$D$30,-B$12,FALSE),"")</f>
        <v>Bauksit </v>
      </c>
      <c r="C88" s="234" t="str">
        <f t="shared" si="1240"/>
        <v>Bijih </v>
      </c>
      <c r="D88" s="234" t="str">
        <f t="shared" si="1240"/>
        <v>Ton </v>
      </c>
      <c r="E88" s="227" t="str">
        <f>ADHK!E88</f>
        <v/>
      </c>
      <c r="F88" s="227" t="str">
        <f>ADHK!F88</f>
        <v/>
      </c>
      <c r="G88" s="227">
        <f t="shared" si="1079"/>
        <v>0</v>
      </c>
      <c r="H88" s="235"/>
      <c r="I88" s="227">
        <f t="shared" si="1080"/>
        <v>0</v>
      </c>
      <c r="J88" s="96"/>
      <c r="K88" s="96"/>
      <c r="L88" s="97"/>
      <c r="M88" s="227">
        <f t="shared" si="1081"/>
        <v>0</v>
      </c>
      <c r="N88" s="235">
        <f t="shared" si="1082"/>
        <v>0.4604471269</v>
      </c>
      <c r="O88" s="236">
        <f t="shared" si="1083"/>
        <v>0</v>
      </c>
      <c r="P88" s="237">
        <f t="shared" si="1084"/>
        <v>0</v>
      </c>
      <c r="Q88" s="230"/>
      <c r="R88" s="232">
        <f t="shared" si="1206"/>
        <v>4</v>
      </c>
      <c r="S88" s="233" t="str">
        <f t="shared" ref="S88:U88" si="1241">IFERROR(VLOOKUP($R88,$A$13:$D$30,-S$12,FALSE),"")</f>
        <v>Bauksit </v>
      </c>
      <c r="T88" s="234" t="str">
        <f t="shared" si="1241"/>
        <v>Bijih </v>
      </c>
      <c r="U88" s="234" t="str">
        <f t="shared" si="1241"/>
        <v>Ton </v>
      </c>
      <c r="V88" s="227" t="str">
        <f>ADHK!V88</f>
        <v/>
      </c>
      <c r="W88" s="227"/>
      <c r="X88" s="227">
        <f t="shared" si="1086"/>
        <v>0</v>
      </c>
      <c r="Y88" s="235"/>
      <c r="Z88" s="227">
        <f t="shared" si="1087"/>
        <v>0</v>
      </c>
      <c r="AA88" s="96"/>
      <c r="AB88" s="96"/>
      <c r="AC88" s="97"/>
      <c r="AD88" s="227">
        <f t="shared" si="1088"/>
        <v>0</v>
      </c>
      <c r="AE88" s="235">
        <f t="shared" si="1089"/>
        <v>0.4604471269</v>
      </c>
      <c r="AF88" s="236">
        <f t="shared" si="1090"/>
        <v>0</v>
      </c>
      <c r="AG88" s="237">
        <f t="shared" si="1091"/>
        <v>0</v>
      </c>
      <c r="AH88" s="230"/>
      <c r="AI88" s="232">
        <f t="shared" si="1208"/>
        <v>4</v>
      </c>
      <c r="AJ88" s="233" t="str">
        <f t="shared" ref="AJ88:AL88" si="1242">IFERROR(VLOOKUP($R88,$A$13:$D$30,-AJ$12,FALSE),"")</f>
        <v>Bauksit </v>
      </c>
      <c r="AK88" s="234" t="str">
        <f t="shared" si="1242"/>
        <v>Bijih </v>
      </c>
      <c r="AL88" s="234" t="str">
        <f t="shared" si="1242"/>
        <v>Ton </v>
      </c>
      <c r="AM88" s="227" t="str">
        <f>ADHK!AM88</f>
        <v/>
      </c>
      <c r="AN88" s="227"/>
      <c r="AO88" s="227">
        <f t="shared" si="1093"/>
        <v>0</v>
      </c>
      <c r="AP88" s="235"/>
      <c r="AQ88" s="227">
        <f t="shared" si="1094"/>
        <v>0</v>
      </c>
      <c r="AR88" s="96"/>
      <c r="AS88" s="96"/>
      <c r="AT88" s="97"/>
      <c r="AU88" s="227">
        <f t="shared" si="1095"/>
        <v>0</v>
      </c>
      <c r="AV88" s="235">
        <f t="shared" si="1096"/>
        <v>0.4604471269</v>
      </c>
      <c r="AW88" s="236">
        <f t="shared" si="1097"/>
        <v>0</v>
      </c>
      <c r="AX88" s="237">
        <f t="shared" si="1098"/>
        <v>0</v>
      </c>
      <c r="AY88" s="230"/>
      <c r="AZ88" s="232">
        <f t="shared" si="1210"/>
        <v>4</v>
      </c>
      <c r="BA88" s="233" t="str">
        <f t="shared" ref="BA88:BC88" si="1243">IFERROR(VLOOKUP($R88,$A$13:$D$30,-BA$12,FALSE),"")</f>
        <v>Bauksit </v>
      </c>
      <c r="BB88" s="234" t="str">
        <f t="shared" si="1243"/>
        <v>Bijih </v>
      </c>
      <c r="BC88" s="234" t="str">
        <f t="shared" si="1243"/>
        <v>Ton </v>
      </c>
      <c r="BD88" s="227" t="str">
        <f>ADHK!BD88</f>
        <v/>
      </c>
      <c r="BE88" s="227"/>
      <c r="BF88" s="227">
        <f t="shared" si="1100"/>
        <v>0</v>
      </c>
      <c r="BG88" s="235"/>
      <c r="BH88" s="227">
        <f t="shared" si="1101"/>
        <v>0</v>
      </c>
      <c r="BI88" s="96"/>
      <c r="BJ88" s="96"/>
      <c r="BK88" s="97"/>
      <c r="BL88" s="227">
        <f t="shared" si="1102"/>
        <v>0</v>
      </c>
      <c r="BM88" s="235">
        <f t="shared" si="1103"/>
        <v>0.4604471269</v>
      </c>
      <c r="BN88" s="236">
        <f t="shared" si="1104"/>
        <v>0</v>
      </c>
      <c r="BO88" s="237">
        <f t="shared" si="1105"/>
        <v>0</v>
      </c>
      <c r="BP88" s="230"/>
      <c r="BQ88" s="232">
        <f t="shared" si="1212"/>
        <v>4</v>
      </c>
      <c r="BR88" s="233" t="str">
        <f t="shared" ref="BR88:BT88" si="1244">IFERROR(VLOOKUP($R88,$A$13:$D$30,-BR$12,FALSE),"")</f>
        <v>Bauksit </v>
      </c>
      <c r="BS88" s="234" t="str">
        <f t="shared" si="1244"/>
        <v>Bijih </v>
      </c>
      <c r="BT88" s="234" t="str">
        <f t="shared" si="1244"/>
        <v>Ton </v>
      </c>
      <c r="BU88" s="227" t="str">
        <f>ADHK!BU88</f>
        <v/>
      </c>
      <c r="BV88" s="227"/>
      <c r="BW88" s="227">
        <f t="shared" si="1107"/>
        <v>0</v>
      </c>
      <c r="BX88" s="235"/>
      <c r="BY88" s="227">
        <f t="shared" si="1108"/>
        <v>0</v>
      </c>
      <c r="BZ88" s="96"/>
      <c r="CA88" s="96"/>
      <c r="CB88" s="97"/>
      <c r="CC88" s="227">
        <f t="shared" si="1109"/>
        <v>0</v>
      </c>
      <c r="CD88" s="235">
        <f t="shared" si="1110"/>
        <v>0.4604471269</v>
      </c>
      <c r="CE88" s="236">
        <f t="shared" si="1111"/>
        <v>0</v>
      </c>
      <c r="CF88" s="237">
        <f t="shared" si="1112"/>
        <v>0</v>
      </c>
      <c r="CG88" s="230"/>
      <c r="CH88" s="232">
        <f t="shared" si="1214"/>
        <v>4</v>
      </c>
      <c r="CI88" s="233" t="str">
        <f t="shared" ref="CI88:CK88" si="1245">IFERROR(VLOOKUP($R88,$A$13:$D$30,-CI$12,FALSE),"")</f>
        <v>Bauksit </v>
      </c>
      <c r="CJ88" s="234" t="str">
        <f t="shared" si="1245"/>
        <v>Bijih </v>
      </c>
      <c r="CK88" s="234" t="str">
        <f t="shared" si="1245"/>
        <v>Ton </v>
      </c>
      <c r="CL88" s="227" t="str">
        <f>ADHK!CL88</f>
        <v/>
      </c>
      <c r="CM88" s="227"/>
      <c r="CN88" s="227">
        <f t="shared" si="1114"/>
        <v>0</v>
      </c>
      <c r="CO88" s="235"/>
      <c r="CP88" s="227">
        <f t="shared" si="1115"/>
        <v>0</v>
      </c>
      <c r="CQ88" s="96"/>
      <c r="CR88" s="96"/>
      <c r="CS88" s="97"/>
      <c r="CT88" s="227">
        <f t="shared" si="1116"/>
        <v>0</v>
      </c>
      <c r="CU88" s="235">
        <f t="shared" si="1117"/>
        <v>0.4604471269</v>
      </c>
      <c r="CV88" s="236">
        <f t="shared" si="1118"/>
        <v>0</v>
      </c>
      <c r="CW88" s="237">
        <f t="shared" si="1119"/>
        <v>0</v>
      </c>
      <c r="CX88" s="230"/>
      <c r="CY88" s="232">
        <f t="shared" si="1216"/>
        <v>4</v>
      </c>
      <c r="CZ88" s="233" t="str">
        <f t="shared" ref="CZ88:DB88" si="1246">IFERROR(VLOOKUP($R88,$A$13:$D$30,-CZ$12,FALSE),"")</f>
        <v>Bauksit </v>
      </c>
      <c r="DA88" s="234" t="str">
        <f t="shared" si="1246"/>
        <v>Bijih </v>
      </c>
      <c r="DB88" s="234" t="str">
        <f t="shared" si="1246"/>
        <v>Ton </v>
      </c>
      <c r="DC88" s="227" t="str">
        <f>ADHK!DC88</f>
        <v/>
      </c>
      <c r="DD88" s="227"/>
      <c r="DE88" s="227">
        <f t="shared" si="1121"/>
        <v>0</v>
      </c>
      <c r="DF88" s="235"/>
      <c r="DG88" s="227">
        <f t="shared" si="1122"/>
        <v>0</v>
      </c>
      <c r="DH88" s="96"/>
      <c r="DI88" s="96"/>
      <c r="DJ88" s="97"/>
      <c r="DK88" s="227">
        <f t="shared" si="1123"/>
        <v>0</v>
      </c>
      <c r="DL88" s="235">
        <f t="shared" si="1124"/>
        <v>0.4604471269</v>
      </c>
      <c r="DM88" s="236">
        <f t="shared" si="1125"/>
        <v>0</v>
      </c>
      <c r="DN88" s="237">
        <f t="shared" si="1126"/>
        <v>0</v>
      </c>
      <c r="DO88" s="230"/>
      <c r="DP88" s="232">
        <f t="shared" si="1218"/>
        <v>4</v>
      </c>
      <c r="DQ88" s="233" t="str">
        <f t="shared" ref="DQ88:DS88" si="1247">IFERROR(VLOOKUP($R88,$A$13:$D$30,-DQ$12,FALSE),"")</f>
        <v>Bauksit </v>
      </c>
      <c r="DR88" s="234" t="str">
        <f t="shared" si="1247"/>
        <v>Bijih </v>
      </c>
      <c r="DS88" s="234" t="str">
        <f t="shared" si="1247"/>
        <v>Ton </v>
      </c>
      <c r="DT88" s="227" t="str">
        <f>ADHK!DT88</f>
        <v/>
      </c>
      <c r="DU88" s="227"/>
      <c r="DV88" s="227">
        <f t="shared" si="1128"/>
        <v>0</v>
      </c>
      <c r="DW88" s="235"/>
      <c r="DX88" s="227">
        <f t="shared" si="1129"/>
        <v>0</v>
      </c>
      <c r="DY88" s="96"/>
      <c r="DZ88" s="96"/>
      <c r="EA88" s="97"/>
      <c r="EB88" s="227">
        <f t="shared" si="1130"/>
        <v>0</v>
      </c>
      <c r="EC88" s="235">
        <f t="shared" si="1131"/>
        <v>0.4604471269</v>
      </c>
      <c r="ED88" s="236">
        <f t="shared" si="1132"/>
        <v>0</v>
      </c>
      <c r="EE88" s="237">
        <f t="shared" si="1133"/>
        <v>0</v>
      </c>
      <c r="EF88" s="230"/>
      <c r="EG88" s="232">
        <f t="shared" si="1220"/>
        <v>4</v>
      </c>
      <c r="EH88" s="233" t="str">
        <f t="shared" ref="EH88:EJ88" si="1248">IFERROR(VLOOKUP($R88,$A$13:$D$30,-EH$12,FALSE),"")</f>
        <v>Bauksit </v>
      </c>
      <c r="EI88" s="234" t="str">
        <f t="shared" si="1248"/>
        <v>Bijih </v>
      </c>
      <c r="EJ88" s="234" t="str">
        <f t="shared" si="1248"/>
        <v>Ton </v>
      </c>
      <c r="EK88" s="227" t="str">
        <f>ADHK!EK88</f>
        <v/>
      </c>
      <c r="EL88" s="227"/>
      <c r="EM88" s="227">
        <f t="shared" si="1135"/>
        <v>0</v>
      </c>
      <c r="EN88" s="235"/>
      <c r="EO88" s="227">
        <f t="shared" si="1136"/>
        <v>0</v>
      </c>
      <c r="EP88" s="96"/>
      <c r="EQ88" s="96"/>
      <c r="ER88" s="97"/>
      <c r="ES88" s="227">
        <f t="shared" si="1137"/>
        <v>0</v>
      </c>
      <c r="ET88" s="235">
        <f t="shared" si="1138"/>
        <v>0.4604471269</v>
      </c>
      <c r="EU88" s="236">
        <f t="shared" si="1139"/>
        <v>0</v>
      </c>
      <c r="EV88" s="237">
        <f t="shared" si="1140"/>
        <v>0</v>
      </c>
      <c r="EW88" s="230"/>
      <c r="EX88" s="232">
        <f t="shared" si="1222"/>
        <v>4</v>
      </c>
      <c r="EY88" s="233" t="str">
        <f t="shared" ref="EY88:FA88" si="1249">IFERROR(VLOOKUP($R88,$A$13:$D$30,-EY$12,FALSE),"")</f>
        <v>Bauksit </v>
      </c>
      <c r="EZ88" s="234" t="str">
        <f t="shared" si="1249"/>
        <v>Bijih </v>
      </c>
      <c r="FA88" s="234" t="str">
        <f t="shared" si="1249"/>
        <v>Ton </v>
      </c>
      <c r="FB88" s="227" t="str">
        <f>ADHK!FB88</f>
        <v/>
      </c>
      <c r="FC88" s="227"/>
      <c r="FD88" s="227">
        <f t="shared" si="1142"/>
        <v>0</v>
      </c>
      <c r="FE88" s="235"/>
      <c r="FF88" s="227">
        <f t="shared" si="1143"/>
        <v>0</v>
      </c>
      <c r="FG88" s="96"/>
      <c r="FH88" s="96"/>
      <c r="FI88" s="97"/>
      <c r="FJ88" s="227">
        <f t="shared" si="1144"/>
        <v>0</v>
      </c>
      <c r="FK88" s="235">
        <f t="shared" si="1145"/>
        <v>0.4604471269</v>
      </c>
      <c r="FL88" s="236">
        <f t="shared" si="1146"/>
        <v>0</v>
      </c>
      <c r="FM88" s="237">
        <f t="shared" si="1147"/>
        <v>0</v>
      </c>
      <c r="FN88" s="230"/>
      <c r="FO88" s="232">
        <f t="shared" si="1224"/>
        <v>4</v>
      </c>
      <c r="FP88" s="233" t="str">
        <f t="shared" ref="FP88:FR88" si="1250">IFERROR(VLOOKUP($R88,$A$13:$D$30,-FP$12,FALSE),"")</f>
        <v>Bauksit </v>
      </c>
      <c r="FQ88" s="234" t="str">
        <f t="shared" si="1250"/>
        <v>Bijih </v>
      </c>
      <c r="FR88" s="234" t="str">
        <f t="shared" si="1250"/>
        <v>Ton </v>
      </c>
      <c r="FS88" s="227" t="str">
        <f>ADHK!FS88</f>
        <v/>
      </c>
      <c r="FT88" s="227"/>
      <c r="FU88" s="227">
        <f t="shared" si="1149"/>
        <v>0</v>
      </c>
      <c r="FV88" s="235"/>
      <c r="FW88" s="227">
        <f t="shared" si="1150"/>
        <v>0</v>
      </c>
      <c r="FX88" s="96"/>
      <c r="FY88" s="96"/>
      <c r="FZ88" s="97"/>
      <c r="GA88" s="227">
        <f t="shared" si="1151"/>
        <v>0</v>
      </c>
      <c r="GB88" s="235">
        <f t="shared" si="1152"/>
        <v>0.4604471269</v>
      </c>
      <c r="GC88" s="236">
        <f t="shared" si="1153"/>
        <v>0</v>
      </c>
      <c r="GD88" s="237">
        <f t="shared" si="1154"/>
        <v>0</v>
      </c>
      <c r="GE88" s="230"/>
      <c r="GF88" s="232">
        <f t="shared" si="1226"/>
        <v>4</v>
      </c>
      <c r="GG88" s="233" t="str">
        <f t="shared" ref="GG88:GI88" si="1251">IFERROR(VLOOKUP($R88,$A$13:$D$30,-GG$12,FALSE),"")</f>
        <v>Bauksit </v>
      </c>
      <c r="GH88" s="234" t="str">
        <f t="shared" si="1251"/>
        <v>Bijih </v>
      </c>
      <c r="GI88" s="234" t="str">
        <f t="shared" si="1251"/>
        <v>Ton </v>
      </c>
      <c r="GJ88" s="227" t="str">
        <f>ADHK!GJ88</f>
        <v/>
      </c>
      <c r="GK88" s="227"/>
      <c r="GL88" s="227">
        <f t="shared" si="1156"/>
        <v>0</v>
      </c>
      <c r="GM88" s="235"/>
      <c r="GN88" s="227">
        <f t="shared" si="1157"/>
        <v>0</v>
      </c>
      <c r="GO88" s="96"/>
      <c r="GP88" s="96"/>
      <c r="GQ88" s="97"/>
      <c r="GR88" s="227">
        <f t="shared" si="1158"/>
        <v>0</v>
      </c>
      <c r="GS88" s="235">
        <f t="shared" si="1159"/>
        <v>0.4604471269</v>
      </c>
      <c r="GT88" s="236">
        <f t="shared" si="1160"/>
        <v>0</v>
      </c>
      <c r="GU88" s="237">
        <f t="shared" si="1161"/>
        <v>0</v>
      </c>
      <c r="GV88" s="230"/>
      <c r="GW88" s="232">
        <f t="shared" si="1228"/>
        <v>4</v>
      </c>
      <c r="GX88" s="233" t="str">
        <f t="shared" ref="GX88:GZ88" si="1252">IFERROR(VLOOKUP($R88,$A$13:$D$30,-GX$12,FALSE),"")</f>
        <v>Bauksit </v>
      </c>
      <c r="GY88" s="234" t="str">
        <f t="shared" si="1252"/>
        <v>Bijih </v>
      </c>
      <c r="GZ88" s="234" t="str">
        <f t="shared" si="1252"/>
        <v>Ton </v>
      </c>
      <c r="HA88" s="227" t="str">
        <f>ADHK!HA88</f>
        <v/>
      </c>
      <c r="HB88" s="227"/>
      <c r="HC88" s="227">
        <f t="shared" si="1163"/>
        <v>0</v>
      </c>
      <c r="HD88" s="235"/>
      <c r="HE88" s="227">
        <f t="shared" si="1164"/>
        <v>0</v>
      </c>
      <c r="HF88" s="96"/>
      <c r="HG88" s="96"/>
      <c r="HH88" s="97"/>
      <c r="HI88" s="227">
        <f t="shared" si="1165"/>
        <v>0</v>
      </c>
      <c r="HJ88" s="235">
        <f t="shared" si="1166"/>
        <v>0.4604471269</v>
      </c>
      <c r="HK88" s="236">
        <f t="shared" si="1167"/>
        <v>0</v>
      </c>
      <c r="HL88" s="237">
        <f t="shared" si="1168"/>
        <v>0</v>
      </c>
      <c r="HM88" s="230"/>
      <c r="HN88" s="232">
        <f t="shared" si="1230"/>
        <v>4</v>
      </c>
      <c r="HO88" s="233" t="str">
        <f t="shared" ref="HO88:HQ88" si="1253">IFERROR(VLOOKUP($R88,$A$13:$D$30,-HO$12,FALSE),"")</f>
        <v>Bauksit </v>
      </c>
      <c r="HP88" s="234" t="str">
        <f t="shared" si="1253"/>
        <v>Bijih </v>
      </c>
      <c r="HQ88" s="234" t="str">
        <f t="shared" si="1253"/>
        <v>Ton </v>
      </c>
      <c r="HR88" s="227" t="str">
        <f>ADHK!HR88</f>
        <v/>
      </c>
      <c r="HS88" s="227"/>
      <c r="HT88" s="227">
        <f t="shared" si="1170"/>
        <v>0</v>
      </c>
      <c r="HU88" s="235"/>
      <c r="HV88" s="227">
        <f t="shared" si="1171"/>
        <v>0</v>
      </c>
      <c r="HW88" s="96"/>
      <c r="HX88" s="96"/>
      <c r="HY88" s="97"/>
      <c r="HZ88" s="227">
        <f t="shared" si="1172"/>
        <v>0</v>
      </c>
      <c r="IA88" s="235">
        <f t="shared" si="1173"/>
        <v>0.4604471269</v>
      </c>
      <c r="IB88" s="236">
        <f t="shared" si="1174"/>
        <v>0</v>
      </c>
      <c r="IC88" s="237">
        <f t="shared" si="1175"/>
        <v>0</v>
      </c>
      <c r="ID88" s="230"/>
      <c r="IE88" s="232">
        <f t="shared" si="1232"/>
        <v>4</v>
      </c>
      <c r="IF88" s="233" t="str">
        <f t="shared" ref="IF88:IH88" si="1254">IFERROR(VLOOKUP($R88,$A$13:$D$30,-IF$12,FALSE),"")</f>
        <v>Bauksit </v>
      </c>
      <c r="IG88" s="234" t="str">
        <f t="shared" si="1254"/>
        <v>Bijih </v>
      </c>
      <c r="IH88" s="234" t="str">
        <f t="shared" si="1254"/>
        <v>Ton </v>
      </c>
      <c r="II88" s="227" t="str">
        <f>ADHK!II88</f>
        <v/>
      </c>
      <c r="IJ88" s="227"/>
      <c r="IK88" s="227">
        <f t="shared" si="1177"/>
        <v>0</v>
      </c>
      <c r="IL88" s="235"/>
      <c r="IM88" s="227">
        <f t="shared" si="1178"/>
        <v>0</v>
      </c>
      <c r="IN88" s="96"/>
      <c r="IO88" s="96"/>
      <c r="IP88" s="97"/>
      <c r="IQ88" s="227">
        <f t="shared" si="1179"/>
        <v>0</v>
      </c>
      <c r="IR88" s="235">
        <f t="shared" si="1180"/>
        <v>0.4604471269</v>
      </c>
      <c r="IS88" s="236">
        <f t="shared" si="1181"/>
        <v>0</v>
      </c>
      <c r="IT88" s="237">
        <f t="shared" si="1182"/>
        <v>0</v>
      </c>
      <c r="IU88" s="230"/>
      <c r="IV88" s="232">
        <f t="shared" si="1234"/>
        <v>4</v>
      </c>
      <c r="IW88" s="233" t="str">
        <f t="shared" ref="IW88:IY88" si="1255">IFERROR(VLOOKUP($R88,$A$13:$D$30,-IW$12,FALSE),"")</f>
        <v>Bauksit </v>
      </c>
      <c r="IX88" s="234" t="str">
        <f t="shared" si="1255"/>
        <v>Bijih </v>
      </c>
      <c r="IY88" s="234" t="str">
        <f t="shared" si="1255"/>
        <v>Ton </v>
      </c>
      <c r="IZ88" s="227" t="str">
        <f>ADHK!IZ88</f>
        <v/>
      </c>
      <c r="JA88" s="227"/>
      <c r="JB88" s="227">
        <f t="shared" si="1184"/>
        <v>0</v>
      </c>
      <c r="JC88" s="235"/>
      <c r="JD88" s="227">
        <f t="shared" si="1185"/>
        <v>0</v>
      </c>
      <c r="JE88" s="96"/>
      <c r="JF88" s="96"/>
      <c r="JG88" s="97"/>
      <c r="JH88" s="227">
        <f t="shared" si="1186"/>
        <v>0</v>
      </c>
      <c r="JI88" s="235">
        <f t="shared" si="1187"/>
        <v>0.4604471269</v>
      </c>
      <c r="JJ88" s="236">
        <f t="shared" si="1188"/>
        <v>0</v>
      </c>
      <c r="JK88" s="237">
        <f t="shared" si="1189"/>
        <v>0</v>
      </c>
      <c r="JL88" s="230"/>
      <c r="JM88" s="232">
        <f t="shared" si="1236"/>
        <v>4</v>
      </c>
      <c r="JN88" s="233" t="str">
        <f t="shared" ref="JN88:JP88" si="1256">IFERROR(VLOOKUP($R88,$A$13:$D$30,-JN$12,FALSE),"")</f>
        <v>Bauksit </v>
      </c>
      <c r="JO88" s="234" t="str">
        <f t="shared" si="1256"/>
        <v>Bijih </v>
      </c>
      <c r="JP88" s="234" t="str">
        <f t="shared" si="1256"/>
        <v>Ton </v>
      </c>
      <c r="JQ88" s="227" t="str">
        <f>ADHK!KY88</f>
        <v/>
      </c>
      <c r="JR88" s="227"/>
      <c r="JS88" s="227">
        <f t="shared" si="1191"/>
        <v>0</v>
      </c>
      <c r="JT88" s="235"/>
      <c r="JU88" s="227">
        <f t="shared" si="1192"/>
        <v>0</v>
      </c>
      <c r="JV88" s="96"/>
      <c r="JW88" s="96"/>
      <c r="JX88" s="97"/>
      <c r="JY88" s="227">
        <f t="shared" si="1193"/>
        <v>0</v>
      </c>
      <c r="JZ88" s="235">
        <f t="shared" si="1194"/>
        <v>0.4604471269</v>
      </c>
      <c r="KA88" s="236">
        <f t="shared" si="1195"/>
        <v>0</v>
      </c>
      <c r="KB88" s="237">
        <f t="shared" si="1196"/>
        <v>0</v>
      </c>
      <c r="KC88" s="230"/>
      <c r="KD88" s="232">
        <f t="shared" si="1238"/>
        <v>4</v>
      </c>
      <c r="KE88" s="233" t="str">
        <f t="shared" ref="KE88:KG88" si="1257">IFERROR(VLOOKUP($R88,$A$13:$D$30,-KE$12,FALSE),"")</f>
        <v>Bauksit </v>
      </c>
      <c r="KF88" s="234" t="str">
        <f t="shared" si="1257"/>
        <v>Bijih </v>
      </c>
      <c r="KG88" s="234" t="str">
        <f t="shared" si="1257"/>
        <v>Ton </v>
      </c>
      <c r="KH88" s="227" t="str">
        <f>ADHK!LP88</f>
        <v/>
      </c>
      <c r="KI88" s="227"/>
      <c r="KJ88" s="227">
        <f t="shared" si="1198"/>
        <v>0</v>
      </c>
      <c r="KK88" s="235"/>
      <c r="KL88" s="227">
        <f t="shared" si="1199"/>
        <v>0</v>
      </c>
      <c r="KM88" s="96"/>
      <c r="KN88" s="96"/>
      <c r="KO88" s="97"/>
      <c r="KP88" s="227">
        <f t="shared" si="1200"/>
        <v>0</v>
      </c>
      <c r="KQ88" s="235">
        <f t="shared" si="1201"/>
        <v>0.4604471269</v>
      </c>
      <c r="KR88" s="236">
        <f t="shared" si="1202"/>
        <v>0</v>
      </c>
      <c r="KS88" s="237">
        <f t="shared" si="1203"/>
        <v>0</v>
      </c>
      <c r="KT88" s="230"/>
      <c r="KU88" s="231"/>
    </row>
    <row r="89" ht="15.75" customHeight="1">
      <c r="A89" s="232">
        <f t="shared" si="1204"/>
        <v>5</v>
      </c>
      <c r="B89" s="233" t="str">
        <f t="shared" ref="B89:D89" si="1258">IFERROR(VLOOKUP($A89,$A$13:$D$30,-B$12,FALSE),"")</f>
        <v>Bijih Nikel </v>
      </c>
      <c r="C89" s="234" t="str">
        <f t="shared" si="1258"/>
        <v>Bijih </v>
      </c>
      <c r="D89" s="234" t="str">
        <f t="shared" si="1258"/>
        <v>WMT</v>
      </c>
      <c r="E89" s="227" t="str">
        <f>ADHK!E89</f>
        <v/>
      </c>
      <c r="F89" s="227" t="str">
        <f>ADHK!F89</f>
        <v/>
      </c>
      <c r="G89" s="227">
        <f t="shared" si="1079"/>
        <v>0</v>
      </c>
      <c r="H89" s="235"/>
      <c r="I89" s="227">
        <f t="shared" si="1080"/>
        <v>0</v>
      </c>
      <c r="J89" s="96"/>
      <c r="K89" s="96"/>
      <c r="L89" s="97"/>
      <c r="M89" s="227">
        <f t="shared" si="1081"/>
        <v>0</v>
      </c>
      <c r="N89" s="235">
        <f t="shared" si="1082"/>
        <v>0.4604471269</v>
      </c>
      <c r="O89" s="236">
        <f t="shared" si="1083"/>
        <v>0</v>
      </c>
      <c r="P89" s="237">
        <f t="shared" si="1084"/>
        <v>0</v>
      </c>
      <c r="Q89" s="230"/>
      <c r="R89" s="232">
        <f t="shared" si="1206"/>
        <v>5</v>
      </c>
      <c r="S89" s="233" t="str">
        <f t="shared" ref="S89:U89" si="1259">IFERROR(VLOOKUP($R89,$A$13:$D$30,-S$12,FALSE),"")</f>
        <v>Bijih Nikel </v>
      </c>
      <c r="T89" s="234" t="str">
        <f t="shared" si="1259"/>
        <v>Bijih </v>
      </c>
      <c r="U89" s="234" t="str">
        <f t="shared" si="1259"/>
        <v>WMT</v>
      </c>
      <c r="V89" s="227" t="str">
        <f>ADHK!V89</f>
        <v/>
      </c>
      <c r="W89" s="227"/>
      <c r="X89" s="227">
        <f t="shared" si="1086"/>
        <v>0</v>
      </c>
      <c r="Y89" s="235"/>
      <c r="Z89" s="227">
        <f t="shared" si="1087"/>
        <v>0</v>
      </c>
      <c r="AA89" s="96"/>
      <c r="AB89" s="96"/>
      <c r="AC89" s="97"/>
      <c r="AD89" s="227">
        <f t="shared" si="1088"/>
        <v>0</v>
      </c>
      <c r="AE89" s="235">
        <f t="shared" si="1089"/>
        <v>0.4604471269</v>
      </c>
      <c r="AF89" s="236">
        <f t="shared" si="1090"/>
        <v>0</v>
      </c>
      <c r="AG89" s="237">
        <f t="shared" si="1091"/>
        <v>0</v>
      </c>
      <c r="AH89" s="230"/>
      <c r="AI89" s="232">
        <f t="shared" si="1208"/>
        <v>5</v>
      </c>
      <c r="AJ89" s="233" t="str">
        <f t="shared" ref="AJ89:AL89" si="1260">IFERROR(VLOOKUP($R89,$A$13:$D$30,-AJ$12,FALSE),"")</f>
        <v>Bijih Nikel </v>
      </c>
      <c r="AK89" s="234" t="str">
        <f t="shared" si="1260"/>
        <v>Bijih </v>
      </c>
      <c r="AL89" s="234" t="str">
        <f t="shared" si="1260"/>
        <v>WMT</v>
      </c>
      <c r="AM89" s="227" t="str">
        <f>ADHK!AM89</f>
        <v/>
      </c>
      <c r="AN89" s="227"/>
      <c r="AO89" s="227">
        <f t="shared" si="1093"/>
        <v>0</v>
      </c>
      <c r="AP89" s="235"/>
      <c r="AQ89" s="227">
        <f t="shared" si="1094"/>
        <v>0</v>
      </c>
      <c r="AR89" s="96"/>
      <c r="AS89" s="96"/>
      <c r="AT89" s="97"/>
      <c r="AU89" s="227">
        <f t="shared" si="1095"/>
        <v>0</v>
      </c>
      <c r="AV89" s="235">
        <f t="shared" si="1096"/>
        <v>0.4604471269</v>
      </c>
      <c r="AW89" s="236">
        <f t="shared" si="1097"/>
        <v>0</v>
      </c>
      <c r="AX89" s="237">
        <f t="shared" si="1098"/>
        <v>0</v>
      </c>
      <c r="AY89" s="230"/>
      <c r="AZ89" s="232">
        <f t="shared" si="1210"/>
        <v>5</v>
      </c>
      <c r="BA89" s="233" t="str">
        <f t="shared" ref="BA89:BC89" si="1261">IFERROR(VLOOKUP($R89,$A$13:$D$30,-BA$12,FALSE),"")</f>
        <v>Bijih Nikel </v>
      </c>
      <c r="BB89" s="234" t="str">
        <f t="shared" si="1261"/>
        <v>Bijih </v>
      </c>
      <c r="BC89" s="234" t="str">
        <f t="shared" si="1261"/>
        <v>WMT</v>
      </c>
      <c r="BD89" s="227" t="str">
        <f>ADHK!BD89</f>
        <v/>
      </c>
      <c r="BE89" s="227"/>
      <c r="BF89" s="227">
        <f t="shared" si="1100"/>
        <v>0</v>
      </c>
      <c r="BG89" s="235"/>
      <c r="BH89" s="227">
        <f t="shared" si="1101"/>
        <v>0</v>
      </c>
      <c r="BI89" s="96"/>
      <c r="BJ89" s="96"/>
      <c r="BK89" s="97"/>
      <c r="BL89" s="227">
        <f t="shared" si="1102"/>
        <v>0</v>
      </c>
      <c r="BM89" s="235">
        <f t="shared" si="1103"/>
        <v>0.4604471269</v>
      </c>
      <c r="BN89" s="236">
        <f t="shared" si="1104"/>
        <v>0</v>
      </c>
      <c r="BO89" s="237">
        <f t="shared" si="1105"/>
        <v>0</v>
      </c>
      <c r="BP89" s="230"/>
      <c r="BQ89" s="232">
        <f t="shared" si="1212"/>
        <v>5</v>
      </c>
      <c r="BR89" s="233" t="str">
        <f t="shared" ref="BR89:BT89" si="1262">IFERROR(VLOOKUP($R89,$A$13:$D$30,-BR$12,FALSE),"")</f>
        <v>Bijih Nikel </v>
      </c>
      <c r="BS89" s="234" t="str">
        <f t="shared" si="1262"/>
        <v>Bijih </v>
      </c>
      <c r="BT89" s="234" t="str">
        <f t="shared" si="1262"/>
        <v>WMT</v>
      </c>
      <c r="BU89" s="227" t="str">
        <f>ADHK!BU89</f>
        <v/>
      </c>
      <c r="BV89" s="227"/>
      <c r="BW89" s="227">
        <f t="shared" si="1107"/>
        <v>0</v>
      </c>
      <c r="BX89" s="235"/>
      <c r="BY89" s="227">
        <f t="shared" si="1108"/>
        <v>0</v>
      </c>
      <c r="BZ89" s="96"/>
      <c r="CA89" s="96"/>
      <c r="CB89" s="97"/>
      <c r="CC89" s="227">
        <f t="shared" si="1109"/>
        <v>0</v>
      </c>
      <c r="CD89" s="235">
        <f t="shared" si="1110"/>
        <v>0.4604471269</v>
      </c>
      <c r="CE89" s="236">
        <f t="shared" si="1111"/>
        <v>0</v>
      </c>
      <c r="CF89" s="237">
        <f t="shared" si="1112"/>
        <v>0</v>
      </c>
      <c r="CG89" s="230"/>
      <c r="CH89" s="232">
        <f t="shared" si="1214"/>
        <v>5</v>
      </c>
      <c r="CI89" s="233" t="str">
        <f t="shared" ref="CI89:CK89" si="1263">IFERROR(VLOOKUP($R89,$A$13:$D$30,-CI$12,FALSE),"")</f>
        <v>Bijih Nikel </v>
      </c>
      <c r="CJ89" s="234" t="str">
        <f t="shared" si="1263"/>
        <v>Bijih </v>
      </c>
      <c r="CK89" s="234" t="str">
        <f t="shared" si="1263"/>
        <v>WMT</v>
      </c>
      <c r="CL89" s="227" t="str">
        <f>ADHK!CL89</f>
        <v/>
      </c>
      <c r="CM89" s="227"/>
      <c r="CN89" s="227">
        <f t="shared" si="1114"/>
        <v>0</v>
      </c>
      <c r="CO89" s="235"/>
      <c r="CP89" s="227">
        <f t="shared" si="1115"/>
        <v>0</v>
      </c>
      <c r="CQ89" s="96"/>
      <c r="CR89" s="96"/>
      <c r="CS89" s="97"/>
      <c r="CT89" s="227">
        <f t="shared" si="1116"/>
        <v>0</v>
      </c>
      <c r="CU89" s="235">
        <f t="shared" si="1117"/>
        <v>0.4604471269</v>
      </c>
      <c r="CV89" s="236">
        <f t="shared" si="1118"/>
        <v>0</v>
      </c>
      <c r="CW89" s="237">
        <f t="shared" si="1119"/>
        <v>0</v>
      </c>
      <c r="CX89" s="230"/>
      <c r="CY89" s="232">
        <f t="shared" si="1216"/>
        <v>5</v>
      </c>
      <c r="CZ89" s="233" t="str">
        <f t="shared" ref="CZ89:DB89" si="1264">IFERROR(VLOOKUP($R89,$A$13:$D$30,-CZ$12,FALSE),"")</f>
        <v>Bijih Nikel </v>
      </c>
      <c r="DA89" s="234" t="str">
        <f t="shared" si="1264"/>
        <v>Bijih </v>
      </c>
      <c r="DB89" s="234" t="str">
        <f t="shared" si="1264"/>
        <v>WMT</v>
      </c>
      <c r="DC89" s="227" t="str">
        <f>ADHK!DC89</f>
        <v/>
      </c>
      <c r="DD89" s="227"/>
      <c r="DE89" s="227">
        <f t="shared" si="1121"/>
        <v>0</v>
      </c>
      <c r="DF89" s="235"/>
      <c r="DG89" s="227">
        <f t="shared" si="1122"/>
        <v>0</v>
      </c>
      <c r="DH89" s="96"/>
      <c r="DI89" s="96"/>
      <c r="DJ89" s="97"/>
      <c r="DK89" s="227">
        <f t="shared" si="1123"/>
        <v>0</v>
      </c>
      <c r="DL89" s="235">
        <f t="shared" si="1124"/>
        <v>0.4604471269</v>
      </c>
      <c r="DM89" s="236">
        <f t="shared" si="1125"/>
        <v>0</v>
      </c>
      <c r="DN89" s="237">
        <f t="shared" si="1126"/>
        <v>0</v>
      </c>
      <c r="DO89" s="230"/>
      <c r="DP89" s="232">
        <f t="shared" si="1218"/>
        <v>5</v>
      </c>
      <c r="DQ89" s="233" t="str">
        <f t="shared" ref="DQ89:DS89" si="1265">IFERROR(VLOOKUP($R89,$A$13:$D$30,-DQ$12,FALSE),"")</f>
        <v>Bijih Nikel </v>
      </c>
      <c r="DR89" s="234" t="str">
        <f t="shared" si="1265"/>
        <v>Bijih </v>
      </c>
      <c r="DS89" s="234" t="str">
        <f t="shared" si="1265"/>
        <v>WMT</v>
      </c>
      <c r="DT89" s="227" t="str">
        <f>ADHK!DT89</f>
        <v/>
      </c>
      <c r="DU89" s="227"/>
      <c r="DV89" s="227">
        <f t="shared" si="1128"/>
        <v>0</v>
      </c>
      <c r="DW89" s="235"/>
      <c r="DX89" s="227">
        <f t="shared" si="1129"/>
        <v>0</v>
      </c>
      <c r="DY89" s="96"/>
      <c r="DZ89" s="96"/>
      <c r="EA89" s="97"/>
      <c r="EB89" s="227">
        <f t="shared" si="1130"/>
        <v>0</v>
      </c>
      <c r="EC89" s="235">
        <f t="shared" si="1131"/>
        <v>0.4604471269</v>
      </c>
      <c r="ED89" s="236">
        <f t="shared" si="1132"/>
        <v>0</v>
      </c>
      <c r="EE89" s="237">
        <f t="shared" si="1133"/>
        <v>0</v>
      </c>
      <c r="EF89" s="230"/>
      <c r="EG89" s="232">
        <f t="shared" si="1220"/>
        <v>5</v>
      </c>
      <c r="EH89" s="233" t="str">
        <f t="shared" ref="EH89:EJ89" si="1266">IFERROR(VLOOKUP($R89,$A$13:$D$30,-EH$12,FALSE),"")</f>
        <v>Bijih Nikel </v>
      </c>
      <c r="EI89" s="234" t="str">
        <f t="shared" si="1266"/>
        <v>Bijih </v>
      </c>
      <c r="EJ89" s="234" t="str">
        <f t="shared" si="1266"/>
        <v>WMT</v>
      </c>
      <c r="EK89" s="227" t="str">
        <f>ADHK!EK89</f>
        <v/>
      </c>
      <c r="EL89" s="227"/>
      <c r="EM89" s="227">
        <f t="shared" si="1135"/>
        <v>0</v>
      </c>
      <c r="EN89" s="235"/>
      <c r="EO89" s="227">
        <f t="shared" si="1136"/>
        <v>0</v>
      </c>
      <c r="EP89" s="96"/>
      <c r="EQ89" s="96"/>
      <c r="ER89" s="97"/>
      <c r="ES89" s="227">
        <f t="shared" si="1137"/>
        <v>0</v>
      </c>
      <c r="ET89" s="235">
        <f t="shared" si="1138"/>
        <v>0.4604471269</v>
      </c>
      <c r="EU89" s="236">
        <f t="shared" si="1139"/>
        <v>0</v>
      </c>
      <c r="EV89" s="237">
        <f t="shared" si="1140"/>
        <v>0</v>
      </c>
      <c r="EW89" s="230"/>
      <c r="EX89" s="232">
        <f t="shared" si="1222"/>
        <v>5</v>
      </c>
      <c r="EY89" s="233" t="str">
        <f t="shared" ref="EY89:FA89" si="1267">IFERROR(VLOOKUP($R89,$A$13:$D$30,-EY$12,FALSE),"")</f>
        <v>Bijih Nikel </v>
      </c>
      <c r="EZ89" s="234" t="str">
        <f t="shared" si="1267"/>
        <v>Bijih </v>
      </c>
      <c r="FA89" s="234" t="str">
        <f t="shared" si="1267"/>
        <v>WMT</v>
      </c>
      <c r="FB89" s="227" t="str">
        <f>ADHK!FB89</f>
        <v/>
      </c>
      <c r="FC89" s="227"/>
      <c r="FD89" s="227">
        <f t="shared" si="1142"/>
        <v>0</v>
      </c>
      <c r="FE89" s="235"/>
      <c r="FF89" s="227">
        <f t="shared" si="1143"/>
        <v>0</v>
      </c>
      <c r="FG89" s="96"/>
      <c r="FH89" s="96"/>
      <c r="FI89" s="97"/>
      <c r="FJ89" s="227">
        <f t="shared" si="1144"/>
        <v>0</v>
      </c>
      <c r="FK89" s="235">
        <f t="shared" si="1145"/>
        <v>0.4604471269</v>
      </c>
      <c r="FL89" s="236">
        <f t="shared" si="1146"/>
        <v>0</v>
      </c>
      <c r="FM89" s="237">
        <f t="shared" si="1147"/>
        <v>0</v>
      </c>
      <c r="FN89" s="230"/>
      <c r="FO89" s="232">
        <f t="shared" si="1224"/>
        <v>5</v>
      </c>
      <c r="FP89" s="233" t="str">
        <f t="shared" ref="FP89:FR89" si="1268">IFERROR(VLOOKUP($R89,$A$13:$D$30,-FP$12,FALSE),"")</f>
        <v>Bijih Nikel </v>
      </c>
      <c r="FQ89" s="234" t="str">
        <f t="shared" si="1268"/>
        <v>Bijih </v>
      </c>
      <c r="FR89" s="234" t="str">
        <f t="shared" si="1268"/>
        <v>WMT</v>
      </c>
      <c r="FS89" s="238">
        <v>4180512.45</v>
      </c>
      <c r="FT89" s="238">
        <v>275427.67</v>
      </c>
      <c r="FU89" s="227">
        <f t="shared" si="1149"/>
        <v>1151428.804</v>
      </c>
      <c r="FV89" s="235"/>
      <c r="FW89" s="227">
        <f t="shared" si="1150"/>
        <v>0</v>
      </c>
      <c r="FX89" s="96"/>
      <c r="FY89" s="96"/>
      <c r="FZ89" s="97"/>
      <c r="GA89" s="227">
        <f t="shared" si="1151"/>
        <v>1151428.804</v>
      </c>
      <c r="GB89" s="235">
        <f t="shared" si="1152"/>
        <v>0.4604471269</v>
      </c>
      <c r="GC89" s="236">
        <f t="shared" si="1153"/>
        <v>530172.0844</v>
      </c>
      <c r="GD89" s="237">
        <f t="shared" si="1154"/>
        <v>621256.7191</v>
      </c>
      <c r="GE89" s="230"/>
      <c r="GF89" s="232">
        <f t="shared" si="1226"/>
        <v>5</v>
      </c>
      <c r="GG89" s="233" t="str">
        <f t="shared" ref="GG89:GI89" si="1269">IFERROR(VLOOKUP($R89,$A$13:$D$30,-GG$12,FALSE),"")</f>
        <v>Bijih Nikel </v>
      </c>
      <c r="GH89" s="234" t="str">
        <f t="shared" si="1269"/>
        <v>Bijih </v>
      </c>
      <c r="GI89" s="234" t="str">
        <f t="shared" si="1269"/>
        <v>WMT</v>
      </c>
      <c r="GJ89" s="227">
        <f>6113.05*1000</f>
        <v>6113050</v>
      </c>
      <c r="GK89" s="238">
        <v>216458.0</v>
      </c>
      <c r="GL89" s="227">
        <f t="shared" si="1156"/>
        <v>1323218.577</v>
      </c>
      <c r="GM89" s="235"/>
      <c r="GN89" s="227">
        <f t="shared" si="1157"/>
        <v>0</v>
      </c>
      <c r="GO89" s="96"/>
      <c r="GP89" s="96"/>
      <c r="GQ89" s="97"/>
      <c r="GR89" s="227">
        <f t="shared" si="1158"/>
        <v>1323218.577</v>
      </c>
      <c r="GS89" s="235">
        <f t="shared" si="1159"/>
        <v>0.4604471269</v>
      </c>
      <c r="GT89" s="236">
        <f t="shared" si="1160"/>
        <v>609272.192</v>
      </c>
      <c r="GU89" s="237">
        <f t="shared" si="1161"/>
        <v>713946.3849</v>
      </c>
      <c r="GV89" s="230"/>
      <c r="GW89" s="232">
        <f t="shared" si="1228"/>
        <v>5</v>
      </c>
      <c r="GX89" s="233" t="str">
        <f t="shared" ref="GX89:GZ89" si="1270">IFERROR(VLOOKUP($R89,$A$13:$D$30,-GX$12,FALSE),"")</f>
        <v>Bijih Nikel </v>
      </c>
      <c r="GY89" s="234" t="str">
        <f t="shared" si="1270"/>
        <v>Bijih </v>
      </c>
      <c r="GZ89" s="234" t="str">
        <f t="shared" si="1270"/>
        <v>WMT</v>
      </c>
      <c r="HA89" s="227">
        <f>6001.861*1000</f>
        <v>6001861</v>
      </c>
      <c r="HB89" s="238">
        <v>216433.12031982</v>
      </c>
      <c r="HC89" s="227">
        <f t="shared" si="1163"/>
        <v>1299001.504</v>
      </c>
      <c r="HD89" s="235"/>
      <c r="HE89" s="227">
        <f t="shared" si="1164"/>
        <v>0</v>
      </c>
      <c r="HF89" s="96"/>
      <c r="HG89" s="96"/>
      <c r="HH89" s="97"/>
      <c r="HI89" s="227">
        <f t="shared" si="1165"/>
        <v>1299001.504</v>
      </c>
      <c r="HJ89" s="235">
        <f t="shared" si="1166"/>
        <v>0.4604471269</v>
      </c>
      <c r="HK89" s="236">
        <f t="shared" si="1167"/>
        <v>598121.5103</v>
      </c>
      <c r="HL89" s="237">
        <f t="shared" si="1168"/>
        <v>700879.9936</v>
      </c>
      <c r="HM89" s="230"/>
      <c r="HN89" s="232">
        <f t="shared" si="1230"/>
        <v>5</v>
      </c>
      <c r="HO89" s="233" t="str">
        <f t="shared" ref="HO89:HQ89" si="1271">IFERROR(VLOOKUP($R89,$A$13:$D$30,-HO$12,FALSE),"")</f>
        <v>Bijih Nikel </v>
      </c>
      <c r="HP89" s="234" t="str">
        <f t="shared" si="1271"/>
        <v>Bijih </v>
      </c>
      <c r="HQ89" s="234" t="str">
        <f t="shared" si="1271"/>
        <v>WMT</v>
      </c>
      <c r="HR89" s="238">
        <f>198801+9727721.612</f>
        <v>9926522.612</v>
      </c>
      <c r="HS89" s="238">
        <v>230000.0</v>
      </c>
      <c r="HT89" s="227">
        <f t="shared" si="1170"/>
        <v>2283100.201</v>
      </c>
      <c r="HU89" s="235"/>
      <c r="HV89" s="227">
        <f t="shared" si="1171"/>
        <v>0</v>
      </c>
      <c r="HW89" s="96"/>
      <c r="HX89" s="96"/>
      <c r="HY89" s="97"/>
      <c r="HZ89" s="227">
        <f t="shared" si="1172"/>
        <v>2283100.201</v>
      </c>
      <c r="IA89" s="235">
        <f t="shared" si="1173"/>
        <v>0.4604471269</v>
      </c>
      <c r="IB89" s="236">
        <f t="shared" si="1174"/>
        <v>1051246.928</v>
      </c>
      <c r="IC89" s="237">
        <f t="shared" si="1175"/>
        <v>1231853.273</v>
      </c>
      <c r="ID89" s="230"/>
      <c r="IE89" s="232">
        <f t="shared" si="1232"/>
        <v>5</v>
      </c>
      <c r="IF89" s="233" t="str">
        <f t="shared" ref="IF89:IH89" si="1272">IFERROR(VLOOKUP($R89,$A$13:$D$30,-IF$12,FALSE),"")</f>
        <v>Bijih Nikel </v>
      </c>
      <c r="IG89" s="234" t="str">
        <f t="shared" si="1272"/>
        <v>Bijih </v>
      </c>
      <c r="IH89" s="234" t="str">
        <f t="shared" si="1272"/>
        <v>WMT</v>
      </c>
      <c r="II89" s="227">
        <f>II53*245/100</f>
        <v>20815923.5</v>
      </c>
      <c r="IJ89" s="227">
        <f>IJ53+(IJ53* 3.6/100)</f>
        <v>226279.6434</v>
      </c>
      <c r="IK89" s="227">
        <f t="shared" si="1177"/>
        <v>4710219.746</v>
      </c>
      <c r="IL89" s="235"/>
      <c r="IM89" s="227">
        <f t="shared" si="1178"/>
        <v>0</v>
      </c>
      <c r="IN89" s="96"/>
      <c r="IO89" s="96"/>
      <c r="IP89" s="97"/>
      <c r="IQ89" s="227">
        <f t="shared" si="1179"/>
        <v>4710219.746</v>
      </c>
      <c r="IR89" s="235">
        <f t="shared" si="1180"/>
        <v>0.4604471269</v>
      </c>
      <c r="IS89" s="236">
        <f t="shared" si="1181"/>
        <v>2168807.149</v>
      </c>
      <c r="IT89" s="237">
        <f t="shared" si="1182"/>
        <v>2541412.597</v>
      </c>
      <c r="IU89" s="230"/>
      <c r="IV89" s="232">
        <f t="shared" si="1234"/>
        <v>5</v>
      </c>
      <c r="IW89" s="233" t="str">
        <f t="shared" ref="IW89:IY89" si="1273">IFERROR(VLOOKUP($R89,$A$13:$D$30,-IW$12,FALSE),"")</f>
        <v>Bijih Nikel </v>
      </c>
      <c r="IX89" s="234" t="str">
        <f t="shared" si="1273"/>
        <v>Bijih </v>
      </c>
      <c r="IY89" s="234" t="str">
        <f t="shared" si="1273"/>
        <v>WMT</v>
      </c>
      <c r="IZ89" s="227">
        <f>IZ53*(100+1.75)/100</f>
        <v>20662596.71</v>
      </c>
      <c r="JA89" s="227">
        <f>JA53*(100+0.08)/100</f>
        <v>211078.6715</v>
      </c>
      <c r="JB89" s="227">
        <f t="shared" si="1184"/>
        <v>4361433.464</v>
      </c>
      <c r="JC89" s="235"/>
      <c r="JD89" s="227">
        <f t="shared" si="1185"/>
        <v>0</v>
      </c>
      <c r="JE89" s="96"/>
      <c r="JF89" s="96"/>
      <c r="JG89" s="97"/>
      <c r="JH89" s="227">
        <f t="shared" si="1186"/>
        <v>4361433.464</v>
      </c>
      <c r="JI89" s="235">
        <f t="shared" si="1187"/>
        <v>0.4604471269</v>
      </c>
      <c r="JJ89" s="236">
        <f t="shared" si="1188"/>
        <v>2008209.508</v>
      </c>
      <c r="JK89" s="237">
        <f t="shared" si="1189"/>
        <v>2353223.956</v>
      </c>
      <c r="JL89" s="230"/>
      <c r="JM89" s="232">
        <f t="shared" si="1236"/>
        <v>5</v>
      </c>
      <c r="JN89" s="233" t="str">
        <f t="shared" ref="JN89:JP89" si="1274">IFERROR(VLOOKUP($R89,$A$13:$D$30,-JN$12,FALSE),"")</f>
        <v>Bijih Nikel </v>
      </c>
      <c r="JO89" s="234" t="str">
        <f t="shared" si="1274"/>
        <v>Bijih </v>
      </c>
      <c r="JP89" s="234" t="str">
        <f t="shared" si="1274"/>
        <v>WMT</v>
      </c>
      <c r="JQ89" s="227"/>
      <c r="JR89" s="227"/>
      <c r="JS89" s="227">
        <f t="shared" si="1191"/>
        <v>0</v>
      </c>
      <c r="JT89" s="235"/>
      <c r="JU89" s="227">
        <f t="shared" si="1192"/>
        <v>0</v>
      </c>
      <c r="JV89" s="96"/>
      <c r="JW89" s="96"/>
      <c r="JX89" s="97"/>
      <c r="JY89" s="227">
        <f t="shared" si="1193"/>
        <v>0</v>
      </c>
      <c r="JZ89" s="235">
        <f t="shared" si="1194"/>
        <v>0.4604471269</v>
      </c>
      <c r="KA89" s="236">
        <f t="shared" si="1195"/>
        <v>0</v>
      </c>
      <c r="KB89" s="237">
        <f t="shared" si="1196"/>
        <v>0</v>
      </c>
      <c r="KC89" s="230"/>
      <c r="KD89" s="232">
        <f t="shared" si="1238"/>
        <v>5</v>
      </c>
      <c r="KE89" s="233" t="str">
        <f t="shared" ref="KE89:KG89" si="1275">IFERROR(VLOOKUP($R89,$A$13:$D$30,-KE$12,FALSE),"")</f>
        <v>Bijih Nikel </v>
      </c>
      <c r="KF89" s="234" t="str">
        <f t="shared" si="1275"/>
        <v>Bijih </v>
      </c>
      <c r="KG89" s="234" t="str">
        <f t="shared" si="1275"/>
        <v>WMT</v>
      </c>
      <c r="KH89" s="227"/>
      <c r="KI89" s="227"/>
      <c r="KJ89" s="227">
        <f t="shared" si="1198"/>
        <v>0</v>
      </c>
      <c r="KK89" s="235"/>
      <c r="KL89" s="227">
        <f t="shared" si="1199"/>
        <v>0</v>
      </c>
      <c r="KM89" s="96"/>
      <c r="KN89" s="96"/>
      <c r="KO89" s="97"/>
      <c r="KP89" s="227">
        <f t="shared" si="1200"/>
        <v>0</v>
      </c>
      <c r="KQ89" s="235">
        <f t="shared" si="1201"/>
        <v>0.4604471269</v>
      </c>
      <c r="KR89" s="236">
        <f t="shared" si="1202"/>
        <v>0</v>
      </c>
      <c r="KS89" s="237">
        <f t="shared" si="1203"/>
        <v>0</v>
      </c>
      <c r="KT89" s="230"/>
      <c r="KU89" s="231"/>
    </row>
    <row r="90" ht="15.75" customHeight="1">
      <c r="A90" s="232">
        <f t="shared" si="1204"/>
        <v>6</v>
      </c>
      <c r="B90" s="233" t="str">
        <f t="shared" ref="B90:D90" si="1276">IFERROR(VLOOKUP($A90,$A$13:$D$30,-B$12,FALSE),"")</f>
        <v>Pasir Besi </v>
      </c>
      <c r="C90" s="234" t="str">
        <f t="shared" si="1276"/>
        <v>Bijih </v>
      </c>
      <c r="D90" s="234" t="str">
        <f t="shared" si="1276"/>
        <v>Ton </v>
      </c>
      <c r="E90" s="227" t="str">
        <f>ADHK!E90</f>
        <v/>
      </c>
      <c r="F90" s="227" t="str">
        <f>ADHK!F90</f>
        <v/>
      </c>
      <c r="G90" s="227">
        <f t="shared" si="1079"/>
        <v>0</v>
      </c>
      <c r="H90" s="235"/>
      <c r="I90" s="227">
        <f t="shared" si="1080"/>
        <v>0</v>
      </c>
      <c r="J90" s="96"/>
      <c r="K90" s="96"/>
      <c r="L90" s="97"/>
      <c r="M90" s="227">
        <f t="shared" si="1081"/>
        <v>0</v>
      </c>
      <c r="N90" s="235">
        <f t="shared" si="1082"/>
        <v>0.4604471269</v>
      </c>
      <c r="O90" s="236">
        <f t="shared" si="1083"/>
        <v>0</v>
      </c>
      <c r="P90" s="237">
        <f t="shared" si="1084"/>
        <v>0</v>
      </c>
      <c r="Q90" s="230"/>
      <c r="R90" s="232">
        <f t="shared" si="1206"/>
        <v>6</v>
      </c>
      <c r="S90" s="233" t="str">
        <f t="shared" ref="S90:U90" si="1277">IFERROR(VLOOKUP($R90,$A$13:$D$30,-S$12,FALSE),"")</f>
        <v>Pasir Besi </v>
      </c>
      <c r="T90" s="234" t="str">
        <f t="shared" si="1277"/>
        <v>Bijih </v>
      </c>
      <c r="U90" s="234" t="str">
        <f t="shared" si="1277"/>
        <v>Ton </v>
      </c>
      <c r="V90" s="227" t="str">
        <f>ADHK!V90</f>
        <v/>
      </c>
      <c r="W90" s="227"/>
      <c r="X90" s="227">
        <f t="shared" si="1086"/>
        <v>0</v>
      </c>
      <c r="Y90" s="235"/>
      <c r="Z90" s="227">
        <f t="shared" si="1087"/>
        <v>0</v>
      </c>
      <c r="AA90" s="96"/>
      <c r="AB90" s="96"/>
      <c r="AC90" s="97"/>
      <c r="AD90" s="227">
        <f t="shared" si="1088"/>
        <v>0</v>
      </c>
      <c r="AE90" s="235">
        <f t="shared" si="1089"/>
        <v>0.4604471269</v>
      </c>
      <c r="AF90" s="236">
        <f t="shared" si="1090"/>
        <v>0</v>
      </c>
      <c r="AG90" s="237">
        <f t="shared" si="1091"/>
        <v>0</v>
      </c>
      <c r="AH90" s="230"/>
      <c r="AI90" s="232">
        <f t="shared" si="1208"/>
        <v>6</v>
      </c>
      <c r="AJ90" s="233" t="str">
        <f t="shared" ref="AJ90:AL90" si="1278">IFERROR(VLOOKUP($R90,$A$13:$D$30,-AJ$12,FALSE),"")</f>
        <v>Pasir Besi </v>
      </c>
      <c r="AK90" s="234" t="str">
        <f t="shared" si="1278"/>
        <v>Bijih </v>
      </c>
      <c r="AL90" s="234" t="str">
        <f t="shared" si="1278"/>
        <v>Ton </v>
      </c>
      <c r="AM90" s="227" t="str">
        <f>ADHK!AM90</f>
        <v/>
      </c>
      <c r="AN90" s="227"/>
      <c r="AO90" s="227">
        <f t="shared" si="1093"/>
        <v>0</v>
      </c>
      <c r="AP90" s="235"/>
      <c r="AQ90" s="227">
        <f t="shared" si="1094"/>
        <v>0</v>
      </c>
      <c r="AR90" s="96"/>
      <c r="AS90" s="96"/>
      <c r="AT90" s="97"/>
      <c r="AU90" s="227">
        <f t="shared" si="1095"/>
        <v>0</v>
      </c>
      <c r="AV90" s="235">
        <f t="shared" si="1096"/>
        <v>0.4604471269</v>
      </c>
      <c r="AW90" s="236">
        <f t="shared" si="1097"/>
        <v>0</v>
      </c>
      <c r="AX90" s="237">
        <f t="shared" si="1098"/>
        <v>0</v>
      </c>
      <c r="AY90" s="230"/>
      <c r="AZ90" s="232">
        <f t="shared" si="1210"/>
        <v>6</v>
      </c>
      <c r="BA90" s="233" t="str">
        <f t="shared" ref="BA90:BC90" si="1279">IFERROR(VLOOKUP($R90,$A$13:$D$30,-BA$12,FALSE),"")</f>
        <v>Pasir Besi </v>
      </c>
      <c r="BB90" s="234" t="str">
        <f t="shared" si="1279"/>
        <v>Bijih </v>
      </c>
      <c r="BC90" s="234" t="str">
        <f t="shared" si="1279"/>
        <v>Ton </v>
      </c>
      <c r="BD90" s="227" t="str">
        <f>ADHK!BD90</f>
        <v/>
      </c>
      <c r="BE90" s="227"/>
      <c r="BF90" s="227">
        <f t="shared" si="1100"/>
        <v>0</v>
      </c>
      <c r="BG90" s="235"/>
      <c r="BH90" s="227">
        <f t="shared" si="1101"/>
        <v>0</v>
      </c>
      <c r="BI90" s="96"/>
      <c r="BJ90" s="96"/>
      <c r="BK90" s="97"/>
      <c r="BL90" s="227">
        <f t="shared" si="1102"/>
        <v>0</v>
      </c>
      <c r="BM90" s="235">
        <f t="shared" si="1103"/>
        <v>0.4604471269</v>
      </c>
      <c r="BN90" s="236">
        <f t="shared" si="1104"/>
        <v>0</v>
      </c>
      <c r="BO90" s="237">
        <f t="shared" si="1105"/>
        <v>0</v>
      </c>
      <c r="BP90" s="230"/>
      <c r="BQ90" s="232">
        <f t="shared" si="1212"/>
        <v>6</v>
      </c>
      <c r="BR90" s="233" t="str">
        <f t="shared" ref="BR90:BT90" si="1280">IFERROR(VLOOKUP($R90,$A$13:$D$30,-BR$12,FALSE),"")</f>
        <v>Pasir Besi </v>
      </c>
      <c r="BS90" s="234" t="str">
        <f t="shared" si="1280"/>
        <v>Bijih </v>
      </c>
      <c r="BT90" s="234" t="str">
        <f t="shared" si="1280"/>
        <v>Ton </v>
      </c>
      <c r="BU90" s="227" t="str">
        <f>ADHK!BU90</f>
        <v/>
      </c>
      <c r="BV90" s="227"/>
      <c r="BW90" s="227">
        <f t="shared" si="1107"/>
        <v>0</v>
      </c>
      <c r="BX90" s="235"/>
      <c r="BY90" s="227">
        <f t="shared" si="1108"/>
        <v>0</v>
      </c>
      <c r="BZ90" s="96"/>
      <c r="CA90" s="96"/>
      <c r="CB90" s="97"/>
      <c r="CC90" s="227">
        <f t="shared" si="1109"/>
        <v>0</v>
      </c>
      <c r="CD90" s="235">
        <f t="shared" si="1110"/>
        <v>0.4604471269</v>
      </c>
      <c r="CE90" s="236">
        <f t="shared" si="1111"/>
        <v>0</v>
      </c>
      <c r="CF90" s="237">
        <f t="shared" si="1112"/>
        <v>0</v>
      </c>
      <c r="CG90" s="230"/>
      <c r="CH90" s="232">
        <f t="shared" si="1214"/>
        <v>6</v>
      </c>
      <c r="CI90" s="233" t="str">
        <f t="shared" ref="CI90:CK90" si="1281">IFERROR(VLOOKUP($R90,$A$13:$D$30,-CI$12,FALSE),"")</f>
        <v>Pasir Besi </v>
      </c>
      <c r="CJ90" s="234" t="str">
        <f t="shared" si="1281"/>
        <v>Bijih </v>
      </c>
      <c r="CK90" s="234" t="str">
        <f t="shared" si="1281"/>
        <v>Ton </v>
      </c>
      <c r="CL90" s="227" t="str">
        <f>ADHK!CL90</f>
        <v/>
      </c>
      <c r="CM90" s="227"/>
      <c r="CN90" s="227">
        <f t="shared" si="1114"/>
        <v>0</v>
      </c>
      <c r="CO90" s="235"/>
      <c r="CP90" s="227">
        <f t="shared" si="1115"/>
        <v>0</v>
      </c>
      <c r="CQ90" s="96"/>
      <c r="CR90" s="96"/>
      <c r="CS90" s="97"/>
      <c r="CT90" s="227">
        <f t="shared" si="1116"/>
        <v>0</v>
      </c>
      <c r="CU90" s="235">
        <f t="shared" si="1117"/>
        <v>0.4604471269</v>
      </c>
      <c r="CV90" s="236">
        <f t="shared" si="1118"/>
        <v>0</v>
      </c>
      <c r="CW90" s="237">
        <f t="shared" si="1119"/>
        <v>0</v>
      </c>
      <c r="CX90" s="230"/>
      <c r="CY90" s="232">
        <f t="shared" si="1216"/>
        <v>6</v>
      </c>
      <c r="CZ90" s="233" t="str">
        <f t="shared" ref="CZ90:DB90" si="1282">IFERROR(VLOOKUP($R90,$A$13:$D$30,-CZ$12,FALSE),"")</f>
        <v>Pasir Besi </v>
      </c>
      <c r="DA90" s="234" t="str">
        <f t="shared" si="1282"/>
        <v>Bijih </v>
      </c>
      <c r="DB90" s="234" t="str">
        <f t="shared" si="1282"/>
        <v>Ton </v>
      </c>
      <c r="DC90" s="227" t="str">
        <f>ADHK!DC90</f>
        <v/>
      </c>
      <c r="DD90" s="227"/>
      <c r="DE90" s="227">
        <f t="shared" si="1121"/>
        <v>0</v>
      </c>
      <c r="DF90" s="235"/>
      <c r="DG90" s="227">
        <f t="shared" si="1122"/>
        <v>0</v>
      </c>
      <c r="DH90" s="96"/>
      <c r="DI90" s="96"/>
      <c r="DJ90" s="97"/>
      <c r="DK90" s="227">
        <f t="shared" si="1123"/>
        <v>0</v>
      </c>
      <c r="DL90" s="235">
        <f t="shared" si="1124"/>
        <v>0.4604471269</v>
      </c>
      <c r="DM90" s="236">
        <f t="shared" si="1125"/>
        <v>0</v>
      </c>
      <c r="DN90" s="237">
        <f t="shared" si="1126"/>
        <v>0</v>
      </c>
      <c r="DO90" s="230"/>
      <c r="DP90" s="232">
        <f t="shared" si="1218"/>
        <v>6</v>
      </c>
      <c r="DQ90" s="233" t="str">
        <f t="shared" ref="DQ90:DS90" si="1283">IFERROR(VLOOKUP($R90,$A$13:$D$30,-DQ$12,FALSE),"")</f>
        <v>Pasir Besi </v>
      </c>
      <c r="DR90" s="234" t="str">
        <f t="shared" si="1283"/>
        <v>Bijih </v>
      </c>
      <c r="DS90" s="234" t="str">
        <f t="shared" si="1283"/>
        <v>Ton </v>
      </c>
      <c r="DT90" s="227" t="str">
        <f>ADHK!DT90</f>
        <v/>
      </c>
      <c r="DU90" s="227"/>
      <c r="DV90" s="227">
        <f t="shared" si="1128"/>
        <v>0</v>
      </c>
      <c r="DW90" s="235"/>
      <c r="DX90" s="227">
        <f t="shared" si="1129"/>
        <v>0</v>
      </c>
      <c r="DY90" s="96"/>
      <c r="DZ90" s="96"/>
      <c r="EA90" s="97"/>
      <c r="EB90" s="227">
        <f t="shared" si="1130"/>
        <v>0</v>
      </c>
      <c r="EC90" s="235">
        <f t="shared" si="1131"/>
        <v>0.4604471269</v>
      </c>
      <c r="ED90" s="236">
        <f t="shared" si="1132"/>
        <v>0</v>
      </c>
      <c r="EE90" s="237">
        <f t="shared" si="1133"/>
        <v>0</v>
      </c>
      <c r="EF90" s="230"/>
      <c r="EG90" s="232">
        <f t="shared" si="1220"/>
        <v>6</v>
      </c>
      <c r="EH90" s="233" t="str">
        <f t="shared" ref="EH90:EJ90" si="1284">IFERROR(VLOOKUP($R90,$A$13:$D$30,-EH$12,FALSE),"")</f>
        <v>Pasir Besi </v>
      </c>
      <c r="EI90" s="234" t="str">
        <f t="shared" si="1284"/>
        <v>Bijih </v>
      </c>
      <c r="EJ90" s="234" t="str">
        <f t="shared" si="1284"/>
        <v>Ton </v>
      </c>
      <c r="EK90" s="227" t="str">
        <f>ADHK!EK90</f>
        <v/>
      </c>
      <c r="EL90" s="227"/>
      <c r="EM90" s="227">
        <f t="shared" si="1135"/>
        <v>0</v>
      </c>
      <c r="EN90" s="235"/>
      <c r="EO90" s="227">
        <f t="shared" si="1136"/>
        <v>0</v>
      </c>
      <c r="EP90" s="96"/>
      <c r="EQ90" s="96"/>
      <c r="ER90" s="97"/>
      <c r="ES90" s="227">
        <f t="shared" si="1137"/>
        <v>0</v>
      </c>
      <c r="ET90" s="235">
        <f t="shared" si="1138"/>
        <v>0.4604471269</v>
      </c>
      <c r="EU90" s="236">
        <f t="shared" si="1139"/>
        <v>0</v>
      </c>
      <c r="EV90" s="237">
        <f t="shared" si="1140"/>
        <v>0</v>
      </c>
      <c r="EW90" s="230"/>
      <c r="EX90" s="232">
        <f t="shared" si="1222"/>
        <v>6</v>
      </c>
      <c r="EY90" s="233" t="str">
        <f t="shared" ref="EY90:FA90" si="1285">IFERROR(VLOOKUP($R90,$A$13:$D$30,-EY$12,FALSE),"")</f>
        <v>Pasir Besi </v>
      </c>
      <c r="EZ90" s="234" t="str">
        <f t="shared" si="1285"/>
        <v>Bijih </v>
      </c>
      <c r="FA90" s="234" t="str">
        <f t="shared" si="1285"/>
        <v>Ton </v>
      </c>
      <c r="FB90" s="227" t="str">
        <f>ADHK!FB90</f>
        <v/>
      </c>
      <c r="FC90" s="227"/>
      <c r="FD90" s="227">
        <f t="shared" si="1142"/>
        <v>0</v>
      </c>
      <c r="FE90" s="235"/>
      <c r="FF90" s="227">
        <f t="shared" si="1143"/>
        <v>0</v>
      </c>
      <c r="FG90" s="96"/>
      <c r="FH90" s="96"/>
      <c r="FI90" s="97"/>
      <c r="FJ90" s="227">
        <f t="shared" si="1144"/>
        <v>0</v>
      </c>
      <c r="FK90" s="235">
        <f t="shared" si="1145"/>
        <v>0.4604471269</v>
      </c>
      <c r="FL90" s="236">
        <f t="shared" si="1146"/>
        <v>0</v>
      </c>
      <c r="FM90" s="237">
        <f t="shared" si="1147"/>
        <v>0</v>
      </c>
      <c r="FN90" s="230"/>
      <c r="FO90" s="232">
        <f t="shared" si="1224"/>
        <v>6</v>
      </c>
      <c r="FP90" s="233" t="str">
        <f t="shared" ref="FP90:FR90" si="1286">IFERROR(VLOOKUP($R90,$A$13:$D$30,-FP$12,FALSE),"")</f>
        <v>Pasir Besi </v>
      </c>
      <c r="FQ90" s="234" t="str">
        <f t="shared" si="1286"/>
        <v>Bijih </v>
      </c>
      <c r="FR90" s="234" t="str">
        <f t="shared" si="1286"/>
        <v>Ton </v>
      </c>
      <c r="FS90" s="227" t="str">
        <f>ADHK!FS90</f>
        <v/>
      </c>
      <c r="FT90" s="227"/>
      <c r="FU90" s="227">
        <f t="shared" si="1149"/>
        <v>0</v>
      </c>
      <c r="FV90" s="235"/>
      <c r="FW90" s="227">
        <f t="shared" si="1150"/>
        <v>0</v>
      </c>
      <c r="FX90" s="96"/>
      <c r="FY90" s="96"/>
      <c r="FZ90" s="97"/>
      <c r="GA90" s="227">
        <f t="shared" si="1151"/>
        <v>0</v>
      </c>
      <c r="GB90" s="235">
        <f t="shared" si="1152"/>
        <v>0.4604471269</v>
      </c>
      <c r="GC90" s="236">
        <f t="shared" si="1153"/>
        <v>0</v>
      </c>
      <c r="GD90" s="237">
        <f t="shared" si="1154"/>
        <v>0</v>
      </c>
      <c r="GE90" s="230"/>
      <c r="GF90" s="232">
        <f t="shared" si="1226"/>
        <v>6</v>
      </c>
      <c r="GG90" s="233" t="str">
        <f t="shared" ref="GG90:GI90" si="1287">IFERROR(VLOOKUP($R90,$A$13:$D$30,-GG$12,FALSE),"")</f>
        <v>Pasir Besi </v>
      </c>
      <c r="GH90" s="234" t="str">
        <f t="shared" si="1287"/>
        <v>Bijih </v>
      </c>
      <c r="GI90" s="234" t="str">
        <f t="shared" si="1287"/>
        <v>Ton </v>
      </c>
      <c r="GJ90" s="227" t="str">
        <f>ADHK!GJ90</f>
        <v/>
      </c>
      <c r="GK90" s="238"/>
      <c r="GL90" s="227">
        <f t="shared" si="1156"/>
        <v>0</v>
      </c>
      <c r="GM90" s="235"/>
      <c r="GN90" s="227">
        <f t="shared" si="1157"/>
        <v>0</v>
      </c>
      <c r="GO90" s="96"/>
      <c r="GP90" s="96"/>
      <c r="GQ90" s="97"/>
      <c r="GR90" s="227">
        <f t="shared" si="1158"/>
        <v>0</v>
      </c>
      <c r="GS90" s="235">
        <f t="shared" si="1159"/>
        <v>0.4604471269</v>
      </c>
      <c r="GT90" s="236">
        <f t="shared" si="1160"/>
        <v>0</v>
      </c>
      <c r="GU90" s="237">
        <f t="shared" si="1161"/>
        <v>0</v>
      </c>
      <c r="GV90" s="230"/>
      <c r="GW90" s="232">
        <f t="shared" si="1228"/>
        <v>6</v>
      </c>
      <c r="GX90" s="233" t="str">
        <f t="shared" ref="GX90:GZ90" si="1288">IFERROR(VLOOKUP($R90,$A$13:$D$30,-GX$12,FALSE),"")</f>
        <v>Pasir Besi </v>
      </c>
      <c r="GY90" s="234" t="str">
        <f t="shared" si="1288"/>
        <v>Bijih </v>
      </c>
      <c r="GZ90" s="234" t="str">
        <f t="shared" si="1288"/>
        <v>Ton </v>
      </c>
      <c r="HA90" s="227" t="str">
        <f>ADHK!HA90</f>
        <v/>
      </c>
      <c r="HB90" s="238"/>
      <c r="HC90" s="227">
        <f t="shared" si="1163"/>
        <v>0</v>
      </c>
      <c r="HD90" s="235"/>
      <c r="HE90" s="227">
        <f t="shared" si="1164"/>
        <v>0</v>
      </c>
      <c r="HF90" s="96"/>
      <c r="HG90" s="96"/>
      <c r="HH90" s="97"/>
      <c r="HI90" s="227">
        <f t="shared" si="1165"/>
        <v>0</v>
      </c>
      <c r="HJ90" s="235">
        <f t="shared" si="1166"/>
        <v>0.4604471269</v>
      </c>
      <c r="HK90" s="236">
        <f t="shared" si="1167"/>
        <v>0</v>
      </c>
      <c r="HL90" s="237">
        <f t="shared" si="1168"/>
        <v>0</v>
      </c>
      <c r="HM90" s="230"/>
      <c r="HN90" s="232">
        <f t="shared" si="1230"/>
        <v>6</v>
      </c>
      <c r="HO90" s="233" t="str">
        <f t="shared" ref="HO90:HQ90" si="1289">IFERROR(VLOOKUP($R90,$A$13:$D$30,-HO$12,FALSE),"")</f>
        <v>Pasir Besi </v>
      </c>
      <c r="HP90" s="234" t="str">
        <f t="shared" si="1289"/>
        <v>Bijih </v>
      </c>
      <c r="HQ90" s="234" t="str">
        <f t="shared" si="1289"/>
        <v>Ton </v>
      </c>
      <c r="HR90" s="227" t="str">
        <f>ADHK!HR90</f>
        <v/>
      </c>
      <c r="HS90" s="227"/>
      <c r="HT90" s="227">
        <f t="shared" si="1170"/>
        <v>0</v>
      </c>
      <c r="HU90" s="235"/>
      <c r="HV90" s="227">
        <f t="shared" si="1171"/>
        <v>0</v>
      </c>
      <c r="HW90" s="96"/>
      <c r="HX90" s="96"/>
      <c r="HY90" s="97"/>
      <c r="HZ90" s="227">
        <f t="shared" si="1172"/>
        <v>0</v>
      </c>
      <c r="IA90" s="235">
        <f t="shared" si="1173"/>
        <v>0.4604471269</v>
      </c>
      <c r="IB90" s="236">
        <f t="shared" si="1174"/>
        <v>0</v>
      </c>
      <c r="IC90" s="237">
        <f t="shared" si="1175"/>
        <v>0</v>
      </c>
      <c r="ID90" s="230"/>
      <c r="IE90" s="232">
        <f t="shared" si="1232"/>
        <v>6</v>
      </c>
      <c r="IF90" s="233" t="str">
        <f t="shared" ref="IF90:IH90" si="1290">IFERROR(VLOOKUP($R90,$A$13:$D$30,-IF$12,FALSE),"")</f>
        <v>Pasir Besi </v>
      </c>
      <c r="IG90" s="234" t="str">
        <f t="shared" si="1290"/>
        <v>Bijih </v>
      </c>
      <c r="IH90" s="234" t="str">
        <f t="shared" si="1290"/>
        <v>Ton </v>
      </c>
      <c r="II90" s="227" t="str">
        <f>ADHK!II90</f>
        <v/>
      </c>
      <c r="IJ90" s="227"/>
      <c r="IK90" s="227">
        <f t="shared" si="1177"/>
        <v>0</v>
      </c>
      <c r="IL90" s="235"/>
      <c r="IM90" s="227">
        <f t="shared" si="1178"/>
        <v>0</v>
      </c>
      <c r="IN90" s="96"/>
      <c r="IO90" s="96"/>
      <c r="IP90" s="97"/>
      <c r="IQ90" s="227">
        <f t="shared" si="1179"/>
        <v>0</v>
      </c>
      <c r="IR90" s="235">
        <f t="shared" si="1180"/>
        <v>0.4604471269</v>
      </c>
      <c r="IS90" s="236">
        <f t="shared" si="1181"/>
        <v>0</v>
      </c>
      <c r="IT90" s="237">
        <f t="shared" si="1182"/>
        <v>0</v>
      </c>
      <c r="IU90" s="230"/>
      <c r="IV90" s="232">
        <f t="shared" si="1234"/>
        <v>6</v>
      </c>
      <c r="IW90" s="233" t="str">
        <f t="shared" ref="IW90:IY90" si="1291">IFERROR(VLOOKUP($R90,$A$13:$D$30,-IW$12,FALSE),"")</f>
        <v>Pasir Besi </v>
      </c>
      <c r="IX90" s="234" t="str">
        <f t="shared" si="1291"/>
        <v>Bijih </v>
      </c>
      <c r="IY90" s="234" t="str">
        <f t="shared" si="1291"/>
        <v>Ton </v>
      </c>
      <c r="IZ90" s="227" t="str">
        <f>ADHK!IZ90</f>
        <v/>
      </c>
      <c r="JA90" s="227"/>
      <c r="JB90" s="227">
        <f t="shared" si="1184"/>
        <v>0</v>
      </c>
      <c r="JC90" s="235"/>
      <c r="JD90" s="227">
        <f t="shared" si="1185"/>
        <v>0</v>
      </c>
      <c r="JE90" s="96"/>
      <c r="JF90" s="96"/>
      <c r="JG90" s="97"/>
      <c r="JH90" s="227">
        <f t="shared" si="1186"/>
        <v>0</v>
      </c>
      <c r="JI90" s="235">
        <f t="shared" si="1187"/>
        <v>0.4604471269</v>
      </c>
      <c r="JJ90" s="236">
        <f t="shared" si="1188"/>
        <v>0</v>
      </c>
      <c r="JK90" s="237">
        <f t="shared" si="1189"/>
        <v>0</v>
      </c>
      <c r="JL90" s="230"/>
      <c r="JM90" s="232">
        <f t="shared" si="1236"/>
        <v>6</v>
      </c>
      <c r="JN90" s="233" t="str">
        <f t="shared" ref="JN90:JP90" si="1292">IFERROR(VLOOKUP($R90,$A$13:$D$30,-JN$12,FALSE),"")</f>
        <v>Pasir Besi </v>
      </c>
      <c r="JO90" s="234" t="str">
        <f t="shared" si="1292"/>
        <v>Bijih </v>
      </c>
      <c r="JP90" s="234" t="str">
        <f t="shared" si="1292"/>
        <v>Ton </v>
      </c>
      <c r="JQ90" s="227" t="str">
        <f>ADHK!KY90</f>
        <v/>
      </c>
      <c r="JR90" s="227"/>
      <c r="JS90" s="227">
        <f t="shared" si="1191"/>
        <v>0</v>
      </c>
      <c r="JT90" s="235"/>
      <c r="JU90" s="227">
        <f t="shared" si="1192"/>
        <v>0</v>
      </c>
      <c r="JV90" s="96"/>
      <c r="JW90" s="96"/>
      <c r="JX90" s="97"/>
      <c r="JY90" s="227">
        <f t="shared" si="1193"/>
        <v>0</v>
      </c>
      <c r="JZ90" s="235">
        <f t="shared" si="1194"/>
        <v>0.4604471269</v>
      </c>
      <c r="KA90" s="236">
        <f t="shared" si="1195"/>
        <v>0</v>
      </c>
      <c r="KB90" s="237">
        <f t="shared" si="1196"/>
        <v>0</v>
      </c>
      <c r="KC90" s="230"/>
      <c r="KD90" s="232">
        <f t="shared" si="1238"/>
        <v>6</v>
      </c>
      <c r="KE90" s="233" t="str">
        <f t="shared" ref="KE90:KG90" si="1293">IFERROR(VLOOKUP($R90,$A$13:$D$30,-KE$12,FALSE),"")</f>
        <v>Pasir Besi </v>
      </c>
      <c r="KF90" s="234" t="str">
        <f t="shared" si="1293"/>
        <v>Bijih </v>
      </c>
      <c r="KG90" s="234" t="str">
        <f t="shared" si="1293"/>
        <v>Ton </v>
      </c>
      <c r="KH90" s="227" t="str">
        <f>ADHK!LP90</f>
        <v/>
      </c>
      <c r="KI90" s="227"/>
      <c r="KJ90" s="227">
        <f t="shared" si="1198"/>
        <v>0</v>
      </c>
      <c r="KK90" s="235"/>
      <c r="KL90" s="227">
        <f t="shared" si="1199"/>
        <v>0</v>
      </c>
      <c r="KM90" s="96"/>
      <c r="KN90" s="96"/>
      <c r="KO90" s="97"/>
      <c r="KP90" s="227">
        <f t="shared" si="1200"/>
        <v>0</v>
      </c>
      <c r="KQ90" s="235">
        <f t="shared" si="1201"/>
        <v>0.4604471269</v>
      </c>
      <c r="KR90" s="236">
        <f t="shared" si="1202"/>
        <v>0</v>
      </c>
      <c r="KS90" s="237">
        <f t="shared" si="1203"/>
        <v>0</v>
      </c>
      <c r="KT90" s="230"/>
      <c r="KU90" s="231"/>
    </row>
    <row r="91" ht="15.75" customHeight="1">
      <c r="A91" s="232">
        <f t="shared" si="1204"/>
        <v>7</v>
      </c>
      <c r="B91" s="233" t="str">
        <f t="shared" ref="B91:D91" si="1294">IFERROR(VLOOKUP($A91,$A$13:$D$30,-B$12,FALSE),"")</f>
        <v>Timah</v>
      </c>
      <c r="C91" s="234" t="str">
        <f t="shared" si="1294"/>
        <v>Bijih </v>
      </c>
      <c r="D91" s="234" t="str">
        <f t="shared" si="1294"/>
        <v>Ton </v>
      </c>
      <c r="E91" s="227" t="str">
        <f>ADHK!E91</f>
        <v/>
      </c>
      <c r="F91" s="227" t="str">
        <f>ADHK!F91</f>
        <v/>
      </c>
      <c r="G91" s="227">
        <f t="shared" si="1079"/>
        <v>0</v>
      </c>
      <c r="H91" s="235"/>
      <c r="I91" s="227">
        <f t="shared" si="1080"/>
        <v>0</v>
      </c>
      <c r="J91" s="96"/>
      <c r="K91" s="96"/>
      <c r="L91" s="97"/>
      <c r="M91" s="227">
        <f t="shared" si="1081"/>
        <v>0</v>
      </c>
      <c r="N91" s="235">
        <f t="shared" si="1082"/>
        <v>0.4604471269</v>
      </c>
      <c r="O91" s="236">
        <f t="shared" si="1083"/>
        <v>0</v>
      </c>
      <c r="P91" s="237">
        <f t="shared" si="1084"/>
        <v>0</v>
      </c>
      <c r="Q91" s="230"/>
      <c r="R91" s="232">
        <f t="shared" si="1206"/>
        <v>7</v>
      </c>
      <c r="S91" s="233" t="str">
        <f t="shared" ref="S91:U91" si="1295">IFERROR(VLOOKUP($R91,$A$13:$D$30,-S$12,FALSE),"")</f>
        <v>Timah</v>
      </c>
      <c r="T91" s="234" t="str">
        <f t="shared" si="1295"/>
        <v>Bijih </v>
      </c>
      <c r="U91" s="234" t="str">
        <f t="shared" si="1295"/>
        <v>Ton </v>
      </c>
      <c r="V91" s="227" t="str">
        <f>ADHK!V91</f>
        <v/>
      </c>
      <c r="W91" s="227"/>
      <c r="X91" s="227">
        <f t="shared" si="1086"/>
        <v>0</v>
      </c>
      <c r="Y91" s="235"/>
      <c r="Z91" s="227">
        <f t="shared" si="1087"/>
        <v>0</v>
      </c>
      <c r="AA91" s="96"/>
      <c r="AB91" s="96"/>
      <c r="AC91" s="97"/>
      <c r="AD91" s="227">
        <f t="shared" si="1088"/>
        <v>0</v>
      </c>
      <c r="AE91" s="235">
        <f t="shared" si="1089"/>
        <v>0.4604471269</v>
      </c>
      <c r="AF91" s="236">
        <f t="shared" si="1090"/>
        <v>0</v>
      </c>
      <c r="AG91" s="237">
        <f t="shared" si="1091"/>
        <v>0</v>
      </c>
      <c r="AH91" s="230"/>
      <c r="AI91" s="232">
        <f t="shared" si="1208"/>
        <v>7</v>
      </c>
      <c r="AJ91" s="233" t="str">
        <f t="shared" ref="AJ91:AL91" si="1296">IFERROR(VLOOKUP($R91,$A$13:$D$30,-AJ$12,FALSE),"")</f>
        <v>Timah</v>
      </c>
      <c r="AK91" s="234" t="str">
        <f t="shared" si="1296"/>
        <v>Bijih </v>
      </c>
      <c r="AL91" s="234" t="str">
        <f t="shared" si="1296"/>
        <v>Ton </v>
      </c>
      <c r="AM91" s="227" t="str">
        <f>ADHK!AM91</f>
        <v/>
      </c>
      <c r="AN91" s="227"/>
      <c r="AO91" s="227">
        <f t="shared" si="1093"/>
        <v>0</v>
      </c>
      <c r="AP91" s="235"/>
      <c r="AQ91" s="227">
        <f t="shared" si="1094"/>
        <v>0</v>
      </c>
      <c r="AR91" s="96"/>
      <c r="AS91" s="96"/>
      <c r="AT91" s="97"/>
      <c r="AU91" s="227">
        <f t="shared" si="1095"/>
        <v>0</v>
      </c>
      <c r="AV91" s="235">
        <f t="shared" si="1096"/>
        <v>0.4604471269</v>
      </c>
      <c r="AW91" s="236">
        <f t="shared" si="1097"/>
        <v>0</v>
      </c>
      <c r="AX91" s="237">
        <f t="shared" si="1098"/>
        <v>0</v>
      </c>
      <c r="AY91" s="230"/>
      <c r="AZ91" s="232">
        <f t="shared" si="1210"/>
        <v>7</v>
      </c>
      <c r="BA91" s="233" t="str">
        <f t="shared" ref="BA91:BC91" si="1297">IFERROR(VLOOKUP($R91,$A$13:$D$30,-BA$12,FALSE),"")</f>
        <v>Timah</v>
      </c>
      <c r="BB91" s="234" t="str">
        <f t="shared" si="1297"/>
        <v>Bijih </v>
      </c>
      <c r="BC91" s="234" t="str">
        <f t="shared" si="1297"/>
        <v>Ton </v>
      </c>
      <c r="BD91" s="227" t="str">
        <f>ADHK!BD91</f>
        <v/>
      </c>
      <c r="BE91" s="227"/>
      <c r="BF91" s="227">
        <f t="shared" si="1100"/>
        <v>0</v>
      </c>
      <c r="BG91" s="235"/>
      <c r="BH91" s="227">
        <f t="shared" si="1101"/>
        <v>0</v>
      </c>
      <c r="BI91" s="96"/>
      <c r="BJ91" s="96"/>
      <c r="BK91" s="97"/>
      <c r="BL91" s="227">
        <f t="shared" si="1102"/>
        <v>0</v>
      </c>
      <c r="BM91" s="235">
        <f t="shared" si="1103"/>
        <v>0.4604471269</v>
      </c>
      <c r="BN91" s="236">
        <f t="shared" si="1104"/>
        <v>0</v>
      </c>
      <c r="BO91" s="237">
        <f t="shared" si="1105"/>
        <v>0</v>
      </c>
      <c r="BP91" s="230"/>
      <c r="BQ91" s="232">
        <f t="shared" si="1212"/>
        <v>7</v>
      </c>
      <c r="BR91" s="233" t="str">
        <f t="shared" ref="BR91:BT91" si="1298">IFERROR(VLOOKUP($R91,$A$13:$D$30,-BR$12,FALSE),"")</f>
        <v>Timah</v>
      </c>
      <c r="BS91" s="234" t="str">
        <f t="shared" si="1298"/>
        <v>Bijih </v>
      </c>
      <c r="BT91" s="234" t="str">
        <f t="shared" si="1298"/>
        <v>Ton </v>
      </c>
      <c r="BU91" s="227" t="str">
        <f>ADHK!BU91</f>
        <v/>
      </c>
      <c r="BV91" s="227"/>
      <c r="BW91" s="227">
        <f t="shared" si="1107"/>
        <v>0</v>
      </c>
      <c r="BX91" s="235"/>
      <c r="BY91" s="227">
        <f t="shared" si="1108"/>
        <v>0</v>
      </c>
      <c r="BZ91" s="96"/>
      <c r="CA91" s="96"/>
      <c r="CB91" s="97"/>
      <c r="CC91" s="227">
        <f t="shared" si="1109"/>
        <v>0</v>
      </c>
      <c r="CD91" s="235">
        <f t="shared" si="1110"/>
        <v>0.4604471269</v>
      </c>
      <c r="CE91" s="236">
        <f t="shared" si="1111"/>
        <v>0</v>
      </c>
      <c r="CF91" s="237">
        <f t="shared" si="1112"/>
        <v>0</v>
      </c>
      <c r="CG91" s="230"/>
      <c r="CH91" s="232">
        <f t="shared" si="1214"/>
        <v>7</v>
      </c>
      <c r="CI91" s="233" t="str">
        <f t="shared" ref="CI91:CK91" si="1299">IFERROR(VLOOKUP($R91,$A$13:$D$30,-CI$12,FALSE),"")</f>
        <v>Timah</v>
      </c>
      <c r="CJ91" s="234" t="str">
        <f t="shared" si="1299"/>
        <v>Bijih </v>
      </c>
      <c r="CK91" s="234" t="str">
        <f t="shared" si="1299"/>
        <v>Ton </v>
      </c>
      <c r="CL91" s="227" t="str">
        <f>ADHK!CL91</f>
        <v/>
      </c>
      <c r="CM91" s="227"/>
      <c r="CN91" s="227">
        <f t="shared" si="1114"/>
        <v>0</v>
      </c>
      <c r="CO91" s="235"/>
      <c r="CP91" s="227">
        <f t="shared" si="1115"/>
        <v>0</v>
      </c>
      <c r="CQ91" s="96"/>
      <c r="CR91" s="96"/>
      <c r="CS91" s="97"/>
      <c r="CT91" s="227">
        <f t="shared" si="1116"/>
        <v>0</v>
      </c>
      <c r="CU91" s="235">
        <f t="shared" si="1117"/>
        <v>0.4604471269</v>
      </c>
      <c r="CV91" s="236">
        <f t="shared" si="1118"/>
        <v>0</v>
      </c>
      <c r="CW91" s="237">
        <f t="shared" si="1119"/>
        <v>0</v>
      </c>
      <c r="CX91" s="230"/>
      <c r="CY91" s="232">
        <f t="shared" si="1216"/>
        <v>7</v>
      </c>
      <c r="CZ91" s="233" t="str">
        <f t="shared" ref="CZ91:DB91" si="1300">IFERROR(VLOOKUP($R91,$A$13:$D$30,-CZ$12,FALSE),"")</f>
        <v>Timah</v>
      </c>
      <c r="DA91" s="234" t="str">
        <f t="shared" si="1300"/>
        <v>Bijih </v>
      </c>
      <c r="DB91" s="234" t="str">
        <f t="shared" si="1300"/>
        <v>Ton </v>
      </c>
      <c r="DC91" s="227" t="str">
        <f>ADHK!DC91</f>
        <v/>
      </c>
      <c r="DD91" s="227"/>
      <c r="DE91" s="227">
        <f t="shared" si="1121"/>
        <v>0</v>
      </c>
      <c r="DF91" s="235"/>
      <c r="DG91" s="227">
        <f t="shared" si="1122"/>
        <v>0</v>
      </c>
      <c r="DH91" s="96"/>
      <c r="DI91" s="96"/>
      <c r="DJ91" s="97"/>
      <c r="DK91" s="227">
        <f t="shared" si="1123"/>
        <v>0</v>
      </c>
      <c r="DL91" s="235">
        <f t="shared" si="1124"/>
        <v>0.4604471269</v>
      </c>
      <c r="DM91" s="236">
        <f t="shared" si="1125"/>
        <v>0</v>
      </c>
      <c r="DN91" s="237">
        <f t="shared" si="1126"/>
        <v>0</v>
      </c>
      <c r="DO91" s="230"/>
      <c r="DP91" s="232">
        <f t="shared" si="1218"/>
        <v>7</v>
      </c>
      <c r="DQ91" s="233" t="str">
        <f t="shared" ref="DQ91:DS91" si="1301">IFERROR(VLOOKUP($R91,$A$13:$D$30,-DQ$12,FALSE),"")</f>
        <v>Timah</v>
      </c>
      <c r="DR91" s="234" t="str">
        <f t="shared" si="1301"/>
        <v>Bijih </v>
      </c>
      <c r="DS91" s="234" t="str">
        <f t="shared" si="1301"/>
        <v>Ton </v>
      </c>
      <c r="DT91" s="227" t="str">
        <f>ADHK!DT91</f>
        <v/>
      </c>
      <c r="DU91" s="227"/>
      <c r="DV91" s="227">
        <f t="shared" si="1128"/>
        <v>0</v>
      </c>
      <c r="DW91" s="235"/>
      <c r="DX91" s="227">
        <f t="shared" si="1129"/>
        <v>0</v>
      </c>
      <c r="DY91" s="96"/>
      <c r="DZ91" s="96"/>
      <c r="EA91" s="97"/>
      <c r="EB91" s="227">
        <f t="shared" si="1130"/>
        <v>0</v>
      </c>
      <c r="EC91" s="235">
        <f t="shared" si="1131"/>
        <v>0.4604471269</v>
      </c>
      <c r="ED91" s="236">
        <f t="shared" si="1132"/>
        <v>0</v>
      </c>
      <c r="EE91" s="237">
        <f t="shared" si="1133"/>
        <v>0</v>
      </c>
      <c r="EF91" s="230"/>
      <c r="EG91" s="232">
        <f t="shared" si="1220"/>
        <v>7</v>
      </c>
      <c r="EH91" s="233" t="str">
        <f t="shared" ref="EH91:EJ91" si="1302">IFERROR(VLOOKUP($R91,$A$13:$D$30,-EH$12,FALSE),"")</f>
        <v>Timah</v>
      </c>
      <c r="EI91" s="234" t="str">
        <f t="shared" si="1302"/>
        <v>Bijih </v>
      </c>
      <c r="EJ91" s="234" t="str">
        <f t="shared" si="1302"/>
        <v>Ton </v>
      </c>
      <c r="EK91" s="227" t="str">
        <f>ADHK!EK91</f>
        <v/>
      </c>
      <c r="EL91" s="227"/>
      <c r="EM91" s="227">
        <f t="shared" si="1135"/>
        <v>0</v>
      </c>
      <c r="EN91" s="235"/>
      <c r="EO91" s="227">
        <f t="shared" si="1136"/>
        <v>0</v>
      </c>
      <c r="EP91" s="96"/>
      <c r="EQ91" s="96"/>
      <c r="ER91" s="97"/>
      <c r="ES91" s="227">
        <f t="shared" si="1137"/>
        <v>0</v>
      </c>
      <c r="ET91" s="235">
        <f t="shared" si="1138"/>
        <v>0.4604471269</v>
      </c>
      <c r="EU91" s="236">
        <f t="shared" si="1139"/>
        <v>0</v>
      </c>
      <c r="EV91" s="237">
        <f t="shared" si="1140"/>
        <v>0</v>
      </c>
      <c r="EW91" s="230"/>
      <c r="EX91" s="232">
        <f t="shared" si="1222"/>
        <v>7</v>
      </c>
      <c r="EY91" s="233" t="str">
        <f t="shared" ref="EY91:FA91" si="1303">IFERROR(VLOOKUP($R91,$A$13:$D$30,-EY$12,FALSE),"")</f>
        <v>Timah</v>
      </c>
      <c r="EZ91" s="234" t="str">
        <f t="shared" si="1303"/>
        <v>Bijih </v>
      </c>
      <c r="FA91" s="234" t="str">
        <f t="shared" si="1303"/>
        <v>Ton </v>
      </c>
      <c r="FB91" s="227" t="str">
        <f>ADHK!FB91</f>
        <v/>
      </c>
      <c r="FC91" s="227"/>
      <c r="FD91" s="227">
        <f t="shared" si="1142"/>
        <v>0</v>
      </c>
      <c r="FE91" s="235"/>
      <c r="FF91" s="227">
        <f t="shared" si="1143"/>
        <v>0</v>
      </c>
      <c r="FG91" s="96"/>
      <c r="FH91" s="96"/>
      <c r="FI91" s="97"/>
      <c r="FJ91" s="227">
        <f t="shared" si="1144"/>
        <v>0</v>
      </c>
      <c r="FK91" s="235">
        <f t="shared" si="1145"/>
        <v>0.4604471269</v>
      </c>
      <c r="FL91" s="236">
        <f t="shared" si="1146"/>
        <v>0</v>
      </c>
      <c r="FM91" s="237">
        <f t="shared" si="1147"/>
        <v>0</v>
      </c>
      <c r="FN91" s="230"/>
      <c r="FO91" s="232">
        <f t="shared" si="1224"/>
        <v>7</v>
      </c>
      <c r="FP91" s="233" t="str">
        <f t="shared" ref="FP91:FR91" si="1304">IFERROR(VLOOKUP($R91,$A$13:$D$30,-FP$12,FALSE),"")</f>
        <v>Timah</v>
      </c>
      <c r="FQ91" s="234" t="str">
        <f t="shared" si="1304"/>
        <v>Bijih </v>
      </c>
      <c r="FR91" s="234" t="str">
        <f t="shared" si="1304"/>
        <v>Ton </v>
      </c>
      <c r="FS91" s="227" t="str">
        <f>ADHK!FS91</f>
        <v/>
      </c>
      <c r="FT91" s="227"/>
      <c r="FU91" s="227">
        <f t="shared" si="1149"/>
        <v>0</v>
      </c>
      <c r="FV91" s="235"/>
      <c r="FW91" s="227">
        <f t="shared" si="1150"/>
        <v>0</v>
      </c>
      <c r="FX91" s="96"/>
      <c r="FY91" s="96"/>
      <c r="FZ91" s="97"/>
      <c r="GA91" s="227">
        <f t="shared" si="1151"/>
        <v>0</v>
      </c>
      <c r="GB91" s="235">
        <f t="shared" si="1152"/>
        <v>0.4604471269</v>
      </c>
      <c r="GC91" s="236">
        <f t="shared" si="1153"/>
        <v>0</v>
      </c>
      <c r="GD91" s="237">
        <f t="shared" si="1154"/>
        <v>0</v>
      </c>
      <c r="GE91" s="230"/>
      <c r="GF91" s="232">
        <f t="shared" si="1226"/>
        <v>7</v>
      </c>
      <c r="GG91" s="233" t="str">
        <f t="shared" ref="GG91:GI91" si="1305">IFERROR(VLOOKUP($R91,$A$13:$D$30,-GG$12,FALSE),"")</f>
        <v>Timah</v>
      </c>
      <c r="GH91" s="234" t="str">
        <f t="shared" si="1305"/>
        <v>Bijih </v>
      </c>
      <c r="GI91" s="234" t="str">
        <f t="shared" si="1305"/>
        <v>Ton </v>
      </c>
      <c r="GJ91" s="227" t="str">
        <f>ADHK!GJ91</f>
        <v/>
      </c>
      <c r="GK91" s="227"/>
      <c r="GL91" s="227">
        <f t="shared" si="1156"/>
        <v>0</v>
      </c>
      <c r="GM91" s="235"/>
      <c r="GN91" s="227">
        <f t="shared" si="1157"/>
        <v>0</v>
      </c>
      <c r="GO91" s="96"/>
      <c r="GP91" s="96"/>
      <c r="GQ91" s="97"/>
      <c r="GR91" s="227">
        <f t="shared" si="1158"/>
        <v>0</v>
      </c>
      <c r="GS91" s="235">
        <f t="shared" si="1159"/>
        <v>0.4604471269</v>
      </c>
      <c r="GT91" s="236">
        <f t="shared" si="1160"/>
        <v>0</v>
      </c>
      <c r="GU91" s="237">
        <f t="shared" si="1161"/>
        <v>0</v>
      </c>
      <c r="GV91" s="230"/>
      <c r="GW91" s="232">
        <f t="shared" si="1228"/>
        <v>7</v>
      </c>
      <c r="GX91" s="233" t="str">
        <f t="shared" ref="GX91:GZ91" si="1306">IFERROR(VLOOKUP($R91,$A$13:$D$30,-GX$12,FALSE),"")</f>
        <v>Timah</v>
      </c>
      <c r="GY91" s="234" t="str">
        <f t="shared" si="1306"/>
        <v>Bijih </v>
      </c>
      <c r="GZ91" s="234" t="str">
        <f t="shared" si="1306"/>
        <v>Ton </v>
      </c>
      <c r="HA91" s="227" t="str">
        <f>ADHK!HA91</f>
        <v/>
      </c>
      <c r="HB91" s="227"/>
      <c r="HC91" s="227">
        <f t="shared" si="1163"/>
        <v>0</v>
      </c>
      <c r="HD91" s="235"/>
      <c r="HE91" s="227">
        <f t="shared" si="1164"/>
        <v>0</v>
      </c>
      <c r="HF91" s="96"/>
      <c r="HG91" s="96"/>
      <c r="HH91" s="97"/>
      <c r="HI91" s="227">
        <f t="shared" si="1165"/>
        <v>0</v>
      </c>
      <c r="HJ91" s="235">
        <f t="shared" si="1166"/>
        <v>0.4604471269</v>
      </c>
      <c r="HK91" s="236">
        <f t="shared" si="1167"/>
        <v>0</v>
      </c>
      <c r="HL91" s="237">
        <f t="shared" si="1168"/>
        <v>0</v>
      </c>
      <c r="HM91" s="230"/>
      <c r="HN91" s="232">
        <f t="shared" si="1230"/>
        <v>7</v>
      </c>
      <c r="HO91" s="233" t="str">
        <f t="shared" ref="HO91:HQ91" si="1307">IFERROR(VLOOKUP($R91,$A$13:$D$30,-HO$12,FALSE),"")</f>
        <v>Timah</v>
      </c>
      <c r="HP91" s="234" t="str">
        <f t="shared" si="1307"/>
        <v>Bijih </v>
      </c>
      <c r="HQ91" s="234" t="str">
        <f t="shared" si="1307"/>
        <v>Ton </v>
      </c>
      <c r="HR91" s="227" t="str">
        <f>ADHK!HR91</f>
        <v/>
      </c>
      <c r="HS91" s="227"/>
      <c r="HT91" s="227">
        <f t="shared" si="1170"/>
        <v>0</v>
      </c>
      <c r="HU91" s="235"/>
      <c r="HV91" s="227">
        <f t="shared" si="1171"/>
        <v>0</v>
      </c>
      <c r="HW91" s="96"/>
      <c r="HX91" s="96"/>
      <c r="HY91" s="97"/>
      <c r="HZ91" s="227">
        <f t="shared" si="1172"/>
        <v>0</v>
      </c>
      <c r="IA91" s="235">
        <f t="shared" si="1173"/>
        <v>0.4604471269</v>
      </c>
      <c r="IB91" s="236">
        <f t="shared" si="1174"/>
        <v>0</v>
      </c>
      <c r="IC91" s="237">
        <f t="shared" si="1175"/>
        <v>0</v>
      </c>
      <c r="ID91" s="230"/>
      <c r="IE91" s="232">
        <f t="shared" si="1232"/>
        <v>7</v>
      </c>
      <c r="IF91" s="233" t="str">
        <f t="shared" ref="IF91:IH91" si="1308">IFERROR(VLOOKUP($R91,$A$13:$D$30,-IF$12,FALSE),"")</f>
        <v>Timah</v>
      </c>
      <c r="IG91" s="234" t="str">
        <f t="shared" si="1308"/>
        <v>Bijih </v>
      </c>
      <c r="IH91" s="234" t="str">
        <f t="shared" si="1308"/>
        <v>Ton </v>
      </c>
      <c r="II91" s="227" t="str">
        <f>ADHK!II91</f>
        <v/>
      </c>
      <c r="IJ91" s="227"/>
      <c r="IK91" s="227">
        <f t="shared" si="1177"/>
        <v>0</v>
      </c>
      <c r="IL91" s="235"/>
      <c r="IM91" s="227">
        <f t="shared" si="1178"/>
        <v>0</v>
      </c>
      <c r="IN91" s="96"/>
      <c r="IO91" s="96"/>
      <c r="IP91" s="97"/>
      <c r="IQ91" s="227">
        <f t="shared" si="1179"/>
        <v>0</v>
      </c>
      <c r="IR91" s="235">
        <f t="shared" si="1180"/>
        <v>0.4604471269</v>
      </c>
      <c r="IS91" s="236">
        <f t="shared" si="1181"/>
        <v>0</v>
      </c>
      <c r="IT91" s="237">
        <f t="shared" si="1182"/>
        <v>0</v>
      </c>
      <c r="IU91" s="230"/>
      <c r="IV91" s="232">
        <f t="shared" si="1234"/>
        <v>7</v>
      </c>
      <c r="IW91" s="233" t="str">
        <f t="shared" ref="IW91:IY91" si="1309">IFERROR(VLOOKUP($R91,$A$13:$D$30,-IW$12,FALSE),"")</f>
        <v>Timah</v>
      </c>
      <c r="IX91" s="234" t="str">
        <f t="shared" si="1309"/>
        <v>Bijih </v>
      </c>
      <c r="IY91" s="234" t="str">
        <f t="shared" si="1309"/>
        <v>Ton </v>
      </c>
      <c r="IZ91" s="227" t="str">
        <f>ADHK!IZ91</f>
        <v/>
      </c>
      <c r="JA91" s="227"/>
      <c r="JB91" s="227">
        <f t="shared" si="1184"/>
        <v>0</v>
      </c>
      <c r="JC91" s="235"/>
      <c r="JD91" s="227">
        <f t="shared" si="1185"/>
        <v>0</v>
      </c>
      <c r="JE91" s="96"/>
      <c r="JF91" s="96"/>
      <c r="JG91" s="97"/>
      <c r="JH91" s="227">
        <f t="shared" si="1186"/>
        <v>0</v>
      </c>
      <c r="JI91" s="235">
        <f t="shared" si="1187"/>
        <v>0.4604471269</v>
      </c>
      <c r="JJ91" s="236">
        <f t="shared" si="1188"/>
        <v>0</v>
      </c>
      <c r="JK91" s="237">
        <f t="shared" si="1189"/>
        <v>0</v>
      </c>
      <c r="JL91" s="230"/>
      <c r="JM91" s="232">
        <f t="shared" si="1236"/>
        <v>7</v>
      </c>
      <c r="JN91" s="233" t="str">
        <f t="shared" ref="JN91:JP91" si="1310">IFERROR(VLOOKUP($R91,$A$13:$D$30,-JN$12,FALSE),"")</f>
        <v>Timah</v>
      </c>
      <c r="JO91" s="234" t="str">
        <f t="shared" si="1310"/>
        <v>Bijih </v>
      </c>
      <c r="JP91" s="234" t="str">
        <f t="shared" si="1310"/>
        <v>Ton </v>
      </c>
      <c r="JQ91" s="227" t="str">
        <f>ADHK!KY91</f>
        <v/>
      </c>
      <c r="JR91" s="227"/>
      <c r="JS91" s="227">
        <f t="shared" si="1191"/>
        <v>0</v>
      </c>
      <c r="JT91" s="235"/>
      <c r="JU91" s="227">
        <f t="shared" si="1192"/>
        <v>0</v>
      </c>
      <c r="JV91" s="96"/>
      <c r="JW91" s="96"/>
      <c r="JX91" s="97"/>
      <c r="JY91" s="227">
        <f t="shared" si="1193"/>
        <v>0</v>
      </c>
      <c r="JZ91" s="235">
        <f t="shared" si="1194"/>
        <v>0.4604471269</v>
      </c>
      <c r="KA91" s="236">
        <f t="shared" si="1195"/>
        <v>0</v>
      </c>
      <c r="KB91" s="237">
        <f t="shared" si="1196"/>
        <v>0</v>
      </c>
      <c r="KC91" s="230"/>
      <c r="KD91" s="232">
        <f t="shared" si="1238"/>
        <v>7</v>
      </c>
      <c r="KE91" s="233" t="str">
        <f t="shared" ref="KE91:KG91" si="1311">IFERROR(VLOOKUP($R91,$A$13:$D$30,-KE$12,FALSE),"")</f>
        <v>Timah</v>
      </c>
      <c r="KF91" s="234" t="str">
        <f t="shared" si="1311"/>
        <v>Bijih </v>
      </c>
      <c r="KG91" s="234" t="str">
        <f t="shared" si="1311"/>
        <v>Ton </v>
      </c>
      <c r="KH91" s="227" t="str">
        <f>ADHK!LP91</f>
        <v/>
      </c>
      <c r="KI91" s="227"/>
      <c r="KJ91" s="227">
        <f t="shared" si="1198"/>
        <v>0</v>
      </c>
      <c r="KK91" s="235"/>
      <c r="KL91" s="227">
        <f t="shared" si="1199"/>
        <v>0</v>
      </c>
      <c r="KM91" s="96"/>
      <c r="KN91" s="96"/>
      <c r="KO91" s="97"/>
      <c r="KP91" s="227">
        <f t="shared" si="1200"/>
        <v>0</v>
      </c>
      <c r="KQ91" s="235">
        <f t="shared" si="1201"/>
        <v>0.4604471269</v>
      </c>
      <c r="KR91" s="236">
        <f t="shared" si="1202"/>
        <v>0</v>
      </c>
      <c r="KS91" s="237">
        <f t="shared" si="1203"/>
        <v>0</v>
      </c>
      <c r="KT91" s="230"/>
      <c r="KU91" s="231"/>
    </row>
    <row r="92" ht="15.75" customHeight="1">
      <c r="A92" s="232">
        <f t="shared" si="1204"/>
        <v>8</v>
      </c>
      <c r="B92" s="233" t="str">
        <f t="shared" ref="B92:D92" si="1312">IFERROR(VLOOKUP($A92,$A$13:$D$30,-B$12,FALSE),"")</f>
        <v>Mangan</v>
      </c>
      <c r="C92" s="234" t="str">
        <f t="shared" si="1312"/>
        <v>Bijih </v>
      </c>
      <c r="D92" s="234" t="str">
        <f t="shared" si="1312"/>
        <v>Ton </v>
      </c>
      <c r="E92" s="227" t="str">
        <f>ADHK!E92</f>
        <v/>
      </c>
      <c r="F92" s="227" t="str">
        <f>ADHK!F92</f>
        <v/>
      </c>
      <c r="G92" s="227">
        <f t="shared" si="1079"/>
        <v>0</v>
      </c>
      <c r="H92" s="235"/>
      <c r="I92" s="227">
        <f t="shared" si="1080"/>
        <v>0</v>
      </c>
      <c r="J92" s="96"/>
      <c r="K92" s="96"/>
      <c r="L92" s="97"/>
      <c r="M92" s="227">
        <f t="shared" si="1081"/>
        <v>0</v>
      </c>
      <c r="N92" s="235">
        <f t="shared" si="1082"/>
        <v>0.4604471269</v>
      </c>
      <c r="O92" s="236">
        <f t="shared" si="1083"/>
        <v>0</v>
      </c>
      <c r="P92" s="237">
        <f t="shared" si="1084"/>
        <v>0</v>
      </c>
      <c r="Q92" s="230"/>
      <c r="R92" s="232">
        <f t="shared" si="1206"/>
        <v>8</v>
      </c>
      <c r="S92" s="233" t="str">
        <f t="shared" ref="S92:U92" si="1313">IFERROR(VLOOKUP($R92,$A$13:$D$30,-S$12,FALSE),"")</f>
        <v>Mangan</v>
      </c>
      <c r="T92" s="234" t="str">
        <f t="shared" si="1313"/>
        <v>Bijih </v>
      </c>
      <c r="U92" s="234" t="str">
        <f t="shared" si="1313"/>
        <v>Ton </v>
      </c>
      <c r="V92" s="227" t="str">
        <f>ADHK!V92</f>
        <v/>
      </c>
      <c r="W92" s="227"/>
      <c r="X92" s="227">
        <f t="shared" si="1086"/>
        <v>0</v>
      </c>
      <c r="Y92" s="235"/>
      <c r="Z92" s="227">
        <f t="shared" si="1087"/>
        <v>0</v>
      </c>
      <c r="AA92" s="96"/>
      <c r="AB92" s="96"/>
      <c r="AC92" s="97"/>
      <c r="AD92" s="227">
        <f t="shared" si="1088"/>
        <v>0</v>
      </c>
      <c r="AE92" s="235">
        <f t="shared" si="1089"/>
        <v>0.4604471269</v>
      </c>
      <c r="AF92" s="236">
        <f t="shared" si="1090"/>
        <v>0</v>
      </c>
      <c r="AG92" s="237">
        <f t="shared" si="1091"/>
        <v>0</v>
      </c>
      <c r="AH92" s="230"/>
      <c r="AI92" s="232">
        <f t="shared" si="1208"/>
        <v>8</v>
      </c>
      <c r="AJ92" s="233" t="str">
        <f t="shared" ref="AJ92:AL92" si="1314">IFERROR(VLOOKUP($R92,$A$13:$D$30,-AJ$12,FALSE),"")</f>
        <v>Mangan</v>
      </c>
      <c r="AK92" s="234" t="str">
        <f t="shared" si="1314"/>
        <v>Bijih </v>
      </c>
      <c r="AL92" s="234" t="str">
        <f t="shared" si="1314"/>
        <v>Ton </v>
      </c>
      <c r="AM92" s="227" t="str">
        <f>ADHK!AM92</f>
        <v/>
      </c>
      <c r="AN92" s="227"/>
      <c r="AO92" s="227">
        <f t="shared" si="1093"/>
        <v>0</v>
      </c>
      <c r="AP92" s="235"/>
      <c r="AQ92" s="227">
        <f t="shared" si="1094"/>
        <v>0</v>
      </c>
      <c r="AR92" s="96"/>
      <c r="AS92" s="96"/>
      <c r="AT92" s="97"/>
      <c r="AU92" s="227">
        <f t="shared" si="1095"/>
        <v>0</v>
      </c>
      <c r="AV92" s="235">
        <f t="shared" si="1096"/>
        <v>0.4604471269</v>
      </c>
      <c r="AW92" s="236">
        <f t="shared" si="1097"/>
        <v>0</v>
      </c>
      <c r="AX92" s="237">
        <f t="shared" si="1098"/>
        <v>0</v>
      </c>
      <c r="AY92" s="230"/>
      <c r="AZ92" s="232">
        <f t="shared" si="1210"/>
        <v>8</v>
      </c>
      <c r="BA92" s="233" t="str">
        <f t="shared" ref="BA92:BC92" si="1315">IFERROR(VLOOKUP($R92,$A$13:$D$30,-BA$12,FALSE),"")</f>
        <v>Mangan</v>
      </c>
      <c r="BB92" s="234" t="str">
        <f t="shared" si="1315"/>
        <v>Bijih </v>
      </c>
      <c r="BC92" s="234" t="str">
        <f t="shared" si="1315"/>
        <v>Ton </v>
      </c>
      <c r="BD92" s="227" t="str">
        <f>ADHK!BD92</f>
        <v/>
      </c>
      <c r="BE92" s="227"/>
      <c r="BF92" s="227">
        <f t="shared" si="1100"/>
        <v>0</v>
      </c>
      <c r="BG92" s="235"/>
      <c r="BH92" s="227">
        <f t="shared" si="1101"/>
        <v>0</v>
      </c>
      <c r="BI92" s="96"/>
      <c r="BJ92" s="96"/>
      <c r="BK92" s="97"/>
      <c r="BL92" s="227">
        <f t="shared" si="1102"/>
        <v>0</v>
      </c>
      <c r="BM92" s="235">
        <f t="shared" si="1103"/>
        <v>0.4604471269</v>
      </c>
      <c r="BN92" s="236">
        <f t="shared" si="1104"/>
        <v>0</v>
      </c>
      <c r="BO92" s="237">
        <f t="shared" si="1105"/>
        <v>0</v>
      </c>
      <c r="BP92" s="230"/>
      <c r="BQ92" s="232">
        <f t="shared" si="1212"/>
        <v>8</v>
      </c>
      <c r="BR92" s="233" t="str">
        <f t="shared" ref="BR92:BT92" si="1316">IFERROR(VLOOKUP($R92,$A$13:$D$30,-BR$12,FALSE),"")</f>
        <v>Mangan</v>
      </c>
      <c r="BS92" s="234" t="str">
        <f t="shared" si="1316"/>
        <v>Bijih </v>
      </c>
      <c r="BT92" s="234" t="str">
        <f t="shared" si="1316"/>
        <v>Ton </v>
      </c>
      <c r="BU92" s="227" t="str">
        <f>ADHK!BU92</f>
        <v/>
      </c>
      <c r="BV92" s="227"/>
      <c r="BW92" s="227">
        <f t="shared" si="1107"/>
        <v>0</v>
      </c>
      <c r="BX92" s="235"/>
      <c r="BY92" s="227">
        <f t="shared" si="1108"/>
        <v>0</v>
      </c>
      <c r="BZ92" s="96"/>
      <c r="CA92" s="96"/>
      <c r="CB92" s="97"/>
      <c r="CC92" s="227">
        <f t="shared" si="1109"/>
        <v>0</v>
      </c>
      <c r="CD92" s="235">
        <f t="shared" si="1110"/>
        <v>0.4604471269</v>
      </c>
      <c r="CE92" s="236">
        <f t="shared" si="1111"/>
        <v>0</v>
      </c>
      <c r="CF92" s="237">
        <f t="shared" si="1112"/>
        <v>0</v>
      </c>
      <c r="CG92" s="230"/>
      <c r="CH92" s="232">
        <f t="shared" si="1214"/>
        <v>8</v>
      </c>
      <c r="CI92" s="233" t="str">
        <f t="shared" ref="CI92:CK92" si="1317">IFERROR(VLOOKUP($R92,$A$13:$D$30,-CI$12,FALSE),"")</f>
        <v>Mangan</v>
      </c>
      <c r="CJ92" s="234" t="str">
        <f t="shared" si="1317"/>
        <v>Bijih </v>
      </c>
      <c r="CK92" s="234" t="str">
        <f t="shared" si="1317"/>
        <v>Ton </v>
      </c>
      <c r="CL92" s="227" t="str">
        <f>ADHK!CL92</f>
        <v/>
      </c>
      <c r="CM92" s="227"/>
      <c r="CN92" s="227">
        <f t="shared" si="1114"/>
        <v>0</v>
      </c>
      <c r="CO92" s="235"/>
      <c r="CP92" s="227">
        <f t="shared" si="1115"/>
        <v>0</v>
      </c>
      <c r="CQ92" s="96"/>
      <c r="CR92" s="96"/>
      <c r="CS92" s="97"/>
      <c r="CT92" s="227">
        <f t="shared" si="1116"/>
        <v>0</v>
      </c>
      <c r="CU92" s="235">
        <f t="shared" si="1117"/>
        <v>0.4604471269</v>
      </c>
      <c r="CV92" s="236">
        <f t="shared" si="1118"/>
        <v>0</v>
      </c>
      <c r="CW92" s="237">
        <f t="shared" si="1119"/>
        <v>0</v>
      </c>
      <c r="CX92" s="230"/>
      <c r="CY92" s="232">
        <f t="shared" si="1216"/>
        <v>8</v>
      </c>
      <c r="CZ92" s="233" t="str">
        <f t="shared" ref="CZ92:DB92" si="1318">IFERROR(VLOOKUP($R92,$A$13:$D$30,-CZ$12,FALSE),"")</f>
        <v>Mangan</v>
      </c>
      <c r="DA92" s="234" t="str">
        <f t="shared" si="1318"/>
        <v>Bijih </v>
      </c>
      <c r="DB92" s="234" t="str">
        <f t="shared" si="1318"/>
        <v>Ton </v>
      </c>
      <c r="DC92" s="227" t="str">
        <f>ADHK!DC92</f>
        <v/>
      </c>
      <c r="DD92" s="227"/>
      <c r="DE92" s="227">
        <f t="shared" si="1121"/>
        <v>0</v>
      </c>
      <c r="DF92" s="235"/>
      <c r="DG92" s="227">
        <f t="shared" si="1122"/>
        <v>0</v>
      </c>
      <c r="DH92" s="96"/>
      <c r="DI92" s="96"/>
      <c r="DJ92" s="97"/>
      <c r="DK92" s="227">
        <f t="shared" si="1123"/>
        <v>0</v>
      </c>
      <c r="DL92" s="235">
        <f t="shared" si="1124"/>
        <v>0.4604471269</v>
      </c>
      <c r="DM92" s="236">
        <f t="shared" si="1125"/>
        <v>0</v>
      </c>
      <c r="DN92" s="237">
        <f t="shared" si="1126"/>
        <v>0</v>
      </c>
      <c r="DO92" s="230"/>
      <c r="DP92" s="232">
        <f t="shared" si="1218"/>
        <v>8</v>
      </c>
      <c r="DQ92" s="233" t="str">
        <f t="shared" ref="DQ92:DS92" si="1319">IFERROR(VLOOKUP($R92,$A$13:$D$30,-DQ$12,FALSE),"")</f>
        <v>Mangan</v>
      </c>
      <c r="DR92" s="234" t="str">
        <f t="shared" si="1319"/>
        <v>Bijih </v>
      </c>
      <c r="DS92" s="234" t="str">
        <f t="shared" si="1319"/>
        <v>Ton </v>
      </c>
      <c r="DT92" s="227" t="str">
        <f>ADHK!DT92</f>
        <v/>
      </c>
      <c r="DU92" s="227"/>
      <c r="DV92" s="227">
        <f t="shared" si="1128"/>
        <v>0</v>
      </c>
      <c r="DW92" s="235"/>
      <c r="DX92" s="227">
        <f t="shared" si="1129"/>
        <v>0</v>
      </c>
      <c r="DY92" s="96"/>
      <c r="DZ92" s="96"/>
      <c r="EA92" s="97"/>
      <c r="EB92" s="227">
        <f t="shared" si="1130"/>
        <v>0</v>
      </c>
      <c r="EC92" s="235">
        <f t="shared" si="1131"/>
        <v>0.4604471269</v>
      </c>
      <c r="ED92" s="236">
        <f t="shared" si="1132"/>
        <v>0</v>
      </c>
      <c r="EE92" s="237">
        <f t="shared" si="1133"/>
        <v>0</v>
      </c>
      <c r="EF92" s="230"/>
      <c r="EG92" s="232">
        <f t="shared" si="1220"/>
        <v>8</v>
      </c>
      <c r="EH92" s="233" t="str">
        <f t="shared" ref="EH92:EJ92" si="1320">IFERROR(VLOOKUP($R92,$A$13:$D$30,-EH$12,FALSE),"")</f>
        <v>Mangan</v>
      </c>
      <c r="EI92" s="234" t="str">
        <f t="shared" si="1320"/>
        <v>Bijih </v>
      </c>
      <c r="EJ92" s="234" t="str">
        <f t="shared" si="1320"/>
        <v>Ton </v>
      </c>
      <c r="EK92" s="227" t="str">
        <f>ADHK!EK92</f>
        <v/>
      </c>
      <c r="EL92" s="227"/>
      <c r="EM92" s="227">
        <f t="shared" si="1135"/>
        <v>0</v>
      </c>
      <c r="EN92" s="235"/>
      <c r="EO92" s="227">
        <f t="shared" si="1136"/>
        <v>0</v>
      </c>
      <c r="EP92" s="96"/>
      <c r="EQ92" s="96"/>
      <c r="ER92" s="97"/>
      <c r="ES92" s="227">
        <f t="shared" si="1137"/>
        <v>0</v>
      </c>
      <c r="ET92" s="235">
        <f t="shared" si="1138"/>
        <v>0.4604471269</v>
      </c>
      <c r="EU92" s="236">
        <f t="shared" si="1139"/>
        <v>0</v>
      </c>
      <c r="EV92" s="237">
        <f t="shared" si="1140"/>
        <v>0</v>
      </c>
      <c r="EW92" s="230"/>
      <c r="EX92" s="232">
        <f t="shared" si="1222"/>
        <v>8</v>
      </c>
      <c r="EY92" s="233" t="str">
        <f t="shared" ref="EY92:FA92" si="1321">IFERROR(VLOOKUP($R92,$A$13:$D$30,-EY$12,FALSE),"")</f>
        <v>Mangan</v>
      </c>
      <c r="EZ92" s="234" t="str">
        <f t="shared" si="1321"/>
        <v>Bijih </v>
      </c>
      <c r="FA92" s="234" t="str">
        <f t="shared" si="1321"/>
        <v>Ton </v>
      </c>
      <c r="FB92" s="227" t="str">
        <f>ADHK!FB92</f>
        <v/>
      </c>
      <c r="FC92" s="227"/>
      <c r="FD92" s="227">
        <f t="shared" si="1142"/>
        <v>0</v>
      </c>
      <c r="FE92" s="235"/>
      <c r="FF92" s="227">
        <f t="shared" si="1143"/>
        <v>0</v>
      </c>
      <c r="FG92" s="96"/>
      <c r="FH92" s="96"/>
      <c r="FI92" s="97"/>
      <c r="FJ92" s="227">
        <f t="shared" si="1144"/>
        <v>0</v>
      </c>
      <c r="FK92" s="235">
        <f t="shared" si="1145"/>
        <v>0.4604471269</v>
      </c>
      <c r="FL92" s="236">
        <f t="shared" si="1146"/>
        <v>0</v>
      </c>
      <c r="FM92" s="237">
        <f t="shared" si="1147"/>
        <v>0</v>
      </c>
      <c r="FN92" s="230"/>
      <c r="FO92" s="232">
        <f t="shared" si="1224"/>
        <v>8</v>
      </c>
      <c r="FP92" s="233" t="str">
        <f t="shared" ref="FP92:FR92" si="1322">IFERROR(VLOOKUP($R92,$A$13:$D$30,-FP$12,FALSE),"")</f>
        <v>Mangan</v>
      </c>
      <c r="FQ92" s="234" t="str">
        <f t="shared" si="1322"/>
        <v>Bijih </v>
      </c>
      <c r="FR92" s="234" t="str">
        <f t="shared" si="1322"/>
        <v>Ton </v>
      </c>
      <c r="FS92" s="227" t="str">
        <f>ADHK!FS92</f>
        <v/>
      </c>
      <c r="FT92" s="227"/>
      <c r="FU92" s="227">
        <f t="shared" si="1149"/>
        <v>0</v>
      </c>
      <c r="FV92" s="235"/>
      <c r="FW92" s="227">
        <f t="shared" si="1150"/>
        <v>0</v>
      </c>
      <c r="FX92" s="96"/>
      <c r="FY92" s="96"/>
      <c r="FZ92" s="97"/>
      <c r="GA92" s="227">
        <f t="shared" si="1151"/>
        <v>0</v>
      </c>
      <c r="GB92" s="235">
        <f t="shared" si="1152"/>
        <v>0.4604471269</v>
      </c>
      <c r="GC92" s="236">
        <f t="shared" si="1153"/>
        <v>0</v>
      </c>
      <c r="GD92" s="237">
        <f t="shared" si="1154"/>
        <v>0</v>
      </c>
      <c r="GE92" s="230"/>
      <c r="GF92" s="232">
        <f t="shared" si="1226"/>
        <v>8</v>
      </c>
      <c r="GG92" s="233" t="str">
        <f t="shared" ref="GG92:GI92" si="1323">IFERROR(VLOOKUP($R92,$A$13:$D$30,-GG$12,FALSE),"")</f>
        <v>Mangan</v>
      </c>
      <c r="GH92" s="234" t="str">
        <f t="shared" si="1323"/>
        <v>Bijih </v>
      </c>
      <c r="GI92" s="234" t="str">
        <f t="shared" si="1323"/>
        <v>Ton </v>
      </c>
      <c r="GJ92" s="227" t="str">
        <f>ADHK!GJ92</f>
        <v/>
      </c>
      <c r="GK92" s="227"/>
      <c r="GL92" s="227">
        <f t="shared" si="1156"/>
        <v>0</v>
      </c>
      <c r="GM92" s="235"/>
      <c r="GN92" s="227">
        <f t="shared" si="1157"/>
        <v>0</v>
      </c>
      <c r="GO92" s="96"/>
      <c r="GP92" s="96"/>
      <c r="GQ92" s="97"/>
      <c r="GR92" s="227">
        <f t="shared" si="1158"/>
        <v>0</v>
      </c>
      <c r="GS92" s="235">
        <f t="shared" si="1159"/>
        <v>0.4604471269</v>
      </c>
      <c r="GT92" s="236">
        <f t="shared" si="1160"/>
        <v>0</v>
      </c>
      <c r="GU92" s="237">
        <f t="shared" si="1161"/>
        <v>0</v>
      </c>
      <c r="GV92" s="230"/>
      <c r="GW92" s="232">
        <f t="shared" si="1228"/>
        <v>8</v>
      </c>
      <c r="GX92" s="233" t="str">
        <f t="shared" ref="GX92:GZ92" si="1324">IFERROR(VLOOKUP($R92,$A$13:$D$30,-GX$12,FALSE),"")</f>
        <v>Mangan</v>
      </c>
      <c r="GY92" s="234" t="str">
        <f t="shared" si="1324"/>
        <v>Bijih </v>
      </c>
      <c r="GZ92" s="234" t="str">
        <f t="shared" si="1324"/>
        <v>Ton </v>
      </c>
      <c r="HA92" s="227" t="str">
        <f>ADHK!HA92</f>
        <v/>
      </c>
      <c r="HB92" s="227"/>
      <c r="HC92" s="227">
        <f t="shared" si="1163"/>
        <v>0</v>
      </c>
      <c r="HD92" s="235"/>
      <c r="HE92" s="227">
        <f t="shared" si="1164"/>
        <v>0</v>
      </c>
      <c r="HF92" s="96"/>
      <c r="HG92" s="96"/>
      <c r="HH92" s="97"/>
      <c r="HI92" s="227">
        <f t="shared" si="1165"/>
        <v>0</v>
      </c>
      <c r="HJ92" s="235">
        <f t="shared" si="1166"/>
        <v>0.4604471269</v>
      </c>
      <c r="HK92" s="236">
        <f t="shared" si="1167"/>
        <v>0</v>
      </c>
      <c r="HL92" s="237">
        <f t="shared" si="1168"/>
        <v>0</v>
      </c>
      <c r="HM92" s="230"/>
      <c r="HN92" s="232">
        <f t="shared" si="1230"/>
        <v>8</v>
      </c>
      <c r="HO92" s="233" t="str">
        <f t="shared" ref="HO92:HQ92" si="1325">IFERROR(VLOOKUP($R92,$A$13:$D$30,-HO$12,FALSE),"")</f>
        <v>Mangan</v>
      </c>
      <c r="HP92" s="234" t="str">
        <f t="shared" si="1325"/>
        <v>Bijih </v>
      </c>
      <c r="HQ92" s="234" t="str">
        <f t="shared" si="1325"/>
        <v>Ton </v>
      </c>
      <c r="HR92" s="227" t="str">
        <f>ADHK!HR92</f>
        <v/>
      </c>
      <c r="HS92" s="227"/>
      <c r="HT92" s="227">
        <f t="shared" si="1170"/>
        <v>0</v>
      </c>
      <c r="HU92" s="235"/>
      <c r="HV92" s="227">
        <f t="shared" si="1171"/>
        <v>0</v>
      </c>
      <c r="HW92" s="96"/>
      <c r="HX92" s="96"/>
      <c r="HY92" s="97"/>
      <c r="HZ92" s="227">
        <f t="shared" si="1172"/>
        <v>0</v>
      </c>
      <c r="IA92" s="235">
        <f t="shared" si="1173"/>
        <v>0.4604471269</v>
      </c>
      <c r="IB92" s="236">
        <f t="shared" si="1174"/>
        <v>0</v>
      </c>
      <c r="IC92" s="237">
        <f t="shared" si="1175"/>
        <v>0</v>
      </c>
      <c r="ID92" s="230"/>
      <c r="IE92" s="232">
        <f t="shared" si="1232"/>
        <v>8</v>
      </c>
      <c r="IF92" s="233" t="str">
        <f t="shared" ref="IF92:IH92" si="1326">IFERROR(VLOOKUP($R92,$A$13:$D$30,-IF$12,FALSE),"")</f>
        <v>Mangan</v>
      </c>
      <c r="IG92" s="234" t="str">
        <f t="shared" si="1326"/>
        <v>Bijih </v>
      </c>
      <c r="IH92" s="234" t="str">
        <f t="shared" si="1326"/>
        <v>Ton </v>
      </c>
      <c r="II92" s="227" t="str">
        <f>ADHK!II92</f>
        <v/>
      </c>
      <c r="IJ92" s="227"/>
      <c r="IK92" s="227">
        <f t="shared" si="1177"/>
        <v>0</v>
      </c>
      <c r="IL92" s="235"/>
      <c r="IM92" s="227">
        <f t="shared" si="1178"/>
        <v>0</v>
      </c>
      <c r="IN92" s="96"/>
      <c r="IO92" s="96"/>
      <c r="IP92" s="97"/>
      <c r="IQ92" s="227">
        <f t="shared" si="1179"/>
        <v>0</v>
      </c>
      <c r="IR92" s="235">
        <f t="shared" si="1180"/>
        <v>0.4604471269</v>
      </c>
      <c r="IS92" s="236">
        <f t="shared" si="1181"/>
        <v>0</v>
      </c>
      <c r="IT92" s="237">
        <f t="shared" si="1182"/>
        <v>0</v>
      </c>
      <c r="IU92" s="230"/>
      <c r="IV92" s="232">
        <f t="shared" si="1234"/>
        <v>8</v>
      </c>
      <c r="IW92" s="233" t="str">
        <f t="shared" ref="IW92:IY92" si="1327">IFERROR(VLOOKUP($R92,$A$13:$D$30,-IW$12,FALSE),"")</f>
        <v>Mangan</v>
      </c>
      <c r="IX92" s="234" t="str">
        <f t="shared" si="1327"/>
        <v>Bijih </v>
      </c>
      <c r="IY92" s="234" t="str">
        <f t="shared" si="1327"/>
        <v>Ton </v>
      </c>
      <c r="IZ92" s="227" t="str">
        <f>ADHK!IZ92</f>
        <v/>
      </c>
      <c r="JA92" s="227"/>
      <c r="JB92" s="227">
        <f t="shared" si="1184"/>
        <v>0</v>
      </c>
      <c r="JC92" s="235"/>
      <c r="JD92" s="227">
        <f t="shared" si="1185"/>
        <v>0</v>
      </c>
      <c r="JE92" s="96"/>
      <c r="JF92" s="96"/>
      <c r="JG92" s="97"/>
      <c r="JH92" s="227">
        <f t="shared" si="1186"/>
        <v>0</v>
      </c>
      <c r="JI92" s="235">
        <f t="shared" si="1187"/>
        <v>0.4604471269</v>
      </c>
      <c r="JJ92" s="236">
        <f t="shared" si="1188"/>
        <v>0</v>
      </c>
      <c r="JK92" s="237">
        <f t="shared" si="1189"/>
        <v>0</v>
      </c>
      <c r="JL92" s="230"/>
      <c r="JM92" s="232">
        <f t="shared" si="1236"/>
        <v>8</v>
      </c>
      <c r="JN92" s="233" t="str">
        <f t="shared" ref="JN92:JP92" si="1328">IFERROR(VLOOKUP($R92,$A$13:$D$30,-JN$12,FALSE),"")</f>
        <v>Mangan</v>
      </c>
      <c r="JO92" s="234" t="str">
        <f t="shared" si="1328"/>
        <v>Bijih </v>
      </c>
      <c r="JP92" s="234" t="str">
        <f t="shared" si="1328"/>
        <v>Ton </v>
      </c>
      <c r="JQ92" s="227" t="str">
        <f>ADHK!KY92</f>
        <v/>
      </c>
      <c r="JR92" s="227"/>
      <c r="JS92" s="227">
        <f t="shared" si="1191"/>
        <v>0</v>
      </c>
      <c r="JT92" s="235"/>
      <c r="JU92" s="227">
        <f t="shared" si="1192"/>
        <v>0</v>
      </c>
      <c r="JV92" s="96"/>
      <c r="JW92" s="96"/>
      <c r="JX92" s="97"/>
      <c r="JY92" s="227">
        <f t="shared" si="1193"/>
        <v>0</v>
      </c>
      <c r="JZ92" s="235">
        <f t="shared" si="1194"/>
        <v>0.4604471269</v>
      </c>
      <c r="KA92" s="236">
        <f t="shared" si="1195"/>
        <v>0</v>
      </c>
      <c r="KB92" s="237">
        <f t="shared" si="1196"/>
        <v>0</v>
      </c>
      <c r="KC92" s="230"/>
      <c r="KD92" s="232">
        <f t="shared" si="1238"/>
        <v>8</v>
      </c>
      <c r="KE92" s="233" t="str">
        <f t="shared" ref="KE92:KG92" si="1329">IFERROR(VLOOKUP($R92,$A$13:$D$30,-KE$12,FALSE),"")</f>
        <v>Mangan</v>
      </c>
      <c r="KF92" s="234" t="str">
        <f t="shared" si="1329"/>
        <v>Bijih </v>
      </c>
      <c r="KG92" s="234" t="str">
        <f t="shared" si="1329"/>
        <v>Ton </v>
      </c>
      <c r="KH92" s="227" t="str">
        <f>ADHK!LP92</f>
        <v/>
      </c>
      <c r="KI92" s="227"/>
      <c r="KJ92" s="227">
        <f t="shared" si="1198"/>
        <v>0</v>
      </c>
      <c r="KK92" s="235"/>
      <c r="KL92" s="227">
        <f t="shared" si="1199"/>
        <v>0</v>
      </c>
      <c r="KM92" s="96"/>
      <c r="KN92" s="96"/>
      <c r="KO92" s="97"/>
      <c r="KP92" s="227">
        <f t="shared" si="1200"/>
        <v>0</v>
      </c>
      <c r="KQ92" s="235">
        <f t="shared" si="1201"/>
        <v>0.4604471269</v>
      </c>
      <c r="KR92" s="236">
        <f t="shared" si="1202"/>
        <v>0</v>
      </c>
      <c r="KS92" s="237">
        <f t="shared" si="1203"/>
        <v>0</v>
      </c>
      <c r="KT92" s="230"/>
      <c r="KU92" s="231"/>
    </row>
    <row r="93" ht="15.75" customHeight="1">
      <c r="A93" s="232">
        <f t="shared" si="1204"/>
        <v>9</v>
      </c>
      <c r="B93" s="233" t="str">
        <f t="shared" ref="B93:D93" si="1330">IFERROR(VLOOKUP($A93,$A$13:$D$30,-B$12,FALSE),"")</f>
        <v>Lainnya 2.3 (1) ……..</v>
      </c>
      <c r="C93" s="234" t="str">
        <f t="shared" si="1330"/>
        <v>Bijih </v>
      </c>
      <c r="D93" s="234" t="str">
        <f t="shared" si="1330"/>
        <v>Ton </v>
      </c>
      <c r="E93" s="227" t="str">
        <f>ADHK!E93</f>
        <v/>
      </c>
      <c r="F93" s="227" t="str">
        <f>ADHK!F93</f>
        <v/>
      </c>
      <c r="G93" s="227">
        <f t="shared" si="1079"/>
        <v>0</v>
      </c>
      <c r="H93" s="235"/>
      <c r="I93" s="227">
        <f t="shared" si="1080"/>
        <v>0</v>
      </c>
      <c r="J93" s="96"/>
      <c r="K93" s="96"/>
      <c r="L93" s="97"/>
      <c r="M93" s="227">
        <f t="shared" si="1081"/>
        <v>0</v>
      </c>
      <c r="N93" s="235">
        <f t="shared" si="1082"/>
        <v>0.4604471269</v>
      </c>
      <c r="O93" s="236">
        <f t="shared" si="1083"/>
        <v>0</v>
      </c>
      <c r="P93" s="237">
        <f t="shared" si="1084"/>
        <v>0</v>
      </c>
      <c r="Q93" s="230"/>
      <c r="R93" s="232">
        <f t="shared" si="1206"/>
        <v>9</v>
      </c>
      <c r="S93" s="233" t="str">
        <f t="shared" ref="S93:U93" si="1331">IFERROR(VLOOKUP($R93,$A$13:$D$30,-S$12,FALSE),"")</f>
        <v>Lainnya 2.3 (1) ……..</v>
      </c>
      <c r="T93" s="234" t="str">
        <f t="shared" si="1331"/>
        <v>Bijih </v>
      </c>
      <c r="U93" s="234" t="str">
        <f t="shared" si="1331"/>
        <v>Ton </v>
      </c>
      <c r="V93" s="227" t="str">
        <f>ADHK!V93</f>
        <v/>
      </c>
      <c r="W93" s="227"/>
      <c r="X93" s="227">
        <f t="shared" si="1086"/>
        <v>0</v>
      </c>
      <c r="Y93" s="235"/>
      <c r="Z93" s="227">
        <f t="shared" si="1087"/>
        <v>0</v>
      </c>
      <c r="AA93" s="96"/>
      <c r="AB93" s="96"/>
      <c r="AC93" s="97"/>
      <c r="AD93" s="227">
        <f t="shared" si="1088"/>
        <v>0</v>
      </c>
      <c r="AE93" s="235">
        <f t="shared" si="1089"/>
        <v>0.4604471269</v>
      </c>
      <c r="AF93" s="236">
        <f t="shared" si="1090"/>
        <v>0</v>
      </c>
      <c r="AG93" s="237">
        <f t="shared" si="1091"/>
        <v>0</v>
      </c>
      <c r="AH93" s="230"/>
      <c r="AI93" s="232">
        <f t="shared" si="1208"/>
        <v>9</v>
      </c>
      <c r="AJ93" s="233" t="str">
        <f t="shared" ref="AJ93:AL93" si="1332">IFERROR(VLOOKUP($R93,$A$13:$D$30,-AJ$12,FALSE),"")</f>
        <v>Lainnya 2.3 (1) ……..</v>
      </c>
      <c r="AK93" s="234" t="str">
        <f t="shared" si="1332"/>
        <v>Bijih </v>
      </c>
      <c r="AL93" s="234" t="str">
        <f t="shared" si="1332"/>
        <v>Ton </v>
      </c>
      <c r="AM93" s="227" t="str">
        <f>ADHK!AM93</f>
        <v/>
      </c>
      <c r="AN93" s="227"/>
      <c r="AO93" s="227">
        <f t="shared" si="1093"/>
        <v>0</v>
      </c>
      <c r="AP93" s="235"/>
      <c r="AQ93" s="227">
        <f t="shared" si="1094"/>
        <v>0</v>
      </c>
      <c r="AR93" s="96"/>
      <c r="AS93" s="96"/>
      <c r="AT93" s="97"/>
      <c r="AU93" s="227">
        <f t="shared" si="1095"/>
        <v>0</v>
      </c>
      <c r="AV93" s="235">
        <f t="shared" si="1096"/>
        <v>0.4604471269</v>
      </c>
      <c r="AW93" s="236">
        <f t="shared" si="1097"/>
        <v>0</v>
      </c>
      <c r="AX93" s="237">
        <f t="shared" si="1098"/>
        <v>0</v>
      </c>
      <c r="AY93" s="230"/>
      <c r="AZ93" s="232">
        <f t="shared" si="1210"/>
        <v>9</v>
      </c>
      <c r="BA93" s="233" t="str">
        <f t="shared" ref="BA93:BC93" si="1333">IFERROR(VLOOKUP($R93,$A$13:$D$30,-BA$12,FALSE),"")</f>
        <v>Lainnya 2.3 (1) ……..</v>
      </c>
      <c r="BB93" s="234" t="str">
        <f t="shared" si="1333"/>
        <v>Bijih </v>
      </c>
      <c r="BC93" s="234" t="str">
        <f t="shared" si="1333"/>
        <v>Ton </v>
      </c>
      <c r="BD93" s="227" t="str">
        <f>ADHK!BD93</f>
        <v/>
      </c>
      <c r="BE93" s="227"/>
      <c r="BF93" s="227">
        <f t="shared" si="1100"/>
        <v>0</v>
      </c>
      <c r="BG93" s="235"/>
      <c r="BH93" s="227">
        <f t="shared" si="1101"/>
        <v>0</v>
      </c>
      <c r="BI93" s="96"/>
      <c r="BJ93" s="96"/>
      <c r="BK93" s="97"/>
      <c r="BL93" s="227">
        <f t="shared" si="1102"/>
        <v>0</v>
      </c>
      <c r="BM93" s="235">
        <f t="shared" si="1103"/>
        <v>0.4604471269</v>
      </c>
      <c r="BN93" s="236">
        <f t="shared" si="1104"/>
        <v>0</v>
      </c>
      <c r="BO93" s="237">
        <f t="shared" si="1105"/>
        <v>0</v>
      </c>
      <c r="BP93" s="230"/>
      <c r="BQ93" s="232">
        <f t="shared" si="1212"/>
        <v>9</v>
      </c>
      <c r="BR93" s="233" t="str">
        <f t="shared" ref="BR93:BT93" si="1334">IFERROR(VLOOKUP($R93,$A$13:$D$30,-BR$12,FALSE),"")</f>
        <v>Lainnya 2.3 (1) ……..</v>
      </c>
      <c r="BS93" s="234" t="str">
        <f t="shared" si="1334"/>
        <v>Bijih </v>
      </c>
      <c r="BT93" s="234" t="str">
        <f t="shared" si="1334"/>
        <v>Ton </v>
      </c>
      <c r="BU93" s="227" t="str">
        <f>ADHK!BU93</f>
        <v/>
      </c>
      <c r="BV93" s="227"/>
      <c r="BW93" s="227">
        <f t="shared" si="1107"/>
        <v>0</v>
      </c>
      <c r="BX93" s="235"/>
      <c r="BY93" s="227">
        <f t="shared" si="1108"/>
        <v>0</v>
      </c>
      <c r="BZ93" s="96"/>
      <c r="CA93" s="96"/>
      <c r="CB93" s="97"/>
      <c r="CC93" s="227">
        <f t="shared" si="1109"/>
        <v>0</v>
      </c>
      <c r="CD93" s="235">
        <f t="shared" si="1110"/>
        <v>0.4604471269</v>
      </c>
      <c r="CE93" s="236">
        <f t="shared" si="1111"/>
        <v>0</v>
      </c>
      <c r="CF93" s="237">
        <f t="shared" si="1112"/>
        <v>0</v>
      </c>
      <c r="CG93" s="230"/>
      <c r="CH93" s="232">
        <f t="shared" si="1214"/>
        <v>9</v>
      </c>
      <c r="CI93" s="233" t="str">
        <f t="shared" ref="CI93:CK93" si="1335">IFERROR(VLOOKUP($R93,$A$13:$D$30,-CI$12,FALSE),"")</f>
        <v>Lainnya 2.3 (1) ……..</v>
      </c>
      <c r="CJ93" s="234" t="str">
        <f t="shared" si="1335"/>
        <v>Bijih </v>
      </c>
      <c r="CK93" s="234" t="str">
        <f t="shared" si="1335"/>
        <v>Ton </v>
      </c>
      <c r="CL93" s="227" t="str">
        <f>ADHK!CL93</f>
        <v/>
      </c>
      <c r="CM93" s="227"/>
      <c r="CN93" s="227">
        <f t="shared" si="1114"/>
        <v>0</v>
      </c>
      <c r="CO93" s="235"/>
      <c r="CP93" s="227">
        <f t="shared" si="1115"/>
        <v>0</v>
      </c>
      <c r="CQ93" s="96"/>
      <c r="CR93" s="96"/>
      <c r="CS93" s="97"/>
      <c r="CT93" s="227">
        <f t="shared" si="1116"/>
        <v>0</v>
      </c>
      <c r="CU93" s="235">
        <f t="shared" si="1117"/>
        <v>0.4604471269</v>
      </c>
      <c r="CV93" s="236">
        <f t="shared" si="1118"/>
        <v>0</v>
      </c>
      <c r="CW93" s="237">
        <f t="shared" si="1119"/>
        <v>0</v>
      </c>
      <c r="CX93" s="230"/>
      <c r="CY93" s="232">
        <f t="shared" si="1216"/>
        <v>9</v>
      </c>
      <c r="CZ93" s="233" t="str">
        <f t="shared" ref="CZ93:DB93" si="1336">IFERROR(VLOOKUP($R93,$A$13:$D$30,-CZ$12,FALSE),"")</f>
        <v>Lainnya 2.3 (1) ……..</v>
      </c>
      <c r="DA93" s="234" t="str">
        <f t="shared" si="1336"/>
        <v>Bijih </v>
      </c>
      <c r="DB93" s="234" t="str">
        <f t="shared" si="1336"/>
        <v>Ton </v>
      </c>
      <c r="DC93" s="227" t="str">
        <f>ADHK!DC93</f>
        <v/>
      </c>
      <c r="DD93" s="227"/>
      <c r="DE93" s="227">
        <f t="shared" si="1121"/>
        <v>0</v>
      </c>
      <c r="DF93" s="235"/>
      <c r="DG93" s="227">
        <f t="shared" si="1122"/>
        <v>0</v>
      </c>
      <c r="DH93" s="96"/>
      <c r="DI93" s="96"/>
      <c r="DJ93" s="97"/>
      <c r="DK93" s="227">
        <f t="shared" si="1123"/>
        <v>0</v>
      </c>
      <c r="DL93" s="235">
        <f t="shared" si="1124"/>
        <v>0.4604471269</v>
      </c>
      <c r="DM93" s="236">
        <f t="shared" si="1125"/>
        <v>0</v>
      </c>
      <c r="DN93" s="237">
        <f t="shared" si="1126"/>
        <v>0</v>
      </c>
      <c r="DO93" s="230"/>
      <c r="DP93" s="232">
        <f t="shared" si="1218"/>
        <v>9</v>
      </c>
      <c r="DQ93" s="233" t="str">
        <f t="shared" ref="DQ93:DS93" si="1337">IFERROR(VLOOKUP($R93,$A$13:$D$30,-DQ$12,FALSE),"")</f>
        <v>Lainnya 2.3 (1) ……..</v>
      </c>
      <c r="DR93" s="234" t="str">
        <f t="shared" si="1337"/>
        <v>Bijih </v>
      </c>
      <c r="DS93" s="234" t="str">
        <f t="shared" si="1337"/>
        <v>Ton </v>
      </c>
      <c r="DT93" s="227" t="str">
        <f>ADHK!DT93</f>
        <v/>
      </c>
      <c r="DU93" s="227"/>
      <c r="DV93" s="227">
        <f t="shared" si="1128"/>
        <v>0</v>
      </c>
      <c r="DW93" s="235"/>
      <c r="DX93" s="227">
        <f t="shared" si="1129"/>
        <v>0</v>
      </c>
      <c r="DY93" s="96"/>
      <c r="DZ93" s="96"/>
      <c r="EA93" s="97"/>
      <c r="EB93" s="227">
        <f t="shared" si="1130"/>
        <v>0</v>
      </c>
      <c r="EC93" s="235">
        <f t="shared" si="1131"/>
        <v>0.4604471269</v>
      </c>
      <c r="ED93" s="236">
        <f t="shared" si="1132"/>
        <v>0</v>
      </c>
      <c r="EE93" s="237">
        <f t="shared" si="1133"/>
        <v>0</v>
      </c>
      <c r="EF93" s="230"/>
      <c r="EG93" s="232">
        <f t="shared" si="1220"/>
        <v>9</v>
      </c>
      <c r="EH93" s="233" t="str">
        <f t="shared" ref="EH93:EJ93" si="1338">IFERROR(VLOOKUP($R93,$A$13:$D$30,-EH$12,FALSE),"")</f>
        <v>Lainnya 2.3 (1) ……..</v>
      </c>
      <c r="EI93" s="234" t="str">
        <f t="shared" si="1338"/>
        <v>Bijih </v>
      </c>
      <c r="EJ93" s="234" t="str">
        <f t="shared" si="1338"/>
        <v>Ton </v>
      </c>
      <c r="EK93" s="227" t="str">
        <f>ADHK!EK93</f>
        <v/>
      </c>
      <c r="EL93" s="227"/>
      <c r="EM93" s="227">
        <f t="shared" si="1135"/>
        <v>0</v>
      </c>
      <c r="EN93" s="235"/>
      <c r="EO93" s="227">
        <f t="shared" si="1136"/>
        <v>0</v>
      </c>
      <c r="EP93" s="96"/>
      <c r="EQ93" s="96"/>
      <c r="ER93" s="97"/>
      <c r="ES93" s="227">
        <f t="shared" si="1137"/>
        <v>0</v>
      </c>
      <c r="ET93" s="235">
        <f t="shared" si="1138"/>
        <v>0.4604471269</v>
      </c>
      <c r="EU93" s="236">
        <f t="shared" si="1139"/>
        <v>0</v>
      </c>
      <c r="EV93" s="237">
        <f t="shared" si="1140"/>
        <v>0</v>
      </c>
      <c r="EW93" s="230"/>
      <c r="EX93" s="232">
        <f t="shared" si="1222"/>
        <v>9</v>
      </c>
      <c r="EY93" s="233" t="str">
        <f t="shared" ref="EY93:FA93" si="1339">IFERROR(VLOOKUP($R93,$A$13:$D$30,-EY$12,FALSE),"")</f>
        <v>Lainnya 2.3 (1) ……..</v>
      </c>
      <c r="EZ93" s="234" t="str">
        <f t="shared" si="1339"/>
        <v>Bijih </v>
      </c>
      <c r="FA93" s="234" t="str">
        <f t="shared" si="1339"/>
        <v>Ton </v>
      </c>
      <c r="FB93" s="227" t="str">
        <f>ADHK!FB93</f>
        <v/>
      </c>
      <c r="FC93" s="227"/>
      <c r="FD93" s="227">
        <f t="shared" si="1142"/>
        <v>0</v>
      </c>
      <c r="FE93" s="235"/>
      <c r="FF93" s="227">
        <f t="shared" si="1143"/>
        <v>0</v>
      </c>
      <c r="FG93" s="96"/>
      <c r="FH93" s="96"/>
      <c r="FI93" s="97"/>
      <c r="FJ93" s="227">
        <f t="shared" si="1144"/>
        <v>0</v>
      </c>
      <c r="FK93" s="235">
        <f t="shared" si="1145"/>
        <v>0.4604471269</v>
      </c>
      <c r="FL93" s="236">
        <f t="shared" si="1146"/>
        <v>0</v>
      </c>
      <c r="FM93" s="237">
        <f t="shared" si="1147"/>
        <v>0</v>
      </c>
      <c r="FN93" s="230"/>
      <c r="FO93" s="232">
        <f t="shared" si="1224"/>
        <v>9</v>
      </c>
      <c r="FP93" s="233" t="str">
        <f t="shared" ref="FP93:FR93" si="1340">IFERROR(VLOOKUP($R93,$A$13:$D$30,-FP$12,FALSE),"")</f>
        <v>Lainnya 2.3 (1) ……..</v>
      </c>
      <c r="FQ93" s="234" t="str">
        <f t="shared" si="1340"/>
        <v>Bijih </v>
      </c>
      <c r="FR93" s="234" t="str">
        <f t="shared" si="1340"/>
        <v>Ton </v>
      </c>
      <c r="FS93" s="227" t="str">
        <f>ADHK!FS93</f>
        <v/>
      </c>
      <c r="FT93" s="227"/>
      <c r="FU93" s="227">
        <f t="shared" si="1149"/>
        <v>0</v>
      </c>
      <c r="FV93" s="235"/>
      <c r="FW93" s="227">
        <f t="shared" si="1150"/>
        <v>0</v>
      </c>
      <c r="FX93" s="96"/>
      <c r="FY93" s="96"/>
      <c r="FZ93" s="97"/>
      <c r="GA93" s="227">
        <f t="shared" si="1151"/>
        <v>0</v>
      </c>
      <c r="GB93" s="235">
        <f t="shared" si="1152"/>
        <v>0.4604471269</v>
      </c>
      <c r="GC93" s="236">
        <f t="shared" si="1153"/>
        <v>0</v>
      </c>
      <c r="GD93" s="237">
        <f t="shared" si="1154"/>
        <v>0</v>
      </c>
      <c r="GE93" s="230"/>
      <c r="GF93" s="232">
        <f t="shared" si="1226"/>
        <v>9</v>
      </c>
      <c r="GG93" s="233" t="str">
        <f t="shared" ref="GG93:GI93" si="1341">IFERROR(VLOOKUP($R93,$A$13:$D$30,-GG$12,FALSE),"")</f>
        <v>Lainnya 2.3 (1) ……..</v>
      </c>
      <c r="GH93" s="234" t="str">
        <f t="shared" si="1341"/>
        <v>Bijih </v>
      </c>
      <c r="GI93" s="234" t="str">
        <f t="shared" si="1341"/>
        <v>Ton </v>
      </c>
      <c r="GJ93" s="227">
        <f>522.315*1000</f>
        <v>522315</v>
      </c>
      <c r="GK93" s="238">
        <v>191667.0</v>
      </c>
      <c r="GL93" s="227">
        <f t="shared" si="1156"/>
        <v>100110.5491</v>
      </c>
      <c r="GM93" s="235"/>
      <c r="GN93" s="227">
        <f t="shared" si="1157"/>
        <v>0</v>
      </c>
      <c r="GO93" s="96"/>
      <c r="GP93" s="96"/>
      <c r="GQ93" s="97"/>
      <c r="GR93" s="227">
        <f t="shared" si="1158"/>
        <v>100110.5491</v>
      </c>
      <c r="GS93" s="235">
        <f t="shared" si="1159"/>
        <v>0.4604471269</v>
      </c>
      <c r="GT93" s="236">
        <f t="shared" si="1160"/>
        <v>46095.61471</v>
      </c>
      <c r="GU93" s="237">
        <f t="shared" si="1161"/>
        <v>54014.9344</v>
      </c>
      <c r="GV93" s="230"/>
      <c r="GW93" s="232">
        <f t="shared" si="1228"/>
        <v>9</v>
      </c>
      <c r="GX93" s="233" t="str">
        <f t="shared" ref="GX93:GZ93" si="1342">IFERROR(VLOOKUP($R93,$A$13:$D$30,-GX$12,FALSE),"")</f>
        <v>Lainnya 2.3 (1) ……..</v>
      </c>
      <c r="GY93" s="234" t="str">
        <f t="shared" si="1342"/>
        <v>Bijih </v>
      </c>
      <c r="GZ93" s="234" t="str">
        <f t="shared" si="1342"/>
        <v>Ton </v>
      </c>
      <c r="HA93" s="227">
        <f>128.885*1000</f>
        <v>128885</v>
      </c>
      <c r="HB93" s="238">
        <v>24045.1</v>
      </c>
      <c r="HC93" s="227">
        <f t="shared" si="1163"/>
        <v>3099.052714</v>
      </c>
      <c r="HD93" s="235"/>
      <c r="HE93" s="227">
        <f t="shared" si="1164"/>
        <v>0</v>
      </c>
      <c r="HF93" s="96"/>
      <c r="HG93" s="96"/>
      <c r="HH93" s="97"/>
      <c r="HI93" s="227">
        <f t="shared" si="1165"/>
        <v>3099.052714</v>
      </c>
      <c r="HJ93" s="235">
        <f t="shared" si="1166"/>
        <v>0.4604471269</v>
      </c>
      <c r="HK93" s="236">
        <f t="shared" si="1167"/>
        <v>1426.949918</v>
      </c>
      <c r="HL93" s="237">
        <f t="shared" si="1168"/>
        <v>1672.102795</v>
      </c>
      <c r="HM93" s="230"/>
      <c r="HN93" s="232">
        <f t="shared" si="1230"/>
        <v>9</v>
      </c>
      <c r="HO93" s="233" t="str">
        <f t="shared" ref="HO93:HQ93" si="1343">IFERROR(VLOOKUP($R93,$A$13:$D$30,-HO$12,FALSE),"")</f>
        <v>Lainnya 2.3 (1) ……..</v>
      </c>
      <c r="HP93" s="234" t="str">
        <f t="shared" si="1343"/>
        <v>Bijih </v>
      </c>
      <c r="HQ93" s="234" t="str">
        <f t="shared" si="1343"/>
        <v>Ton </v>
      </c>
      <c r="HR93" s="238">
        <v>280210.7375</v>
      </c>
      <c r="HS93" s="238">
        <v>51710.5</v>
      </c>
      <c r="HT93" s="227">
        <f t="shared" si="1170"/>
        <v>14489.83734</v>
      </c>
      <c r="HU93" s="235"/>
      <c r="HV93" s="227">
        <f t="shared" si="1171"/>
        <v>0</v>
      </c>
      <c r="HW93" s="96"/>
      <c r="HX93" s="96"/>
      <c r="HY93" s="97"/>
      <c r="HZ93" s="227">
        <f t="shared" si="1172"/>
        <v>14489.83734</v>
      </c>
      <c r="IA93" s="235">
        <f t="shared" si="1173"/>
        <v>0.4604471269</v>
      </c>
      <c r="IB93" s="236">
        <f t="shared" si="1174"/>
        <v>6671.803973</v>
      </c>
      <c r="IC93" s="237">
        <f t="shared" si="1175"/>
        <v>7818.033368</v>
      </c>
      <c r="ID93" s="230"/>
      <c r="IE93" s="232">
        <f t="shared" si="1232"/>
        <v>9</v>
      </c>
      <c r="IF93" s="233" t="str">
        <f t="shared" ref="IF93:IH93" si="1344">IFERROR(VLOOKUP($R93,$A$13:$D$30,-IF$12,FALSE),"")</f>
        <v>Lainnya 2.3 (1) ……..</v>
      </c>
      <c r="IG93" s="234" t="str">
        <f t="shared" si="1344"/>
        <v>Bijih </v>
      </c>
      <c r="IH93" s="234" t="str">
        <f t="shared" si="1344"/>
        <v>Ton </v>
      </c>
      <c r="II93" s="227"/>
      <c r="IJ93" s="227"/>
      <c r="IK93" s="227">
        <f t="shared" si="1177"/>
        <v>0</v>
      </c>
      <c r="IL93" s="235"/>
      <c r="IM93" s="227">
        <f t="shared" si="1178"/>
        <v>0</v>
      </c>
      <c r="IN93" s="96"/>
      <c r="IO93" s="96"/>
      <c r="IP93" s="97"/>
      <c r="IQ93" s="227">
        <f t="shared" si="1179"/>
        <v>0</v>
      </c>
      <c r="IR93" s="235">
        <f t="shared" si="1180"/>
        <v>0.4604471269</v>
      </c>
      <c r="IS93" s="236">
        <f t="shared" si="1181"/>
        <v>0</v>
      </c>
      <c r="IT93" s="237">
        <f t="shared" si="1182"/>
        <v>0</v>
      </c>
      <c r="IU93" s="230"/>
      <c r="IV93" s="232">
        <f t="shared" si="1234"/>
        <v>9</v>
      </c>
      <c r="IW93" s="233" t="str">
        <f t="shared" ref="IW93:IY93" si="1345">IFERROR(VLOOKUP($R93,$A$13:$D$30,-IW$12,FALSE),"")</f>
        <v>Lainnya 2.3 (1) ……..</v>
      </c>
      <c r="IX93" s="234" t="str">
        <f t="shared" si="1345"/>
        <v>Bijih </v>
      </c>
      <c r="IY93" s="234" t="str">
        <f t="shared" si="1345"/>
        <v>Ton </v>
      </c>
      <c r="IZ93" s="227" t="str">
        <f t="shared" ref="IZ93:JA93" si="1346">IZ57</f>
        <v/>
      </c>
      <c r="JA93" s="227" t="str">
        <f t="shared" si="1346"/>
        <v/>
      </c>
      <c r="JB93" s="227">
        <f t="shared" si="1184"/>
        <v>0</v>
      </c>
      <c r="JC93" s="235"/>
      <c r="JD93" s="227">
        <f t="shared" si="1185"/>
        <v>0</v>
      </c>
      <c r="JE93" s="96"/>
      <c r="JF93" s="96"/>
      <c r="JG93" s="97"/>
      <c r="JH93" s="227">
        <f t="shared" si="1186"/>
        <v>0</v>
      </c>
      <c r="JI93" s="235">
        <f t="shared" si="1187"/>
        <v>0.4604471269</v>
      </c>
      <c r="JJ93" s="236">
        <f t="shared" si="1188"/>
        <v>0</v>
      </c>
      <c r="JK93" s="237">
        <f t="shared" si="1189"/>
        <v>0</v>
      </c>
      <c r="JL93" s="230"/>
      <c r="JM93" s="232">
        <f t="shared" si="1236"/>
        <v>9</v>
      </c>
      <c r="JN93" s="233" t="str">
        <f t="shared" ref="JN93:JP93" si="1347">IFERROR(VLOOKUP($R93,$A$13:$D$30,-JN$12,FALSE),"")</f>
        <v>Lainnya 2.3 (1) ……..</v>
      </c>
      <c r="JO93" s="234" t="str">
        <f t="shared" si="1347"/>
        <v>Bijih </v>
      </c>
      <c r="JP93" s="234" t="str">
        <f t="shared" si="1347"/>
        <v>Ton </v>
      </c>
      <c r="JQ93" s="227" t="str">
        <f t="shared" ref="JQ93:JR93" si="1348">JQ57</f>
        <v/>
      </c>
      <c r="JR93" s="227" t="str">
        <f t="shared" si="1348"/>
        <v/>
      </c>
      <c r="JS93" s="227">
        <f t="shared" si="1191"/>
        <v>0</v>
      </c>
      <c r="JT93" s="235"/>
      <c r="JU93" s="227">
        <f t="shared" si="1192"/>
        <v>0</v>
      </c>
      <c r="JV93" s="96"/>
      <c r="JW93" s="96"/>
      <c r="JX93" s="97"/>
      <c r="JY93" s="227">
        <f t="shared" si="1193"/>
        <v>0</v>
      </c>
      <c r="JZ93" s="235">
        <f t="shared" si="1194"/>
        <v>0.4604471269</v>
      </c>
      <c r="KA93" s="236">
        <f t="shared" si="1195"/>
        <v>0</v>
      </c>
      <c r="KB93" s="237">
        <f t="shared" si="1196"/>
        <v>0</v>
      </c>
      <c r="KC93" s="230"/>
      <c r="KD93" s="232">
        <f t="shared" si="1238"/>
        <v>9</v>
      </c>
      <c r="KE93" s="233" t="str">
        <f t="shared" ref="KE93:KG93" si="1349">IFERROR(VLOOKUP($R93,$A$13:$D$30,-KE$12,FALSE),"")</f>
        <v>Lainnya 2.3 (1) ……..</v>
      </c>
      <c r="KF93" s="234" t="str">
        <f t="shared" si="1349"/>
        <v>Bijih </v>
      </c>
      <c r="KG93" s="234" t="str">
        <f t="shared" si="1349"/>
        <v>Ton </v>
      </c>
      <c r="KH93" s="227" t="str">
        <f t="shared" ref="KH93:KI93" si="1350">KH57</f>
        <v/>
      </c>
      <c r="KI93" s="227" t="str">
        <f t="shared" si="1350"/>
        <v/>
      </c>
      <c r="KJ93" s="227">
        <f t="shared" si="1198"/>
        <v>0</v>
      </c>
      <c r="KK93" s="235"/>
      <c r="KL93" s="227">
        <f t="shared" si="1199"/>
        <v>0</v>
      </c>
      <c r="KM93" s="96"/>
      <c r="KN93" s="96"/>
      <c r="KO93" s="97"/>
      <c r="KP93" s="227">
        <f t="shared" si="1200"/>
        <v>0</v>
      </c>
      <c r="KQ93" s="235">
        <f t="shared" si="1201"/>
        <v>0.4604471269</v>
      </c>
      <c r="KR93" s="236">
        <f t="shared" si="1202"/>
        <v>0</v>
      </c>
      <c r="KS93" s="237">
        <f t="shared" si="1203"/>
        <v>0</v>
      </c>
      <c r="KT93" s="230"/>
      <c r="KU93" s="231"/>
    </row>
    <row r="94" ht="15.75" customHeight="1">
      <c r="A94" s="232">
        <f t="shared" si="1204"/>
        <v>10</v>
      </c>
      <c r="B94" s="233" t="str">
        <f t="shared" ref="B94:D94" si="1351">IFERROR(VLOOKUP($A94,$A$13:$D$30,-B$12,FALSE),"")</f>
        <v>Lainnya 2.3 (2) ………</v>
      </c>
      <c r="C94" s="234" t="str">
        <f t="shared" si="1351"/>
        <v>Bijih </v>
      </c>
      <c r="D94" s="234" t="str">
        <f t="shared" si="1351"/>
        <v>Ton </v>
      </c>
      <c r="E94" s="227" t="str">
        <f>ADHK!E94</f>
        <v/>
      </c>
      <c r="F94" s="227" t="str">
        <f>ADHK!F94</f>
        <v/>
      </c>
      <c r="G94" s="227">
        <f t="shared" si="1079"/>
        <v>0</v>
      </c>
      <c r="H94" s="235"/>
      <c r="I94" s="227">
        <f t="shared" si="1080"/>
        <v>0</v>
      </c>
      <c r="J94" s="96"/>
      <c r="K94" s="96"/>
      <c r="L94" s="97"/>
      <c r="M94" s="227">
        <f t="shared" si="1081"/>
        <v>0</v>
      </c>
      <c r="N94" s="235">
        <f t="shared" si="1082"/>
        <v>0.4604471269</v>
      </c>
      <c r="O94" s="236">
        <f t="shared" si="1083"/>
        <v>0</v>
      </c>
      <c r="P94" s="237">
        <f t="shared" si="1084"/>
        <v>0</v>
      </c>
      <c r="Q94" s="230"/>
      <c r="R94" s="232">
        <f t="shared" si="1206"/>
        <v>10</v>
      </c>
      <c r="S94" s="233" t="str">
        <f t="shared" ref="S94:U94" si="1352">IFERROR(VLOOKUP($R94,$A$13:$D$30,-S$12,FALSE),"")</f>
        <v>Lainnya 2.3 (2) ………</v>
      </c>
      <c r="T94" s="234" t="str">
        <f t="shared" si="1352"/>
        <v>Bijih </v>
      </c>
      <c r="U94" s="234" t="str">
        <f t="shared" si="1352"/>
        <v>Ton </v>
      </c>
      <c r="V94" s="227" t="str">
        <f>ADHK!V94</f>
        <v/>
      </c>
      <c r="W94" s="227"/>
      <c r="X94" s="227">
        <f t="shared" si="1086"/>
        <v>0</v>
      </c>
      <c r="Y94" s="235"/>
      <c r="Z94" s="227">
        <f t="shared" si="1087"/>
        <v>0</v>
      </c>
      <c r="AA94" s="96"/>
      <c r="AB94" s="96"/>
      <c r="AC94" s="97"/>
      <c r="AD94" s="227">
        <f t="shared" si="1088"/>
        <v>0</v>
      </c>
      <c r="AE94" s="235">
        <f t="shared" si="1089"/>
        <v>0.4604471269</v>
      </c>
      <c r="AF94" s="236">
        <f t="shared" si="1090"/>
        <v>0</v>
      </c>
      <c r="AG94" s="237">
        <f t="shared" si="1091"/>
        <v>0</v>
      </c>
      <c r="AH94" s="230"/>
      <c r="AI94" s="232">
        <f t="shared" si="1208"/>
        <v>10</v>
      </c>
      <c r="AJ94" s="233" t="str">
        <f t="shared" ref="AJ94:AL94" si="1353">IFERROR(VLOOKUP($R94,$A$13:$D$30,-AJ$12,FALSE),"")</f>
        <v>Lainnya 2.3 (2) ………</v>
      </c>
      <c r="AK94" s="234" t="str">
        <f t="shared" si="1353"/>
        <v>Bijih </v>
      </c>
      <c r="AL94" s="234" t="str">
        <f t="shared" si="1353"/>
        <v>Ton </v>
      </c>
      <c r="AM94" s="227" t="str">
        <f>ADHK!AM94</f>
        <v/>
      </c>
      <c r="AN94" s="227"/>
      <c r="AO94" s="227">
        <f t="shared" si="1093"/>
        <v>0</v>
      </c>
      <c r="AP94" s="235"/>
      <c r="AQ94" s="227">
        <f t="shared" si="1094"/>
        <v>0</v>
      </c>
      <c r="AR94" s="96"/>
      <c r="AS94" s="96"/>
      <c r="AT94" s="97"/>
      <c r="AU94" s="227">
        <f t="shared" si="1095"/>
        <v>0</v>
      </c>
      <c r="AV94" s="235">
        <f t="shared" si="1096"/>
        <v>0.4604471269</v>
      </c>
      <c r="AW94" s="236">
        <f t="shared" si="1097"/>
        <v>0</v>
      </c>
      <c r="AX94" s="237">
        <f t="shared" si="1098"/>
        <v>0</v>
      </c>
      <c r="AY94" s="230"/>
      <c r="AZ94" s="232">
        <f t="shared" si="1210"/>
        <v>10</v>
      </c>
      <c r="BA94" s="233" t="str">
        <f t="shared" ref="BA94:BC94" si="1354">IFERROR(VLOOKUP($R94,$A$13:$D$30,-BA$12,FALSE),"")</f>
        <v>Lainnya 2.3 (2) ………</v>
      </c>
      <c r="BB94" s="234" t="str">
        <f t="shared" si="1354"/>
        <v>Bijih </v>
      </c>
      <c r="BC94" s="234" t="str">
        <f t="shared" si="1354"/>
        <v>Ton </v>
      </c>
      <c r="BD94" s="227" t="str">
        <f>ADHK!BD94</f>
        <v/>
      </c>
      <c r="BE94" s="227"/>
      <c r="BF94" s="227">
        <f t="shared" si="1100"/>
        <v>0</v>
      </c>
      <c r="BG94" s="235"/>
      <c r="BH94" s="227">
        <f t="shared" si="1101"/>
        <v>0</v>
      </c>
      <c r="BI94" s="96"/>
      <c r="BJ94" s="96"/>
      <c r="BK94" s="97"/>
      <c r="BL94" s="227">
        <f t="shared" si="1102"/>
        <v>0</v>
      </c>
      <c r="BM94" s="235">
        <f t="shared" si="1103"/>
        <v>0.4604471269</v>
      </c>
      <c r="BN94" s="236">
        <f t="shared" si="1104"/>
        <v>0</v>
      </c>
      <c r="BO94" s="237">
        <f t="shared" si="1105"/>
        <v>0</v>
      </c>
      <c r="BP94" s="230"/>
      <c r="BQ94" s="232">
        <f t="shared" si="1212"/>
        <v>10</v>
      </c>
      <c r="BR94" s="233" t="str">
        <f t="shared" ref="BR94:BT94" si="1355">IFERROR(VLOOKUP($R94,$A$13:$D$30,-BR$12,FALSE),"")</f>
        <v>Lainnya 2.3 (2) ………</v>
      </c>
      <c r="BS94" s="234" t="str">
        <f t="shared" si="1355"/>
        <v>Bijih </v>
      </c>
      <c r="BT94" s="234" t="str">
        <f t="shared" si="1355"/>
        <v>Ton </v>
      </c>
      <c r="BU94" s="227" t="str">
        <f>ADHK!BU94</f>
        <v/>
      </c>
      <c r="BV94" s="227"/>
      <c r="BW94" s="227">
        <f t="shared" si="1107"/>
        <v>0</v>
      </c>
      <c r="BX94" s="235"/>
      <c r="BY94" s="227">
        <f t="shared" si="1108"/>
        <v>0</v>
      </c>
      <c r="BZ94" s="96"/>
      <c r="CA94" s="96"/>
      <c r="CB94" s="97"/>
      <c r="CC94" s="227">
        <f t="shared" si="1109"/>
        <v>0</v>
      </c>
      <c r="CD94" s="235">
        <f t="shared" si="1110"/>
        <v>0.4604471269</v>
      </c>
      <c r="CE94" s="236">
        <f t="shared" si="1111"/>
        <v>0</v>
      </c>
      <c r="CF94" s="237">
        <f t="shared" si="1112"/>
        <v>0</v>
      </c>
      <c r="CG94" s="230"/>
      <c r="CH94" s="232">
        <f t="shared" si="1214"/>
        <v>10</v>
      </c>
      <c r="CI94" s="233" t="str">
        <f t="shared" ref="CI94:CK94" si="1356">IFERROR(VLOOKUP($R94,$A$13:$D$30,-CI$12,FALSE),"")</f>
        <v>Lainnya 2.3 (2) ………</v>
      </c>
      <c r="CJ94" s="234" t="str">
        <f t="shared" si="1356"/>
        <v>Bijih </v>
      </c>
      <c r="CK94" s="234" t="str">
        <f t="shared" si="1356"/>
        <v>Ton </v>
      </c>
      <c r="CL94" s="227" t="str">
        <f>ADHK!CL94</f>
        <v/>
      </c>
      <c r="CM94" s="227"/>
      <c r="CN94" s="227">
        <f t="shared" si="1114"/>
        <v>0</v>
      </c>
      <c r="CO94" s="235"/>
      <c r="CP94" s="227">
        <f t="shared" si="1115"/>
        <v>0</v>
      </c>
      <c r="CQ94" s="96"/>
      <c r="CR94" s="96"/>
      <c r="CS94" s="97"/>
      <c r="CT94" s="227">
        <f t="shared" si="1116"/>
        <v>0</v>
      </c>
      <c r="CU94" s="235">
        <f t="shared" si="1117"/>
        <v>0.4604471269</v>
      </c>
      <c r="CV94" s="236">
        <f t="shared" si="1118"/>
        <v>0</v>
      </c>
      <c r="CW94" s="237">
        <f t="shared" si="1119"/>
        <v>0</v>
      </c>
      <c r="CX94" s="230"/>
      <c r="CY94" s="232">
        <f t="shared" si="1216"/>
        <v>10</v>
      </c>
      <c r="CZ94" s="233" t="str">
        <f t="shared" ref="CZ94:DB94" si="1357">IFERROR(VLOOKUP($R94,$A$13:$D$30,-CZ$12,FALSE),"")</f>
        <v>Lainnya 2.3 (2) ………</v>
      </c>
      <c r="DA94" s="234" t="str">
        <f t="shared" si="1357"/>
        <v>Bijih </v>
      </c>
      <c r="DB94" s="234" t="str">
        <f t="shared" si="1357"/>
        <v>Ton </v>
      </c>
      <c r="DC94" s="227" t="str">
        <f>ADHK!DC94</f>
        <v/>
      </c>
      <c r="DD94" s="227"/>
      <c r="DE94" s="227">
        <f t="shared" si="1121"/>
        <v>0</v>
      </c>
      <c r="DF94" s="235"/>
      <c r="DG94" s="227">
        <f t="shared" si="1122"/>
        <v>0</v>
      </c>
      <c r="DH94" s="96"/>
      <c r="DI94" s="96"/>
      <c r="DJ94" s="97"/>
      <c r="DK94" s="227">
        <f t="shared" si="1123"/>
        <v>0</v>
      </c>
      <c r="DL94" s="235">
        <f t="shared" si="1124"/>
        <v>0.4604471269</v>
      </c>
      <c r="DM94" s="236">
        <f t="shared" si="1125"/>
        <v>0</v>
      </c>
      <c r="DN94" s="237">
        <f t="shared" si="1126"/>
        <v>0</v>
      </c>
      <c r="DO94" s="230"/>
      <c r="DP94" s="232">
        <f t="shared" si="1218"/>
        <v>10</v>
      </c>
      <c r="DQ94" s="233" t="str">
        <f t="shared" ref="DQ94:DS94" si="1358">IFERROR(VLOOKUP($R94,$A$13:$D$30,-DQ$12,FALSE),"")</f>
        <v>Lainnya 2.3 (2) ………</v>
      </c>
      <c r="DR94" s="234" t="str">
        <f t="shared" si="1358"/>
        <v>Bijih </v>
      </c>
      <c r="DS94" s="234" t="str">
        <f t="shared" si="1358"/>
        <v>Ton </v>
      </c>
      <c r="DT94" s="227" t="str">
        <f>ADHK!DT94</f>
        <v/>
      </c>
      <c r="DU94" s="227"/>
      <c r="DV94" s="227">
        <f t="shared" si="1128"/>
        <v>0</v>
      </c>
      <c r="DW94" s="235"/>
      <c r="DX94" s="227">
        <f t="shared" si="1129"/>
        <v>0</v>
      </c>
      <c r="DY94" s="96"/>
      <c r="DZ94" s="96"/>
      <c r="EA94" s="97"/>
      <c r="EB94" s="227">
        <f t="shared" si="1130"/>
        <v>0</v>
      </c>
      <c r="EC94" s="235">
        <f t="shared" si="1131"/>
        <v>0.4604471269</v>
      </c>
      <c r="ED94" s="236">
        <f t="shared" si="1132"/>
        <v>0</v>
      </c>
      <c r="EE94" s="237">
        <f t="shared" si="1133"/>
        <v>0</v>
      </c>
      <c r="EF94" s="230"/>
      <c r="EG94" s="232">
        <f t="shared" si="1220"/>
        <v>10</v>
      </c>
      <c r="EH94" s="233" t="str">
        <f t="shared" ref="EH94:EJ94" si="1359">IFERROR(VLOOKUP($R94,$A$13:$D$30,-EH$12,FALSE),"")</f>
        <v>Lainnya 2.3 (2) ………</v>
      </c>
      <c r="EI94" s="234" t="str">
        <f t="shared" si="1359"/>
        <v>Bijih </v>
      </c>
      <c r="EJ94" s="234" t="str">
        <f t="shared" si="1359"/>
        <v>Ton </v>
      </c>
      <c r="EK94" s="227" t="str">
        <f>ADHK!EK94</f>
        <v/>
      </c>
      <c r="EL94" s="227"/>
      <c r="EM94" s="227">
        <f t="shared" si="1135"/>
        <v>0</v>
      </c>
      <c r="EN94" s="235"/>
      <c r="EO94" s="227">
        <f t="shared" si="1136"/>
        <v>0</v>
      </c>
      <c r="EP94" s="96"/>
      <c r="EQ94" s="96"/>
      <c r="ER94" s="97"/>
      <c r="ES94" s="227">
        <f t="shared" si="1137"/>
        <v>0</v>
      </c>
      <c r="ET94" s="235">
        <f t="shared" si="1138"/>
        <v>0.4604471269</v>
      </c>
      <c r="EU94" s="236">
        <f t="shared" si="1139"/>
        <v>0</v>
      </c>
      <c r="EV94" s="237">
        <f t="shared" si="1140"/>
        <v>0</v>
      </c>
      <c r="EW94" s="230"/>
      <c r="EX94" s="232">
        <f t="shared" si="1222"/>
        <v>10</v>
      </c>
      <c r="EY94" s="233" t="str">
        <f t="shared" ref="EY94:FA94" si="1360">IFERROR(VLOOKUP($R94,$A$13:$D$30,-EY$12,FALSE),"")</f>
        <v>Lainnya 2.3 (2) ………</v>
      </c>
      <c r="EZ94" s="234" t="str">
        <f t="shared" si="1360"/>
        <v>Bijih </v>
      </c>
      <c r="FA94" s="234" t="str">
        <f t="shared" si="1360"/>
        <v>Ton </v>
      </c>
      <c r="FB94" s="227" t="str">
        <f>ADHK!FB94</f>
        <v/>
      </c>
      <c r="FC94" s="227"/>
      <c r="FD94" s="227">
        <f t="shared" si="1142"/>
        <v>0</v>
      </c>
      <c r="FE94" s="235"/>
      <c r="FF94" s="227">
        <f t="shared" si="1143"/>
        <v>0</v>
      </c>
      <c r="FG94" s="96"/>
      <c r="FH94" s="96"/>
      <c r="FI94" s="97"/>
      <c r="FJ94" s="227">
        <f t="shared" si="1144"/>
        <v>0</v>
      </c>
      <c r="FK94" s="235">
        <f t="shared" si="1145"/>
        <v>0.4604471269</v>
      </c>
      <c r="FL94" s="236">
        <f t="shared" si="1146"/>
        <v>0</v>
      </c>
      <c r="FM94" s="237">
        <f t="shared" si="1147"/>
        <v>0</v>
      </c>
      <c r="FN94" s="230"/>
      <c r="FO94" s="232">
        <f t="shared" si="1224"/>
        <v>10</v>
      </c>
      <c r="FP94" s="233" t="str">
        <f t="shared" ref="FP94:FR94" si="1361">IFERROR(VLOOKUP($R94,$A$13:$D$30,-FP$12,FALSE),"")</f>
        <v>Lainnya 2.3 (2) ………</v>
      </c>
      <c r="FQ94" s="234" t="str">
        <f t="shared" si="1361"/>
        <v>Bijih </v>
      </c>
      <c r="FR94" s="234" t="str">
        <f t="shared" si="1361"/>
        <v>Ton </v>
      </c>
      <c r="FS94" s="227" t="str">
        <f>ADHK!FS94</f>
        <v/>
      </c>
      <c r="FT94" s="227"/>
      <c r="FU94" s="227">
        <f t="shared" si="1149"/>
        <v>0</v>
      </c>
      <c r="FV94" s="235"/>
      <c r="FW94" s="227">
        <f t="shared" si="1150"/>
        <v>0</v>
      </c>
      <c r="FX94" s="96"/>
      <c r="FY94" s="96"/>
      <c r="FZ94" s="97"/>
      <c r="GA94" s="227">
        <f t="shared" si="1151"/>
        <v>0</v>
      </c>
      <c r="GB94" s="235">
        <f t="shared" si="1152"/>
        <v>0.4604471269</v>
      </c>
      <c r="GC94" s="236">
        <f t="shared" si="1153"/>
        <v>0</v>
      </c>
      <c r="GD94" s="237">
        <f t="shared" si="1154"/>
        <v>0</v>
      </c>
      <c r="GE94" s="230"/>
      <c r="GF94" s="232">
        <f t="shared" si="1226"/>
        <v>10</v>
      </c>
      <c r="GG94" s="233" t="str">
        <f t="shared" ref="GG94:GI94" si="1362">IFERROR(VLOOKUP($R94,$A$13:$D$30,-GG$12,FALSE),"")</f>
        <v>Lainnya 2.3 (2) ………</v>
      </c>
      <c r="GH94" s="234" t="str">
        <f t="shared" si="1362"/>
        <v>Bijih </v>
      </c>
      <c r="GI94" s="234" t="str">
        <f t="shared" si="1362"/>
        <v>Ton </v>
      </c>
      <c r="GJ94" s="227" t="str">
        <f>ADHK!GJ94</f>
        <v/>
      </c>
      <c r="GK94" s="227"/>
      <c r="GL94" s="227">
        <f t="shared" si="1156"/>
        <v>0</v>
      </c>
      <c r="GM94" s="235"/>
      <c r="GN94" s="227">
        <f t="shared" si="1157"/>
        <v>0</v>
      </c>
      <c r="GO94" s="96"/>
      <c r="GP94" s="96"/>
      <c r="GQ94" s="97"/>
      <c r="GR94" s="227">
        <f t="shared" si="1158"/>
        <v>0</v>
      </c>
      <c r="GS94" s="235">
        <f t="shared" si="1159"/>
        <v>0.4604471269</v>
      </c>
      <c r="GT94" s="236">
        <f t="shared" si="1160"/>
        <v>0</v>
      </c>
      <c r="GU94" s="237">
        <f t="shared" si="1161"/>
        <v>0</v>
      </c>
      <c r="GV94" s="230"/>
      <c r="GW94" s="232">
        <f t="shared" si="1228"/>
        <v>10</v>
      </c>
      <c r="GX94" s="233" t="str">
        <f t="shared" ref="GX94:GZ94" si="1363">IFERROR(VLOOKUP($R94,$A$13:$D$30,-GX$12,FALSE),"")</f>
        <v>Lainnya 2.3 (2) ………</v>
      </c>
      <c r="GY94" s="234" t="str">
        <f t="shared" si="1363"/>
        <v>Bijih </v>
      </c>
      <c r="GZ94" s="234" t="str">
        <f t="shared" si="1363"/>
        <v>Ton </v>
      </c>
      <c r="HA94" s="227" t="str">
        <f>ADHK!HA94</f>
        <v/>
      </c>
      <c r="HB94" s="227"/>
      <c r="HC94" s="227">
        <f t="shared" si="1163"/>
        <v>0</v>
      </c>
      <c r="HD94" s="235"/>
      <c r="HE94" s="227">
        <f t="shared" si="1164"/>
        <v>0</v>
      </c>
      <c r="HF94" s="96"/>
      <c r="HG94" s="96"/>
      <c r="HH94" s="97"/>
      <c r="HI94" s="227">
        <f t="shared" si="1165"/>
        <v>0</v>
      </c>
      <c r="HJ94" s="235">
        <f t="shared" si="1166"/>
        <v>0.4604471269</v>
      </c>
      <c r="HK94" s="236">
        <f t="shared" si="1167"/>
        <v>0</v>
      </c>
      <c r="HL94" s="237">
        <f t="shared" si="1168"/>
        <v>0</v>
      </c>
      <c r="HM94" s="230"/>
      <c r="HN94" s="232">
        <f t="shared" si="1230"/>
        <v>10</v>
      </c>
      <c r="HO94" s="233" t="str">
        <f t="shared" ref="HO94:HQ94" si="1364">IFERROR(VLOOKUP($R94,$A$13:$D$30,-HO$12,FALSE),"")</f>
        <v>Lainnya 2.3 (2) ………</v>
      </c>
      <c r="HP94" s="234" t="str">
        <f t="shared" si="1364"/>
        <v>Bijih </v>
      </c>
      <c r="HQ94" s="234" t="str">
        <f t="shared" si="1364"/>
        <v>Ton </v>
      </c>
      <c r="HR94" s="227" t="str">
        <f>ADHK!HR94</f>
        <v/>
      </c>
      <c r="HS94" s="227"/>
      <c r="HT94" s="227">
        <f t="shared" si="1170"/>
        <v>0</v>
      </c>
      <c r="HU94" s="235"/>
      <c r="HV94" s="227">
        <f t="shared" si="1171"/>
        <v>0</v>
      </c>
      <c r="HW94" s="96"/>
      <c r="HX94" s="96"/>
      <c r="HY94" s="97"/>
      <c r="HZ94" s="227">
        <f t="shared" si="1172"/>
        <v>0</v>
      </c>
      <c r="IA94" s="235">
        <f t="shared" si="1173"/>
        <v>0.4604471269</v>
      </c>
      <c r="IB94" s="236">
        <f t="shared" si="1174"/>
        <v>0</v>
      </c>
      <c r="IC94" s="237">
        <f t="shared" si="1175"/>
        <v>0</v>
      </c>
      <c r="ID94" s="230"/>
      <c r="IE94" s="232">
        <f t="shared" si="1232"/>
        <v>10</v>
      </c>
      <c r="IF94" s="233" t="str">
        <f t="shared" ref="IF94:IH94" si="1365">IFERROR(VLOOKUP($R94,$A$13:$D$30,-IF$12,FALSE),"")</f>
        <v>Lainnya 2.3 (2) ………</v>
      </c>
      <c r="IG94" s="234" t="str">
        <f t="shared" si="1365"/>
        <v>Bijih </v>
      </c>
      <c r="IH94" s="234" t="str">
        <f t="shared" si="1365"/>
        <v>Ton </v>
      </c>
      <c r="II94" s="227" t="str">
        <f>ADHK!II94</f>
        <v/>
      </c>
      <c r="IJ94" s="227"/>
      <c r="IK94" s="227">
        <f t="shared" si="1177"/>
        <v>0</v>
      </c>
      <c r="IL94" s="235"/>
      <c r="IM94" s="227">
        <f t="shared" si="1178"/>
        <v>0</v>
      </c>
      <c r="IN94" s="96"/>
      <c r="IO94" s="96"/>
      <c r="IP94" s="97"/>
      <c r="IQ94" s="227">
        <f t="shared" si="1179"/>
        <v>0</v>
      </c>
      <c r="IR94" s="235">
        <f t="shared" si="1180"/>
        <v>0.4604471269</v>
      </c>
      <c r="IS94" s="236">
        <f t="shared" si="1181"/>
        <v>0</v>
      </c>
      <c r="IT94" s="237">
        <f t="shared" si="1182"/>
        <v>0</v>
      </c>
      <c r="IU94" s="230"/>
      <c r="IV94" s="232">
        <f t="shared" si="1234"/>
        <v>10</v>
      </c>
      <c r="IW94" s="233" t="str">
        <f t="shared" ref="IW94:IY94" si="1366">IFERROR(VLOOKUP($R94,$A$13:$D$30,-IW$12,FALSE),"")</f>
        <v>Lainnya 2.3 (2) ………</v>
      </c>
      <c r="IX94" s="234" t="str">
        <f t="shared" si="1366"/>
        <v>Bijih </v>
      </c>
      <c r="IY94" s="234" t="str">
        <f t="shared" si="1366"/>
        <v>Ton </v>
      </c>
      <c r="IZ94" s="227" t="str">
        <f>ADHK!IZ94</f>
        <v/>
      </c>
      <c r="JA94" s="227"/>
      <c r="JB94" s="227">
        <f t="shared" si="1184"/>
        <v>0</v>
      </c>
      <c r="JC94" s="235"/>
      <c r="JD94" s="227">
        <f t="shared" si="1185"/>
        <v>0</v>
      </c>
      <c r="JE94" s="96"/>
      <c r="JF94" s="96"/>
      <c r="JG94" s="97"/>
      <c r="JH94" s="227">
        <f t="shared" si="1186"/>
        <v>0</v>
      </c>
      <c r="JI94" s="235">
        <f t="shared" si="1187"/>
        <v>0.4604471269</v>
      </c>
      <c r="JJ94" s="236">
        <f t="shared" si="1188"/>
        <v>0</v>
      </c>
      <c r="JK94" s="237">
        <f t="shared" si="1189"/>
        <v>0</v>
      </c>
      <c r="JL94" s="230"/>
      <c r="JM94" s="232">
        <f t="shared" si="1236"/>
        <v>10</v>
      </c>
      <c r="JN94" s="233" t="str">
        <f t="shared" ref="JN94:JP94" si="1367">IFERROR(VLOOKUP($R94,$A$13:$D$30,-JN$12,FALSE),"")</f>
        <v>Lainnya 2.3 (2) ………</v>
      </c>
      <c r="JO94" s="234" t="str">
        <f t="shared" si="1367"/>
        <v>Bijih </v>
      </c>
      <c r="JP94" s="234" t="str">
        <f t="shared" si="1367"/>
        <v>Ton </v>
      </c>
      <c r="JQ94" s="227" t="str">
        <f>ADHK!KY94</f>
        <v/>
      </c>
      <c r="JR94" s="227"/>
      <c r="JS94" s="227">
        <f t="shared" si="1191"/>
        <v>0</v>
      </c>
      <c r="JT94" s="235"/>
      <c r="JU94" s="227">
        <f t="shared" si="1192"/>
        <v>0</v>
      </c>
      <c r="JV94" s="96"/>
      <c r="JW94" s="96"/>
      <c r="JX94" s="97"/>
      <c r="JY94" s="227">
        <f t="shared" si="1193"/>
        <v>0</v>
      </c>
      <c r="JZ94" s="235">
        <f t="shared" si="1194"/>
        <v>0.4604471269</v>
      </c>
      <c r="KA94" s="236">
        <f t="shared" si="1195"/>
        <v>0</v>
      </c>
      <c r="KB94" s="237">
        <f t="shared" si="1196"/>
        <v>0</v>
      </c>
      <c r="KC94" s="230"/>
      <c r="KD94" s="232">
        <f t="shared" si="1238"/>
        <v>10</v>
      </c>
      <c r="KE94" s="233" t="str">
        <f t="shared" ref="KE94:KG94" si="1368">IFERROR(VLOOKUP($R94,$A$13:$D$30,-KE$12,FALSE),"")</f>
        <v>Lainnya 2.3 (2) ………</v>
      </c>
      <c r="KF94" s="234" t="str">
        <f t="shared" si="1368"/>
        <v>Bijih </v>
      </c>
      <c r="KG94" s="234" t="str">
        <f t="shared" si="1368"/>
        <v>Ton </v>
      </c>
      <c r="KH94" s="227" t="str">
        <f>ADHK!LP94</f>
        <v/>
      </c>
      <c r="KI94" s="227"/>
      <c r="KJ94" s="227">
        <f t="shared" si="1198"/>
        <v>0</v>
      </c>
      <c r="KK94" s="235"/>
      <c r="KL94" s="227">
        <f t="shared" si="1199"/>
        <v>0</v>
      </c>
      <c r="KM94" s="96"/>
      <c r="KN94" s="96"/>
      <c r="KO94" s="97"/>
      <c r="KP94" s="227">
        <f t="shared" si="1200"/>
        <v>0</v>
      </c>
      <c r="KQ94" s="235">
        <f t="shared" si="1201"/>
        <v>0.4604471269</v>
      </c>
      <c r="KR94" s="236">
        <f t="shared" si="1202"/>
        <v>0</v>
      </c>
      <c r="KS94" s="237">
        <f t="shared" si="1203"/>
        <v>0</v>
      </c>
      <c r="KT94" s="230"/>
      <c r="KU94" s="231"/>
    </row>
    <row r="95" ht="15.75" customHeight="1">
      <c r="A95" s="232">
        <f t="shared" si="1204"/>
        <v>11</v>
      </c>
      <c r="B95" s="233" t="str">
        <f t="shared" ref="B95:D95" si="1369">IFERROR(VLOOKUP($A95,$A$13:$D$30,-B$12,FALSE),"")</f>
        <v>Lainnya 2.3 (3) …….</v>
      </c>
      <c r="C95" s="234" t="str">
        <f t="shared" si="1369"/>
        <v/>
      </c>
      <c r="D95" s="234" t="str">
        <f t="shared" si="1369"/>
        <v/>
      </c>
      <c r="E95" s="227" t="str">
        <f>ADHK!E95</f>
        <v/>
      </c>
      <c r="F95" s="227" t="str">
        <f>ADHK!F95</f>
        <v/>
      </c>
      <c r="G95" s="227">
        <f t="shared" si="1079"/>
        <v>0</v>
      </c>
      <c r="H95" s="235"/>
      <c r="I95" s="227">
        <f t="shared" si="1080"/>
        <v>0</v>
      </c>
      <c r="J95" s="96"/>
      <c r="K95" s="96"/>
      <c r="L95" s="97"/>
      <c r="M95" s="227">
        <f t="shared" si="1081"/>
        <v>0</v>
      </c>
      <c r="N95" s="235">
        <f t="shared" si="1082"/>
        <v>0.4604471269</v>
      </c>
      <c r="O95" s="236">
        <f t="shared" si="1083"/>
        <v>0</v>
      </c>
      <c r="P95" s="237">
        <f t="shared" si="1084"/>
        <v>0</v>
      </c>
      <c r="Q95" s="230"/>
      <c r="R95" s="232">
        <f t="shared" si="1206"/>
        <v>11</v>
      </c>
      <c r="S95" s="233" t="str">
        <f t="shared" ref="S95:U95" si="1370">IFERROR(VLOOKUP($R95,$A$13:$D$30,-S$12,FALSE),"")</f>
        <v>Lainnya 2.3 (3) …….</v>
      </c>
      <c r="T95" s="234" t="str">
        <f t="shared" si="1370"/>
        <v/>
      </c>
      <c r="U95" s="234" t="str">
        <f t="shared" si="1370"/>
        <v/>
      </c>
      <c r="V95" s="227" t="str">
        <f>ADHK!V95</f>
        <v/>
      </c>
      <c r="W95" s="227"/>
      <c r="X95" s="227">
        <f t="shared" si="1086"/>
        <v>0</v>
      </c>
      <c r="Y95" s="235"/>
      <c r="Z95" s="227">
        <f t="shared" si="1087"/>
        <v>0</v>
      </c>
      <c r="AA95" s="96"/>
      <c r="AB95" s="96"/>
      <c r="AC95" s="97"/>
      <c r="AD95" s="227">
        <f t="shared" si="1088"/>
        <v>0</v>
      </c>
      <c r="AE95" s="235">
        <f t="shared" si="1089"/>
        <v>0.4604471269</v>
      </c>
      <c r="AF95" s="236">
        <f t="shared" si="1090"/>
        <v>0</v>
      </c>
      <c r="AG95" s="237">
        <f t="shared" si="1091"/>
        <v>0</v>
      </c>
      <c r="AH95" s="230"/>
      <c r="AI95" s="232">
        <f t="shared" si="1208"/>
        <v>11</v>
      </c>
      <c r="AJ95" s="233" t="str">
        <f t="shared" ref="AJ95:AL95" si="1371">IFERROR(VLOOKUP($R95,$A$13:$D$30,-AJ$12,FALSE),"")</f>
        <v>Lainnya 2.3 (3) …….</v>
      </c>
      <c r="AK95" s="234" t="str">
        <f t="shared" si="1371"/>
        <v/>
      </c>
      <c r="AL95" s="234" t="str">
        <f t="shared" si="1371"/>
        <v/>
      </c>
      <c r="AM95" s="227" t="str">
        <f>ADHK!AM95</f>
        <v/>
      </c>
      <c r="AN95" s="227"/>
      <c r="AO95" s="227">
        <f t="shared" si="1093"/>
        <v>0</v>
      </c>
      <c r="AP95" s="235"/>
      <c r="AQ95" s="227">
        <f t="shared" si="1094"/>
        <v>0</v>
      </c>
      <c r="AR95" s="96"/>
      <c r="AS95" s="96"/>
      <c r="AT95" s="97"/>
      <c r="AU95" s="227">
        <f t="shared" si="1095"/>
        <v>0</v>
      </c>
      <c r="AV95" s="235">
        <f t="shared" si="1096"/>
        <v>0.4604471269</v>
      </c>
      <c r="AW95" s="236">
        <f t="shared" si="1097"/>
        <v>0</v>
      </c>
      <c r="AX95" s="237">
        <f t="shared" si="1098"/>
        <v>0</v>
      </c>
      <c r="AY95" s="230"/>
      <c r="AZ95" s="232">
        <f t="shared" si="1210"/>
        <v>11</v>
      </c>
      <c r="BA95" s="233" t="str">
        <f t="shared" ref="BA95:BC95" si="1372">IFERROR(VLOOKUP($R95,$A$13:$D$30,-BA$12,FALSE),"")</f>
        <v>Lainnya 2.3 (3) …….</v>
      </c>
      <c r="BB95" s="234" t="str">
        <f t="shared" si="1372"/>
        <v/>
      </c>
      <c r="BC95" s="234" t="str">
        <f t="shared" si="1372"/>
        <v/>
      </c>
      <c r="BD95" s="227" t="str">
        <f>ADHK!BD95</f>
        <v/>
      </c>
      <c r="BE95" s="227"/>
      <c r="BF95" s="227">
        <f t="shared" si="1100"/>
        <v>0</v>
      </c>
      <c r="BG95" s="235"/>
      <c r="BH95" s="227">
        <f t="shared" si="1101"/>
        <v>0</v>
      </c>
      <c r="BI95" s="96"/>
      <c r="BJ95" s="96"/>
      <c r="BK95" s="97"/>
      <c r="BL95" s="227">
        <f t="shared" si="1102"/>
        <v>0</v>
      </c>
      <c r="BM95" s="235">
        <f t="shared" si="1103"/>
        <v>0.4604471269</v>
      </c>
      <c r="BN95" s="236">
        <f t="shared" si="1104"/>
        <v>0</v>
      </c>
      <c r="BO95" s="237">
        <f t="shared" si="1105"/>
        <v>0</v>
      </c>
      <c r="BP95" s="230"/>
      <c r="BQ95" s="232">
        <f t="shared" si="1212"/>
        <v>11</v>
      </c>
      <c r="BR95" s="233" t="str">
        <f t="shared" ref="BR95:BT95" si="1373">IFERROR(VLOOKUP($R95,$A$13:$D$30,-BR$12,FALSE),"")</f>
        <v>Lainnya 2.3 (3) …….</v>
      </c>
      <c r="BS95" s="234" t="str">
        <f t="shared" si="1373"/>
        <v/>
      </c>
      <c r="BT95" s="234" t="str">
        <f t="shared" si="1373"/>
        <v/>
      </c>
      <c r="BU95" s="227" t="str">
        <f>ADHK!BU95</f>
        <v/>
      </c>
      <c r="BV95" s="227"/>
      <c r="BW95" s="227">
        <f t="shared" si="1107"/>
        <v>0</v>
      </c>
      <c r="BX95" s="235"/>
      <c r="BY95" s="227">
        <f t="shared" si="1108"/>
        <v>0</v>
      </c>
      <c r="BZ95" s="96"/>
      <c r="CA95" s="96"/>
      <c r="CB95" s="97"/>
      <c r="CC95" s="227">
        <f t="shared" si="1109"/>
        <v>0</v>
      </c>
      <c r="CD95" s="235">
        <f t="shared" si="1110"/>
        <v>0.4604471269</v>
      </c>
      <c r="CE95" s="236">
        <f t="shared" si="1111"/>
        <v>0</v>
      </c>
      <c r="CF95" s="237">
        <f t="shared" si="1112"/>
        <v>0</v>
      </c>
      <c r="CG95" s="230"/>
      <c r="CH95" s="232">
        <f t="shared" si="1214"/>
        <v>11</v>
      </c>
      <c r="CI95" s="233" t="str">
        <f t="shared" ref="CI95:CK95" si="1374">IFERROR(VLOOKUP($R95,$A$13:$D$30,-CI$12,FALSE),"")</f>
        <v>Lainnya 2.3 (3) …….</v>
      </c>
      <c r="CJ95" s="234" t="str">
        <f t="shared" si="1374"/>
        <v/>
      </c>
      <c r="CK95" s="234" t="str">
        <f t="shared" si="1374"/>
        <v/>
      </c>
      <c r="CL95" s="227" t="str">
        <f>ADHK!CL95</f>
        <v/>
      </c>
      <c r="CM95" s="227"/>
      <c r="CN95" s="227">
        <f t="shared" si="1114"/>
        <v>0</v>
      </c>
      <c r="CO95" s="235"/>
      <c r="CP95" s="227">
        <f t="shared" si="1115"/>
        <v>0</v>
      </c>
      <c r="CQ95" s="96"/>
      <c r="CR95" s="96"/>
      <c r="CS95" s="97"/>
      <c r="CT95" s="227">
        <f t="shared" si="1116"/>
        <v>0</v>
      </c>
      <c r="CU95" s="235">
        <f t="shared" si="1117"/>
        <v>0.4604471269</v>
      </c>
      <c r="CV95" s="236">
        <f t="shared" si="1118"/>
        <v>0</v>
      </c>
      <c r="CW95" s="237">
        <f t="shared" si="1119"/>
        <v>0</v>
      </c>
      <c r="CX95" s="230"/>
      <c r="CY95" s="232">
        <f t="shared" si="1216"/>
        <v>11</v>
      </c>
      <c r="CZ95" s="233" t="str">
        <f t="shared" ref="CZ95:DB95" si="1375">IFERROR(VLOOKUP($R95,$A$13:$D$30,-CZ$12,FALSE),"")</f>
        <v>Lainnya 2.3 (3) …….</v>
      </c>
      <c r="DA95" s="234" t="str">
        <f t="shared" si="1375"/>
        <v/>
      </c>
      <c r="DB95" s="234" t="str">
        <f t="shared" si="1375"/>
        <v/>
      </c>
      <c r="DC95" s="227" t="str">
        <f>ADHK!DC95</f>
        <v/>
      </c>
      <c r="DD95" s="227"/>
      <c r="DE95" s="227">
        <f t="shared" si="1121"/>
        <v>0</v>
      </c>
      <c r="DF95" s="235"/>
      <c r="DG95" s="227">
        <f t="shared" si="1122"/>
        <v>0</v>
      </c>
      <c r="DH95" s="96"/>
      <c r="DI95" s="96"/>
      <c r="DJ95" s="97"/>
      <c r="DK95" s="227">
        <f t="shared" si="1123"/>
        <v>0</v>
      </c>
      <c r="DL95" s="235">
        <f t="shared" si="1124"/>
        <v>0.4604471269</v>
      </c>
      <c r="DM95" s="236">
        <f t="shared" si="1125"/>
        <v>0</v>
      </c>
      <c r="DN95" s="237">
        <f t="shared" si="1126"/>
        <v>0</v>
      </c>
      <c r="DO95" s="230"/>
      <c r="DP95" s="232">
        <f t="shared" si="1218"/>
        <v>11</v>
      </c>
      <c r="DQ95" s="233" t="str">
        <f t="shared" ref="DQ95:DS95" si="1376">IFERROR(VLOOKUP($R95,$A$13:$D$30,-DQ$12,FALSE),"")</f>
        <v>Lainnya 2.3 (3) …….</v>
      </c>
      <c r="DR95" s="234" t="str">
        <f t="shared" si="1376"/>
        <v/>
      </c>
      <c r="DS95" s="234" t="str">
        <f t="shared" si="1376"/>
        <v/>
      </c>
      <c r="DT95" s="227" t="str">
        <f>ADHK!DT95</f>
        <v/>
      </c>
      <c r="DU95" s="227"/>
      <c r="DV95" s="227">
        <f t="shared" si="1128"/>
        <v>0</v>
      </c>
      <c r="DW95" s="235"/>
      <c r="DX95" s="227">
        <f t="shared" si="1129"/>
        <v>0</v>
      </c>
      <c r="DY95" s="96"/>
      <c r="DZ95" s="96"/>
      <c r="EA95" s="97"/>
      <c r="EB95" s="227">
        <f t="shared" si="1130"/>
        <v>0</v>
      </c>
      <c r="EC95" s="235">
        <f t="shared" si="1131"/>
        <v>0.4604471269</v>
      </c>
      <c r="ED95" s="236">
        <f t="shared" si="1132"/>
        <v>0</v>
      </c>
      <c r="EE95" s="237">
        <f t="shared" si="1133"/>
        <v>0</v>
      </c>
      <c r="EF95" s="230"/>
      <c r="EG95" s="232">
        <f t="shared" si="1220"/>
        <v>11</v>
      </c>
      <c r="EH95" s="233" t="str">
        <f t="shared" ref="EH95:EJ95" si="1377">IFERROR(VLOOKUP($R95,$A$13:$D$30,-EH$12,FALSE),"")</f>
        <v>Lainnya 2.3 (3) …….</v>
      </c>
      <c r="EI95" s="234" t="str">
        <f t="shared" si="1377"/>
        <v/>
      </c>
      <c r="EJ95" s="234" t="str">
        <f t="shared" si="1377"/>
        <v/>
      </c>
      <c r="EK95" s="227" t="str">
        <f>ADHK!EK95</f>
        <v/>
      </c>
      <c r="EL95" s="227"/>
      <c r="EM95" s="227">
        <f t="shared" si="1135"/>
        <v>0</v>
      </c>
      <c r="EN95" s="235"/>
      <c r="EO95" s="227">
        <f t="shared" si="1136"/>
        <v>0</v>
      </c>
      <c r="EP95" s="96"/>
      <c r="EQ95" s="96"/>
      <c r="ER95" s="97"/>
      <c r="ES95" s="227">
        <f t="shared" si="1137"/>
        <v>0</v>
      </c>
      <c r="ET95" s="235">
        <f t="shared" si="1138"/>
        <v>0.4604471269</v>
      </c>
      <c r="EU95" s="236">
        <f t="shared" si="1139"/>
        <v>0</v>
      </c>
      <c r="EV95" s="237">
        <f t="shared" si="1140"/>
        <v>0</v>
      </c>
      <c r="EW95" s="230"/>
      <c r="EX95" s="232">
        <f t="shared" si="1222"/>
        <v>11</v>
      </c>
      <c r="EY95" s="233" t="str">
        <f t="shared" ref="EY95:FA95" si="1378">IFERROR(VLOOKUP($R95,$A$13:$D$30,-EY$12,FALSE),"")</f>
        <v>Lainnya 2.3 (3) …….</v>
      </c>
      <c r="EZ95" s="234" t="str">
        <f t="shared" si="1378"/>
        <v/>
      </c>
      <c r="FA95" s="234" t="str">
        <f t="shared" si="1378"/>
        <v/>
      </c>
      <c r="FB95" s="227" t="str">
        <f>ADHK!FB95</f>
        <v/>
      </c>
      <c r="FC95" s="227"/>
      <c r="FD95" s="227">
        <f t="shared" si="1142"/>
        <v>0</v>
      </c>
      <c r="FE95" s="235"/>
      <c r="FF95" s="227">
        <f t="shared" si="1143"/>
        <v>0</v>
      </c>
      <c r="FG95" s="96"/>
      <c r="FH95" s="96"/>
      <c r="FI95" s="97"/>
      <c r="FJ95" s="227">
        <f t="shared" si="1144"/>
        <v>0</v>
      </c>
      <c r="FK95" s="235">
        <f t="shared" si="1145"/>
        <v>0.4604471269</v>
      </c>
      <c r="FL95" s="236">
        <f t="shared" si="1146"/>
        <v>0</v>
      </c>
      <c r="FM95" s="237">
        <f t="shared" si="1147"/>
        <v>0</v>
      </c>
      <c r="FN95" s="230"/>
      <c r="FO95" s="232">
        <f t="shared" si="1224"/>
        <v>11</v>
      </c>
      <c r="FP95" s="233" t="str">
        <f t="shared" ref="FP95:FR95" si="1379">IFERROR(VLOOKUP($R95,$A$13:$D$30,-FP$12,FALSE),"")</f>
        <v>Lainnya 2.3 (3) …….</v>
      </c>
      <c r="FQ95" s="234" t="str">
        <f t="shared" si="1379"/>
        <v/>
      </c>
      <c r="FR95" s="234" t="str">
        <f t="shared" si="1379"/>
        <v/>
      </c>
      <c r="FS95" s="227" t="str">
        <f>ADHK!FS95</f>
        <v/>
      </c>
      <c r="FT95" s="227"/>
      <c r="FU95" s="227">
        <f t="shared" si="1149"/>
        <v>0</v>
      </c>
      <c r="FV95" s="235"/>
      <c r="FW95" s="227">
        <f t="shared" si="1150"/>
        <v>0</v>
      </c>
      <c r="FX95" s="96"/>
      <c r="FY95" s="96"/>
      <c r="FZ95" s="97"/>
      <c r="GA95" s="227">
        <f t="shared" si="1151"/>
        <v>0</v>
      </c>
      <c r="GB95" s="235">
        <f t="shared" si="1152"/>
        <v>0.4604471269</v>
      </c>
      <c r="GC95" s="236">
        <f t="shared" si="1153"/>
        <v>0</v>
      </c>
      <c r="GD95" s="237">
        <f t="shared" si="1154"/>
        <v>0</v>
      </c>
      <c r="GE95" s="230"/>
      <c r="GF95" s="232">
        <f t="shared" si="1226"/>
        <v>11</v>
      </c>
      <c r="GG95" s="233" t="str">
        <f t="shared" ref="GG95:GI95" si="1380">IFERROR(VLOOKUP($R95,$A$13:$D$30,-GG$12,FALSE),"")</f>
        <v>Lainnya 2.3 (3) …….</v>
      </c>
      <c r="GH95" s="234" t="str">
        <f t="shared" si="1380"/>
        <v/>
      </c>
      <c r="GI95" s="234" t="str">
        <f t="shared" si="1380"/>
        <v/>
      </c>
      <c r="GJ95" s="227" t="str">
        <f>ADHK!GJ95</f>
        <v/>
      </c>
      <c r="GK95" s="227"/>
      <c r="GL95" s="227">
        <f t="shared" si="1156"/>
        <v>0</v>
      </c>
      <c r="GM95" s="235"/>
      <c r="GN95" s="227">
        <f t="shared" si="1157"/>
        <v>0</v>
      </c>
      <c r="GO95" s="96"/>
      <c r="GP95" s="96"/>
      <c r="GQ95" s="97"/>
      <c r="GR95" s="227">
        <f t="shared" si="1158"/>
        <v>0</v>
      </c>
      <c r="GS95" s="235">
        <f t="shared" si="1159"/>
        <v>0.4604471269</v>
      </c>
      <c r="GT95" s="236">
        <f t="shared" si="1160"/>
        <v>0</v>
      </c>
      <c r="GU95" s="237">
        <f t="shared" si="1161"/>
        <v>0</v>
      </c>
      <c r="GV95" s="230"/>
      <c r="GW95" s="232">
        <f t="shared" si="1228"/>
        <v>11</v>
      </c>
      <c r="GX95" s="233" t="str">
        <f t="shared" ref="GX95:GZ95" si="1381">IFERROR(VLOOKUP($R95,$A$13:$D$30,-GX$12,FALSE),"")</f>
        <v>Lainnya 2.3 (3) …….</v>
      </c>
      <c r="GY95" s="234" t="str">
        <f t="shared" si="1381"/>
        <v/>
      </c>
      <c r="GZ95" s="234" t="str">
        <f t="shared" si="1381"/>
        <v/>
      </c>
      <c r="HA95" s="227" t="str">
        <f>ADHK!HA95</f>
        <v/>
      </c>
      <c r="HB95" s="227"/>
      <c r="HC95" s="227">
        <f t="shared" si="1163"/>
        <v>0</v>
      </c>
      <c r="HD95" s="235"/>
      <c r="HE95" s="227">
        <f t="shared" si="1164"/>
        <v>0</v>
      </c>
      <c r="HF95" s="96"/>
      <c r="HG95" s="96"/>
      <c r="HH95" s="97"/>
      <c r="HI95" s="227">
        <f t="shared" si="1165"/>
        <v>0</v>
      </c>
      <c r="HJ95" s="235">
        <f t="shared" si="1166"/>
        <v>0.4604471269</v>
      </c>
      <c r="HK95" s="236">
        <f t="shared" si="1167"/>
        <v>0</v>
      </c>
      <c r="HL95" s="237">
        <f t="shared" si="1168"/>
        <v>0</v>
      </c>
      <c r="HM95" s="230"/>
      <c r="HN95" s="232">
        <f t="shared" si="1230"/>
        <v>11</v>
      </c>
      <c r="HO95" s="233" t="str">
        <f t="shared" ref="HO95:HQ95" si="1382">IFERROR(VLOOKUP($R95,$A$13:$D$30,-HO$12,FALSE),"")</f>
        <v>Lainnya 2.3 (3) …….</v>
      </c>
      <c r="HP95" s="234" t="str">
        <f t="shared" si="1382"/>
        <v/>
      </c>
      <c r="HQ95" s="234" t="str">
        <f t="shared" si="1382"/>
        <v/>
      </c>
      <c r="HR95" s="227" t="str">
        <f>ADHK!HR95</f>
        <v/>
      </c>
      <c r="HS95" s="227"/>
      <c r="HT95" s="227">
        <f t="shared" si="1170"/>
        <v>0</v>
      </c>
      <c r="HU95" s="235"/>
      <c r="HV95" s="227">
        <f t="shared" si="1171"/>
        <v>0</v>
      </c>
      <c r="HW95" s="96"/>
      <c r="HX95" s="96"/>
      <c r="HY95" s="97"/>
      <c r="HZ95" s="227">
        <f t="shared" si="1172"/>
        <v>0</v>
      </c>
      <c r="IA95" s="235">
        <f t="shared" si="1173"/>
        <v>0.4604471269</v>
      </c>
      <c r="IB95" s="236">
        <f t="shared" si="1174"/>
        <v>0</v>
      </c>
      <c r="IC95" s="237">
        <f t="shared" si="1175"/>
        <v>0</v>
      </c>
      <c r="ID95" s="230"/>
      <c r="IE95" s="232">
        <f t="shared" si="1232"/>
        <v>11</v>
      </c>
      <c r="IF95" s="233" t="str">
        <f t="shared" ref="IF95:IH95" si="1383">IFERROR(VLOOKUP($R95,$A$13:$D$30,-IF$12,FALSE),"")</f>
        <v>Lainnya 2.3 (3) …….</v>
      </c>
      <c r="IG95" s="234" t="str">
        <f t="shared" si="1383"/>
        <v/>
      </c>
      <c r="IH95" s="234" t="str">
        <f t="shared" si="1383"/>
        <v/>
      </c>
      <c r="II95" s="227" t="str">
        <f>ADHK!II95</f>
        <v/>
      </c>
      <c r="IJ95" s="227"/>
      <c r="IK95" s="227">
        <f t="shared" si="1177"/>
        <v>0</v>
      </c>
      <c r="IL95" s="235"/>
      <c r="IM95" s="227">
        <f t="shared" si="1178"/>
        <v>0</v>
      </c>
      <c r="IN95" s="96"/>
      <c r="IO95" s="96"/>
      <c r="IP95" s="97"/>
      <c r="IQ95" s="227">
        <f t="shared" si="1179"/>
        <v>0</v>
      </c>
      <c r="IR95" s="235">
        <f t="shared" si="1180"/>
        <v>0.4604471269</v>
      </c>
      <c r="IS95" s="236">
        <f t="shared" si="1181"/>
        <v>0</v>
      </c>
      <c r="IT95" s="237">
        <f t="shared" si="1182"/>
        <v>0</v>
      </c>
      <c r="IU95" s="230"/>
      <c r="IV95" s="232">
        <f t="shared" si="1234"/>
        <v>11</v>
      </c>
      <c r="IW95" s="233" t="str">
        <f t="shared" ref="IW95:IY95" si="1384">IFERROR(VLOOKUP($R95,$A$13:$D$30,-IW$12,FALSE),"")</f>
        <v>Lainnya 2.3 (3) …….</v>
      </c>
      <c r="IX95" s="234" t="str">
        <f t="shared" si="1384"/>
        <v/>
      </c>
      <c r="IY95" s="234" t="str">
        <f t="shared" si="1384"/>
        <v/>
      </c>
      <c r="IZ95" s="227" t="str">
        <f>ADHK!IZ95</f>
        <v/>
      </c>
      <c r="JA95" s="227"/>
      <c r="JB95" s="227">
        <f t="shared" si="1184"/>
        <v>0</v>
      </c>
      <c r="JC95" s="235"/>
      <c r="JD95" s="227">
        <f t="shared" si="1185"/>
        <v>0</v>
      </c>
      <c r="JE95" s="96"/>
      <c r="JF95" s="96"/>
      <c r="JG95" s="97"/>
      <c r="JH95" s="227">
        <f t="shared" si="1186"/>
        <v>0</v>
      </c>
      <c r="JI95" s="235">
        <f t="shared" si="1187"/>
        <v>0.4604471269</v>
      </c>
      <c r="JJ95" s="236">
        <f t="shared" si="1188"/>
        <v>0</v>
      </c>
      <c r="JK95" s="237">
        <f t="shared" si="1189"/>
        <v>0</v>
      </c>
      <c r="JL95" s="230"/>
      <c r="JM95" s="232">
        <f t="shared" si="1236"/>
        <v>11</v>
      </c>
      <c r="JN95" s="233" t="str">
        <f t="shared" ref="JN95:JP95" si="1385">IFERROR(VLOOKUP($R95,$A$13:$D$30,-JN$12,FALSE),"")</f>
        <v>Lainnya 2.3 (3) …….</v>
      </c>
      <c r="JO95" s="234" t="str">
        <f t="shared" si="1385"/>
        <v/>
      </c>
      <c r="JP95" s="234" t="str">
        <f t="shared" si="1385"/>
        <v/>
      </c>
      <c r="JQ95" s="227" t="str">
        <f>ADHK!KY95</f>
        <v/>
      </c>
      <c r="JR95" s="227"/>
      <c r="JS95" s="227">
        <f t="shared" si="1191"/>
        <v>0</v>
      </c>
      <c r="JT95" s="235"/>
      <c r="JU95" s="227">
        <f t="shared" si="1192"/>
        <v>0</v>
      </c>
      <c r="JV95" s="96"/>
      <c r="JW95" s="96"/>
      <c r="JX95" s="97"/>
      <c r="JY95" s="227">
        <f t="shared" si="1193"/>
        <v>0</v>
      </c>
      <c r="JZ95" s="235">
        <f t="shared" si="1194"/>
        <v>0.4604471269</v>
      </c>
      <c r="KA95" s="236">
        <f t="shared" si="1195"/>
        <v>0</v>
      </c>
      <c r="KB95" s="237">
        <f t="shared" si="1196"/>
        <v>0</v>
      </c>
      <c r="KC95" s="230"/>
      <c r="KD95" s="232">
        <f t="shared" si="1238"/>
        <v>11</v>
      </c>
      <c r="KE95" s="233" t="str">
        <f t="shared" ref="KE95:KG95" si="1386">IFERROR(VLOOKUP($R95,$A$13:$D$30,-KE$12,FALSE),"")</f>
        <v>Lainnya 2.3 (3) …….</v>
      </c>
      <c r="KF95" s="234" t="str">
        <f t="shared" si="1386"/>
        <v/>
      </c>
      <c r="KG95" s="234" t="str">
        <f t="shared" si="1386"/>
        <v/>
      </c>
      <c r="KH95" s="227" t="str">
        <f>ADHK!LP95</f>
        <v/>
      </c>
      <c r="KI95" s="227"/>
      <c r="KJ95" s="227">
        <f t="shared" si="1198"/>
        <v>0</v>
      </c>
      <c r="KK95" s="235"/>
      <c r="KL95" s="227">
        <f t="shared" si="1199"/>
        <v>0</v>
      </c>
      <c r="KM95" s="96"/>
      <c r="KN95" s="96"/>
      <c r="KO95" s="97"/>
      <c r="KP95" s="227">
        <f t="shared" si="1200"/>
        <v>0</v>
      </c>
      <c r="KQ95" s="235">
        <f t="shared" si="1201"/>
        <v>0.4604471269</v>
      </c>
      <c r="KR95" s="236">
        <f t="shared" si="1202"/>
        <v>0</v>
      </c>
      <c r="KS95" s="237">
        <f t="shared" si="1203"/>
        <v>0</v>
      </c>
      <c r="KT95" s="230"/>
      <c r="KU95" s="231"/>
    </row>
    <row r="96" ht="15.75" customHeight="1">
      <c r="A96" s="232">
        <f t="shared" si="1204"/>
        <v>12</v>
      </c>
      <c r="B96" s="233" t="str">
        <f t="shared" ref="B96:D96" si="1387">IFERROR(VLOOKUP($A96,$A$13:$D$30,-B$12,FALSE),"")</f>
        <v>Lainnya 2.3 (4) …….</v>
      </c>
      <c r="C96" s="234" t="str">
        <f t="shared" si="1387"/>
        <v/>
      </c>
      <c r="D96" s="234" t="str">
        <f t="shared" si="1387"/>
        <v/>
      </c>
      <c r="E96" s="227" t="str">
        <f>ADHK!E96</f>
        <v/>
      </c>
      <c r="F96" s="227" t="str">
        <f>ADHK!F96</f>
        <v/>
      </c>
      <c r="G96" s="227">
        <f t="shared" si="1079"/>
        <v>0</v>
      </c>
      <c r="H96" s="235"/>
      <c r="I96" s="227">
        <f t="shared" si="1080"/>
        <v>0</v>
      </c>
      <c r="J96" s="96"/>
      <c r="K96" s="96"/>
      <c r="L96" s="97"/>
      <c r="M96" s="227">
        <f t="shared" si="1081"/>
        <v>0</v>
      </c>
      <c r="N96" s="235">
        <f t="shared" si="1082"/>
        <v>0.4604471269</v>
      </c>
      <c r="O96" s="236">
        <f t="shared" si="1083"/>
        <v>0</v>
      </c>
      <c r="P96" s="237">
        <f t="shared" si="1084"/>
        <v>0</v>
      </c>
      <c r="Q96" s="230"/>
      <c r="R96" s="232">
        <f t="shared" si="1206"/>
        <v>12</v>
      </c>
      <c r="S96" s="233" t="str">
        <f t="shared" ref="S96:U96" si="1388">IFERROR(VLOOKUP($R96,$A$13:$D$30,-S$12,FALSE),"")</f>
        <v>Lainnya 2.3 (4) …….</v>
      </c>
      <c r="T96" s="234" t="str">
        <f t="shared" si="1388"/>
        <v/>
      </c>
      <c r="U96" s="234" t="str">
        <f t="shared" si="1388"/>
        <v/>
      </c>
      <c r="V96" s="227" t="str">
        <f>ADHK!V96</f>
        <v/>
      </c>
      <c r="W96" s="227"/>
      <c r="X96" s="227">
        <f t="shared" si="1086"/>
        <v>0</v>
      </c>
      <c r="Y96" s="235"/>
      <c r="Z96" s="227">
        <f t="shared" si="1087"/>
        <v>0</v>
      </c>
      <c r="AA96" s="96"/>
      <c r="AB96" s="96"/>
      <c r="AC96" s="97"/>
      <c r="AD96" s="227">
        <f t="shared" si="1088"/>
        <v>0</v>
      </c>
      <c r="AE96" s="235">
        <f t="shared" si="1089"/>
        <v>0.4604471269</v>
      </c>
      <c r="AF96" s="236">
        <f t="shared" si="1090"/>
        <v>0</v>
      </c>
      <c r="AG96" s="237">
        <f t="shared" si="1091"/>
        <v>0</v>
      </c>
      <c r="AH96" s="230"/>
      <c r="AI96" s="232">
        <f t="shared" si="1208"/>
        <v>12</v>
      </c>
      <c r="AJ96" s="233" t="str">
        <f t="shared" ref="AJ96:AL96" si="1389">IFERROR(VLOOKUP($R96,$A$13:$D$30,-AJ$12,FALSE),"")</f>
        <v>Lainnya 2.3 (4) …….</v>
      </c>
      <c r="AK96" s="234" t="str">
        <f t="shared" si="1389"/>
        <v/>
      </c>
      <c r="AL96" s="234" t="str">
        <f t="shared" si="1389"/>
        <v/>
      </c>
      <c r="AM96" s="227" t="str">
        <f>ADHK!AM96</f>
        <v/>
      </c>
      <c r="AN96" s="227"/>
      <c r="AO96" s="227">
        <f t="shared" si="1093"/>
        <v>0</v>
      </c>
      <c r="AP96" s="235"/>
      <c r="AQ96" s="227">
        <f t="shared" si="1094"/>
        <v>0</v>
      </c>
      <c r="AR96" s="96"/>
      <c r="AS96" s="96"/>
      <c r="AT96" s="97"/>
      <c r="AU96" s="227">
        <f t="shared" si="1095"/>
        <v>0</v>
      </c>
      <c r="AV96" s="235">
        <f t="shared" si="1096"/>
        <v>0.4604471269</v>
      </c>
      <c r="AW96" s="236">
        <f t="shared" si="1097"/>
        <v>0</v>
      </c>
      <c r="AX96" s="237">
        <f t="shared" si="1098"/>
        <v>0</v>
      </c>
      <c r="AY96" s="230"/>
      <c r="AZ96" s="232">
        <f t="shared" si="1210"/>
        <v>12</v>
      </c>
      <c r="BA96" s="233" t="str">
        <f t="shared" ref="BA96:BC96" si="1390">IFERROR(VLOOKUP($R96,$A$13:$D$30,-BA$12,FALSE),"")</f>
        <v>Lainnya 2.3 (4) …….</v>
      </c>
      <c r="BB96" s="234" t="str">
        <f t="shared" si="1390"/>
        <v/>
      </c>
      <c r="BC96" s="234" t="str">
        <f t="shared" si="1390"/>
        <v/>
      </c>
      <c r="BD96" s="227" t="str">
        <f>ADHK!BD96</f>
        <v/>
      </c>
      <c r="BE96" s="227"/>
      <c r="BF96" s="227">
        <f t="shared" si="1100"/>
        <v>0</v>
      </c>
      <c r="BG96" s="235"/>
      <c r="BH96" s="227">
        <f t="shared" si="1101"/>
        <v>0</v>
      </c>
      <c r="BI96" s="96"/>
      <c r="BJ96" s="96"/>
      <c r="BK96" s="97"/>
      <c r="BL96" s="227">
        <f t="shared" si="1102"/>
        <v>0</v>
      </c>
      <c r="BM96" s="235">
        <f t="shared" si="1103"/>
        <v>0.4604471269</v>
      </c>
      <c r="BN96" s="236">
        <f t="shared" si="1104"/>
        <v>0</v>
      </c>
      <c r="BO96" s="237">
        <f t="shared" si="1105"/>
        <v>0</v>
      </c>
      <c r="BP96" s="230"/>
      <c r="BQ96" s="232">
        <f t="shared" si="1212"/>
        <v>12</v>
      </c>
      <c r="BR96" s="233" t="str">
        <f t="shared" ref="BR96:BT96" si="1391">IFERROR(VLOOKUP($R96,$A$13:$D$30,-BR$12,FALSE),"")</f>
        <v>Lainnya 2.3 (4) …….</v>
      </c>
      <c r="BS96" s="234" t="str">
        <f t="shared" si="1391"/>
        <v/>
      </c>
      <c r="BT96" s="234" t="str">
        <f t="shared" si="1391"/>
        <v/>
      </c>
      <c r="BU96" s="227" t="str">
        <f>ADHK!BU96</f>
        <v/>
      </c>
      <c r="BV96" s="227"/>
      <c r="BW96" s="227">
        <f t="shared" si="1107"/>
        <v>0</v>
      </c>
      <c r="BX96" s="235"/>
      <c r="BY96" s="227">
        <f t="shared" si="1108"/>
        <v>0</v>
      </c>
      <c r="BZ96" s="96"/>
      <c r="CA96" s="96"/>
      <c r="CB96" s="97"/>
      <c r="CC96" s="227">
        <f t="shared" si="1109"/>
        <v>0</v>
      </c>
      <c r="CD96" s="235">
        <f t="shared" si="1110"/>
        <v>0.4604471269</v>
      </c>
      <c r="CE96" s="236">
        <f t="shared" si="1111"/>
        <v>0</v>
      </c>
      <c r="CF96" s="237">
        <f t="shared" si="1112"/>
        <v>0</v>
      </c>
      <c r="CG96" s="230"/>
      <c r="CH96" s="232">
        <f t="shared" si="1214"/>
        <v>12</v>
      </c>
      <c r="CI96" s="233" t="str">
        <f t="shared" ref="CI96:CK96" si="1392">IFERROR(VLOOKUP($R96,$A$13:$D$30,-CI$12,FALSE),"")</f>
        <v>Lainnya 2.3 (4) …….</v>
      </c>
      <c r="CJ96" s="234" t="str">
        <f t="shared" si="1392"/>
        <v/>
      </c>
      <c r="CK96" s="234" t="str">
        <f t="shared" si="1392"/>
        <v/>
      </c>
      <c r="CL96" s="227" t="str">
        <f>ADHK!CL96</f>
        <v/>
      </c>
      <c r="CM96" s="227"/>
      <c r="CN96" s="227">
        <f t="shared" si="1114"/>
        <v>0</v>
      </c>
      <c r="CO96" s="235"/>
      <c r="CP96" s="227">
        <f t="shared" si="1115"/>
        <v>0</v>
      </c>
      <c r="CQ96" s="96"/>
      <c r="CR96" s="96"/>
      <c r="CS96" s="97"/>
      <c r="CT96" s="227">
        <f t="shared" si="1116"/>
        <v>0</v>
      </c>
      <c r="CU96" s="235">
        <f t="shared" si="1117"/>
        <v>0.4604471269</v>
      </c>
      <c r="CV96" s="236">
        <f t="shared" si="1118"/>
        <v>0</v>
      </c>
      <c r="CW96" s="237">
        <f t="shared" si="1119"/>
        <v>0</v>
      </c>
      <c r="CX96" s="230"/>
      <c r="CY96" s="232">
        <f t="shared" si="1216"/>
        <v>12</v>
      </c>
      <c r="CZ96" s="233" t="str">
        <f t="shared" ref="CZ96:DB96" si="1393">IFERROR(VLOOKUP($R96,$A$13:$D$30,-CZ$12,FALSE),"")</f>
        <v>Lainnya 2.3 (4) …….</v>
      </c>
      <c r="DA96" s="234" t="str">
        <f t="shared" si="1393"/>
        <v/>
      </c>
      <c r="DB96" s="234" t="str">
        <f t="shared" si="1393"/>
        <v/>
      </c>
      <c r="DC96" s="227" t="str">
        <f>ADHK!DC96</f>
        <v/>
      </c>
      <c r="DD96" s="227"/>
      <c r="DE96" s="227">
        <f t="shared" si="1121"/>
        <v>0</v>
      </c>
      <c r="DF96" s="235"/>
      <c r="DG96" s="227">
        <f t="shared" si="1122"/>
        <v>0</v>
      </c>
      <c r="DH96" s="96"/>
      <c r="DI96" s="96"/>
      <c r="DJ96" s="97"/>
      <c r="DK96" s="227">
        <f t="shared" si="1123"/>
        <v>0</v>
      </c>
      <c r="DL96" s="235">
        <f t="shared" si="1124"/>
        <v>0.4604471269</v>
      </c>
      <c r="DM96" s="236">
        <f t="shared" si="1125"/>
        <v>0</v>
      </c>
      <c r="DN96" s="237">
        <f t="shared" si="1126"/>
        <v>0</v>
      </c>
      <c r="DO96" s="230"/>
      <c r="DP96" s="232">
        <f t="shared" si="1218"/>
        <v>12</v>
      </c>
      <c r="DQ96" s="233" t="str">
        <f t="shared" ref="DQ96:DS96" si="1394">IFERROR(VLOOKUP($R96,$A$13:$D$30,-DQ$12,FALSE),"")</f>
        <v>Lainnya 2.3 (4) …….</v>
      </c>
      <c r="DR96" s="234" t="str">
        <f t="shared" si="1394"/>
        <v/>
      </c>
      <c r="DS96" s="234" t="str">
        <f t="shared" si="1394"/>
        <v/>
      </c>
      <c r="DT96" s="227" t="str">
        <f>ADHK!DT96</f>
        <v/>
      </c>
      <c r="DU96" s="227"/>
      <c r="DV96" s="227">
        <f t="shared" si="1128"/>
        <v>0</v>
      </c>
      <c r="DW96" s="235"/>
      <c r="DX96" s="227">
        <f t="shared" si="1129"/>
        <v>0</v>
      </c>
      <c r="DY96" s="96"/>
      <c r="DZ96" s="96"/>
      <c r="EA96" s="97"/>
      <c r="EB96" s="227">
        <f t="shared" si="1130"/>
        <v>0</v>
      </c>
      <c r="EC96" s="235">
        <f t="shared" si="1131"/>
        <v>0.4604471269</v>
      </c>
      <c r="ED96" s="236">
        <f t="shared" si="1132"/>
        <v>0</v>
      </c>
      <c r="EE96" s="237">
        <f t="shared" si="1133"/>
        <v>0</v>
      </c>
      <c r="EF96" s="230"/>
      <c r="EG96" s="232">
        <f t="shared" si="1220"/>
        <v>12</v>
      </c>
      <c r="EH96" s="233" t="str">
        <f t="shared" ref="EH96:EJ96" si="1395">IFERROR(VLOOKUP($R96,$A$13:$D$30,-EH$12,FALSE),"")</f>
        <v>Lainnya 2.3 (4) …….</v>
      </c>
      <c r="EI96" s="234" t="str">
        <f t="shared" si="1395"/>
        <v/>
      </c>
      <c r="EJ96" s="234" t="str">
        <f t="shared" si="1395"/>
        <v/>
      </c>
      <c r="EK96" s="227" t="str">
        <f>ADHK!EK96</f>
        <v/>
      </c>
      <c r="EL96" s="227"/>
      <c r="EM96" s="227">
        <f t="shared" si="1135"/>
        <v>0</v>
      </c>
      <c r="EN96" s="235"/>
      <c r="EO96" s="227">
        <f t="shared" si="1136"/>
        <v>0</v>
      </c>
      <c r="EP96" s="96"/>
      <c r="EQ96" s="96"/>
      <c r="ER96" s="97"/>
      <c r="ES96" s="227">
        <f t="shared" si="1137"/>
        <v>0</v>
      </c>
      <c r="ET96" s="235">
        <f t="shared" si="1138"/>
        <v>0.4604471269</v>
      </c>
      <c r="EU96" s="236">
        <f t="shared" si="1139"/>
        <v>0</v>
      </c>
      <c r="EV96" s="237">
        <f t="shared" si="1140"/>
        <v>0</v>
      </c>
      <c r="EW96" s="230"/>
      <c r="EX96" s="232">
        <f t="shared" si="1222"/>
        <v>12</v>
      </c>
      <c r="EY96" s="233" t="str">
        <f t="shared" ref="EY96:FA96" si="1396">IFERROR(VLOOKUP($R96,$A$13:$D$30,-EY$12,FALSE),"")</f>
        <v>Lainnya 2.3 (4) …….</v>
      </c>
      <c r="EZ96" s="234" t="str">
        <f t="shared" si="1396"/>
        <v/>
      </c>
      <c r="FA96" s="234" t="str">
        <f t="shared" si="1396"/>
        <v/>
      </c>
      <c r="FB96" s="227" t="str">
        <f>ADHK!FB96</f>
        <v/>
      </c>
      <c r="FC96" s="227"/>
      <c r="FD96" s="227">
        <f t="shared" si="1142"/>
        <v>0</v>
      </c>
      <c r="FE96" s="235"/>
      <c r="FF96" s="227">
        <f t="shared" si="1143"/>
        <v>0</v>
      </c>
      <c r="FG96" s="96"/>
      <c r="FH96" s="96"/>
      <c r="FI96" s="97"/>
      <c r="FJ96" s="227">
        <f t="shared" si="1144"/>
        <v>0</v>
      </c>
      <c r="FK96" s="235">
        <f t="shared" si="1145"/>
        <v>0.4604471269</v>
      </c>
      <c r="FL96" s="236">
        <f t="shared" si="1146"/>
        <v>0</v>
      </c>
      <c r="FM96" s="237">
        <f t="shared" si="1147"/>
        <v>0</v>
      </c>
      <c r="FN96" s="230"/>
      <c r="FO96" s="232">
        <f t="shared" si="1224"/>
        <v>12</v>
      </c>
      <c r="FP96" s="233" t="str">
        <f t="shared" ref="FP96:FR96" si="1397">IFERROR(VLOOKUP($R96,$A$13:$D$30,-FP$12,FALSE),"")</f>
        <v>Lainnya 2.3 (4) …….</v>
      </c>
      <c r="FQ96" s="234" t="str">
        <f t="shared" si="1397"/>
        <v/>
      </c>
      <c r="FR96" s="234" t="str">
        <f t="shared" si="1397"/>
        <v/>
      </c>
      <c r="FS96" s="227" t="str">
        <f>ADHK!FS96</f>
        <v/>
      </c>
      <c r="FT96" s="227"/>
      <c r="FU96" s="227">
        <f t="shared" si="1149"/>
        <v>0</v>
      </c>
      <c r="FV96" s="235"/>
      <c r="FW96" s="227">
        <f t="shared" si="1150"/>
        <v>0</v>
      </c>
      <c r="FX96" s="96"/>
      <c r="FY96" s="96"/>
      <c r="FZ96" s="97"/>
      <c r="GA96" s="227">
        <f t="shared" si="1151"/>
        <v>0</v>
      </c>
      <c r="GB96" s="235">
        <f t="shared" si="1152"/>
        <v>0.4604471269</v>
      </c>
      <c r="GC96" s="236">
        <f t="shared" si="1153"/>
        <v>0</v>
      </c>
      <c r="GD96" s="237">
        <f t="shared" si="1154"/>
        <v>0</v>
      </c>
      <c r="GE96" s="230"/>
      <c r="GF96" s="232">
        <f t="shared" si="1226"/>
        <v>12</v>
      </c>
      <c r="GG96" s="233" t="str">
        <f t="shared" ref="GG96:GI96" si="1398">IFERROR(VLOOKUP($R96,$A$13:$D$30,-GG$12,FALSE),"")</f>
        <v>Lainnya 2.3 (4) …….</v>
      </c>
      <c r="GH96" s="234" t="str">
        <f t="shared" si="1398"/>
        <v/>
      </c>
      <c r="GI96" s="234" t="str">
        <f t="shared" si="1398"/>
        <v/>
      </c>
      <c r="GJ96" s="227" t="str">
        <f>ADHK!GJ96</f>
        <v/>
      </c>
      <c r="GK96" s="227"/>
      <c r="GL96" s="227">
        <f t="shared" si="1156"/>
        <v>0</v>
      </c>
      <c r="GM96" s="235"/>
      <c r="GN96" s="227">
        <f t="shared" si="1157"/>
        <v>0</v>
      </c>
      <c r="GO96" s="96"/>
      <c r="GP96" s="96"/>
      <c r="GQ96" s="97"/>
      <c r="GR96" s="227">
        <f t="shared" si="1158"/>
        <v>0</v>
      </c>
      <c r="GS96" s="235">
        <f t="shared" si="1159"/>
        <v>0.4604471269</v>
      </c>
      <c r="GT96" s="236">
        <f t="shared" si="1160"/>
        <v>0</v>
      </c>
      <c r="GU96" s="237">
        <f t="shared" si="1161"/>
        <v>0</v>
      </c>
      <c r="GV96" s="230"/>
      <c r="GW96" s="232">
        <f t="shared" si="1228"/>
        <v>12</v>
      </c>
      <c r="GX96" s="233" t="str">
        <f t="shared" ref="GX96:GZ96" si="1399">IFERROR(VLOOKUP($R96,$A$13:$D$30,-GX$12,FALSE),"")</f>
        <v>Lainnya 2.3 (4) …….</v>
      </c>
      <c r="GY96" s="234" t="str">
        <f t="shared" si="1399"/>
        <v/>
      </c>
      <c r="GZ96" s="234" t="str">
        <f t="shared" si="1399"/>
        <v/>
      </c>
      <c r="HA96" s="227"/>
      <c r="HB96" s="227"/>
      <c r="HC96" s="227">
        <f t="shared" si="1163"/>
        <v>0</v>
      </c>
      <c r="HD96" s="235"/>
      <c r="HE96" s="227">
        <f t="shared" si="1164"/>
        <v>0</v>
      </c>
      <c r="HF96" s="96"/>
      <c r="HG96" s="96"/>
      <c r="HH96" s="97"/>
      <c r="HI96" s="227">
        <f t="shared" si="1165"/>
        <v>0</v>
      </c>
      <c r="HJ96" s="235">
        <f t="shared" si="1166"/>
        <v>0.4604471269</v>
      </c>
      <c r="HK96" s="236">
        <f t="shared" si="1167"/>
        <v>0</v>
      </c>
      <c r="HL96" s="237">
        <f t="shared" si="1168"/>
        <v>0</v>
      </c>
      <c r="HM96" s="230"/>
      <c r="HN96" s="232">
        <f t="shared" si="1230"/>
        <v>12</v>
      </c>
      <c r="HO96" s="233" t="str">
        <f t="shared" ref="HO96:HQ96" si="1400">IFERROR(VLOOKUP($R96,$A$13:$D$30,-HO$12,FALSE),"")</f>
        <v>Lainnya 2.3 (4) …….</v>
      </c>
      <c r="HP96" s="234" t="str">
        <f t="shared" si="1400"/>
        <v/>
      </c>
      <c r="HQ96" s="234" t="str">
        <f t="shared" si="1400"/>
        <v/>
      </c>
      <c r="HR96" s="227" t="str">
        <f>ADHK!HR96</f>
        <v/>
      </c>
      <c r="HS96" s="227"/>
      <c r="HT96" s="227">
        <f t="shared" si="1170"/>
        <v>0</v>
      </c>
      <c r="HU96" s="235"/>
      <c r="HV96" s="227">
        <f t="shared" si="1171"/>
        <v>0</v>
      </c>
      <c r="HW96" s="96"/>
      <c r="HX96" s="96"/>
      <c r="HY96" s="97"/>
      <c r="HZ96" s="227">
        <f t="shared" si="1172"/>
        <v>0</v>
      </c>
      <c r="IA96" s="235">
        <f t="shared" si="1173"/>
        <v>0.4604471269</v>
      </c>
      <c r="IB96" s="236">
        <f t="shared" si="1174"/>
        <v>0</v>
      </c>
      <c r="IC96" s="237">
        <f t="shared" si="1175"/>
        <v>0</v>
      </c>
      <c r="ID96" s="230"/>
      <c r="IE96" s="232">
        <f t="shared" si="1232"/>
        <v>12</v>
      </c>
      <c r="IF96" s="233" t="str">
        <f t="shared" ref="IF96:IH96" si="1401">IFERROR(VLOOKUP($R96,$A$13:$D$30,-IF$12,FALSE),"")</f>
        <v>Lainnya 2.3 (4) …….</v>
      </c>
      <c r="IG96" s="234" t="str">
        <f t="shared" si="1401"/>
        <v/>
      </c>
      <c r="IH96" s="234" t="str">
        <f t="shared" si="1401"/>
        <v/>
      </c>
      <c r="II96" s="227" t="str">
        <f>ADHK!II96</f>
        <v/>
      </c>
      <c r="IJ96" s="227"/>
      <c r="IK96" s="227">
        <f t="shared" si="1177"/>
        <v>0</v>
      </c>
      <c r="IL96" s="235"/>
      <c r="IM96" s="227">
        <f t="shared" si="1178"/>
        <v>0</v>
      </c>
      <c r="IN96" s="96"/>
      <c r="IO96" s="96"/>
      <c r="IP96" s="97"/>
      <c r="IQ96" s="227">
        <f t="shared" si="1179"/>
        <v>0</v>
      </c>
      <c r="IR96" s="235">
        <f t="shared" si="1180"/>
        <v>0.4604471269</v>
      </c>
      <c r="IS96" s="236">
        <f t="shared" si="1181"/>
        <v>0</v>
      </c>
      <c r="IT96" s="237">
        <f t="shared" si="1182"/>
        <v>0</v>
      </c>
      <c r="IU96" s="230"/>
      <c r="IV96" s="232">
        <f t="shared" si="1234"/>
        <v>12</v>
      </c>
      <c r="IW96" s="233" t="str">
        <f t="shared" ref="IW96:IY96" si="1402">IFERROR(VLOOKUP($R96,$A$13:$D$30,-IW$12,FALSE),"")</f>
        <v>Lainnya 2.3 (4) …….</v>
      </c>
      <c r="IX96" s="234" t="str">
        <f t="shared" si="1402"/>
        <v/>
      </c>
      <c r="IY96" s="234" t="str">
        <f t="shared" si="1402"/>
        <v/>
      </c>
      <c r="IZ96" s="227" t="str">
        <f>ADHK!IZ96</f>
        <v/>
      </c>
      <c r="JA96" s="227"/>
      <c r="JB96" s="227">
        <f t="shared" si="1184"/>
        <v>0</v>
      </c>
      <c r="JC96" s="235"/>
      <c r="JD96" s="227">
        <f t="shared" si="1185"/>
        <v>0</v>
      </c>
      <c r="JE96" s="96"/>
      <c r="JF96" s="96"/>
      <c r="JG96" s="97"/>
      <c r="JH96" s="227">
        <f t="shared" si="1186"/>
        <v>0</v>
      </c>
      <c r="JI96" s="235">
        <f t="shared" si="1187"/>
        <v>0.4604471269</v>
      </c>
      <c r="JJ96" s="236">
        <f t="shared" si="1188"/>
        <v>0</v>
      </c>
      <c r="JK96" s="237">
        <f t="shared" si="1189"/>
        <v>0</v>
      </c>
      <c r="JL96" s="230"/>
      <c r="JM96" s="232">
        <f t="shared" si="1236"/>
        <v>12</v>
      </c>
      <c r="JN96" s="233" t="str">
        <f t="shared" ref="JN96:JP96" si="1403">IFERROR(VLOOKUP($R96,$A$13:$D$30,-JN$12,FALSE),"")</f>
        <v>Lainnya 2.3 (4) …….</v>
      </c>
      <c r="JO96" s="234" t="str">
        <f t="shared" si="1403"/>
        <v/>
      </c>
      <c r="JP96" s="234" t="str">
        <f t="shared" si="1403"/>
        <v/>
      </c>
      <c r="JQ96" s="227" t="str">
        <f>ADHK!KY96</f>
        <v/>
      </c>
      <c r="JR96" s="227"/>
      <c r="JS96" s="227">
        <f t="shared" si="1191"/>
        <v>0</v>
      </c>
      <c r="JT96" s="235"/>
      <c r="JU96" s="227">
        <f t="shared" si="1192"/>
        <v>0</v>
      </c>
      <c r="JV96" s="96"/>
      <c r="JW96" s="96"/>
      <c r="JX96" s="97"/>
      <c r="JY96" s="227">
        <f t="shared" si="1193"/>
        <v>0</v>
      </c>
      <c r="JZ96" s="235">
        <f t="shared" si="1194"/>
        <v>0.4604471269</v>
      </c>
      <c r="KA96" s="236">
        <f t="shared" si="1195"/>
        <v>0</v>
      </c>
      <c r="KB96" s="237">
        <f t="shared" si="1196"/>
        <v>0</v>
      </c>
      <c r="KC96" s="230"/>
      <c r="KD96" s="232">
        <f t="shared" si="1238"/>
        <v>12</v>
      </c>
      <c r="KE96" s="233" t="str">
        <f t="shared" ref="KE96:KG96" si="1404">IFERROR(VLOOKUP($R96,$A$13:$D$30,-KE$12,FALSE),"")</f>
        <v>Lainnya 2.3 (4) …….</v>
      </c>
      <c r="KF96" s="234" t="str">
        <f t="shared" si="1404"/>
        <v/>
      </c>
      <c r="KG96" s="234" t="str">
        <f t="shared" si="1404"/>
        <v/>
      </c>
      <c r="KH96" s="227" t="str">
        <f>ADHK!LP96</f>
        <v/>
      </c>
      <c r="KI96" s="227"/>
      <c r="KJ96" s="227">
        <f t="shared" si="1198"/>
        <v>0</v>
      </c>
      <c r="KK96" s="235"/>
      <c r="KL96" s="227">
        <f t="shared" si="1199"/>
        <v>0</v>
      </c>
      <c r="KM96" s="96"/>
      <c r="KN96" s="96"/>
      <c r="KO96" s="97"/>
      <c r="KP96" s="227">
        <f t="shared" si="1200"/>
        <v>0</v>
      </c>
      <c r="KQ96" s="235">
        <f t="shared" si="1201"/>
        <v>0.4604471269</v>
      </c>
      <c r="KR96" s="236">
        <f t="shared" si="1202"/>
        <v>0</v>
      </c>
      <c r="KS96" s="237">
        <f t="shared" si="1203"/>
        <v>0</v>
      </c>
      <c r="KT96" s="230"/>
      <c r="KU96" s="231"/>
    </row>
    <row r="97" ht="15.75" customHeight="1">
      <c r="A97" s="232">
        <f t="shared" si="1204"/>
        <v>13</v>
      </c>
      <c r="B97" s="233" t="str">
        <f t="shared" ref="B97:D97" si="1405">IFERROR(VLOOKUP($A97,$A$13:$D$30,-B$12,FALSE),"")</f>
        <v>Lainnya 2.3 (5) …….</v>
      </c>
      <c r="C97" s="234" t="str">
        <f t="shared" si="1405"/>
        <v/>
      </c>
      <c r="D97" s="234" t="str">
        <f t="shared" si="1405"/>
        <v/>
      </c>
      <c r="E97" s="227" t="str">
        <f>ADHK!E97</f>
        <v/>
      </c>
      <c r="F97" s="227" t="str">
        <f>ADHK!F97</f>
        <v/>
      </c>
      <c r="G97" s="227">
        <f t="shared" si="1079"/>
        <v>0</v>
      </c>
      <c r="H97" s="235"/>
      <c r="I97" s="227">
        <f t="shared" si="1080"/>
        <v>0</v>
      </c>
      <c r="J97" s="96"/>
      <c r="K97" s="96"/>
      <c r="L97" s="97"/>
      <c r="M97" s="227">
        <f t="shared" si="1081"/>
        <v>0</v>
      </c>
      <c r="N97" s="235">
        <f t="shared" si="1082"/>
        <v>0.4604471269</v>
      </c>
      <c r="O97" s="236">
        <f t="shared" si="1083"/>
        <v>0</v>
      </c>
      <c r="P97" s="237">
        <f t="shared" si="1084"/>
        <v>0</v>
      </c>
      <c r="Q97" s="230"/>
      <c r="R97" s="232">
        <f t="shared" si="1206"/>
        <v>13</v>
      </c>
      <c r="S97" s="233" t="str">
        <f t="shared" ref="S97:U97" si="1406">IFERROR(VLOOKUP($R97,$A$13:$D$30,-S$12,FALSE),"")</f>
        <v>Lainnya 2.3 (5) …….</v>
      </c>
      <c r="T97" s="234" t="str">
        <f t="shared" si="1406"/>
        <v/>
      </c>
      <c r="U97" s="234" t="str">
        <f t="shared" si="1406"/>
        <v/>
      </c>
      <c r="V97" s="227" t="str">
        <f>ADHK!V97</f>
        <v/>
      </c>
      <c r="W97" s="227"/>
      <c r="X97" s="227">
        <f t="shared" si="1086"/>
        <v>0</v>
      </c>
      <c r="Y97" s="235"/>
      <c r="Z97" s="227">
        <f t="shared" si="1087"/>
        <v>0</v>
      </c>
      <c r="AA97" s="96"/>
      <c r="AB97" s="96"/>
      <c r="AC97" s="97"/>
      <c r="AD97" s="227">
        <f t="shared" si="1088"/>
        <v>0</v>
      </c>
      <c r="AE97" s="235">
        <f t="shared" si="1089"/>
        <v>0.4604471269</v>
      </c>
      <c r="AF97" s="236">
        <f t="shared" si="1090"/>
        <v>0</v>
      </c>
      <c r="AG97" s="237">
        <f t="shared" si="1091"/>
        <v>0</v>
      </c>
      <c r="AH97" s="230"/>
      <c r="AI97" s="232">
        <f t="shared" si="1208"/>
        <v>13</v>
      </c>
      <c r="AJ97" s="233" t="str">
        <f t="shared" ref="AJ97:AL97" si="1407">IFERROR(VLOOKUP($R97,$A$13:$D$30,-AJ$12,FALSE),"")</f>
        <v>Lainnya 2.3 (5) …….</v>
      </c>
      <c r="AK97" s="234" t="str">
        <f t="shared" si="1407"/>
        <v/>
      </c>
      <c r="AL97" s="234" t="str">
        <f t="shared" si="1407"/>
        <v/>
      </c>
      <c r="AM97" s="227" t="str">
        <f>ADHK!AM97</f>
        <v/>
      </c>
      <c r="AN97" s="227"/>
      <c r="AO97" s="227">
        <f t="shared" si="1093"/>
        <v>0</v>
      </c>
      <c r="AP97" s="235"/>
      <c r="AQ97" s="227">
        <f t="shared" si="1094"/>
        <v>0</v>
      </c>
      <c r="AR97" s="96"/>
      <c r="AS97" s="96"/>
      <c r="AT97" s="97"/>
      <c r="AU97" s="227">
        <f t="shared" si="1095"/>
        <v>0</v>
      </c>
      <c r="AV97" s="235">
        <f t="shared" si="1096"/>
        <v>0.4604471269</v>
      </c>
      <c r="AW97" s="236">
        <f t="shared" si="1097"/>
        <v>0</v>
      </c>
      <c r="AX97" s="237">
        <f t="shared" si="1098"/>
        <v>0</v>
      </c>
      <c r="AY97" s="230"/>
      <c r="AZ97" s="232">
        <f t="shared" si="1210"/>
        <v>13</v>
      </c>
      <c r="BA97" s="233" t="str">
        <f t="shared" ref="BA97:BC97" si="1408">IFERROR(VLOOKUP($R97,$A$13:$D$30,-BA$12,FALSE),"")</f>
        <v>Lainnya 2.3 (5) …….</v>
      </c>
      <c r="BB97" s="234" t="str">
        <f t="shared" si="1408"/>
        <v/>
      </c>
      <c r="BC97" s="234" t="str">
        <f t="shared" si="1408"/>
        <v/>
      </c>
      <c r="BD97" s="227" t="str">
        <f>ADHK!BD97</f>
        <v/>
      </c>
      <c r="BE97" s="227"/>
      <c r="BF97" s="227">
        <f t="shared" si="1100"/>
        <v>0</v>
      </c>
      <c r="BG97" s="235"/>
      <c r="BH97" s="227">
        <f t="shared" si="1101"/>
        <v>0</v>
      </c>
      <c r="BI97" s="96"/>
      <c r="BJ97" s="96"/>
      <c r="BK97" s="97"/>
      <c r="BL97" s="227">
        <f t="shared" si="1102"/>
        <v>0</v>
      </c>
      <c r="BM97" s="235">
        <f t="shared" si="1103"/>
        <v>0.4604471269</v>
      </c>
      <c r="BN97" s="236">
        <f t="shared" si="1104"/>
        <v>0</v>
      </c>
      <c r="BO97" s="237">
        <f t="shared" si="1105"/>
        <v>0</v>
      </c>
      <c r="BP97" s="230"/>
      <c r="BQ97" s="232">
        <f t="shared" si="1212"/>
        <v>13</v>
      </c>
      <c r="BR97" s="233" t="str">
        <f t="shared" ref="BR97:BT97" si="1409">IFERROR(VLOOKUP($R97,$A$13:$D$30,-BR$12,FALSE),"")</f>
        <v>Lainnya 2.3 (5) …….</v>
      </c>
      <c r="BS97" s="234" t="str">
        <f t="shared" si="1409"/>
        <v/>
      </c>
      <c r="BT97" s="234" t="str">
        <f t="shared" si="1409"/>
        <v/>
      </c>
      <c r="BU97" s="227" t="str">
        <f>ADHK!BU97</f>
        <v/>
      </c>
      <c r="BV97" s="227"/>
      <c r="BW97" s="227">
        <f t="shared" si="1107"/>
        <v>0</v>
      </c>
      <c r="BX97" s="235"/>
      <c r="BY97" s="227">
        <f t="shared" si="1108"/>
        <v>0</v>
      </c>
      <c r="BZ97" s="96"/>
      <c r="CA97" s="96"/>
      <c r="CB97" s="97"/>
      <c r="CC97" s="227">
        <f t="shared" si="1109"/>
        <v>0</v>
      </c>
      <c r="CD97" s="235">
        <f t="shared" si="1110"/>
        <v>0.4604471269</v>
      </c>
      <c r="CE97" s="236">
        <f t="shared" si="1111"/>
        <v>0</v>
      </c>
      <c r="CF97" s="237">
        <f t="shared" si="1112"/>
        <v>0</v>
      </c>
      <c r="CG97" s="230"/>
      <c r="CH97" s="232">
        <f t="shared" si="1214"/>
        <v>13</v>
      </c>
      <c r="CI97" s="233" t="str">
        <f t="shared" ref="CI97:CK97" si="1410">IFERROR(VLOOKUP($R97,$A$13:$D$30,-CI$12,FALSE),"")</f>
        <v>Lainnya 2.3 (5) …….</v>
      </c>
      <c r="CJ97" s="234" t="str">
        <f t="shared" si="1410"/>
        <v/>
      </c>
      <c r="CK97" s="234" t="str">
        <f t="shared" si="1410"/>
        <v/>
      </c>
      <c r="CL97" s="227" t="str">
        <f>ADHK!CL97</f>
        <v/>
      </c>
      <c r="CM97" s="227"/>
      <c r="CN97" s="227">
        <f t="shared" si="1114"/>
        <v>0</v>
      </c>
      <c r="CO97" s="235"/>
      <c r="CP97" s="227">
        <f t="shared" si="1115"/>
        <v>0</v>
      </c>
      <c r="CQ97" s="96"/>
      <c r="CR97" s="96"/>
      <c r="CS97" s="97"/>
      <c r="CT97" s="227">
        <f t="shared" si="1116"/>
        <v>0</v>
      </c>
      <c r="CU97" s="235">
        <f t="shared" si="1117"/>
        <v>0.4604471269</v>
      </c>
      <c r="CV97" s="236">
        <f t="shared" si="1118"/>
        <v>0</v>
      </c>
      <c r="CW97" s="237">
        <f t="shared" si="1119"/>
        <v>0</v>
      </c>
      <c r="CX97" s="230"/>
      <c r="CY97" s="232">
        <f t="shared" si="1216"/>
        <v>13</v>
      </c>
      <c r="CZ97" s="233" t="str">
        <f t="shared" ref="CZ97:DB97" si="1411">IFERROR(VLOOKUP($R97,$A$13:$D$30,-CZ$12,FALSE),"")</f>
        <v>Lainnya 2.3 (5) …….</v>
      </c>
      <c r="DA97" s="234" t="str">
        <f t="shared" si="1411"/>
        <v/>
      </c>
      <c r="DB97" s="234" t="str">
        <f t="shared" si="1411"/>
        <v/>
      </c>
      <c r="DC97" s="227" t="str">
        <f>ADHK!DC97</f>
        <v/>
      </c>
      <c r="DD97" s="227"/>
      <c r="DE97" s="227">
        <f t="shared" si="1121"/>
        <v>0</v>
      </c>
      <c r="DF97" s="235"/>
      <c r="DG97" s="227">
        <f t="shared" si="1122"/>
        <v>0</v>
      </c>
      <c r="DH97" s="96"/>
      <c r="DI97" s="96"/>
      <c r="DJ97" s="97"/>
      <c r="DK97" s="227">
        <f t="shared" si="1123"/>
        <v>0</v>
      </c>
      <c r="DL97" s="235">
        <f t="shared" si="1124"/>
        <v>0.4604471269</v>
      </c>
      <c r="DM97" s="236">
        <f t="shared" si="1125"/>
        <v>0</v>
      </c>
      <c r="DN97" s="237">
        <f t="shared" si="1126"/>
        <v>0</v>
      </c>
      <c r="DO97" s="230"/>
      <c r="DP97" s="232">
        <f t="shared" si="1218"/>
        <v>13</v>
      </c>
      <c r="DQ97" s="233" t="str">
        <f t="shared" ref="DQ97:DS97" si="1412">IFERROR(VLOOKUP($R97,$A$13:$D$30,-DQ$12,FALSE),"")</f>
        <v>Lainnya 2.3 (5) …….</v>
      </c>
      <c r="DR97" s="234" t="str">
        <f t="shared" si="1412"/>
        <v/>
      </c>
      <c r="DS97" s="234" t="str">
        <f t="shared" si="1412"/>
        <v/>
      </c>
      <c r="DT97" s="227" t="str">
        <f>ADHK!DT97</f>
        <v/>
      </c>
      <c r="DU97" s="227"/>
      <c r="DV97" s="227">
        <f t="shared" si="1128"/>
        <v>0</v>
      </c>
      <c r="DW97" s="235"/>
      <c r="DX97" s="227">
        <f t="shared" si="1129"/>
        <v>0</v>
      </c>
      <c r="DY97" s="96"/>
      <c r="DZ97" s="96"/>
      <c r="EA97" s="97"/>
      <c r="EB97" s="227">
        <f t="shared" si="1130"/>
        <v>0</v>
      </c>
      <c r="EC97" s="235">
        <f t="shared" si="1131"/>
        <v>0.4604471269</v>
      </c>
      <c r="ED97" s="236">
        <f t="shared" si="1132"/>
        <v>0</v>
      </c>
      <c r="EE97" s="237">
        <f t="shared" si="1133"/>
        <v>0</v>
      </c>
      <c r="EF97" s="230"/>
      <c r="EG97" s="232">
        <f t="shared" si="1220"/>
        <v>13</v>
      </c>
      <c r="EH97" s="233" t="str">
        <f t="shared" ref="EH97:EJ97" si="1413">IFERROR(VLOOKUP($R97,$A$13:$D$30,-EH$12,FALSE),"")</f>
        <v>Lainnya 2.3 (5) …….</v>
      </c>
      <c r="EI97" s="234" t="str">
        <f t="shared" si="1413"/>
        <v/>
      </c>
      <c r="EJ97" s="234" t="str">
        <f t="shared" si="1413"/>
        <v/>
      </c>
      <c r="EK97" s="227" t="str">
        <f>ADHK!EK97</f>
        <v/>
      </c>
      <c r="EL97" s="227"/>
      <c r="EM97" s="227">
        <f t="shared" si="1135"/>
        <v>0</v>
      </c>
      <c r="EN97" s="235"/>
      <c r="EO97" s="227">
        <f t="shared" si="1136"/>
        <v>0</v>
      </c>
      <c r="EP97" s="96"/>
      <c r="EQ97" s="96"/>
      <c r="ER97" s="97"/>
      <c r="ES97" s="227">
        <f t="shared" si="1137"/>
        <v>0</v>
      </c>
      <c r="ET97" s="235">
        <f t="shared" si="1138"/>
        <v>0.4604471269</v>
      </c>
      <c r="EU97" s="236">
        <f t="shared" si="1139"/>
        <v>0</v>
      </c>
      <c r="EV97" s="237">
        <f t="shared" si="1140"/>
        <v>0</v>
      </c>
      <c r="EW97" s="230"/>
      <c r="EX97" s="232">
        <f t="shared" si="1222"/>
        <v>13</v>
      </c>
      <c r="EY97" s="233" t="str">
        <f t="shared" ref="EY97:FA97" si="1414">IFERROR(VLOOKUP($R97,$A$13:$D$30,-EY$12,FALSE),"")</f>
        <v>Lainnya 2.3 (5) …….</v>
      </c>
      <c r="EZ97" s="234" t="str">
        <f t="shared" si="1414"/>
        <v/>
      </c>
      <c r="FA97" s="234" t="str">
        <f t="shared" si="1414"/>
        <v/>
      </c>
      <c r="FB97" s="227" t="str">
        <f>ADHK!FB97</f>
        <v/>
      </c>
      <c r="FC97" s="227"/>
      <c r="FD97" s="227">
        <f t="shared" si="1142"/>
        <v>0</v>
      </c>
      <c r="FE97" s="235"/>
      <c r="FF97" s="227">
        <f t="shared" si="1143"/>
        <v>0</v>
      </c>
      <c r="FG97" s="96"/>
      <c r="FH97" s="96"/>
      <c r="FI97" s="97"/>
      <c r="FJ97" s="227">
        <f t="shared" si="1144"/>
        <v>0</v>
      </c>
      <c r="FK97" s="235">
        <f t="shared" si="1145"/>
        <v>0.4604471269</v>
      </c>
      <c r="FL97" s="236">
        <f t="shared" si="1146"/>
        <v>0</v>
      </c>
      <c r="FM97" s="237">
        <f t="shared" si="1147"/>
        <v>0</v>
      </c>
      <c r="FN97" s="230"/>
      <c r="FO97" s="232">
        <f t="shared" si="1224"/>
        <v>13</v>
      </c>
      <c r="FP97" s="233" t="str">
        <f t="shared" ref="FP97:FR97" si="1415">IFERROR(VLOOKUP($R97,$A$13:$D$30,-FP$12,FALSE),"")</f>
        <v>Lainnya 2.3 (5) …….</v>
      </c>
      <c r="FQ97" s="234" t="str">
        <f t="shared" si="1415"/>
        <v/>
      </c>
      <c r="FR97" s="234" t="str">
        <f t="shared" si="1415"/>
        <v/>
      </c>
      <c r="FS97" s="227" t="str">
        <f>ADHK!FS97</f>
        <v/>
      </c>
      <c r="FT97" s="227"/>
      <c r="FU97" s="227">
        <f t="shared" si="1149"/>
        <v>0</v>
      </c>
      <c r="FV97" s="235"/>
      <c r="FW97" s="227">
        <f t="shared" si="1150"/>
        <v>0</v>
      </c>
      <c r="FX97" s="96"/>
      <c r="FY97" s="96"/>
      <c r="FZ97" s="97"/>
      <c r="GA97" s="227">
        <f t="shared" si="1151"/>
        <v>0</v>
      </c>
      <c r="GB97" s="235">
        <f t="shared" si="1152"/>
        <v>0.4604471269</v>
      </c>
      <c r="GC97" s="236">
        <f t="shared" si="1153"/>
        <v>0</v>
      </c>
      <c r="GD97" s="237">
        <f t="shared" si="1154"/>
        <v>0</v>
      </c>
      <c r="GE97" s="230"/>
      <c r="GF97" s="232">
        <f t="shared" si="1226"/>
        <v>13</v>
      </c>
      <c r="GG97" s="233" t="str">
        <f t="shared" ref="GG97:GI97" si="1416">IFERROR(VLOOKUP($R97,$A$13:$D$30,-GG$12,FALSE),"")</f>
        <v>Lainnya 2.3 (5) …….</v>
      </c>
      <c r="GH97" s="234" t="str">
        <f t="shared" si="1416"/>
        <v/>
      </c>
      <c r="GI97" s="234" t="str">
        <f t="shared" si="1416"/>
        <v/>
      </c>
      <c r="GJ97" s="227" t="str">
        <f>ADHK!GJ97</f>
        <v/>
      </c>
      <c r="GK97" s="227"/>
      <c r="GL97" s="227">
        <f t="shared" si="1156"/>
        <v>0</v>
      </c>
      <c r="GM97" s="235"/>
      <c r="GN97" s="227">
        <f t="shared" si="1157"/>
        <v>0</v>
      </c>
      <c r="GO97" s="96"/>
      <c r="GP97" s="96"/>
      <c r="GQ97" s="97"/>
      <c r="GR97" s="227">
        <f t="shared" si="1158"/>
        <v>0</v>
      </c>
      <c r="GS97" s="235">
        <f t="shared" si="1159"/>
        <v>0.4604471269</v>
      </c>
      <c r="GT97" s="236">
        <f t="shared" si="1160"/>
        <v>0</v>
      </c>
      <c r="GU97" s="237">
        <f t="shared" si="1161"/>
        <v>0</v>
      </c>
      <c r="GV97" s="230"/>
      <c r="GW97" s="232">
        <f t="shared" si="1228"/>
        <v>13</v>
      </c>
      <c r="GX97" s="233" t="str">
        <f t="shared" ref="GX97:GZ97" si="1417">IFERROR(VLOOKUP($R97,$A$13:$D$30,-GX$12,FALSE),"")</f>
        <v>Lainnya 2.3 (5) …….</v>
      </c>
      <c r="GY97" s="234" t="str">
        <f t="shared" si="1417"/>
        <v/>
      </c>
      <c r="GZ97" s="234" t="str">
        <f t="shared" si="1417"/>
        <v/>
      </c>
      <c r="HA97" s="227"/>
      <c r="HB97" s="238"/>
      <c r="HC97" s="227">
        <f t="shared" si="1163"/>
        <v>0</v>
      </c>
      <c r="HD97" s="235"/>
      <c r="HE97" s="227">
        <f t="shared" si="1164"/>
        <v>0</v>
      </c>
      <c r="HF97" s="96"/>
      <c r="HG97" s="96"/>
      <c r="HH97" s="97"/>
      <c r="HI97" s="227">
        <f t="shared" si="1165"/>
        <v>0</v>
      </c>
      <c r="HJ97" s="235">
        <f t="shared" si="1166"/>
        <v>0.4604471269</v>
      </c>
      <c r="HK97" s="236">
        <f t="shared" si="1167"/>
        <v>0</v>
      </c>
      <c r="HL97" s="237">
        <f t="shared" si="1168"/>
        <v>0</v>
      </c>
      <c r="HM97" s="230"/>
      <c r="HN97" s="232">
        <f t="shared" si="1230"/>
        <v>13</v>
      </c>
      <c r="HO97" s="233" t="str">
        <f t="shared" ref="HO97:HQ97" si="1418">IFERROR(VLOOKUP($R97,$A$13:$D$30,-HO$12,FALSE),"")</f>
        <v>Lainnya 2.3 (5) …….</v>
      </c>
      <c r="HP97" s="234" t="str">
        <f t="shared" si="1418"/>
        <v/>
      </c>
      <c r="HQ97" s="234" t="str">
        <f t="shared" si="1418"/>
        <v/>
      </c>
      <c r="HR97" s="227" t="str">
        <f>ADHK!HR97</f>
        <v/>
      </c>
      <c r="HS97" s="227"/>
      <c r="HT97" s="227">
        <f t="shared" si="1170"/>
        <v>0</v>
      </c>
      <c r="HU97" s="235"/>
      <c r="HV97" s="227">
        <f t="shared" si="1171"/>
        <v>0</v>
      </c>
      <c r="HW97" s="96"/>
      <c r="HX97" s="96"/>
      <c r="HY97" s="97"/>
      <c r="HZ97" s="227">
        <f t="shared" si="1172"/>
        <v>0</v>
      </c>
      <c r="IA97" s="235">
        <f t="shared" si="1173"/>
        <v>0.4604471269</v>
      </c>
      <c r="IB97" s="236">
        <f t="shared" si="1174"/>
        <v>0</v>
      </c>
      <c r="IC97" s="237">
        <f t="shared" si="1175"/>
        <v>0</v>
      </c>
      <c r="ID97" s="230"/>
      <c r="IE97" s="232">
        <f t="shared" si="1232"/>
        <v>13</v>
      </c>
      <c r="IF97" s="233" t="str">
        <f t="shared" ref="IF97:IH97" si="1419">IFERROR(VLOOKUP($R97,$A$13:$D$30,-IF$12,FALSE),"")</f>
        <v>Lainnya 2.3 (5) …….</v>
      </c>
      <c r="IG97" s="234" t="str">
        <f t="shared" si="1419"/>
        <v/>
      </c>
      <c r="IH97" s="234" t="str">
        <f t="shared" si="1419"/>
        <v/>
      </c>
      <c r="II97" s="227" t="str">
        <f>ADHK!II97</f>
        <v/>
      </c>
      <c r="IJ97" s="227"/>
      <c r="IK97" s="227">
        <f t="shared" si="1177"/>
        <v>0</v>
      </c>
      <c r="IL97" s="235"/>
      <c r="IM97" s="227">
        <f t="shared" si="1178"/>
        <v>0</v>
      </c>
      <c r="IN97" s="96"/>
      <c r="IO97" s="96"/>
      <c r="IP97" s="97"/>
      <c r="IQ97" s="227">
        <f t="shared" si="1179"/>
        <v>0</v>
      </c>
      <c r="IR97" s="235">
        <f t="shared" si="1180"/>
        <v>0.4604471269</v>
      </c>
      <c r="IS97" s="236">
        <f t="shared" si="1181"/>
        <v>0</v>
      </c>
      <c r="IT97" s="237">
        <f t="shared" si="1182"/>
        <v>0</v>
      </c>
      <c r="IU97" s="230"/>
      <c r="IV97" s="232">
        <f t="shared" si="1234"/>
        <v>13</v>
      </c>
      <c r="IW97" s="233" t="str">
        <f t="shared" ref="IW97:IY97" si="1420">IFERROR(VLOOKUP($R97,$A$13:$D$30,-IW$12,FALSE),"")</f>
        <v>Lainnya 2.3 (5) …….</v>
      </c>
      <c r="IX97" s="234" t="str">
        <f t="shared" si="1420"/>
        <v/>
      </c>
      <c r="IY97" s="234" t="str">
        <f t="shared" si="1420"/>
        <v/>
      </c>
      <c r="IZ97" s="227" t="str">
        <f>ADHK!IZ97</f>
        <v/>
      </c>
      <c r="JA97" s="227"/>
      <c r="JB97" s="227">
        <f t="shared" si="1184"/>
        <v>0</v>
      </c>
      <c r="JC97" s="235"/>
      <c r="JD97" s="227">
        <f t="shared" si="1185"/>
        <v>0</v>
      </c>
      <c r="JE97" s="96"/>
      <c r="JF97" s="96"/>
      <c r="JG97" s="97"/>
      <c r="JH97" s="227">
        <f t="shared" si="1186"/>
        <v>0</v>
      </c>
      <c r="JI97" s="235">
        <f t="shared" si="1187"/>
        <v>0.4604471269</v>
      </c>
      <c r="JJ97" s="236">
        <f t="shared" si="1188"/>
        <v>0</v>
      </c>
      <c r="JK97" s="237">
        <f t="shared" si="1189"/>
        <v>0</v>
      </c>
      <c r="JL97" s="230"/>
      <c r="JM97" s="232">
        <f t="shared" si="1236"/>
        <v>13</v>
      </c>
      <c r="JN97" s="233" t="str">
        <f t="shared" ref="JN97:JP97" si="1421">IFERROR(VLOOKUP($R97,$A$13:$D$30,-JN$12,FALSE),"")</f>
        <v>Lainnya 2.3 (5) …….</v>
      </c>
      <c r="JO97" s="234" t="str">
        <f t="shared" si="1421"/>
        <v/>
      </c>
      <c r="JP97" s="234" t="str">
        <f t="shared" si="1421"/>
        <v/>
      </c>
      <c r="JQ97" s="227" t="str">
        <f>ADHK!KY97</f>
        <v/>
      </c>
      <c r="JR97" s="227"/>
      <c r="JS97" s="227">
        <f t="shared" si="1191"/>
        <v>0</v>
      </c>
      <c r="JT97" s="235"/>
      <c r="JU97" s="227">
        <f t="shared" si="1192"/>
        <v>0</v>
      </c>
      <c r="JV97" s="96"/>
      <c r="JW97" s="96"/>
      <c r="JX97" s="97"/>
      <c r="JY97" s="227">
        <f t="shared" si="1193"/>
        <v>0</v>
      </c>
      <c r="JZ97" s="235">
        <f t="shared" si="1194"/>
        <v>0.4604471269</v>
      </c>
      <c r="KA97" s="236">
        <f t="shared" si="1195"/>
        <v>0</v>
      </c>
      <c r="KB97" s="237">
        <f t="shared" si="1196"/>
        <v>0</v>
      </c>
      <c r="KC97" s="230"/>
      <c r="KD97" s="232">
        <f t="shared" si="1238"/>
        <v>13</v>
      </c>
      <c r="KE97" s="233" t="str">
        <f t="shared" ref="KE97:KG97" si="1422">IFERROR(VLOOKUP($R97,$A$13:$D$30,-KE$12,FALSE),"")</f>
        <v>Lainnya 2.3 (5) …….</v>
      </c>
      <c r="KF97" s="234" t="str">
        <f t="shared" si="1422"/>
        <v/>
      </c>
      <c r="KG97" s="234" t="str">
        <f t="shared" si="1422"/>
        <v/>
      </c>
      <c r="KH97" s="227" t="str">
        <f>ADHK!LP97</f>
        <v/>
      </c>
      <c r="KI97" s="227"/>
      <c r="KJ97" s="227">
        <f t="shared" si="1198"/>
        <v>0</v>
      </c>
      <c r="KK97" s="235"/>
      <c r="KL97" s="227">
        <f t="shared" si="1199"/>
        <v>0</v>
      </c>
      <c r="KM97" s="96"/>
      <c r="KN97" s="96"/>
      <c r="KO97" s="97"/>
      <c r="KP97" s="227">
        <f t="shared" si="1200"/>
        <v>0</v>
      </c>
      <c r="KQ97" s="235">
        <f t="shared" si="1201"/>
        <v>0.4604471269</v>
      </c>
      <c r="KR97" s="236">
        <f t="shared" si="1202"/>
        <v>0</v>
      </c>
      <c r="KS97" s="237">
        <f t="shared" si="1203"/>
        <v>0</v>
      </c>
      <c r="KT97" s="230"/>
      <c r="KU97" s="231"/>
    </row>
    <row r="98" ht="15.75" customHeight="1">
      <c r="A98" s="232">
        <f t="shared" si="1204"/>
        <v>14</v>
      </c>
      <c r="B98" s="233" t="str">
        <f t="shared" ref="B98:D98" si="1423">IFERROR(VLOOKUP($A98,$A$13:$D$30,-B$12,FALSE),"")</f>
        <v>Lainnya 2.3 (6) …….</v>
      </c>
      <c r="C98" s="234" t="str">
        <f t="shared" si="1423"/>
        <v/>
      </c>
      <c r="D98" s="234" t="str">
        <f t="shared" si="1423"/>
        <v/>
      </c>
      <c r="E98" s="227" t="str">
        <f>ADHK!E98</f>
        <v/>
      </c>
      <c r="F98" s="227" t="str">
        <f>ADHK!F98</f>
        <v/>
      </c>
      <c r="G98" s="227">
        <f t="shared" si="1079"/>
        <v>0</v>
      </c>
      <c r="H98" s="235"/>
      <c r="I98" s="227">
        <f t="shared" si="1080"/>
        <v>0</v>
      </c>
      <c r="J98" s="96"/>
      <c r="K98" s="96"/>
      <c r="L98" s="97"/>
      <c r="M98" s="227">
        <f t="shared" si="1081"/>
        <v>0</v>
      </c>
      <c r="N98" s="235">
        <f t="shared" si="1082"/>
        <v>0.4604471269</v>
      </c>
      <c r="O98" s="236">
        <f t="shared" si="1083"/>
        <v>0</v>
      </c>
      <c r="P98" s="237">
        <f t="shared" si="1084"/>
        <v>0</v>
      </c>
      <c r="Q98" s="230"/>
      <c r="R98" s="232">
        <f t="shared" si="1206"/>
        <v>14</v>
      </c>
      <c r="S98" s="233" t="str">
        <f t="shared" ref="S98:U98" si="1424">IFERROR(VLOOKUP($R98,$A$13:$D$30,-S$12,FALSE),"")</f>
        <v>Lainnya 2.3 (6) …….</v>
      </c>
      <c r="T98" s="234" t="str">
        <f t="shared" si="1424"/>
        <v/>
      </c>
      <c r="U98" s="234" t="str">
        <f t="shared" si="1424"/>
        <v/>
      </c>
      <c r="V98" s="227" t="str">
        <f>ADHK!V98</f>
        <v/>
      </c>
      <c r="W98" s="227"/>
      <c r="X98" s="227">
        <f t="shared" si="1086"/>
        <v>0</v>
      </c>
      <c r="Y98" s="235"/>
      <c r="Z98" s="227">
        <f t="shared" si="1087"/>
        <v>0</v>
      </c>
      <c r="AA98" s="96"/>
      <c r="AB98" s="96"/>
      <c r="AC98" s="97"/>
      <c r="AD98" s="227">
        <f t="shared" si="1088"/>
        <v>0</v>
      </c>
      <c r="AE98" s="235">
        <f t="shared" si="1089"/>
        <v>0.4604471269</v>
      </c>
      <c r="AF98" s="236">
        <f t="shared" si="1090"/>
        <v>0</v>
      </c>
      <c r="AG98" s="237">
        <f t="shared" si="1091"/>
        <v>0</v>
      </c>
      <c r="AH98" s="230"/>
      <c r="AI98" s="232">
        <f t="shared" si="1208"/>
        <v>14</v>
      </c>
      <c r="AJ98" s="233" t="str">
        <f t="shared" ref="AJ98:AL98" si="1425">IFERROR(VLOOKUP($R98,$A$13:$D$30,-AJ$12,FALSE),"")</f>
        <v>Lainnya 2.3 (6) …….</v>
      </c>
      <c r="AK98" s="234" t="str">
        <f t="shared" si="1425"/>
        <v/>
      </c>
      <c r="AL98" s="234" t="str">
        <f t="shared" si="1425"/>
        <v/>
      </c>
      <c r="AM98" s="227" t="str">
        <f>ADHK!AM98</f>
        <v/>
      </c>
      <c r="AN98" s="227"/>
      <c r="AO98" s="227">
        <f t="shared" si="1093"/>
        <v>0</v>
      </c>
      <c r="AP98" s="235"/>
      <c r="AQ98" s="227">
        <f t="shared" si="1094"/>
        <v>0</v>
      </c>
      <c r="AR98" s="96"/>
      <c r="AS98" s="96"/>
      <c r="AT98" s="97"/>
      <c r="AU98" s="227">
        <f t="shared" si="1095"/>
        <v>0</v>
      </c>
      <c r="AV98" s="235">
        <f t="shared" si="1096"/>
        <v>0.4604471269</v>
      </c>
      <c r="AW98" s="236">
        <f t="shared" si="1097"/>
        <v>0</v>
      </c>
      <c r="AX98" s="237">
        <f t="shared" si="1098"/>
        <v>0</v>
      </c>
      <c r="AY98" s="230"/>
      <c r="AZ98" s="232">
        <f t="shared" si="1210"/>
        <v>14</v>
      </c>
      <c r="BA98" s="233" t="str">
        <f t="shared" ref="BA98:BC98" si="1426">IFERROR(VLOOKUP($R98,$A$13:$D$30,-BA$12,FALSE),"")</f>
        <v>Lainnya 2.3 (6) …….</v>
      </c>
      <c r="BB98" s="234" t="str">
        <f t="shared" si="1426"/>
        <v/>
      </c>
      <c r="BC98" s="234" t="str">
        <f t="shared" si="1426"/>
        <v/>
      </c>
      <c r="BD98" s="227" t="str">
        <f>ADHK!BD98</f>
        <v/>
      </c>
      <c r="BE98" s="227"/>
      <c r="BF98" s="227">
        <f t="shared" si="1100"/>
        <v>0</v>
      </c>
      <c r="BG98" s="235"/>
      <c r="BH98" s="227">
        <f t="shared" si="1101"/>
        <v>0</v>
      </c>
      <c r="BI98" s="96"/>
      <c r="BJ98" s="96"/>
      <c r="BK98" s="97"/>
      <c r="BL98" s="227">
        <f t="shared" si="1102"/>
        <v>0</v>
      </c>
      <c r="BM98" s="235">
        <f t="shared" si="1103"/>
        <v>0.4604471269</v>
      </c>
      <c r="BN98" s="236">
        <f t="shared" si="1104"/>
        <v>0</v>
      </c>
      <c r="BO98" s="237">
        <f t="shared" si="1105"/>
        <v>0</v>
      </c>
      <c r="BP98" s="230"/>
      <c r="BQ98" s="232">
        <f t="shared" si="1212"/>
        <v>14</v>
      </c>
      <c r="BR98" s="233" t="str">
        <f t="shared" ref="BR98:BT98" si="1427">IFERROR(VLOOKUP($R98,$A$13:$D$30,-BR$12,FALSE),"")</f>
        <v>Lainnya 2.3 (6) …….</v>
      </c>
      <c r="BS98" s="234" t="str">
        <f t="shared" si="1427"/>
        <v/>
      </c>
      <c r="BT98" s="234" t="str">
        <f t="shared" si="1427"/>
        <v/>
      </c>
      <c r="BU98" s="227" t="str">
        <f>ADHK!BU98</f>
        <v/>
      </c>
      <c r="BV98" s="227"/>
      <c r="BW98" s="227">
        <f t="shared" si="1107"/>
        <v>0</v>
      </c>
      <c r="BX98" s="235"/>
      <c r="BY98" s="227">
        <f t="shared" si="1108"/>
        <v>0</v>
      </c>
      <c r="BZ98" s="96"/>
      <c r="CA98" s="96"/>
      <c r="CB98" s="97"/>
      <c r="CC98" s="227">
        <f t="shared" si="1109"/>
        <v>0</v>
      </c>
      <c r="CD98" s="235">
        <f t="shared" si="1110"/>
        <v>0.4604471269</v>
      </c>
      <c r="CE98" s="236">
        <f t="shared" si="1111"/>
        <v>0</v>
      </c>
      <c r="CF98" s="237">
        <f t="shared" si="1112"/>
        <v>0</v>
      </c>
      <c r="CG98" s="230"/>
      <c r="CH98" s="232">
        <f t="shared" si="1214"/>
        <v>14</v>
      </c>
      <c r="CI98" s="233" t="str">
        <f t="shared" ref="CI98:CK98" si="1428">IFERROR(VLOOKUP($R98,$A$13:$D$30,-CI$12,FALSE),"")</f>
        <v>Lainnya 2.3 (6) …….</v>
      </c>
      <c r="CJ98" s="234" t="str">
        <f t="shared" si="1428"/>
        <v/>
      </c>
      <c r="CK98" s="234" t="str">
        <f t="shared" si="1428"/>
        <v/>
      </c>
      <c r="CL98" s="227" t="str">
        <f>ADHK!CL98</f>
        <v/>
      </c>
      <c r="CM98" s="227"/>
      <c r="CN98" s="227">
        <f t="shared" si="1114"/>
        <v>0</v>
      </c>
      <c r="CO98" s="235"/>
      <c r="CP98" s="227">
        <f t="shared" si="1115"/>
        <v>0</v>
      </c>
      <c r="CQ98" s="96"/>
      <c r="CR98" s="96"/>
      <c r="CS98" s="97"/>
      <c r="CT98" s="227">
        <f t="shared" si="1116"/>
        <v>0</v>
      </c>
      <c r="CU98" s="235">
        <f t="shared" si="1117"/>
        <v>0.4604471269</v>
      </c>
      <c r="CV98" s="236">
        <f t="shared" si="1118"/>
        <v>0</v>
      </c>
      <c r="CW98" s="237">
        <f t="shared" si="1119"/>
        <v>0</v>
      </c>
      <c r="CX98" s="230"/>
      <c r="CY98" s="232">
        <f t="shared" si="1216"/>
        <v>14</v>
      </c>
      <c r="CZ98" s="233" t="str">
        <f t="shared" ref="CZ98:DB98" si="1429">IFERROR(VLOOKUP($R98,$A$13:$D$30,-CZ$12,FALSE),"")</f>
        <v>Lainnya 2.3 (6) …….</v>
      </c>
      <c r="DA98" s="234" t="str">
        <f t="shared" si="1429"/>
        <v/>
      </c>
      <c r="DB98" s="234" t="str">
        <f t="shared" si="1429"/>
        <v/>
      </c>
      <c r="DC98" s="227" t="str">
        <f>ADHK!DC98</f>
        <v/>
      </c>
      <c r="DD98" s="227"/>
      <c r="DE98" s="227">
        <f t="shared" si="1121"/>
        <v>0</v>
      </c>
      <c r="DF98" s="235"/>
      <c r="DG98" s="227">
        <f t="shared" si="1122"/>
        <v>0</v>
      </c>
      <c r="DH98" s="96"/>
      <c r="DI98" s="96"/>
      <c r="DJ98" s="97"/>
      <c r="DK98" s="227">
        <f t="shared" si="1123"/>
        <v>0</v>
      </c>
      <c r="DL98" s="235">
        <f t="shared" si="1124"/>
        <v>0.4604471269</v>
      </c>
      <c r="DM98" s="236">
        <f t="shared" si="1125"/>
        <v>0</v>
      </c>
      <c r="DN98" s="237">
        <f t="shared" si="1126"/>
        <v>0</v>
      </c>
      <c r="DO98" s="230"/>
      <c r="DP98" s="232">
        <f t="shared" si="1218"/>
        <v>14</v>
      </c>
      <c r="DQ98" s="233" t="str">
        <f t="shared" ref="DQ98:DS98" si="1430">IFERROR(VLOOKUP($R98,$A$13:$D$30,-DQ$12,FALSE),"")</f>
        <v>Lainnya 2.3 (6) …….</v>
      </c>
      <c r="DR98" s="234" t="str">
        <f t="shared" si="1430"/>
        <v/>
      </c>
      <c r="DS98" s="234" t="str">
        <f t="shared" si="1430"/>
        <v/>
      </c>
      <c r="DT98" s="227" t="str">
        <f>ADHK!DT98</f>
        <v/>
      </c>
      <c r="DU98" s="227"/>
      <c r="DV98" s="227">
        <f t="shared" si="1128"/>
        <v>0</v>
      </c>
      <c r="DW98" s="235"/>
      <c r="DX98" s="227">
        <f t="shared" si="1129"/>
        <v>0</v>
      </c>
      <c r="DY98" s="96"/>
      <c r="DZ98" s="96"/>
      <c r="EA98" s="97"/>
      <c r="EB98" s="227">
        <f t="shared" si="1130"/>
        <v>0</v>
      </c>
      <c r="EC98" s="235">
        <f t="shared" si="1131"/>
        <v>0.4604471269</v>
      </c>
      <c r="ED98" s="236">
        <f t="shared" si="1132"/>
        <v>0</v>
      </c>
      <c r="EE98" s="237">
        <f t="shared" si="1133"/>
        <v>0</v>
      </c>
      <c r="EF98" s="230"/>
      <c r="EG98" s="232">
        <f t="shared" si="1220"/>
        <v>14</v>
      </c>
      <c r="EH98" s="233" t="str">
        <f t="shared" ref="EH98:EJ98" si="1431">IFERROR(VLOOKUP($R98,$A$13:$D$30,-EH$12,FALSE),"")</f>
        <v>Lainnya 2.3 (6) …….</v>
      </c>
      <c r="EI98" s="234" t="str">
        <f t="shared" si="1431"/>
        <v/>
      </c>
      <c r="EJ98" s="234" t="str">
        <f t="shared" si="1431"/>
        <v/>
      </c>
      <c r="EK98" s="227" t="str">
        <f>ADHK!EK98</f>
        <v/>
      </c>
      <c r="EL98" s="227"/>
      <c r="EM98" s="227">
        <f t="shared" si="1135"/>
        <v>0</v>
      </c>
      <c r="EN98" s="235"/>
      <c r="EO98" s="227">
        <f t="shared" si="1136"/>
        <v>0</v>
      </c>
      <c r="EP98" s="96"/>
      <c r="EQ98" s="96"/>
      <c r="ER98" s="97"/>
      <c r="ES98" s="227">
        <f t="shared" si="1137"/>
        <v>0</v>
      </c>
      <c r="ET98" s="235">
        <f t="shared" si="1138"/>
        <v>0.4604471269</v>
      </c>
      <c r="EU98" s="236">
        <f t="shared" si="1139"/>
        <v>0</v>
      </c>
      <c r="EV98" s="237">
        <f t="shared" si="1140"/>
        <v>0</v>
      </c>
      <c r="EW98" s="230"/>
      <c r="EX98" s="232">
        <f t="shared" si="1222"/>
        <v>14</v>
      </c>
      <c r="EY98" s="233" t="str">
        <f t="shared" ref="EY98:FA98" si="1432">IFERROR(VLOOKUP($R98,$A$13:$D$30,-EY$12,FALSE),"")</f>
        <v>Lainnya 2.3 (6) …….</v>
      </c>
      <c r="EZ98" s="234" t="str">
        <f t="shared" si="1432"/>
        <v/>
      </c>
      <c r="FA98" s="234" t="str">
        <f t="shared" si="1432"/>
        <v/>
      </c>
      <c r="FB98" s="227" t="str">
        <f>ADHK!FB98</f>
        <v/>
      </c>
      <c r="FC98" s="227"/>
      <c r="FD98" s="227">
        <f t="shared" si="1142"/>
        <v>0</v>
      </c>
      <c r="FE98" s="235"/>
      <c r="FF98" s="227">
        <f t="shared" si="1143"/>
        <v>0</v>
      </c>
      <c r="FG98" s="96"/>
      <c r="FH98" s="96"/>
      <c r="FI98" s="97"/>
      <c r="FJ98" s="227">
        <f t="shared" si="1144"/>
        <v>0</v>
      </c>
      <c r="FK98" s="235">
        <f t="shared" si="1145"/>
        <v>0.4604471269</v>
      </c>
      <c r="FL98" s="236">
        <f t="shared" si="1146"/>
        <v>0</v>
      </c>
      <c r="FM98" s="237">
        <f t="shared" si="1147"/>
        <v>0</v>
      </c>
      <c r="FN98" s="230"/>
      <c r="FO98" s="232">
        <f t="shared" si="1224"/>
        <v>14</v>
      </c>
      <c r="FP98" s="233" t="str">
        <f t="shared" ref="FP98:FR98" si="1433">IFERROR(VLOOKUP($R98,$A$13:$D$30,-FP$12,FALSE),"")</f>
        <v>Lainnya 2.3 (6) …….</v>
      </c>
      <c r="FQ98" s="234" t="str">
        <f t="shared" si="1433"/>
        <v/>
      </c>
      <c r="FR98" s="234" t="str">
        <f t="shared" si="1433"/>
        <v/>
      </c>
      <c r="FS98" s="227" t="str">
        <f>ADHK!FS98</f>
        <v/>
      </c>
      <c r="FT98" s="227"/>
      <c r="FU98" s="227">
        <f t="shared" si="1149"/>
        <v>0</v>
      </c>
      <c r="FV98" s="235"/>
      <c r="FW98" s="227">
        <f t="shared" si="1150"/>
        <v>0</v>
      </c>
      <c r="FX98" s="96"/>
      <c r="FY98" s="96"/>
      <c r="FZ98" s="97"/>
      <c r="GA98" s="227">
        <f t="shared" si="1151"/>
        <v>0</v>
      </c>
      <c r="GB98" s="235">
        <f t="shared" si="1152"/>
        <v>0.4604471269</v>
      </c>
      <c r="GC98" s="236">
        <f t="shared" si="1153"/>
        <v>0</v>
      </c>
      <c r="GD98" s="237">
        <f t="shared" si="1154"/>
        <v>0</v>
      </c>
      <c r="GE98" s="230"/>
      <c r="GF98" s="232">
        <f t="shared" si="1226"/>
        <v>14</v>
      </c>
      <c r="GG98" s="233" t="str">
        <f t="shared" ref="GG98:GI98" si="1434">IFERROR(VLOOKUP($R98,$A$13:$D$30,-GG$12,FALSE),"")</f>
        <v>Lainnya 2.3 (6) …….</v>
      </c>
      <c r="GH98" s="234" t="str">
        <f t="shared" si="1434"/>
        <v/>
      </c>
      <c r="GI98" s="234" t="str">
        <f t="shared" si="1434"/>
        <v/>
      </c>
      <c r="GJ98" s="227" t="str">
        <f>ADHK!GJ98</f>
        <v/>
      </c>
      <c r="GK98" s="227"/>
      <c r="GL98" s="227">
        <f t="shared" si="1156"/>
        <v>0</v>
      </c>
      <c r="GM98" s="235"/>
      <c r="GN98" s="227">
        <f t="shared" si="1157"/>
        <v>0</v>
      </c>
      <c r="GO98" s="96"/>
      <c r="GP98" s="96"/>
      <c r="GQ98" s="97"/>
      <c r="GR98" s="227">
        <f t="shared" si="1158"/>
        <v>0</v>
      </c>
      <c r="GS98" s="235">
        <f t="shared" si="1159"/>
        <v>0.4604471269</v>
      </c>
      <c r="GT98" s="236">
        <f t="shared" si="1160"/>
        <v>0</v>
      </c>
      <c r="GU98" s="237">
        <f t="shared" si="1161"/>
        <v>0</v>
      </c>
      <c r="GV98" s="230"/>
      <c r="GW98" s="232">
        <f t="shared" si="1228"/>
        <v>14</v>
      </c>
      <c r="GX98" s="233" t="str">
        <f t="shared" ref="GX98:GZ98" si="1435">IFERROR(VLOOKUP($R98,$A$13:$D$30,-GX$12,FALSE),"")</f>
        <v>Lainnya 2.3 (6) …….</v>
      </c>
      <c r="GY98" s="234" t="str">
        <f t="shared" si="1435"/>
        <v/>
      </c>
      <c r="GZ98" s="234" t="str">
        <f t="shared" si="1435"/>
        <v/>
      </c>
      <c r="HA98" s="227"/>
      <c r="HB98" s="238"/>
      <c r="HC98" s="227">
        <f t="shared" si="1163"/>
        <v>0</v>
      </c>
      <c r="HD98" s="235"/>
      <c r="HE98" s="227">
        <f t="shared" si="1164"/>
        <v>0</v>
      </c>
      <c r="HF98" s="96"/>
      <c r="HG98" s="96"/>
      <c r="HH98" s="97"/>
      <c r="HI98" s="227">
        <f t="shared" si="1165"/>
        <v>0</v>
      </c>
      <c r="HJ98" s="235">
        <f t="shared" si="1166"/>
        <v>0.4604471269</v>
      </c>
      <c r="HK98" s="236">
        <f t="shared" si="1167"/>
        <v>0</v>
      </c>
      <c r="HL98" s="237">
        <f t="shared" si="1168"/>
        <v>0</v>
      </c>
      <c r="HM98" s="230"/>
      <c r="HN98" s="232">
        <f t="shared" si="1230"/>
        <v>14</v>
      </c>
      <c r="HO98" s="233" t="str">
        <f t="shared" ref="HO98:HQ98" si="1436">IFERROR(VLOOKUP($R98,$A$13:$D$30,-HO$12,FALSE),"")</f>
        <v>Lainnya 2.3 (6) …….</v>
      </c>
      <c r="HP98" s="234" t="str">
        <f t="shared" si="1436"/>
        <v/>
      </c>
      <c r="HQ98" s="234" t="str">
        <f t="shared" si="1436"/>
        <v/>
      </c>
      <c r="HR98" s="227" t="str">
        <f>ADHK!HR98</f>
        <v/>
      </c>
      <c r="HS98" s="227"/>
      <c r="HT98" s="227">
        <f t="shared" si="1170"/>
        <v>0</v>
      </c>
      <c r="HU98" s="235"/>
      <c r="HV98" s="227">
        <f t="shared" si="1171"/>
        <v>0</v>
      </c>
      <c r="HW98" s="96"/>
      <c r="HX98" s="96"/>
      <c r="HY98" s="97"/>
      <c r="HZ98" s="227">
        <f t="shared" si="1172"/>
        <v>0</v>
      </c>
      <c r="IA98" s="235">
        <f t="shared" si="1173"/>
        <v>0.4604471269</v>
      </c>
      <c r="IB98" s="236">
        <f t="shared" si="1174"/>
        <v>0</v>
      </c>
      <c r="IC98" s="237">
        <f t="shared" si="1175"/>
        <v>0</v>
      </c>
      <c r="ID98" s="230"/>
      <c r="IE98" s="232">
        <f t="shared" si="1232"/>
        <v>14</v>
      </c>
      <c r="IF98" s="233" t="str">
        <f t="shared" ref="IF98:IH98" si="1437">IFERROR(VLOOKUP($R98,$A$13:$D$30,-IF$12,FALSE),"")</f>
        <v>Lainnya 2.3 (6) …….</v>
      </c>
      <c r="IG98" s="234" t="str">
        <f t="shared" si="1437"/>
        <v/>
      </c>
      <c r="IH98" s="234" t="str">
        <f t="shared" si="1437"/>
        <v/>
      </c>
      <c r="II98" s="227" t="str">
        <f>ADHK!II98</f>
        <v/>
      </c>
      <c r="IJ98" s="227"/>
      <c r="IK98" s="227">
        <f t="shared" si="1177"/>
        <v>0</v>
      </c>
      <c r="IL98" s="235"/>
      <c r="IM98" s="227">
        <f t="shared" si="1178"/>
        <v>0</v>
      </c>
      <c r="IN98" s="96"/>
      <c r="IO98" s="96"/>
      <c r="IP98" s="97"/>
      <c r="IQ98" s="227">
        <f t="shared" si="1179"/>
        <v>0</v>
      </c>
      <c r="IR98" s="235">
        <f t="shared" si="1180"/>
        <v>0.4604471269</v>
      </c>
      <c r="IS98" s="236">
        <f t="shared" si="1181"/>
        <v>0</v>
      </c>
      <c r="IT98" s="237">
        <f t="shared" si="1182"/>
        <v>0</v>
      </c>
      <c r="IU98" s="230"/>
      <c r="IV98" s="232">
        <f t="shared" si="1234"/>
        <v>14</v>
      </c>
      <c r="IW98" s="233" t="str">
        <f t="shared" ref="IW98:IY98" si="1438">IFERROR(VLOOKUP($R98,$A$13:$D$30,-IW$12,FALSE),"")</f>
        <v>Lainnya 2.3 (6) …….</v>
      </c>
      <c r="IX98" s="234" t="str">
        <f t="shared" si="1438"/>
        <v/>
      </c>
      <c r="IY98" s="234" t="str">
        <f t="shared" si="1438"/>
        <v/>
      </c>
      <c r="IZ98" s="227" t="str">
        <f>ADHK!IZ98</f>
        <v/>
      </c>
      <c r="JA98" s="227"/>
      <c r="JB98" s="227">
        <f t="shared" si="1184"/>
        <v>0</v>
      </c>
      <c r="JC98" s="235"/>
      <c r="JD98" s="227">
        <f t="shared" si="1185"/>
        <v>0</v>
      </c>
      <c r="JE98" s="96"/>
      <c r="JF98" s="96"/>
      <c r="JG98" s="97"/>
      <c r="JH98" s="227">
        <f t="shared" si="1186"/>
        <v>0</v>
      </c>
      <c r="JI98" s="235">
        <f t="shared" si="1187"/>
        <v>0.4604471269</v>
      </c>
      <c r="JJ98" s="236">
        <f t="shared" si="1188"/>
        <v>0</v>
      </c>
      <c r="JK98" s="237">
        <f t="shared" si="1189"/>
        <v>0</v>
      </c>
      <c r="JL98" s="230"/>
      <c r="JM98" s="232">
        <f t="shared" si="1236"/>
        <v>14</v>
      </c>
      <c r="JN98" s="233" t="str">
        <f t="shared" ref="JN98:JP98" si="1439">IFERROR(VLOOKUP($R98,$A$13:$D$30,-JN$12,FALSE),"")</f>
        <v>Lainnya 2.3 (6) …….</v>
      </c>
      <c r="JO98" s="234" t="str">
        <f t="shared" si="1439"/>
        <v/>
      </c>
      <c r="JP98" s="234" t="str">
        <f t="shared" si="1439"/>
        <v/>
      </c>
      <c r="JQ98" s="227" t="str">
        <f>ADHK!KY98</f>
        <v/>
      </c>
      <c r="JR98" s="227"/>
      <c r="JS98" s="227">
        <f t="shared" si="1191"/>
        <v>0</v>
      </c>
      <c r="JT98" s="235"/>
      <c r="JU98" s="227">
        <f t="shared" si="1192"/>
        <v>0</v>
      </c>
      <c r="JV98" s="96"/>
      <c r="JW98" s="96"/>
      <c r="JX98" s="97"/>
      <c r="JY98" s="227">
        <f t="shared" si="1193"/>
        <v>0</v>
      </c>
      <c r="JZ98" s="235">
        <f t="shared" si="1194"/>
        <v>0.4604471269</v>
      </c>
      <c r="KA98" s="236">
        <f t="shared" si="1195"/>
        <v>0</v>
      </c>
      <c r="KB98" s="237">
        <f t="shared" si="1196"/>
        <v>0</v>
      </c>
      <c r="KC98" s="230"/>
      <c r="KD98" s="232">
        <f t="shared" si="1238"/>
        <v>14</v>
      </c>
      <c r="KE98" s="233" t="str">
        <f t="shared" ref="KE98:KG98" si="1440">IFERROR(VLOOKUP($R98,$A$13:$D$30,-KE$12,FALSE),"")</f>
        <v>Lainnya 2.3 (6) …….</v>
      </c>
      <c r="KF98" s="234" t="str">
        <f t="shared" si="1440"/>
        <v/>
      </c>
      <c r="KG98" s="234" t="str">
        <f t="shared" si="1440"/>
        <v/>
      </c>
      <c r="KH98" s="227" t="str">
        <f>ADHK!LP98</f>
        <v/>
      </c>
      <c r="KI98" s="227"/>
      <c r="KJ98" s="227">
        <f t="shared" si="1198"/>
        <v>0</v>
      </c>
      <c r="KK98" s="235"/>
      <c r="KL98" s="227">
        <f t="shared" si="1199"/>
        <v>0</v>
      </c>
      <c r="KM98" s="96"/>
      <c r="KN98" s="96"/>
      <c r="KO98" s="97"/>
      <c r="KP98" s="227">
        <f t="shared" si="1200"/>
        <v>0</v>
      </c>
      <c r="KQ98" s="235">
        <f t="shared" si="1201"/>
        <v>0.4604471269</v>
      </c>
      <c r="KR98" s="236">
        <f t="shared" si="1202"/>
        <v>0</v>
      </c>
      <c r="KS98" s="237">
        <f t="shared" si="1203"/>
        <v>0</v>
      </c>
      <c r="KT98" s="230"/>
      <c r="KU98" s="231"/>
    </row>
    <row r="99" ht="15.75" customHeight="1">
      <c r="A99" s="232">
        <f t="shared" si="1204"/>
        <v>15</v>
      </c>
      <c r="B99" s="233" t="str">
        <f t="shared" ref="B99:D99" si="1441">IFERROR(VLOOKUP($A99,$A$13:$D$30,-B$12,FALSE),"")</f>
        <v>Lainnya 2.3 (7) …….</v>
      </c>
      <c r="C99" s="234" t="str">
        <f t="shared" si="1441"/>
        <v/>
      </c>
      <c r="D99" s="234" t="str">
        <f t="shared" si="1441"/>
        <v/>
      </c>
      <c r="E99" s="227" t="str">
        <f>ADHK!E99</f>
        <v/>
      </c>
      <c r="F99" s="227">
        <f>ADHK!F99</f>
        <v>6500000</v>
      </c>
      <c r="G99" s="227">
        <f t="shared" si="1079"/>
        <v>0</v>
      </c>
      <c r="H99" s="235"/>
      <c r="I99" s="227">
        <f t="shared" si="1080"/>
        <v>0</v>
      </c>
      <c r="J99" s="96"/>
      <c r="K99" s="96"/>
      <c r="L99" s="97"/>
      <c r="M99" s="227">
        <f t="shared" si="1081"/>
        <v>0</v>
      </c>
      <c r="N99" s="235">
        <f t="shared" si="1082"/>
        <v>0.4604471269</v>
      </c>
      <c r="O99" s="236">
        <f t="shared" si="1083"/>
        <v>0</v>
      </c>
      <c r="P99" s="237">
        <f t="shared" si="1084"/>
        <v>0</v>
      </c>
      <c r="Q99" s="230"/>
      <c r="R99" s="232">
        <f t="shared" si="1206"/>
        <v>15</v>
      </c>
      <c r="S99" s="233" t="str">
        <f t="shared" ref="S99:U99" si="1442">IFERROR(VLOOKUP($R99,$A$13:$D$30,-S$12,FALSE),"")</f>
        <v>Lainnya 2.3 (7) …….</v>
      </c>
      <c r="T99" s="234" t="str">
        <f t="shared" si="1442"/>
        <v/>
      </c>
      <c r="U99" s="234" t="str">
        <f t="shared" si="1442"/>
        <v/>
      </c>
      <c r="V99" s="227" t="str">
        <f>ADHK!V99</f>
        <v/>
      </c>
      <c r="W99" s="227"/>
      <c r="X99" s="227">
        <f t="shared" si="1086"/>
        <v>0</v>
      </c>
      <c r="Y99" s="235"/>
      <c r="Z99" s="227">
        <f t="shared" si="1087"/>
        <v>0</v>
      </c>
      <c r="AA99" s="96"/>
      <c r="AB99" s="96"/>
      <c r="AC99" s="97"/>
      <c r="AD99" s="227">
        <f t="shared" si="1088"/>
        <v>0</v>
      </c>
      <c r="AE99" s="235">
        <f t="shared" si="1089"/>
        <v>0.4604471269</v>
      </c>
      <c r="AF99" s="236">
        <f t="shared" si="1090"/>
        <v>0</v>
      </c>
      <c r="AG99" s="237">
        <f t="shared" si="1091"/>
        <v>0</v>
      </c>
      <c r="AH99" s="230"/>
      <c r="AI99" s="232">
        <f t="shared" si="1208"/>
        <v>15</v>
      </c>
      <c r="AJ99" s="233" t="str">
        <f t="shared" ref="AJ99:AL99" si="1443">IFERROR(VLOOKUP($R99,$A$13:$D$30,-AJ$12,FALSE),"")</f>
        <v>Lainnya 2.3 (7) …….</v>
      </c>
      <c r="AK99" s="234" t="str">
        <f t="shared" si="1443"/>
        <v/>
      </c>
      <c r="AL99" s="234" t="str">
        <f t="shared" si="1443"/>
        <v/>
      </c>
      <c r="AM99" s="227" t="str">
        <f>ADHK!AM99</f>
        <v/>
      </c>
      <c r="AN99" s="227"/>
      <c r="AO99" s="227">
        <f t="shared" si="1093"/>
        <v>0</v>
      </c>
      <c r="AP99" s="235"/>
      <c r="AQ99" s="227">
        <f t="shared" si="1094"/>
        <v>0</v>
      </c>
      <c r="AR99" s="96"/>
      <c r="AS99" s="96"/>
      <c r="AT99" s="97"/>
      <c r="AU99" s="227">
        <f t="shared" si="1095"/>
        <v>0</v>
      </c>
      <c r="AV99" s="235">
        <f t="shared" si="1096"/>
        <v>0.4604471269</v>
      </c>
      <c r="AW99" s="236">
        <f t="shared" si="1097"/>
        <v>0</v>
      </c>
      <c r="AX99" s="237">
        <f t="shared" si="1098"/>
        <v>0</v>
      </c>
      <c r="AY99" s="230"/>
      <c r="AZ99" s="232">
        <f t="shared" si="1210"/>
        <v>15</v>
      </c>
      <c r="BA99" s="233" t="str">
        <f t="shared" ref="BA99:BC99" si="1444">IFERROR(VLOOKUP($R99,$A$13:$D$30,-BA$12,FALSE),"")</f>
        <v>Lainnya 2.3 (7) …….</v>
      </c>
      <c r="BB99" s="234" t="str">
        <f t="shared" si="1444"/>
        <v/>
      </c>
      <c r="BC99" s="234" t="str">
        <f t="shared" si="1444"/>
        <v/>
      </c>
      <c r="BD99" s="227" t="str">
        <f>ADHK!BD99</f>
        <v/>
      </c>
      <c r="BE99" s="227"/>
      <c r="BF99" s="227">
        <f t="shared" si="1100"/>
        <v>0</v>
      </c>
      <c r="BG99" s="235"/>
      <c r="BH99" s="227">
        <f t="shared" si="1101"/>
        <v>0</v>
      </c>
      <c r="BI99" s="96"/>
      <c r="BJ99" s="96"/>
      <c r="BK99" s="97"/>
      <c r="BL99" s="227">
        <f t="shared" si="1102"/>
        <v>0</v>
      </c>
      <c r="BM99" s="235">
        <f t="shared" si="1103"/>
        <v>0.4604471269</v>
      </c>
      <c r="BN99" s="236">
        <f t="shared" si="1104"/>
        <v>0</v>
      </c>
      <c r="BO99" s="237">
        <f t="shared" si="1105"/>
        <v>0</v>
      </c>
      <c r="BP99" s="230"/>
      <c r="BQ99" s="232">
        <f t="shared" si="1212"/>
        <v>15</v>
      </c>
      <c r="BR99" s="233" t="str">
        <f t="shared" ref="BR99:BT99" si="1445">IFERROR(VLOOKUP($R99,$A$13:$D$30,-BR$12,FALSE),"")</f>
        <v>Lainnya 2.3 (7) …….</v>
      </c>
      <c r="BS99" s="234" t="str">
        <f t="shared" si="1445"/>
        <v/>
      </c>
      <c r="BT99" s="234" t="str">
        <f t="shared" si="1445"/>
        <v/>
      </c>
      <c r="BU99" s="227" t="str">
        <f>ADHK!BU99</f>
        <v/>
      </c>
      <c r="BV99" s="227"/>
      <c r="BW99" s="227">
        <f t="shared" si="1107"/>
        <v>0</v>
      </c>
      <c r="BX99" s="235"/>
      <c r="BY99" s="227">
        <f t="shared" si="1108"/>
        <v>0</v>
      </c>
      <c r="BZ99" s="96"/>
      <c r="CA99" s="96"/>
      <c r="CB99" s="97"/>
      <c r="CC99" s="227">
        <f t="shared" si="1109"/>
        <v>0</v>
      </c>
      <c r="CD99" s="235">
        <f t="shared" si="1110"/>
        <v>0.4604471269</v>
      </c>
      <c r="CE99" s="236">
        <f t="shared" si="1111"/>
        <v>0</v>
      </c>
      <c r="CF99" s="237">
        <f t="shared" si="1112"/>
        <v>0</v>
      </c>
      <c r="CG99" s="230"/>
      <c r="CH99" s="232">
        <f t="shared" si="1214"/>
        <v>15</v>
      </c>
      <c r="CI99" s="233" t="str">
        <f t="shared" ref="CI99:CK99" si="1446">IFERROR(VLOOKUP($R99,$A$13:$D$30,-CI$12,FALSE),"")</f>
        <v>Lainnya 2.3 (7) …….</v>
      </c>
      <c r="CJ99" s="234" t="str">
        <f t="shared" si="1446"/>
        <v/>
      </c>
      <c r="CK99" s="234" t="str">
        <f t="shared" si="1446"/>
        <v/>
      </c>
      <c r="CL99" s="227" t="str">
        <f>ADHK!CL99</f>
        <v/>
      </c>
      <c r="CM99" s="227"/>
      <c r="CN99" s="227">
        <f t="shared" si="1114"/>
        <v>0</v>
      </c>
      <c r="CO99" s="235"/>
      <c r="CP99" s="227">
        <f t="shared" si="1115"/>
        <v>0</v>
      </c>
      <c r="CQ99" s="96"/>
      <c r="CR99" s="96"/>
      <c r="CS99" s="97"/>
      <c r="CT99" s="227">
        <f t="shared" si="1116"/>
        <v>0</v>
      </c>
      <c r="CU99" s="235">
        <f t="shared" si="1117"/>
        <v>0.4604471269</v>
      </c>
      <c r="CV99" s="236">
        <f t="shared" si="1118"/>
        <v>0</v>
      </c>
      <c r="CW99" s="237">
        <f t="shared" si="1119"/>
        <v>0</v>
      </c>
      <c r="CX99" s="230"/>
      <c r="CY99" s="232">
        <f t="shared" si="1216"/>
        <v>15</v>
      </c>
      <c r="CZ99" s="233" t="str">
        <f t="shared" ref="CZ99:DB99" si="1447">IFERROR(VLOOKUP($R99,$A$13:$D$30,-CZ$12,FALSE),"")</f>
        <v>Lainnya 2.3 (7) …….</v>
      </c>
      <c r="DA99" s="234" t="str">
        <f t="shared" si="1447"/>
        <v/>
      </c>
      <c r="DB99" s="234" t="str">
        <f t="shared" si="1447"/>
        <v/>
      </c>
      <c r="DC99" s="227" t="str">
        <f>ADHK!DC99</f>
        <v/>
      </c>
      <c r="DD99" s="227"/>
      <c r="DE99" s="227">
        <f t="shared" si="1121"/>
        <v>0</v>
      </c>
      <c r="DF99" s="235"/>
      <c r="DG99" s="227">
        <f t="shared" si="1122"/>
        <v>0</v>
      </c>
      <c r="DH99" s="96"/>
      <c r="DI99" s="96"/>
      <c r="DJ99" s="97"/>
      <c r="DK99" s="227">
        <f t="shared" si="1123"/>
        <v>0</v>
      </c>
      <c r="DL99" s="235">
        <f t="shared" si="1124"/>
        <v>0.4604471269</v>
      </c>
      <c r="DM99" s="236">
        <f t="shared" si="1125"/>
        <v>0</v>
      </c>
      <c r="DN99" s="237">
        <f t="shared" si="1126"/>
        <v>0</v>
      </c>
      <c r="DO99" s="230"/>
      <c r="DP99" s="232">
        <f t="shared" si="1218"/>
        <v>15</v>
      </c>
      <c r="DQ99" s="233" t="str">
        <f t="shared" ref="DQ99:DS99" si="1448">IFERROR(VLOOKUP($R99,$A$13:$D$30,-DQ$12,FALSE),"")</f>
        <v>Lainnya 2.3 (7) …….</v>
      </c>
      <c r="DR99" s="234" t="str">
        <f t="shared" si="1448"/>
        <v/>
      </c>
      <c r="DS99" s="234" t="str">
        <f t="shared" si="1448"/>
        <v/>
      </c>
      <c r="DT99" s="227" t="str">
        <f>ADHK!DT99</f>
        <v/>
      </c>
      <c r="DU99" s="227"/>
      <c r="DV99" s="227">
        <f t="shared" si="1128"/>
        <v>0</v>
      </c>
      <c r="DW99" s="235"/>
      <c r="DX99" s="227">
        <f t="shared" si="1129"/>
        <v>0</v>
      </c>
      <c r="DY99" s="96"/>
      <c r="DZ99" s="96"/>
      <c r="EA99" s="97"/>
      <c r="EB99" s="227">
        <f t="shared" si="1130"/>
        <v>0</v>
      </c>
      <c r="EC99" s="235">
        <f t="shared" si="1131"/>
        <v>0.4604471269</v>
      </c>
      <c r="ED99" s="236">
        <f t="shared" si="1132"/>
        <v>0</v>
      </c>
      <c r="EE99" s="237">
        <f t="shared" si="1133"/>
        <v>0</v>
      </c>
      <c r="EF99" s="230"/>
      <c r="EG99" s="232">
        <f t="shared" si="1220"/>
        <v>15</v>
      </c>
      <c r="EH99" s="233" t="str">
        <f t="shared" ref="EH99:EJ99" si="1449">IFERROR(VLOOKUP($R99,$A$13:$D$30,-EH$12,FALSE),"")</f>
        <v>Lainnya 2.3 (7) …….</v>
      </c>
      <c r="EI99" s="234" t="str">
        <f t="shared" si="1449"/>
        <v/>
      </c>
      <c r="EJ99" s="234" t="str">
        <f t="shared" si="1449"/>
        <v/>
      </c>
      <c r="EK99" s="227" t="str">
        <f>ADHK!EK99</f>
        <v/>
      </c>
      <c r="EL99" s="227"/>
      <c r="EM99" s="227">
        <f t="shared" si="1135"/>
        <v>0</v>
      </c>
      <c r="EN99" s="235"/>
      <c r="EO99" s="227">
        <f t="shared" si="1136"/>
        <v>0</v>
      </c>
      <c r="EP99" s="96"/>
      <c r="EQ99" s="96"/>
      <c r="ER99" s="97"/>
      <c r="ES99" s="227">
        <f t="shared" si="1137"/>
        <v>0</v>
      </c>
      <c r="ET99" s="235">
        <f t="shared" si="1138"/>
        <v>0.4604471269</v>
      </c>
      <c r="EU99" s="236">
        <f t="shared" si="1139"/>
        <v>0</v>
      </c>
      <c r="EV99" s="237">
        <f t="shared" si="1140"/>
        <v>0</v>
      </c>
      <c r="EW99" s="230"/>
      <c r="EX99" s="232">
        <f t="shared" si="1222"/>
        <v>15</v>
      </c>
      <c r="EY99" s="233" t="str">
        <f t="shared" ref="EY99:FA99" si="1450">IFERROR(VLOOKUP($R99,$A$13:$D$30,-EY$12,FALSE),"")</f>
        <v>Lainnya 2.3 (7) …….</v>
      </c>
      <c r="EZ99" s="234" t="str">
        <f t="shared" si="1450"/>
        <v/>
      </c>
      <c r="FA99" s="234" t="str">
        <f t="shared" si="1450"/>
        <v/>
      </c>
      <c r="FB99" s="227" t="str">
        <f>ADHK!FB99</f>
        <v/>
      </c>
      <c r="FC99" s="227"/>
      <c r="FD99" s="227">
        <f t="shared" si="1142"/>
        <v>0</v>
      </c>
      <c r="FE99" s="235"/>
      <c r="FF99" s="227">
        <f t="shared" si="1143"/>
        <v>0</v>
      </c>
      <c r="FG99" s="96"/>
      <c r="FH99" s="96"/>
      <c r="FI99" s="97"/>
      <c r="FJ99" s="227">
        <f t="shared" si="1144"/>
        <v>0</v>
      </c>
      <c r="FK99" s="235">
        <f t="shared" si="1145"/>
        <v>0.4604471269</v>
      </c>
      <c r="FL99" s="236">
        <f t="shared" si="1146"/>
        <v>0</v>
      </c>
      <c r="FM99" s="237">
        <f t="shared" si="1147"/>
        <v>0</v>
      </c>
      <c r="FN99" s="230"/>
      <c r="FO99" s="232">
        <f t="shared" si="1224"/>
        <v>15</v>
      </c>
      <c r="FP99" s="233" t="str">
        <f t="shared" ref="FP99:FR99" si="1451">IFERROR(VLOOKUP($R99,$A$13:$D$30,-FP$12,FALSE),"")</f>
        <v>Lainnya 2.3 (7) …….</v>
      </c>
      <c r="FQ99" s="234" t="str">
        <f t="shared" si="1451"/>
        <v/>
      </c>
      <c r="FR99" s="234" t="str">
        <f t="shared" si="1451"/>
        <v/>
      </c>
      <c r="FS99" s="227" t="str">
        <f>ADHK!FS99</f>
        <v/>
      </c>
      <c r="FT99" s="227"/>
      <c r="FU99" s="227">
        <f t="shared" si="1149"/>
        <v>0</v>
      </c>
      <c r="FV99" s="235"/>
      <c r="FW99" s="227">
        <f t="shared" si="1150"/>
        <v>0</v>
      </c>
      <c r="FX99" s="96"/>
      <c r="FY99" s="96"/>
      <c r="FZ99" s="97"/>
      <c r="GA99" s="227">
        <f t="shared" si="1151"/>
        <v>0</v>
      </c>
      <c r="GB99" s="235">
        <f t="shared" si="1152"/>
        <v>0.4604471269</v>
      </c>
      <c r="GC99" s="236">
        <f t="shared" si="1153"/>
        <v>0</v>
      </c>
      <c r="GD99" s="237">
        <f t="shared" si="1154"/>
        <v>0</v>
      </c>
      <c r="GE99" s="230"/>
      <c r="GF99" s="232">
        <f t="shared" si="1226"/>
        <v>15</v>
      </c>
      <c r="GG99" s="233" t="str">
        <f t="shared" ref="GG99:GI99" si="1452">IFERROR(VLOOKUP($R99,$A$13:$D$30,-GG$12,FALSE),"")</f>
        <v>Lainnya 2.3 (7) …….</v>
      </c>
      <c r="GH99" s="234" t="str">
        <f t="shared" si="1452"/>
        <v/>
      </c>
      <c r="GI99" s="234" t="str">
        <f t="shared" si="1452"/>
        <v/>
      </c>
      <c r="GJ99" s="227" t="str">
        <f>ADHK!GJ99</f>
        <v/>
      </c>
      <c r="GK99" s="227"/>
      <c r="GL99" s="227">
        <f t="shared" si="1156"/>
        <v>0</v>
      </c>
      <c r="GM99" s="235"/>
      <c r="GN99" s="227">
        <f t="shared" si="1157"/>
        <v>0</v>
      </c>
      <c r="GO99" s="96"/>
      <c r="GP99" s="96"/>
      <c r="GQ99" s="97"/>
      <c r="GR99" s="227">
        <f t="shared" si="1158"/>
        <v>0</v>
      </c>
      <c r="GS99" s="235">
        <f t="shared" si="1159"/>
        <v>0.4604471269</v>
      </c>
      <c r="GT99" s="236">
        <f t="shared" si="1160"/>
        <v>0</v>
      </c>
      <c r="GU99" s="237">
        <f t="shared" si="1161"/>
        <v>0</v>
      </c>
      <c r="GV99" s="230"/>
      <c r="GW99" s="232">
        <f t="shared" si="1228"/>
        <v>15</v>
      </c>
      <c r="GX99" s="233" t="str">
        <f t="shared" ref="GX99:GZ99" si="1453">IFERROR(VLOOKUP($R99,$A$13:$D$30,-GX$12,FALSE),"")</f>
        <v>Lainnya 2.3 (7) …….</v>
      </c>
      <c r="GY99" s="234" t="str">
        <f t="shared" si="1453"/>
        <v/>
      </c>
      <c r="GZ99" s="234" t="str">
        <f t="shared" si="1453"/>
        <v/>
      </c>
      <c r="HA99" s="227"/>
      <c r="HB99" s="238"/>
      <c r="HC99" s="227">
        <f t="shared" si="1163"/>
        <v>0</v>
      </c>
      <c r="HD99" s="235"/>
      <c r="HE99" s="227">
        <f t="shared" si="1164"/>
        <v>0</v>
      </c>
      <c r="HF99" s="96"/>
      <c r="HG99" s="96"/>
      <c r="HH99" s="97"/>
      <c r="HI99" s="227">
        <f t="shared" si="1165"/>
        <v>0</v>
      </c>
      <c r="HJ99" s="235">
        <f t="shared" si="1166"/>
        <v>0.4604471269</v>
      </c>
      <c r="HK99" s="236">
        <f t="shared" si="1167"/>
        <v>0</v>
      </c>
      <c r="HL99" s="237">
        <f t="shared" si="1168"/>
        <v>0</v>
      </c>
      <c r="HM99" s="230"/>
      <c r="HN99" s="232">
        <f t="shared" si="1230"/>
        <v>15</v>
      </c>
      <c r="HO99" s="233" t="str">
        <f t="shared" ref="HO99:HQ99" si="1454">IFERROR(VLOOKUP($R99,$A$13:$D$30,-HO$12,FALSE),"")</f>
        <v>Lainnya 2.3 (7) …….</v>
      </c>
      <c r="HP99" s="234" t="str">
        <f t="shared" si="1454"/>
        <v/>
      </c>
      <c r="HQ99" s="234" t="str">
        <f t="shared" si="1454"/>
        <v/>
      </c>
      <c r="HR99" s="227" t="str">
        <f>ADHK!HR99</f>
        <v/>
      </c>
      <c r="HS99" s="227"/>
      <c r="HT99" s="227">
        <f t="shared" si="1170"/>
        <v>0</v>
      </c>
      <c r="HU99" s="235"/>
      <c r="HV99" s="227">
        <f t="shared" si="1171"/>
        <v>0</v>
      </c>
      <c r="HW99" s="96"/>
      <c r="HX99" s="96"/>
      <c r="HY99" s="97"/>
      <c r="HZ99" s="227">
        <f t="shared" si="1172"/>
        <v>0</v>
      </c>
      <c r="IA99" s="235">
        <f t="shared" si="1173"/>
        <v>0.4604471269</v>
      </c>
      <c r="IB99" s="236">
        <f t="shared" si="1174"/>
        <v>0</v>
      </c>
      <c r="IC99" s="237">
        <f t="shared" si="1175"/>
        <v>0</v>
      </c>
      <c r="ID99" s="230"/>
      <c r="IE99" s="232">
        <f t="shared" si="1232"/>
        <v>15</v>
      </c>
      <c r="IF99" s="233" t="str">
        <f t="shared" ref="IF99:IH99" si="1455">IFERROR(VLOOKUP($R99,$A$13:$D$30,-IF$12,FALSE),"")</f>
        <v>Lainnya 2.3 (7) …….</v>
      </c>
      <c r="IG99" s="234" t="str">
        <f t="shared" si="1455"/>
        <v/>
      </c>
      <c r="IH99" s="234" t="str">
        <f t="shared" si="1455"/>
        <v/>
      </c>
      <c r="II99" s="227" t="str">
        <f>ADHK!II99</f>
        <v/>
      </c>
      <c r="IJ99" s="227"/>
      <c r="IK99" s="227">
        <f t="shared" si="1177"/>
        <v>0</v>
      </c>
      <c r="IL99" s="235"/>
      <c r="IM99" s="227">
        <f t="shared" si="1178"/>
        <v>0</v>
      </c>
      <c r="IN99" s="96"/>
      <c r="IO99" s="96"/>
      <c r="IP99" s="97"/>
      <c r="IQ99" s="227">
        <f t="shared" si="1179"/>
        <v>0</v>
      </c>
      <c r="IR99" s="235">
        <f t="shared" si="1180"/>
        <v>0.4604471269</v>
      </c>
      <c r="IS99" s="236">
        <f t="shared" si="1181"/>
        <v>0</v>
      </c>
      <c r="IT99" s="237">
        <f t="shared" si="1182"/>
        <v>0</v>
      </c>
      <c r="IU99" s="230"/>
      <c r="IV99" s="232">
        <f t="shared" si="1234"/>
        <v>15</v>
      </c>
      <c r="IW99" s="233" t="str">
        <f t="shared" ref="IW99:IY99" si="1456">IFERROR(VLOOKUP($R99,$A$13:$D$30,-IW$12,FALSE),"")</f>
        <v>Lainnya 2.3 (7) …….</v>
      </c>
      <c r="IX99" s="234" t="str">
        <f t="shared" si="1456"/>
        <v/>
      </c>
      <c r="IY99" s="234" t="str">
        <f t="shared" si="1456"/>
        <v/>
      </c>
      <c r="IZ99" s="227" t="str">
        <f>ADHK!IZ99</f>
        <v/>
      </c>
      <c r="JA99" s="227"/>
      <c r="JB99" s="227">
        <f t="shared" si="1184"/>
        <v>0</v>
      </c>
      <c r="JC99" s="235"/>
      <c r="JD99" s="227">
        <f t="shared" si="1185"/>
        <v>0</v>
      </c>
      <c r="JE99" s="96"/>
      <c r="JF99" s="96"/>
      <c r="JG99" s="97"/>
      <c r="JH99" s="227">
        <f t="shared" si="1186"/>
        <v>0</v>
      </c>
      <c r="JI99" s="235">
        <f t="shared" si="1187"/>
        <v>0.4604471269</v>
      </c>
      <c r="JJ99" s="236">
        <f t="shared" si="1188"/>
        <v>0</v>
      </c>
      <c r="JK99" s="237">
        <f t="shared" si="1189"/>
        <v>0</v>
      </c>
      <c r="JL99" s="230"/>
      <c r="JM99" s="232">
        <f t="shared" si="1236"/>
        <v>15</v>
      </c>
      <c r="JN99" s="233" t="str">
        <f t="shared" ref="JN99:JP99" si="1457">IFERROR(VLOOKUP($R99,$A$13:$D$30,-JN$12,FALSE),"")</f>
        <v>Lainnya 2.3 (7) …….</v>
      </c>
      <c r="JO99" s="234" t="str">
        <f t="shared" si="1457"/>
        <v/>
      </c>
      <c r="JP99" s="234" t="str">
        <f t="shared" si="1457"/>
        <v/>
      </c>
      <c r="JQ99" s="227" t="str">
        <f>ADHK!KY99</f>
        <v/>
      </c>
      <c r="JR99" s="227"/>
      <c r="JS99" s="227">
        <f t="shared" si="1191"/>
        <v>0</v>
      </c>
      <c r="JT99" s="235"/>
      <c r="JU99" s="227">
        <f t="shared" si="1192"/>
        <v>0</v>
      </c>
      <c r="JV99" s="96"/>
      <c r="JW99" s="96"/>
      <c r="JX99" s="97"/>
      <c r="JY99" s="227">
        <f t="shared" si="1193"/>
        <v>0</v>
      </c>
      <c r="JZ99" s="235">
        <f t="shared" si="1194"/>
        <v>0.4604471269</v>
      </c>
      <c r="KA99" s="236">
        <f t="shared" si="1195"/>
        <v>0</v>
      </c>
      <c r="KB99" s="237">
        <f t="shared" si="1196"/>
        <v>0</v>
      </c>
      <c r="KC99" s="230"/>
      <c r="KD99" s="232">
        <f t="shared" si="1238"/>
        <v>15</v>
      </c>
      <c r="KE99" s="233" t="str">
        <f t="shared" ref="KE99:KG99" si="1458">IFERROR(VLOOKUP($R99,$A$13:$D$30,-KE$12,FALSE),"")</f>
        <v>Lainnya 2.3 (7) …….</v>
      </c>
      <c r="KF99" s="234" t="str">
        <f t="shared" si="1458"/>
        <v/>
      </c>
      <c r="KG99" s="234" t="str">
        <f t="shared" si="1458"/>
        <v/>
      </c>
      <c r="KH99" s="227" t="str">
        <f>ADHK!LP99</f>
        <v/>
      </c>
      <c r="KI99" s="227"/>
      <c r="KJ99" s="227">
        <f t="shared" si="1198"/>
        <v>0</v>
      </c>
      <c r="KK99" s="235"/>
      <c r="KL99" s="227">
        <f t="shared" si="1199"/>
        <v>0</v>
      </c>
      <c r="KM99" s="96"/>
      <c r="KN99" s="96"/>
      <c r="KO99" s="97"/>
      <c r="KP99" s="227">
        <f t="shared" si="1200"/>
        <v>0</v>
      </c>
      <c r="KQ99" s="235">
        <f t="shared" si="1201"/>
        <v>0.4604471269</v>
      </c>
      <c r="KR99" s="236">
        <f t="shared" si="1202"/>
        <v>0</v>
      </c>
      <c r="KS99" s="237">
        <f t="shared" si="1203"/>
        <v>0</v>
      </c>
      <c r="KT99" s="230"/>
      <c r="KU99" s="231"/>
    </row>
    <row r="100" ht="15.75" customHeight="1">
      <c r="A100" s="232">
        <f t="shared" si="1204"/>
        <v>16</v>
      </c>
      <c r="B100" s="233" t="str">
        <f t="shared" ref="B100:D100" si="1459">IFERROR(VLOOKUP($A100,$A$13:$D$30,-B$12,FALSE),"")</f>
        <v>Lainnya 2.3 (8) …….</v>
      </c>
      <c r="C100" s="234" t="str">
        <f t="shared" si="1459"/>
        <v/>
      </c>
      <c r="D100" s="234" t="str">
        <f t="shared" si="1459"/>
        <v/>
      </c>
      <c r="E100" s="227" t="str">
        <f>ADHK!E100</f>
        <v/>
      </c>
      <c r="F100" s="227" t="str">
        <f>ADHK!F100</f>
        <v/>
      </c>
      <c r="G100" s="227">
        <f t="shared" si="1079"/>
        <v>0</v>
      </c>
      <c r="H100" s="235"/>
      <c r="I100" s="227">
        <f t="shared" si="1080"/>
        <v>0</v>
      </c>
      <c r="J100" s="96"/>
      <c r="K100" s="96"/>
      <c r="L100" s="97"/>
      <c r="M100" s="227">
        <f t="shared" si="1081"/>
        <v>0</v>
      </c>
      <c r="N100" s="235">
        <f t="shared" si="1082"/>
        <v>0.4604471269</v>
      </c>
      <c r="O100" s="236">
        <f t="shared" si="1083"/>
        <v>0</v>
      </c>
      <c r="P100" s="237">
        <f t="shared" si="1084"/>
        <v>0</v>
      </c>
      <c r="Q100" s="230"/>
      <c r="R100" s="232">
        <f t="shared" si="1206"/>
        <v>16</v>
      </c>
      <c r="S100" s="233" t="str">
        <f t="shared" ref="S100:U100" si="1460">IFERROR(VLOOKUP($R100,$A$13:$D$30,-S$12,FALSE),"")</f>
        <v>Lainnya 2.3 (8) …….</v>
      </c>
      <c r="T100" s="234" t="str">
        <f t="shared" si="1460"/>
        <v/>
      </c>
      <c r="U100" s="234" t="str">
        <f t="shared" si="1460"/>
        <v/>
      </c>
      <c r="V100" s="227" t="str">
        <f>ADHK!V100</f>
        <v/>
      </c>
      <c r="W100" s="227"/>
      <c r="X100" s="227">
        <f t="shared" si="1086"/>
        <v>0</v>
      </c>
      <c r="Y100" s="235"/>
      <c r="Z100" s="227">
        <f t="shared" si="1087"/>
        <v>0</v>
      </c>
      <c r="AA100" s="96"/>
      <c r="AB100" s="96"/>
      <c r="AC100" s="97"/>
      <c r="AD100" s="227">
        <f t="shared" si="1088"/>
        <v>0</v>
      </c>
      <c r="AE100" s="235">
        <f t="shared" si="1089"/>
        <v>0.4604471269</v>
      </c>
      <c r="AF100" s="236">
        <f t="shared" si="1090"/>
        <v>0</v>
      </c>
      <c r="AG100" s="237">
        <f t="shared" si="1091"/>
        <v>0</v>
      </c>
      <c r="AH100" s="230"/>
      <c r="AI100" s="232">
        <f t="shared" si="1208"/>
        <v>16</v>
      </c>
      <c r="AJ100" s="233" t="str">
        <f t="shared" ref="AJ100:AL100" si="1461">IFERROR(VLOOKUP($R100,$A$13:$D$30,-AJ$12,FALSE),"")</f>
        <v>Lainnya 2.3 (8) …….</v>
      </c>
      <c r="AK100" s="234" t="str">
        <f t="shared" si="1461"/>
        <v/>
      </c>
      <c r="AL100" s="234" t="str">
        <f t="shared" si="1461"/>
        <v/>
      </c>
      <c r="AM100" s="227" t="str">
        <f>ADHK!AM100</f>
        <v/>
      </c>
      <c r="AN100" s="227"/>
      <c r="AO100" s="227">
        <f t="shared" si="1093"/>
        <v>0</v>
      </c>
      <c r="AP100" s="235"/>
      <c r="AQ100" s="227">
        <f t="shared" si="1094"/>
        <v>0</v>
      </c>
      <c r="AR100" s="96"/>
      <c r="AS100" s="96"/>
      <c r="AT100" s="97"/>
      <c r="AU100" s="227">
        <f t="shared" si="1095"/>
        <v>0</v>
      </c>
      <c r="AV100" s="235">
        <f t="shared" si="1096"/>
        <v>0.4604471269</v>
      </c>
      <c r="AW100" s="236">
        <f t="shared" si="1097"/>
        <v>0</v>
      </c>
      <c r="AX100" s="237">
        <f t="shared" si="1098"/>
        <v>0</v>
      </c>
      <c r="AY100" s="230"/>
      <c r="AZ100" s="232">
        <f t="shared" si="1210"/>
        <v>16</v>
      </c>
      <c r="BA100" s="233" t="str">
        <f t="shared" ref="BA100:BC100" si="1462">IFERROR(VLOOKUP($R100,$A$13:$D$30,-BA$12,FALSE),"")</f>
        <v>Lainnya 2.3 (8) …….</v>
      </c>
      <c r="BB100" s="234" t="str">
        <f t="shared" si="1462"/>
        <v/>
      </c>
      <c r="BC100" s="234" t="str">
        <f t="shared" si="1462"/>
        <v/>
      </c>
      <c r="BD100" s="227" t="str">
        <f>ADHK!BD100</f>
        <v/>
      </c>
      <c r="BE100" s="227"/>
      <c r="BF100" s="227">
        <f t="shared" si="1100"/>
        <v>0</v>
      </c>
      <c r="BG100" s="235"/>
      <c r="BH100" s="227">
        <f t="shared" si="1101"/>
        <v>0</v>
      </c>
      <c r="BI100" s="96"/>
      <c r="BJ100" s="96"/>
      <c r="BK100" s="97"/>
      <c r="BL100" s="227">
        <f t="shared" si="1102"/>
        <v>0</v>
      </c>
      <c r="BM100" s="235">
        <f t="shared" si="1103"/>
        <v>0.4604471269</v>
      </c>
      <c r="BN100" s="236">
        <f t="shared" si="1104"/>
        <v>0</v>
      </c>
      <c r="BO100" s="237">
        <f t="shared" si="1105"/>
        <v>0</v>
      </c>
      <c r="BP100" s="230"/>
      <c r="BQ100" s="232">
        <f t="shared" si="1212"/>
        <v>16</v>
      </c>
      <c r="BR100" s="233" t="str">
        <f t="shared" ref="BR100:BT100" si="1463">IFERROR(VLOOKUP($R100,$A$13:$D$30,-BR$12,FALSE),"")</f>
        <v>Lainnya 2.3 (8) …….</v>
      </c>
      <c r="BS100" s="234" t="str">
        <f t="shared" si="1463"/>
        <v/>
      </c>
      <c r="BT100" s="234" t="str">
        <f t="shared" si="1463"/>
        <v/>
      </c>
      <c r="BU100" s="227" t="str">
        <f>ADHK!BU100</f>
        <v/>
      </c>
      <c r="BV100" s="227"/>
      <c r="BW100" s="227">
        <f t="shared" si="1107"/>
        <v>0</v>
      </c>
      <c r="BX100" s="235"/>
      <c r="BY100" s="227">
        <f t="shared" si="1108"/>
        <v>0</v>
      </c>
      <c r="BZ100" s="96"/>
      <c r="CA100" s="96"/>
      <c r="CB100" s="97"/>
      <c r="CC100" s="227">
        <f t="shared" si="1109"/>
        <v>0</v>
      </c>
      <c r="CD100" s="235">
        <f t="shared" si="1110"/>
        <v>0.4604471269</v>
      </c>
      <c r="CE100" s="236">
        <f t="shared" si="1111"/>
        <v>0</v>
      </c>
      <c r="CF100" s="237">
        <f t="shared" si="1112"/>
        <v>0</v>
      </c>
      <c r="CG100" s="230"/>
      <c r="CH100" s="232">
        <f t="shared" si="1214"/>
        <v>16</v>
      </c>
      <c r="CI100" s="233" t="str">
        <f t="shared" ref="CI100:CK100" si="1464">IFERROR(VLOOKUP($R100,$A$13:$D$30,-CI$12,FALSE),"")</f>
        <v>Lainnya 2.3 (8) …….</v>
      </c>
      <c r="CJ100" s="234" t="str">
        <f t="shared" si="1464"/>
        <v/>
      </c>
      <c r="CK100" s="234" t="str">
        <f t="shared" si="1464"/>
        <v/>
      </c>
      <c r="CL100" s="227" t="str">
        <f>ADHK!CL100</f>
        <v/>
      </c>
      <c r="CM100" s="227"/>
      <c r="CN100" s="227">
        <f t="shared" si="1114"/>
        <v>0</v>
      </c>
      <c r="CO100" s="235"/>
      <c r="CP100" s="227">
        <f t="shared" si="1115"/>
        <v>0</v>
      </c>
      <c r="CQ100" s="96"/>
      <c r="CR100" s="96"/>
      <c r="CS100" s="97"/>
      <c r="CT100" s="227">
        <f t="shared" si="1116"/>
        <v>0</v>
      </c>
      <c r="CU100" s="235">
        <f t="shared" si="1117"/>
        <v>0.4604471269</v>
      </c>
      <c r="CV100" s="236">
        <f t="shared" si="1118"/>
        <v>0</v>
      </c>
      <c r="CW100" s="237">
        <f t="shared" si="1119"/>
        <v>0</v>
      </c>
      <c r="CX100" s="230"/>
      <c r="CY100" s="232">
        <f t="shared" si="1216"/>
        <v>16</v>
      </c>
      <c r="CZ100" s="233" t="str">
        <f t="shared" ref="CZ100:DB100" si="1465">IFERROR(VLOOKUP($R100,$A$13:$D$30,-CZ$12,FALSE),"")</f>
        <v>Lainnya 2.3 (8) …….</v>
      </c>
      <c r="DA100" s="234" t="str">
        <f t="shared" si="1465"/>
        <v/>
      </c>
      <c r="DB100" s="234" t="str">
        <f t="shared" si="1465"/>
        <v/>
      </c>
      <c r="DC100" s="227" t="str">
        <f>ADHK!DC100</f>
        <v/>
      </c>
      <c r="DD100" s="227"/>
      <c r="DE100" s="227">
        <f t="shared" si="1121"/>
        <v>0</v>
      </c>
      <c r="DF100" s="235"/>
      <c r="DG100" s="227">
        <f t="shared" si="1122"/>
        <v>0</v>
      </c>
      <c r="DH100" s="96"/>
      <c r="DI100" s="96"/>
      <c r="DJ100" s="97"/>
      <c r="DK100" s="227">
        <f t="shared" si="1123"/>
        <v>0</v>
      </c>
      <c r="DL100" s="235">
        <f t="shared" si="1124"/>
        <v>0.4604471269</v>
      </c>
      <c r="DM100" s="236">
        <f t="shared" si="1125"/>
        <v>0</v>
      </c>
      <c r="DN100" s="237">
        <f t="shared" si="1126"/>
        <v>0</v>
      </c>
      <c r="DO100" s="230"/>
      <c r="DP100" s="232">
        <f t="shared" si="1218"/>
        <v>16</v>
      </c>
      <c r="DQ100" s="233" t="str">
        <f t="shared" ref="DQ100:DS100" si="1466">IFERROR(VLOOKUP($R100,$A$13:$D$30,-DQ$12,FALSE),"")</f>
        <v>Lainnya 2.3 (8) …….</v>
      </c>
      <c r="DR100" s="234" t="str">
        <f t="shared" si="1466"/>
        <v/>
      </c>
      <c r="DS100" s="234" t="str">
        <f t="shared" si="1466"/>
        <v/>
      </c>
      <c r="DT100" s="227" t="str">
        <f>ADHK!DT100</f>
        <v/>
      </c>
      <c r="DU100" s="227"/>
      <c r="DV100" s="227">
        <f t="shared" si="1128"/>
        <v>0</v>
      </c>
      <c r="DW100" s="235"/>
      <c r="DX100" s="227">
        <f t="shared" si="1129"/>
        <v>0</v>
      </c>
      <c r="DY100" s="96"/>
      <c r="DZ100" s="96"/>
      <c r="EA100" s="97"/>
      <c r="EB100" s="227">
        <f t="shared" si="1130"/>
        <v>0</v>
      </c>
      <c r="EC100" s="235">
        <f t="shared" si="1131"/>
        <v>0.4604471269</v>
      </c>
      <c r="ED100" s="236">
        <f t="shared" si="1132"/>
        <v>0</v>
      </c>
      <c r="EE100" s="237">
        <f t="shared" si="1133"/>
        <v>0</v>
      </c>
      <c r="EF100" s="230"/>
      <c r="EG100" s="232">
        <f t="shared" si="1220"/>
        <v>16</v>
      </c>
      <c r="EH100" s="233" t="str">
        <f t="shared" ref="EH100:EJ100" si="1467">IFERROR(VLOOKUP($R100,$A$13:$D$30,-EH$12,FALSE),"")</f>
        <v>Lainnya 2.3 (8) …….</v>
      </c>
      <c r="EI100" s="234" t="str">
        <f t="shared" si="1467"/>
        <v/>
      </c>
      <c r="EJ100" s="234" t="str">
        <f t="shared" si="1467"/>
        <v/>
      </c>
      <c r="EK100" s="227" t="str">
        <f>ADHK!EK100</f>
        <v/>
      </c>
      <c r="EL100" s="227"/>
      <c r="EM100" s="227">
        <f t="shared" si="1135"/>
        <v>0</v>
      </c>
      <c r="EN100" s="235"/>
      <c r="EO100" s="227">
        <f t="shared" si="1136"/>
        <v>0</v>
      </c>
      <c r="EP100" s="96"/>
      <c r="EQ100" s="96"/>
      <c r="ER100" s="97"/>
      <c r="ES100" s="227">
        <f t="shared" si="1137"/>
        <v>0</v>
      </c>
      <c r="ET100" s="235">
        <f t="shared" si="1138"/>
        <v>0.4604471269</v>
      </c>
      <c r="EU100" s="236">
        <f t="shared" si="1139"/>
        <v>0</v>
      </c>
      <c r="EV100" s="237">
        <f t="shared" si="1140"/>
        <v>0</v>
      </c>
      <c r="EW100" s="230"/>
      <c r="EX100" s="232">
        <f t="shared" si="1222"/>
        <v>16</v>
      </c>
      <c r="EY100" s="233" t="str">
        <f t="shared" ref="EY100:FA100" si="1468">IFERROR(VLOOKUP($R100,$A$13:$D$30,-EY$12,FALSE),"")</f>
        <v>Lainnya 2.3 (8) …….</v>
      </c>
      <c r="EZ100" s="234" t="str">
        <f t="shared" si="1468"/>
        <v/>
      </c>
      <c r="FA100" s="234" t="str">
        <f t="shared" si="1468"/>
        <v/>
      </c>
      <c r="FB100" s="227" t="str">
        <f>ADHK!FB100</f>
        <v/>
      </c>
      <c r="FC100" s="227"/>
      <c r="FD100" s="227">
        <f t="shared" si="1142"/>
        <v>0</v>
      </c>
      <c r="FE100" s="235"/>
      <c r="FF100" s="227">
        <f t="shared" si="1143"/>
        <v>0</v>
      </c>
      <c r="FG100" s="96"/>
      <c r="FH100" s="96"/>
      <c r="FI100" s="97"/>
      <c r="FJ100" s="227">
        <f t="shared" si="1144"/>
        <v>0</v>
      </c>
      <c r="FK100" s="235">
        <f t="shared" si="1145"/>
        <v>0.4604471269</v>
      </c>
      <c r="FL100" s="236">
        <f t="shared" si="1146"/>
        <v>0</v>
      </c>
      <c r="FM100" s="237">
        <f t="shared" si="1147"/>
        <v>0</v>
      </c>
      <c r="FN100" s="230"/>
      <c r="FO100" s="232">
        <f t="shared" si="1224"/>
        <v>16</v>
      </c>
      <c r="FP100" s="233" t="str">
        <f t="shared" ref="FP100:FR100" si="1469">IFERROR(VLOOKUP($R100,$A$13:$D$30,-FP$12,FALSE),"")</f>
        <v>Lainnya 2.3 (8) …….</v>
      </c>
      <c r="FQ100" s="234" t="str">
        <f t="shared" si="1469"/>
        <v/>
      </c>
      <c r="FR100" s="234" t="str">
        <f t="shared" si="1469"/>
        <v/>
      </c>
      <c r="FS100" s="227" t="str">
        <f>ADHK!FS100</f>
        <v/>
      </c>
      <c r="FT100" s="227"/>
      <c r="FU100" s="227">
        <f t="shared" si="1149"/>
        <v>0</v>
      </c>
      <c r="FV100" s="235"/>
      <c r="FW100" s="227">
        <f t="shared" si="1150"/>
        <v>0</v>
      </c>
      <c r="FX100" s="96"/>
      <c r="FY100" s="96"/>
      <c r="FZ100" s="97"/>
      <c r="GA100" s="227">
        <f t="shared" si="1151"/>
        <v>0</v>
      </c>
      <c r="GB100" s="235">
        <f t="shared" si="1152"/>
        <v>0.4604471269</v>
      </c>
      <c r="GC100" s="236">
        <f t="shared" si="1153"/>
        <v>0</v>
      </c>
      <c r="GD100" s="237">
        <f t="shared" si="1154"/>
        <v>0</v>
      </c>
      <c r="GE100" s="230"/>
      <c r="GF100" s="232">
        <f t="shared" si="1226"/>
        <v>16</v>
      </c>
      <c r="GG100" s="233" t="str">
        <f t="shared" ref="GG100:GI100" si="1470">IFERROR(VLOOKUP($R100,$A$13:$D$30,-GG$12,FALSE),"")</f>
        <v>Lainnya 2.3 (8) …….</v>
      </c>
      <c r="GH100" s="234" t="str">
        <f t="shared" si="1470"/>
        <v/>
      </c>
      <c r="GI100" s="234" t="str">
        <f t="shared" si="1470"/>
        <v/>
      </c>
      <c r="GJ100" s="227" t="str">
        <f>ADHK!GJ100</f>
        <v/>
      </c>
      <c r="GK100" s="227"/>
      <c r="GL100" s="227">
        <f t="shared" si="1156"/>
        <v>0</v>
      </c>
      <c r="GM100" s="235"/>
      <c r="GN100" s="227">
        <f t="shared" si="1157"/>
        <v>0</v>
      </c>
      <c r="GO100" s="96"/>
      <c r="GP100" s="96"/>
      <c r="GQ100" s="97"/>
      <c r="GR100" s="227">
        <f t="shared" si="1158"/>
        <v>0</v>
      </c>
      <c r="GS100" s="235">
        <f t="shared" si="1159"/>
        <v>0.4604471269</v>
      </c>
      <c r="GT100" s="236">
        <f t="shared" si="1160"/>
        <v>0</v>
      </c>
      <c r="GU100" s="237">
        <f t="shared" si="1161"/>
        <v>0</v>
      </c>
      <c r="GV100" s="230"/>
      <c r="GW100" s="232">
        <f t="shared" si="1228"/>
        <v>16</v>
      </c>
      <c r="GX100" s="233" t="str">
        <f t="shared" ref="GX100:GZ100" si="1471">IFERROR(VLOOKUP($R100,$A$13:$D$30,-GX$12,FALSE),"")</f>
        <v>Lainnya 2.3 (8) …….</v>
      </c>
      <c r="GY100" s="234" t="str">
        <f t="shared" si="1471"/>
        <v/>
      </c>
      <c r="GZ100" s="234" t="str">
        <f t="shared" si="1471"/>
        <v/>
      </c>
      <c r="HA100" s="227" t="str">
        <f>ADHK!HA100</f>
        <v/>
      </c>
      <c r="HB100" s="227"/>
      <c r="HC100" s="227">
        <f t="shared" si="1163"/>
        <v>0</v>
      </c>
      <c r="HD100" s="235"/>
      <c r="HE100" s="227">
        <f t="shared" si="1164"/>
        <v>0</v>
      </c>
      <c r="HF100" s="96"/>
      <c r="HG100" s="96"/>
      <c r="HH100" s="97"/>
      <c r="HI100" s="227">
        <f t="shared" si="1165"/>
        <v>0</v>
      </c>
      <c r="HJ100" s="235">
        <f t="shared" si="1166"/>
        <v>0.4604471269</v>
      </c>
      <c r="HK100" s="236">
        <f t="shared" si="1167"/>
        <v>0</v>
      </c>
      <c r="HL100" s="237">
        <f t="shared" si="1168"/>
        <v>0</v>
      </c>
      <c r="HM100" s="230"/>
      <c r="HN100" s="232">
        <f t="shared" si="1230"/>
        <v>16</v>
      </c>
      <c r="HO100" s="233" t="str">
        <f t="shared" ref="HO100:HQ100" si="1472">IFERROR(VLOOKUP($R100,$A$13:$D$30,-HO$12,FALSE),"")</f>
        <v>Lainnya 2.3 (8) …….</v>
      </c>
      <c r="HP100" s="234" t="str">
        <f t="shared" si="1472"/>
        <v/>
      </c>
      <c r="HQ100" s="234" t="str">
        <f t="shared" si="1472"/>
        <v/>
      </c>
      <c r="HR100" s="227" t="str">
        <f>ADHK!HR100</f>
        <v/>
      </c>
      <c r="HS100" s="227"/>
      <c r="HT100" s="227">
        <f t="shared" si="1170"/>
        <v>0</v>
      </c>
      <c r="HU100" s="235"/>
      <c r="HV100" s="227">
        <f t="shared" si="1171"/>
        <v>0</v>
      </c>
      <c r="HW100" s="96"/>
      <c r="HX100" s="96"/>
      <c r="HY100" s="97"/>
      <c r="HZ100" s="227">
        <f t="shared" si="1172"/>
        <v>0</v>
      </c>
      <c r="IA100" s="235">
        <f t="shared" si="1173"/>
        <v>0.4604471269</v>
      </c>
      <c r="IB100" s="236">
        <f t="shared" si="1174"/>
        <v>0</v>
      </c>
      <c r="IC100" s="237">
        <f t="shared" si="1175"/>
        <v>0</v>
      </c>
      <c r="ID100" s="230"/>
      <c r="IE100" s="232">
        <f t="shared" si="1232"/>
        <v>16</v>
      </c>
      <c r="IF100" s="233" t="str">
        <f t="shared" ref="IF100:IH100" si="1473">IFERROR(VLOOKUP($R100,$A$13:$D$30,-IF$12,FALSE),"")</f>
        <v>Lainnya 2.3 (8) …….</v>
      </c>
      <c r="IG100" s="234" t="str">
        <f t="shared" si="1473"/>
        <v/>
      </c>
      <c r="IH100" s="234" t="str">
        <f t="shared" si="1473"/>
        <v/>
      </c>
      <c r="II100" s="227" t="str">
        <f>ADHK!II100</f>
        <v/>
      </c>
      <c r="IJ100" s="227"/>
      <c r="IK100" s="227">
        <f t="shared" si="1177"/>
        <v>0</v>
      </c>
      <c r="IL100" s="235"/>
      <c r="IM100" s="227">
        <f t="shared" si="1178"/>
        <v>0</v>
      </c>
      <c r="IN100" s="96"/>
      <c r="IO100" s="96"/>
      <c r="IP100" s="97"/>
      <c r="IQ100" s="227">
        <f t="shared" si="1179"/>
        <v>0</v>
      </c>
      <c r="IR100" s="235">
        <f t="shared" si="1180"/>
        <v>0.4604471269</v>
      </c>
      <c r="IS100" s="236">
        <f t="shared" si="1181"/>
        <v>0</v>
      </c>
      <c r="IT100" s="237">
        <f t="shared" si="1182"/>
        <v>0</v>
      </c>
      <c r="IU100" s="230"/>
      <c r="IV100" s="232">
        <f t="shared" si="1234"/>
        <v>16</v>
      </c>
      <c r="IW100" s="233" t="str">
        <f t="shared" ref="IW100:IY100" si="1474">IFERROR(VLOOKUP($R100,$A$13:$D$30,-IW$12,FALSE),"")</f>
        <v>Lainnya 2.3 (8) …….</v>
      </c>
      <c r="IX100" s="234" t="str">
        <f t="shared" si="1474"/>
        <v/>
      </c>
      <c r="IY100" s="234" t="str">
        <f t="shared" si="1474"/>
        <v/>
      </c>
      <c r="IZ100" s="227" t="str">
        <f>ADHK!IZ100</f>
        <v/>
      </c>
      <c r="JA100" s="227"/>
      <c r="JB100" s="227">
        <f t="shared" si="1184"/>
        <v>0</v>
      </c>
      <c r="JC100" s="235"/>
      <c r="JD100" s="227">
        <f t="shared" si="1185"/>
        <v>0</v>
      </c>
      <c r="JE100" s="96"/>
      <c r="JF100" s="96"/>
      <c r="JG100" s="97"/>
      <c r="JH100" s="227">
        <f t="shared" si="1186"/>
        <v>0</v>
      </c>
      <c r="JI100" s="235">
        <f t="shared" si="1187"/>
        <v>0.4604471269</v>
      </c>
      <c r="JJ100" s="236">
        <f t="shared" si="1188"/>
        <v>0</v>
      </c>
      <c r="JK100" s="237">
        <f t="shared" si="1189"/>
        <v>0</v>
      </c>
      <c r="JL100" s="230"/>
      <c r="JM100" s="232">
        <f t="shared" si="1236"/>
        <v>16</v>
      </c>
      <c r="JN100" s="233" t="str">
        <f t="shared" ref="JN100:JP100" si="1475">IFERROR(VLOOKUP($R100,$A$13:$D$30,-JN$12,FALSE),"")</f>
        <v>Lainnya 2.3 (8) …….</v>
      </c>
      <c r="JO100" s="234" t="str">
        <f t="shared" si="1475"/>
        <v/>
      </c>
      <c r="JP100" s="234" t="str">
        <f t="shared" si="1475"/>
        <v/>
      </c>
      <c r="JQ100" s="227" t="str">
        <f>ADHK!KY100</f>
        <v/>
      </c>
      <c r="JR100" s="227"/>
      <c r="JS100" s="227">
        <f t="shared" si="1191"/>
        <v>0</v>
      </c>
      <c r="JT100" s="235"/>
      <c r="JU100" s="227">
        <f t="shared" si="1192"/>
        <v>0</v>
      </c>
      <c r="JV100" s="96"/>
      <c r="JW100" s="96"/>
      <c r="JX100" s="97"/>
      <c r="JY100" s="227">
        <f t="shared" si="1193"/>
        <v>0</v>
      </c>
      <c r="JZ100" s="235">
        <f t="shared" si="1194"/>
        <v>0.4604471269</v>
      </c>
      <c r="KA100" s="236">
        <f t="shared" si="1195"/>
        <v>0</v>
      </c>
      <c r="KB100" s="237">
        <f t="shared" si="1196"/>
        <v>0</v>
      </c>
      <c r="KC100" s="230"/>
      <c r="KD100" s="232">
        <f t="shared" si="1238"/>
        <v>16</v>
      </c>
      <c r="KE100" s="233" t="str">
        <f t="shared" ref="KE100:KG100" si="1476">IFERROR(VLOOKUP($R100,$A$13:$D$30,-KE$12,FALSE),"")</f>
        <v>Lainnya 2.3 (8) …….</v>
      </c>
      <c r="KF100" s="234" t="str">
        <f t="shared" si="1476"/>
        <v/>
      </c>
      <c r="KG100" s="234" t="str">
        <f t="shared" si="1476"/>
        <v/>
      </c>
      <c r="KH100" s="227" t="str">
        <f>ADHK!LP100</f>
        <v/>
      </c>
      <c r="KI100" s="227"/>
      <c r="KJ100" s="227">
        <f t="shared" si="1198"/>
        <v>0</v>
      </c>
      <c r="KK100" s="235"/>
      <c r="KL100" s="227">
        <f t="shared" si="1199"/>
        <v>0</v>
      </c>
      <c r="KM100" s="96"/>
      <c r="KN100" s="96"/>
      <c r="KO100" s="97"/>
      <c r="KP100" s="227">
        <f t="shared" si="1200"/>
        <v>0</v>
      </c>
      <c r="KQ100" s="235">
        <f t="shared" si="1201"/>
        <v>0.4604471269</v>
      </c>
      <c r="KR100" s="236">
        <f t="shared" si="1202"/>
        <v>0</v>
      </c>
      <c r="KS100" s="237">
        <f t="shared" si="1203"/>
        <v>0</v>
      </c>
      <c r="KT100" s="230"/>
      <c r="KU100" s="231"/>
    </row>
    <row r="101" ht="15.75" customHeight="1">
      <c r="A101" s="232">
        <f t="shared" si="1204"/>
        <v>17</v>
      </c>
      <c r="B101" s="233" t="str">
        <f t="shared" ref="B101:D101" si="1477">IFERROR(VLOOKUP($A101,$A$13:$D$30,-B$12,FALSE),"")</f>
        <v>Lainnya 2.3 (9) …….</v>
      </c>
      <c r="C101" s="234" t="str">
        <f t="shared" si="1477"/>
        <v/>
      </c>
      <c r="D101" s="234" t="str">
        <f t="shared" si="1477"/>
        <v/>
      </c>
      <c r="E101" s="227" t="str">
        <f>ADHK!E101</f>
        <v/>
      </c>
      <c r="F101" s="227" t="str">
        <f>ADHK!F101</f>
        <v/>
      </c>
      <c r="G101" s="227">
        <f t="shared" si="1079"/>
        <v>0</v>
      </c>
      <c r="H101" s="235"/>
      <c r="I101" s="227">
        <f t="shared" si="1080"/>
        <v>0</v>
      </c>
      <c r="J101" s="96"/>
      <c r="K101" s="96"/>
      <c r="L101" s="97"/>
      <c r="M101" s="227">
        <f t="shared" si="1081"/>
        <v>0</v>
      </c>
      <c r="N101" s="235">
        <f t="shared" si="1082"/>
        <v>0.4604471269</v>
      </c>
      <c r="O101" s="236">
        <f t="shared" si="1083"/>
        <v>0</v>
      </c>
      <c r="P101" s="237">
        <f t="shared" si="1084"/>
        <v>0</v>
      </c>
      <c r="Q101" s="230"/>
      <c r="R101" s="232">
        <f t="shared" si="1206"/>
        <v>17</v>
      </c>
      <c r="S101" s="233" t="str">
        <f t="shared" ref="S101:U101" si="1478">IFERROR(VLOOKUP($R101,$A$13:$D$30,-S$12,FALSE),"")</f>
        <v>Lainnya 2.3 (9) …….</v>
      </c>
      <c r="T101" s="234" t="str">
        <f t="shared" si="1478"/>
        <v/>
      </c>
      <c r="U101" s="234" t="str">
        <f t="shared" si="1478"/>
        <v/>
      </c>
      <c r="V101" s="227" t="str">
        <f>ADHK!V101</f>
        <v/>
      </c>
      <c r="W101" s="227"/>
      <c r="X101" s="227">
        <f t="shared" si="1086"/>
        <v>0</v>
      </c>
      <c r="Y101" s="235"/>
      <c r="Z101" s="227">
        <f t="shared" si="1087"/>
        <v>0</v>
      </c>
      <c r="AA101" s="96"/>
      <c r="AB101" s="96"/>
      <c r="AC101" s="97"/>
      <c r="AD101" s="227">
        <f t="shared" si="1088"/>
        <v>0</v>
      </c>
      <c r="AE101" s="235">
        <f t="shared" si="1089"/>
        <v>0.4604471269</v>
      </c>
      <c r="AF101" s="236">
        <f t="shared" si="1090"/>
        <v>0</v>
      </c>
      <c r="AG101" s="237">
        <f t="shared" si="1091"/>
        <v>0</v>
      </c>
      <c r="AH101" s="230"/>
      <c r="AI101" s="232">
        <f t="shared" si="1208"/>
        <v>17</v>
      </c>
      <c r="AJ101" s="233" t="str">
        <f t="shared" ref="AJ101:AL101" si="1479">IFERROR(VLOOKUP($R101,$A$13:$D$30,-AJ$12,FALSE),"")</f>
        <v>Lainnya 2.3 (9) …….</v>
      </c>
      <c r="AK101" s="234" t="str">
        <f t="shared" si="1479"/>
        <v/>
      </c>
      <c r="AL101" s="234" t="str">
        <f t="shared" si="1479"/>
        <v/>
      </c>
      <c r="AM101" s="227" t="str">
        <f>ADHK!AM101</f>
        <v/>
      </c>
      <c r="AN101" s="227"/>
      <c r="AO101" s="227">
        <f t="shared" si="1093"/>
        <v>0</v>
      </c>
      <c r="AP101" s="235"/>
      <c r="AQ101" s="227">
        <f t="shared" si="1094"/>
        <v>0</v>
      </c>
      <c r="AR101" s="96"/>
      <c r="AS101" s="96"/>
      <c r="AT101" s="97"/>
      <c r="AU101" s="227">
        <f t="shared" si="1095"/>
        <v>0</v>
      </c>
      <c r="AV101" s="235">
        <f t="shared" si="1096"/>
        <v>0.4604471269</v>
      </c>
      <c r="AW101" s="236">
        <f t="shared" si="1097"/>
        <v>0</v>
      </c>
      <c r="AX101" s="237">
        <f t="shared" si="1098"/>
        <v>0</v>
      </c>
      <c r="AY101" s="230"/>
      <c r="AZ101" s="232">
        <f t="shared" si="1210"/>
        <v>17</v>
      </c>
      <c r="BA101" s="233" t="str">
        <f t="shared" ref="BA101:BC101" si="1480">IFERROR(VLOOKUP($R101,$A$13:$D$30,-BA$12,FALSE),"")</f>
        <v>Lainnya 2.3 (9) …….</v>
      </c>
      <c r="BB101" s="234" t="str">
        <f t="shared" si="1480"/>
        <v/>
      </c>
      <c r="BC101" s="234" t="str">
        <f t="shared" si="1480"/>
        <v/>
      </c>
      <c r="BD101" s="227" t="str">
        <f>ADHK!BD101</f>
        <v/>
      </c>
      <c r="BE101" s="227"/>
      <c r="BF101" s="227">
        <f t="shared" si="1100"/>
        <v>0</v>
      </c>
      <c r="BG101" s="235"/>
      <c r="BH101" s="227">
        <f t="shared" si="1101"/>
        <v>0</v>
      </c>
      <c r="BI101" s="96"/>
      <c r="BJ101" s="96"/>
      <c r="BK101" s="97"/>
      <c r="BL101" s="227">
        <f t="shared" si="1102"/>
        <v>0</v>
      </c>
      <c r="BM101" s="235">
        <f t="shared" si="1103"/>
        <v>0.4604471269</v>
      </c>
      <c r="BN101" s="236">
        <f t="shared" si="1104"/>
        <v>0</v>
      </c>
      <c r="BO101" s="237">
        <f t="shared" si="1105"/>
        <v>0</v>
      </c>
      <c r="BP101" s="230"/>
      <c r="BQ101" s="232">
        <f t="shared" si="1212"/>
        <v>17</v>
      </c>
      <c r="BR101" s="233" t="str">
        <f t="shared" ref="BR101:BT101" si="1481">IFERROR(VLOOKUP($R101,$A$13:$D$30,-BR$12,FALSE),"")</f>
        <v>Lainnya 2.3 (9) …….</v>
      </c>
      <c r="BS101" s="234" t="str">
        <f t="shared" si="1481"/>
        <v/>
      </c>
      <c r="BT101" s="234" t="str">
        <f t="shared" si="1481"/>
        <v/>
      </c>
      <c r="BU101" s="227" t="str">
        <f>ADHK!BU101</f>
        <v/>
      </c>
      <c r="BV101" s="227"/>
      <c r="BW101" s="227">
        <f t="shared" si="1107"/>
        <v>0</v>
      </c>
      <c r="BX101" s="235"/>
      <c r="BY101" s="227">
        <f t="shared" si="1108"/>
        <v>0</v>
      </c>
      <c r="BZ101" s="96"/>
      <c r="CA101" s="96"/>
      <c r="CB101" s="97"/>
      <c r="CC101" s="227">
        <f t="shared" si="1109"/>
        <v>0</v>
      </c>
      <c r="CD101" s="235">
        <f t="shared" si="1110"/>
        <v>0.4604471269</v>
      </c>
      <c r="CE101" s="236">
        <f t="shared" si="1111"/>
        <v>0</v>
      </c>
      <c r="CF101" s="237">
        <f t="shared" si="1112"/>
        <v>0</v>
      </c>
      <c r="CG101" s="230"/>
      <c r="CH101" s="232">
        <f t="shared" si="1214"/>
        <v>17</v>
      </c>
      <c r="CI101" s="233" t="str">
        <f t="shared" ref="CI101:CK101" si="1482">IFERROR(VLOOKUP($R101,$A$13:$D$30,-CI$12,FALSE),"")</f>
        <v>Lainnya 2.3 (9) …….</v>
      </c>
      <c r="CJ101" s="234" t="str">
        <f t="shared" si="1482"/>
        <v/>
      </c>
      <c r="CK101" s="234" t="str">
        <f t="shared" si="1482"/>
        <v/>
      </c>
      <c r="CL101" s="227" t="str">
        <f>ADHK!CL101</f>
        <v/>
      </c>
      <c r="CM101" s="227"/>
      <c r="CN101" s="227">
        <f t="shared" si="1114"/>
        <v>0</v>
      </c>
      <c r="CO101" s="235"/>
      <c r="CP101" s="227">
        <f t="shared" si="1115"/>
        <v>0</v>
      </c>
      <c r="CQ101" s="96"/>
      <c r="CR101" s="96"/>
      <c r="CS101" s="97"/>
      <c r="CT101" s="227">
        <f t="shared" si="1116"/>
        <v>0</v>
      </c>
      <c r="CU101" s="235">
        <f t="shared" si="1117"/>
        <v>0.4604471269</v>
      </c>
      <c r="CV101" s="236">
        <f t="shared" si="1118"/>
        <v>0</v>
      </c>
      <c r="CW101" s="237">
        <f t="shared" si="1119"/>
        <v>0</v>
      </c>
      <c r="CX101" s="230"/>
      <c r="CY101" s="232">
        <f t="shared" si="1216"/>
        <v>17</v>
      </c>
      <c r="CZ101" s="233" t="str">
        <f t="shared" ref="CZ101:DB101" si="1483">IFERROR(VLOOKUP($R101,$A$13:$D$30,-CZ$12,FALSE),"")</f>
        <v>Lainnya 2.3 (9) …….</v>
      </c>
      <c r="DA101" s="234" t="str">
        <f t="shared" si="1483"/>
        <v/>
      </c>
      <c r="DB101" s="234" t="str">
        <f t="shared" si="1483"/>
        <v/>
      </c>
      <c r="DC101" s="227" t="str">
        <f>ADHK!DC101</f>
        <v/>
      </c>
      <c r="DD101" s="227"/>
      <c r="DE101" s="227">
        <f t="shared" si="1121"/>
        <v>0</v>
      </c>
      <c r="DF101" s="235"/>
      <c r="DG101" s="227">
        <f t="shared" si="1122"/>
        <v>0</v>
      </c>
      <c r="DH101" s="96"/>
      <c r="DI101" s="96"/>
      <c r="DJ101" s="97"/>
      <c r="DK101" s="227">
        <f t="shared" si="1123"/>
        <v>0</v>
      </c>
      <c r="DL101" s="235">
        <f t="shared" si="1124"/>
        <v>0.4604471269</v>
      </c>
      <c r="DM101" s="236">
        <f t="shared" si="1125"/>
        <v>0</v>
      </c>
      <c r="DN101" s="237">
        <f t="shared" si="1126"/>
        <v>0</v>
      </c>
      <c r="DO101" s="230"/>
      <c r="DP101" s="232">
        <f t="shared" si="1218"/>
        <v>17</v>
      </c>
      <c r="DQ101" s="233" t="str">
        <f t="shared" ref="DQ101:DS101" si="1484">IFERROR(VLOOKUP($R101,$A$13:$D$30,-DQ$12,FALSE),"")</f>
        <v>Lainnya 2.3 (9) …….</v>
      </c>
      <c r="DR101" s="234" t="str">
        <f t="shared" si="1484"/>
        <v/>
      </c>
      <c r="DS101" s="234" t="str">
        <f t="shared" si="1484"/>
        <v/>
      </c>
      <c r="DT101" s="227" t="str">
        <f>ADHK!DT101</f>
        <v/>
      </c>
      <c r="DU101" s="227"/>
      <c r="DV101" s="227">
        <f t="shared" si="1128"/>
        <v>0</v>
      </c>
      <c r="DW101" s="235"/>
      <c r="DX101" s="227">
        <f t="shared" si="1129"/>
        <v>0</v>
      </c>
      <c r="DY101" s="96"/>
      <c r="DZ101" s="96"/>
      <c r="EA101" s="97"/>
      <c r="EB101" s="227">
        <f t="shared" si="1130"/>
        <v>0</v>
      </c>
      <c r="EC101" s="235">
        <f t="shared" si="1131"/>
        <v>0.4604471269</v>
      </c>
      <c r="ED101" s="236">
        <f t="shared" si="1132"/>
        <v>0</v>
      </c>
      <c r="EE101" s="237">
        <f t="shared" si="1133"/>
        <v>0</v>
      </c>
      <c r="EF101" s="230"/>
      <c r="EG101" s="232">
        <f t="shared" si="1220"/>
        <v>17</v>
      </c>
      <c r="EH101" s="233" t="str">
        <f t="shared" ref="EH101:EJ101" si="1485">IFERROR(VLOOKUP($R101,$A$13:$D$30,-EH$12,FALSE),"")</f>
        <v>Lainnya 2.3 (9) …….</v>
      </c>
      <c r="EI101" s="234" t="str">
        <f t="shared" si="1485"/>
        <v/>
      </c>
      <c r="EJ101" s="234" t="str">
        <f t="shared" si="1485"/>
        <v/>
      </c>
      <c r="EK101" s="227" t="str">
        <f>ADHK!EK101</f>
        <v/>
      </c>
      <c r="EL101" s="227"/>
      <c r="EM101" s="227">
        <f t="shared" si="1135"/>
        <v>0</v>
      </c>
      <c r="EN101" s="235"/>
      <c r="EO101" s="227">
        <f t="shared" si="1136"/>
        <v>0</v>
      </c>
      <c r="EP101" s="96"/>
      <c r="EQ101" s="96"/>
      <c r="ER101" s="97"/>
      <c r="ES101" s="227">
        <f t="shared" si="1137"/>
        <v>0</v>
      </c>
      <c r="ET101" s="235">
        <f t="shared" si="1138"/>
        <v>0.4604471269</v>
      </c>
      <c r="EU101" s="236">
        <f t="shared" si="1139"/>
        <v>0</v>
      </c>
      <c r="EV101" s="237">
        <f t="shared" si="1140"/>
        <v>0</v>
      </c>
      <c r="EW101" s="230"/>
      <c r="EX101" s="232">
        <f t="shared" si="1222"/>
        <v>17</v>
      </c>
      <c r="EY101" s="233" t="str">
        <f t="shared" ref="EY101:FA101" si="1486">IFERROR(VLOOKUP($R101,$A$13:$D$30,-EY$12,FALSE),"")</f>
        <v>Lainnya 2.3 (9) …….</v>
      </c>
      <c r="EZ101" s="234" t="str">
        <f t="shared" si="1486"/>
        <v/>
      </c>
      <c r="FA101" s="234" t="str">
        <f t="shared" si="1486"/>
        <v/>
      </c>
      <c r="FB101" s="227" t="str">
        <f>ADHK!FB101</f>
        <v/>
      </c>
      <c r="FC101" s="227"/>
      <c r="FD101" s="227">
        <f t="shared" si="1142"/>
        <v>0</v>
      </c>
      <c r="FE101" s="235"/>
      <c r="FF101" s="227">
        <f t="shared" si="1143"/>
        <v>0</v>
      </c>
      <c r="FG101" s="96"/>
      <c r="FH101" s="96"/>
      <c r="FI101" s="97"/>
      <c r="FJ101" s="227">
        <f t="shared" si="1144"/>
        <v>0</v>
      </c>
      <c r="FK101" s="235">
        <f t="shared" si="1145"/>
        <v>0.4604471269</v>
      </c>
      <c r="FL101" s="236">
        <f t="shared" si="1146"/>
        <v>0</v>
      </c>
      <c r="FM101" s="237">
        <f t="shared" si="1147"/>
        <v>0</v>
      </c>
      <c r="FN101" s="230"/>
      <c r="FO101" s="232">
        <f t="shared" si="1224"/>
        <v>17</v>
      </c>
      <c r="FP101" s="233" t="str">
        <f t="shared" ref="FP101:FR101" si="1487">IFERROR(VLOOKUP($R101,$A$13:$D$30,-FP$12,FALSE),"")</f>
        <v>Lainnya 2.3 (9) …….</v>
      </c>
      <c r="FQ101" s="234" t="str">
        <f t="shared" si="1487"/>
        <v/>
      </c>
      <c r="FR101" s="234" t="str">
        <f t="shared" si="1487"/>
        <v/>
      </c>
      <c r="FS101" s="227" t="str">
        <f>ADHK!FS101</f>
        <v/>
      </c>
      <c r="FT101" s="227"/>
      <c r="FU101" s="227">
        <f t="shared" si="1149"/>
        <v>0</v>
      </c>
      <c r="FV101" s="235"/>
      <c r="FW101" s="227">
        <f t="shared" si="1150"/>
        <v>0</v>
      </c>
      <c r="FX101" s="96"/>
      <c r="FY101" s="96"/>
      <c r="FZ101" s="97"/>
      <c r="GA101" s="227">
        <f t="shared" si="1151"/>
        <v>0</v>
      </c>
      <c r="GB101" s="235">
        <f t="shared" si="1152"/>
        <v>0.4604471269</v>
      </c>
      <c r="GC101" s="236">
        <f t="shared" si="1153"/>
        <v>0</v>
      </c>
      <c r="GD101" s="237">
        <f t="shared" si="1154"/>
        <v>0</v>
      </c>
      <c r="GE101" s="230"/>
      <c r="GF101" s="232">
        <f t="shared" si="1226"/>
        <v>17</v>
      </c>
      <c r="GG101" s="233" t="str">
        <f t="shared" ref="GG101:GI101" si="1488">IFERROR(VLOOKUP($R101,$A$13:$D$30,-GG$12,FALSE),"")</f>
        <v>Lainnya 2.3 (9) …….</v>
      </c>
      <c r="GH101" s="234" t="str">
        <f t="shared" si="1488"/>
        <v/>
      </c>
      <c r="GI101" s="234" t="str">
        <f t="shared" si="1488"/>
        <v/>
      </c>
      <c r="GJ101" s="227" t="str">
        <f>ADHK!GJ101</f>
        <v/>
      </c>
      <c r="GK101" s="227"/>
      <c r="GL101" s="227">
        <f t="shared" si="1156"/>
        <v>0</v>
      </c>
      <c r="GM101" s="235"/>
      <c r="GN101" s="227">
        <f t="shared" si="1157"/>
        <v>0</v>
      </c>
      <c r="GO101" s="96"/>
      <c r="GP101" s="96"/>
      <c r="GQ101" s="97"/>
      <c r="GR101" s="227">
        <f t="shared" si="1158"/>
        <v>0</v>
      </c>
      <c r="GS101" s="235">
        <f t="shared" si="1159"/>
        <v>0.4604471269</v>
      </c>
      <c r="GT101" s="236">
        <f t="shared" si="1160"/>
        <v>0</v>
      </c>
      <c r="GU101" s="237">
        <f t="shared" si="1161"/>
        <v>0</v>
      </c>
      <c r="GV101" s="230"/>
      <c r="GW101" s="232">
        <f t="shared" si="1228"/>
        <v>17</v>
      </c>
      <c r="GX101" s="233" t="str">
        <f t="shared" ref="GX101:GZ101" si="1489">IFERROR(VLOOKUP($R101,$A$13:$D$30,-GX$12,FALSE),"")</f>
        <v>Lainnya 2.3 (9) …….</v>
      </c>
      <c r="GY101" s="234" t="str">
        <f t="shared" si="1489"/>
        <v/>
      </c>
      <c r="GZ101" s="234" t="str">
        <f t="shared" si="1489"/>
        <v/>
      </c>
      <c r="HA101" s="227" t="str">
        <f>ADHK!HA101</f>
        <v/>
      </c>
      <c r="HB101" s="227"/>
      <c r="HC101" s="227">
        <f t="shared" si="1163"/>
        <v>0</v>
      </c>
      <c r="HD101" s="235"/>
      <c r="HE101" s="227">
        <f t="shared" si="1164"/>
        <v>0</v>
      </c>
      <c r="HF101" s="96"/>
      <c r="HG101" s="96"/>
      <c r="HH101" s="97"/>
      <c r="HI101" s="227">
        <f t="shared" si="1165"/>
        <v>0</v>
      </c>
      <c r="HJ101" s="235">
        <f t="shared" si="1166"/>
        <v>0.4604471269</v>
      </c>
      <c r="HK101" s="236">
        <f t="shared" si="1167"/>
        <v>0</v>
      </c>
      <c r="HL101" s="237">
        <f t="shared" si="1168"/>
        <v>0</v>
      </c>
      <c r="HM101" s="230"/>
      <c r="HN101" s="232">
        <f t="shared" si="1230"/>
        <v>17</v>
      </c>
      <c r="HO101" s="233" t="str">
        <f t="shared" ref="HO101:HQ101" si="1490">IFERROR(VLOOKUP($R101,$A$13:$D$30,-HO$12,FALSE),"")</f>
        <v>Lainnya 2.3 (9) …….</v>
      </c>
      <c r="HP101" s="234" t="str">
        <f t="shared" si="1490"/>
        <v/>
      </c>
      <c r="HQ101" s="234" t="str">
        <f t="shared" si="1490"/>
        <v/>
      </c>
      <c r="HR101" s="227" t="str">
        <f>ADHK!HR101</f>
        <v/>
      </c>
      <c r="HS101" s="227"/>
      <c r="HT101" s="227">
        <f t="shared" si="1170"/>
        <v>0</v>
      </c>
      <c r="HU101" s="235"/>
      <c r="HV101" s="227">
        <f t="shared" si="1171"/>
        <v>0</v>
      </c>
      <c r="HW101" s="96"/>
      <c r="HX101" s="96"/>
      <c r="HY101" s="97"/>
      <c r="HZ101" s="227">
        <f t="shared" si="1172"/>
        <v>0</v>
      </c>
      <c r="IA101" s="235">
        <f t="shared" si="1173"/>
        <v>0.4604471269</v>
      </c>
      <c r="IB101" s="236">
        <f t="shared" si="1174"/>
        <v>0</v>
      </c>
      <c r="IC101" s="237">
        <f t="shared" si="1175"/>
        <v>0</v>
      </c>
      <c r="ID101" s="230"/>
      <c r="IE101" s="232">
        <f t="shared" si="1232"/>
        <v>17</v>
      </c>
      <c r="IF101" s="233" t="str">
        <f t="shared" ref="IF101:IH101" si="1491">IFERROR(VLOOKUP($R101,$A$13:$D$30,-IF$12,FALSE),"")</f>
        <v>Lainnya 2.3 (9) …….</v>
      </c>
      <c r="IG101" s="234" t="str">
        <f t="shared" si="1491"/>
        <v/>
      </c>
      <c r="IH101" s="234" t="str">
        <f t="shared" si="1491"/>
        <v/>
      </c>
      <c r="II101" s="227" t="str">
        <f>ADHK!II101</f>
        <v/>
      </c>
      <c r="IJ101" s="227"/>
      <c r="IK101" s="227">
        <f t="shared" si="1177"/>
        <v>0</v>
      </c>
      <c r="IL101" s="235"/>
      <c r="IM101" s="227">
        <f t="shared" si="1178"/>
        <v>0</v>
      </c>
      <c r="IN101" s="96"/>
      <c r="IO101" s="96"/>
      <c r="IP101" s="97"/>
      <c r="IQ101" s="227">
        <f t="shared" si="1179"/>
        <v>0</v>
      </c>
      <c r="IR101" s="235">
        <f t="shared" si="1180"/>
        <v>0.4604471269</v>
      </c>
      <c r="IS101" s="236">
        <f t="shared" si="1181"/>
        <v>0</v>
      </c>
      <c r="IT101" s="237">
        <f t="shared" si="1182"/>
        <v>0</v>
      </c>
      <c r="IU101" s="230"/>
      <c r="IV101" s="232">
        <f t="shared" si="1234"/>
        <v>17</v>
      </c>
      <c r="IW101" s="233" t="str">
        <f t="shared" ref="IW101:IY101" si="1492">IFERROR(VLOOKUP($R101,$A$13:$D$30,-IW$12,FALSE),"")</f>
        <v>Lainnya 2.3 (9) …….</v>
      </c>
      <c r="IX101" s="234" t="str">
        <f t="shared" si="1492"/>
        <v/>
      </c>
      <c r="IY101" s="234" t="str">
        <f t="shared" si="1492"/>
        <v/>
      </c>
      <c r="IZ101" s="227" t="str">
        <f>ADHK!IZ101</f>
        <v/>
      </c>
      <c r="JA101" s="227"/>
      <c r="JB101" s="227">
        <f t="shared" si="1184"/>
        <v>0</v>
      </c>
      <c r="JC101" s="235"/>
      <c r="JD101" s="227">
        <f t="shared" si="1185"/>
        <v>0</v>
      </c>
      <c r="JE101" s="96"/>
      <c r="JF101" s="96"/>
      <c r="JG101" s="97"/>
      <c r="JH101" s="227">
        <f t="shared" si="1186"/>
        <v>0</v>
      </c>
      <c r="JI101" s="235">
        <f t="shared" si="1187"/>
        <v>0.4604471269</v>
      </c>
      <c r="JJ101" s="236">
        <f t="shared" si="1188"/>
        <v>0</v>
      </c>
      <c r="JK101" s="237">
        <f t="shared" si="1189"/>
        <v>0</v>
      </c>
      <c r="JL101" s="230"/>
      <c r="JM101" s="232">
        <f t="shared" si="1236"/>
        <v>17</v>
      </c>
      <c r="JN101" s="233" t="str">
        <f t="shared" ref="JN101:JP101" si="1493">IFERROR(VLOOKUP($R101,$A$13:$D$30,-JN$12,FALSE),"")</f>
        <v>Lainnya 2.3 (9) …….</v>
      </c>
      <c r="JO101" s="234" t="str">
        <f t="shared" si="1493"/>
        <v/>
      </c>
      <c r="JP101" s="234" t="str">
        <f t="shared" si="1493"/>
        <v/>
      </c>
      <c r="JQ101" s="227" t="str">
        <f>ADHK!KY101</f>
        <v/>
      </c>
      <c r="JR101" s="227"/>
      <c r="JS101" s="227">
        <f t="shared" si="1191"/>
        <v>0</v>
      </c>
      <c r="JT101" s="235"/>
      <c r="JU101" s="227">
        <f t="shared" si="1192"/>
        <v>0</v>
      </c>
      <c r="JV101" s="96"/>
      <c r="JW101" s="96"/>
      <c r="JX101" s="97"/>
      <c r="JY101" s="227">
        <f t="shared" si="1193"/>
        <v>0</v>
      </c>
      <c r="JZ101" s="235">
        <f t="shared" si="1194"/>
        <v>0.4604471269</v>
      </c>
      <c r="KA101" s="236">
        <f t="shared" si="1195"/>
        <v>0</v>
      </c>
      <c r="KB101" s="237">
        <f t="shared" si="1196"/>
        <v>0</v>
      </c>
      <c r="KC101" s="230"/>
      <c r="KD101" s="232">
        <f t="shared" si="1238"/>
        <v>17</v>
      </c>
      <c r="KE101" s="233" t="str">
        <f t="shared" ref="KE101:KG101" si="1494">IFERROR(VLOOKUP($R101,$A$13:$D$30,-KE$12,FALSE),"")</f>
        <v>Lainnya 2.3 (9) …….</v>
      </c>
      <c r="KF101" s="234" t="str">
        <f t="shared" si="1494"/>
        <v/>
      </c>
      <c r="KG101" s="234" t="str">
        <f t="shared" si="1494"/>
        <v/>
      </c>
      <c r="KH101" s="227" t="str">
        <f>ADHK!LP101</f>
        <v/>
      </c>
      <c r="KI101" s="227"/>
      <c r="KJ101" s="227">
        <f t="shared" si="1198"/>
        <v>0</v>
      </c>
      <c r="KK101" s="235"/>
      <c r="KL101" s="227">
        <f t="shared" si="1199"/>
        <v>0</v>
      </c>
      <c r="KM101" s="96"/>
      <c r="KN101" s="96"/>
      <c r="KO101" s="97"/>
      <c r="KP101" s="227">
        <f t="shared" si="1200"/>
        <v>0</v>
      </c>
      <c r="KQ101" s="235">
        <f t="shared" si="1201"/>
        <v>0.4604471269</v>
      </c>
      <c r="KR101" s="236">
        <f t="shared" si="1202"/>
        <v>0</v>
      </c>
      <c r="KS101" s="237">
        <f t="shared" si="1203"/>
        <v>0</v>
      </c>
      <c r="KT101" s="230"/>
      <c r="KU101" s="231"/>
    </row>
    <row r="102" ht="15.75" customHeight="1">
      <c r="A102" s="232"/>
      <c r="B102" s="233"/>
      <c r="C102" s="239"/>
      <c r="D102" s="239"/>
      <c r="E102" s="227"/>
      <c r="F102" s="227"/>
      <c r="G102" s="227"/>
      <c r="H102" s="227"/>
      <c r="I102" s="227"/>
      <c r="J102" s="96"/>
      <c r="K102" s="96"/>
      <c r="L102" s="96"/>
      <c r="M102" s="227"/>
      <c r="N102" s="227"/>
      <c r="O102" s="227"/>
      <c r="P102" s="237"/>
      <c r="Q102" s="230"/>
      <c r="R102" s="232"/>
      <c r="S102" s="233"/>
      <c r="T102" s="239"/>
      <c r="U102" s="239"/>
      <c r="V102" s="227"/>
      <c r="W102" s="227"/>
      <c r="X102" s="227"/>
      <c r="Y102" s="227"/>
      <c r="Z102" s="227"/>
      <c r="AA102" s="96"/>
      <c r="AB102" s="96"/>
      <c r="AC102" s="96"/>
      <c r="AD102" s="227"/>
      <c r="AE102" s="227"/>
      <c r="AF102" s="227"/>
      <c r="AG102" s="237"/>
      <c r="AH102" s="230"/>
      <c r="AI102" s="232"/>
      <c r="AJ102" s="233"/>
      <c r="AK102" s="239"/>
      <c r="AL102" s="239"/>
      <c r="AM102" s="227"/>
      <c r="AN102" s="227"/>
      <c r="AO102" s="227"/>
      <c r="AP102" s="227"/>
      <c r="AQ102" s="227"/>
      <c r="AR102" s="96"/>
      <c r="AS102" s="96"/>
      <c r="AT102" s="96"/>
      <c r="AU102" s="227"/>
      <c r="AV102" s="227"/>
      <c r="AW102" s="227"/>
      <c r="AX102" s="237"/>
      <c r="AY102" s="230"/>
      <c r="AZ102" s="232"/>
      <c r="BA102" s="233"/>
      <c r="BB102" s="239"/>
      <c r="BC102" s="239"/>
      <c r="BD102" s="227"/>
      <c r="BE102" s="227"/>
      <c r="BF102" s="227"/>
      <c r="BG102" s="227"/>
      <c r="BH102" s="227"/>
      <c r="BI102" s="96"/>
      <c r="BJ102" s="96"/>
      <c r="BK102" s="96"/>
      <c r="BL102" s="227"/>
      <c r="BM102" s="227"/>
      <c r="BN102" s="227"/>
      <c r="BO102" s="237"/>
      <c r="BP102" s="230"/>
      <c r="BQ102" s="232"/>
      <c r="BR102" s="233"/>
      <c r="BS102" s="239"/>
      <c r="BT102" s="239"/>
      <c r="BU102" s="227"/>
      <c r="BV102" s="227"/>
      <c r="BW102" s="227"/>
      <c r="BX102" s="227"/>
      <c r="BY102" s="227"/>
      <c r="BZ102" s="96"/>
      <c r="CA102" s="96"/>
      <c r="CB102" s="96"/>
      <c r="CC102" s="227"/>
      <c r="CD102" s="227"/>
      <c r="CE102" s="227"/>
      <c r="CF102" s="237"/>
      <c r="CG102" s="230"/>
      <c r="CH102" s="232"/>
      <c r="CI102" s="233"/>
      <c r="CJ102" s="239"/>
      <c r="CK102" s="239"/>
      <c r="CL102" s="227"/>
      <c r="CM102" s="227"/>
      <c r="CN102" s="227"/>
      <c r="CO102" s="227"/>
      <c r="CP102" s="227"/>
      <c r="CQ102" s="96"/>
      <c r="CR102" s="96"/>
      <c r="CS102" s="96"/>
      <c r="CT102" s="227"/>
      <c r="CU102" s="227"/>
      <c r="CV102" s="227"/>
      <c r="CW102" s="237"/>
      <c r="CX102" s="230"/>
      <c r="CY102" s="232"/>
      <c r="CZ102" s="233"/>
      <c r="DA102" s="239"/>
      <c r="DB102" s="239"/>
      <c r="DC102" s="227"/>
      <c r="DD102" s="227"/>
      <c r="DE102" s="227"/>
      <c r="DF102" s="227"/>
      <c r="DG102" s="227"/>
      <c r="DH102" s="96"/>
      <c r="DI102" s="96"/>
      <c r="DJ102" s="96"/>
      <c r="DK102" s="227"/>
      <c r="DL102" s="227"/>
      <c r="DM102" s="227"/>
      <c r="DN102" s="237"/>
      <c r="DO102" s="230"/>
      <c r="DP102" s="232"/>
      <c r="DQ102" s="233"/>
      <c r="DR102" s="239"/>
      <c r="DS102" s="239"/>
      <c r="DT102" s="227"/>
      <c r="DU102" s="227"/>
      <c r="DV102" s="227"/>
      <c r="DW102" s="227"/>
      <c r="DX102" s="227"/>
      <c r="DY102" s="96"/>
      <c r="DZ102" s="96"/>
      <c r="EA102" s="96"/>
      <c r="EB102" s="227"/>
      <c r="EC102" s="227"/>
      <c r="ED102" s="227"/>
      <c r="EE102" s="237"/>
      <c r="EF102" s="230"/>
      <c r="EG102" s="232"/>
      <c r="EH102" s="233"/>
      <c r="EI102" s="239"/>
      <c r="EJ102" s="239"/>
      <c r="EK102" s="227"/>
      <c r="EL102" s="227"/>
      <c r="EM102" s="227"/>
      <c r="EN102" s="227"/>
      <c r="EO102" s="227"/>
      <c r="EP102" s="96"/>
      <c r="EQ102" s="96"/>
      <c r="ER102" s="96"/>
      <c r="ES102" s="227"/>
      <c r="ET102" s="227"/>
      <c r="EU102" s="227"/>
      <c r="EV102" s="237"/>
      <c r="EW102" s="230"/>
      <c r="EX102" s="232"/>
      <c r="EY102" s="233"/>
      <c r="EZ102" s="239"/>
      <c r="FA102" s="239"/>
      <c r="FB102" s="227"/>
      <c r="FC102" s="227"/>
      <c r="FD102" s="227"/>
      <c r="FE102" s="227"/>
      <c r="FF102" s="227"/>
      <c r="FG102" s="96"/>
      <c r="FH102" s="96"/>
      <c r="FI102" s="96"/>
      <c r="FJ102" s="227"/>
      <c r="FK102" s="227"/>
      <c r="FL102" s="227"/>
      <c r="FM102" s="237"/>
      <c r="FN102" s="230"/>
      <c r="FO102" s="232"/>
      <c r="FP102" s="233"/>
      <c r="FQ102" s="239"/>
      <c r="FR102" s="239"/>
      <c r="FS102" s="227"/>
      <c r="FT102" s="227"/>
      <c r="FU102" s="227"/>
      <c r="FV102" s="227"/>
      <c r="FW102" s="227"/>
      <c r="FX102" s="96"/>
      <c r="FY102" s="96"/>
      <c r="FZ102" s="96"/>
      <c r="GA102" s="227"/>
      <c r="GB102" s="227"/>
      <c r="GC102" s="227"/>
      <c r="GD102" s="237"/>
      <c r="GE102" s="230"/>
      <c r="GF102" s="232"/>
      <c r="GG102" s="233"/>
      <c r="GH102" s="239"/>
      <c r="GI102" s="239"/>
      <c r="GJ102" s="227"/>
      <c r="GK102" s="227"/>
      <c r="GL102" s="227"/>
      <c r="GM102" s="227"/>
      <c r="GN102" s="227"/>
      <c r="GO102" s="96"/>
      <c r="GP102" s="96"/>
      <c r="GQ102" s="96"/>
      <c r="GR102" s="227"/>
      <c r="GS102" s="227"/>
      <c r="GT102" s="227"/>
      <c r="GU102" s="237"/>
      <c r="GV102" s="230"/>
      <c r="GW102" s="232"/>
      <c r="GX102" s="233"/>
      <c r="GY102" s="239"/>
      <c r="GZ102" s="239"/>
      <c r="HA102" s="227"/>
      <c r="HB102" s="227"/>
      <c r="HC102" s="227"/>
      <c r="HD102" s="227"/>
      <c r="HE102" s="227"/>
      <c r="HF102" s="96"/>
      <c r="HG102" s="96"/>
      <c r="HH102" s="96"/>
      <c r="HI102" s="227"/>
      <c r="HJ102" s="227"/>
      <c r="HK102" s="227"/>
      <c r="HL102" s="237"/>
      <c r="HM102" s="230"/>
      <c r="HN102" s="232"/>
      <c r="HO102" s="233"/>
      <c r="HP102" s="239"/>
      <c r="HQ102" s="239"/>
      <c r="HR102" s="227"/>
      <c r="HS102" s="227"/>
      <c r="HT102" s="227"/>
      <c r="HU102" s="227"/>
      <c r="HV102" s="227"/>
      <c r="HW102" s="96"/>
      <c r="HX102" s="96"/>
      <c r="HY102" s="96"/>
      <c r="HZ102" s="227"/>
      <c r="IA102" s="227"/>
      <c r="IB102" s="227"/>
      <c r="IC102" s="237"/>
      <c r="ID102" s="230"/>
      <c r="IE102" s="232"/>
      <c r="IF102" s="233"/>
      <c r="IG102" s="239"/>
      <c r="IH102" s="239"/>
      <c r="II102" s="227"/>
      <c r="IJ102" s="227"/>
      <c r="IK102" s="227"/>
      <c r="IL102" s="227"/>
      <c r="IM102" s="227"/>
      <c r="IN102" s="96"/>
      <c r="IO102" s="96"/>
      <c r="IP102" s="96"/>
      <c r="IQ102" s="227"/>
      <c r="IR102" s="227"/>
      <c r="IS102" s="227"/>
      <c r="IT102" s="237"/>
      <c r="IU102" s="230"/>
      <c r="IV102" s="232"/>
      <c r="IW102" s="233"/>
      <c r="IX102" s="239"/>
      <c r="IY102" s="239"/>
      <c r="IZ102" s="227"/>
      <c r="JA102" s="227"/>
      <c r="JB102" s="227"/>
      <c r="JC102" s="227"/>
      <c r="JD102" s="227"/>
      <c r="JE102" s="96"/>
      <c r="JF102" s="96"/>
      <c r="JG102" s="96"/>
      <c r="JH102" s="227"/>
      <c r="JI102" s="227"/>
      <c r="JJ102" s="227"/>
      <c r="JK102" s="237"/>
      <c r="JL102" s="230"/>
      <c r="JM102" s="232"/>
      <c r="JN102" s="233"/>
      <c r="JO102" s="239"/>
      <c r="JP102" s="239"/>
      <c r="JQ102" s="227"/>
      <c r="JR102" s="227"/>
      <c r="JS102" s="227"/>
      <c r="JT102" s="227"/>
      <c r="JU102" s="227"/>
      <c r="JV102" s="96"/>
      <c r="JW102" s="96"/>
      <c r="JX102" s="96"/>
      <c r="JY102" s="227"/>
      <c r="JZ102" s="227"/>
      <c r="KA102" s="227"/>
      <c r="KB102" s="237"/>
      <c r="KC102" s="230"/>
      <c r="KD102" s="232"/>
      <c r="KE102" s="233"/>
      <c r="KF102" s="239"/>
      <c r="KG102" s="239"/>
      <c r="KH102" s="227"/>
      <c r="KI102" s="227"/>
      <c r="KJ102" s="227"/>
      <c r="KK102" s="227"/>
      <c r="KL102" s="227"/>
      <c r="KM102" s="96"/>
      <c r="KN102" s="96"/>
      <c r="KO102" s="96"/>
      <c r="KP102" s="227"/>
      <c r="KQ102" s="227"/>
      <c r="KR102" s="227"/>
      <c r="KS102" s="237"/>
      <c r="KT102" s="230"/>
      <c r="KU102" s="231"/>
    </row>
    <row r="103" ht="15.75" customHeight="1">
      <c r="A103" s="240" t="s">
        <v>51</v>
      </c>
      <c r="B103" s="102"/>
      <c r="C103" s="241"/>
      <c r="D103" s="241"/>
      <c r="E103" s="242"/>
      <c r="F103" s="242"/>
      <c r="G103" s="243">
        <f>SUM(G85:G102)</f>
        <v>0</v>
      </c>
      <c r="H103" s="242"/>
      <c r="I103" s="243">
        <f>SUM(I85:I102)</f>
        <v>0</v>
      </c>
      <c r="J103" s="104"/>
      <c r="K103" s="104"/>
      <c r="L103" s="104"/>
      <c r="M103" s="243">
        <f>SUM(M85:M102)</f>
        <v>0</v>
      </c>
      <c r="N103" s="242"/>
      <c r="O103" s="243">
        <f t="shared" ref="O103:P103" si="1495">SUM(O85:O102)</f>
        <v>0</v>
      </c>
      <c r="P103" s="243">
        <f t="shared" si="1495"/>
        <v>0</v>
      </c>
      <c r="Q103" s="244"/>
      <c r="R103" s="240" t="s">
        <v>51</v>
      </c>
      <c r="S103" s="102"/>
      <c r="T103" s="241"/>
      <c r="U103" s="241"/>
      <c r="V103" s="242"/>
      <c r="W103" s="242"/>
      <c r="X103" s="243">
        <f>SUM(X85:X102)</f>
        <v>0</v>
      </c>
      <c r="Y103" s="242"/>
      <c r="Z103" s="243">
        <f>SUM(Z85:Z102)</f>
        <v>0</v>
      </c>
      <c r="AA103" s="104"/>
      <c r="AB103" s="104"/>
      <c r="AC103" s="104"/>
      <c r="AD103" s="243">
        <f>SUM(AD85:AD102)</f>
        <v>0</v>
      </c>
      <c r="AE103" s="242"/>
      <c r="AF103" s="243">
        <f t="shared" ref="AF103:AG103" si="1496">SUM(AF85:AF102)</f>
        <v>0</v>
      </c>
      <c r="AG103" s="243">
        <f t="shared" si="1496"/>
        <v>0</v>
      </c>
      <c r="AH103" s="244"/>
      <c r="AI103" s="240" t="s">
        <v>51</v>
      </c>
      <c r="AJ103" s="102"/>
      <c r="AK103" s="241"/>
      <c r="AL103" s="241"/>
      <c r="AM103" s="242"/>
      <c r="AN103" s="242"/>
      <c r="AO103" s="243">
        <f>SUM(AO85:AO102)</f>
        <v>0</v>
      </c>
      <c r="AP103" s="242"/>
      <c r="AQ103" s="243">
        <f>SUM(AQ85:AQ102)</f>
        <v>0</v>
      </c>
      <c r="AR103" s="104"/>
      <c r="AS103" s="104"/>
      <c r="AT103" s="104"/>
      <c r="AU103" s="243">
        <f>SUM(AU85:AU102)</f>
        <v>0</v>
      </c>
      <c r="AV103" s="242"/>
      <c r="AW103" s="243">
        <f t="shared" ref="AW103:AX103" si="1497">SUM(AW85:AW102)</f>
        <v>0</v>
      </c>
      <c r="AX103" s="243">
        <f t="shared" si="1497"/>
        <v>0</v>
      </c>
      <c r="AY103" s="244"/>
      <c r="AZ103" s="240" t="s">
        <v>51</v>
      </c>
      <c r="BA103" s="102"/>
      <c r="BB103" s="241"/>
      <c r="BC103" s="241"/>
      <c r="BD103" s="242"/>
      <c r="BE103" s="242"/>
      <c r="BF103" s="243">
        <f>SUM(BF85:BF102)</f>
        <v>0</v>
      </c>
      <c r="BG103" s="242"/>
      <c r="BH103" s="243">
        <f>SUM(BH85:BH102)</f>
        <v>0</v>
      </c>
      <c r="BI103" s="104"/>
      <c r="BJ103" s="104"/>
      <c r="BK103" s="104"/>
      <c r="BL103" s="243">
        <f>SUM(BL85:BL102)</f>
        <v>0</v>
      </c>
      <c r="BM103" s="242"/>
      <c r="BN103" s="243">
        <f t="shared" ref="BN103:BO103" si="1498">SUM(BN85:BN102)</f>
        <v>0</v>
      </c>
      <c r="BO103" s="243">
        <f t="shared" si="1498"/>
        <v>0</v>
      </c>
      <c r="BP103" s="244"/>
      <c r="BQ103" s="240" t="s">
        <v>51</v>
      </c>
      <c r="BR103" s="102"/>
      <c r="BS103" s="241"/>
      <c r="BT103" s="241"/>
      <c r="BU103" s="242"/>
      <c r="BV103" s="242"/>
      <c r="BW103" s="243">
        <f>SUM(BW85:BW102)</f>
        <v>0</v>
      </c>
      <c r="BX103" s="242"/>
      <c r="BY103" s="243">
        <f>SUM(BY85:BY102)</f>
        <v>0</v>
      </c>
      <c r="BZ103" s="104"/>
      <c r="CA103" s="104"/>
      <c r="CB103" s="104"/>
      <c r="CC103" s="243">
        <f>SUM(CC85:CC102)</f>
        <v>0</v>
      </c>
      <c r="CD103" s="242"/>
      <c r="CE103" s="243">
        <f t="shared" ref="CE103:CF103" si="1499">SUM(CE85:CE102)</f>
        <v>0</v>
      </c>
      <c r="CF103" s="243">
        <f t="shared" si="1499"/>
        <v>0</v>
      </c>
      <c r="CG103" s="244"/>
      <c r="CH103" s="240" t="s">
        <v>51</v>
      </c>
      <c r="CI103" s="102"/>
      <c r="CJ103" s="241"/>
      <c r="CK103" s="241"/>
      <c r="CL103" s="242"/>
      <c r="CM103" s="242"/>
      <c r="CN103" s="243">
        <f>SUM(CN85:CN102)</f>
        <v>0</v>
      </c>
      <c r="CO103" s="242"/>
      <c r="CP103" s="243">
        <f>SUM(CP85:CP102)</f>
        <v>0</v>
      </c>
      <c r="CQ103" s="104"/>
      <c r="CR103" s="104"/>
      <c r="CS103" s="104"/>
      <c r="CT103" s="243">
        <f>SUM(CT85:CT102)</f>
        <v>0</v>
      </c>
      <c r="CU103" s="242"/>
      <c r="CV103" s="243">
        <f t="shared" ref="CV103:CW103" si="1500">SUM(CV85:CV102)</f>
        <v>0</v>
      </c>
      <c r="CW103" s="243">
        <f t="shared" si="1500"/>
        <v>0</v>
      </c>
      <c r="CX103" s="244"/>
      <c r="CY103" s="240" t="s">
        <v>51</v>
      </c>
      <c r="CZ103" s="102"/>
      <c r="DA103" s="241"/>
      <c r="DB103" s="241"/>
      <c r="DC103" s="242"/>
      <c r="DD103" s="242"/>
      <c r="DE103" s="243">
        <f>SUM(DE85:DE102)</f>
        <v>0</v>
      </c>
      <c r="DF103" s="242"/>
      <c r="DG103" s="243">
        <f>SUM(DG85:DG102)</f>
        <v>0</v>
      </c>
      <c r="DH103" s="104"/>
      <c r="DI103" s="104"/>
      <c r="DJ103" s="104"/>
      <c r="DK103" s="243">
        <f>SUM(DK85:DK102)</f>
        <v>0</v>
      </c>
      <c r="DL103" s="242"/>
      <c r="DM103" s="243">
        <f t="shared" ref="DM103:DN103" si="1501">SUM(DM85:DM102)</f>
        <v>0</v>
      </c>
      <c r="DN103" s="243">
        <f t="shared" si="1501"/>
        <v>0</v>
      </c>
      <c r="DO103" s="244"/>
      <c r="DP103" s="240" t="s">
        <v>51</v>
      </c>
      <c r="DQ103" s="102"/>
      <c r="DR103" s="241"/>
      <c r="DS103" s="241"/>
      <c r="DT103" s="242"/>
      <c r="DU103" s="242"/>
      <c r="DV103" s="243">
        <f>SUM(DV85:DV102)</f>
        <v>0</v>
      </c>
      <c r="DW103" s="242"/>
      <c r="DX103" s="243">
        <f>SUM(DX85:DX102)</f>
        <v>0</v>
      </c>
      <c r="DY103" s="104"/>
      <c r="DZ103" s="104"/>
      <c r="EA103" s="104"/>
      <c r="EB103" s="243">
        <f>SUM(EB85:EB102)</f>
        <v>0</v>
      </c>
      <c r="EC103" s="242"/>
      <c r="ED103" s="243">
        <f t="shared" ref="ED103:EE103" si="1502">SUM(ED85:ED102)</f>
        <v>0</v>
      </c>
      <c r="EE103" s="243">
        <f t="shared" si="1502"/>
        <v>0</v>
      </c>
      <c r="EF103" s="244"/>
      <c r="EG103" s="240" t="s">
        <v>51</v>
      </c>
      <c r="EH103" s="102"/>
      <c r="EI103" s="241"/>
      <c r="EJ103" s="241"/>
      <c r="EK103" s="242"/>
      <c r="EL103" s="242"/>
      <c r="EM103" s="243">
        <f>SUM(EM85:EM102)</f>
        <v>0</v>
      </c>
      <c r="EN103" s="242"/>
      <c r="EO103" s="243">
        <f>SUM(EO85:EO102)</f>
        <v>0</v>
      </c>
      <c r="EP103" s="104"/>
      <c r="EQ103" s="104"/>
      <c r="ER103" s="104"/>
      <c r="ES103" s="243">
        <f>SUM(ES85:ES102)</f>
        <v>0</v>
      </c>
      <c r="ET103" s="242"/>
      <c r="EU103" s="243">
        <f t="shared" ref="EU103:EV103" si="1503">SUM(EU85:EU102)</f>
        <v>0</v>
      </c>
      <c r="EV103" s="243">
        <f t="shared" si="1503"/>
        <v>0</v>
      </c>
      <c r="EW103" s="244"/>
      <c r="EX103" s="240" t="s">
        <v>51</v>
      </c>
      <c r="EY103" s="102"/>
      <c r="EZ103" s="241"/>
      <c r="FA103" s="241"/>
      <c r="FB103" s="242"/>
      <c r="FC103" s="242"/>
      <c r="FD103" s="243">
        <f>SUM(FD85:FD102)</f>
        <v>0</v>
      </c>
      <c r="FE103" s="242"/>
      <c r="FF103" s="243">
        <f>SUM(FF85:FF102)</f>
        <v>0</v>
      </c>
      <c r="FG103" s="104"/>
      <c r="FH103" s="104"/>
      <c r="FI103" s="104"/>
      <c r="FJ103" s="243">
        <f>SUM(FJ85:FJ102)</f>
        <v>0</v>
      </c>
      <c r="FK103" s="242"/>
      <c r="FL103" s="243">
        <f t="shared" ref="FL103:FM103" si="1504">SUM(FL85:FL102)</f>
        <v>0</v>
      </c>
      <c r="FM103" s="243">
        <f t="shared" si="1504"/>
        <v>0</v>
      </c>
      <c r="FN103" s="244"/>
      <c r="FO103" s="240" t="s">
        <v>51</v>
      </c>
      <c r="FP103" s="102"/>
      <c r="FQ103" s="241"/>
      <c r="FR103" s="241"/>
      <c r="FS103" s="242"/>
      <c r="FT103" s="242"/>
      <c r="FU103" s="243">
        <f>SUM(FU85:FU102)</f>
        <v>1151428.804</v>
      </c>
      <c r="FV103" s="242"/>
      <c r="FW103" s="243">
        <f>SUM(FW85:FW102)</f>
        <v>0</v>
      </c>
      <c r="FX103" s="104"/>
      <c r="FY103" s="104"/>
      <c r="FZ103" s="104"/>
      <c r="GA103" s="243">
        <f>SUM(GA85:GA102)</f>
        <v>1151428.804</v>
      </c>
      <c r="GB103" s="242"/>
      <c r="GC103" s="243">
        <f t="shared" ref="GC103:GD103" si="1505">SUM(GC85:GC102)</f>
        <v>530172.0844</v>
      </c>
      <c r="GD103" s="243">
        <f t="shared" si="1505"/>
        <v>621256.7191</v>
      </c>
      <c r="GE103" s="244"/>
      <c r="GF103" s="240" t="s">
        <v>51</v>
      </c>
      <c r="GG103" s="102"/>
      <c r="GH103" s="241"/>
      <c r="GI103" s="241"/>
      <c r="GJ103" s="242"/>
      <c r="GK103" s="242"/>
      <c r="GL103" s="243">
        <f>SUM(GL85:GL102)</f>
        <v>1423329.126</v>
      </c>
      <c r="GM103" s="242"/>
      <c r="GN103" s="243">
        <f>SUM(GN85:GN102)</f>
        <v>0</v>
      </c>
      <c r="GO103" s="104"/>
      <c r="GP103" s="104"/>
      <c r="GQ103" s="104"/>
      <c r="GR103" s="243">
        <f>SUM(GR85:GR102)</f>
        <v>1423329.126</v>
      </c>
      <c r="GS103" s="242"/>
      <c r="GT103" s="243">
        <f t="shared" ref="GT103:GU103" si="1506">SUM(GT85:GT102)</f>
        <v>655367.8067</v>
      </c>
      <c r="GU103" s="243">
        <f t="shared" si="1506"/>
        <v>767961.3193</v>
      </c>
      <c r="GV103" s="244"/>
      <c r="GW103" s="240" t="s">
        <v>51</v>
      </c>
      <c r="GX103" s="102"/>
      <c r="GY103" s="241"/>
      <c r="GZ103" s="241"/>
      <c r="HA103" s="242"/>
      <c r="HB103" s="242"/>
      <c r="HC103" s="243">
        <f>SUM(HC85:HC102)</f>
        <v>1302100.557</v>
      </c>
      <c r="HD103" s="242"/>
      <c r="HE103" s="243">
        <f>SUM(HE85:HE102)</f>
        <v>0</v>
      </c>
      <c r="HF103" s="104"/>
      <c r="HG103" s="104"/>
      <c r="HH103" s="104"/>
      <c r="HI103" s="243">
        <f>SUM(HI85:HI102)</f>
        <v>1302100.557</v>
      </c>
      <c r="HJ103" s="242"/>
      <c r="HK103" s="243">
        <f t="shared" ref="HK103:HL103" si="1507">SUM(HK85:HK102)</f>
        <v>599548.4602</v>
      </c>
      <c r="HL103" s="243">
        <f t="shared" si="1507"/>
        <v>702552.0964</v>
      </c>
      <c r="HM103" s="244"/>
      <c r="HN103" s="240" t="s">
        <v>51</v>
      </c>
      <c r="HO103" s="102"/>
      <c r="HP103" s="241"/>
      <c r="HQ103" s="241"/>
      <c r="HR103" s="242"/>
      <c r="HS103" s="242"/>
      <c r="HT103" s="243">
        <f>SUM(HT85:HT102)</f>
        <v>2297590.038</v>
      </c>
      <c r="HU103" s="242"/>
      <c r="HV103" s="243">
        <f>SUM(HV85:HV102)</f>
        <v>0</v>
      </c>
      <c r="HW103" s="104"/>
      <c r="HX103" s="104"/>
      <c r="HY103" s="104"/>
      <c r="HZ103" s="243">
        <f>SUM(HZ85:HZ102)</f>
        <v>2297590.038</v>
      </c>
      <c r="IA103" s="242"/>
      <c r="IB103" s="243">
        <f t="shared" ref="IB103:IC103" si="1508">SUM(IB85:IB102)</f>
        <v>1057918.732</v>
      </c>
      <c r="IC103" s="243">
        <f t="shared" si="1508"/>
        <v>1239671.306</v>
      </c>
      <c r="ID103" s="244"/>
      <c r="IE103" s="240" t="s">
        <v>51</v>
      </c>
      <c r="IF103" s="102"/>
      <c r="IG103" s="241"/>
      <c r="IH103" s="241"/>
      <c r="II103" s="242"/>
      <c r="IJ103" s="242"/>
      <c r="IK103" s="243">
        <f>SUM(IK85:IK102)</f>
        <v>4710219.746</v>
      </c>
      <c r="IL103" s="242"/>
      <c r="IM103" s="243">
        <f>SUM(IM85:IM102)</f>
        <v>0</v>
      </c>
      <c r="IN103" s="104"/>
      <c r="IO103" s="104"/>
      <c r="IP103" s="104"/>
      <c r="IQ103" s="243">
        <f>SUM(IQ85:IQ102)</f>
        <v>4710219.746</v>
      </c>
      <c r="IR103" s="242"/>
      <c r="IS103" s="243">
        <f t="shared" ref="IS103:IT103" si="1509">SUM(IS85:IS102)</f>
        <v>2168807.149</v>
      </c>
      <c r="IT103" s="243">
        <f t="shared" si="1509"/>
        <v>2541412.597</v>
      </c>
      <c r="IU103" s="244"/>
      <c r="IV103" s="240" t="s">
        <v>51</v>
      </c>
      <c r="IW103" s="102"/>
      <c r="IX103" s="241"/>
      <c r="IY103" s="241"/>
      <c r="IZ103" s="242"/>
      <c r="JA103" s="242"/>
      <c r="JB103" s="243">
        <f>SUM(JB85:JB102)</f>
        <v>4361433.464</v>
      </c>
      <c r="JC103" s="242"/>
      <c r="JD103" s="243">
        <f>SUM(JD85:JD102)</f>
        <v>0</v>
      </c>
      <c r="JE103" s="104"/>
      <c r="JF103" s="104"/>
      <c r="JG103" s="104"/>
      <c r="JH103" s="243">
        <f>SUM(JH85:JH102)</f>
        <v>4361433.464</v>
      </c>
      <c r="JI103" s="242"/>
      <c r="JJ103" s="243">
        <f t="shared" ref="JJ103:JK103" si="1510">SUM(JJ85:JJ102)</f>
        <v>2008209.508</v>
      </c>
      <c r="JK103" s="243">
        <f t="shared" si="1510"/>
        <v>2353223.956</v>
      </c>
      <c r="JL103" s="244"/>
      <c r="JM103" s="240" t="s">
        <v>51</v>
      </c>
      <c r="JN103" s="102"/>
      <c r="JO103" s="241"/>
      <c r="JP103" s="241"/>
      <c r="JQ103" s="242"/>
      <c r="JR103" s="242"/>
      <c r="JS103" s="243">
        <f>SUM(JS85:JS102)</f>
        <v>0</v>
      </c>
      <c r="JT103" s="242"/>
      <c r="JU103" s="243">
        <f>SUM(JU85:JU102)</f>
        <v>0</v>
      </c>
      <c r="JV103" s="104"/>
      <c r="JW103" s="104"/>
      <c r="JX103" s="104"/>
      <c r="JY103" s="243">
        <f>SUM(JY85:JY102)</f>
        <v>0</v>
      </c>
      <c r="JZ103" s="242"/>
      <c r="KA103" s="243">
        <f t="shared" ref="KA103:KB103" si="1511">SUM(KA85:KA102)</f>
        <v>0</v>
      </c>
      <c r="KB103" s="243">
        <f t="shared" si="1511"/>
        <v>0</v>
      </c>
      <c r="KC103" s="244"/>
      <c r="KD103" s="240" t="s">
        <v>51</v>
      </c>
      <c r="KE103" s="102"/>
      <c r="KF103" s="241"/>
      <c r="KG103" s="241"/>
      <c r="KH103" s="242"/>
      <c r="KI103" s="242"/>
      <c r="KJ103" s="243">
        <f>SUM(KJ85:KJ102)</f>
        <v>0</v>
      </c>
      <c r="KK103" s="242"/>
      <c r="KL103" s="243">
        <f>SUM(KL85:KL102)</f>
        <v>0</v>
      </c>
      <c r="KM103" s="104"/>
      <c r="KN103" s="104"/>
      <c r="KO103" s="104"/>
      <c r="KP103" s="243">
        <f>SUM(KP85:KP102)</f>
        <v>0</v>
      </c>
      <c r="KQ103" s="242"/>
      <c r="KR103" s="243">
        <f t="shared" ref="KR103:KS103" si="1512">SUM(KR85:KR102)</f>
        <v>0</v>
      </c>
      <c r="KS103" s="243">
        <f t="shared" si="1512"/>
        <v>0</v>
      </c>
      <c r="KT103" s="244"/>
      <c r="KU103" s="245"/>
    </row>
    <row r="104" ht="15.75" customHeight="1">
      <c r="A104" s="232"/>
      <c r="B104" s="239"/>
      <c r="C104" s="239"/>
      <c r="D104" s="239"/>
      <c r="E104" s="227"/>
      <c r="F104" s="227"/>
      <c r="G104" s="227"/>
      <c r="H104" s="227"/>
      <c r="I104" s="227"/>
      <c r="J104" s="87"/>
      <c r="K104" s="87"/>
      <c r="L104" s="87"/>
      <c r="M104" s="227"/>
      <c r="N104" s="227"/>
      <c r="O104" s="236"/>
      <c r="P104" s="237"/>
      <c r="Q104" s="230"/>
      <c r="R104" s="232"/>
      <c r="S104" s="239"/>
      <c r="T104" s="239"/>
      <c r="U104" s="239"/>
      <c r="V104" s="227"/>
      <c r="W104" s="227"/>
      <c r="X104" s="227"/>
      <c r="Y104" s="227"/>
      <c r="Z104" s="227"/>
      <c r="AA104" s="87"/>
      <c r="AB104" s="87"/>
      <c r="AC104" s="87"/>
      <c r="AD104" s="227"/>
      <c r="AE104" s="227"/>
      <c r="AF104" s="236"/>
      <c r="AG104" s="237"/>
      <c r="AH104" s="230"/>
      <c r="AI104" s="232"/>
      <c r="AJ104" s="239"/>
      <c r="AK104" s="239"/>
      <c r="AL104" s="239"/>
      <c r="AM104" s="227"/>
      <c r="AN104" s="227"/>
      <c r="AO104" s="227"/>
      <c r="AP104" s="227"/>
      <c r="AQ104" s="227"/>
      <c r="AR104" s="87"/>
      <c r="AS104" s="87"/>
      <c r="AT104" s="87"/>
      <c r="AU104" s="227"/>
      <c r="AV104" s="227"/>
      <c r="AW104" s="236"/>
      <c r="AX104" s="237"/>
      <c r="AY104" s="230"/>
      <c r="AZ104" s="232"/>
      <c r="BA104" s="239"/>
      <c r="BB104" s="239"/>
      <c r="BC104" s="239"/>
      <c r="BD104" s="227"/>
      <c r="BE104" s="227"/>
      <c r="BF104" s="227"/>
      <c r="BG104" s="227"/>
      <c r="BH104" s="227"/>
      <c r="BI104" s="87"/>
      <c r="BJ104" s="87"/>
      <c r="BK104" s="87"/>
      <c r="BL104" s="227"/>
      <c r="BM104" s="227"/>
      <c r="BN104" s="236"/>
      <c r="BO104" s="237"/>
      <c r="BP104" s="230"/>
      <c r="BQ104" s="232"/>
      <c r="BR104" s="239"/>
      <c r="BS104" s="239"/>
      <c r="BT104" s="239"/>
      <c r="BU104" s="227"/>
      <c r="BV104" s="227"/>
      <c r="BW104" s="227"/>
      <c r="BX104" s="227"/>
      <c r="BY104" s="227"/>
      <c r="BZ104" s="87"/>
      <c r="CA104" s="87"/>
      <c r="CB104" s="87"/>
      <c r="CC104" s="227"/>
      <c r="CD104" s="227"/>
      <c r="CE104" s="236"/>
      <c r="CF104" s="237"/>
      <c r="CG104" s="230"/>
      <c r="CH104" s="232"/>
      <c r="CI104" s="239"/>
      <c r="CJ104" s="239"/>
      <c r="CK104" s="239"/>
      <c r="CL104" s="227"/>
      <c r="CM104" s="227"/>
      <c r="CN104" s="227"/>
      <c r="CO104" s="227"/>
      <c r="CP104" s="227"/>
      <c r="CQ104" s="87"/>
      <c r="CR104" s="87"/>
      <c r="CS104" s="87"/>
      <c r="CT104" s="227"/>
      <c r="CU104" s="227"/>
      <c r="CV104" s="236"/>
      <c r="CW104" s="237"/>
      <c r="CX104" s="230"/>
      <c r="CY104" s="232"/>
      <c r="CZ104" s="239"/>
      <c r="DA104" s="239"/>
      <c r="DB104" s="239"/>
      <c r="DC104" s="227"/>
      <c r="DD104" s="227"/>
      <c r="DE104" s="227"/>
      <c r="DF104" s="227"/>
      <c r="DG104" s="227"/>
      <c r="DH104" s="87"/>
      <c r="DI104" s="87"/>
      <c r="DJ104" s="87"/>
      <c r="DK104" s="227"/>
      <c r="DL104" s="227"/>
      <c r="DM104" s="236"/>
      <c r="DN104" s="237"/>
      <c r="DO104" s="230"/>
      <c r="DP104" s="232"/>
      <c r="DQ104" s="239"/>
      <c r="DR104" s="239"/>
      <c r="DS104" s="239"/>
      <c r="DT104" s="227"/>
      <c r="DU104" s="227"/>
      <c r="DV104" s="227"/>
      <c r="DW104" s="227"/>
      <c r="DX104" s="227"/>
      <c r="DY104" s="87"/>
      <c r="DZ104" s="87"/>
      <c r="EA104" s="87"/>
      <c r="EB104" s="227"/>
      <c r="EC104" s="227"/>
      <c r="ED104" s="236"/>
      <c r="EE104" s="237"/>
      <c r="EF104" s="230"/>
      <c r="EG104" s="232"/>
      <c r="EH104" s="239"/>
      <c r="EI104" s="239"/>
      <c r="EJ104" s="239"/>
      <c r="EK104" s="227"/>
      <c r="EL104" s="227"/>
      <c r="EM104" s="227"/>
      <c r="EN104" s="227"/>
      <c r="EO104" s="227"/>
      <c r="EP104" s="87"/>
      <c r="EQ104" s="87"/>
      <c r="ER104" s="87"/>
      <c r="ES104" s="227"/>
      <c r="ET104" s="227"/>
      <c r="EU104" s="236"/>
      <c r="EV104" s="237"/>
      <c r="EW104" s="230"/>
      <c r="EX104" s="232"/>
      <c r="EY104" s="239"/>
      <c r="EZ104" s="239"/>
      <c r="FA104" s="239"/>
      <c r="FB104" s="227"/>
      <c r="FC104" s="227"/>
      <c r="FD104" s="227"/>
      <c r="FE104" s="227"/>
      <c r="FF104" s="227"/>
      <c r="FG104" s="87"/>
      <c r="FH104" s="87"/>
      <c r="FI104" s="87"/>
      <c r="FJ104" s="227"/>
      <c r="FK104" s="227"/>
      <c r="FL104" s="236"/>
      <c r="FM104" s="237"/>
      <c r="FN104" s="230"/>
      <c r="FO104" s="232"/>
      <c r="FP104" s="239"/>
      <c r="FQ104" s="239"/>
      <c r="FR104" s="239"/>
      <c r="FS104" s="227"/>
      <c r="FT104" s="227"/>
      <c r="FU104" s="227"/>
      <c r="FV104" s="227"/>
      <c r="FW104" s="227"/>
      <c r="FX104" s="87"/>
      <c r="FY104" s="87"/>
      <c r="FZ104" s="87"/>
      <c r="GA104" s="227"/>
      <c r="GB104" s="227"/>
      <c r="GC104" s="236"/>
      <c r="GD104" s="237"/>
      <c r="GE104" s="230"/>
      <c r="GF104" s="232"/>
      <c r="GG104" s="239"/>
      <c r="GH104" s="239"/>
      <c r="GI104" s="239"/>
      <c r="GJ104" s="227"/>
      <c r="GK104" s="227"/>
      <c r="GL104" s="227"/>
      <c r="GM104" s="227"/>
      <c r="GN104" s="227"/>
      <c r="GO104" s="87"/>
      <c r="GP104" s="87"/>
      <c r="GQ104" s="87"/>
      <c r="GR104" s="227"/>
      <c r="GS104" s="227"/>
      <c r="GT104" s="236"/>
      <c r="GU104" s="237"/>
      <c r="GV104" s="230"/>
      <c r="GW104" s="232"/>
      <c r="GX104" s="239"/>
      <c r="GY104" s="239"/>
      <c r="GZ104" s="239"/>
      <c r="HA104" s="227"/>
      <c r="HB104" s="227"/>
      <c r="HC104" s="227"/>
      <c r="HD104" s="227"/>
      <c r="HE104" s="227"/>
      <c r="HF104" s="87"/>
      <c r="HG104" s="87"/>
      <c r="HH104" s="87"/>
      <c r="HI104" s="227"/>
      <c r="HJ104" s="227"/>
      <c r="HK104" s="236"/>
      <c r="HL104" s="237"/>
      <c r="HM104" s="230"/>
      <c r="HN104" s="232"/>
      <c r="HO104" s="239"/>
      <c r="HP104" s="239"/>
      <c r="HQ104" s="239"/>
      <c r="HR104" s="227"/>
      <c r="HS104" s="227"/>
      <c r="HT104" s="227"/>
      <c r="HU104" s="227"/>
      <c r="HV104" s="227"/>
      <c r="HW104" s="87"/>
      <c r="HX104" s="87"/>
      <c r="HY104" s="87"/>
      <c r="HZ104" s="227"/>
      <c r="IA104" s="227"/>
      <c r="IB104" s="236"/>
      <c r="IC104" s="237"/>
      <c r="ID104" s="230"/>
      <c r="IE104" s="232"/>
      <c r="IF104" s="239"/>
      <c r="IG104" s="239"/>
      <c r="IH104" s="239"/>
      <c r="II104" s="227"/>
      <c r="IJ104" s="227"/>
      <c r="IK104" s="227"/>
      <c r="IL104" s="227"/>
      <c r="IM104" s="227"/>
      <c r="IN104" s="87"/>
      <c r="IO104" s="87"/>
      <c r="IP104" s="87"/>
      <c r="IQ104" s="227"/>
      <c r="IR104" s="227"/>
      <c r="IS104" s="236"/>
      <c r="IT104" s="237"/>
      <c r="IU104" s="230"/>
      <c r="IV104" s="232"/>
      <c r="IW104" s="239"/>
      <c r="IX104" s="239"/>
      <c r="IY104" s="239"/>
      <c r="IZ104" s="227"/>
      <c r="JA104" s="227"/>
      <c r="JB104" s="227"/>
      <c r="JC104" s="227"/>
      <c r="JD104" s="227"/>
      <c r="JE104" s="87"/>
      <c r="JF104" s="87"/>
      <c r="JG104" s="87"/>
      <c r="JH104" s="227"/>
      <c r="JI104" s="227"/>
      <c r="JJ104" s="236"/>
      <c r="JK104" s="237"/>
      <c r="JL104" s="230"/>
      <c r="JM104" s="232"/>
      <c r="JN104" s="239"/>
      <c r="JO104" s="239"/>
      <c r="JP104" s="239"/>
      <c r="JQ104" s="227"/>
      <c r="JR104" s="227"/>
      <c r="JS104" s="227"/>
      <c r="JT104" s="227"/>
      <c r="JU104" s="227"/>
      <c r="JV104" s="87"/>
      <c r="JW104" s="87"/>
      <c r="JX104" s="87"/>
      <c r="JY104" s="227"/>
      <c r="JZ104" s="227"/>
      <c r="KA104" s="236"/>
      <c r="KB104" s="237"/>
      <c r="KC104" s="230"/>
      <c r="KD104" s="232"/>
      <c r="KE104" s="239"/>
      <c r="KF104" s="239"/>
      <c r="KG104" s="239"/>
      <c r="KH104" s="227"/>
      <c r="KI104" s="227"/>
      <c r="KJ104" s="227"/>
      <c r="KK104" s="227"/>
      <c r="KL104" s="227"/>
      <c r="KM104" s="87"/>
      <c r="KN104" s="87"/>
      <c r="KO104" s="87"/>
      <c r="KP104" s="227"/>
      <c r="KQ104" s="227"/>
      <c r="KR104" s="236"/>
      <c r="KS104" s="237"/>
      <c r="KT104" s="230"/>
      <c r="KU104" s="231"/>
    </row>
    <row r="105" ht="15.75" customHeight="1">
      <c r="A105" s="232"/>
      <c r="B105" s="246" t="str">
        <f>"Output Sekunder "&amp;" %"</f>
        <v>Output Sekunder  %</v>
      </c>
      <c r="C105" s="247"/>
      <c r="D105" s="247"/>
      <c r="E105" s="227"/>
      <c r="F105" s="248"/>
      <c r="G105" s="248"/>
      <c r="H105" s="248"/>
      <c r="I105" s="248"/>
      <c r="J105" s="110"/>
      <c r="K105" s="110"/>
      <c r="L105" s="110"/>
      <c r="M105" s="249">
        <f>E105/100*M103</f>
        <v>0</v>
      </c>
      <c r="N105" s="248"/>
      <c r="O105" s="248"/>
      <c r="P105" s="250">
        <f t="shared" ref="P105:P106" si="1513">M105</f>
        <v>0</v>
      </c>
      <c r="Q105" s="230"/>
      <c r="R105" s="232"/>
      <c r="S105" s="246" t="str">
        <f>"Output Sekunder "&amp;" %"</f>
        <v>Output Sekunder  %</v>
      </c>
      <c r="T105" s="247"/>
      <c r="U105" s="247"/>
      <c r="V105" s="227"/>
      <c r="W105" s="248"/>
      <c r="X105" s="248"/>
      <c r="Y105" s="248"/>
      <c r="Z105" s="248"/>
      <c r="AA105" s="110"/>
      <c r="AB105" s="110"/>
      <c r="AC105" s="110"/>
      <c r="AD105" s="249">
        <f>V105/100*AD103</f>
        <v>0</v>
      </c>
      <c r="AE105" s="248"/>
      <c r="AF105" s="248"/>
      <c r="AG105" s="250">
        <f t="shared" ref="AG105:AG106" si="1514">AD105</f>
        <v>0</v>
      </c>
      <c r="AH105" s="230"/>
      <c r="AI105" s="232"/>
      <c r="AJ105" s="246" t="str">
        <f>"Output Sekunder "&amp;" %"</f>
        <v>Output Sekunder  %</v>
      </c>
      <c r="AK105" s="247"/>
      <c r="AL105" s="247"/>
      <c r="AM105" s="227"/>
      <c r="AN105" s="248"/>
      <c r="AO105" s="248"/>
      <c r="AP105" s="248"/>
      <c r="AQ105" s="248"/>
      <c r="AR105" s="110"/>
      <c r="AS105" s="110"/>
      <c r="AT105" s="110"/>
      <c r="AU105" s="249">
        <f>AM105/100*AU103</f>
        <v>0</v>
      </c>
      <c r="AV105" s="248"/>
      <c r="AW105" s="248"/>
      <c r="AX105" s="250">
        <f t="shared" ref="AX105:AX106" si="1515">AU105</f>
        <v>0</v>
      </c>
      <c r="AY105" s="230"/>
      <c r="AZ105" s="232"/>
      <c r="BA105" s="246" t="str">
        <f>"Output Sekunder "&amp;" %"</f>
        <v>Output Sekunder  %</v>
      </c>
      <c r="BB105" s="247"/>
      <c r="BC105" s="247"/>
      <c r="BD105" s="227"/>
      <c r="BE105" s="248"/>
      <c r="BF105" s="248"/>
      <c r="BG105" s="248"/>
      <c r="BH105" s="248"/>
      <c r="BI105" s="110"/>
      <c r="BJ105" s="110"/>
      <c r="BK105" s="110"/>
      <c r="BL105" s="249">
        <f>BD105/100*BL103</f>
        <v>0</v>
      </c>
      <c r="BM105" s="248"/>
      <c r="BN105" s="248"/>
      <c r="BO105" s="250">
        <f t="shared" ref="BO105:BO106" si="1516">BL105</f>
        <v>0</v>
      </c>
      <c r="BP105" s="230"/>
      <c r="BQ105" s="232"/>
      <c r="BR105" s="246" t="str">
        <f>"Output Sekunder "&amp;" %"</f>
        <v>Output Sekunder  %</v>
      </c>
      <c r="BS105" s="247"/>
      <c r="BT105" s="247"/>
      <c r="BU105" s="227"/>
      <c r="BV105" s="248"/>
      <c r="BW105" s="248"/>
      <c r="BX105" s="248"/>
      <c r="BY105" s="248"/>
      <c r="BZ105" s="110"/>
      <c r="CA105" s="110"/>
      <c r="CB105" s="110"/>
      <c r="CC105" s="249">
        <f>BU105/100*CC103</f>
        <v>0</v>
      </c>
      <c r="CD105" s="248"/>
      <c r="CE105" s="248"/>
      <c r="CF105" s="250">
        <f t="shared" ref="CF105:CF106" si="1517">CC105</f>
        <v>0</v>
      </c>
      <c r="CG105" s="230"/>
      <c r="CH105" s="232"/>
      <c r="CI105" s="246" t="str">
        <f>"Output Sekunder "&amp;" %"</f>
        <v>Output Sekunder  %</v>
      </c>
      <c r="CJ105" s="247"/>
      <c r="CK105" s="247"/>
      <c r="CL105" s="227"/>
      <c r="CM105" s="248"/>
      <c r="CN105" s="248"/>
      <c r="CO105" s="248"/>
      <c r="CP105" s="248"/>
      <c r="CQ105" s="110"/>
      <c r="CR105" s="110"/>
      <c r="CS105" s="110"/>
      <c r="CT105" s="249">
        <f>CL105/100*CT103</f>
        <v>0</v>
      </c>
      <c r="CU105" s="248"/>
      <c r="CV105" s="248"/>
      <c r="CW105" s="250">
        <f t="shared" ref="CW105:CW106" si="1518">CT105</f>
        <v>0</v>
      </c>
      <c r="CX105" s="230"/>
      <c r="CY105" s="232"/>
      <c r="CZ105" s="246" t="str">
        <f>"Output Sekunder "&amp;" %"</f>
        <v>Output Sekunder  %</v>
      </c>
      <c r="DA105" s="247"/>
      <c r="DB105" s="247"/>
      <c r="DC105" s="227"/>
      <c r="DD105" s="248"/>
      <c r="DE105" s="248"/>
      <c r="DF105" s="248"/>
      <c r="DG105" s="248"/>
      <c r="DH105" s="110"/>
      <c r="DI105" s="110"/>
      <c r="DJ105" s="110"/>
      <c r="DK105" s="249">
        <f>DC105/100*DK103</f>
        <v>0</v>
      </c>
      <c r="DL105" s="248"/>
      <c r="DM105" s="248"/>
      <c r="DN105" s="250">
        <f t="shared" ref="DN105:DN106" si="1519">DK105</f>
        <v>0</v>
      </c>
      <c r="DO105" s="230"/>
      <c r="DP105" s="232"/>
      <c r="DQ105" s="246" t="str">
        <f>"Output Sekunder "&amp;" %"</f>
        <v>Output Sekunder  %</v>
      </c>
      <c r="DR105" s="247"/>
      <c r="DS105" s="247"/>
      <c r="DT105" s="227"/>
      <c r="DU105" s="248"/>
      <c r="DV105" s="248"/>
      <c r="DW105" s="248"/>
      <c r="DX105" s="248"/>
      <c r="DY105" s="110"/>
      <c r="DZ105" s="110"/>
      <c r="EA105" s="110"/>
      <c r="EB105" s="249">
        <f>DT105/100*EB103</f>
        <v>0</v>
      </c>
      <c r="EC105" s="248"/>
      <c r="ED105" s="248"/>
      <c r="EE105" s="250">
        <f t="shared" ref="EE105:EE106" si="1520">EB105</f>
        <v>0</v>
      </c>
      <c r="EF105" s="230"/>
      <c r="EG105" s="232"/>
      <c r="EH105" s="246" t="str">
        <f>"Output Sekunder "&amp;" %"</f>
        <v>Output Sekunder  %</v>
      </c>
      <c r="EI105" s="247"/>
      <c r="EJ105" s="247"/>
      <c r="EK105" s="227"/>
      <c r="EL105" s="248"/>
      <c r="EM105" s="248"/>
      <c r="EN105" s="248"/>
      <c r="EO105" s="248"/>
      <c r="EP105" s="110"/>
      <c r="EQ105" s="110"/>
      <c r="ER105" s="110"/>
      <c r="ES105" s="249">
        <f>EK105/100*ES103</f>
        <v>0</v>
      </c>
      <c r="ET105" s="248"/>
      <c r="EU105" s="248"/>
      <c r="EV105" s="250">
        <f t="shared" ref="EV105:EV106" si="1521">ES105</f>
        <v>0</v>
      </c>
      <c r="EW105" s="230"/>
      <c r="EX105" s="232"/>
      <c r="EY105" s="246" t="str">
        <f>"Output Sekunder "&amp;" %"</f>
        <v>Output Sekunder  %</v>
      </c>
      <c r="EZ105" s="247"/>
      <c r="FA105" s="247"/>
      <c r="FB105" s="227"/>
      <c r="FC105" s="248"/>
      <c r="FD105" s="248"/>
      <c r="FE105" s="248"/>
      <c r="FF105" s="248"/>
      <c r="FG105" s="110"/>
      <c r="FH105" s="110"/>
      <c r="FI105" s="110"/>
      <c r="FJ105" s="249">
        <f>FB105/100*FJ103</f>
        <v>0</v>
      </c>
      <c r="FK105" s="248"/>
      <c r="FL105" s="248"/>
      <c r="FM105" s="250">
        <f t="shared" ref="FM105:FM106" si="1522">FJ105</f>
        <v>0</v>
      </c>
      <c r="FN105" s="230"/>
      <c r="FO105" s="232"/>
      <c r="FP105" s="246" t="str">
        <f>"Output Sekunder "&amp;" %"</f>
        <v>Output Sekunder  %</v>
      </c>
      <c r="FQ105" s="247"/>
      <c r="FR105" s="247"/>
      <c r="FS105" s="227"/>
      <c r="FT105" s="248"/>
      <c r="FU105" s="248"/>
      <c r="FV105" s="248"/>
      <c r="FW105" s="248"/>
      <c r="FX105" s="110"/>
      <c r="FY105" s="110"/>
      <c r="FZ105" s="110"/>
      <c r="GA105" s="249">
        <f>FS105/100*GA103</f>
        <v>0</v>
      </c>
      <c r="GB105" s="248"/>
      <c r="GC105" s="248"/>
      <c r="GD105" s="250">
        <f t="shared" ref="GD105:GD106" si="1523">GA105</f>
        <v>0</v>
      </c>
      <c r="GE105" s="230"/>
      <c r="GF105" s="232"/>
      <c r="GG105" s="246" t="str">
        <f>"Output Sekunder "&amp;" %"</f>
        <v>Output Sekunder  %</v>
      </c>
      <c r="GH105" s="247"/>
      <c r="GI105" s="247"/>
      <c r="GJ105" s="227"/>
      <c r="GK105" s="248"/>
      <c r="GL105" s="248"/>
      <c r="GM105" s="248"/>
      <c r="GN105" s="248"/>
      <c r="GO105" s="110"/>
      <c r="GP105" s="110"/>
      <c r="GQ105" s="110"/>
      <c r="GR105" s="249">
        <f>GJ105/100*GR103</f>
        <v>0</v>
      </c>
      <c r="GS105" s="248"/>
      <c r="GT105" s="248"/>
      <c r="GU105" s="250">
        <f t="shared" ref="GU105:GU106" si="1524">GR105</f>
        <v>0</v>
      </c>
      <c r="GV105" s="230"/>
      <c r="GW105" s="232"/>
      <c r="GX105" s="246" t="str">
        <f>"Output Sekunder "&amp;" %"</f>
        <v>Output Sekunder  %</v>
      </c>
      <c r="GY105" s="247"/>
      <c r="GZ105" s="247"/>
      <c r="HA105" s="227"/>
      <c r="HB105" s="248"/>
      <c r="HC105" s="248"/>
      <c r="HD105" s="248"/>
      <c r="HE105" s="248"/>
      <c r="HF105" s="110"/>
      <c r="HG105" s="110"/>
      <c r="HH105" s="110"/>
      <c r="HI105" s="249">
        <f>HA105/100*HI103</f>
        <v>0</v>
      </c>
      <c r="HJ105" s="248"/>
      <c r="HK105" s="248"/>
      <c r="HL105" s="250">
        <f t="shared" ref="HL105:HL106" si="1525">HI105</f>
        <v>0</v>
      </c>
      <c r="HM105" s="230"/>
      <c r="HN105" s="232"/>
      <c r="HO105" s="246" t="str">
        <f>"Output Sekunder "&amp;" %"</f>
        <v>Output Sekunder  %</v>
      </c>
      <c r="HP105" s="247"/>
      <c r="HQ105" s="247"/>
      <c r="HR105" s="227"/>
      <c r="HS105" s="248"/>
      <c r="HT105" s="248"/>
      <c r="HU105" s="248"/>
      <c r="HV105" s="248"/>
      <c r="HW105" s="110"/>
      <c r="HX105" s="110"/>
      <c r="HY105" s="110"/>
      <c r="HZ105" s="249">
        <f>HR105/100*HZ103</f>
        <v>0</v>
      </c>
      <c r="IA105" s="248"/>
      <c r="IB105" s="248"/>
      <c r="IC105" s="250">
        <f t="shared" ref="IC105:IC106" si="1526">HZ105</f>
        <v>0</v>
      </c>
      <c r="ID105" s="230"/>
      <c r="IE105" s="232"/>
      <c r="IF105" s="246" t="str">
        <f>"Output Sekunder "&amp;" %"</f>
        <v>Output Sekunder  %</v>
      </c>
      <c r="IG105" s="247"/>
      <c r="IH105" s="247"/>
      <c r="II105" s="227"/>
      <c r="IJ105" s="248"/>
      <c r="IK105" s="248"/>
      <c r="IL105" s="248"/>
      <c r="IM105" s="248"/>
      <c r="IN105" s="110"/>
      <c r="IO105" s="110"/>
      <c r="IP105" s="110"/>
      <c r="IQ105" s="249">
        <f>II105/100*IQ103</f>
        <v>0</v>
      </c>
      <c r="IR105" s="248"/>
      <c r="IS105" s="248"/>
      <c r="IT105" s="250">
        <f t="shared" ref="IT105:IT106" si="1527">IQ105</f>
        <v>0</v>
      </c>
      <c r="IU105" s="230"/>
      <c r="IV105" s="232"/>
      <c r="IW105" s="246" t="str">
        <f>"Output Sekunder "&amp;" %"</f>
        <v>Output Sekunder  %</v>
      </c>
      <c r="IX105" s="247"/>
      <c r="IY105" s="247"/>
      <c r="IZ105" s="227"/>
      <c r="JA105" s="248"/>
      <c r="JB105" s="248"/>
      <c r="JC105" s="248"/>
      <c r="JD105" s="248"/>
      <c r="JE105" s="110"/>
      <c r="JF105" s="110"/>
      <c r="JG105" s="110"/>
      <c r="JH105" s="249">
        <f>IZ105/100*JH103</f>
        <v>0</v>
      </c>
      <c r="JI105" s="248"/>
      <c r="JJ105" s="248"/>
      <c r="JK105" s="250">
        <f t="shared" ref="JK105:JK106" si="1528">JH105</f>
        <v>0</v>
      </c>
      <c r="JL105" s="230"/>
      <c r="JM105" s="232"/>
      <c r="JN105" s="246" t="str">
        <f>"Output Sekunder "&amp;" %"</f>
        <v>Output Sekunder  %</v>
      </c>
      <c r="JO105" s="247"/>
      <c r="JP105" s="247"/>
      <c r="JQ105" s="227"/>
      <c r="JR105" s="248"/>
      <c r="JS105" s="248"/>
      <c r="JT105" s="248"/>
      <c r="JU105" s="248"/>
      <c r="JV105" s="110"/>
      <c r="JW105" s="110"/>
      <c r="JX105" s="110"/>
      <c r="JY105" s="249">
        <f>JQ105/100*JY103</f>
        <v>0</v>
      </c>
      <c r="JZ105" s="248"/>
      <c r="KA105" s="248"/>
      <c r="KB105" s="250">
        <f t="shared" ref="KB105:KB106" si="1529">JY105</f>
        <v>0</v>
      </c>
      <c r="KC105" s="230"/>
      <c r="KD105" s="232"/>
      <c r="KE105" s="246" t="str">
        <f>"Output Sekunder "&amp;" %"</f>
        <v>Output Sekunder  %</v>
      </c>
      <c r="KF105" s="247"/>
      <c r="KG105" s="247"/>
      <c r="KH105" s="227"/>
      <c r="KI105" s="248"/>
      <c r="KJ105" s="248"/>
      <c r="KK105" s="248"/>
      <c r="KL105" s="248"/>
      <c r="KM105" s="110"/>
      <c r="KN105" s="110"/>
      <c r="KO105" s="110"/>
      <c r="KP105" s="249">
        <f>KH105/100*KP103</f>
        <v>0</v>
      </c>
      <c r="KQ105" s="248"/>
      <c r="KR105" s="248"/>
      <c r="KS105" s="250">
        <f t="shared" ref="KS105:KS106" si="1530">KP105</f>
        <v>0</v>
      </c>
      <c r="KT105" s="230"/>
      <c r="KU105" s="231"/>
    </row>
    <row r="106" ht="15.75" customHeight="1">
      <c r="A106" s="232"/>
      <c r="B106" s="251" t="str">
        <f>"Adjusment "&amp;" %"</f>
        <v>Adjusment  %</v>
      </c>
      <c r="C106" s="252"/>
      <c r="D106" s="252"/>
      <c r="E106" s="227"/>
      <c r="F106" s="248"/>
      <c r="G106" s="248"/>
      <c r="H106" s="248"/>
      <c r="I106" s="248"/>
      <c r="J106" s="110"/>
      <c r="K106" s="110"/>
      <c r="L106" s="110"/>
      <c r="M106" s="253">
        <f>E106/100*(M103+M105)</f>
        <v>0</v>
      </c>
      <c r="N106" s="248"/>
      <c r="O106" s="248"/>
      <c r="P106" s="254">
        <f t="shared" si="1513"/>
        <v>0</v>
      </c>
      <c r="Q106" s="230"/>
      <c r="R106" s="232"/>
      <c r="S106" s="251" t="str">
        <f>"Adjusment "&amp;" %"</f>
        <v>Adjusment  %</v>
      </c>
      <c r="T106" s="252"/>
      <c r="U106" s="252"/>
      <c r="V106" s="227"/>
      <c r="W106" s="248"/>
      <c r="X106" s="248"/>
      <c r="Y106" s="248"/>
      <c r="Z106" s="248"/>
      <c r="AA106" s="110"/>
      <c r="AB106" s="110"/>
      <c r="AC106" s="110"/>
      <c r="AD106" s="253">
        <f>V106/100*(AD103+AD105)</f>
        <v>0</v>
      </c>
      <c r="AE106" s="248"/>
      <c r="AF106" s="248"/>
      <c r="AG106" s="254">
        <f t="shared" si="1514"/>
        <v>0</v>
      </c>
      <c r="AH106" s="230"/>
      <c r="AI106" s="232"/>
      <c r="AJ106" s="251" t="str">
        <f>"Adjusment "&amp;" %"</f>
        <v>Adjusment  %</v>
      </c>
      <c r="AK106" s="252"/>
      <c r="AL106" s="252"/>
      <c r="AM106" s="227"/>
      <c r="AN106" s="248"/>
      <c r="AO106" s="248"/>
      <c r="AP106" s="248"/>
      <c r="AQ106" s="248"/>
      <c r="AR106" s="110"/>
      <c r="AS106" s="110"/>
      <c r="AT106" s="110"/>
      <c r="AU106" s="253">
        <f>AM106/100*(AU103+AU105)</f>
        <v>0</v>
      </c>
      <c r="AV106" s="248"/>
      <c r="AW106" s="248"/>
      <c r="AX106" s="254">
        <f t="shared" si="1515"/>
        <v>0</v>
      </c>
      <c r="AY106" s="230"/>
      <c r="AZ106" s="232"/>
      <c r="BA106" s="251" t="str">
        <f>"Adjusment "&amp;" %"</f>
        <v>Adjusment  %</v>
      </c>
      <c r="BB106" s="252"/>
      <c r="BC106" s="252"/>
      <c r="BD106" s="227"/>
      <c r="BE106" s="248"/>
      <c r="BF106" s="248"/>
      <c r="BG106" s="248"/>
      <c r="BH106" s="248"/>
      <c r="BI106" s="110"/>
      <c r="BJ106" s="110"/>
      <c r="BK106" s="110"/>
      <c r="BL106" s="253">
        <f>BD106/100*(BL103+BL105)</f>
        <v>0</v>
      </c>
      <c r="BM106" s="248"/>
      <c r="BN106" s="248"/>
      <c r="BO106" s="254">
        <f t="shared" si="1516"/>
        <v>0</v>
      </c>
      <c r="BP106" s="230"/>
      <c r="BQ106" s="232"/>
      <c r="BR106" s="251" t="str">
        <f>"Adjusment "&amp;" %"</f>
        <v>Adjusment  %</v>
      </c>
      <c r="BS106" s="252"/>
      <c r="BT106" s="252"/>
      <c r="BU106" s="227"/>
      <c r="BV106" s="248"/>
      <c r="BW106" s="248"/>
      <c r="BX106" s="248"/>
      <c r="BY106" s="248"/>
      <c r="BZ106" s="110"/>
      <c r="CA106" s="110"/>
      <c r="CB106" s="110"/>
      <c r="CC106" s="253">
        <f>BU106/100*(CC103+CC105)</f>
        <v>0</v>
      </c>
      <c r="CD106" s="248"/>
      <c r="CE106" s="248"/>
      <c r="CF106" s="254">
        <f t="shared" si="1517"/>
        <v>0</v>
      </c>
      <c r="CG106" s="230"/>
      <c r="CH106" s="232"/>
      <c r="CI106" s="251" t="str">
        <f>"Adjusment "&amp;" %"</f>
        <v>Adjusment  %</v>
      </c>
      <c r="CJ106" s="252"/>
      <c r="CK106" s="252"/>
      <c r="CL106" s="227"/>
      <c r="CM106" s="248"/>
      <c r="CN106" s="248"/>
      <c r="CO106" s="248"/>
      <c r="CP106" s="248"/>
      <c r="CQ106" s="110"/>
      <c r="CR106" s="110"/>
      <c r="CS106" s="110"/>
      <c r="CT106" s="253">
        <f>CL106/100*(CT103+CT105)</f>
        <v>0</v>
      </c>
      <c r="CU106" s="248"/>
      <c r="CV106" s="248"/>
      <c r="CW106" s="254">
        <f t="shared" si="1518"/>
        <v>0</v>
      </c>
      <c r="CX106" s="230"/>
      <c r="CY106" s="232"/>
      <c r="CZ106" s="251" t="str">
        <f>"Adjusment "&amp;" %"</f>
        <v>Adjusment  %</v>
      </c>
      <c r="DA106" s="252"/>
      <c r="DB106" s="252"/>
      <c r="DC106" s="227"/>
      <c r="DD106" s="248"/>
      <c r="DE106" s="248"/>
      <c r="DF106" s="248"/>
      <c r="DG106" s="248"/>
      <c r="DH106" s="110"/>
      <c r="DI106" s="110"/>
      <c r="DJ106" s="110"/>
      <c r="DK106" s="253">
        <f>DC106/100*(DK103+DK105)</f>
        <v>0</v>
      </c>
      <c r="DL106" s="248"/>
      <c r="DM106" s="248"/>
      <c r="DN106" s="254">
        <f t="shared" si="1519"/>
        <v>0</v>
      </c>
      <c r="DO106" s="230"/>
      <c r="DP106" s="232"/>
      <c r="DQ106" s="251" t="str">
        <f>"Adjusment "&amp;" %"</f>
        <v>Adjusment  %</v>
      </c>
      <c r="DR106" s="252"/>
      <c r="DS106" s="252"/>
      <c r="DT106" s="227"/>
      <c r="DU106" s="248"/>
      <c r="DV106" s="248"/>
      <c r="DW106" s="248"/>
      <c r="DX106" s="248"/>
      <c r="DY106" s="110"/>
      <c r="DZ106" s="110"/>
      <c r="EA106" s="110"/>
      <c r="EB106" s="253">
        <f>DT106/100*(EB103+EB105)</f>
        <v>0</v>
      </c>
      <c r="EC106" s="248"/>
      <c r="ED106" s="248"/>
      <c r="EE106" s="254">
        <f t="shared" si="1520"/>
        <v>0</v>
      </c>
      <c r="EF106" s="230"/>
      <c r="EG106" s="232"/>
      <c r="EH106" s="251" t="str">
        <f>"Adjusment "&amp;" %"</f>
        <v>Adjusment  %</v>
      </c>
      <c r="EI106" s="252"/>
      <c r="EJ106" s="252"/>
      <c r="EK106" s="227"/>
      <c r="EL106" s="248"/>
      <c r="EM106" s="248"/>
      <c r="EN106" s="248"/>
      <c r="EO106" s="248"/>
      <c r="EP106" s="110"/>
      <c r="EQ106" s="110"/>
      <c r="ER106" s="110"/>
      <c r="ES106" s="253">
        <f>EK106/100*(ES103+ES105)</f>
        <v>0</v>
      </c>
      <c r="ET106" s="248"/>
      <c r="EU106" s="248"/>
      <c r="EV106" s="254">
        <f t="shared" si="1521"/>
        <v>0</v>
      </c>
      <c r="EW106" s="230"/>
      <c r="EX106" s="232"/>
      <c r="EY106" s="251" t="str">
        <f>"Adjusment "&amp;" %"</f>
        <v>Adjusment  %</v>
      </c>
      <c r="EZ106" s="252"/>
      <c r="FA106" s="252"/>
      <c r="FB106" s="227"/>
      <c r="FC106" s="248"/>
      <c r="FD106" s="248"/>
      <c r="FE106" s="248"/>
      <c r="FF106" s="248"/>
      <c r="FG106" s="110"/>
      <c r="FH106" s="110"/>
      <c r="FI106" s="110"/>
      <c r="FJ106" s="253">
        <f>FB106/100*(FJ103+FJ105)</f>
        <v>0</v>
      </c>
      <c r="FK106" s="248"/>
      <c r="FL106" s="248"/>
      <c r="FM106" s="254">
        <f t="shared" si="1522"/>
        <v>0</v>
      </c>
      <c r="FN106" s="230"/>
      <c r="FO106" s="232"/>
      <c r="FP106" s="251" t="str">
        <f>"Adjusment "&amp;" %"</f>
        <v>Adjusment  %</v>
      </c>
      <c r="FQ106" s="252"/>
      <c r="FR106" s="252"/>
      <c r="FS106" s="227"/>
      <c r="FT106" s="248"/>
      <c r="FU106" s="248"/>
      <c r="FV106" s="248"/>
      <c r="FW106" s="248"/>
      <c r="FX106" s="110"/>
      <c r="FY106" s="110"/>
      <c r="FZ106" s="110"/>
      <c r="GA106" s="253">
        <f>FS106/100*(GA103+GA105)</f>
        <v>0</v>
      </c>
      <c r="GB106" s="248"/>
      <c r="GC106" s="248"/>
      <c r="GD106" s="254">
        <f t="shared" si="1523"/>
        <v>0</v>
      </c>
      <c r="GE106" s="230"/>
      <c r="GF106" s="232"/>
      <c r="GG106" s="251" t="str">
        <f>"Adjusment "&amp;" %"</f>
        <v>Adjusment  %</v>
      </c>
      <c r="GH106" s="252"/>
      <c r="GI106" s="252"/>
      <c r="GJ106" s="227"/>
      <c r="GK106" s="248"/>
      <c r="GL106" s="248"/>
      <c r="GM106" s="248"/>
      <c r="GN106" s="248"/>
      <c r="GO106" s="110"/>
      <c r="GP106" s="110"/>
      <c r="GQ106" s="110"/>
      <c r="GR106" s="253">
        <f>GJ106/100*(GR103+GR105)</f>
        <v>0</v>
      </c>
      <c r="GS106" s="248"/>
      <c r="GT106" s="248"/>
      <c r="GU106" s="254">
        <f t="shared" si="1524"/>
        <v>0</v>
      </c>
      <c r="GV106" s="230"/>
      <c r="GW106" s="232"/>
      <c r="GX106" s="251" t="str">
        <f>"Adjusment "&amp;" %"</f>
        <v>Adjusment  %</v>
      </c>
      <c r="GY106" s="252"/>
      <c r="GZ106" s="252"/>
      <c r="HA106" s="227"/>
      <c r="HB106" s="248"/>
      <c r="HC106" s="248"/>
      <c r="HD106" s="248"/>
      <c r="HE106" s="248"/>
      <c r="HF106" s="110"/>
      <c r="HG106" s="110"/>
      <c r="HH106" s="110"/>
      <c r="HI106" s="253">
        <f>HA106/100*(HI103+HI105)</f>
        <v>0</v>
      </c>
      <c r="HJ106" s="248"/>
      <c r="HK106" s="248"/>
      <c r="HL106" s="254">
        <f t="shared" si="1525"/>
        <v>0</v>
      </c>
      <c r="HM106" s="230"/>
      <c r="HN106" s="232"/>
      <c r="HO106" s="251" t="str">
        <f>"Adjusment "&amp;" %"</f>
        <v>Adjusment  %</v>
      </c>
      <c r="HP106" s="252"/>
      <c r="HQ106" s="252"/>
      <c r="HR106" s="227"/>
      <c r="HS106" s="248"/>
      <c r="HT106" s="248"/>
      <c r="HU106" s="248"/>
      <c r="HV106" s="248"/>
      <c r="HW106" s="110"/>
      <c r="HX106" s="110"/>
      <c r="HY106" s="110"/>
      <c r="HZ106" s="253">
        <f>HR106/100*(HZ103+HZ105)</f>
        <v>0</v>
      </c>
      <c r="IA106" s="248"/>
      <c r="IB106" s="248"/>
      <c r="IC106" s="254">
        <f t="shared" si="1526"/>
        <v>0</v>
      </c>
      <c r="ID106" s="230"/>
      <c r="IE106" s="232"/>
      <c r="IF106" s="251" t="str">
        <f>"Adjusment "&amp;" %"</f>
        <v>Adjusment  %</v>
      </c>
      <c r="IG106" s="252"/>
      <c r="IH106" s="252"/>
      <c r="II106" s="227"/>
      <c r="IJ106" s="248"/>
      <c r="IK106" s="248"/>
      <c r="IL106" s="248"/>
      <c r="IM106" s="248"/>
      <c r="IN106" s="110"/>
      <c r="IO106" s="110"/>
      <c r="IP106" s="110"/>
      <c r="IQ106" s="253">
        <f>II106/100*(IQ103+IQ105)</f>
        <v>0</v>
      </c>
      <c r="IR106" s="248"/>
      <c r="IS106" s="248"/>
      <c r="IT106" s="254">
        <f t="shared" si="1527"/>
        <v>0</v>
      </c>
      <c r="IU106" s="230"/>
      <c r="IV106" s="232"/>
      <c r="IW106" s="251" t="str">
        <f>"Adjusment "&amp;" %"</f>
        <v>Adjusment  %</v>
      </c>
      <c r="IX106" s="252"/>
      <c r="IY106" s="252"/>
      <c r="IZ106" s="227"/>
      <c r="JA106" s="248"/>
      <c r="JB106" s="248"/>
      <c r="JC106" s="248"/>
      <c r="JD106" s="248"/>
      <c r="JE106" s="110"/>
      <c r="JF106" s="110"/>
      <c r="JG106" s="110"/>
      <c r="JH106" s="253">
        <f>IZ106/100*(JH103+JH105)</f>
        <v>0</v>
      </c>
      <c r="JI106" s="248"/>
      <c r="JJ106" s="248"/>
      <c r="JK106" s="254">
        <f t="shared" si="1528"/>
        <v>0</v>
      </c>
      <c r="JL106" s="230"/>
      <c r="JM106" s="232"/>
      <c r="JN106" s="251" t="str">
        <f>"Adjusment "&amp;" %"</f>
        <v>Adjusment  %</v>
      </c>
      <c r="JO106" s="252"/>
      <c r="JP106" s="252"/>
      <c r="JQ106" s="227"/>
      <c r="JR106" s="248"/>
      <c r="JS106" s="248"/>
      <c r="JT106" s="248"/>
      <c r="JU106" s="248"/>
      <c r="JV106" s="110"/>
      <c r="JW106" s="110"/>
      <c r="JX106" s="110"/>
      <c r="JY106" s="253">
        <f>JQ106/100*(JY103+JY105)</f>
        <v>0</v>
      </c>
      <c r="JZ106" s="248"/>
      <c r="KA106" s="248"/>
      <c r="KB106" s="254">
        <f t="shared" si="1529"/>
        <v>0</v>
      </c>
      <c r="KC106" s="230"/>
      <c r="KD106" s="232"/>
      <c r="KE106" s="251" t="str">
        <f>"Adjusment "&amp;" %"</f>
        <v>Adjusment  %</v>
      </c>
      <c r="KF106" s="252"/>
      <c r="KG106" s="252"/>
      <c r="KH106" s="227"/>
      <c r="KI106" s="248"/>
      <c r="KJ106" s="248"/>
      <c r="KK106" s="248"/>
      <c r="KL106" s="248"/>
      <c r="KM106" s="110"/>
      <c r="KN106" s="110"/>
      <c r="KO106" s="110"/>
      <c r="KP106" s="253">
        <f>KH106/100*(KP103+KP105)</f>
        <v>0</v>
      </c>
      <c r="KQ106" s="248"/>
      <c r="KR106" s="248"/>
      <c r="KS106" s="254">
        <f t="shared" si="1530"/>
        <v>0</v>
      </c>
      <c r="KT106" s="230"/>
      <c r="KU106" s="231"/>
    </row>
    <row r="107" ht="15.75" customHeight="1">
      <c r="A107" s="232"/>
      <c r="B107" s="233"/>
      <c r="C107" s="234"/>
      <c r="D107" s="234"/>
      <c r="E107" s="227"/>
      <c r="F107" s="227"/>
      <c r="G107" s="227"/>
      <c r="H107" s="227"/>
      <c r="I107" s="227"/>
      <c r="J107" s="87"/>
      <c r="K107" s="87"/>
      <c r="L107" s="87"/>
      <c r="M107" s="227"/>
      <c r="N107" s="227"/>
      <c r="O107" s="227"/>
      <c r="P107" s="237"/>
      <c r="Q107" s="230"/>
      <c r="R107" s="232"/>
      <c r="S107" s="233"/>
      <c r="T107" s="234"/>
      <c r="U107" s="234"/>
      <c r="V107" s="227"/>
      <c r="W107" s="227"/>
      <c r="X107" s="227"/>
      <c r="Y107" s="227"/>
      <c r="Z107" s="227"/>
      <c r="AA107" s="87"/>
      <c r="AB107" s="87"/>
      <c r="AC107" s="87"/>
      <c r="AD107" s="227"/>
      <c r="AE107" s="227"/>
      <c r="AF107" s="227"/>
      <c r="AG107" s="237"/>
      <c r="AH107" s="230"/>
      <c r="AI107" s="232"/>
      <c r="AJ107" s="233"/>
      <c r="AK107" s="234"/>
      <c r="AL107" s="234"/>
      <c r="AM107" s="227"/>
      <c r="AN107" s="227"/>
      <c r="AO107" s="227"/>
      <c r="AP107" s="227"/>
      <c r="AQ107" s="227"/>
      <c r="AR107" s="87"/>
      <c r="AS107" s="87"/>
      <c r="AT107" s="87"/>
      <c r="AU107" s="227"/>
      <c r="AV107" s="227"/>
      <c r="AW107" s="227"/>
      <c r="AX107" s="237"/>
      <c r="AY107" s="230"/>
      <c r="AZ107" s="232"/>
      <c r="BA107" s="233"/>
      <c r="BB107" s="234"/>
      <c r="BC107" s="234"/>
      <c r="BD107" s="227"/>
      <c r="BE107" s="227"/>
      <c r="BF107" s="227"/>
      <c r="BG107" s="227"/>
      <c r="BH107" s="227"/>
      <c r="BI107" s="87"/>
      <c r="BJ107" s="87"/>
      <c r="BK107" s="87"/>
      <c r="BL107" s="227"/>
      <c r="BM107" s="227"/>
      <c r="BN107" s="227"/>
      <c r="BO107" s="237"/>
      <c r="BP107" s="230"/>
      <c r="BQ107" s="232"/>
      <c r="BR107" s="233"/>
      <c r="BS107" s="234"/>
      <c r="BT107" s="234"/>
      <c r="BU107" s="227"/>
      <c r="BV107" s="227"/>
      <c r="BW107" s="227"/>
      <c r="BX107" s="227"/>
      <c r="BY107" s="227"/>
      <c r="BZ107" s="87"/>
      <c r="CA107" s="87"/>
      <c r="CB107" s="87"/>
      <c r="CC107" s="227"/>
      <c r="CD107" s="227"/>
      <c r="CE107" s="227"/>
      <c r="CF107" s="237"/>
      <c r="CG107" s="230"/>
      <c r="CH107" s="232"/>
      <c r="CI107" s="233"/>
      <c r="CJ107" s="234"/>
      <c r="CK107" s="234"/>
      <c r="CL107" s="227"/>
      <c r="CM107" s="227"/>
      <c r="CN107" s="227"/>
      <c r="CO107" s="227"/>
      <c r="CP107" s="227"/>
      <c r="CQ107" s="87"/>
      <c r="CR107" s="87"/>
      <c r="CS107" s="87"/>
      <c r="CT107" s="227"/>
      <c r="CU107" s="227"/>
      <c r="CV107" s="227"/>
      <c r="CW107" s="237"/>
      <c r="CX107" s="230"/>
      <c r="CY107" s="232"/>
      <c r="CZ107" s="233"/>
      <c r="DA107" s="234"/>
      <c r="DB107" s="234"/>
      <c r="DC107" s="227"/>
      <c r="DD107" s="227"/>
      <c r="DE107" s="227"/>
      <c r="DF107" s="227"/>
      <c r="DG107" s="227"/>
      <c r="DH107" s="87"/>
      <c r="DI107" s="87"/>
      <c r="DJ107" s="87"/>
      <c r="DK107" s="227"/>
      <c r="DL107" s="227"/>
      <c r="DM107" s="227"/>
      <c r="DN107" s="237"/>
      <c r="DO107" s="230"/>
      <c r="DP107" s="232"/>
      <c r="DQ107" s="233"/>
      <c r="DR107" s="234"/>
      <c r="DS107" s="234"/>
      <c r="DT107" s="227"/>
      <c r="DU107" s="227"/>
      <c r="DV107" s="227"/>
      <c r="DW107" s="227"/>
      <c r="DX107" s="227"/>
      <c r="DY107" s="87"/>
      <c r="DZ107" s="87"/>
      <c r="EA107" s="87"/>
      <c r="EB107" s="227"/>
      <c r="EC107" s="227"/>
      <c r="ED107" s="227"/>
      <c r="EE107" s="237"/>
      <c r="EF107" s="230"/>
      <c r="EG107" s="232"/>
      <c r="EH107" s="233"/>
      <c r="EI107" s="234"/>
      <c r="EJ107" s="234"/>
      <c r="EK107" s="227"/>
      <c r="EL107" s="227"/>
      <c r="EM107" s="227"/>
      <c r="EN107" s="227"/>
      <c r="EO107" s="227"/>
      <c r="EP107" s="87"/>
      <c r="EQ107" s="87"/>
      <c r="ER107" s="87"/>
      <c r="ES107" s="227"/>
      <c r="ET107" s="227"/>
      <c r="EU107" s="227"/>
      <c r="EV107" s="237"/>
      <c r="EW107" s="230"/>
      <c r="EX107" s="232"/>
      <c r="EY107" s="233"/>
      <c r="EZ107" s="234"/>
      <c r="FA107" s="234"/>
      <c r="FB107" s="227"/>
      <c r="FC107" s="227"/>
      <c r="FD107" s="227"/>
      <c r="FE107" s="227"/>
      <c r="FF107" s="227"/>
      <c r="FG107" s="87"/>
      <c r="FH107" s="87"/>
      <c r="FI107" s="87"/>
      <c r="FJ107" s="227"/>
      <c r="FK107" s="227"/>
      <c r="FL107" s="227"/>
      <c r="FM107" s="237"/>
      <c r="FN107" s="230"/>
      <c r="FO107" s="232"/>
      <c r="FP107" s="233"/>
      <c r="FQ107" s="234"/>
      <c r="FR107" s="234"/>
      <c r="FS107" s="227"/>
      <c r="FT107" s="227"/>
      <c r="FU107" s="227"/>
      <c r="FV107" s="227"/>
      <c r="FW107" s="227"/>
      <c r="FX107" s="87"/>
      <c r="FY107" s="87"/>
      <c r="FZ107" s="87"/>
      <c r="GA107" s="227"/>
      <c r="GB107" s="227"/>
      <c r="GC107" s="227"/>
      <c r="GD107" s="237"/>
      <c r="GE107" s="230"/>
      <c r="GF107" s="232"/>
      <c r="GG107" s="233"/>
      <c r="GH107" s="234"/>
      <c r="GI107" s="234"/>
      <c r="GJ107" s="227"/>
      <c r="GK107" s="227"/>
      <c r="GL107" s="227"/>
      <c r="GM107" s="227"/>
      <c r="GN107" s="227"/>
      <c r="GO107" s="87"/>
      <c r="GP107" s="87"/>
      <c r="GQ107" s="87"/>
      <c r="GR107" s="227"/>
      <c r="GS107" s="227"/>
      <c r="GT107" s="227"/>
      <c r="GU107" s="237"/>
      <c r="GV107" s="230"/>
      <c r="GW107" s="232"/>
      <c r="GX107" s="233"/>
      <c r="GY107" s="234"/>
      <c r="GZ107" s="234"/>
      <c r="HA107" s="227"/>
      <c r="HB107" s="227"/>
      <c r="HC107" s="227"/>
      <c r="HD107" s="227"/>
      <c r="HE107" s="227"/>
      <c r="HF107" s="87"/>
      <c r="HG107" s="87"/>
      <c r="HH107" s="87"/>
      <c r="HI107" s="227"/>
      <c r="HJ107" s="227"/>
      <c r="HK107" s="227"/>
      <c r="HL107" s="237"/>
      <c r="HM107" s="230"/>
      <c r="HN107" s="232"/>
      <c r="HO107" s="233"/>
      <c r="HP107" s="234"/>
      <c r="HQ107" s="234"/>
      <c r="HR107" s="227"/>
      <c r="HS107" s="227"/>
      <c r="HT107" s="227"/>
      <c r="HU107" s="227"/>
      <c r="HV107" s="227"/>
      <c r="HW107" s="87"/>
      <c r="HX107" s="87"/>
      <c r="HY107" s="87"/>
      <c r="HZ107" s="227"/>
      <c r="IA107" s="227"/>
      <c r="IB107" s="227"/>
      <c r="IC107" s="237"/>
      <c r="ID107" s="230"/>
      <c r="IE107" s="232"/>
      <c r="IF107" s="233"/>
      <c r="IG107" s="234"/>
      <c r="IH107" s="234"/>
      <c r="II107" s="227"/>
      <c r="IJ107" s="227"/>
      <c r="IK107" s="227"/>
      <c r="IL107" s="227"/>
      <c r="IM107" s="227"/>
      <c r="IN107" s="87"/>
      <c r="IO107" s="87"/>
      <c r="IP107" s="87"/>
      <c r="IQ107" s="227"/>
      <c r="IR107" s="227"/>
      <c r="IS107" s="227"/>
      <c r="IT107" s="237"/>
      <c r="IU107" s="230"/>
      <c r="IV107" s="232"/>
      <c r="IW107" s="233"/>
      <c r="IX107" s="234"/>
      <c r="IY107" s="234"/>
      <c r="IZ107" s="227"/>
      <c r="JA107" s="227"/>
      <c r="JB107" s="227"/>
      <c r="JC107" s="227"/>
      <c r="JD107" s="227"/>
      <c r="JE107" s="87"/>
      <c r="JF107" s="87"/>
      <c r="JG107" s="87"/>
      <c r="JH107" s="227"/>
      <c r="JI107" s="227"/>
      <c r="JJ107" s="227"/>
      <c r="JK107" s="237"/>
      <c r="JL107" s="230"/>
      <c r="JM107" s="232"/>
      <c r="JN107" s="233"/>
      <c r="JO107" s="234"/>
      <c r="JP107" s="234"/>
      <c r="JQ107" s="227"/>
      <c r="JR107" s="227"/>
      <c r="JS107" s="227"/>
      <c r="JT107" s="227"/>
      <c r="JU107" s="227"/>
      <c r="JV107" s="87"/>
      <c r="JW107" s="87"/>
      <c r="JX107" s="87"/>
      <c r="JY107" s="227"/>
      <c r="JZ107" s="227"/>
      <c r="KA107" s="227"/>
      <c r="KB107" s="237"/>
      <c r="KC107" s="230"/>
      <c r="KD107" s="232"/>
      <c r="KE107" s="233"/>
      <c r="KF107" s="234"/>
      <c r="KG107" s="234"/>
      <c r="KH107" s="227"/>
      <c r="KI107" s="227"/>
      <c r="KJ107" s="227"/>
      <c r="KK107" s="227"/>
      <c r="KL107" s="227"/>
      <c r="KM107" s="87"/>
      <c r="KN107" s="87"/>
      <c r="KO107" s="87"/>
      <c r="KP107" s="227"/>
      <c r="KQ107" s="227"/>
      <c r="KR107" s="227"/>
      <c r="KS107" s="237"/>
      <c r="KT107" s="230"/>
      <c r="KU107" s="231"/>
    </row>
    <row r="108" ht="24.0" customHeight="1">
      <c r="A108" s="255" t="s">
        <v>52</v>
      </c>
      <c r="B108" s="118"/>
      <c r="C108" s="256"/>
      <c r="D108" s="256"/>
      <c r="E108" s="257"/>
      <c r="F108" s="257"/>
      <c r="G108" s="258">
        <f>SUM(G103:G107)</f>
        <v>0</v>
      </c>
      <c r="H108" s="257"/>
      <c r="I108" s="258">
        <f>SUM(I103:I107)</f>
        <v>0</v>
      </c>
      <c r="J108" s="120"/>
      <c r="K108" s="120"/>
      <c r="L108" s="120"/>
      <c r="M108" s="258">
        <f>SUM(M103:M107)</f>
        <v>0</v>
      </c>
      <c r="N108" s="257"/>
      <c r="O108" s="258">
        <f t="shared" ref="O108:P108" si="1531">SUM(O103:O107)</f>
        <v>0</v>
      </c>
      <c r="P108" s="258">
        <f t="shared" si="1531"/>
        <v>0</v>
      </c>
      <c r="Q108" s="244"/>
      <c r="R108" s="255" t="s">
        <v>52</v>
      </c>
      <c r="S108" s="118"/>
      <c r="T108" s="256"/>
      <c r="U108" s="256"/>
      <c r="V108" s="257"/>
      <c r="W108" s="257"/>
      <c r="X108" s="258">
        <f>SUM(X103:X107)</f>
        <v>0</v>
      </c>
      <c r="Y108" s="257"/>
      <c r="Z108" s="258">
        <f>SUM(Z103:Z107)</f>
        <v>0</v>
      </c>
      <c r="AA108" s="120"/>
      <c r="AB108" s="120"/>
      <c r="AC108" s="120"/>
      <c r="AD108" s="258">
        <f>SUM(AD103:AD107)</f>
        <v>0</v>
      </c>
      <c r="AE108" s="257"/>
      <c r="AF108" s="258">
        <f t="shared" ref="AF108:AG108" si="1532">SUM(AF103:AF107)</f>
        <v>0</v>
      </c>
      <c r="AG108" s="258">
        <f t="shared" si="1532"/>
        <v>0</v>
      </c>
      <c r="AH108" s="244"/>
      <c r="AI108" s="255" t="s">
        <v>52</v>
      </c>
      <c r="AJ108" s="118"/>
      <c r="AK108" s="256"/>
      <c r="AL108" s="256"/>
      <c r="AM108" s="257"/>
      <c r="AN108" s="257"/>
      <c r="AO108" s="258">
        <f>SUM(AO103:AO107)</f>
        <v>0</v>
      </c>
      <c r="AP108" s="257"/>
      <c r="AQ108" s="258">
        <f>SUM(AQ103:AQ107)</f>
        <v>0</v>
      </c>
      <c r="AR108" s="120"/>
      <c r="AS108" s="120"/>
      <c r="AT108" s="120"/>
      <c r="AU108" s="258">
        <f>SUM(AU103:AU107)</f>
        <v>0</v>
      </c>
      <c r="AV108" s="257"/>
      <c r="AW108" s="258">
        <f t="shared" ref="AW108:AX108" si="1533">SUM(AW103:AW107)</f>
        <v>0</v>
      </c>
      <c r="AX108" s="258">
        <f t="shared" si="1533"/>
        <v>0</v>
      </c>
      <c r="AY108" s="244"/>
      <c r="AZ108" s="255" t="s">
        <v>52</v>
      </c>
      <c r="BA108" s="118"/>
      <c r="BB108" s="256"/>
      <c r="BC108" s="256"/>
      <c r="BD108" s="257"/>
      <c r="BE108" s="257"/>
      <c r="BF108" s="258">
        <f>SUM(BF103:BF107)</f>
        <v>0</v>
      </c>
      <c r="BG108" s="257"/>
      <c r="BH108" s="258">
        <f>SUM(BH103:BH107)</f>
        <v>0</v>
      </c>
      <c r="BI108" s="120"/>
      <c r="BJ108" s="120"/>
      <c r="BK108" s="120"/>
      <c r="BL108" s="258">
        <f>SUM(BL103:BL107)</f>
        <v>0</v>
      </c>
      <c r="BM108" s="257"/>
      <c r="BN108" s="258">
        <f t="shared" ref="BN108:BO108" si="1534">SUM(BN103:BN107)</f>
        <v>0</v>
      </c>
      <c r="BO108" s="258">
        <f t="shared" si="1534"/>
        <v>0</v>
      </c>
      <c r="BP108" s="244"/>
      <c r="BQ108" s="255" t="s">
        <v>52</v>
      </c>
      <c r="BR108" s="118"/>
      <c r="BS108" s="256"/>
      <c r="BT108" s="256"/>
      <c r="BU108" s="257"/>
      <c r="BV108" s="257"/>
      <c r="BW108" s="258">
        <f>SUM(BW103:BW107)</f>
        <v>0</v>
      </c>
      <c r="BX108" s="257"/>
      <c r="BY108" s="258">
        <f>SUM(BY103:BY107)</f>
        <v>0</v>
      </c>
      <c r="BZ108" s="120"/>
      <c r="CA108" s="120"/>
      <c r="CB108" s="120"/>
      <c r="CC108" s="258">
        <f>SUM(CC103:CC107)</f>
        <v>0</v>
      </c>
      <c r="CD108" s="257"/>
      <c r="CE108" s="258">
        <f t="shared" ref="CE108:CF108" si="1535">SUM(CE103:CE107)</f>
        <v>0</v>
      </c>
      <c r="CF108" s="258">
        <f t="shared" si="1535"/>
        <v>0</v>
      </c>
      <c r="CG108" s="244"/>
      <c r="CH108" s="255" t="s">
        <v>52</v>
      </c>
      <c r="CI108" s="118"/>
      <c r="CJ108" s="256"/>
      <c r="CK108" s="256"/>
      <c r="CL108" s="257"/>
      <c r="CM108" s="257"/>
      <c r="CN108" s="258">
        <f>SUM(CN103:CN107)</f>
        <v>0</v>
      </c>
      <c r="CO108" s="257"/>
      <c r="CP108" s="258">
        <f>SUM(CP103:CP107)</f>
        <v>0</v>
      </c>
      <c r="CQ108" s="120"/>
      <c r="CR108" s="120"/>
      <c r="CS108" s="120"/>
      <c r="CT108" s="258">
        <f>SUM(CT103:CT107)</f>
        <v>0</v>
      </c>
      <c r="CU108" s="257"/>
      <c r="CV108" s="258">
        <f t="shared" ref="CV108:CW108" si="1536">SUM(CV103:CV107)</f>
        <v>0</v>
      </c>
      <c r="CW108" s="258">
        <f t="shared" si="1536"/>
        <v>0</v>
      </c>
      <c r="CX108" s="244"/>
      <c r="CY108" s="255" t="s">
        <v>52</v>
      </c>
      <c r="CZ108" s="118"/>
      <c r="DA108" s="256"/>
      <c r="DB108" s="256"/>
      <c r="DC108" s="257"/>
      <c r="DD108" s="257"/>
      <c r="DE108" s="258">
        <f>SUM(DE103:DE107)</f>
        <v>0</v>
      </c>
      <c r="DF108" s="257"/>
      <c r="DG108" s="258">
        <f>SUM(DG103:DG107)</f>
        <v>0</v>
      </c>
      <c r="DH108" s="120"/>
      <c r="DI108" s="120"/>
      <c r="DJ108" s="120"/>
      <c r="DK108" s="258">
        <f>SUM(DK103:DK107)</f>
        <v>0</v>
      </c>
      <c r="DL108" s="257"/>
      <c r="DM108" s="258">
        <f t="shared" ref="DM108:DN108" si="1537">SUM(DM103:DM107)</f>
        <v>0</v>
      </c>
      <c r="DN108" s="258">
        <f t="shared" si="1537"/>
        <v>0</v>
      </c>
      <c r="DO108" s="244"/>
      <c r="DP108" s="255" t="s">
        <v>52</v>
      </c>
      <c r="DQ108" s="118"/>
      <c r="DR108" s="256"/>
      <c r="DS108" s="256"/>
      <c r="DT108" s="257"/>
      <c r="DU108" s="257"/>
      <c r="DV108" s="258">
        <f>SUM(DV103:DV107)</f>
        <v>0</v>
      </c>
      <c r="DW108" s="257"/>
      <c r="DX108" s="258">
        <f>SUM(DX103:DX107)</f>
        <v>0</v>
      </c>
      <c r="DY108" s="120"/>
      <c r="DZ108" s="120"/>
      <c r="EA108" s="120"/>
      <c r="EB108" s="258">
        <f>SUM(EB103:EB107)</f>
        <v>0</v>
      </c>
      <c r="EC108" s="257"/>
      <c r="ED108" s="258">
        <f t="shared" ref="ED108:EE108" si="1538">SUM(ED103:ED107)</f>
        <v>0</v>
      </c>
      <c r="EE108" s="258">
        <f t="shared" si="1538"/>
        <v>0</v>
      </c>
      <c r="EF108" s="244"/>
      <c r="EG108" s="255" t="s">
        <v>52</v>
      </c>
      <c r="EH108" s="118"/>
      <c r="EI108" s="256"/>
      <c r="EJ108" s="256"/>
      <c r="EK108" s="257"/>
      <c r="EL108" s="257"/>
      <c r="EM108" s="258">
        <f>SUM(EM103:EM107)</f>
        <v>0</v>
      </c>
      <c r="EN108" s="257"/>
      <c r="EO108" s="258">
        <f>SUM(EO103:EO107)</f>
        <v>0</v>
      </c>
      <c r="EP108" s="120"/>
      <c r="EQ108" s="120"/>
      <c r="ER108" s="120"/>
      <c r="ES108" s="258">
        <f>SUM(ES103:ES107)</f>
        <v>0</v>
      </c>
      <c r="ET108" s="257"/>
      <c r="EU108" s="258">
        <f t="shared" ref="EU108:EV108" si="1539">SUM(EU103:EU107)</f>
        <v>0</v>
      </c>
      <c r="EV108" s="258">
        <f t="shared" si="1539"/>
        <v>0</v>
      </c>
      <c r="EW108" s="244"/>
      <c r="EX108" s="255" t="s">
        <v>52</v>
      </c>
      <c r="EY108" s="118"/>
      <c r="EZ108" s="256"/>
      <c r="FA108" s="256"/>
      <c r="FB108" s="257"/>
      <c r="FC108" s="257"/>
      <c r="FD108" s="258">
        <f>SUM(FD103:FD107)</f>
        <v>0</v>
      </c>
      <c r="FE108" s="257"/>
      <c r="FF108" s="258">
        <f>SUM(FF103:FF107)</f>
        <v>0</v>
      </c>
      <c r="FG108" s="120"/>
      <c r="FH108" s="120"/>
      <c r="FI108" s="120"/>
      <c r="FJ108" s="258">
        <f>SUM(FJ103:FJ107)</f>
        <v>0</v>
      </c>
      <c r="FK108" s="257"/>
      <c r="FL108" s="258">
        <f t="shared" ref="FL108:FM108" si="1540">SUM(FL103:FL107)</f>
        <v>0</v>
      </c>
      <c r="FM108" s="258">
        <f t="shared" si="1540"/>
        <v>0</v>
      </c>
      <c r="FN108" s="244"/>
      <c r="FO108" s="255" t="s">
        <v>52</v>
      </c>
      <c r="FP108" s="118"/>
      <c r="FQ108" s="256"/>
      <c r="FR108" s="256"/>
      <c r="FS108" s="257"/>
      <c r="FT108" s="257"/>
      <c r="FU108" s="258">
        <f>SUM(FU103:FU107)</f>
        <v>1151428.804</v>
      </c>
      <c r="FV108" s="257"/>
      <c r="FW108" s="258">
        <f>SUM(FW103:FW107)</f>
        <v>0</v>
      </c>
      <c r="FX108" s="120"/>
      <c r="FY108" s="120"/>
      <c r="FZ108" s="120"/>
      <c r="GA108" s="258">
        <f>SUM(GA103:GA107)</f>
        <v>1151428.804</v>
      </c>
      <c r="GB108" s="257"/>
      <c r="GC108" s="258">
        <f t="shared" ref="GC108:GD108" si="1541">SUM(GC103:GC107)</f>
        <v>530172.0844</v>
      </c>
      <c r="GD108" s="258">
        <f t="shared" si="1541"/>
        <v>621256.7191</v>
      </c>
      <c r="GE108" s="244"/>
      <c r="GF108" s="255" t="s">
        <v>52</v>
      </c>
      <c r="GG108" s="118"/>
      <c r="GH108" s="256"/>
      <c r="GI108" s="256"/>
      <c r="GJ108" s="257"/>
      <c r="GK108" s="257"/>
      <c r="GL108" s="258">
        <f>SUM(GL103:GL107)</f>
        <v>1423329.126</v>
      </c>
      <c r="GM108" s="257"/>
      <c r="GN108" s="258">
        <f>SUM(GN103:GN107)</f>
        <v>0</v>
      </c>
      <c r="GO108" s="120"/>
      <c r="GP108" s="120"/>
      <c r="GQ108" s="120"/>
      <c r="GR108" s="258">
        <f>SUM(GR103:GR107)</f>
        <v>1423329.126</v>
      </c>
      <c r="GS108" s="257"/>
      <c r="GT108" s="258">
        <f t="shared" ref="GT108:GU108" si="1542">SUM(GT103:GT107)</f>
        <v>655367.8067</v>
      </c>
      <c r="GU108" s="258">
        <f t="shared" si="1542"/>
        <v>767961.3193</v>
      </c>
      <c r="GV108" s="244"/>
      <c r="GW108" s="255" t="s">
        <v>52</v>
      </c>
      <c r="GX108" s="118"/>
      <c r="GY108" s="256"/>
      <c r="GZ108" s="256"/>
      <c r="HA108" s="257"/>
      <c r="HB108" s="257"/>
      <c r="HC108" s="258">
        <f>SUM(HC103:HC107)</f>
        <v>1302100.557</v>
      </c>
      <c r="HD108" s="257"/>
      <c r="HE108" s="258">
        <f>SUM(HE103:HE107)</f>
        <v>0</v>
      </c>
      <c r="HF108" s="120"/>
      <c r="HG108" s="120"/>
      <c r="HH108" s="120"/>
      <c r="HI108" s="258">
        <f>SUM(HI103:HI107)</f>
        <v>1302100.557</v>
      </c>
      <c r="HJ108" s="257"/>
      <c r="HK108" s="258">
        <f t="shared" ref="HK108:HL108" si="1543">SUM(HK103:HK107)</f>
        <v>599548.4602</v>
      </c>
      <c r="HL108" s="258">
        <f t="shared" si="1543"/>
        <v>702552.0964</v>
      </c>
      <c r="HM108" s="244"/>
      <c r="HN108" s="255" t="s">
        <v>52</v>
      </c>
      <c r="HO108" s="118"/>
      <c r="HP108" s="256"/>
      <c r="HQ108" s="256"/>
      <c r="HR108" s="257"/>
      <c r="HS108" s="257"/>
      <c r="HT108" s="258">
        <f>SUM(HT103:HT107)</f>
        <v>2297590.038</v>
      </c>
      <c r="HU108" s="257"/>
      <c r="HV108" s="258">
        <f>SUM(HV103:HV107)</f>
        <v>0</v>
      </c>
      <c r="HW108" s="120"/>
      <c r="HX108" s="120"/>
      <c r="HY108" s="120"/>
      <c r="HZ108" s="258">
        <f>SUM(HZ103:HZ107)</f>
        <v>2297590.038</v>
      </c>
      <c r="IA108" s="257"/>
      <c r="IB108" s="258">
        <f t="shared" ref="IB108:IC108" si="1544">SUM(IB103:IB107)</f>
        <v>1057918.732</v>
      </c>
      <c r="IC108" s="258">
        <f t="shared" si="1544"/>
        <v>1239671.306</v>
      </c>
      <c r="ID108" s="244"/>
      <c r="IE108" s="255" t="s">
        <v>52</v>
      </c>
      <c r="IF108" s="118"/>
      <c r="IG108" s="256"/>
      <c r="IH108" s="256"/>
      <c r="II108" s="257"/>
      <c r="IJ108" s="257"/>
      <c r="IK108" s="258">
        <f>SUM(IK103:IK107)</f>
        <v>4710219.746</v>
      </c>
      <c r="IL108" s="257"/>
      <c r="IM108" s="258">
        <f>SUM(IM103:IM107)</f>
        <v>0</v>
      </c>
      <c r="IN108" s="120"/>
      <c r="IO108" s="120"/>
      <c r="IP108" s="120"/>
      <c r="IQ108" s="258">
        <f>SUM(IQ103:IQ107)</f>
        <v>4710219.746</v>
      </c>
      <c r="IR108" s="257"/>
      <c r="IS108" s="258">
        <f t="shared" ref="IS108:IT108" si="1545">SUM(IS103:IS107)</f>
        <v>2168807.149</v>
      </c>
      <c r="IT108" s="258">
        <f t="shared" si="1545"/>
        <v>2541412.597</v>
      </c>
      <c r="IU108" s="244"/>
      <c r="IV108" s="255" t="s">
        <v>52</v>
      </c>
      <c r="IW108" s="118"/>
      <c r="IX108" s="256"/>
      <c r="IY108" s="256"/>
      <c r="IZ108" s="257"/>
      <c r="JA108" s="257"/>
      <c r="JB108" s="258">
        <f>SUM(JB103:JB107)</f>
        <v>4361433.464</v>
      </c>
      <c r="JC108" s="257"/>
      <c r="JD108" s="258">
        <f>SUM(JD103:JD107)</f>
        <v>0</v>
      </c>
      <c r="JE108" s="120"/>
      <c r="JF108" s="120"/>
      <c r="JG108" s="120"/>
      <c r="JH108" s="258">
        <f>SUM(JH103:JH107)</f>
        <v>4361433.464</v>
      </c>
      <c r="JI108" s="257"/>
      <c r="JJ108" s="258">
        <f t="shared" ref="JJ108:JK108" si="1546">SUM(JJ103:JJ107)</f>
        <v>2008209.508</v>
      </c>
      <c r="JK108" s="258">
        <f t="shared" si="1546"/>
        <v>2353223.956</v>
      </c>
      <c r="JL108" s="244"/>
      <c r="JM108" s="255" t="s">
        <v>52</v>
      </c>
      <c r="JN108" s="118"/>
      <c r="JO108" s="256"/>
      <c r="JP108" s="256"/>
      <c r="JQ108" s="257"/>
      <c r="JR108" s="257"/>
      <c r="JS108" s="258">
        <f>SUM(JS103:JS107)</f>
        <v>0</v>
      </c>
      <c r="JT108" s="257"/>
      <c r="JU108" s="258">
        <f>SUM(JU103:JU107)</f>
        <v>0</v>
      </c>
      <c r="JV108" s="120"/>
      <c r="JW108" s="120"/>
      <c r="JX108" s="120"/>
      <c r="JY108" s="258">
        <f>SUM(JY103:JY107)</f>
        <v>0</v>
      </c>
      <c r="JZ108" s="257"/>
      <c r="KA108" s="258">
        <f t="shared" ref="KA108:KB108" si="1547">SUM(KA103:KA107)</f>
        <v>0</v>
      </c>
      <c r="KB108" s="258">
        <f t="shared" si="1547"/>
        <v>0</v>
      </c>
      <c r="KC108" s="244"/>
      <c r="KD108" s="255" t="s">
        <v>52</v>
      </c>
      <c r="KE108" s="118"/>
      <c r="KF108" s="256"/>
      <c r="KG108" s="256"/>
      <c r="KH108" s="257"/>
      <c r="KI108" s="257"/>
      <c r="KJ108" s="258">
        <f>SUM(KJ103:KJ107)</f>
        <v>0</v>
      </c>
      <c r="KK108" s="257"/>
      <c r="KL108" s="258">
        <f>SUM(KL103:KL107)</f>
        <v>0</v>
      </c>
      <c r="KM108" s="120"/>
      <c r="KN108" s="120"/>
      <c r="KO108" s="120"/>
      <c r="KP108" s="258">
        <f>SUM(KP103:KP107)</f>
        <v>0</v>
      </c>
      <c r="KQ108" s="257"/>
      <c r="KR108" s="258">
        <f t="shared" ref="KR108:KS108" si="1548">SUM(KR103:KR107)</f>
        <v>0</v>
      </c>
      <c r="KS108" s="258">
        <f t="shared" si="1548"/>
        <v>0</v>
      </c>
      <c r="KT108" s="244"/>
      <c r="KU108" s="245"/>
    </row>
    <row r="109" ht="15.0" customHeight="1">
      <c r="A109" s="44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7"/>
      <c r="R109" s="44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7"/>
      <c r="AI109" s="44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V109" s="36"/>
      <c r="AW109" s="36"/>
      <c r="AX109" s="36"/>
      <c r="AY109" s="37"/>
      <c r="AZ109" s="44"/>
      <c r="BA109" s="36"/>
      <c r="BB109" s="36"/>
      <c r="BC109" s="36"/>
      <c r="BD109" s="36"/>
      <c r="BE109" s="36"/>
      <c r="BF109" s="36"/>
      <c r="BG109" s="36"/>
      <c r="BH109" s="36"/>
      <c r="BI109" s="36"/>
      <c r="BJ109" s="36"/>
      <c r="BK109" s="36"/>
      <c r="BL109" s="36"/>
      <c r="BM109" s="36"/>
      <c r="BN109" s="36"/>
      <c r="BO109" s="36"/>
      <c r="BP109" s="37"/>
      <c r="BQ109" s="44"/>
      <c r="BR109" s="36"/>
      <c r="BS109" s="36"/>
      <c r="BT109" s="36"/>
      <c r="BU109" s="36"/>
      <c r="BV109" s="36"/>
      <c r="BW109" s="36"/>
      <c r="BX109" s="36"/>
      <c r="BY109" s="36"/>
      <c r="BZ109" s="36"/>
      <c r="CA109" s="36"/>
      <c r="CB109" s="36"/>
      <c r="CC109" s="36"/>
      <c r="CD109" s="36"/>
      <c r="CE109" s="36"/>
      <c r="CF109" s="36"/>
      <c r="CG109" s="37"/>
      <c r="CH109" s="44"/>
      <c r="CI109" s="36"/>
      <c r="CJ109" s="36"/>
      <c r="CK109" s="36"/>
      <c r="CL109" s="36"/>
      <c r="CM109" s="36"/>
      <c r="CN109" s="36"/>
      <c r="CO109" s="36"/>
      <c r="CP109" s="36"/>
      <c r="CQ109" s="36"/>
      <c r="CR109" s="36"/>
      <c r="CS109" s="36"/>
      <c r="CT109" s="36"/>
      <c r="CU109" s="36"/>
      <c r="CV109" s="36"/>
      <c r="CW109" s="36"/>
      <c r="CX109" s="37"/>
      <c r="CY109" s="44"/>
      <c r="CZ109" s="36"/>
      <c r="DA109" s="36"/>
      <c r="DB109" s="36"/>
      <c r="DC109" s="36"/>
      <c r="DD109" s="36"/>
      <c r="DE109" s="36"/>
      <c r="DF109" s="36"/>
      <c r="DG109" s="36"/>
      <c r="DH109" s="36"/>
      <c r="DI109" s="36"/>
      <c r="DJ109" s="36"/>
      <c r="DK109" s="36"/>
      <c r="DL109" s="36"/>
      <c r="DM109" s="36"/>
      <c r="DN109" s="36"/>
      <c r="DO109" s="37"/>
      <c r="DP109" s="44"/>
      <c r="DQ109" s="36"/>
      <c r="DR109" s="36"/>
      <c r="DS109" s="36"/>
      <c r="DT109" s="36"/>
      <c r="DU109" s="36"/>
      <c r="DV109" s="36"/>
      <c r="DW109" s="36"/>
      <c r="DX109" s="36"/>
      <c r="DY109" s="36"/>
      <c r="DZ109" s="36"/>
      <c r="EA109" s="36"/>
      <c r="EB109" s="36"/>
      <c r="EC109" s="36"/>
      <c r="ED109" s="36"/>
      <c r="EE109" s="36"/>
      <c r="EF109" s="37"/>
      <c r="EG109" s="44"/>
      <c r="EH109" s="36"/>
      <c r="EI109" s="36"/>
      <c r="EJ109" s="36"/>
      <c r="EK109" s="36"/>
      <c r="EL109" s="36"/>
      <c r="EM109" s="36"/>
      <c r="EN109" s="36"/>
      <c r="EO109" s="36"/>
      <c r="EP109" s="36"/>
      <c r="EQ109" s="36"/>
      <c r="ER109" s="36"/>
      <c r="ES109" s="36"/>
      <c r="ET109" s="36"/>
      <c r="EU109" s="36"/>
      <c r="EV109" s="36"/>
      <c r="EW109" s="37"/>
      <c r="EX109" s="44"/>
      <c r="EY109" s="36"/>
      <c r="EZ109" s="36"/>
      <c r="FA109" s="36"/>
      <c r="FB109" s="36"/>
      <c r="FC109" s="36"/>
      <c r="FD109" s="36"/>
      <c r="FE109" s="36"/>
      <c r="FF109" s="36"/>
      <c r="FG109" s="36"/>
      <c r="FH109" s="36"/>
      <c r="FI109" s="36"/>
      <c r="FJ109" s="36"/>
      <c r="FK109" s="36"/>
      <c r="FL109" s="36"/>
      <c r="FM109" s="36"/>
      <c r="FN109" s="37"/>
      <c r="FO109" s="44"/>
      <c r="FP109" s="36"/>
      <c r="FQ109" s="36"/>
      <c r="FR109" s="36"/>
      <c r="FS109" s="36"/>
      <c r="FT109" s="36"/>
      <c r="FU109" s="36"/>
      <c r="FV109" s="36"/>
      <c r="FW109" s="36"/>
      <c r="FX109" s="36"/>
      <c r="FY109" s="36"/>
      <c r="FZ109" s="36"/>
      <c r="GA109" s="36"/>
      <c r="GB109" s="36"/>
      <c r="GC109" s="36"/>
      <c r="GD109" s="36"/>
      <c r="GE109" s="37"/>
      <c r="GF109" s="44"/>
      <c r="GG109" s="36"/>
      <c r="GH109" s="36"/>
      <c r="GI109" s="36"/>
      <c r="GJ109" s="36"/>
      <c r="GK109" s="36"/>
      <c r="GL109" s="36"/>
      <c r="GM109" s="36"/>
      <c r="GN109" s="36"/>
      <c r="GO109" s="36"/>
      <c r="GP109" s="36"/>
      <c r="GQ109" s="36"/>
      <c r="GR109" s="36"/>
      <c r="GS109" s="36"/>
      <c r="GT109" s="36"/>
      <c r="GU109" s="36"/>
      <c r="GV109" s="37"/>
      <c r="GW109" s="44"/>
      <c r="GX109" s="36"/>
      <c r="GY109" s="36"/>
      <c r="GZ109" s="36"/>
      <c r="HA109" s="36"/>
      <c r="HB109" s="36"/>
      <c r="HC109" s="36"/>
      <c r="HD109" s="36"/>
      <c r="HE109" s="36"/>
      <c r="HF109" s="36"/>
      <c r="HG109" s="36"/>
      <c r="HH109" s="36"/>
      <c r="HI109" s="36"/>
      <c r="HJ109" s="36"/>
      <c r="HK109" s="36"/>
      <c r="HL109" s="36"/>
      <c r="HM109" s="37"/>
      <c r="HN109" s="44"/>
      <c r="HO109" s="36"/>
      <c r="HP109" s="36"/>
      <c r="HQ109" s="36"/>
      <c r="HR109" s="36"/>
      <c r="HS109" s="36"/>
      <c r="HT109" s="36"/>
      <c r="HU109" s="36"/>
      <c r="HV109" s="36"/>
      <c r="HW109" s="36"/>
      <c r="HX109" s="36"/>
      <c r="HY109" s="36"/>
      <c r="HZ109" s="36"/>
      <c r="IA109" s="36"/>
      <c r="IB109" s="36"/>
      <c r="IC109" s="36"/>
      <c r="ID109" s="37"/>
      <c r="IE109" s="44"/>
      <c r="IF109" s="36"/>
      <c r="IG109" s="36"/>
      <c r="IH109" s="36"/>
      <c r="II109" s="36"/>
      <c r="IJ109" s="36"/>
      <c r="IK109" s="36"/>
      <c r="IL109" s="36"/>
      <c r="IM109" s="36"/>
      <c r="IN109" s="36"/>
      <c r="IO109" s="36"/>
      <c r="IP109" s="36"/>
      <c r="IQ109" s="36"/>
      <c r="IR109" s="36"/>
      <c r="IS109" s="36"/>
      <c r="IT109" s="36"/>
      <c r="IU109" s="37"/>
      <c r="IV109" s="44"/>
      <c r="IW109" s="36"/>
      <c r="IX109" s="36"/>
      <c r="IY109" s="36"/>
      <c r="IZ109" s="36"/>
      <c r="JA109" s="36"/>
      <c r="JB109" s="36"/>
      <c r="JC109" s="36"/>
      <c r="JD109" s="36"/>
      <c r="JE109" s="36"/>
      <c r="JF109" s="36"/>
      <c r="JG109" s="36"/>
      <c r="JH109" s="36"/>
      <c r="JI109" s="36"/>
      <c r="JJ109" s="36"/>
      <c r="JK109" s="36"/>
      <c r="JL109" s="37"/>
      <c r="JM109" s="44"/>
      <c r="JN109" s="36"/>
      <c r="JO109" s="36"/>
      <c r="JP109" s="36"/>
      <c r="JQ109" s="36"/>
      <c r="JR109" s="36"/>
      <c r="JS109" s="36"/>
      <c r="JT109" s="36"/>
      <c r="JU109" s="36"/>
      <c r="JV109" s="36"/>
      <c r="JW109" s="36"/>
      <c r="JX109" s="36"/>
      <c r="JY109" s="36"/>
      <c r="JZ109" s="36"/>
      <c r="KA109" s="36"/>
      <c r="KB109" s="36"/>
      <c r="KC109" s="37"/>
      <c r="KD109" s="44"/>
      <c r="KE109" s="36"/>
      <c r="KF109" s="36"/>
      <c r="KG109" s="36"/>
      <c r="KH109" s="36"/>
      <c r="KI109" s="36"/>
      <c r="KJ109" s="36"/>
      <c r="KK109" s="36"/>
      <c r="KL109" s="36"/>
      <c r="KM109" s="36"/>
      <c r="KN109" s="36"/>
      <c r="KO109" s="36"/>
      <c r="KP109" s="36"/>
      <c r="KQ109" s="36"/>
      <c r="KR109" s="36"/>
      <c r="KS109" s="36"/>
      <c r="KT109" s="37"/>
      <c r="KU109" s="36"/>
    </row>
    <row r="110" ht="15.0" customHeight="1">
      <c r="A110" s="44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7"/>
      <c r="R110" s="44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7"/>
      <c r="AI110" s="44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  <c r="AV110" s="36"/>
      <c r="AW110" s="36"/>
      <c r="AX110" s="36"/>
      <c r="AY110" s="37"/>
      <c r="AZ110" s="44"/>
      <c r="BA110" s="36"/>
      <c r="BB110" s="36"/>
      <c r="BC110" s="36"/>
      <c r="BD110" s="36"/>
      <c r="BE110" s="36"/>
      <c r="BF110" s="36"/>
      <c r="BG110" s="36"/>
      <c r="BH110" s="36"/>
      <c r="BI110" s="36"/>
      <c r="BJ110" s="36"/>
      <c r="BK110" s="36"/>
      <c r="BL110" s="36"/>
      <c r="BM110" s="36"/>
      <c r="BN110" s="36"/>
      <c r="BO110" s="36"/>
      <c r="BP110" s="37"/>
      <c r="BQ110" s="44"/>
      <c r="BR110" s="36"/>
      <c r="BS110" s="36"/>
      <c r="BT110" s="36"/>
      <c r="BU110" s="36"/>
      <c r="BV110" s="36"/>
      <c r="BW110" s="36"/>
      <c r="BX110" s="36"/>
      <c r="BY110" s="36"/>
      <c r="BZ110" s="36"/>
      <c r="CA110" s="36"/>
      <c r="CB110" s="36"/>
      <c r="CC110" s="36"/>
      <c r="CD110" s="36"/>
      <c r="CE110" s="36"/>
      <c r="CF110" s="36"/>
      <c r="CG110" s="37"/>
      <c r="CH110" s="44"/>
      <c r="CI110" s="36"/>
      <c r="CJ110" s="36"/>
      <c r="CK110" s="36"/>
      <c r="CL110" s="36"/>
      <c r="CM110" s="36"/>
      <c r="CN110" s="36"/>
      <c r="CO110" s="36"/>
      <c r="CP110" s="36"/>
      <c r="CQ110" s="36"/>
      <c r="CR110" s="36"/>
      <c r="CS110" s="36"/>
      <c r="CT110" s="36"/>
      <c r="CU110" s="36"/>
      <c r="CV110" s="36"/>
      <c r="CW110" s="36"/>
      <c r="CX110" s="37"/>
      <c r="CY110" s="44"/>
      <c r="CZ110" s="36"/>
      <c r="DA110" s="36"/>
      <c r="DB110" s="36"/>
      <c r="DC110" s="36"/>
      <c r="DD110" s="36"/>
      <c r="DE110" s="36"/>
      <c r="DF110" s="36"/>
      <c r="DG110" s="36"/>
      <c r="DH110" s="36"/>
      <c r="DI110" s="36"/>
      <c r="DJ110" s="36"/>
      <c r="DK110" s="36"/>
      <c r="DL110" s="36"/>
      <c r="DM110" s="36"/>
      <c r="DN110" s="36"/>
      <c r="DO110" s="37"/>
      <c r="DP110" s="44"/>
      <c r="DQ110" s="36"/>
      <c r="DR110" s="36"/>
      <c r="DS110" s="36"/>
      <c r="DT110" s="36"/>
      <c r="DU110" s="36"/>
      <c r="DV110" s="36"/>
      <c r="DW110" s="36"/>
      <c r="DX110" s="36"/>
      <c r="DY110" s="36"/>
      <c r="DZ110" s="36"/>
      <c r="EA110" s="36"/>
      <c r="EB110" s="36"/>
      <c r="EC110" s="36"/>
      <c r="ED110" s="36"/>
      <c r="EE110" s="36"/>
      <c r="EF110" s="37"/>
      <c r="EG110" s="44"/>
      <c r="EH110" s="36"/>
      <c r="EI110" s="36"/>
      <c r="EJ110" s="36"/>
      <c r="EK110" s="36"/>
      <c r="EL110" s="36"/>
      <c r="EM110" s="36"/>
      <c r="EN110" s="36"/>
      <c r="EO110" s="36"/>
      <c r="EP110" s="36"/>
      <c r="EQ110" s="36"/>
      <c r="ER110" s="36"/>
      <c r="ES110" s="36"/>
      <c r="ET110" s="36"/>
      <c r="EU110" s="36"/>
      <c r="EV110" s="36"/>
      <c r="EW110" s="37"/>
      <c r="EX110" s="44"/>
      <c r="EY110" s="36"/>
      <c r="EZ110" s="36"/>
      <c r="FA110" s="36"/>
      <c r="FB110" s="36"/>
      <c r="FC110" s="36"/>
      <c r="FD110" s="36"/>
      <c r="FE110" s="36"/>
      <c r="FF110" s="36"/>
      <c r="FG110" s="36"/>
      <c r="FH110" s="36"/>
      <c r="FI110" s="36"/>
      <c r="FJ110" s="36"/>
      <c r="FK110" s="36"/>
      <c r="FL110" s="36"/>
      <c r="FM110" s="36"/>
      <c r="FN110" s="37"/>
      <c r="FO110" s="44"/>
      <c r="FP110" s="36"/>
      <c r="FQ110" s="36"/>
      <c r="FR110" s="36"/>
      <c r="FS110" s="36"/>
      <c r="FT110" s="36"/>
      <c r="FU110" s="36"/>
      <c r="FV110" s="36"/>
      <c r="FW110" s="36"/>
      <c r="FX110" s="36"/>
      <c r="FY110" s="36"/>
      <c r="FZ110" s="36"/>
      <c r="GA110" s="36"/>
      <c r="GB110" s="36"/>
      <c r="GC110" s="36"/>
      <c r="GD110" s="36"/>
      <c r="GE110" s="37"/>
      <c r="GF110" s="44"/>
      <c r="GG110" s="36"/>
      <c r="GH110" s="36"/>
      <c r="GI110" s="36"/>
      <c r="GJ110" s="36"/>
      <c r="GK110" s="36"/>
      <c r="GL110" s="36"/>
      <c r="GM110" s="36"/>
      <c r="GN110" s="36"/>
      <c r="GO110" s="36"/>
      <c r="GP110" s="36"/>
      <c r="GQ110" s="36"/>
      <c r="GR110" s="36"/>
      <c r="GS110" s="36"/>
      <c r="GT110" s="36"/>
      <c r="GU110" s="36"/>
      <c r="GV110" s="37"/>
      <c r="GW110" s="44"/>
      <c r="GX110" s="36"/>
      <c r="GY110" s="36"/>
      <c r="GZ110" s="36"/>
      <c r="HA110" s="36"/>
      <c r="HB110" s="36"/>
      <c r="HC110" s="36"/>
      <c r="HD110" s="36"/>
      <c r="HE110" s="36"/>
      <c r="HF110" s="36"/>
      <c r="HG110" s="36"/>
      <c r="HH110" s="36"/>
      <c r="HI110" s="36"/>
      <c r="HJ110" s="36"/>
      <c r="HK110" s="36"/>
      <c r="HL110" s="36"/>
      <c r="HM110" s="37"/>
      <c r="HN110" s="44"/>
      <c r="HO110" s="36"/>
      <c r="HP110" s="36"/>
      <c r="HQ110" s="36"/>
      <c r="HR110" s="36"/>
      <c r="HS110" s="36"/>
      <c r="HT110" s="36"/>
      <c r="HU110" s="36"/>
      <c r="HV110" s="36"/>
      <c r="HW110" s="36"/>
      <c r="HX110" s="36"/>
      <c r="HY110" s="36"/>
      <c r="HZ110" s="36"/>
      <c r="IA110" s="36"/>
      <c r="IB110" s="36"/>
      <c r="IC110" s="36"/>
      <c r="ID110" s="37"/>
      <c r="IE110" s="44"/>
      <c r="IF110" s="36"/>
      <c r="IG110" s="36"/>
      <c r="IH110" s="36"/>
      <c r="II110" s="36"/>
      <c r="IJ110" s="36"/>
      <c r="IK110" s="36"/>
      <c r="IL110" s="36"/>
      <c r="IM110" s="36"/>
      <c r="IN110" s="36"/>
      <c r="IO110" s="36"/>
      <c r="IP110" s="36"/>
      <c r="IQ110" s="36"/>
      <c r="IR110" s="36"/>
      <c r="IS110" s="36"/>
      <c r="IT110" s="36"/>
      <c r="IU110" s="37"/>
      <c r="IV110" s="44"/>
      <c r="IW110" s="36"/>
      <c r="IX110" s="36"/>
      <c r="IY110" s="36"/>
      <c r="IZ110" s="36"/>
      <c r="JA110" s="36"/>
      <c r="JB110" s="36"/>
      <c r="JC110" s="36"/>
      <c r="JD110" s="36"/>
      <c r="JE110" s="36"/>
      <c r="JF110" s="36"/>
      <c r="JG110" s="36"/>
      <c r="JH110" s="36"/>
      <c r="JI110" s="36"/>
      <c r="JJ110" s="36"/>
      <c r="JK110" s="36"/>
      <c r="JL110" s="37"/>
      <c r="JM110" s="44"/>
      <c r="JN110" s="36"/>
      <c r="JO110" s="36"/>
      <c r="JP110" s="36"/>
      <c r="JQ110" s="36"/>
      <c r="JR110" s="36"/>
      <c r="JS110" s="36"/>
      <c r="JT110" s="36"/>
      <c r="JU110" s="36"/>
      <c r="JV110" s="36"/>
      <c r="JW110" s="36"/>
      <c r="JX110" s="36"/>
      <c r="JY110" s="36"/>
      <c r="JZ110" s="36"/>
      <c r="KA110" s="36"/>
      <c r="KB110" s="36"/>
      <c r="KC110" s="37"/>
      <c r="KD110" s="44"/>
      <c r="KE110" s="36"/>
      <c r="KF110" s="36"/>
      <c r="KG110" s="36"/>
      <c r="KH110" s="36"/>
      <c r="KI110" s="36"/>
      <c r="KJ110" s="36"/>
      <c r="KK110" s="36"/>
      <c r="KL110" s="36"/>
      <c r="KM110" s="36"/>
      <c r="KN110" s="36"/>
      <c r="KO110" s="36"/>
      <c r="KP110" s="36"/>
      <c r="KQ110" s="36"/>
      <c r="KR110" s="36"/>
      <c r="KS110" s="36"/>
      <c r="KT110" s="37"/>
      <c r="KU110" s="36"/>
    </row>
    <row r="111" ht="15.0" customHeight="1">
      <c r="A111" s="44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7"/>
      <c r="R111" s="44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7"/>
      <c r="AI111" s="44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  <c r="AV111" s="36"/>
      <c r="AW111" s="36"/>
      <c r="AX111" s="36"/>
      <c r="AY111" s="37"/>
      <c r="AZ111" s="44"/>
      <c r="BA111" s="36"/>
      <c r="BB111" s="36"/>
      <c r="BC111" s="36"/>
      <c r="BD111" s="36"/>
      <c r="BE111" s="36"/>
      <c r="BF111" s="36"/>
      <c r="BG111" s="36"/>
      <c r="BH111" s="36"/>
      <c r="BI111" s="36"/>
      <c r="BJ111" s="36"/>
      <c r="BK111" s="36"/>
      <c r="BL111" s="36"/>
      <c r="BM111" s="36"/>
      <c r="BN111" s="36"/>
      <c r="BO111" s="36"/>
      <c r="BP111" s="37"/>
      <c r="BQ111" s="44"/>
      <c r="BR111" s="36"/>
      <c r="BS111" s="36"/>
      <c r="BT111" s="36"/>
      <c r="BU111" s="36"/>
      <c r="BV111" s="36"/>
      <c r="BW111" s="36"/>
      <c r="BX111" s="36"/>
      <c r="BY111" s="36"/>
      <c r="BZ111" s="36"/>
      <c r="CA111" s="36"/>
      <c r="CB111" s="36"/>
      <c r="CC111" s="36"/>
      <c r="CD111" s="36"/>
      <c r="CE111" s="36"/>
      <c r="CF111" s="36"/>
      <c r="CG111" s="37"/>
      <c r="CH111" s="44"/>
      <c r="CI111" s="36"/>
      <c r="CJ111" s="36"/>
      <c r="CK111" s="36"/>
      <c r="CL111" s="36"/>
      <c r="CM111" s="36"/>
      <c r="CN111" s="36"/>
      <c r="CO111" s="36"/>
      <c r="CP111" s="36"/>
      <c r="CQ111" s="36"/>
      <c r="CR111" s="36"/>
      <c r="CS111" s="36"/>
      <c r="CT111" s="36"/>
      <c r="CU111" s="36"/>
      <c r="CV111" s="36"/>
      <c r="CW111" s="36"/>
      <c r="CX111" s="37"/>
      <c r="CY111" s="44"/>
      <c r="CZ111" s="36"/>
      <c r="DA111" s="36"/>
      <c r="DB111" s="36"/>
      <c r="DC111" s="36"/>
      <c r="DD111" s="36"/>
      <c r="DE111" s="36"/>
      <c r="DF111" s="36"/>
      <c r="DG111" s="36"/>
      <c r="DH111" s="36"/>
      <c r="DI111" s="36"/>
      <c r="DJ111" s="36"/>
      <c r="DK111" s="36"/>
      <c r="DL111" s="36"/>
      <c r="DM111" s="36"/>
      <c r="DN111" s="36"/>
      <c r="DO111" s="37"/>
      <c r="DP111" s="44"/>
      <c r="DQ111" s="36"/>
      <c r="DR111" s="36"/>
      <c r="DS111" s="36"/>
      <c r="DT111" s="36"/>
      <c r="DU111" s="36"/>
      <c r="DV111" s="36"/>
      <c r="DW111" s="36"/>
      <c r="DX111" s="36"/>
      <c r="DY111" s="36"/>
      <c r="DZ111" s="36"/>
      <c r="EA111" s="36"/>
      <c r="EB111" s="36"/>
      <c r="EC111" s="36"/>
      <c r="ED111" s="36"/>
      <c r="EE111" s="36"/>
      <c r="EF111" s="37"/>
      <c r="EG111" s="44"/>
      <c r="EH111" s="36"/>
      <c r="EI111" s="36"/>
      <c r="EJ111" s="36"/>
      <c r="EK111" s="36"/>
      <c r="EL111" s="36"/>
      <c r="EM111" s="36"/>
      <c r="EN111" s="36"/>
      <c r="EO111" s="36"/>
      <c r="EP111" s="36"/>
      <c r="EQ111" s="36"/>
      <c r="ER111" s="36"/>
      <c r="ES111" s="36"/>
      <c r="ET111" s="36"/>
      <c r="EU111" s="36"/>
      <c r="EV111" s="36"/>
      <c r="EW111" s="37"/>
      <c r="EX111" s="44"/>
      <c r="EY111" s="36"/>
      <c r="EZ111" s="36"/>
      <c r="FA111" s="36"/>
      <c r="FB111" s="36"/>
      <c r="FC111" s="36"/>
      <c r="FD111" s="36"/>
      <c r="FE111" s="36"/>
      <c r="FF111" s="36"/>
      <c r="FG111" s="36"/>
      <c r="FH111" s="36"/>
      <c r="FI111" s="36"/>
      <c r="FJ111" s="36"/>
      <c r="FK111" s="36"/>
      <c r="FL111" s="36"/>
      <c r="FM111" s="36"/>
      <c r="FN111" s="37"/>
      <c r="FO111" s="44"/>
      <c r="FP111" s="36"/>
      <c r="FQ111" s="36"/>
      <c r="FR111" s="36"/>
      <c r="FS111" s="36"/>
      <c r="FT111" s="36"/>
      <c r="FU111" s="36"/>
      <c r="FV111" s="36"/>
      <c r="FW111" s="36"/>
      <c r="FX111" s="36"/>
      <c r="FY111" s="36"/>
      <c r="FZ111" s="36"/>
      <c r="GA111" s="36"/>
      <c r="GB111" s="36"/>
      <c r="GC111" s="36"/>
      <c r="GD111" s="36"/>
      <c r="GE111" s="37"/>
      <c r="GF111" s="44"/>
      <c r="GG111" s="36"/>
      <c r="GH111" s="36"/>
      <c r="GI111" s="36"/>
      <c r="GJ111" s="36"/>
      <c r="GK111" s="36"/>
      <c r="GL111" s="36"/>
      <c r="GM111" s="36"/>
      <c r="GN111" s="36"/>
      <c r="GO111" s="36"/>
      <c r="GP111" s="36"/>
      <c r="GQ111" s="36"/>
      <c r="GR111" s="36"/>
      <c r="GS111" s="36"/>
      <c r="GT111" s="36"/>
      <c r="GU111" s="36"/>
      <c r="GV111" s="37"/>
      <c r="GW111" s="44"/>
      <c r="GX111" s="36"/>
      <c r="GY111" s="36"/>
      <c r="GZ111" s="36"/>
      <c r="HA111" s="36"/>
      <c r="HB111" s="36"/>
      <c r="HC111" s="36"/>
      <c r="HD111" s="36"/>
      <c r="HE111" s="36"/>
      <c r="HF111" s="36"/>
      <c r="HG111" s="36"/>
      <c r="HH111" s="36"/>
      <c r="HI111" s="36"/>
      <c r="HJ111" s="36"/>
      <c r="HK111" s="36"/>
      <c r="HL111" s="36"/>
      <c r="HM111" s="37"/>
      <c r="HN111" s="44"/>
      <c r="HO111" s="36"/>
      <c r="HP111" s="36"/>
      <c r="HQ111" s="36"/>
      <c r="HR111" s="36"/>
      <c r="HS111" s="36"/>
      <c r="HT111" s="36"/>
      <c r="HU111" s="36"/>
      <c r="HV111" s="36"/>
      <c r="HW111" s="36"/>
      <c r="HX111" s="36"/>
      <c r="HY111" s="36"/>
      <c r="HZ111" s="36"/>
      <c r="IA111" s="36"/>
      <c r="IB111" s="36"/>
      <c r="IC111" s="36"/>
      <c r="ID111" s="37"/>
      <c r="IE111" s="44"/>
      <c r="IF111" s="36"/>
      <c r="IG111" s="36"/>
      <c r="IH111" s="36"/>
      <c r="II111" s="36"/>
      <c r="IJ111" s="36"/>
      <c r="IK111" s="36"/>
      <c r="IL111" s="36"/>
      <c r="IM111" s="36"/>
      <c r="IN111" s="36"/>
      <c r="IO111" s="36"/>
      <c r="IP111" s="36"/>
      <c r="IQ111" s="36"/>
      <c r="IR111" s="36"/>
      <c r="IS111" s="36"/>
      <c r="IT111" s="36"/>
      <c r="IU111" s="37"/>
      <c r="IV111" s="44"/>
      <c r="IW111" s="36"/>
      <c r="IX111" s="36"/>
      <c r="IY111" s="36"/>
      <c r="IZ111" s="36"/>
      <c r="JA111" s="36"/>
      <c r="JB111" s="36"/>
      <c r="JC111" s="36"/>
      <c r="JD111" s="36"/>
      <c r="JE111" s="36"/>
      <c r="JF111" s="36"/>
      <c r="JG111" s="36"/>
      <c r="JH111" s="36"/>
      <c r="JI111" s="36"/>
      <c r="JJ111" s="36"/>
      <c r="JK111" s="36"/>
      <c r="JL111" s="37"/>
      <c r="JM111" s="44"/>
      <c r="JN111" s="36"/>
      <c r="JO111" s="36"/>
      <c r="JP111" s="36"/>
      <c r="JQ111" s="36"/>
      <c r="JR111" s="36"/>
      <c r="JS111" s="36"/>
      <c r="JT111" s="36"/>
      <c r="JU111" s="36"/>
      <c r="JV111" s="36"/>
      <c r="JW111" s="36"/>
      <c r="JX111" s="36"/>
      <c r="JY111" s="36"/>
      <c r="JZ111" s="36"/>
      <c r="KA111" s="36"/>
      <c r="KB111" s="36"/>
      <c r="KC111" s="37"/>
      <c r="KD111" s="44"/>
      <c r="KE111" s="36"/>
      <c r="KF111" s="36"/>
      <c r="KG111" s="36"/>
      <c r="KH111" s="36"/>
      <c r="KI111" s="36"/>
      <c r="KJ111" s="36"/>
      <c r="KK111" s="36"/>
      <c r="KL111" s="36"/>
      <c r="KM111" s="36"/>
      <c r="KN111" s="36"/>
      <c r="KO111" s="36"/>
      <c r="KP111" s="36"/>
      <c r="KQ111" s="36"/>
      <c r="KR111" s="36"/>
      <c r="KS111" s="36"/>
      <c r="KT111" s="37"/>
      <c r="KU111" s="36"/>
    </row>
    <row r="112" ht="15.0" customHeight="1">
      <c r="A112" s="259"/>
      <c r="B112" s="260" t="s">
        <v>24</v>
      </c>
      <c r="C112" s="260" t="str">
        <f>ADHK!C112</f>
        <v>: Provinsi Sulawesi Tenggara</v>
      </c>
      <c r="D112" s="260"/>
      <c r="E112" s="260"/>
      <c r="F112" s="260"/>
      <c r="G112" s="260" t="s">
        <v>25</v>
      </c>
      <c r="H112" s="260"/>
      <c r="I112" s="261"/>
      <c r="J112" s="262"/>
      <c r="K112" s="262"/>
      <c r="L112" s="262"/>
      <c r="M112" s="262"/>
      <c r="N112" s="262"/>
      <c r="O112" s="262"/>
      <c r="P112" s="49" t="s">
        <v>26</v>
      </c>
      <c r="Q112" s="263"/>
      <c r="R112" s="259"/>
      <c r="S112" s="260" t="s">
        <v>24</v>
      </c>
      <c r="T112" s="260" t="str">
        <f t="shared" ref="T112:T115" si="1549">C112</f>
        <v>: Provinsi Sulawesi Tenggara</v>
      </c>
      <c r="U112" s="260"/>
      <c r="V112" s="260"/>
      <c r="W112" s="260"/>
      <c r="X112" s="260" t="s">
        <v>25</v>
      </c>
      <c r="Y112" s="260"/>
      <c r="Z112" s="261"/>
      <c r="AA112" s="262"/>
      <c r="AB112" s="262"/>
      <c r="AC112" s="262"/>
      <c r="AD112" s="262"/>
      <c r="AE112" s="262"/>
      <c r="AF112" s="262"/>
      <c r="AG112" s="49" t="s">
        <v>26</v>
      </c>
      <c r="AH112" s="263"/>
      <c r="AI112" s="259"/>
      <c r="AJ112" s="260" t="s">
        <v>24</v>
      </c>
      <c r="AK112" s="260" t="str">
        <f t="shared" ref="AK112:AK115" si="1550">T112</f>
        <v>: Provinsi Sulawesi Tenggara</v>
      </c>
      <c r="AL112" s="260"/>
      <c r="AM112" s="260"/>
      <c r="AN112" s="260"/>
      <c r="AO112" s="260" t="s">
        <v>25</v>
      </c>
      <c r="AP112" s="260"/>
      <c r="AQ112" s="261"/>
      <c r="AR112" s="262"/>
      <c r="AS112" s="262"/>
      <c r="AT112" s="262"/>
      <c r="AU112" s="262"/>
      <c r="AV112" s="262"/>
      <c r="AW112" s="262"/>
      <c r="AX112" s="49" t="s">
        <v>26</v>
      </c>
      <c r="AY112" s="263"/>
      <c r="AZ112" s="259"/>
      <c r="BA112" s="260" t="s">
        <v>24</v>
      </c>
      <c r="BB112" s="260" t="str">
        <f t="shared" ref="BB112:BB115" si="1551">AK112</f>
        <v>: Provinsi Sulawesi Tenggara</v>
      </c>
      <c r="BC112" s="260"/>
      <c r="BD112" s="260"/>
      <c r="BE112" s="260"/>
      <c r="BF112" s="260" t="s">
        <v>25</v>
      </c>
      <c r="BG112" s="260"/>
      <c r="BH112" s="261"/>
      <c r="BI112" s="262"/>
      <c r="BJ112" s="262"/>
      <c r="BK112" s="262"/>
      <c r="BL112" s="262"/>
      <c r="BM112" s="262"/>
      <c r="BN112" s="262"/>
      <c r="BO112" s="49" t="s">
        <v>26</v>
      </c>
      <c r="BP112" s="263"/>
      <c r="BQ112" s="259"/>
      <c r="BR112" s="260" t="s">
        <v>24</v>
      </c>
      <c r="BS112" s="260" t="str">
        <f t="shared" ref="BS112:BS115" si="1552">BB112</f>
        <v>: Provinsi Sulawesi Tenggara</v>
      </c>
      <c r="BT112" s="260"/>
      <c r="BU112" s="260"/>
      <c r="BV112" s="260"/>
      <c r="BW112" s="260" t="s">
        <v>25</v>
      </c>
      <c r="BX112" s="260"/>
      <c r="BY112" s="261"/>
      <c r="BZ112" s="262"/>
      <c r="CA112" s="262"/>
      <c r="CB112" s="262"/>
      <c r="CC112" s="262"/>
      <c r="CD112" s="262"/>
      <c r="CE112" s="262"/>
      <c r="CF112" s="49" t="s">
        <v>26</v>
      </c>
      <c r="CG112" s="263"/>
      <c r="CH112" s="259"/>
      <c r="CI112" s="260" t="s">
        <v>24</v>
      </c>
      <c r="CJ112" s="260" t="str">
        <f t="shared" ref="CJ112:CJ115" si="1553">BS112</f>
        <v>: Provinsi Sulawesi Tenggara</v>
      </c>
      <c r="CK112" s="260"/>
      <c r="CL112" s="260"/>
      <c r="CM112" s="260"/>
      <c r="CN112" s="260" t="s">
        <v>25</v>
      </c>
      <c r="CO112" s="260"/>
      <c r="CP112" s="261"/>
      <c r="CQ112" s="262"/>
      <c r="CR112" s="262"/>
      <c r="CS112" s="262"/>
      <c r="CT112" s="262"/>
      <c r="CU112" s="262"/>
      <c r="CV112" s="262"/>
      <c r="CW112" s="49" t="s">
        <v>26</v>
      </c>
      <c r="CX112" s="263"/>
      <c r="CY112" s="259"/>
      <c r="CZ112" s="260" t="s">
        <v>24</v>
      </c>
      <c r="DA112" s="260" t="str">
        <f t="shared" ref="DA112:DA115" si="1554">CJ112</f>
        <v>: Provinsi Sulawesi Tenggara</v>
      </c>
      <c r="DB112" s="260"/>
      <c r="DC112" s="260"/>
      <c r="DD112" s="260"/>
      <c r="DE112" s="260" t="s">
        <v>25</v>
      </c>
      <c r="DF112" s="260"/>
      <c r="DG112" s="261"/>
      <c r="DH112" s="262"/>
      <c r="DI112" s="262"/>
      <c r="DJ112" s="262"/>
      <c r="DK112" s="262"/>
      <c r="DL112" s="262"/>
      <c r="DM112" s="262"/>
      <c r="DN112" s="49" t="s">
        <v>26</v>
      </c>
      <c r="DO112" s="263"/>
      <c r="DP112" s="259"/>
      <c r="DQ112" s="260" t="s">
        <v>24</v>
      </c>
      <c r="DR112" s="260" t="str">
        <f t="shared" ref="DR112:DR115" si="1555">DA112</f>
        <v>: Provinsi Sulawesi Tenggara</v>
      </c>
      <c r="DS112" s="260"/>
      <c r="DT112" s="260"/>
      <c r="DU112" s="260"/>
      <c r="DV112" s="260" t="s">
        <v>25</v>
      </c>
      <c r="DW112" s="260"/>
      <c r="DX112" s="261"/>
      <c r="DY112" s="262"/>
      <c r="DZ112" s="262"/>
      <c r="EA112" s="262"/>
      <c r="EB112" s="262"/>
      <c r="EC112" s="262"/>
      <c r="ED112" s="262"/>
      <c r="EE112" s="49" t="s">
        <v>26</v>
      </c>
      <c r="EF112" s="263"/>
      <c r="EG112" s="259"/>
      <c r="EH112" s="260" t="s">
        <v>24</v>
      </c>
      <c r="EI112" s="260" t="str">
        <f t="shared" ref="EI112:EI115" si="1556">DR112</f>
        <v>: Provinsi Sulawesi Tenggara</v>
      </c>
      <c r="EJ112" s="260"/>
      <c r="EK112" s="260"/>
      <c r="EL112" s="260"/>
      <c r="EM112" s="260" t="s">
        <v>25</v>
      </c>
      <c r="EN112" s="260"/>
      <c r="EO112" s="261"/>
      <c r="EP112" s="262"/>
      <c r="EQ112" s="262"/>
      <c r="ER112" s="262"/>
      <c r="ES112" s="262"/>
      <c r="ET112" s="262"/>
      <c r="EU112" s="262"/>
      <c r="EV112" s="49" t="s">
        <v>26</v>
      </c>
      <c r="EW112" s="263"/>
      <c r="EX112" s="259"/>
      <c r="EY112" s="260" t="s">
        <v>24</v>
      </c>
      <c r="EZ112" s="260" t="str">
        <f t="shared" ref="EZ112:EZ115" si="1557">EI112</f>
        <v>: Provinsi Sulawesi Tenggara</v>
      </c>
      <c r="FA112" s="260"/>
      <c r="FB112" s="260"/>
      <c r="FC112" s="260"/>
      <c r="FD112" s="260" t="s">
        <v>25</v>
      </c>
      <c r="FE112" s="260"/>
      <c r="FF112" s="261"/>
      <c r="FG112" s="262"/>
      <c r="FH112" s="262"/>
      <c r="FI112" s="262"/>
      <c r="FJ112" s="262"/>
      <c r="FK112" s="262"/>
      <c r="FL112" s="262"/>
      <c r="FM112" s="49" t="s">
        <v>26</v>
      </c>
      <c r="FN112" s="263"/>
      <c r="FO112" s="259"/>
      <c r="FP112" s="260" t="s">
        <v>24</v>
      </c>
      <c r="FQ112" s="260" t="str">
        <f t="shared" ref="FQ112:FQ115" si="1558">EZ112</f>
        <v>: Provinsi Sulawesi Tenggara</v>
      </c>
      <c r="FR112" s="260"/>
      <c r="FS112" s="260"/>
      <c r="FT112" s="260"/>
      <c r="FU112" s="260" t="s">
        <v>25</v>
      </c>
      <c r="FV112" s="260"/>
      <c r="FW112" s="261"/>
      <c r="FX112" s="262"/>
      <c r="FY112" s="262"/>
      <c r="FZ112" s="262"/>
      <c r="GA112" s="262"/>
      <c r="GB112" s="262"/>
      <c r="GC112" s="262"/>
      <c r="GD112" s="49" t="s">
        <v>26</v>
      </c>
      <c r="GE112" s="263"/>
      <c r="GF112" s="259"/>
      <c r="GG112" s="260" t="s">
        <v>24</v>
      </c>
      <c r="GH112" s="260" t="str">
        <f t="shared" ref="GH112:GH115" si="1559">FQ112</f>
        <v>: Provinsi Sulawesi Tenggara</v>
      </c>
      <c r="GI112" s="260"/>
      <c r="GJ112" s="260"/>
      <c r="GK112" s="260"/>
      <c r="GL112" s="260" t="s">
        <v>25</v>
      </c>
      <c r="GM112" s="260"/>
      <c r="GN112" s="261"/>
      <c r="GO112" s="262"/>
      <c r="GP112" s="262"/>
      <c r="GQ112" s="262"/>
      <c r="GR112" s="262"/>
      <c r="GS112" s="262"/>
      <c r="GT112" s="262"/>
      <c r="GU112" s="49" t="s">
        <v>26</v>
      </c>
      <c r="GV112" s="263"/>
      <c r="GW112" s="259"/>
      <c r="GX112" s="260" t="s">
        <v>24</v>
      </c>
      <c r="GY112" s="260" t="str">
        <f t="shared" ref="GY112:GY115" si="1560">GH112</f>
        <v>: Provinsi Sulawesi Tenggara</v>
      </c>
      <c r="GZ112" s="260"/>
      <c r="HA112" s="260"/>
      <c r="HB112" s="260"/>
      <c r="HC112" s="260" t="s">
        <v>25</v>
      </c>
      <c r="HD112" s="260"/>
      <c r="HE112" s="261"/>
      <c r="HF112" s="262"/>
      <c r="HG112" s="262"/>
      <c r="HH112" s="262"/>
      <c r="HI112" s="262"/>
      <c r="HJ112" s="262"/>
      <c r="HK112" s="262"/>
      <c r="HL112" s="49" t="s">
        <v>26</v>
      </c>
      <c r="HM112" s="263"/>
      <c r="HN112" s="259"/>
      <c r="HO112" s="260" t="s">
        <v>24</v>
      </c>
      <c r="HP112" s="260" t="str">
        <f t="shared" ref="HP112:HP115" si="1561">GY112</f>
        <v>: Provinsi Sulawesi Tenggara</v>
      </c>
      <c r="HQ112" s="260"/>
      <c r="HR112" s="260"/>
      <c r="HS112" s="260"/>
      <c r="HT112" s="260" t="s">
        <v>25</v>
      </c>
      <c r="HU112" s="260"/>
      <c r="HV112" s="261"/>
      <c r="HW112" s="262"/>
      <c r="HX112" s="262"/>
      <c r="HY112" s="262"/>
      <c r="HZ112" s="262"/>
      <c r="IA112" s="262"/>
      <c r="IB112" s="262"/>
      <c r="IC112" s="49" t="s">
        <v>26</v>
      </c>
      <c r="ID112" s="263"/>
      <c r="IE112" s="259"/>
      <c r="IF112" s="260" t="s">
        <v>24</v>
      </c>
      <c r="IG112" s="260" t="str">
        <f t="shared" ref="IG112:IG115" si="1562">HP112</f>
        <v>: Provinsi Sulawesi Tenggara</v>
      </c>
      <c r="IH112" s="260"/>
      <c r="II112" s="260"/>
      <c r="IJ112" s="260"/>
      <c r="IK112" s="260" t="s">
        <v>25</v>
      </c>
      <c r="IL112" s="260"/>
      <c r="IM112" s="261"/>
      <c r="IN112" s="262"/>
      <c r="IO112" s="262"/>
      <c r="IP112" s="262"/>
      <c r="IQ112" s="262"/>
      <c r="IR112" s="262"/>
      <c r="IS112" s="262"/>
      <c r="IT112" s="49" t="s">
        <v>26</v>
      </c>
      <c r="IU112" s="263"/>
      <c r="IV112" s="259"/>
      <c r="IW112" s="260" t="s">
        <v>24</v>
      </c>
      <c r="IX112" s="260" t="str">
        <f t="shared" ref="IX112:IX115" si="1563">IG112</f>
        <v>: Provinsi Sulawesi Tenggara</v>
      </c>
      <c r="IY112" s="260"/>
      <c r="IZ112" s="260"/>
      <c r="JA112" s="260"/>
      <c r="JB112" s="260" t="s">
        <v>25</v>
      </c>
      <c r="JC112" s="260"/>
      <c r="JD112" s="261"/>
      <c r="JE112" s="262"/>
      <c r="JF112" s="262"/>
      <c r="JG112" s="262"/>
      <c r="JH112" s="262"/>
      <c r="JI112" s="262"/>
      <c r="JJ112" s="262"/>
      <c r="JK112" s="49" t="s">
        <v>26</v>
      </c>
      <c r="JL112" s="264"/>
      <c r="JM112" s="259"/>
      <c r="JN112" s="260" t="s">
        <v>24</v>
      </c>
      <c r="JO112" s="260" t="str">
        <f t="shared" ref="JO112:JO115" si="1564">IX112</f>
        <v>: Provinsi Sulawesi Tenggara</v>
      </c>
      <c r="JP112" s="260"/>
      <c r="JQ112" s="260"/>
      <c r="JR112" s="260"/>
      <c r="JS112" s="260" t="s">
        <v>25</v>
      </c>
      <c r="JT112" s="260"/>
      <c r="JU112" s="261"/>
      <c r="JV112" s="262"/>
      <c r="JW112" s="262"/>
      <c r="JX112" s="262"/>
      <c r="JY112" s="262"/>
      <c r="JZ112" s="262"/>
      <c r="KA112" s="262"/>
      <c r="KB112" s="49" t="s">
        <v>26</v>
      </c>
      <c r="KC112" s="264"/>
      <c r="KD112" s="259"/>
      <c r="KE112" s="260" t="s">
        <v>24</v>
      </c>
      <c r="KF112" s="260" t="str">
        <f t="shared" ref="KF112:KF115" si="1565">JO112</f>
        <v>: Provinsi Sulawesi Tenggara</v>
      </c>
      <c r="KG112" s="260"/>
      <c r="KH112" s="260"/>
      <c r="KI112" s="260"/>
      <c r="KJ112" s="260" t="s">
        <v>25</v>
      </c>
      <c r="KK112" s="260"/>
      <c r="KL112" s="261"/>
      <c r="KM112" s="262"/>
      <c r="KN112" s="262"/>
      <c r="KO112" s="262"/>
      <c r="KP112" s="262"/>
      <c r="KQ112" s="262"/>
      <c r="KR112" s="262"/>
      <c r="KS112" s="49" t="s">
        <v>26</v>
      </c>
      <c r="KT112" s="264"/>
      <c r="KU112" s="262"/>
    </row>
    <row r="113" ht="15.0" customHeight="1">
      <c r="A113" s="265"/>
      <c r="B113" s="266" t="s">
        <v>27</v>
      </c>
      <c r="C113" s="266" t="str">
        <f>ADHK!C113</f>
        <v>: Pertambangan dan Penggalian    </v>
      </c>
      <c r="D113" s="266"/>
      <c r="E113" s="266"/>
      <c r="F113" s="266"/>
      <c r="G113" s="266" t="s">
        <v>28</v>
      </c>
      <c r="H113" s="266"/>
      <c r="I113" s="267"/>
      <c r="J113" s="262"/>
      <c r="K113" s="262"/>
      <c r="L113" s="262"/>
      <c r="M113" s="262"/>
      <c r="N113" s="262"/>
      <c r="O113" s="262"/>
      <c r="P113" s="55"/>
      <c r="Q113" s="263"/>
      <c r="R113" s="265"/>
      <c r="S113" s="266" t="s">
        <v>27</v>
      </c>
      <c r="T113" s="266" t="str">
        <f t="shared" si="1549"/>
        <v>: Pertambangan dan Penggalian    </v>
      </c>
      <c r="U113" s="266"/>
      <c r="V113" s="266"/>
      <c r="W113" s="266"/>
      <c r="X113" s="266" t="s">
        <v>28</v>
      </c>
      <c r="Y113" s="266"/>
      <c r="Z113" s="267"/>
      <c r="AA113" s="262"/>
      <c r="AB113" s="262"/>
      <c r="AC113" s="262"/>
      <c r="AD113" s="262"/>
      <c r="AE113" s="262"/>
      <c r="AF113" s="262"/>
      <c r="AG113" s="55"/>
      <c r="AH113" s="263"/>
      <c r="AI113" s="265"/>
      <c r="AJ113" s="266" t="s">
        <v>27</v>
      </c>
      <c r="AK113" s="266" t="str">
        <f t="shared" si="1550"/>
        <v>: Pertambangan dan Penggalian    </v>
      </c>
      <c r="AL113" s="266"/>
      <c r="AM113" s="266"/>
      <c r="AN113" s="266"/>
      <c r="AO113" s="266" t="s">
        <v>28</v>
      </c>
      <c r="AP113" s="266"/>
      <c r="AQ113" s="267"/>
      <c r="AR113" s="262"/>
      <c r="AS113" s="262"/>
      <c r="AT113" s="262"/>
      <c r="AU113" s="262"/>
      <c r="AV113" s="262"/>
      <c r="AW113" s="262"/>
      <c r="AX113" s="55"/>
      <c r="AY113" s="263"/>
      <c r="AZ113" s="265"/>
      <c r="BA113" s="266" t="s">
        <v>27</v>
      </c>
      <c r="BB113" s="266" t="str">
        <f t="shared" si="1551"/>
        <v>: Pertambangan dan Penggalian    </v>
      </c>
      <c r="BC113" s="266"/>
      <c r="BD113" s="266"/>
      <c r="BE113" s="266"/>
      <c r="BF113" s="266" t="s">
        <v>28</v>
      </c>
      <c r="BG113" s="266"/>
      <c r="BH113" s="267"/>
      <c r="BI113" s="262"/>
      <c r="BJ113" s="262"/>
      <c r="BK113" s="262"/>
      <c r="BL113" s="262"/>
      <c r="BM113" s="262"/>
      <c r="BN113" s="262"/>
      <c r="BO113" s="55"/>
      <c r="BP113" s="263"/>
      <c r="BQ113" s="265"/>
      <c r="BR113" s="266" t="s">
        <v>27</v>
      </c>
      <c r="BS113" s="266" t="str">
        <f t="shared" si="1552"/>
        <v>: Pertambangan dan Penggalian    </v>
      </c>
      <c r="BT113" s="266"/>
      <c r="BU113" s="266"/>
      <c r="BV113" s="266"/>
      <c r="BW113" s="266" t="s">
        <v>28</v>
      </c>
      <c r="BX113" s="266"/>
      <c r="BY113" s="267"/>
      <c r="BZ113" s="262"/>
      <c r="CA113" s="262"/>
      <c r="CB113" s="262"/>
      <c r="CC113" s="262"/>
      <c r="CD113" s="262"/>
      <c r="CE113" s="262"/>
      <c r="CF113" s="55"/>
      <c r="CG113" s="263"/>
      <c r="CH113" s="265"/>
      <c r="CI113" s="266" t="s">
        <v>27</v>
      </c>
      <c r="CJ113" s="266" t="str">
        <f t="shared" si="1553"/>
        <v>: Pertambangan dan Penggalian    </v>
      </c>
      <c r="CK113" s="266"/>
      <c r="CL113" s="266"/>
      <c r="CM113" s="266"/>
      <c r="CN113" s="266" t="s">
        <v>28</v>
      </c>
      <c r="CO113" s="266"/>
      <c r="CP113" s="267"/>
      <c r="CQ113" s="262"/>
      <c r="CR113" s="262"/>
      <c r="CS113" s="262"/>
      <c r="CT113" s="262"/>
      <c r="CU113" s="262"/>
      <c r="CV113" s="262"/>
      <c r="CW113" s="55"/>
      <c r="CX113" s="263"/>
      <c r="CY113" s="265"/>
      <c r="CZ113" s="266" t="s">
        <v>27</v>
      </c>
      <c r="DA113" s="266" t="str">
        <f t="shared" si="1554"/>
        <v>: Pertambangan dan Penggalian    </v>
      </c>
      <c r="DB113" s="266"/>
      <c r="DC113" s="266"/>
      <c r="DD113" s="266"/>
      <c r="DE113" s="266" t="s">
        <v>28</v>
      </c>
      <c r="DF113" s="266"/>
      <c r="DG113" s="267"/>
      <c r="DH113" s="262"/>
      <c r="DI113" s="262"/>
      <c r="DJ113" s="262"/>
      <c r="DK113" s="262"/>
      <c r="DL113" s="262"/>
      <c r="DM113" s="262"/>
      <c r="DN113" s="55"/>
      <c r="DO113" s="263"/>
      <c r="DP113" s="265"/>
      <c r="DQ113" s="266" t="s">
        <v>27</v>
      </c>
      <c r="DR113" s="266" t="str">
        <f t="shared" si="1555"/>
        <v>: Pertambangan dan Penggalian    </v>
      </c>
      <c r="DS113" s="266"/>
      <c r="DT113" s="266"/>
      <c r="DU113" s="266"/>
      <c r="DV113" s="266" t="s">
        <v>28</v>
      </c>
      <c r="DW113" s="266"/>
      <c r="DX113" s="267"/>
      <c r="DY113" s="262"/>
      <c r="DZ113" s="262"/>
      <c r="EA113" s="262"/>
      <c r="EB113" s="262"/>
      <c r="EC113" s="262"/>
      <c r="ED113" s="262"/>
      <c r="EE113" s="55"/>
      <c r="EF113" s="263"/>
      <c r="EG113" s="265"/>
      <c r="EH113" s="266" t="s">
        <v>27</v>
      </c>
      <c r="EI113" s="266" t="str">
        <f t="shared" si="1556"/>
        <v>: Pertambangan dan Penggalian    </v>
      </c>
      <c r="EJ113" s="266"/>
      <c r="EK113" s="266"/>
      <c r="EL113" s="266"/>
      <c r="EM113" s="266" t="s">
        <v>28</v>
      </c>
      <c r="EN113" s="266"/>
      <c r="EO113" s="267"/>
      <c r="EP113" s="262"/>
      <c r="EQ113" s="262"/>
      <c r="ER113" s="262"/>
      <c r="ES113" s="262"/>
      <c r="ET113" s="262"/>
      <c r="EU113" s="262"/>
      <c r="EV113" s="55"/>
      <c r="EW113" s="263"/>
      <c r="EX113" s="265"/>
      <c r="EY113" s="266" t="s">
        <v>27</v>
      </c>
      <c r="EZ113" s="266" t="str">
        <f t="shared" si="1557"/>
        <v>: Pertambangan dan Penggalian    </v>
      </c>
      <c r="FA113" s="266"/>
      <c r="FB113" s="266"/>
      <c r="FC113" s="266"/>
      <c r="FD113" s="266" t="s">
        <v>28</v>
      </c>
      <c r="FE113" s="266"/>
      <c r="FF113" s="267"/>
      <c r="FG113" s="262"/>
      <c r="FH113" s="262"/>
      <c r="FI113" s="262"/>
      <c r="FJ113" s="262"/>
      <c r="FK113" s="262"/>
      <c r="FL113" s="262"/>
      <c r="FM113" s="55"/>
      <c r="FN113" s="263"/>
      <c r="FO113" s="265"/>
      <c r="FP113" s="266" t="s">
        <v>27</v>
      </c>
      <c r="FQ113" s="266" t="str">
        <f t="shared" si="1558"/>
        <v>: Pertambangan dan Penggalian    </v>
      </c>
      <c r="FR113" s="266"/>
      <c r="FS113" s="266"/>
      <c r="FT113" s="266"/>
      <c r="FU113" s="266" t="s">
        <v>28</v>
      </c>
      <c r="FV113" s="266"/>
      <c r="FW113" s="267"/>
      <c r="FX113" s="262"/>
      <c r="FY113" s="262"/>
      <c r="FZ113" s="262"/>
      <c r="GA113" s="262"/>
      <c r="GB113" s="262"/>
      <c r="GC113" s="262"/>
      <c r="GD113" s="55"/>
      <c r="GE113" s="263"/>
      <c r="GF113" s="265"/>
      <c r="GG113" s="266" t="s">
        <v>27</v>
      </c>
      <c r="GH113" s="266" t="str">
        <f t="shared" si="1559"/>
        <v>: Pertambangan dan Penggalian    </v>
      </c>
      <c r="GI113" s="266"/>
      <c r="GJ113" s="266"/>
      <c r="GK113" s="266"/>
      <c r="GL113" s="266" t="s">
        <v>28</v>
      </c>
      <c r="GM113" s="266"/>
      <c r="GN113" s="267"/>
      <c r="GO113" s="262"/>
      <c r="GP113" s="262"/>
      <c r="GQ113" s="262"/>
      <c r="GR113" s="262"/>
      <c r="GS113" s="262"/>
      <c r="GT113" s="262"/>
      <c r="GU113" s="55"/>
      <c r="GV113" s="263"/>
      <c r="GW113" s="265"/>
      <c r="GX113" s="266" t="s">
        <v>27</v>
      </c>
      <c r="GY113" s="266" t="str">
        <f t="shared" si="1560"/>
        <v>: Pertambangan dan Penggalian    </v>
      </c>
      <c r="GZ113" s="266"/>
      <c r="HA113" s="266"/>
      <c r="HB113" s="266"/>
      <c r="HC113" s="266" t="s">
        <v>28</v>
      </c>
      <c r="HD113" s="266"/>
      <c r="HE113" s="267"/>
      <c r="HF113" s="262"/>
      <c r="HG113" s="262"/>
      <c r="HH113" s="262"/>
      <c r="HI113" s="262"/>
      <c r="HJ113" s="262"/>
      <c r="HK113" s="262"/>
      <c r="HL113" s="55"/>
      <c r="HM113" s="263"/>
      <c r="HN113" s="265"/>
      <c r="HO113" s="266" t="s">
        <v>27</v>
      </c>
      <c r="HP113" s="266" t="str">
        <f t="shared" si="1561"/>
        <v>: Pertambangan dan Penggalian    </v>
      </c>
      <c r="HQ113" s="266"/>
      <c r="HR113" s="266"/>
      <c r="HS113" s="266"/>
      <c r="HT113" s="266" t="s">
        <v>28</v>
      </c>
      <c r="HU113" s="266"/>
      <c r="HV113" s="267"/>
      <c r="HW113" s="262"/>
      <c r="HX113" s="262"/>
      <c r="HY113" s="262"/>
      <c r="HZ113" s="262"/>
      <c r="IA113" s="262"/>
      <c r="IB113" s="262"/>
      <c r="IC113" s="55"/>
      <c r="ID113" s="263"/>
      <c r="IE113" s="265"/>
      <c r="IF113" s="266" t="s">
        <v>27</v>
      </c>
      <c r="IG113" s="266" t="str">
        <f t="shared" si="1562"/>
        <v>: Pertambangan dan Penggalian    </v>
      </c>
      <c r="IH113" s="266"/>
      <c r="II113" s="266"/>
      <c r="IJ113" s="266"/>
      <c r="IK113" s="266" t="s">
        <v>28</v>
      </c>
      <c r="IL113" s="266"/>
      <c r="IM113" s="267"/>
      <c r="IN113" s="262"/>
      <c r="IO113" s="262"/>
      <c r="IP113" s="262"/>
      <c r="IQ113" s="262"/>
      <c r="IR113" s="262"/>
      <c r="IS113" s="262"/>
      <c r="IT113" s="55"/>
      <c r="IU113" s="263"/>
      <c r="IV113" s="265"/>
      <c r="IW113" s="266" t="s">
        <v>27</v>
      </c>
      <c r="IX113" s="266" t="str">
        <f t="shared" si="1563"/>
        <v>: Pertambangan dan Penggalian    </v>
      </c>
      <c r="IY113" s="266"/>
      <c r="IZ113" s="266"/>
      <c r="JA113" s="266"/>
      <c r="JB113" s="266" t="s">
        <v>28</v>
      </c>
      <c r="JC113" s="266"/>
      <c r="JD113" s="267"/>
      <c r="JE113" s="262"/>
      <c r="JF113" s="262"/>
      <c r="JG113" s="262"/>
      <c r="JH113" s="262"/>
      <c r="JI113" s="262"/>
      <c r="JJ113" s="262"/>
      <c r="JK113" s="55"/>
      <c r="JL113" s="264"/>
      <c r="JM113" s="265"/>
      <c r="JN113" s="266" t="s">
        <v>27</v>
      </c>
      <c r="JO113" s="266" t="str">
        <f t="shared" si="1564"/>
        <v>: Pertambangan dan Penggalian    </v>
      </c>
      <c r="JP113" s="266"/>
      <c r="JQ113" s="266"/>
      <c r="JR113" s="266"/>
      <c r="JS113" s="266" t="s">
        <v>28</v>
      </c>
      <c r="JT113" s="266"/>
      <c r="JU113" s="267"/>
      <c r="JV113" s="262"/>
      <c r="JW113" s="262"/>
      <c r="JX113" s="262"/>
      <c r="JY113" s="262"/>
      <c r="JZ113" s="262"/>
      <c r="KA113" s="262"/>
      <c r="KB113" s="55"/>
      <c r="KC113" s="264"/>
      <c r="KD113" s="265"/>
      <c r="KE113" s="266" t="s">
        <v>27</v>
      </c>
      <c r="KF113" s="266" t="str">
        <f t="shared" si="1565"/>
        <v>: Pertambangan dan Penggalian    </v>
      </c>
      <c r="KG113" s="266"/>
      <c r="KH113" s="266"/>
      <c r="KI113" s="266"/>
      <c r="KJ113" s="266" t="s">
        <v>28</v>
      </c>
      <c r="KK113" s="266"/>
      <c r="KL113" s="267"/>
      <c r="KM113" s="262"/>
      <c r="KN113" s="262"/>
      <c r="KO113" s="262"/>
      <c r="KP113" s="262"/>
      <c r="KQ113" s="262"/>
      <c r="KR113" s="262"/>
      <c r="KS113" s="55"/>
      <c r="KT113" s="264"/>
      <c r="KU113" s="262"/>
    </row>
    <row r="114" ht="15.0" customHeight="1">
      <c r="A114" s="265"/>
      <c r="B114" s="266" t="s">
        <v>29</v>
      </c>
      <c r="C114" s="266" t="str">
        <f>ADHK!C114</f>
        <v>: Pertambangan Bijih Logam</v>
      </c>
      <c r="D114" s="266"/>
      <c r="E114" s="266"/>
      <c r="F114" s="266"/>
      <c r="G114" s="268" t="s">
        <v>30</v>
      </c>
      <c r="H114" s="266"/>
      <c r="I114" s="267"/>
      <c r="J114" s="262"/>
      <c r="K114" s="262"/>
      <c r="L114" s="262"/>
      <c r="M114" s="262"/>
      <c r="N114" s="262"/>
      <c r="O114" s="262"/>
      <c r="P114" s="57" t="str">
        <f>"III/"&amp;P$6</f>
        <v>III/2010</v>
      </c>
      <c r="Q114" s="263"/>
      <c r="R114" s="265"/>
      <c r="S114" s="266" t="s">
        <v>29</v>
      </c>
      <c r="T114" s="266" t="str">
        <f t="shared" si="1549"/>
        <v>: Pertambangan Bijih Logam</v>
      </c>
      <c r="U114" s="266"/>
      <c r="V114" s="266"/>
      <c r="W114" s="266"/>
      <c r="X114" s="268" t="s">
        <v>30</v>
      </c>
      <c r="Y114" s="266"/>
      <c r="Z114" s="267"/>
      <c r="AA114" s="262"/>
      <c r="AB114" s="262"/>
      <c r="AC114" s="262"/>
      <c r="AD114" s="262"/>
      <c r="AE114" s="262"/>
      <c r="AF114" s="262"/>
      <c r="AG114" s="57" t="str">
        <f>"III/"&amp;AG$6</f>
        <v>III/2011</v>
      </c>
      <c r="AH114" s="263"/>
      <c r="AI114" s="265"/>
      <c r="AJ114" s="266" t="s">
        <v>29</v>
      </c>
      <c r="AK114" s="266" t="str">
        <f t="shared" si="1550"/>
        <v>: Pertambangan Bijih Logam</v>
      </c>
      <c r="AL114" s="266"/>
      <c r="AM114" s="266"/>
      <c r="AN114" s="266"/>
      <c r="AO114" s="268" t="s">
        <v>30</v>
      </c>
      <c r="AP114" s="266"/>
      <c r="AQ114" s="267"/>
      <c r="AR114" s="262"/>
      <c r="AS114" s="262"/>
      <c r="AT114" s="262"/>
      <c r="AU114" s="262"/>
      <c r="AV114" s="262"/>
      <c r="AW114" s="262"/>
      <c r="AX114" s="57" t="str">
        <f>"III/"&amp;AX$6</f>
        <v>III/2012</v>
      </c>
      <c r="AY114" s="263"/>
      <c r="AZ114" s="265"/>
      <c r="BA114" s="266" t="s">
        <v>29</v>
      </c>
      <c r="BB114" s="266" t="str">
        <f t="shared" si="1551"/>
        <v>: Pertambangan Bijih Logam</v>
      </c>
      <c r="BC114" s="266"/>
      <c r="BD114" s="266"/>
      <c r="BE114" s="266"/>
      <c r="BF114" s="268" t="s">
        <v>30</v>
      </c>
      <c r="BG114" s="266"/>
      <c r="BH114" s="267"/>
      <c r="BI114" s="262"/>
      <c r="BJ114" s="262"/>
      <c r="BK114" s="262"/>
      <c r="BL114" s="262"/>
      <c r="BM114" s="262"/>
      <c r="BN114" s="262"/>
      <c r="BO114" s="57" t="str">
        <f>"III/"&amp;BO$6</f>
        <v>III/2013</v>
      </c>
      <c r="BP114" s="263"/>
      <c r="BQ114" s="265"/>
      <c r="BR114" s="266" t="s">
        <v>29</v>
      </c>
      <c r="BS114" s="266" t="str">
        <f t="shared" si="1552"/>
        <v>: Pertambangan Bijih Logam</v>
      </c>
      <c r="BT114" s="266"/>
      <c r="BU114" s="266"/>
      <c r="BV114" s="266"/>
      <c r="BW114" s="268" t="s">
        <v>30</v>
      </c>
      <c r="BX114" s="266"/>
      <c r="BY114" s="267"/>
      <c r="BZ114" s="262"/>
      <c r="CA114" s="262"/>
      <c r="CB114" s="262"/>
      <c r="CC114" s="262"/>
      <c r="CD114" s="262"/>
      <c r="CE114" s="262"/>
      <c r="CF114" s="57" t="str">
        <f>"III/"&amp;CF$6</f>
        <v>III/2014</v>
      </c>
      <c r="CG114" s="263"/>
      <c r="CH114" s="265"/>
      <c r="CI114" s="266" t="s">
        <v>29</v>
      </c>
      <c r="CJ114" s="266" t="str">
        <f t="shared" si="1553"/>
        <v>: Pertambangan Bijih Logam</v>
      </c>
      <c r="CK114" s="266"/>
      <c r="CL114" s="266"/>
      <c r="CM114" s="266"/>
      <c r="CN114" s="268" t="s">
        <v>30</v>
      </c>
      <c r="CO114" s="266"/>
      <c r="CP114" s="267"/>
      <c r="CQ114" s="262"/>
      <c r="CR114" s="262"/>
      <c r="CS114" s="262"/>
      <c r="CT114" s="262"/>
      <c r="CU114" s="262"/>
      <c r="CV114" s="262"/>
      <c r="CW114" s="57" t="str">
        <f>"III/"&amp;CW$6</f>
        <v>III/2015</v>
      </c>
      <c r="CX114" s="263"/>
      <c r="CY114" s="265"/>
      <c r="CZ114" s="266" t="s">
        <v>29</v>
      </c>
      <c r="DA114" s="266" t="str">
        <f t="shared" si="1554"/>
        <v>: Pertambangan Bijih Logam</v>
      </c>
      <c r="DB114" s="266"/>
      <c r="DC114" s="266"/>
      <c r="DD114" s="266"/>
      <c r="DE114" s="268" t="s">
        <v>30</v>
      </c>
      <c r="DF114" s="266"/>
      <c r="DG114" s="267"/>
      <c r="DH114" s="262"/>
      <c r="DI114" s="262"/>
      <c r="DJ114" s="262"/>
      <c r="DK114" s="262"/>
      <c r="DL114" s="262"/>
      <c r="DM114" s="262"/>
      <c r="DN114" s="57" t="str">
        <f>"III/"&amp;DN$6</f>
        <v>III/2016</v>
      </c>
      <c r="DO114" s="263"/>
      <c r="DP114" s="265"/>
      <c r="DQ114" s="266" t="s">
        <v>29</v>
      </c>
      <c r="DR114" s="266" t="str">
        <f t="shared" si="1555"/>
        <v>: Pertambangan Bijih Logam</v>
      </c>
      <c r="DS114" s="266"/>
      <c r="DT114" s="266"/>
      <c r="DU114" s="266"/>
      <c r="DV114" s="268" t="s">
        <v>30</v>
      </c>
      <c r="DW114" s="266"/>
      <c r="DX114" s="267"/>
      <c r="DY114" s="262"/>
      <c r="DZ114" s="262"/>
      <c r="EA114" s="262"/>
      <c r="EB114" s="262"/>
      <c r="EC114" s="262"/>
      <c r="ED114" s="262"/>
      <c r="EE114" s="57" t="str">
        <f>"III/"&amp;EE$6</f>
        <v>III/2017</v>
      </c>
      <c r="EF114" s="263"/>
      <c r="EG114" s="265"/>
      <c r="EH114" s="266" t="s">
        <v>29</v>
      </c>
      <c r="EI114" s="266" t="str">
        <f t="shared" si="1556"/>
        <v>: Pertambangan Bijih Logam</v>
      </c>
      <c r="EJ114" s="266"/>
      <c r="EK114" s="266"/>
      <c r="EL114" s="266"/>
      <c r="EM114" s="268" t="s">
        <v>30</v>
      </c>
      <c r="EN114" s="266"/>
      <c r="EO114" s="267"/>
      <c r="EP114" s="262"/>
      <c r="EQ114" s="262"/>
      <c r="ER114" s="262"/>
      <c r="ES114" s="262"/>
      <c r="ET114" s="262"/>
      <c r="EU114" s="262"/>
      <c r="EV114" s="57" t="str">
        <f>"III/"&amp;EV$6</f>
        <v>III/2018</v>
      </c>
      <c r="EW114" s="263"/>
      <c r="EX114" s="265"/>
      <c r="EY114" s="266" t="s">
        <v>29</v>
      </c>
      <c r="EZ114" s="266" t="str">
        <f t="shared" si="1557"/>
        <v>: Pertambangan Bijih Logam</v>
      </c>
      <c r="FA114" s="266"/>
      <c r="FB114" s="266"/>
      <c r="FC114" s="266"/>
      <c r="FD114" s="268" t="s">
        <v>30</v>
      </c>
      <c r="FE114" s="266"/>
      <c r="FF114" s="267"/>
      <c r="FG114" s="262"/>
      <c r="FH114" s="262"/>
      <c r="FI114" s="262"/>
      <c r="FJ114" s="262"/>
      <c r="FK114" s="262"/>
      <c r="FL114" s="262"/>
      <c r="FM114" s="57" t="str">
        <f>"III/"&amp;FM$6</f>
        <v>III/2019</v>
      </c>
      <c r="FN114" s="263"/>
      <c r="FO114" s="265"/>
      <c r="FP114" s="266" t="s">
        <v>29</v>
      </c>
      <c r="FQ114" s="266" t="str">
        <f t="shared" si="1558"/>
        <v>: Pertambangan Bijih Logam</v>
      </c>
      <c r="FR114" s="266"/>
      <c r="FS114" s="266"/>
      <c r="FT114" s="266"/>
      <c r="FU114" s="268" t="s">
        <v>30</v>
      </c>
      <c r="FV114" s="266"/>
      <c r="FW114" s="267"/>
      <c r="FX114" s="262"/>
      <c r="FY114" s="262"/>
      <c r="FZ114" s="262"/>
      <c r="GA114" s="262"/>
      <c r="GB114" s="262"/>
      <c r="GC114" s="262"/>
      <c r="GD114" s="57" t="str">
        <f>"III/"&amp;GD$6</f>
        <v>III/2020</v>
      </c>
      <c r="GE114" s="263"/>
      <c r="GF114" s="265"/>
      <c r="GG114" s="266" t="s">
        <v>29</v>
      </c>
      <c r="GH114" s="266" t="str">
        <f t="shared" si="1559"/>
        <v>: Pertambangan Bijih Logam</v>
      </c>
      <c r="GI114" s="266"/>
      <c r="GJ114" s="266"/>
      <c r="GK114" s="266"/>
      <c r="GL114" s="268" t="s">
        <v>30</v>
      </c>
      <c r="GM114" s="266"/>
      <c r="GN114" s="267"/>
      <c r="GO114" s="262"/>
      <c r="GP114" s="262"/>
      <c r="GQ114" s="262"/>
      <c r="GR114" s="262"/>
      <c r="GS114" s="262"/>
      <c r="GT114" s="262"/>
      <c r="GU114" s="57" t="str">
        <f>"III/"&amp;GU$6</f>
        <v>III/2021</v>
      </c>
      <c r="GV114" s="263"/>
      <c r="GW114" s="265"/>
      <c r="GX114" s="266" t="s">
        <v>29</v>
      </c>
      <c r="GY114" s="266" t="str">
        <f t="shared" si="1560"/>
        <v>: Pertambangan Bijih Logam</v>
      </c>
      <c r="GZ114" s="266"/>
      <c r="HA114" s="266"/>
      <c r="HB114" s="266"/>
      <c r="HC114" s="268" t="s">
        <v>30</v>
      </c>
      <c r="HD114" s="266"/>
      <c r="HE114" s="267"/>
      <c r="HF114" s="262"/>
      <c r="HG114" s="262"/>
      <c r="HH114" s="262"/>
      <c r="HI114" s="262"/>
      <c r="HJ114" s="262"/>
      <c r="HK114" s="262"/>
      <c r="HL114" s="57" t="str">
        <f>"III/"&amp;HL$6</f>
        <v>III/2022</v>
      </c>
      <c r="HM114" s="263"/>
      <c r="HN114" s="265"/>
      <c r="HO114" s="266" t="s">
        <v>29</v>
      </c>
      <c r="HP114" s="266" t="str">
        <f t="shared" si="1561"/>
        <v>: Pertambangan Bijih Logam</v>
      </c>
      <c r="HQ114" s="266"/>
      <c r="HR114" s="266"/>
      <c r="HS114" s="266"/>
      <c r="HT114" s="268" t="s">
        <v>30</v>
      </c>
      <c r="HU114" s="266"/>
      <c r="HV114" s="267"/>
      <c r="HW114" s="262"/>
      <c r="HX114" s="262"/>
      <c r="HY114" s="262"/>
      <c r="HZ114" s="262"/>
      <c r="IA114" s="262"/>
      <c r="IB114" s="262"/>
      <c r="IC114" s="57" t="str">
        <f>"III/"&amp;IC$6</f>
        <v>III/2023</v>
      </c>
      <c r="ID114" s="263"/>
      <c r="IE114" s="265"/>
      <c r="IF114" s="266" t="s">
        <v>29</v>
      </c>
      <c r="IG114" s="266" t="str">
        <f t="shared" si="1562"/>
        <v>: Pertambangan Bijih Logam</v>
      </c>
      <c r="IH114" s="266"/>
      <c r="II114" s="266"/>
      <c r="IJ114" s="266"/>
      <c r="IK114" s="268" t="s">
        <v>30</v>
      </c>
      <c r="IL114" s="266"/>
      <c r="IM114" s="267"/>
      <c r="IN114" s="262"/>
      <c r="IO114" s="262"/>
      <c r="IP114" s="262"/>
      <c r="IQ114" s="262"/>
      <c r="IR114" s="262"/>
      <c r="IS114" s="262"/>
      <c r="IT114" s="57" t="str">
        <f>"III/"&amp;IT$6</f>
        <v>III/2024</v>
      </c>
      <c r="IU114" s="263"/>
      <c r="IV114" s="265"/>
      <c r="IW114" s="266" t="s">
        <v>29</v>
      </c>
      <c r="IX114" s="266" t="str">
        <f t="shared" si="1563"/>
        <v>: Pertambangan Bijih Logam</v>
      </c>
      <c r="IY114" s="266"/>
      <c r="IZ114" s="266"/>
      <c r="JA114" s="266"/>
      <c r="JB114" s="268" t="s">
        <v>30</v>
      </c>
      <c r="JC114" s="266"/>
      <c r="JD114" s="267"/>
      <c r="JE114" s="262"/>
      <c r="JF114" s="262"/>
      <c r="JG114" s="262"/>
      <c r="JH114" s="262"/>
      <c r="JI114" s="262"/>
      <c r="JJ114" s="262"/>
      <c r="JK114" s="57" t="str">
        <f>"III/"&amp;JK$6</f>
        <v>III/2025</v>
      </c>
      <c r="JL114" s="264"/>
      <c r="JM114" s="265"/>
      <c r="JN114" s="266" t="s">
        <v>29</v>
      </c>
      <c r="JO114" s="266" t="str">
        <f t="shared" si="1564"/>
        <v>: Pertambangan Bijih Logam</v>
      </c>
      <c r="JP114" s="266"/>
      <c r="JQ114" s="266"/>
      <c r="JR114" s="266"/>
      <c r="JS114" s="268" t="s">
        <v>30</v>
      </c>
      <c r="JT114" s="266"/>
      <c r="JU114" s="267"/>
      <c r="JV114" s="262"/>
      <c r="JW114" s="262"/>
      <c r="JX114" s="262"/>
      <c r="JY114" s="262"/>
      <c r="JZ114" s="262"/>
      <c r="KA114" s="262"/>
      <c r="KB114" s="57" t="str">
        <f>"III/"&amp;KB$6</f>
        <v>III/2026</v>
      </c>
      <c r="KC114" s="264"/>
      <c r="KD114" s="265"/>
      <c r="KE114" s="266" t="s">
        <v>29</v>
      </c>
      <c r="KF114" s="266" t="str">
        <f t="shared" si="1565"/>
        <v>: Pertambangan Bijih Logam</v>
      </c>
      <c r="KG114" s="266"/>
      <c r="KH114" s="266"/>
      <c r="KI114" s="266"/>
      <c r="KJ114" s="268" t="s">
        <v>30</v>
      </c>
      <c r="KK114" s="266"/>
      <c r="KL114" s="267"/>
      <c r="KM114" s="262"/>
      <c r="KN114" s="262"/>
      <c r="KO114" s="262"/>
      <c r="KP114" s="262"/>
      <c r="KQ114" s="262"/>
      <c r="KR114" s="262"/>
      <c r="KS114" s="57" t="str">
        <f>"III/"&amp;KS$6</f>
        <v>III/2027</v>
      </c>
      <c r="KT114" s="264"/>
      <c r="KU114" s="262"/>
    </row>
    <row r="115" ht="15.0" customHeight="1">
      <c r="A115" s="265"/>
      <c r="B115" s="266" t="s">
        <v>31</v>
      </c>
      <c r="C115" s="266" t="str">
        <f>ADHK!C115</f>
        <v>: Pertambangan Bijih Logam</v>
      </c>
      <c r="D115" s="266"/>
      <c r="E115" s="266"/>
      <c r="F115" s="266"/>
      <c r="G115" s="269" t="s">
        <v>58</v>
      </c>
      <c r="H115" s="266"/>
      <c r="I115" s="267"/>
      <c r="J115" s="262"/>
      <c r="K115" s="262"/>
      <c r="L115" s="262"/>
      <c r="M115" s="262"/>
      <c r="N115" s="262"/>
      <c r="O115" s="262"/>
      <c r="P115" s="55"/>
      <c r="Q115" s="263"/>
      <c r="R115" s="265"/>
      <c r="S115" s="266" t="s">
        <v>31</v>
      </c>
      <c r="T115" s="266" t="str">
        <f t="shared" si="1549"/>
        <v>: Pertambangan Bijih Logam</v>
      </c>
      <c r="U115" s="266"/>
      <c r="V115" s="266"/>
      <c r="W115" s="266"/>
      <c r="X115" s="269" t="s">
        <v>58</v>
      </c>
      <c r="Y115" s="266"/>
      <c r="Z115" s="267"/>
      <c r="AA115" s="262"/>
      <c r="AB115" s="262"/>
      <c r="AC115" s="262"/>
      <c r="AD115" s="262"/>
      <c r="AE115" s="262"/>
      <c r="AF115" s="262"/>
      <c r="AG115" s="55"/>
      <c r="AH115" s="263"/>
      <c r="AI115" s="265"/>
      <c r="AJ115" s="266" t="s">
        <v>31</v>
      </c>
      <c r="AK115" s="266" t="str">
        <f t="shared" si="1550"/>
        <v>: Pertambangan Bijih Logam</v>
      </c>
      <c r="AL115" s="266"/>
      <c r="AM115" s="266"/>
      <c r="AN115" s="266"/>
      <c r="AO115" s="269" t="s">
        <v>58</v>
      </c>
      <c r="AP115" s="266"/>
      <c r="AQ115" s="267"/>
      <c r="AR115" s="262"/>
      <c r="AS115" s="262"/>
      <c r="AT115" s="262"/>
      <c r="AU115" s="262"/>
      <c r="AV115" s="262"/>
      <c r="AW115" s="262"/>
      <c r="AX115" s="55"/>
      <c r="AY115" s="263"/>
      <c r="AZ115" s="265"/>
      <c r="BA115" s="266" t="s">
        <v>31</v>
      </c>
      <c r="BB115" s="266" t="str">
        <f t="shared" si="1551"/>
        <v>: Pertambangan Bijih Logam</v>
      </c>
      <c r="BC115" s="266"/>
      <c r="BD115" s="266"/>
      <c r="BE115" s="266"/>
      <c r="BF115" s="269" t="s">
        <v>58</v>
      </c>
      <c r="BG115" s="266"/>
      <c r="BH115" s="267"/>
      <c r="BI115" s="262"/>
      <c r="BJ115" s="262"/>
      <c r="BK115" s="262"/>
      <c r="BL115" s="262"/>
      <c r="BM115" s="262"/>
      <c r="BN115" s="262"/>
      <c r="BO115" s="55"/>
      <c r="BP115" s="263"/>
      <c r="BQ115" s="265"/>
      <c r="BR115" s="266" t="s">
        <v>31</v>
      </c>
      <c r="BS115" s="266" t="str">
        <f t="shared" si="1552"/>
        <v>: Pertambangan Bijih Logam</v>
      </c>
      <c r="BT115" s="266"/>
      <c r="BU115" s="266"/>
      <c r="BV115" s="266"/>
      <c r="BW115" s="269" t="s">
        <v>58</v>
      </c>
      <c r="BX115" s="266"/>
      <c r="BY115" s="267"/>
      <c r="BZ115" s="262"/>
      <c r="CA115" s="262"/>
      <c r="CB115" s="262"/>
      <c r="CC115" s="262"/>
      <c r="CD115" s="262"/>
      <c r="CE115" s="262"/>
      <c r="CF115" s="55"/>
      <c r="CG115" s="263"/>
      <c r="CH115" s="265"/>
      <c r="CI115" s="266" t="s">
        <v>31</v>
      </c>
      <c r="CJ115" s="266" t="str">
        <f t="shared" si="1553"/>
        <v>: Pertambangan Bijih Logam</v>
      </c>
      <c r="CK115" s="266"/>
      <c r="CL115" s="266"/>
      <c r="CM115" s="266"/>
      <c r="CN115" s="269" t="s">
        <v>58</v>
      </c>
      <c r="CO115" s="266"/>
      <c r="CP115" s="267"/>
      <c r="CQ115" s="262"/>
      <c r="CR115" s="262"/>
      <c r="CS115" s="262"/>
      <c r="CT115" s="262"/>
      <c r="CU115" s="262"/>
      <c r="CV115" s="262"/>
      <c r="CW115" s="55"/>
      <c r="CX115" s="263"/>
      <c r="CY115" s="265"/>
      <c r="CZ115" s="266" t="s">
        <v>31</v>
      </c>
      <c r="DA115" s="266" t="str">
        <f t="shared" si="1554"/>
        <v>: Pertambangan Bijih Logam</v>
      </c>
      <c r="DB115" s="266"/>
      <c r="DC115" s="266"/>
      <c r="DD115" s="266"/>
      <c r="DE115" s="269" t="s">
        <v>58</v>
      </c>
      <c r="DF115" s="266"/>
      <c r="DG115" s="267"/>
      <c r="DH115" s="262"/>
      <c r="DI115" s="262"/>
      <c r="DJ115" s="262"/>
      <c r="DK115" s="262"/>
      <c r="DL115" s="262"/>
      <c r="DM115" s="262"/>
      <c r="DN115" s="55"/>
      <c r="DO115" s="263"/>
      <c r="DP115" s="265"/>
      <c r="DQ115" s="266" t="s">
        <v>31</v>
      </c>
      <c r="DR115" s="266" t="str">
        <f t="shared" si="1555"/>
        <v>: Pertambangan Bijih Logam</v>
      </c>
      <c r="DS115" s="266"/>
      <c r="DT115" s="266"/>
      <c r="DU115" s="266"/>
      <c r="DV115" s="269" t="s">
        <v>58</v>
      </c>
      <c r="DW115" s="266"/>
      <c r="DX115" s="267"/>
      <c r="DY115" s="262"/>
      <c r="DZ115" s="262"/>
      <c r="EA115" s="262"/>
      <c r="EB115" s="262"/>
      <c r="EC115" s="262"/>
      <c r="ED115" s="262"/>
      <c r="EE115" s="55"/>
      <c r="EF115" s="263"/>
      <c r="EG115" s="265"/>
      <c r="EH115" s="266" t="s">
        <v>31</v>
      </c>
      <c r="EI115" s="266" t="str">
        <f t="shared" si="1556"/>
        <v>: Pertambangan Bijih Logam</v>
      </c>
      <c r="EJ115" s="266"/>
      <c r="EK115" s="266"/>
      <c r="EL115" s="266"/>
      <c r="EM115" s="269" t="s">
        <v>58</v>
      </c>
      <c r="EN115" s="266"/>
      <c r="EO115" s="267"/>
      <c r="EP115" s="262"/>
      <c r="EQ115" s="262"/>
      <c r="ER115" s="262"/>
      <c r="ES115" s="262"/>
      <c r="ET115" s="262"/>
      <c r="EU115" s="262"/>
      <c r="EV115" s="55"/>
      <c r="EW115" s="263"/>
      <c r="EX115" s="265"/>
      <c r="EY115" s="266" t="s">
        <v>31</v>
      </c>
      <c r="EZ115" s="266" t="str">
        <f t="shared" si="1557"/>
        <v>: Pertambangan Bijih Logam</v>
      </c>
      <c r="FA115" s="266"/>
      <c r="FB115" s="266"/>
      <c r="FC115" s="266"/>
      <c r="FD115" s="269" t="s">
        <v>58</v>
      </c>
      <c r="FE115" s="266"/>
      <c r="FF115" s="267"/>
      <c r="FG115" s="262"/>
      <c r="FH115" s="262"/>
      <c r="FI115" s="262"/>
      <c r="FJ115" s="262"/>
      <c r="FK115" s="262"/>
      <c r="FL115" s="262"/>
      <c r="FM115" s="55"/>
      <c r="FN115" s="263"/>
      <c r="FO115" s="265"/>
      <c r="FP115" s="266" t="s">
        <v>31</v>
      </c>
      <c r="FQ115" s="266" t="str">
        <f t="shared" si="1558"/>
        <v>: Pertambangan Bijih Logam</v>
      </c>
      <c r="FR115" s="266"/>
      <c r="FS115" s="266"/>
      <c r="FT115" s="266"/>
      <c r="FU115" s="269" t="s">
        <v>58</v>
      </c>
      <c r="FV115" s="266"/>
      <c r="FW115" s="267"/>
      <c r="FX115" s="262"/>
      <c r="FY115" s="262"/>
      <c r="FZ115" s="262"/>
      <c r="GA115" s="262"/>
      <c r="GB115" s="262"/>
      <c r="GC115" s="262"/>
      <c r="GD115" s="55"/>
      <c r="GE115" s="263"/>
      <c r="GF115" s="265"/>
      <c r="GG115" s="266" t="s">
        <v>31</v>
      </c>
      <c r="GH115" s="266" t="str">
        <f t="shared" si="1559"/>
        <v>: Pertambangan Bijih Logam</v>
      </c>
      <c r="GI115" s="266"/>
      <c r="GJ115" s="266"/>
      <c r="GK115" s="266"/>
      <c r="GL115" s="269" t="s">
        <v>58</v>
      </c>
      <c r="GM115" s="266"/>
      <c r="GN115" s="267"/>
      <c r="GO115" s="262"/>
      <c r="GP115" s="262"/>
      <c r="GQ115" s="262"/>
      <c r="GR115" s="262"/>
      <c r="GS115" s="262"/>
      <c r="GT115" s="262"/>
      <c r="GU115" s="55"/>
      <c r="GV115" s="263"/>
      <c r="GW115" s="265"/>
      <c r="GX115" s="266" t="s">
        <v>31</v>
      </c>
      <c r="GY115" s="266" t="str">
        <f t="shared" si="1560"/>
        <v>: Pertambangan Bijih Logam</v>
      </c>
      <c r="GZ115" s="266"/>
      <c r="HA115" s="266"/>
      <c r="HB115" s="266"/>
      <c r="HC115" s="269" t="s">
        <v>58</v>
      </c>
      <c r="HD115" s="266"/>
      <c r="HE115" s="267"/>
      <c r="HF115" s="262"/>
      <c r="HG115" s="262"/>
      <c r="HH115" s="262"/>
      <c r="HI115" s="262"/>
      <c r="HJ115" s="262"/>
      <c r="HK115" s="262"/>
      <c r="HL115" s="55"/>
      <c r="HM115" s="263"/>
      <c r="HN115" s="265"/>
      <c r="HO115" s="266" t="s">
        <v>31</v>
      </c>
      <c r="HP115" s="266" t="str">
        <f t="shared" si="1561"/>
        <v>: Pertambangan Bijih Logam</v>
      </c>
      <c r="HQ115" s="266"/>
      <c r="HR115" s="266"/>
      <c r="HS115" s="266"/>
      <c r="HT115" s="269" t="s">
        <v>58</v>
      </c>
      <c r="HU115" s="266"/>
      <c r="HV115" s="267"/>
      <c r="HW115" s="262"/>
      <c r="HX115" s="262"/>
      <c r="HY115" s="262"/>
      <c r="HZ115" s="262"/>
      <c r="IA115" s="262"/>
      <c r="IB115" s="262"/>
      <c r="IC115" s="55"/>
      <c r="ID115" s="263"/>
      <c r="IE115" s="265"/>
      <c r="IF115" s="266" t="s">
        <v>31</v>
      </c>
      <c r="IG115" s="266" t="str">
        <f t="shared" si="1562"/>
        <v>: Pertambangan Bijih Logam</v>
      </c>
      <c r="IH115" s="266"/>
      <c r="II115" s="266"/>
      <c r="IJ115" s="266"/>
      <c r="IK115" s="269" t="s">
        <v>58</v>
      </c>
      <c r="IL115" s="266"/>
      <c r="IM115" s="267"/>
      <c r="IN115" s="262"/>
      <c r="IO115" s="262"/>
      <c r="IP115" s="262"/>
      <c r="IQ115" s="262"/>
      <c r="IR115" s="262"/>
      <c r="IS115" s="262"/>
      <c r="IT115" s="55"/>
      <c r="IU115" s="263"/>
      <c r="IV115" s="265"/>
      <c r="IW115" s="266" t="s">
        <v>31</v>
      </c>
      <c r="IX115" s="266" t="str">
        <f t="shared" si="1563"/>
        <v>: Pertambangan Bijih Logam</v>
      </c>
      <c r="IY115" s="266"/>
      <c r="IZ115" s="266"/>
      <c r="JA115" s="266"/>
      <c r="JB115" s="269" t="s">
        <v>58</v>
      </c>
      <c r="JC115" s="266"/>
      <c r="JD115" s="267"/>
      <c r="JE115" s="262"/>
      <c r="JF115" s="262"/>
      <c r="JG115" s="262"/>
      <c r="JH115" s="262"/>
      <c r="JI115" s="262"/>
      <c r="JJ115" s="262"/>
      <c r="JK115" s="55"/>
      <c r="JL115" s="264"/>
      <c r="JM115" s="265"/>
      <c r="JN115" s="266" t="s">
        <v>31</v>
      </c>
      <c r="JO115" s="266" t="str">
        <f t="shared" si="1564"/>
        <v>: Pertambangan Bijih Logam</v>
      </c>
      <c r="JP115" s="266"/>
      <c r="JQ115" s="266"/>
      <c r="JR115" s="266"/>
      <c r="JS115" s="269" t="s">
        <v>58</v>
      </c>
      <c r="JT115" s="266"/>
      <c r="JU115" s="267"/>
      <c r="JV115" s="262"/>
      <c r="JW115" s="262"/>
      <c r="JX115" s="262"/>
      <c r="JY115" s="262"/>
      <c r="JZ115" s="262"/>
      <c r="KA115" s="262"/>
      <c r="KB115" s="55"/>
      <c r="KC115" s="264"/>
      <c r="KD115" s="265"/>
      <c r="KE115" s="266" t="s">
        <v>31</v>
      </c>
      <c r="KF115" s="266" t="str">
        <f t="shared" si="1565"/>
        <v>: Pertambangan Bijih Logam</v>
      </c>
      <c r="KG115" s="266"/>
      <c r="KH115" s="266"/>
      <c r="KI115" s="266"/>
      <c r="KJ115" s="269" t="s">
        <v>58</v>
      </c>
      <c r="KK115" s="266"/>
      <c r="KL115" s="267"/>
      <c r="KM115" s="262"/>
      <c r="KN115" s="262"/>
      <c r="KO115" s="262"/>
      <c r="KP115" s="262"/>
      <c r="KQ115" s="262"/>
      <c r="KR115" s="262"/>
      <c r="KS115" s="55"/>
      <c r="KT115" s="264"/>
      <c r="KU115" s="262"/>
    </row>
    <row r="116" ht="15.75" customHeight="1">
      <c r="A116" s="270"/>
      <c r="B116" s="271" t="s">
        <v>32</v>
      </c>
      <c r="C116" s="271" t="s">
        <v>33</v>
      </c>
      <c r="D116" s="271"/>
      <c r="E116" s="271"/>
      <c r="F116" s="271"/>
      <c r="G116" s="271" t="str">
        <f>"Tahun "&amp;P$6</f>
        <v>Tahun 2010</v>
      </c>
      <c r="H116" s="271"/>
      <c r="I116" s="272"/>
      <c r="J116" s="262"/>
      <c r="K116" s="262"/>
      <c r="L116" s="262"/>
      <c r="M116" s="262"/>
      <c r="N116" s="262"/>
      <c r="O116" s="262"/>
      <c r="P116" s="262"/>
      <c r="Q116" s="263"/>
      <c r="R116" s="270"/>
      <c r="S116" s="271" t="s">
        <v>32</v>
      </c>
      <c r="T116" s="271" t="s">
        <v>33</v>
      </c>
      <c r="U116" s="271"/>
      <c r="V116" s="271"/>
      <c r="W116" s="271"/>
      <c r="X116" s="271" t="str">
        <f>"Tahun "&amp;AG$6</f>
        <v>Tahun 2011</v>
      </c>
      <c r="Y116" s="271"/>
      <c r="Z116" s="272"/>
      <c r="AA116" s="262"/>
      <c r="AB116" s="262"/>
      <c r="AC116" s="262"/>
      <c r="AD116" s="262"/>
      <c r="AE116" s="262"/>
      <c r="AF116" s="262"/>
      <c r="AG116" s="262"/>
      <c r="AH116" s="263"/>
      <c r="AI116" s="270"/>
      <c r="AJ116" s="271" t="s">
        <v>32</v>
      </c>
      <c r="AK116" s="271" t="s">
        <v>33</v>
      </c>
      <c r="AL116" s="271"/>
      <c r="AM116" s="271"/>
      <c r="AN116" s="271"/>
      <c r="AO116" s="271" t="str">
        <f>"Tahun "&amp;AX$6</f>
        <v>Tahun 2012</v>
      </c>
      <c r="AP116" s="271"/>
      <c r="AQ116" s="272"/>
      <c r="AR116" s="262"/>
      <c r="AS116" s="262"/>
      <c r="AT116" s="262"/>
      <c r="AU116" s="262"/>
      <c r="AV116" s="262"/>
      <c r="AW116" s="262"/>
      <c r="AX116" s="262"/>
      <c r="AY116" s="263"/>
      <c r="AZ116" s="270"/>
      <c r="BA116" s="271" t="s">
        <v>32</v>
      </c>
      <c r="BB116" s="271" t="s">
        <v>33</v>
      </c>
      <c r="BC116" s="271"/>
      <c r="BD116" s="271"/>
      <c r="BE116" s="271"/>
      <c r="BF116" s="271" t="str">
        <f>"Tahun "&amp;BO$6</f>
        <v>Tahun 2013</v>
      </c>
      <c r="BG116" s="271"/>
      <c r="BH116" s="272"/>
      <c r="BI116" s="262"/>
      <c r="BJ116" s="262"/>
      <c r="BK116" s="262"/>
      <c r="BL116" s="262"/>
      <c r="BM116" s="262"/>
      <c r="BN116" s="262"/>
      <c r="BO116" s="262"/>
      <c r="BP116" s="263"/>
      <c r="BQ116" s="270"/>
      <c r="BR116" s="271" t="s">
        <v>32</v>
      </c>
      <c r="BS116" s="271" t="s">
        <v>33</v>
      </c>
      <c r="BT116" s="271"/>
      <c r="BU116" s="271"/>
      <c r="BV116" s="271"/>
      <c r="BW116" s="271" t="str">
        <f>"Tahun "&amp;CF$6</f>
        <v>Tahun 2014</v>
      </c>
      <c r="BX116" s="271"/>
      <c r="BY116" s="272"/>
      <c r="BZ116" s="262"/>
      <c r="CA116" s="262"/>
      <c r="CB116" s="262"/>
      <c r="CC116" s="262"/>
      <c r="CD116" s="262"/>
      <c r="CE116" s="262"/>
      <c r="CF116" s="262"/>
      <c r="CG116" s="263"/>
      <c r="CH116" s="270"/>
      <c r="CI116" s="271" t="s">
        <v>32</v>
      </c>
      <c r="CJ116" s="271" t="s">
        <v>33</v>
      </c>
      <c r="CK116" s="271"/>
      <c r="CL116" s="271"/>
      <c r="CM116" s="271"/>
      <c r="CN116" s="271" t="str">
        <f>"Tahun "&amp;CW$6</f>
        <v>Tahun 2015</v>
      </c>
      <c r="CO116" s="271"/>
      <c r="CP116" s="272"/>
      <c r="CQ116" s="262"/>
      <c r="CR116" s="262"/>
      <c r="CS116" s="262"/>
      <c r="CT116" s="262"/>
      <c r="CU116" s="262"/>
      <c r="CV116" s="262"/>
      <c r="CW116" s="262"/>
      <c r="CX116" s="263"/>
      <c r="CY116" s="270"/>
      <c r="CZ116" s="271" t="s">
        <v>32</v>
      </c>
      <c r="DA116" s="271" t="s">
        <v>33</v>
      </c>
      <c r="DB116" s="271"/>
      <c r="DC116" s="271"/>
      <c r="DD116" s="271"/>
      <c r="DE116" s="271" t="str">
        <f>"Tahun "&amp;DN$6</f>
        <v>Tahun 2016</v>
      </c>
      <c r="DF116" s="271"/>
      <c r="DG116" s="272"/>
      <c r="DH116" s="262"/>
      <c r="DI116" s="262"/>
      <c r="DJ116" s="262"/>
      <c r="DK116" s="262"/>
      <c r="DL116" s="262"/>
      <c r="DM116" s="262"/>
      <c r="DN116" s="262"/>
      <c r="DO116" s="263"/>
      <c r="DP116" s="270"/>
      <c r="DQ116" s="271" t="s">
        <v>32</v>
      </c>
      <c r="DR116" s="271" t="s">
        <v>33</v>
      </c>
      <c r="DS116" s="271"/>
      <c r="DT116" s="271"/>
      <c r="DU116" s="271"/>
      <c r="DV116" s="271" t="str">
        <f>"Tahun "&amp;EE$6</f>
        <v>Tahun 2017</v>
      </c>
      <c r="DW116" s="271"/>
      <c r="DX116" s="272"/>
      <c r="DY116" s="262"/>
      <c r="DZ116" s="262"/>
      <c r="EA116" s="262"/>
      <c r="EB116" s="262"/>
      <c r="EC116" s="262"/>
      <c r="ED116" s="262"/>
      <c r="EE116" s="262"/>
      <c r="EF116" s="263"/>
      <c r="EG116" s="270"/>
      <c r="EH116" s="271" t="s">
        <v>32</v>
      </c>
      <c r="EI116" s="271" t="s">
        <v>33</v>
      </c>
      <c r="EJ116" s="271"/>
      <c r="EK116" s="271"/>
      <c r="EL116" s="271"/>
      <c r="EM116" s="271" t="str">
        <f>"Tahun "&amp;EV$6</f>
        <v>Tahun 2018</v>
      </c>
      <c r="EN116" s="271"/>
      <c r="EO116" s="272"/>
      <c r="EP116" s="262"/>
      <c r="EQ116" s="262"/>
      <c r="ER116" s="262"/>
      <c r="ES116" s="262"/>
      <c r="ET116" s="262"/>
      <c r="EU116" s="262"/>
      <c r="EV116" s="262"/>
      <c r="EW116" s="263"/>
      <c r="EX116" s="270"/>
      <c r="EY116" s="271" t="s">
        <v>32</v>
      </c>
      <c r="EZ116" s="271" t="s">
        <v>33</v>
      </c>
      <c r="FA116" s="271"/>
      <c r="FB116" s="271"/>
      <c r="FC116" s="271"/>
      <c r="FD116" s="271" t="str">
        <f>"Tahun "&amp;FM$6</f>
        <v>Tahun 2019</v>
      </c>
      <c r="FE116" s="271"/>
      <c r="FF116" s="272"/>
      <c r="FG116" s="262"/>
      <c r="FH116" s="262"/>
      <c r="FI116" s="262"/>
      <c r="FJ116" s="262"/>
      <c r="FK116" s="262"/>
      <c r="FL116" s="262"/>
      <c r="FM116" s="262"/>
      <c r="FN116" s="263"/>
      <c r="FO116" s="270"/>
      <c r="FP116" s="271" t="s">
        <v>32</v>
      </c>
      <c r="FQ116" s="271" t="s">
        <v>33</v>
      </c>
      <c r="FR116" s="271"/>
      <c r="FS116" s="271"/>
      <c r="FT116" s="271"/>
      <c r="FU116" s="271" t="str">
        <f>"Tahun "&amp;GD$6</f>
        <v>Tahun 2020</v>
      </c>
      <c r="FV116" s="271"/>
      <c r="FW116" s="272"/>
      <c r="FX116" s="262"/>
      <c r="FY116" s="262"/>
      <c r="FZ116" s="262"/>
      <c r="GA116" s="262"/>
      <c r="GB116" s="262"/>
      <c r="GC116" s="262"/>
      <c r="GD116" s="262"/>
      <c r="GE116" s="263"/>
      <c r="GF116" s="270"/>
      <c r="GG116" s="271" t="s">
        <v>32</v>
      </c>
      <c r="GH116" s="271" t="s">
        <v>33</v>
      </c>
      <c r="GI116" s="271"/>
      <c r="GJ116" s="271"/>
      <c r="GK116" s="271"/>
      <c r="GL116" s="271" t="str">
        <f>"Tahun "&amp;GU$6</f>
        <v>Tahun 2021</v>
      </c>
      <c r="GM116" s="271"/>
      <c r="GN116" s="272"/>
      <c r="GO116" s="262"/>
      <c r="GP116" s="262"/>
      <c r="GQ116" s="262"/>
      <c r="GR116" s="262"/>
      <c r="GS116" s="262"/>
      <c r="GT116" s="262"/>
      <c r="GU116" s="262"/>
      <c r="GV116" s="263"/>
      <c r="GW116" s="270"/>
      <c r="GX116" s="271" t="s">
        <v>32</v>
      </c>
      <c r="GY116" s="271" t="s">
        <v>33</v>
      </c>
      <c r="GZ116" s="271"/>
      <c r="HA116" s="271"/>
      <c r="HB116" s="271"/>
      <c r="HC116" s="271" t="str">
        <f>"Tahun "&amp;HL$6</f>
        <v>Tahun 2022</v>
      </c>
      <c r="HD116" s="271"/>
      <c r="HE116" s="272"/>
      <c r="HF116" s="262"/>
      <c r="HG116" s="262"/>
      <c r="HH116" s="262"/>
      <c r="HI116" s="262"/>
      <c r="HJ116" s="262"/>
      <c r="HK116" s="262"/>
      <c r="HL116" s="262"/>
      <c r="HM116" s="263"/>
      <c r="HN116" s="270"/>
      <c r="HO116" s="271" t="s">
        <v>32</v>
      </c>
      <c r="HP116" s="271" t="s">
        <v>33</v>
      </c>
      <c r="HQ116" s="271"/>
      <c r="HR116" s="271"/>
      <c r="HS116" s="271"/>
      <c r="HT116" s="271" t="str">
        <f>"Tahun "&amp;IC$6</f>
        <v>Tahun 2023</v>
      </c>
      <c r="HU116" s="271"/>
      <c r="HV116" s="272"/>
      <c r="HW116" s="262"/>
      <c r="HX116" s="262"/>
      <c r="HY116" s="262"/>
      <c r="HZ116" s="262"/>
      <c r="IA116" s="262"/>
      <c r="IB116" s="262"/>
      <c r="IC116" s="262"/>
      <c r="ID116" s="263"/>
      <c r="IE116" s="270"/>
      <c r="IF116" s="271" t="s">
        <v>32</v>
      </c>
      <c r="IG116" s="271" t="s">
        <v>33</v>
      </c>
      <c r="IH116" s="271"/>
      <c r="II116" s="271"/>
      <c r="IJ116" s="271"/>
      <c r="IK116" s="271" t="str">
        <f>"Tahun "&amp;IT$6</f>
        <v>Tahun 2024</v>
      </c>
      <c r="IL116" s="271"/>
      <c r="IM116" s="272"/>
      <c r="IN116" s="262"/>
      <c r="IO116" s="262"/>
      <c r="IP116" s="262"/>
      <c r="IQ116" s="262"/>
      <c r="IR116" s="262"/>
      <c r="IS116" s="262"/>
      <c r="IT116" s="262"/>
      <c r="IU116" s="263"/>
      <c r="IV116" s="270"/>
      <c r="IW116" s="271" t="s">
        <v>32</v>
      </c>
      <c r="IX116" s="271" t="s">
        <v>33</v>
      </c>
      <c r="IY116" s="271"/>
      <c r="IZ116" s="271"/>
      <c r="JA116" s="271"/>
      <c r="JB116" s="271" t="str">
        <f>"Tahun "&amp;JK$6</f>
        <v>Tahun 2025</v>
      </c>
      <c r="JC116" s="271"/>
      <c r="JD116" s="272"/>
      <c r="JE116" s="262"/>
      <c r="JF116" s="262"/>
      <c r="JG116" s="262"/>
      <c r="JH116" s="262"/>
      <c r="JI116" s="262"/>
      <c r="JJ116" s="262"/>
      <c r="JK116" s="262"/>
      <c r="JL116" s="263"/>
      <c r="JM116" s="270"/>
      <c r="JN116" s="271" t="s">
        <v>32</v>
      </c>
      <c r="JO116" s="271" t="s">
        <v>33</v>
      </c>
      <c r="JP116" s="271"/>
      <c r="JQ116" s="271"/>
      <c r="JR116" s="271"/>
      <c r="JS116" s="271" t="str">
        <f>"Tahun "&amp;KB$6</f>
        <v>Tahun 2026</v>
      </c>
      <c r="JT116" s="271"/>
      <c r="JU116" s="272"/>
      <c r="JV116" s="262"/>
      <c r="JW116" s="262"/>
      <c r="JX116" s="262"/>
      <c r="JY116" s="262"/>
      <c r="JZ116" s="262"/>
      <c r="KA116" s="262"/>
      <c r="KB116" s="262"/>
      <c r="KC116" s="263"/>
      <c r="KD116" s="270"/>
      <c r="KE116" s="271" t="s">
        <v>32</v>
      </c>
      <c r="KF116" s="271" t="s">
        <v>33</v>
      </c>
      <c r="KG116" s="271"/>
      <c r="KH116" s="271"/>
      <c r="KI116" s="271"/>
      <c r="KJ116" s="271" t="str">
        <f>"Tahun "&amp;KS$6</f>
        <v>Tahun 2027</v>
      </c>
      <c r="KK116" s="271"/>
      <c r="KL116" s="272"/>
      <c r="KM116" s="262"/>
      <c r="KN116" s="262"/>
      <c r="KO116" s="262"/>
      <c r="KP116" s="262"/>
      <c r="KQ116" s="262"/>
      <c r="KR116" s="262"/>
      <c r="KS116" s="262"/>
      <c r="KT116" s="263"/>
      <c r="KU116" s="262"/>
    </row>
    <row r="117" ht="15.75" customHeight="1">
      <c r="A117" s="273"/>
      <c r="B117" s="274"/>
      <c r="C117" s="274"/>
      <c r="D117" s="274"/>
      <c r="E117" s="274"/>
      <c r="F117" s="274"/>
      <c r="G117" s="274"/>
      <c r="H117" s="274"/>
      <c r="I117" s="274"/>
      <c r="J117" s="274"/>
      <c r="K117" s="274"/>
      <c r="L117" s="274"/>
      <c r="M117" s="274"/>
      <c r="N117" s="274"/>
      <c r="O117" s="274"/>
      <c r="P117" s="274"/>
      <c r="Q117" s="275"/>
      <c r="R117" s="273"/>
      <c r="S117" s="274"/>
      <c r="T117" s="274"/>
      <c r="U117" s="274"/>
      <c r="V117" s="274"/>
      <c r="W117" s="274"/>
      <c r="X117" s="274"/>
      <c r="Y117" s="274"/>
      <c r="Z117" s="274"/>
      <c r="AA117" s="274"/>
      <c r="AB117" s="274"/>
      <c r="AC117" s="274"/>
      <c r="AD117" s="274"/>
      <c r="AE117" s="274"/>
      <c r="AF117" s="274"/>
      <c r="AG117" s="274"/>
      <c r="AH117" s="275"/>
      <c r="AI117" s="273"/>
      <c r="AJ117" s="274"/>
      <c r="AK117" s="274"/>
      <c r="AL117" s="274"/>
      <c r="AM117" s="274"/>
      <c r="AN117" s="274"/>
      <c r="AO117" s="274"/>
      <c r="AP117" s="274"/>
      <c r="AQ117" s="274"/>
      <c r="AR117" s="274"/>
      <c r="AS117" s="274"/>
      <c r="AT117" s="274"/>
      <c r="AU117" s="274"/>
      <c r="AV117" s="274"/>
      <c r="AW117" s="274"/>
      <c r="AX117" s="274"/>
      <c r="AY117" s="275"/>
      <c r="AZ117" s="273"/>
      <c r="BA117" s="274"/>
      <c r="BB117" s="274"/>
      <c r="BC117" s="274"/>
      <c r="BD117" s="274"/>
      <c r="BE117" s="274"/>
      <c r="BF117" s="274"/>
      <c r="BG117" s="274"/>
      <c r="BH117" s="274"/>
      <c r="BI117" s="274"/>
      <c r="BJ117" s="274"/>
      <c r="BK117" s="274"/>
      <c r="BL117" s="274"/>
      <c r="BM117" s="274"/>
      <c r="BN117" s="274"/>
      <c r="BO117" s="274"/>
      <c r="BP117" s="275"/>
      <c r="BQ117" s="273"/>
      <c r="BR117" s="274"/>
      <c r="BS117" s="274"/>
      <c r="BT117" s="274"/>
      <c r="BU117" s="274"/>
      <c r="BV117" s="274"/>
      <c r="BW117" s="274"/>
      <c r="BX117" s="274"/>
      <c r="BY117" s="274"/>
      <c r="BZ117" s="274"/>
      <c r="CA117" s="274"/>
      <c r="CB117" s="274"/>
      <c r="CC117" s="274"/>
      <c r="CD117" s="274"/>
      <c r="CE117" s="274"/>
      <c r="CF117" s="274"/>
      <c r="CG117" s="275"/>
      <c r="CH117" s="273"/>
      <c r="CI117" s="274"/>
      <c r="CJ117" s="274"/>
      <c r="CK117" s="274"/>
      <c r="CL117" s="274"/>
      <c r="CM117" s="274"/>
      <c r="CN117" s="274"/>
      <c r="CO117" s="274"/>
      <c r="CP117" s="274"/>
      <c r="CQ117" s="274"/>
      <c r="CR117" s="274"/>
      <c r="CS117" s="274"/>
      <c r="CT117" s="274"/>
      <c r="CU117" s="274"/>
      <c r="CV117" s="274"/>
      <c r="CW117" s="274"/>
      <c r="CX117" s="275"/>
      <c r="CY117" s="273"/>
      <c r="CZ117" s="274"/>
      <c r="DA117" s="274"/>
      <c r="DB117" s="274"/>
      <c r="DC117" s="274"/>
      <c r="DD117" s="274"/>
      <c r="DE117" s="274"/>
      <c r="DF117" s="274"/>
      <c r="DG117" s="274"/>
      <c r="DH117" s="274"/>
      <c r="DI117" s="274"/>
      <c r="DJ117" s="274"/>
      <c r="DK117" s="274"/>
      <c r="DL117" s="274"/>
      <c r="DM117" s="274"/>
      <c r="DN117" s="274"/>
      <c r="DO117" s="275"/>
      <c r="DP117" s="273"/>
      <c r="DQ117" s="274"/>
      <c r="DR117" s="274"/>
      <c r="DS117" s="274"/>
      <c r="DT117" s="274"/>
      <c r="DU117" s="274"/>
      <c r="DV117" s="274"/>
      <c r="DW117" s="274"/>
      <c r="DX117" s="274"/>
      <c r="DY117" s="274"/>
      <c r="DZ117" s="274"/>
      <c r="EA117" s="274"/>
      <c r="EB117" s="274"/>
      <c r="EC117" s="274"/>
      <c r="ED117" s="274"/>
      <c r="EE117" s="274"/>
      <c r="EF117" s="275"/>
      <c r="EG117" s="273"/>
      <c r="EH117" s="274"/>
      <c r="EI117" s="274"/>
      <c r="EJ117" s="274"/>
      <c r="EK117" s="274"/>
      <c r="EL117" s="274"/>
      <c r="EM117" s="274"/>
      <c r="EN117" s="274"/>
      <c r="EO117" s="274"/>
      <c r="EP117" s="274"/>
      <c r="EQ117" s="274"/>
      <c r="ER117" s="274"/>
      <c r="ES117" s="274"/>
      <c r="ET117" s="274"/>
      <c r="EU117" s="274"/>
      <c r="EV117" s="274"/>
      <c r="EW117" s="275"/>
      <c r="EX117" s="273"/>
      <c r="EY117" s="274"/>
      <c r="EZ117" s="274"/>
      <c r="FA117" s="274"/>
      <c r="FB117" s="274"/>
      <c r="FC117" s="274"/>
      <c r="FD117" s="274"/>
      <c r="FE117" s="274"/>
      <c r="FF117" s="274"/>
      <c r="FG117" s="274"/>
      <c r="FH117" s="274"/>
      <c r="FI117" s="274"/>
      <c r="FJ117" s="274"/>
      <c r="FK117" s="274"/>
      <c r="FL117" s="274"/>
      <c r="FM117" s="274"/>
      <c r="FN117" s="275"/>
      <c r="FO117" s="273"/>
      <c r="FP117" s="274"/>
      <c r="FQ117" s="274"/>
      <c r="FR117" s="274"/>
      <c r="FS117" s="274"/>
      <c r="FT117" s="274"/>
      <c r="FU117" s="274"/>
      <c r="FV117" s="274"/>
      <c r="FW117" s="274"/>
      <c r="FX117" s="274"/>
      <c r="FY117" s="274"/>
      <c r="FZ117" s="274"/>
      <c r="GA117" s="274"/>
      <c r="GB117" s="274"/>
      <c r="GC117" s="274"/>
      <c r="GD117" s="274"/>
      <c r="GE117" s="275"/>
      <c r="GF117" s="273"/>
      <c r="GG117" s="274"/>
      <c r="GH117" s="274"/>
      <c r="GI117" s="274"/>
      <c r="GJ117" s="274"/>
      <c r="GK117" s="274"/>
      <c r="GL117" s="274"/>
      <c r="GM117" s="274"/>
      <c r="GN117" s="274"/>
      <c r="GO117" s="274"/>
      <c r="GP117" s="274"/>
      <c r="GQ117" s="274"/>
      <c r="GR117" s="274"/>
      <c r="GS117" s="274"/>
      <c r="GT117" s="274"/>
      <c r="GU117" s="274"/>
      <c r="GV117" s="275"/>
      <c r="GW117" s="273"/>
      <c r="GX117" s="274"/>
      <c r="GY117" s="274"/>
      <c r="GZ117" s="274"/>
      <c r="HA117" s="274"/>
      <c r="HB117" s="274"/>
      <c r="HC117" s="274"/>
      <c r="HD117" s="274"/>
      <c r="HE117" s="274"/>
      <c r="HF117" s="274"/>
      <c r="HG117" s="274"/>
      <c r="HH117" s="274"/>
      <c r="HI117" s="274"/>
      <c r="HJ117" s="274"/>
      <c r="HK117" s="274"/>
      <c r="HL117" s="274"/>
      <c r="HM117" s="275"/>
      <c r="HN117" s="273"/>
      <c r="HO117" s="274"/>
      <c r="HP117" s="274"/>
      <c r="HQ117" s="274"/>
      <c r="HR117" s="274"/>
      <c r="HS117" s="274"/>
      <c r="HT117" s="274"/>
      <c r="HU117" s="274"/>
      <c r="HV117" s="274"/>
      <c r="HW117" s="274"/>
      <c r="HX117" s="274"/>
      <c r="HY117" s="274"/>
      <c r="HZ117" s="274"/>
      <c r="IA117" s="274"/>
      <c r="IB117" s="274"/>
      <c r="IC117" s="274"/>
      <c r="ID117" s="275"/>
      <c r="IE117" s="273"/>
      <c r="IF117" s="274"/>
      <c r="IG117" s="274"/>
      <c r="IH117" s="274"/>
      <c r="II117" s="274"/>
      <c r="IJ117" s="274"/>
      <c r="IK117" s="274"/>
      <c r="IL117" s="274"/>
      <c r="IM117" s="274"/>
      <c r="IN117" s="274"/>
      <c r="IO117" s="274"/>
      <c r="IP117" s="274"/>
      <c r="IQ117" s="274"/>
      <c r="IR117" s="274"/>
      <c r="IS117" s="274"/>
      <c r="IT117" s="274"/>
      <c r="IU117" s="275"/>
      <c r="IV117" s="273"/>
      <c r="IW117" s="274"/>
      <c r="IX117" s="274"/>
      <c r="IY117" s="274"/>
      <c r="IZ117" s="274"/>
      <c r="JA117" s="274"/>
      <c r="JB117" s="274"/>
      <c r="JC117" s="274"/>
      <c r="JD117" s="274"/>
      <c r="JE117" s="274"/>
      <c r="JF117" s="274"/>
      <c r="JG117" s="274"/>
      <c r="JH117" s="274"/>
      <c r="JI117" s="274"/>
      <c r="JJ117" s="274"/>
      <c r="JK117" s="274"/>
      <c r="JL117" s="275"/>
      <c r="JM117" s="273"/>
      <c r="JN117" s="274"/>
      <c r="JO117" s="274"/>
      <c r="JP117" s="274"/>
      <c r="JQ117" s="274"/>
      <c r="JR117" s="274"/>
      <c r="JS117" s="274"/>
      <c r="JT117" s="274"/>
      <c r="JU117" s="274"/>
      <c r="JV117" s="274"/>
      <c r="JW117" s="274"/>
      <c r="JX117" s="274"/>
      <c r="JY117" s="274"/>
      <c r="JZ117" s="274"/>
      <c r="KA117" s="274"/>
      <c r="KB117" s="274"/>
      <c r="KC117" s="275"/>
      <c r="KD117" s="273"/>
      <c r="KE117" s="274"/>
      <c r="KF117" s="274"/>
      <c r="KG117" s="274"/>
      <c r="KH117" s="274"/>
      <c r="KI117" s="274"/>
      <c r="KJ117" s="274"/>
      <c r="KK117" s="274"/>
      <c r="KL117" s="274"/>
      <c r="KM117" s="274"/>
      <c r="KN117" s="274"/>
      <c r="KO117" s="274"/>
      <c r="KP117" s="274"/>
      <c r="KQ117" s="274"/>
      <c r="KR117" s="274"/>
      <c r="KS117" s="274"/>
      <c r="KT117" s="275"/>
      <c r="KU117" s="274"/>
    </row>
    <row r="118" ht="33.75" customHeight="1">
      <c r="A118" s="276" t="s">
        <v>34</v>
      </c>
      <c r="B118" s="277" t="s">
        <v>35</v>
      </c>
      <c r="C118" s="278" t="s">
        <v>36</v>
      </c>
      <c r="D118" s="66"/>
      <c r="E118" s="66"/>
      <c r="F118" s="66"/>
      <c r="G118" s="67"/>
      <c r="H118" s="278" t="s">
        <v>37</v>
      </c>
      <c r="I118" s="67"/>
      <c r="J118" s="278" t="s">
        <v>38</v>
      </c>
      <c r="K118" s="66"/>
      <c r="L118" s="67"/>
      <c r="M118" s="277" t="s">
        <v>39</v>
      </c>
      <c r="N118" s="278" t="s">
        <v>40</v>
      </c>
      <c r="O118" s="67"/>
      <c r="P118" s="279" t="s">
        <v>41</v>
      </c>
      <c r="Q118" s="280"/>
      <c r="R118" s="276" t="s">
        <v>34</v>
      </c>
      <c r="S118" s="277" t="s">
        <v>35</v>
      </c>
      <c r="T118" s="278" t="s">
        <v>36</v>
      </c>
      <c r="U118" s="66"/>
      <c r="V118" s="66"/>
      <c r="W118" s="66"/>
      <c r="X118" s="67"/>
      <c r="Y118" s="278" t="s">
        <v>37</v>
      </c>
      <c r="Z118" s="67"/>
      <c r="AA118" s="278" t="s">
        <v>38</v>
      </c>
      <c r="AB118" s="66"/>
      <c r="AC118" s="67"/>
      <c r="AD118" s="277" t="s">
        <v>39</v>
      </c>
      <c r="AE118" s="278" t="s">
        <v>40</v>
      </c>
      <c r="AF118" s="67"/>
      <c r="AG118" s="279" t="s">
        <v>41</v>
      </c>
      <c r="AH118" s="280"/>
      <c r="AI118" s="276" t="s">
        <v>34</v>
      </c>
      <c r="AJ118" s="277" t="s">
        <v>35</v>
      </c>
      <c r="AK118" s="278" t="s">
        <v>36</v>
      </c>
      <c r="AL118" s="66"/>
      <c r="AM118" s="66"/>
      <c r="AN118" s="66"/>
      <c r="AO118" s="67"/>
      <c r="AP118" s="278" t="s">
        <v>37</v>
      </c>
      <c r="AQ118" s="67"/>
      <c r="AR118" s="278" t="s">
        <v>38</v>
      </c>
      <c r="AS118" s="66"/>
      <c r="AT118" s="67"/>
      <c r="AU118" s="277" t="s">
        <v>39</v>
      </c>
      <c r="AV118" s="278" t="s">
        <v>40</v>
      </c>
      <c r="AW118" s="67"/>
      <c r="AX118" s="279" t="s">
        <v>41</v>
      </c>
      <c r="AY118" s="280"/>
      <c r="AZ118" s="276" t="s">
        <v>34</v>
      </c>
      <c r="BA118" s="277" t="s">
        <v>35</v>
      </c>
      <c r="BB118" s="278" t="s">
        <v>36</v>
      </c>
      <c r="BC118" s="66"/>
      <c r="BD118" s="66"/>
      <c r="BE118" s="66"/>
      <c r="BF118" s="67"/>
      <c r="BG118" s="278" t="s">
        <v>37</v>
      </c>
      <c r="BH118" s="67"/>
      <c r="BI118" s="278" t="s">
        <v>38</v>
      </c>
      <c r="BJ118" s="66"/>
      <c r="BK118" s="67"/>
      <c r="BL118" s="277" t="s">
        <v>39</v>
      </c>
      <c r="BM118" s="278" t="s">
        <v>40</v>
      </c>
      <c r="BN118" s="67"/>
      <c r="BO118" s="279" t="s">
        <v>41</v>
      </c>
      <c r="BP118" s="280"/>
      <c r="BQ118" s="276" t="s">
        <v>34</v>
      </c>
      <c r="BR118" s="277" t="s">
        <v>35</v>
      </c>
      <c r="BS118" s="278" t="s">
        <v>36</v>
      </c>
      <c r="BT118" s="66"/>
      <c r="BU118" s="66"/>
      <c r="BV118" s="66"/>
      <c r="BW118" s="67"/>
      <c r="BX118" s="278" t="s">
        <v>37</v>
      </c>
      <c r="BY118" s="67"/>
      <c r="BZ118" s="278" t="s">
        <v>38</v>
      </c>
      <c r="CA118" s="66"/>
      <c r="CB118" s="67"/>
      <c r="CC118" s="277" t="s">
        <v>39</v>
      </c>
      <c r="CD118" s="278" t="s">
        <v>40</v>
      </c>
      <c r="CE118" s="67"/>
      <c r="CF118" s="279" t="s">
        <v>41</v>
      </c>
      <c r="CG118" s="280"/>
      <c r="CH118" s="276" t="s">
        <v>34</v>
      </c>
      <c r="CI118" s="277" t="s">
        <v>35</v>
      </c>
      <c r="CJ118" s="278" t="s">
        <v>36</v>
      </c>
      <c r="CK118" s="66"/>
      <c r="CL118" s="66"/>
      <c r="CM118" s="66"/>
      <c r="CN118" s="67"/>
      <c r="CO118" s="278" t="s">
        <v>37</v>
      </c>
      <c r="CP118" s="67"/>
      <c r="CQ118" s="278" t="s">
        <v>38</v>
      </c>
      <c r="CR118" s="66"/>
      <c r="CS118" s="67"/>
      <c r="CT118" s="277" t="s">
        <v>39</v>
      </c>
      <c r="CU118" s="278" t="s">
        <v>40</v>
      </c>
      <c r="CV118" s="67"/>
      <c r="CW118" s="279" t="s">
        <v>41</v>
      </c>
      <c r="CX118" s="280"/>
      <c r="CY118" s="276" t="s">
        <v>34</v>
      </c>
      <c r="CZ118" s="277" t="s">
        <v>35</v>
      </c>
      <c r="DA118" s="278" t="s">
        <v>36</v>
      </c>
      <c r="DB118" s="66"/>
      <c r="DC118" s="66"/>
      <c r="DD118" s="66"/>
      <c r="DE118" s="67"/>
      <c r="DF118" s="278" t="s">
        <v>37</v>
      </c>
      <c r="DG118" s="67"/>
      <c r="DH118" s="278" t="s">
        <v>38</v>
      </c>
      <c r="DI118" s="66"/>
      <c r="DJ118" s="67"/>
      <c r="DK118" s="277" t="s">
        <v>39</v>
      </c>
      <c r="DL118" s="278" t="s">
        <v>40</v>
      </c>
      <c r="DM118" s="67"/>
      <c r="DN118" s="279" t="s">
        <v>41</v>
      </c>
      <c r="DO118" s="280"/>
      <c r="DP118" s="276" t="s">
        <v>34</v>
      </c>
      <c r="DQ118" s="277" t="s">
        <v>35</v>
      </c>
      <c r="DR118" s="278" t="s">
        <v>36</v>
      </c>
      <c r="DS118" s="66"/>
      <c r="DT118" s="66"/>
      <c r="DU118" s="66"/>
      <c r="DV118" s="67"/>
      <c r="DW118" s="278" t="s">
        <v>37</v>
      </c>
      <c r="DX118" s="67"/>
      <c r="DY118" s="278" t="s">
        <v>38</v>
      </c>
      <c r="DZ118" s="66"/>
      <c r="EA118" s="67"/>
      <c r="EB118" s="277" t="s">
        <v>39</v>
      </c>
      <c r="EC118" s="278" t="s">
        <v>40</v>
      </c>
      <c r="ED118" s="67"/>
      <c r="EE118" s="279" t="s">
        <v>41</v>
      </c>
      <c r="EF118" s="280"/>
      <c r="EG118" s="276" t="s">
        <v>34</v>
      </c>
      <c r="EH118" s="277" t="s">
        <v>35</v>
      </c>
      <c r="EI118" s="278" t="s">
        <v>36</v>
      </c>
      <c r="EJ118" s="66"/>
      <c r="EK118" s="66"/>
      <c r="EL118" s="66"/>
      <c r="EM118" s="67"/>
      <c r="EN118" s="278" t="s">
        <v>37</v>
      </c>
      <c r="EO118" s="67"/>
      <c r="EP118" s="278" t="s">
        <v>38</v>
      </c>
      <c r="EQ118" s="66"/>
      <c r="ER118" s="67"/>
      <c r="ES118" s="277" t="s">
        <v>39</v>
      </c>
      <c r="ET118" s="278" t="s">
        <v>40</v>
      </c>
      <c r="EU118" s="67"/>
      <c r="EV118" s="279" t="s">
        <v>41</v>
      </c>
      <c r="EW118" s="280"/>
      <c r="EX118" s="276" t="s">
        <v>34</v>
      </c>
      <c r="EY118" s="277" t="s">
        <v>35</v>
      </c>
      <c r="EZ118" s="278" t="s">
        <v>36</v>
      </c>
      <c r="FA118" s="66"/>
      <c r="FB118" s="66"/>
      <c r="FC118" s="66"/>
      <c r="FD118" s="67"/>
      <c r="FE118" s="278" t="s">
        <v>37</v>
      </c>
      <c r="FF118" s="67"/>
      <c r="FG118" s="278" t="s">
        <v>38</v>
      </c>
      <c r="FH118" s="66"/>
      <c r="FI118" s="67"/>
      <c r="FJ118" s="277" t="s">
        <v>39</v>
      </c>
      <c r="FK118" s="278" t="s">
        <v>40</v>
      </c>
      <c r="FL118" s="67"/>
      <c r="FM118" s="279" t="s">
        <v>41</v>
      </c>
      <c r="FN118" s="280"/>
      <c r="FO118" s="276" t="s">
        <v>34</v>
      </c>
      <c r="FP118" s="277" t="s">
        <v>35</v>
      </c>
      <c r="FQ118" s="278" t="s">
        <v>36</v>
      </c>
      <c r="FR118" s="66"/>
      <c r="FS118" s="66"/>
      <c r="FT118" s="66"/>
      <c r="FU118" s="67"/>
      <c r="FV118" s="278" t="s">
        <v>37</v>
      </c>
      <c r="FW118" s="67"/>
      <c r="FX118" s="278" t="s">
        <v>38</v>
      </c>
      <c r="FY118" s="66"/>
      <c r="FZ118" s="67"/>
      <c r="GA118" s="277" t="s">
        <v>39</v>
      </c>
      <c r="GB118" s="278" t="s">
        <v>40</v>
      </c>
      <c r="GC118" s="67"/>
      <c r="GD118" s="279" t="s">
        <v>41</v>
      </c>
      <c r="GE118" s="280"/>
      <c r="GF118" s="276" t="s">
        <v>34</v>
      </c>
      <c r="GG118" s="277" t="s">
        <v>35</v>
      </c>
      <c r="GH118" s="278" t="s">
        <v>36</v>
      </c>
      <c r="GI118" s="66"/>
      <c r="GJ118" s="66"/>
      <c r="GK118" s="66"/>
      <c r="GL118" s="67"/>
      <c r="GM118" s="278" t="s">
        <v>37</v>
      </c>
      <c r="GN118" s="67"/>
      <c r="GO118" s="278" t="s">
        <v>38</v>
      </c>
      <c r="GP118" s="66"/>
      <c r="GQ118" s="67"/>
      <c r="GR118" s="277" t="s">
        <v>39</v>
      </c>
      <c r="GS118" s="278" t="s">
        <v>40</v>
      </c>
      <c r="GT118" s="67"/>
      <c r="GU118" s="279" t="s">
        <v>41</v>
      </c>
      <c r="GV118" s="280"/>
      <c r="GW118" s="276" t="s">
        <v>34</v>
      </c>
      <c r="GX118" s="277" t="s">
        <v>35</v>
      </c>
      <c r="GY118" s="278" t="s">
        <v>36</v>
      </c>
      <c r="GZ118" s="66"/>
      <c r="HA118" s="66"/>
      <c r="HB118" s="66"/>
      <c r="HC118" s="67"/>
      <c r="HD118" s="278" t="s">
        <v>37</v>
      </c>
      <c r="HE118" s="67"/>
      <c r="HF118" s="278" t="s">
        <v>38</v>
      </c>
      <c r="HG118" s="66"/>
      <c r="HH118" s="67"/>
      <c r="HI118" s="277" t="s">
        <v>39</v>
      </c>
      <c r="HJ118" s="278" t="s">
        <v>40</v>
      </c>
      <c r="HK118" s="67"/>
      <c r="HL118" s="279" t="s">
        <v>41</v>
      </c>
      <c r="HM118" s="280"/>
      <c r="HN118" s="276" t="s">
        <v>34</v>
      </c>
      <c r="HO118" s="277" t="s">
        <v>35</v>
      </c>
      <c r="HP118" s="278" t="s">
        <v>36</v>
      </c>
      <c r="HQ118" s="66"/>
      <c r="HR118" s="66"/>
      <c r="HS118" s="66"/>
      <c r="HT118" s="67"/>
      <c r="HU118" s="278" t="s">
        <v>37</v>
      </c>
      <c r="HV118" s="67"/>
      <c r="HW118" s="278" t="s">
        <v>38</v>
      </c>
      <c r="HX118" s="66"/>
      <c r="HY118" s="67"/>
      <c r="HZ118" s="277" t="s">
        <v>39</v>
      </c>
      <c r="IA118" s="278" t="s">
        <v>40</v>
      </c>
      <c r="IB118" s="67"/>
      <c r="IC118" s="279" t="s">
        <v>41</v>
      </c>
      <c r="ID118" s="280"/>
      <c r="IE118" s="276" t="s">
        <v>34</v>
      </c>
      <c r="IF118" s="277" t="s">
        <v>35</v>
      </c>
      <c r="IG118" s="278" t="s">
        <v>36</v>
      </c>
      <c r="IH118" s="66"/>
      <c r="II118" s="66"/>
      <c r="IJ118" s="66"/>
      <c r="IK118" s="67"/>
      <c r="IL118" s="278" t="s">
        <v>37</v>
      </c>
      <c r="IM118" s="67"/>
      <c r="IN118" s="278" t="s">
        <v>38</v>
      </c>
      <c r="IO118" s="66"/>
      <c r="IP118" s="67"/>
      <c r="IQ118" s="277" t="s">
        <v>39</v>
      </c>
      <c r="IR118" s="278" t="s">
        <v>40</v>
      </c>
      <c r="IS118" s="67"/>
      <c r="IT118" s="279" t="s">
        <v>41</v>
      </c>
      <c r="IU118" s="280"/>
      <c r="IV118" s="276" t="s">
        <v>34</v>
      </c>
      <c r="IW118" s="277" t="s">
        <v>35</v>
      </c>
      <c r="IX118" s="278" t="s">
        <v>36</v>
      </c>
      <c r="IY118" s="66"/>
      <c r="IZ118" s="66"/>
      <c r="JA118" s="66"/>
      <c r="JB118" s="67"/>
      <c r="JC118" s="278" t="s">
        <v>37</v>
      </c>
      <c r="JD118" s="67"/>
      <c r="JE118" s="278" t="s">
        <v>38</v>
      </c>
      <c r="JF118" s="66"/>
      <c r="JG118" s="67"/>
      <c r="JH118" s="277" t="s">
        <v>39</v>
      </c>
      <c r="JI118" s="278" t="s">
        <v>40</v>
      </c>
      <c r="JJ118" s="67"/>
      <c r="JK118" s="279" t="s">
        <v>41</v>
      </c>
      <c r="JL118" s="281"/>
      <c r="JM118" s="276" t="s">
        <v>34</v>
      </c>
      <c r="JN118" s="277" t="s">
        <v>35</v>
      </c>
      <c r="JO118" s="278" t="s">
        <v>36</v>
      </c>
      <c r="JP118" s="66"/>
      <c r="JQ118" s="66"/>
      <c r="JR118" s="66"/>
      <c r="JS118" s="67"/>
      <c r="JT118" s="278" t="s">
        <v>37</v>
      </c>
      <c r="JU118" s="67"/>
      <c r="JV118" s="278" t="s">
        <v>38</v>
      </c>
      <c r="JW118" s="66"/>
      <c r="JX118" s="67"/>
      <c r="JY118" s="277" t="s">
        <v>39</v>
      </c>
      <c r="JZ118" s="278" t="s">
        <v>40</v>
      </c>
      <c r="KA118" s="67"/>
      <c r="KB118" s="279" t="s">
        <v>41</v>
      </c>
      <c r="KC118" s="281"/>
      <c r="KD118" s="276" t="s">
        <v>34</v>
      </c>
      <c r="KE118" s="277" t="s">
        <v>35</v>
      </c>
      <c r="KF118" s="278" t="s">
        <v>36</v>
      </c>
      <c r="KG118" s="66"/>
      <c r="KH118" s="66"/>
      <c r="KI118" s="66"/>
      <c r="KJ118" s="67"/>
      <c r="KK118" s="278" t="s">
        <v>37</v>
      </c>
      <c r="KL118" s="67"/>
      <c r="KM118" s="278" t="s">
        <v>38</v>
      </c>
      <c r="KN118" s="66"/>
      <c r="KO118" s="67"/>
      <c r="KP118" s="277" t="s">
        <v>39</v>
      </c>
      <c r="KQ118" s="278" t="s">
        <v>40</v>
      </c>
      <c r="KR118" s="67"/>
      <c r="KS118" s="279" t="s">
        <v>41</v>
      </c>
      <c r="KT118" s="281"/>
      <c r="KU118" s="282"/>
    </row>
    <row r="119" ht="66.0" customHeight="1">
      <c r="A119" s="72"/>
      <c r="B119" s="55"/>
      <c r="C119" s="283" t="s">
        <v>42</v>
      </c>
      <c r="D119" s="283" t="s">
        <v>43</v>
      </c>
      <c r="E119" s="283" t="s">
        <v>44</v>
      </c>
      <c r="F119" s="283" t="s">
        <v>45</v>
      </c>
      <c r="G119" s="283" t="s">
        <v>46</v>
      </c>
      <c r="H119" s="284" t="s">
        <v>47</v>
      </c>
      <c r="I119" s="283" t="s">
        <v>48</v>
      </c>
      <c r="J119" s="284" t="str">
        <f>"Total Biaya Perawatan "&amp;G115&amp;" (Juta Rp)"</f>
        <v>Total Biaya Perawatan Triwulan III (Juta Rp)</v>
      </c>
      <c r="K119" s="283" t="str">
        <f>"Total Biaya Perawatan "&amp;G79&amp;" (Juta Rp)"</f>
        <v>Total Biaya Perawatan Triwulan II (Juta Rp)</v>
      </c>
      <c r="L119" s="283" t="s">
        <v>49</v>
      </c>
      <c r="M119" s="55"/>
      <c r="N119" s="284" t="s">
        <v>47</v>
      </c>
      <c r="O119" s="284" t="s">
        <v>50</v>
      </c>
      <c r="P119" s="75"/>
      <c r="Q119" s="280"/>
      <c r="R119" s="72"/>
      <c r="S119" s="55"/>
      <c r="T119" s="283" t="s">
        <v>42</v>
      </c>
      <c r="U119" s="283" t="s">
        <v>43</v>
      </c>
      <c r="V119" s="283" t="s">
        <v>44</v>
      </c>
      <c r="W119" s="283" t="s">
        <v>45</v>
      </c>
      <c r="X119" s="283" t="s">
        <v>46</v>
      </c>
      <c r="Y119" s="284" t="s">
        <v>47</v>
      </c>
      <c r="Z119" s="283" t="s">
        <v>48</v>
      </c>
      <c r="AA119" s="284" t="str">
        <f>"Total Biaya Perawatan "&amp;X115&amp;" (Juta Rp)"</f>
        <v>Total Biaya Perawatan Triwulan III (Juta Rp)</v>
      </c>
      <c r="AB119" s="283" t="str">
        <f>"Total Biaya Perawatan "&amp;X79&amp;" (Juta Rp)"</f>
        <v>Total Biaya Perawatan Triwulan II (Juta Rp)</v>
      </c>
      <c r="AC119" s="283" t="s">
        <v>49</v>
      </c>
      <c r="AD119" s="55"/>
      <c r="AE119" s="284" t="s">
        <v>47</v>
      </c>
      <c r="AF119" s="284" t="s">
        <v>50</v>
      </c>
      <c r="AG119" s="75"/>
      <c r="AH119" s="280"/>
      <c r="AI119" s="72"/>
      <c r="AJ119" s="55"/>
      <c r="AK119" s="283" t="s">
        <v>42</v>
      </c>
      <c r="AL119" s="283" t="s">
        <v>43</v>
      </c>
      <c r="AM119" s="283" t="s">
        <v>44</v>
      </c>
      <c r="AN119" s="283" t="s">
        <v>45</v>
      </c>
      <c r="AO119" s="283" t="s">
        <v>46</v>
      </c>
      <c r="AP119" s="284" t="s">
        <v>47</v>
      </c>
      <c r="AQ119" s="283" t="s">
        <v>48</v>
      </c>
      <c r="AR119" s="284" t="str">
        <f>"Total Biaya Perawatan "&amp;AO115&amp;" (Juta Rp)"</f>
        <v>Total Biaya Perawatan Triwulan III (Juta Rp)</v>
      </c>
      <c r="AS119" s="283" t="str">
        <f>"Total Biaya Perawatan "&amp;AO79&amp;" (Juta Rp)"</f>
        <v>Total Biaya Perawatan Triwulan II (Juta Rp)</v>
      </c>
      <c r="AT119" s="283" t="s">
        <v>49</v>
      </c>
      <c r="AU119" s="55"/>
      <c r="AV119" s="284" t="s">
        <v>47</v>
      </c>
      <c r="AW119" s="284" t="s">
        <v>50</v>
      </c>
      <c r="AX119" s="75"/>
      <c r="AY119" s="280"/>
      <c r="AZ119" s="72"/>
      <c r="BA119" s="55"/>
      <c r="BB119" s="283" t="s">
        <v>42</v>
      </c>
      <c r="BC119" s="283" t="s">
        <v>43</v>
      </c>
      <c r="BD119" s="283" t="s">
        <v>44</v>
      </c>
      <c r="BE119" s="283" t="s">
        <v>45</v>
      </c>
      <c r="BF119" s="283" t="s">
        <v>46</v>
      </c>
      <c r="BG119" s="284" t="s">
        <v>47</v>
      </c>
      <c r="BH119" s="283" t="s">
        <v>48</v>
      </c>
      <c r="BI119" s="284" t="str">
        <f>"Total Biaya Perawatan "&amp;BF115&amp;" (Juta Rp)"</f>
        <v>Total Biaya Perawatan Triwulan III (Juta Rp)</v>
      </c>
      <c r="BJ119" s="283" t="str">
        <f>"Total Biaya Perawatan "&amp;BF79&amp;" (Juta Rp)"</f>
        <v>Total Biaya Perawatan Triwulan II (Juta Rp)</v>
      </c>
      <c r="BK119" s="283" t="s">
        <v>49</v>
      </c>
      <c r="BL119" s="55"/>
      <c r="BM119" s="284" t="s">
        <v>47</v>
      </c>
      <c r="BN119" s="284" t="s">
        <v>50</v>
      </c>
      <c r="BO119" s="75"/>
      <c r="BP119" s="280"/>
      <c r="BQ119" s="72"/>
      <c r="BR119" s="55"/>
      <c r="BS119" s="283" t="s">
        <v>42</v>
      </c>
      <c r="BT119" s="283" t="s">
        <v>43</v>
      </c>
      <c r="BU119" s="283" t="s">
        <v>44</v>
      </c>
      <c r="BV119" s="283" t="s">
        <v>45</v>
      </c>
      <c r="BW119" s="283" t="s">
        <v>46</v>
      </c>
      <c r="BX119" s="284" t="s">
        <v>47</v>
      </c>
      <c r="BY119" s="283" t="s">
        <v>48</v>
      </c>
      <c r="BZ119" s="284" t="str">
        <f>"Total Biaya Perawatan "&amp;BW115&amp;" (Juta Rp)"</f>
        <v>Total Biaya Perawatan Triwulan III (Juta Rp)</v>
      </c>
      <c r="CA119" s="283" t="str">
        <f>"Total Biaya Perawatan "&amp;BW79&amp;" (Juta Rp)"</f>
        <v>Total Biaya Perawatan Triwulan II (Juta Rp)</v>
      </c>
      <c r="CB119" s="283" t="s">
        <v>49</v>
      </c>
      <c r="CC119" s="55"/>
      <c r="CD119" s="284" t="s">
        <v>47</v>
      </c>
      <c r="CE119" s="284" t="s">
        <v>50</v>
      </c>
      <c r="CF119" s="75"/>
      <c r="CG119" s="280"/>
      <c r="CH119" s="72"/>
      <c r="CI119" s="55"/>
      <c r="CJ119" s="283" t="s">
        <v>42</v>
      </c>
      <c r="CK119" s="283" t="s">
        <v>43</v>
      </c>
      <c r="CL119" s="283" t="s">
        <v>44</v>
      </c>
      <c r="CM119" s="283" t="s">
        <v>45</v>
      </c>
      <c r="CN119" s="283" t="s">
        <v>46</v>
      </c>
      <c r="CO119" s="284" t="s">
        <v>47</v>
      </c>
      <c r="CP119" s="283" t="s">
        <v>48</v>
      </c>
      <c r="CQ119" s="284" t="str">
        <f>"Total Biaya Perawatan "&amp;CN115&amp;" (Juta Rp)"</f>
        <v>Total Biaya Perawatan Triwulan III (Juta Rp)</v>
      </c>
      <c r="CR119" s="283" t="str">
        <f>"Total Biaya Perawatan "&amp;CN79&amp;" (Juta Rp)"</f>
        <v>Total Biaya Perawatan Triwulan II (Juta Rp)</v>
      </c>
      <c r="CS119" s="283" t="s">
        <v>49</v>
      </c>
      <c r="CT119" s="55"/>
      <c r="CU119" s="284" t="s">
        <v>47</v>
      </c>
      <c r="CV119" s="284" t="s">
        <v>50</v>
      </c>
      <c r="CW119" s="75"/>
      <c r="CX119" s="280"/>
      <c r="CY119" s="72"/>
      <c r="CZ119" s="55"/>
      <c r="DA119" s="283" t="s">
        <v>42</v>
      </c>
      <c r="DB119" s="283" t="s">
        <v>43</v>
      </c>
      <c r="DC119" s="283" t="s">
        <v>44</v>
      </c>
      <c r="DD119" s="283" t="s">
        <v>45</v>
      </c>
      <c r="DE119" s="283" t="s">
        <v>46</v>
      </c>
      <c r="DF119" s="284" t="s">
        <v>47</v>
      </c>
      <c r="DG119" s="283" t="s">
        <v>48</v>
      </c>
      <c r="DH119" s="284" t="str">
        <f>"Total Biaya Perawatan "&amp;DE115&amp;" (Juta Rp)"</f>
        <v>Total Biaya Perawatan Triwulan III (Juta Rp)</v>
      </c>
      <c r="DI119" s="283" t="str">
        <f>"Total Biaya Perawatan "&amp;DE79&amp;" (Juta Rp)"</f>
        <v>Total Biaya Perawatan Triwulan II (Juta Rp)</v>
      </c>
      <c r="DJ119" s="283" t="s">
        <v>49</v>
      </c>
      <c r="DK119" s="55"/>
      <c r="DL119" s="284" t="s">
        <v>47</v>
      </c>
      <c r="DM119" s="284" t="s">
        <v>50</v>
      </c>
      <c r="DN119" s="75"/>
      <c r="DO119" s="280"/>
      <c r="DP119" s="72"/>
      <c r="DQ119" s="55"/>
      <c r="DR119" s="283" t="s">
        <v>42</v>
      </c>
      <c r="DS119" s="283" t="s">
        <v>43</v>
      </c>
      <c r="DT119" s="283" t="s">
        <v>44</v>
      </c>
      <c r="DU119" s="283" t="s">
        <v>45</v>
      </c>
      <c r="DV119" s="283" t="s">
        <v>46</v>
      </c>
      <c r="DW119" s="284" t="s">
        <v>47</v>
      </c>
      <c r="DX119" s="283" t="s">
        <v>48</v>
      </c>
      <c r="DY119" s="284" t="str">
        <f>"Total Biaya Perawatan "&amp;DV115&amp;" (Juta Rp)"</f>
        <v>Total Biaya Perawatan Triwulan III (Juta Rp)</v>
      </c>
      <c r="DZ119" s="283" t="str">
        <f>"Total Biaya Perawatan "&amp;DV79&amp;" (Juta Rp)"</f>
        <v>Total Biaya Perawatan Triwulan II (Juta Rp)</v>
      </c>
      <c r="EA119" s="283" t="s">
        <v>49</v>
      </c>
      <c r="EB119" s="55"/>
      <c r="EC119" s="284" t="s">
        <v>47</v>
      </c>
      <c r="ED119" s="284" t="s">
        <v>50</v>
      </c>
      <c r="EE119" s="75"/>
      <c r="EF119" s="280"/>
      <c r="EG119" s="72"/>
      <c r="EH119" s="55"/>
      <c r="EI119" s="283" t="s">
        <v>42</v>
      </c>
      <c r="EJ119" s="283" t="s">
        <v>43</v>
      </c>
      <c r="EK119" s="283" t="s">
        <v>44</v>
      </c>
      <c r="EL119" s="283" t="s">
        <v>45</v>
      </c>
      <c r="EM119" s="283" t="s">
        <v>46</v>
      </c>
      <c r="EN119" s="284" t="s">
        <v>47</v>
      </c>
      <c r="EO119" s="283" t="s">
        <v>48</v>
      </c>
      <c r="EP119" s="284" t="str">
        <f>"Total Biaya Perawatan "&amp;EM115&amp;" (Juta Rp)"</f>
        <v>Total Biaya Perawatan Triwulan III (Juta Rp)</v>
      </c>
      <c r="EQ119" s="283" t="str">
        <f>"Total Biaya Perawatan "&amp;EM79&amp;" (Juta Rp)"</f>
        <v>Total Biaya Perawatan Triwulan II (Juta Rp)</v>
      </c>
      <c r="ER119" s="283" t="s">
        <v>49</v>
      </c>
      <c r="ES119" s="55"/>
      <c r="ET119" s="284" t="s">
        <v>47</v>
      </c>
      <c r="EU119" s="284" t="s">
        <v>50</v>
      </c>
      <c r="EV119" s="75"/>
      <c r="EW119" s="280"/>
      <c r="EX119" s="72"/>
      <c r="EY119" s="55"/>
      <c r="EZ119" s="283" t="s">
        <v>42</v>
      </c>
      <c r="FA119" s="283" t="s">
        <v>43</v>
      </c>
      <c r="FB119" s="283" t="s">
        <v>44</v>
      </c>
      <c r="FC119" s="283" t="s">
        <v>45</v>
      </c>
      <c r="FD119" s="283" t="s">
        <v>46</v>
      </c>
      <c r="FE119" s="284" t="s">
        <v>47</v>
      </c>
      <c r="FF119" s="283" t="s">
        <v>48</v>
      </c>
      <c r="FG119" s="284" t="str">
        <f>"Total Biaya Perawatan "&amp;FD115&amp;" (Juta Rp)"</f>
        <v>Total Biaya Perawatan Triwulan III (Juta Rp)</v>
      </c>
      <c r="FH119" s="283" t="str">
        <f>"Total Biaya Perawatan "&amp;FD79&amp;" (Juta Rp)"</f>
        <v>Total Biaya Perawatan Triwulan II (Juta Rp)</v>
      </c>
      <c r="FI119" s="283" t="s">
        <v>49</v>
      </c>
      <c r="FJ119" s="55"/>
      <c r="FK119" s="284" t="s">
        <v>47</v>
      </c>
      <c r="FL119" s="284" t="s">
        <v>50</v>
      </c>
      <c r="FM119" s="75"/>
      <c r="FN119" s="280"/>
      <c r="FO119" s="72"/>
      <c r="FP119" s="55"/>
      <c r="FQ119" s="283" t="s">
        <v>42</v>
      </c>
      <c r="FR119" s="283" t="s">
        <v>43</v>
      </c>
      <c r="FS119" s="283" t="s">
        <v>44</v>
      </c>
      <c r="FT119" s="283" t="s">
        <v>45</v>
      </c>
      <c r="FU119" s="283" t="s">
        <v>46</v>
      </c>
      <c r="FV119" s="284" t="s">
        <v>47</v>
      </c>
      <c r="FW119" s="283" t="s">
        <v>48</v>
      </c>
      <c r="FX119" s="284" t="str">
        <f>"Total Biaya Perawatan "&amp;FU115&amp;" (Juta Rp)"</f>
        <v>Total Biaya Perawatan Triwulan III (Juta Rp)</v>
      </c>
      <c r="FY119" s="283" t="str">
        <f>"Total Biaya Perawatan "&amp;FU79&amp;" (Juta Rp)"</f>
        <v>Total Biaya Perawatan Triwulan II (Juta Rp)</v>
      </c>
      <c r="FZ119" s="283" t="s">
        <v>49</v>
      </c>
      <c r="GA119" s="55"/>
      <c r="GB119" s="284" t="s">
        <v>47</v>
      </c>
      <c r="GC119" s="284" t="s">
        <v>50</v>
      </c>
      <c r="GD119" s="75"/>
      <c r="GE119" s="280"/>
      <c r="GF119" s="72"/>
      <c r="GG119" s="55"/>
      <c r="GH119" s="283" t="s">
        <v>42</v>
      </c>
      <c r="GI119" s="283" t="s">
        <v>43</v>
      </c>
      <c r="GJ119" s="283" t="s">
        <v>44</v>
      </c>
      <c r="GK119" s="283" t="s">
        <v>45</v>
      </c>
      <c r="GL119" s="283" t="s">
        <v>46</v>
      </c>
      <c r="GM119" s="284" t="s">
        <v>47</v>
      </c>
      <c r="GN119" s="283" t="s">
        <v>48</v>
      </c>
      <c r="GO119" s="284" t="str">
        <f>"Total Biaya Perawatan "&amp;GL115&amp;" (Juta Rp)"</f>
        <v>Total Biaya Perawatan Triwulan III (Juta Rp)</v>
      </c>
      <c r="GP119" s="283" t="str">
        <f>"Total Biaya Perawatan "&amp;GL79&amp;" (Juta Rp)"</f>
        <v>Total Biaya Perawatan Triwulan II (Juta Rp)</v>
      </c>
      <c r="GQ119" s="283" t="s">
        <v>49</v>
      </c>
      <c r="GR119" s="55"/>
      <c r="GS119" s="284" t="s">
        <v>47</v>
      </c>
      <c r="GT119" s="284" t="s">
        <v>50</v>
      </c>
      <c r="GU119" s="75"/>
      <c r="GV119" s="280"/>
      <c r="GW119" s="72"/>
      <c r="GX119" s="55"/>
      <c r="GY119" s="283" t="s">
        <v>42</v>
      </c>
      <c r="GZ119" s="283" t="s">
        <v>43</v>
      </c>
      <c r="HA119" s="283" t="s">
        <v>44</v>
      </c>
      <c r="HB119" s="283" t="s">
        <v>45</v>
      </c>
      <c r="HC119" s="283" t="s">
        <v>46</v>
      </c>
      <c r="HD119" s="284" t="s">
        <v>47</v>
      </c>
      <c r="HE119" s="283" t="s">
        <v>48</v>
      </c>
      <c r="HF119" s="284" t="str">
        <f>"Total Biaya Perawatan "&amp;HC115&amp;" (Juta Rp)"</f>
        <v>Total Biaya Perawatan Triwulan III (Juta Rp)</v>
      </c>
      <c r="HG119" s="283" t="str">
        <f>"Total Biaya Perawatan "&amp;HC79&amp;" (Juta Rp)"</f>
        <v>Total Biaya Perawatan Triwulan II (Juta Rp)</v>
      </c>
      <c r="HH119" s="283" t="s">
        <v>49</v>
      </c>
      <c r="HI119" s="55"/>
      <c r="HJ119" s="284" t="s">
        <v>47</v>
      </c>
      <c r="HK119" s="284" t="s">
        <v>50</v>
      </c>
      <c r="HL119" s="75"/>
      <c r="HM119" s="280"/>
      <c r="HN119" s="72"/>
      <c r="HO119" s="55"/>
      <c r="HP119" s="283" t="s">
        <v>42</v>
      </c>
      <c r="HQ119" s="283" t="s">
        <v>43</v>
      </c>
      <c r="HR119" s="283" t="s">
        <v>44</v>
      </c>
      <c r="HS119" s="283" t="s">
        <v>45</v>
      </c>
      <c r="HT119" s="283" t="s">
        <v>46</v>
      </c>
      <c r="HU119" s="284" t="s">
        <v>47</v>
      </c>
      <c r="HV119" s="283" t="s">
        <v>48</v>
      </c>
      <c r="HW119" s="284" t="str">
        <f>"Total Biaya Perawatan "&amp;HT115&amp;" (Juta Rp)"</f>
        <v>Total Biaya Perawatan Triwulan III (Juta Rp)</v>
      </c>
      <c r="HX119" s="283" t="str">
        <f>"Total Biaya Perawatan "&amp;HT79&amp;" (Juta Rp)"</f>
        <v>Total Biaya Perawatan Triwulan II (Juta Rp)</v>
      </c>
      <c r="HY119" s="283" t="s">
        <v>49</v>
      </c>
      <c r="HZ119" s="55"/>
      <c r="IA119" s="284" t="s">
        <v>47</v>
      </c>
      <c r="IB119" s="284" t="s">
        <v>50</v>
      </c>
      <c r="IC119" s="75"/>
      <c r="ID119" s="280"/>
      <c r="IE119" s="72"/>
      <c r="IF119" s="55"/>
      <c r="IG119" s="283" t="s">
        <v>42</v>
      </c>
      <c r="IH119" s="283" t="s">
        <v>43</v>
      </c>
      <c r="II119" s="283" t="s">
        <v>44</v>
      </c>
      <c r="IJ119" s="283" t="s">
        <v>45</v>
      </c>
      <c r="IK119" s="283" t="s">
        <v>46</v>
      </c>
      <c r="IL119" s="284" t="s">
        <v>47</v>
      </c>
      <c r="IM119" s="283" t="s">
        <v>48</v>
      </c>
      <c r="IN119" s="284" t="str">
        <f>"Total Biaya Perawatan "&amp;IK115&amp;" (Juta Rp)"</f>
        <v>Total Biaya Perawatan Triwulan III (Juta Rp)</v>
      </c>
      <c r="IO119" s="283" t="str">
        <f>"Total Biaya Perawatan "&amp;IK79&amp;" (Juta Rp)"</f>
        <v>Total Biaya Perawatan Triwulan II (Juta Rp)</v>
      </c>
      <c r="IP119" s="283" t="s">
        <v>49</v>
      </c>
      <c r="IQ119" s="55"/>
      <c r="IR119" s="284" t="s">
        <v>47</v>
      </c>
      <c r="IS119" s="284" t="s">
        <v>50</v>
      </c>
      <c r="IT119" s="75"/>
      <c r="IU119" s="280"/>
      <c r="IV119" s="72"/>
      <c r="IW119" s="55"/>
      <c r="IX119" s="283" t="s">
        <v>42</v>
      </c>
      <c r="IY119" s="283" t="s">
        <v>43</v>
      </c>
      <c r="IZ119" s="283" t="s">
        <v>44</v>
      </c>
      <c r="JA119" s="283" t="s">
        <v>45</v>
      </c>
      <c r="JB119" s="283" t="s">
        <v>46</v>
      </c>
      <c r="JC119" s="284" t="s">
        <v>47</v>
      </c>
      <c r="JD119" s="283" t="s">
        <v>48</v>
      </c>
      <c r="JE119" s="284" t="str">
        <f>"Total Biaya Perawatan "&amp;JB115&amp;" (Juta Rp)"</f>
        <v>Total Biaya Perawatan Triwulan III (Juta Rp)</v>
      </c>
      <c r="JF119" s="283" t="str">
        <f>"Total Biaya Perawatan "&amp;JB79&amp;" (Juta Rp)"</f>
        <v>Total Biaya Perawatan Triwulan II (Juta Rp)</v>
      </c>
      <c r="JG119" s="283" t="s">
        <v>49</v>
      </c>
      <c r="JH119" s="55"/>
      <c r="JI119" s="284" t="s">
        <v>47</v>
      </c>
      <c r="JJ119" s="284" t="s">
        <v>50</v>
      </c>
      <c r="JK119" s="75"/>
      <c r="JL119" s="281"/>
      <c r="JM119" s="72"/>
      <c r="JN119" s="55"/>
      <c r="JO119" s="283" t="s">
        <v>42</v>
      </c>
      <c r="JP119" s="283" t="s">
        <v>43</v>
      </c>
      <c r="JQ119" s="283" t="s">
        <v>44</v>
      </c>
      <c r="JR119" s="283" t="s">
        <v>45</v>
      </c>
      <c r="JS119" s="283" t="s">
        <v>46</v>
      </c>
      <c r="JT119" s="284" t="s">
        <v>47</v>
      </c>
      <c r="JU119" s="283" t="s">
        <v>48</v>
      </c>
      <c r="JV119" s="284" t="str">
        <f>"Total Biaya Perawatan "&amp;JS115&amp;" (Juta Rp)"</f>
        <v>Total Biaya Perawatan Triwulan III (Juta Rp)</v>
      </c>
      <c r="JW119" s="283" t="str">
        <f>"Total Biaya Perawatan "&amp;JS79&amp;" (Juta Rp)"</f>
        <v>Total Biaya Perawatan Triwulan II (Juta Rp)</v>
      </c>
      <c r="JX119" s="283" t="s">
        <v>49</v>
      </c>
      <c r="JY119" s="55"/>
      <c r="JZ119" s="284" t="s">
        <v>47</v>
      </c>
      <c r="KA119" s="284" t="s">
        <v>50</v>
      </c>
      <c r="KB119" s="75"/>
      <c r="KC119" s="281"/>
      <c r="KD119" s="72"/>
      <c r="KE119" s="55"/>
      <c r="KF119" s="283" t="s">
        <v>42</v>
      </c>
      <c r="KG119" s="283" t="s">
        <v>43</v>
      </c>
      <c r="KH119" s="283" t="s">
        <v>44</v>
      </c>
      <c r="KI119" s="283" t="s">
        <v>45</v>
      </c>
      <c r="KJ119" s="283" t="s">
        <v>46</v>
      </c>
      <c r="KK119" s="284" t="s">
        <v>47</v>
      </c>
      <c r="KL119" s="283" t="s">
        <v>48</v>
      </c>
      <c r="KM119" s="284" t="str">
        <f>"Total Biaya Perawatan "&amp;KJ115&amp;" (Juta Rp)"</f>
        <v>Total Biaya Perawatan Triwulan III (Juta Rp)</v>
      </c>
      <c r="KN119" s="283" t="str">
        <f>"Total Biaya Perawatan "&amp;KJ79&amp;" (Juta Rp)"</f>
        <v>Total Biaya Perawatan Triwulan II (Juta Rp)</v>
      </c>
      <c r="KO119" s="283" t="s">
        <v>49</v>
      </c>
      <c r="KP119" s="55"/>
      <c r="KQ119" s="284" t="s">
        <v>47</v>
      </c>
      <c r="KR119" s="284" t="s">
        <v>50</v>
      </c>
      <c r="KS119" s="75"/>
      <c r="KT119" s="281"/>
      <c r="KU119" s="282"/>
    </row>
    <row r="120" ht="15.75" customHeight="1">
      <c r="A120" s="285">
        <v>-1.0</v>
      </c>
      <c r="B120" s="286">
        <v>-2.0</v>
      </c>
      <c r="C120" s="286">
        <v>-3.0</v>
      </c>
      <c r="D120" s="286">
        <v>-4.0</v>
      </c>
      <c r="E120" s="286">
        <v>-5.0</v>
      </c>
      <c r="F120" s="286">
        <v>-6.0</v>
      </c>
      <c r="G120" s="286">
        <v>-7.0</v>
      </c>
      <c r="H120" s="286">
        <v>-8.0</v>
      </c>
      <c r="I120" s="286">
        <v>-9.0</v>
      </c>
      <c r="J120" s="286">
        <v>-10.0</v>
      </c>
      <c r="K120" s="286">
        <v>-11.0</v>
      </c>
      <c r="L120" s="286">
        <v>-12.0</v>
      </c>
      <c r="M120" s="286">
        <v>-13.0</v>
      </c>
      <c r="N120" s="286">
        <v>-14.0</v>
      </c>
      <c r="O120" s="286">
        <v>-15.0</v>
      </c>
      <c r="P120" s="286">
        <v>-16.0</v>
      </c>
      <c r="Q120" s="287"/>
      <c r="R120" s="285">
        <v>-1.0</v>
      </c>
      <c r="S120" s="286">
        <v>-2.0</v>
      </c>
      <c r="T120" s="286">
        <v>-3.0</v>
      </c>
      <c r="U120" s="286">
        <v>-4.0</v>
      </c>
      <c r="V120" s="286">
        <v>-5.0</v>
      </c>
      <c r="W120" s="286">
        <v>-6.0</v>
      </c>
      <c r="X120" s="286">
        <v>-7.0</v>
      </c>
      <c r="Y120" s="286">
        <v>-8.0</v>
      </c>
      <c r="Z120" s="286">
        <v>-9.0</v>
      </c>
      <c r="AA120" s="286">
        <v>-10.0</v>
      </c>
      <c r="AB120" s="286">
        <v>-11.0</v>
      </c>
      <c r="AC120" s="286">
        <v>-12.0</v>
      </c>
      <c r="AD120" s="286">
        <v>-13.0</v>
      </c>
      <c r="AE120" s="286">
        <v>-14.0</v>
      </c>
      <c r="AF120" s="286">
        <v>-15.0</v>
      </c>
      <c r="AG120" s="286">
        <v>-16.0</v>
      </c>
      <c r="AH120" s="287"/>
      <c r="AI120" s="285">
        <v>-1.0</v>
      </c>
      <c r="AJ120" s="286">
        <v>-2.0</v>
      </c>
      <c r="AK120" s="286">
        <v>-3.0</v>
      </c>
      <c r="AL120" s="286">
        <v>-4.0</v>
      </c>
      <c r="AM120" s="286">
        <v>-5.0</v>
      </c>
      <c r="AN120" s="286">
        <v>-6.0</v>
      </c>
      <c r="AO120" s="286">
        <v>-7.0</v>
      </c>
      <c r="AP120" s="286">
        <v>-8.0</v>
      </c>
      <c r="AQ120" s="286">
        <v>-9.0</v>
      </c>
      <c r="AR120" s="286">
        <v>-10.0</v>
      </c>
      <c r="AS120" s="286">
        <v>-11.0</v>
      </c>
      <c r="AT120" s="286">
        <v>-12.0</v>
      </c>
      <c r="AU120" s="286">
        <v>-13.0</v>
      </c>
      <c r="AV120" s="286">
        <v>-14.0</v>
      </c>
      <c r="AW120" s="286">
        <v>-15.0</v>
      </c>
      <c r="AX120" s="286">
        <v>-16.0</v>
      </c>
      <c r="AY120" s="287"/>
      <c r="AZ120" s="285">
        <v>-1.0</v>
      </c>
      <c r="BA120" s="286">
        <v>-2.0</v>
      </c>
      <c r="BB120" s="286">
        <v>-3.0</v>
      </c>
      <c r="BC120" s="286">
        <v>-4.0</v>
      </c>
      <c r="BD120" s="286">
        <v>-5.0</v>
      </c>
      <c r="BE120" s="286">
        <v>-6.0</v>
      </c>
      <c r="BF120" s="286">
        <v>-7.0</v>
      </c>
      <c r="BG120" s="286">
        <v>-8.0</v>
      </c>
      <c r="BH120" s="286">
        <v>-9.0</v>
      </c>
      <c r="BI120" s="286">
        <v>-10.0</v>
      </c>
      <c r="BJ120" s="286">
        <v>-11.0</v>
      </c>
      <c r="BK120" s="286">
        <v>-12.0</v>
      </c>
      <c r="BL120" s="286">
        <v>-13.0</v>
      </c>
      <c r="BM120" s="286">
        <v>-14.0</v>
      </c>
      <c r="BN120" s="286">
        <v>-15.0</v>
      </c>
      <c r="BO120" s="286">
        <v>-16.0</v>
      </c>
      <c r="BP120" s="287"/>
      <c r="BQ120" s="285">
        <v>-1.0</v>
      </c>
      <c r="BR120" s="286">
        <v>-2.0</v>
      </c>
      <c r="BS120" s="286">
        <v>-3.0</v>
      </c>
      <c r="BT120" s="286">
        <v>-4.0</v>
      </c>
      <c r="BU120" s="286">
        <v>-5.0</v>
      </c>
      <c r="BV120" s="286">
        <v>-6.0</v>
      </c>
      <c r="BW120" s="286">
        <v>-7.0</v>
      </c>
      <c r="BX120" s="286">
        <v>-8.0</v>
      </c>
      <c r="BY120" s="286">
        <v>-9.0</v>
      </c>
      <c r="BZ120" s="286">
        <v>-10.0</v>
      </c>
      <c r="CA120" s="286">
        <v>-11.0</v>
      </c>
      <c r="CB120" s="286">
        <v>-12.0</v>
      </c>
      <c r="CC120" s="286">
        <v>-13.0</v>
      </c>
      <c r="CD120" s="286">
        <v>-14.0</v>
      </c>
      <c r="CE120" s="286">
        <v>-15.0</v>
      </c>
      <c r="CF120" s="286">
        <v>-16.0</v>
      </c>
      <c r="CG120" s="287"/>
      <c r="CH120" s="285">
        <v>-1.0</v>
      </c>
      <c r="CI120" s="286">
        <v>-2.0</v>
      </c>
      <c r="CJ120" s="286">
        <v>-3.0</v>
      </c>
      <c r="CK120" s="286">
        <v>-4.0</v>
      </c>
      <c r="CL120" s="286">
        <v>-5.0</v>
      </c>
      <c r="CM120" s="286">
        <v>-6.0</v>
      </c>
      <c r="CN120" s="286">
        <v>-7.0</v>
      </c>
      <c r="CO120" s="286">
        <v>-8.0</v>
      </c>
      <c r="CP120" s="286">
        <v>-9.0</v>
      </c>
      <c r="CQ120" s="286">
        <v>-10.0</v>
      </c>
      <c r="CR120" s="286">
        <v>-11.0</v>
      </c>
      <c r="CS120" s="286">
        <v>-12.0</v>
      </c>
      <c r="CT120" s="286">
        <v>-13.0</v>
      </c>
      <c r="CU120" s="286">
        <v>-14.0</v>
      </c>
      <c r="CV120" s="286">
        <v>-15.0</v>
      </c>
      <c r="CW120" s="286">
        <v>-16.0</v>
      </c>
      <c r="CX120" s="287"/>
      <c r="CY120" s="285">
        <v>-1.0</v>
      </c>
      <c r="CZ120" s="286">
        <v>-2.0</v>
      </c>
      <c r="DA120" s="286">
        <v>-3.0</v>
      </c>
      <c r="DB120" s="286">
        <v>-4.0</v>
      </c>
      <c r="DC120" s="286">
        <v>-5.0</v>
      </c>
      <c r="DD120" s="286">
        <v>-6.0</v>
      </c>
      <c r="DE120" s="286">
        <v>-7.0</v>
      </c>
      <c r="DF120" s="286">
        <v>-8.0</v>
      </c>
      <c r="DG120" s="286">
        <v>-9.0</v>
      </c>
      <c r="DH120" s="286">
        <v>-10.0</v>
      </c>
      <c r="DI120" s="286">
        <v>-11.0</v>
      </c>
      <c r="DJ120" s="286">
        <v>-12.0</v>
      </c>
      <c r="DK120" s="286">
        <v>-13.0</v>
      </c>
      <c r="DL120" s="286">
        <v>-14.0</v>
      </c>
      <c r="DM120" s="286">
        <v>-15.0</v>
      </c>
      <c r="DN120" s="286">
        <v>-16.0</v>
      </c>
      <c r="DO120" s="287"/>
      <c r="DP120" s="285">
        <v>-1.0</v>
      </c>
      <c r="DQ120" s="286">
        <v>-2.0</v>
      </c>
      <c r="DR120" s="286">
        <v>-3.0</v>
      </c>
      <c r="DS120" s="286">
        <v>-4.0</v>
      </c>
      <c r="DT120" s="286">
        <v>-5.0</v>
      </c>
      <c r="DU120" s="286">
        <v>-6.0</v>
      </c>
      <c r="DV120" s="286">
        <v>-7.0</v>
      </c>
      <c r="DW120" s="286">
        <v>-8.0</v>
      </c>
      <c r="DX120" s="286">
        <v>-9.0</v>
      </c>
      <c r="DY120" s="286">
        <v>-10.0</v>
      </c>
      <c r="DZ120" s="286">
        <v>-11.0</v>
      </c>
      <c r="EA120" s="286">
        <v>-12.0</v>
      </c>
      <c r="EB120" s="286">
        <v>-13.0</v>
      </c>
      <c r="EC120" s="286">
        <v>-14.0</v>
      </c>
      <c r="ED120" s="286">
        <v>-15.0</v>
      </c>
      <c r="EE120" s="286">
        <v>-16.0</v>
      </c>
      <c r="EF120" s="287"/>
      <c r="EG120" s="285">
        <v>-1.0</v>
      </c>
      <c r="EH120" s="286">
        <v>-2.0</v>
      </c>
      <c r="EI120" s="286">
        <v>-3.0</v>
      </c>
      <c r="EJ120" s="286">
        <v>-4.0</v>
      </c>
      <c r="EK120" s="286">
        <v>-5.0</v>
      </c>
      <c r="EL120" s="286">
        <v>-6.0</v>
      </c>
      <c r="EM120" s="286">
        <v>-7.0</v>
      </c>
      <c r="EN120" s="286">
        <v>-8.0</v>
      </c>
      <c r="EO120" s="286">
        <v>-9.0</v>
      </c>
      <c r="EP120" s="286">
        <v>-10.0</v>
      </c>
      <c r="EQ120" s="286">
        <v>-11.0</v>
      </c>
      <c r="ER120" s="286">
        <v>-12.0</v>
      </c>
      <c r="ES120" s="286">
        <v>-13.0</v>
      </c>
      <c r="ET120" s="286">
        <v>-14.0</v>
      </c>
      <c r="EU120" s="286">
        <v>-15.0</v>
      </c>
      <c r="EV120" s="286">
        <v>-16.0</v>
      </c>
      <c r="EW120" s="287"/>
      <c r="EX120" s="285">
        <v>-1.0</v>
      </c>
      <c r="EY120" s="286">
        <v>-2.0</v>
      </c>
      <c r="EZ120" s="286">
        <v>-3.0</v>
      </c>
      <c r="FA120" s="286">
        <v>-4.0</v>
      </c>
      <c r="FB120" s="286">
        <v>-5.0</v>
      </c>
      <c r="FC120" s="286">
        <v>-6.0</v>
      </c>
      <c r="FD120" s="286">
        <v>-7.0</v>
      </c>
      <c r="FE120" s="286">
        <v>-8.0</v>
      </c>
      <c r="FF120" s="286">
        <v>-9.0</v>
      </c>
      <c r="FG120" s="286">
        <v>-10.0</v>
      </c>
      <c r="FH120" s="286">
        <v>-11.0</v>
      </c>
      <c r="FI120" s="286">
        <v>-12.0</v>
      </c>
      <c r="FJ120" s="286">
        <v>-13.0</v>
      </c>
      <c r="FK120" s="286">
        <v>-14.0</v>
      </c>
      <c r="FL120" s="286">
        <v>-15.0</v>
      </c>
      <c r="FM120" s="286">
        <v>-16.0</v>
      </c>
      <c r="FN120" s="287"/>
      <c r="FO120" s="285">
        <v>-1.0</v>
      </c>
      <c r="FP120" s="286">
        <v>-2.0</v>
      </c>
      <c r="FQ120" s="286">
        <v>-3.0</v>
      </c>
      <c r="FR120" s="286">
        <v>-4.0</v>
      </c>
      <c r="FS120" s="286">
        <v>-5.0</v>
      </c>
      <c r="FT120" s="286">
        <v>-6.0</v>
      </c>
      <c r="FU120" s="286">
        <v>-7.0</v>
      </c>
      <c r="FV120" s="286">
        <v>-8.0</v>
      </c>
      <c r="FW120" s="286">
        <v>-9.0</v>
      </c>
      <c r="FX120" s="286">
        <v>-10.0</v>
      </c>
      <c r="FY120" s="286">
        <v>-11.0</v>
      </c>
      <c r="FZ120" s="286">
        <v>-12.0</v>
      </c>
      <c r="GA120" s="286">
        <v>-13.0</v>
      </c>
      <c r="GB120" s="286">
        <v>-14.0</v>
      </c>
      <c r="GC120" s="286">
        <v>-15.0</v>
      </c>
      <c r="GD120" s="286">
        <v>-16.0</v>
      </c>
      <c r="GE120" s="287"/>
      <c r="GF120" s="285">
        <v>-1.0</v>
      </c>
      <c r="GG120" s="286">
        <v>-2.0</v>
      </c>
      <c r="GH120" s="286">
        <v>-3.0</v>
      </c>
      <c r="GI120" s="286">
        <v>-4.0</v>
      </c>
      <c r="GJ120" s="286">
        <v>-5.0</v>
      </c>
      <c r="GK120" s="286">
        <v>-6.0</v>
      </c>
      <c r="GL120" s="286">
        <v>-7.0</v>
      </c>
      <c r="GM120" s="286">
        <v>-8.0</v>
      </c>
      <c r="GN120" s="286">
        <v>-9.0</v>
      </c>
      <c r="GO120" s="286">
        <v>-10.0</v>
      </c>
      <c r="GP120" s="286">
        <v>-11.0</v>
      </c>
      <c r="GQ120" s="286">
        <v>-12.0</v>
      </c>
      <c r="GR120" s="286">
        <v>-13.0</v>
      </c>
      <c r="GS120" s="286">
        <v>-14.0</v>
      </c>
      <c r="GT120" s="286">
        <v>-15.0</v>
      </c>
      <c r="GU120" s="286">
        <v>-16.0</v>
      </c>
      <c r="GV120" s="287"/>
      <c r="GW120" s="285">
        <v>-1.0</v>
      </c>
      <c r="GX120" s="286">
        <v>-2.0</v>
      </c>
      <c r="GY120" s="286">
        <v>-3.0</v>
      </c>
      <c r="GZ120" s="286">
        <v>-4.0</v>
      </c>
      <c r="HA120" s="286">
        <v>-5.0</v>
      </c>
      <c r="HB120" s="286">
        <v>-6.0</v>
      </c>
      <c r="HC120" s="286">
        <v>-7.0</v>
      </c>
      <c r="HD120" s="286">
        <v>-8.0</v>
      </c>
      <c r="HE120" s="286">
        <v>-9.0</v>
      </c>
      <c r="HF120" s="286">
        <v>-10.0</v>
      </c>
      <c r="HG120" s="286">
        <v>-11.0</v>
      </c>
      <c r="HH120" s="286">
        <v>-12.0</v>
      </c>
      <c r="HI120" s="286">
        <v>-13.0</v>
      </c>
      <c r="HJ120" s="286">
        <v>-14.0</v>
      </c>
      <c r="HK120" s="286">
        <v>-15.0</v>
      </c>
      <c r="HL120" s="286">
        <v>-16.0</v>
      </c>
      <c r="HM120" s="287"/>
      <c r="HN120" s="285">
        <v>-1.0</v>
      </c>
      <c r="HO120" s="286">
        <v>-2.0</v>
      </c>
      <c r="HP120" s="286">
        <v>-3.0</v>
      </c>
      <c r="HQ120" s="286">
        <v>-4.0</v>
      </c>
      <c r="HR120" s="286">
        <v>-5.0</v>
      </c>
      <c r="HS120" s="286">
        <v>-6.0</v>
      </c>
      <c r="HT120" s="286">
        <v>-7.0</v>
      </c>
      <c r="HU120" s="286">
        <v>-8.0</v>
      </c>
      <c r="HV120" s="286">
        <v>-9.0</v>
      </c>
      <c r="HW120" s="286">
        <v>-10.0</v>
      </c>
      <c r="HX120" s="286">
        <v>-11.0</v>
      </c>
      <c r="HY120" s="286">
        <v>-12.0</v>
      </c>
      <c r="HZ120" s="286">
        <v>-13.0</v>
      </c>
      <c r="IA120" s="286">
        <v>-14.0</v>
      </c>
      <c r="IB120" s="286">
        <v>-15.0</v>
      </c>
      <c r="IC120" s="286">
        <v>-16.0</v>
      </c>
      <c r="ID120" s="287"/>
      <c r="IE120" s="285">
        <v>-1.0</v>
      </c>
      <c r="IF120" s="286">
        <v>-2.0</v>
      </c>
      <c r="IG120" s="286">
        <v>-3.0</v>
      </c>
      <c r="IH120" s="286">
        <v>-4.0</v>
      </c>
      <c r="II120" s="286">
        <v>-5.0</v>
      </c>
      <c r="IJ120" s="286">
        <v>-6.0</v>
      </c>
      <c r="IK120" s="286">
        <v>-7.0</v>
      </c>
      <c r="IL120" s="286">
        <v>-8.0</v>
      </c>
      <c r="IM120" s="286">
        <v>-9.0</v>
      </c>
      <c r="IN120" s="286">
        <v>-10.0</v>
      </c>
      <c r="IO120" s="286">
        <v>-11.0</v>
      </c>
      <c r="IP120" s="286">
        <v>-12.0</v>
      </c>
      <c r="IQ120" s="286">
        <v>-13.0</v>
      </c>
      <c r="IR120" s="286">
        <v>-14.0</v>
      </c>
      <c r="IS120" s="286">
        <v>-15.0</v>
      </c>
      <c r="IT120" s="286">
        <v>-16.0</v>
      </c>
      <c r="IU120" s="287"/>
      <c r="IV120" s="285">
        <v>-1.0</v>
      </c>
      <c r="IW120" s="286">
        <v>-2.0</v>
      </c>
      <c r="IX120" s="286">
        <v>-3.0</v>
      </c>
      <c r="IY120" s="286">
        <v>-4.0</v>
      </c>
      <c r="IZ120" s="286">
        <v>-5.0</v>
      </c>
      <c r="JA120" s="286">
        <v>-6.0</v>
      </c>
      <c r="JB120" s="286">
        <v>-7.0</v>
      </c>
      <c r="JC120" s="286">
        <v>-8.0</v>
      </c>
      <c r="JD120" s="286">
        <v>-9.0</v>
      </c>
      <c r="JE120" s="286">
        <v>-10.0</v>
      </c>
      <c r="JF120" s="286">
        <v>-11.0</v>
      </c>
      <c r="JG120" s="286">
        <v>-12.0</v>
      </c>
      <c r="JH120" s="286">
        <v>-13.0</v>
      </c>
      <c r="JI120" s="286">
        <v>-14.0</v>
      </c>
      <c r="JJ120" s="286">
        <v>-15.0</v>
      </c>
      <c r="JK120" s="286">
        <v>-16.0</v>
      </c>
      <c r="JL120" s="287"/>
      <c r="JM120" s="285">
        <v>-1.0</v>
      </c>
      <c r="JN120" s="286">
        <v>-2.0</v>
      </c>
      <c r="JO120" s="286">
        <v>-3.0</v>
      </c>
      <c r="JP120" s="286">
        <v>-4.0</v>
      </c>
      <c r="JQ120" s="286">
        <v>-5.0</v>
      </c>
      <c r="JR120" s="286">
        <v>-6.0</v>
      </c>
      <c r="JS120" s="286">
        <v>-7.0</v>
      </c>
      <c r="JT120" s="286">
        <v>-8.0</v>
      </c>
      <c r="JU120" s="286">
        <v>-9.0</v>
      </c>
      <c r="JV120" s="286">
        <v>-10.0</v>
      </c>
      <c r="JW120" s="286">
        <v>-11.0</v>
      </c>
      <c r="JX120" s="286">
        <v>-12.0</v>
      </c>
      <c r="JY120" s="286">
        <v>-13.0</v>
      </c>
      <c r="JZ120" s="286">
        <v>-14.0</v>
      </c>
      <c r="KA120" s="286">
        <v>-15.0</v>
      </c>
      <c r="KB120" s="286">
        <v>-16.0</v>
      </c>
      <c r="KC120" s="287"/>
      <c r="KD120" s="285">
        <v>-1.0</v>
      </c>
      <c r="KE120" s="286">
        <v>-2.0</v>
      </c>
      <c r="KF120" s="286">
        <v>-3.0</v>
      </c>
      <c r="KG120" s="286">
        <v>-4.0</v>
      </c>
      <c r="KH120" s="286">
        <v>-5.0</v>
      </c>
      <c r="KI120" s="286">
        <v>-6.0</v>
      </c>
      <c r="KJ120" s="286">
        <v>-7.0</v>
      </c>
      <c r="KK120" s="286">
        <v>-8.0</v>
      </c>
      <c r="KL120" s="286">
        <v>-9.0</v>
      </c>
      <c r="KM120" s="286">
        <v>-10.0</v>
      </c>
      <c r="KN120" s="286">
        <v>-11.0</v>
      </c>
      <c r="KO120" s="286">
        <v>-12.0</v>
      </c>
      <c r="KP120" s="286">
        <v>-13.0</v>
      </c>
      <c r="KQ120" s="286">
        <v>-14.0</v>
      </c>
      <c r="KR120" s="286">
        <v>-15.0</v>
      </c>
      <c r="KS120" s="286">
        <v>-16.0</v>
      </c>
      <c r="KT120" s="287"/>
      <c r="KU120" s="288"/>
    </row>
    <row r="121" ht="15.75" customHeight="1">
      <c r="A121" s="289">
        <v>1.0</v>
      </c>
      <c r="B121" s="290" t="str">
        <f t="shared" ref="B121:D121" si="1566">IFERROR(VLOOKUP($A121,$A$13:$D$30,-B$12,FALSE),"")</f>
        <v>Bijih  Emas</v>
      </c>
      <c r="C121" s="291" t="str">
        <f t="shared" si="1566"/>
        <v>Bijih </v>
      </c>
      <c r="D121" s="291" t="str">
        <f t="shared" si="1566"/>
        <v>Kg</v>
      </c>
      <c r="E121" s="292" t="str">
        <f>ADHK!E121</f>
        <v/>
      </c>
      <c r="F121" s="292" t="str">
        <f>ADHK!F121</f>
        <v/>
      </c>
      <c r="G121" s="292">
        <f t="shared" ref="G121:G137" si="1585">IFERROR(+E121*F121/1000000,"")</f>
        <v>0</v>
      </c>
      <c r="H121" s="293"/>
      <c r="I121" s="292">
        <f t="shared" ref="I121:I137" si="1586">IFERROR(+G121*H121,"")</f>
        <v>0</v>
      </c>
      <c r="J121" s="85"/>
      <c r="K121" s="85"/>
      <c r="L121" s="86"/>
      <c r="M121" s="294">
        <f t="shared" ref="M121:M137" si="1587">IFERROR(+(IF(G121="","0",G121))+(IF(I121="","0",I121))+(IF(L121="","0",L121)),"")</f>
        <v>0</v>
      </c>
      <c r="N121" s="293">
        <f t="shared" ref="N121:N137" si="1588">N85</f>
        <v>0.4604471269</v>
      </c>
      <c r="O121" s="295">
        <f t="shared" ref="O121:O137" si="1589">IFERROR(+N121*(M121-L121),"")</f>
        <v>0</v>
      </c>
      <c r="P121" s="296">
        <f t="shared" ref="P121:P137" si="1590">IFERROR(+(IF(M121="","0",M121))-(IF(O121="","0",O121)),"")</f>
        <v>0</v>
      </c>
      <c r="Q121" s="297"/>
      <c r="R121" s="289">
        <v>1.0</v>
      </c>
      <c r="S121" s="290" t="str">
        <f t="shared" ref="S121:U121" si="1567">IFERROR(VLOOKUP($R121,$A$13:$D$30,-S$12,FALSE),"")</f>
        <v>Bijih  Emas</v>
      </c>
      <c r="T121" s="291" t="str">
        <f t="shared" si="1567"/>
        <v>Bijih </v>
      </c>
      <c r="U121" s="291" t="str">
        <f t="shared" si="1567"/>
        <v>Kg</v>
      </c>
      <c r="V121" s="292" t="str">
        <f>ADHK!V121</f>
        <v/>
      </c>
      <c r="W121" s="292"/>
      <c r="X121" s="292">
        <f t="shared" ref="X121:X137" si="1592">IFERROR(+V121*W121/1000000,"")</f>
        <v>0</v>
      </c>
      <c r="Y121" s="293"/>
      <c r="Z121" s="292">
        <f t="shared" ref="Z121:Z137" si="1593">IFERROR(+X121*Y121,"")</f>
        <v>0</v>
      </c>
      <c r="AA121" s="85"/>
      <c r="AB121" s="85"/>
      <c r="AC121" s="86"/>
      <c r="AD121" s="294">
        <f t="shared" ref="AD121:AD137" si="1594">IFERROR(+(IF(X121="","0",X121))+(IF(Z121="","0",Z121))+(IF(AC121="","0",AC121)),"")</f>
        <v>0</v>
      </c>
      <c r="AE121" s="293">
        <f t="shared" ref="AE121:AE137" si="1595">AE85</f>
        <v>0.4604471269</v>
      </c>
      <c r="AF121" s="295">
        <f t="shared" ref="AF121:AF137" si="1596">IFERROR(+AE121*(AD121-AC121),"")</f>
        <v>0</v>
      </c>
      <c r="AG121" s="296">
        <f t="shared" ref="AG121:AG137" si="1597">IFERROR(+(IF(AD121="","0",AD121))-(IF(AF121="","0",AF121)),"")</f>
        <v>0</v>
      </c>
      <c r="AH121" s="297"/>
      <c r="AI121" s="289">
        <v>1.0</v>
      </c>
      <c r="AJ121" s="290" t="str">
        <f t="shared" ref="AJ121:AL121" si="1568">IFERROR(VLOOKUP($R121,$A$13:$D$30,-AJ$12,FALSE),"")</f>
        <v>Bijih  Emas</v>
      </c>
      <c r="AK121" s="291" t="str">
        <f t="shared" si="1568"/>
        <v>Bijih </v>
      </c>
      <c r="AL121" s="291" t="str">
        <f t="shared" si="1568"/>
        <v>Kg</v>
      </c>
      <c r="AM121" s="292" t="str">
        <f>ADHK!AM121</f>
        <v/>
      </c>
      <c r="AN121" s="292"/>
      <c r="AO121" s="292">
        <f t="shared" ref="AO121:AO137" si="1599">IFERROR(+AM121*AN121/1000000,"")</f>
        <v>0</v>
      </c>
      <c r="AP121" s="293"/>
      <c r="AQ121" s="292">
        <f t="shared" ref="AQ121:AQ137" si="1600">IFERROR(+AO121*AP121,"")</f>
        <v>0</v>
      </c>
      <c r="AR121" s="85"/>
      <c r="AS121" s="85"/>
      <c r="AT121" s="86"/>
      <c r="AU121" s="294">
        <f t="shared" ref="AU121:AU137" si="1601">IFERROR(+(IF(AO121="","0",AO121))+(IF(AQ121="","0",AQ121))+(IF(AT121="","0",AT121)),"")</f>
        <v>0</v>
      </c>
      <c r="AV121" s="293">
        <f t="shared" ref="AV121:AV137" si="1602">AV85</f>
        <v>0.4604471269</v>
      </c>
      <c r="AW121" s="295">
        <f t="shared" ref="AW121:AW137" si="1603">IFERROR(+AV121*(AU121-AT121),"")</f>
        <v>0</v>
      </c>
      <c r="AX121" s="296">
        <f t="shared" ref="AX121:AX137" si="1604">IFERROR(+(IF(AU121="","0",AU121))-(IF(AW121="","0",AW121)),"")</f>
        <v>0</v>
      </c>
      <c r="AY121" s="297"/>
      <c r="AZ121" s="289">
        <v>1.0</v>
      </c>
      <c r="BA121" s="290" t="str">
        <f t="shared" ref="BA121:BC121" si="1569">IFERROR(VLOOKUP($R121,$A$13:$D$30,-BA$12,FALSE),"")</f>
        <v>Bijih  Emas</v>
      </c>
      <c r="BB121" s="291" t="str">
        <f t="shared" si="1569"/>
        <v>Bijih </v>
      </c>
      <c r="BC121" s="291" t="str">
        <f t="shared" si="1569"/>
        <v>Kg</v>
      </c>
      <c r="BD121" s="292" t="str">
        <f>ADHK!BD121</f>
        <v/>
      </c>
      <c r="BE121" s="292"/>
      <c r="BF121" s="292">
        <f t="shared" ref="BF121:BF137" si="1606">IFERROR(+BD121*BE121/1000000,"")</f>
        <v>0</v>
      </c>
      <c r="BG121" s="293"/>
      <c r="BH121" s="292">
        <f t="shared" ref="BH121:BH137" si="1607">IFERROR(+BF121*BG121,"")</f>
        <v>0</v>
      </c>
      <c r="BI121" s="85"/>
      <c r="BJ121" s="85"/>
      <c r="BK121" s="86"/>
      <c r="BL121" s="294">
        <f t="shared" ref="BL121:BL137" si="1608">IFERROR(+(IF(BF121="","0",BF121))+(IF(BH121="","0",BH121))+(IF(BK121="","0",BK121)),"")</f>
        <v>0</v>
      </c>
      <c r="BM121" s="293">
        <f t="shared" ref="BM121:BM137" si="1609">BM85</f>
        <v>0.4604471269</v>
      </c>
      <c r="BN121" s="295">
        <f t="shared" ref="BN121:BN137" si="1610">IFERROR(+BM121*(BL121-BK121),"")</f>
        <v>0</v>
      </c>
      <c r="BO121" s="296">
        <f t="shared" ref="BO121:BO137" si="1611">IFERROR(+(IF(BL121="","0",BL121))-(IF(BN121="","0",BN121)),"")</f>
        <v>0</v>
      </c>
      <c r="BP121" s="297"/>
      <c r="BQ121" s="289">
        <v>1.0</v>
      </c>
      <c r="BR121" s="290" t="str">
        <f t="shared" ref="BR121:BT121" si="1570">IFERROR(VLOOKUP($R121,$A$13:$D$30,-BR$12,FALSE),"")</f>
        <v>Bijih  Emas</v>
      </c>
      <c r="BS121" s="291" t="str">
        <f t="shared" si="1570"/>
        <v>Bijih </v>
      </c>
      <c r="BT121" s="291" t="str">
        <f t="shared" si="1570"/>
        <v>Kg</v>
      </c>
      <c r="BU121" s="292" t="str">
        <f>ADHK!BU121</f>
        <v/>
      </c>
      <c r="BV121" s="292"/>
      <c r="BW121" s="292">
        <f t="shared" ref="BW121:BW137" si="1613">IFERROR(+BU121*BV121/1000000,"")</f>
        <v>0</v>
      </c>
      <c r="BX121" s="293"/>
      <c r="BY121" s="292">
        <f t="shared" ref="BY121:BY137" si="1614">IFERROR(+BW121*BX121,"")</f>
        <v>0</v>
      </c>
      <c r="BZ121" s="85"/>
      <c r="CA121" s="85"/>
      <c r="CB121" s="86"/>
      <c r="CC121" s="294">
        <f t="shared" ref="CC121:CC137" si="1615">IFERROR(+(IF(BW121="","0",BW121))+(IF(BY121="","0",BY121))+(IF(CB121="","0",CB121)),"")</f>
        <v>0</v>
      </c>
      <c r="CD121" s="293">
        <f t="shared" ref="CD121:CD137" si="1616">CD85</f>
        <v>0.4604471269</v>
      </c>
      <c r="CE121" s="295">
        <f t="shared" ref="CE121:CE137" si="1617">IFERROR(+CD121*(CC121-CB121),"")</f>
        <v>0</v>
      </c>
      <c r="CF121" s="296">
        <f t="shared" ref="CF121:CF137" si="1618">IFERROR(+(IF(CC121="","0",CC121))-(IF(CE121="","0",CE121)),"")</f>
        <v>0</v>
      </c>
      <c r="CG121" s="297"/>
      <c r="CH121" s="289">
        <v>1.0</v>
      </c>
      <c r="CI121" s="290" t="str">
        <f t="shared" ref="CI121:CK121" si="1571">IFERROR(VLOOKUP($R121,$A$13:$D$30,-CI$12,FALSE),"")</f>
        <v>Bijih  Emas</v>
      </c>
      <c r="CJ121" s="291" t="str">
        <f t="shared" si="1571"/>
        <v>Bijih </v>
      </c>
      <c r="CK121" s="291" t="str">
        <f t="shared" si="1571"/>
        <v>Kg</v>
      </c>
      <c r="CL121" s="292" t="str">
        <f>ADHK!CL121</f>
        <v/>
      </c>
      <c r="CM121" s="292"/>
      <c r="CN121" s="292">
        <f t="shared" ref="CN121:CN137" si="1620">IFERROR(+CL121*CM121/1000000,"")</f>
        <v>0</v>
      </c>
      <c r="CO121" s="293"/>
      <c r="CP121" s="292">
        <f t="shared" ref="CP121:CP137" si="1621">IFERROR(+CN121*CO121,"")</f>
        <v>0</v>
      </c>
      <c r="CQ121" s="85"/>
      <c r="CR121" s="85"/>
      <c r="CS121" s="86"/>
      <c r="CT121" s="294">
        <f t="shared" ref="CT121:CT137" si="1622">IFERROR(+(IF(CN121="","0",CN121))+(IF(CP121="","0",CP121))+(IF(CS121="","0",CS121)),"")</f>
        <v>0</v>
      </c>
      <c r="CU121" s="293">
        <f t="shared" ref="CU121:CU137" si="1623">CU85</f>
        <v>0.4604471269</v>
      </c>
      <c r="CV121" s="295">
        <f t="shared" ref="CV121:CV137" si="1624">IFERROR(+CU121*(CT121-CS121),"")</f>
        <v>0</v>
      </c>
      <c r="CW121" s="296">
        <f t="shared" ref="CW121:CW137" si="1625">IFERROR(+(IF(CT121="","0",CT121))-(IF(CV121="","0",CV121)),"")</f>
        <v>0</v>
      </c>
      <c r="CX121" s="297"/>
      <c r="CY121" s="289">
        <v>1.0</v>
      </c>
      <c r="CZ121" s="290" t="str">
        <f t="shared" ref="CZ121:DB121" si="1572">IFERROR(VLOOKUP($R121,$A$13:$D$30,-CZ$12,FALSE),"")</f>
        <v>Bijih  Emas</v>
      </c>
      <c r="DA121" s="291" t="str">
        <f t="shared" si="1572"/>
        <v>Bijih </v>
      </c>
      <c r="DB121" s="291" t="str">
        <f t="shared" si="1572"/>
        <v>Kg</v>
      </c>
      <c r="DC121" s="292" t="str">
        <f>ADHK!DC121</f>
        <v/>
      </c>
      <c r="DD121" s="292"/>
      <c r="DE121" s="292">
        <f t="shared" ref="DE121:DE137" si="1627">IFERROR(+DC121*DD121/1000000,"")</f>
        <v>0</v>
      </c>
      <c r="DF121" s="293"/>
      <c r="DG121" s="292">
        <f t="shared" ref="DG121:DG137" si="1628">IFERROR(+DE121*DF121,"")</f>
        <v>0</v>
      </c>
      <c r="DH121" s="85"/>
      <c r="DI121" s="85"/>
      <c r="DJ121" s="86"/>
      <c r="DK121" s="294">
        <f t="shared" ref="DK121:DK137" si="1629">IFERROR(+(IF(DE121="","0",DE121))+(IF(DG121="","0",DG121))+(IF(DJ121="","0",DJ121)),"")</f>
        <v>0</v>
      </c>
      <c r="DL121" s="293">
        <f t="shared" ref="DL121:DL137" si="1630">DL85</f>
        <v>0.4604471269</v>
      </c>
      <c r="DM121" s="295">
        <f t="shared" ref="DM121:DM137" si="1631">IFERROR(+DL121*(DK121-DJ121),"")</f>
        <v>0</v>
      </c>
      <c r="DN121" s="296">
        <f t="shared" ref="DN121:DN137" si="1632">IFERROR(+(IF(DK121="","0",DK121))-(IF(DM121="","0",DM121)),"")</f>
        <v>0</v>
      </c>
      <c r="DO121" s="297"/>
      <c r="DP121" s="289">
        <v>1.0</v>
      </c>
      <c r="DQ121" s="290" t="str">
        <f t="shared" ref="DQ121:DS121" si="1573">IFERROR(VLOOKUP($R121,$A$13:$D$30,-DQ$12,FALSE),"")</f>
        <v>Bijih  Emas</v>
      </c>
      <c r="DR121" s="291" t="str">
        <f t="shared" si="1573"/>
        <v>Bijih </v>
      </c>
      <c r="DS121" s="291" t="str">
        <f t="shared" si="1573"/>
        <v>Kg</v>
      </c>
      <c r="DT121" s="292" t="str">
        <f>ADHK!DT121</f>
        <v/>
      </c>
      <c r="DU121" s="292"/>
      <c r="DV121" s="292">
        <f t="shared" ref="DV121:DV137" si="1634">IFERROR(+DT121*DU121/1000000,"")</f>
        <v>0</v>
      </c>
      <c r="DW121" s="293"/>
      <c r="DX121" s="292">
        <f t="shared" ref="DX121:DX137" si="1635">IFERROR(+DV121*DW121,"")</f>
        <v>0</v>
      </c>
      <c r="DY121" s="85"/>
      <c r="DZ121" s="85"/>
      <c r="EA121" s="86"/>
      <c r="EB121" s="294">
        <f t="shared" ref="EB121:EB137" si="1636">IFERROR(+(IF(DV121="","0",DV121))+(IF(DX121="","0",DX121))+(IF(EA121="","0",EA121)),"")</f>
        <v>0</v>
      </c>
      <c r="EC121" s="293">
        <f t="shared" ref="EC121:EC137" si="1637">EC85</f>
        <v>0.4604471269</v>
      </c>
      <c r="ED121" s="295">
        <f t="shared" ref="ED121:ED137" si="1638">IFERROR(+EC121*(EB121-EA121),"")</f>
        <v>0</v>
      </c>
      <c r="EE121" s="296">
        <f t="shared" ref="EE121:EE137" si="1639">IFERROR(+(IF(EB121="","0",EB121))-(IF(ED121="","0",ED121)),"")</f>
        <v>0</v>
      </c>
      <c r="EF121" s="297"/>
      <c r="EG121" s="289">
        <v>1.0</v>
      </c>
      <c r="EH121" s="290" t="str">
        <f t="shared" ref="EH121:EJ121" si="1574">IFERROR(VLOOKUP($R121,$A$13:$D$30,-EH$12,FALSE),"")</f>
        <v>Bijih  Emas</v>
      </c>
      <c r="EI121" s="291" t="str">
        <f t="shared" si="1574"/>
        <v>Bijih </v>
      </c>
      <c r="EJ121" s="291" t="str">
        <f t="shared" si="1574"/>
        <v>Kg</v>
      </c>
      <c r="EK121" s="292" t="str">
        <f>ADHK!EK121</f>
        <v/>
      </c>
      <c r="EL121" s="292"/>
      <c r="EM121" s="292">
        <f t="shared" ref="EM121:EM137" si="1641">IFERROR(+EK121*EL121/1000000,"")</f>
        <v>0</v>
      </c>
      <c r="EN121" s="293"/>
      <c r="EO121" s="292">
        <f t="shared" ref="EO121:EO137" si="1642">IFERROR(+EM121*EN121,"")</f>
        <v>0</v>
      </c>
      <c r="EP121" s="85"/>
      <c r="EQ121" s="85"/>
      <c r="ER121" s="86"/>
      <c r="ES121" s="294">
        <f t="shared" ref="ES121:ES137" si="1643">IFERROR(+(IF(EM121="","0",EM121))+(IF(EO121="","0",EO121))+(IF(ER121="","0",ER121)),"")</f>
        <v>0</v>
      </c>
      <c r="ET121" s="293">
        <f t="shared" ref="ET121:ET137" si="1644">ET85</f>
        <v>0.4604471269</v>
      </c>
      <c r="EU121" s="295">
        <f t="shared" ref="EU121:EU137" si="1645">IFERROR(+ET121*(ES121-ER121),"")</f>
        <v>0</v>
      </c>
      <c r="EV121" s="296">
        <f t="shared" ref="EV121:EV137" si="1646">IFERROR(+(IF(ES121="","0",ES121))-(IF(EU121="","0",EU121)),"")</f>
        <v>0</v>
      </c>
      <c r="EW121" s="297"/>
      <c r="EX121" s="289">
        <v>1.0</v>
      </c>
      <c r="EY121" s="290" t="str">
        <f t="shared" ref="EY121:FA121" si="1575">IFERROR(VLOOKUP($R121,$A$13:$D$30,-EY$12,FALSE),"")</f>
        <v>Bijih  Emas</v>
      </c>
      <c r="EZ121" s="291" t="str">
        <f t="shared" si="1575"/>
        <v>Bijih </v>
      </c>
      <c r="FA121" s="291" t="str">
        <f t="shared" si="1575"/>
        <v>Kg</v>
      </c>
      <c r="FB121" s="292" t="str">
        <f>ADHK!FB121</f>
        <v/>
      </c>
      <c r="FC121" s="292"/>
      <c r="FD121" s="292">
        <f t="shared" ref="FD121:FD137" si="1648">IFERROR(+FB121*FC121/1000000,"")</f>
        <v>0</v>
      </c>
      <c r="FE121" s="293"/>
      <c r="FF121" s="292">
        <f t="shared" ref="FF121:FF137" si="1649">IFERROR(+FD121*FE121,"")</f>
        <v>0</v>
      </c>
      <c r="FG121" s="85"/>
      <c r="FH121" s="85"/>
      <c r="FI121" s="86"/>
      <c r="FJ121" s="294">
        <f t="shared" ref="FJ121:FJ137" si="1650">IFERROR(+(IF(FD121="","0",FD121))+(IF(FF121="","0",FF121))+(IF(FI121="","0",FI121)),"")</f>
        <v>0</v>
      </c>
      <c r="FK121" s="293">
        <f t="shared" ref="FK121:FK137" si="1651">FK85</f>
        <v>0.4604471269</v>
      </c>
      <c r="FL121" s="295">
        <f t="shared" ref="FL121:FL137" si="1652">IFERROR(+FK121*(FJ121-FI121),"")</f>
        <v>0</v>
      </c>
      <c r="FM121" s="296">
        <f t="shared" ref="FM121:FM137" si="1653">IFERROR(+(IF(FJ121="","0",FJ121))-(IF(FL121="","0",FL121)),"")</f>
        <v>0</v>
      </c>
      <c r="FN121" s="297"/>
      <c r="FO121" s="289">
        <v>1.0</v>
      </c>
      <c r="FP121" s="290" t="str">
        <f t="shared" ref="FP121:FR121" si="1576">IFERROR(VLOOKUP($R121,$A$13:$D$30,-FP$12,FALSE),"")</f>
        <v>Bijih  Emas</v>
      </c>
      <c r="FQ121" s="291" t="str">
        <f t="shared" si="1576"/>
        <v>Bijih </v>
      </c>
      <c r="FR121" s="291" t="str">
        <f t="shared" si="1576"/>
        <v>Kg</v>
      </c>
      <c r="FS121" s="292" t="str">
        <f>ADHK!FS121</f>
        <v/>
      </c>
      <c r="FT121" s="292"/>
      <c r="FU121" s="292">
        <f t="shared" ref="FU121:FU137" si="1655">IFERROR(+FS121*FT121/1000000,"")</f>
        <v>0</v>
      </c>
      <c r="FV121" s="293"/>
      <c r="FW121" s="292">
        <f t="shared" ref="FW121:FW137" si="1656">IFERROR(+FU121*FV121,"")</f>
        <v>0</v>
      </c>
      <c r="FX121" s="85"/>
      <c r="FY121" s="85"/>
      <c r="FZ121" s="86"/>
      <c r="GA121" s="294">
        <f t="shared" ref="GA121:GA137" si="1657">IFERROR(+(IF(FU121="","0",FU121))+(IF(FW121="","0",FW121))+(IF(FZ121="","0",FZ121)),"")</f>
        <v>0</v>
      </c>
      <c r="GB121" s="293">
        <f t="shared" ref="GB121:GB137" si="1658">GB85</f>
        <v>0.4604471269</v>
      </c>
      <c r="GC121" s="295">
        <f t="shared" ref="GC121:GC137" si="1659">IFERROR(+GB121*(GA121-FZ121),"")</f>
        <v>0</v>
      </c>
      <c r="GD121" s="296">
        <f t="shared" ref="GD121:GD137" si="1660">IFERROR(+(IF(GA121="","0",GA121))-(IF(GC121="","0",GC121)),"")</f>
        <v>0</v>
      </c>
      <c r="GE121" s="297"/>
      <c r="GF121" s="289">
        <v>1.0</v>
      </c>
      <c r="GG121" s="290" t="str">
        <f t="shared" ref="GG121:GI121" si="1577">IFERROR(VLOOKUP($R121,$A$13:$D$30,-GG$12,FALSE),"")</f>
        <v>Bijih  Emas</v>
      </c>
      <c r="GH121" s="291" t="str">
        <f t="shared" si="1577"/>
        <v>Bijih </v>
      </c>
      <c r="GI121" s="291" t="str">
        <f t="shared" si="1577"/>
        <v>Kg</v>
      </c>
      <c r="GJ121" s="292" t="str">
        <f>ADHK!GJ121</f>
        <v/>
      </c>
      <c r="GK121" s="292"/>
      <c r="GL121" s="292">
        <f t="shared" ref="GL121:GL137" si="1662">IFERROR(+GJ121*GK121/1000000,"")</f>
        <v>0</v>
      </c>
      <c r="GM121" s="293"/>
      <c r="GN121" s="292">
        <f t="shared" ref="GN121:GN137" si="1663">IFERROR(+GL121*GM121,"")</f>
        <v>0</v>
      </c>
      <c r="GO121" s="85"/>
      <c r="GP121" s="85"/>
      <c r="GQ121" s="86"/>
      <c r="GR121" s="294">
        <f t="shared" ref="GR121:GR137" si="1664">IFERROR(+(IF(GL121="","0",GL121))+(IF(GN121="","0",GN121))+(IF(GQ121="","0",GQ121)),"")</f>
        <v>0</v>
      </c>
      <c r="GS121" s="293">
        <f t="shared" ref="GS121:GS137" si="1665">GS85</f>
        <v>0.4604471269</v>
      </c>
      <c r="GT121" s="295">
        <f t="shared" ref="GT121:GT137" si="1666">IFERROR(+GS121*(GR121-GQ121),"")</f>
        <v>0</v>
      </c>
      <c r="GU121" s="296">
        <f t="shared" ref="GU121:GU137" si="1667">IFERROR(+(IF(GR121="","0",GR121))-(IF(GT121="","0",GT121)),"")</f>
        <v>0</v>
      </c>
      <c r="GV121" s="297"/>
      <c r="GW121" s="289">
        <v>1.0</v>
      </c>
      <c r="GX121" s="290" t="str">
        <f t="shared" ref="GX121:GZ121" si="1578">IFERROR(VLOOKUP($R121,$A$13:$D$30,-GX$12,FALSE),"")</f>
        <v>Bijih  Emas</v>
      </c>
      <c r="GY121" s="291" t="str">
        <f t="shared" si="1578"/>
        <v>Bijih </v>
      </c>
      <c r="GZ121" s="291" t="str">
        <f t="shared" si="1578"/>
        <v>Kg</v>
      </c>
      <c r="HA121" s="292" t="str">
        <f>ADHK!HA121</f>
        <v/>
      </c>
      <c r="HB121" s="292"/>
      <c r="HC121" s="292">
        <f t="shared" ref="HC121:HC137" si="1669">IFERROR(+HA121*HB121/1000000,"")</f>
        <v>0</v>
      </c>
      <c r="HD121" s="293"/>
      <c r="HE121" s="292">
        <f t="shared" ref="HE121:HE137" si="1670">IFERROR(+HC121*HD121,"")</f>
        <v>0</v>
      </c>
      <c r="HF121" s="85"/>
      <c r="HG121" s="85"/>
      <c r="HH121" s="86"/>
      <c r="HI121" s="294">
        <f t="shared" ref="HI121:HI137" si="1671">IFERROR(+(IF(HC121="","0",HC121))+(IF(HE121="","0",HE121))+(IF(HH121="","0",HH121)),"")</f>
        <v>0</v>
      </c>
      <c r="HJ121" s="293">
        <f t="shared" ref="HJ121:HJ137" si="1672">HJ85</f>
        <v>0.4604471269</v>
      </c>
      <c r="HK121" s="295">
        <f t="shared" ref="HK121:HK137" si="1673">IFERROR(+HJ121*(HI121-HH121),"")</f>
        <v>0</v>
      </c>
      <c r="HL121" s="296">
        <f t="shared" ref="HL121:HL137" si="1674">IFERROR(+(IF(HI121="","0",HI121))-(IF(HK121="","0",HK121)),"")</f>
        <v>0</v>
      </c>
      <c r="HM121" s="297"/>
      <c r="HN121" s="289">
        <v>1.0</v>
      </c>
      <c r="HO121" s="290" t="str">
        <f t="shared" ref="HO121:HQ121" si="1579">IFERROR(VLOOKUP($R121,$A$13:$D$30,-HO$12,FALSE),"")</f>
        <v>Bijih  Emas</v>
      </c>
      <c r="HP121" s="291" t="str">
        <f t="shared" si="1579"/>
        <v>Bijih </v>
      </c>
      <c r="HQ121" s="291" t="str">
        <f t="shared" si="1579"/>
        <v>Kg</v>
      </c>
      <c r="HR121" s="292"/>
      <c r="HS121" s="292"/>
      <c r="HT121" s="292">
        <f t="shared" ref="HT121:HT137" si="1676">IFERROR(+HR121*HS121/1000000,"")</f>
        <v>0</v>
      </c>
      <c r="HU121" s="293"/>
      <c r="HV121" s="292">
        <f t="shared" ref="HV121:HV137" si="1677">IFERROR(+HT121*HU121,"")</f>
        <v>0</v>
      </c>
      <c r="HW121" s="85"/>
      <c r="HX121" s="85"/>
      <c r="HY121" s="86"/>
      <c r="HZ121" s="294">
        <f t="shared" ref="HZ121:HZ137" si="1678">IFERROR(+(IF(HT121="","0",HT121))+(IF(HV121="","0",HV121))+(IF(HY121="","0",HY121)),"")</f>
        <v>0</v>
      </c>
      <c r="IA121" s="293">
        <f t="shared" ref="IA121:IA137" si="1679">IA85</f>
        <v>0.4604471269</v>
      </c>
      <c r="IB121" s="295">
        <f t="shared" ref="IB121:IB137" si="1680">IFERROR(+IA121*(HZ121-HY121),"")</f>
        <v>0</v>
      </c>
      <c r="IC121" s="296">
        <f t="shared" ref="IC121:IC137" si="1681">IFERROR(+(IF(HZ121="","0",HZ121))-(IF(IB121="","0",IB121)),"")</f>
        <v>0</v>
      </c>
      <c r="ID121" s="297"/>
      <c r="IE121" s="289">
        <v>1.0</v>
      </c>
      <c r="IF121" s="290" t="str">
        <f t="shared" ref="IF121:IH121" si="1580">IFERROR(VLOOKUP($R121,$A$13:$D$30,-IF$12,FALSE),"")</f>
        <v>Bijih  Emas</v>
      </c>
      <c r="IG121" s="291" t="str">
        <f t="shared" si="1580"/>
        <v>Bijih </v>
      </c>
      <c r="IH121" s="291" t="str">
        <f t="shared" si="1580"/>
        <v>Kg</v>
      </c>
      <c r="II121" s="292" t="str">
        <f>ADHK!II121</f>
        <v/>
      </c>
      <c r="IJ121" s="292"/>
      <c r="IK121" s="292">
        <f t="shared" ref="IK121:IK137" si="1683">IFERROR(+II121*IJ121/1000000,"")</f>
        <v>0</v>
      </c>
      <c r="IL121" s="293"/>
      <c r="IM121" s="292">
        <f t="shared" ref="IM121:IM137" si="1684">IFERROR(+IK121*IL121,"")</f>
        <v>0</v>
      </c>
      <c r="IN121" s="85"/>
      <c r="IO121" s="85"/>
      <c r="IP121" s="86"/>
      <c r="IQ121" s="294">
        <f t="shared" ref="IQ121:IQ137" si="1685">IFERROR(+(IF(IK121="","0",IK121))+(IF(IM121="","0",IM121))+(IF(IP121="","0",IP121)),"")</f>
        <v>0</v>
      </c>
      <c r="IR121" s="293">
        <f t="shared" ref="IR121:IR137" si="1686">IR85</f>
        <v>0.4604471269</v>
      </c>
      <c r="IS121" s="295">
        <f t="shared" ref="IS121:IS137" si="1687">IFERROR(+IR121*(IQ121-IP121),"")</f>
        <v>0</v>
      </c>
      <c r="IT121" s="296">
        <f t="shared" ref="IT121:IT137" si="1688">IFERROR(+(IF(IQ121="","0",IQ121))-(IF(IS121="","0",IS121)),"")</f>
        <v>0</v>
      </c>
      <c r="IU121" s="297"/>
      <c r="IV121" s="289">
        <v>1.0</v>
      </c>
      <c r="IW121" s="290" t="str">
        <f t="shared" ref="IW121:IY121" si="1581">IFERROR(VLOOKUP($R121,$A$13:$D$30,-IW$12,FALSE),"")</f>
        <v>Bijih  Emas</v>
      </c>
      <c r="IX121" s="291" t="str">
        <f t="shared" si="1581"/>
        <v>Bijih </v>
      </c>
      <c r="IY121" s="291" t="str">
        <f t="shared" si="1581"/>
        <v>Kg</v>
      </c>
      <c r="IZ121" s="292" t="str">
        <f>ADHK!IZ121</f>
        <v/>
      </c>
      <c r="JA121" s="292"/>
      <c r="JB121" s="292">
        <f t="shared" ref="JB121:JB137" si="1690">IFERROR(+IZ121*JA121/1000000,"")</f>
        <v>0</v>
      </c>
      <c r="JC121" s="293"/>
      <c r="JD121" s="292">
        <f t="shared" ref="JD121:JD137" si="1691">IFERROR(+JB121*JC121,"")</f>
        <v>0</v>
      </c>
      <c r="JE121" s="85"/>
      <c r="JF121" s="85"/>
      <c r="JG121" s="86"/>
      <c r="JH121" s="294">
        <f t="shared" ref="JH121:JH137" si="1692">IFERROR(+(IF(JB121="","0",JB121))+(IF(JD121="","0",JD121))+(IF(JG121="","0",JG121)),"")</f>
        <v>0</v>
      </c>
      <c r="JI121" s="293">
        <f t="shared" ref="JI121:JI137" si="1693">JI85</f>
        <v>0.4604471269</v>
      </c>
      <c r="JJ121" s="295">
        <f t="shared" ref="JJ121:JJ137" si="1694">IFERROR(+JI121*(JH121-JG121),"")</f>
        <v>0</v>
      </c>
      <c r="JK121" s="296">
        <f t="shared" ref="JK121:JK137" si="1695">IFERROR(+(IF(JH121="","0",JH121))-(IF(JJ121="","0",JJ121)),"")</f>
        <v>0</v>
      </c>
      <c r="JL121" s="297"/>
      <c r="JM121" s="289">
        <v>1.0</v>
      </c>
      <c r="JN121" s="290" t="str">
        <f t="shared" ref="JN121:JP121" si="1582">IFERROR(VLOOKUP($R121,$A$13:$D$30,-JN$12,FALSE),"")</f>
        <v>Bijih  Emas</v>
      </c>
      <c r="JO121" s="291" t="str">
        <f t="shared" si="1582"/>
        <v>Bijih </v>
      </c>
      <c r="JP121" s="291" t="str">
        <f t="shared" si="1582"/>
        <v>Kg</v>
      </c>
      <c r="JQ121" s="292" t="str">
        <f>ADHK!KY121</f>
        <v/>
      </c>
      <c r="JR121" s="292"/>
      <c r="JS121" s="292">
        <f t="shared" ref="JS121:JS137" si="1697">IFERROR(+JQ121*JR121/1000000,"")</f>
        <v>0</v>
      </c>
      <c r="JT121" s="293"/>
      <c r="JU121" s="292">
        <f t="shared" ref="JU121:JU137" si="1698">IFERROR(+JS121*JT121,"")</f>
        <v>0</v>
      </c>
      <c r="JV121" s="85"/>
      <c r="JW121" s="85"/>
      <c r="JX121" s="86"/>
      <c r="JY121" s="294">
        <f t="shared" ref="JY121:JY137" si="1699">IFERROR(+(IF(JS121="","0",JS121))+(IF(JU121="","0",JU121))+(IF(JX121="","0",JX121)),"")</f>
        <v>0</v>
      </c>
      <c r="JZ121" s="293">
        <f t="shared" ref="JZ121:JZ137" si="1700">JZ85</f>
        <v>0.4604471269</v>
      </c>
      <c r="KA121" s="295">
        <f t="shared" ref="KA121:KA137" si="1701">IFERROR(+JZ121*(JY121-JX121),"")</f>
        <v>0</v>
      </c>
      <c r="KB121" s="296">
        <f t="shared" ref="KB121:KB137" si="1702">IFERROR(+(IF(JY121="","0",JY121))-(IF(KA121="","0",KA121)),"")</f>
        <v>0</v>
      </c>
      <c r="KC121" s="297"/>
      <c r="KD121" s="289">
        <v>1.0</v>
      </c>
      <c r="KE121" s="290" t="str">
        <f t="shared" ref="KE121:KG121" si="1583">IFERROR(VLOOKUP($R121,$A$13:$D$30,-KE$12,FALSE),"")</f>
        <v>Bijih  Emas</v>
      </c>
      <c r="KF121" s="291" t="str">
        <f t="shared" si="1583"/>
        <v>Bijih </v>
      </c>
      <c r="KG121" s="291" t="str">
        <f t="shared" si="1583"/>
        <v>Kg</v>
      </c>
      <c r="KH121" s="292" t="str">
        <f>ADHK!LP121</f>
        <v/>
      </c>
      <c r="KI121" s="292"/>
      <c r="KJ121" s="292">
        <f t="shared" ref="KJ121:KJ137" si="1704">IFERROR(+KH121*KI121/1000000,"")</f>
        <v>0</v>
      </c>
      <c r="KK121" s="293"/>
      <c r="KL121" s="292">
        <f t="shared" ref="KL121:KL137" si="1705">IFERROR(+KJ121*KK121,"")</f>
        <v>0</v>
      </c>
      <c r="KM121" s="85"/>
      <c r="KN121" s="85"/>
      <c r="KO121" s="86"/>
      <c r="KP121" s="294">
        <f t="shared" ref="KP121:KP137" si="1706">IFERROR(+(IF(KJ121="","0",KJ121))+(IF(KL121="","0",KL121))+(IF(KO121="","0",KO121)),"")</f>
        <v>0</v>
      </c>
      <c r="KQ121" s="293">
        <f t="shared" ref="KQ121:KQ137" si="1707">KQ85</f>
        <v>0.4604471269</v>
      </c>
      <c r="KR121" s="295">
        <f t="shared" ref="KR121:KR137" si="1708">IFERROR(+KQ121*(KP121-KO121),"")</f>
        <v>0</v>
      </c>
      <c r="KS121" s="296">
        <f t="shared" ref="KS121:KS137" si="1709">IFERROR(+(IF(KP121="","0",KP121))-(IF(KR121="","0",KR121)),"")</f>
        <v>0</v>
      </c>
      <c r="KT121" s="297"/>
      <c r="KU121" s="298"/>
    </row>
    <row r="122" ht="15.75" customHeight="1">
      <c r="A122" s="299">
        <f t="shared" ref="A122:A137" si="1710">A121+1</f>
        <v>2</v>
      </c>
      <c r="B122" s="300" t="str">
        <f t="shared" ref="B122:D122" si="1584">IFERROR(VLOOKUP($A122,$A$13:$D$30,-B$12,FALSE),"")</f>
        <v>Bijih  Perak</v>
      </c>
      <c r="C122" s="301" t="str">
        <f t="shared" si="1584"/>
        <v>Bijih </v>
      </c>
      <c r="D122" s="301" t="str">
        <f t="shared" si="1584"/>
        <v>Kg</v>
      </c>
      <c r="E122" s="294" t="str">
        <f>ADHK!E122</f>
        <v/>
      </c>
      <c r="F122" s="294" t="str">
        <f>ADHK!F122</f>
        <v/>
      </c>
      <c r="G122" s="294">
        <f t="shared" si="1585"/>
        <v>0</v>
      </c>
      <c r="H122" s="302"/>
      <c r="I122" s="294">
        <f t="shared" si="1586"/>
        <v>0</v>
      </c>
      <c r="J122" s="96"/>
      <c r="K122" s="96"/>
      <c r="L122" s="97"/>
      <c r="M122" s="294">
        <f t="shared" si="1587"/>
        <v>0</v>
      </c>
      <c r="N122" s="302">
        <f t="shared" si="1588"/>
        <v>0.4604471269</v>
      </c>
      <c r="O122" s="303">
        <f t="shared" si="1589"/>
        <v>0</v>
      </c>
      <c r="P122" s="304">
        <f t="shared" si="1590"/>
        <v>0</v>
      </c>
      <c r="Q122" s="297"/>
      <c r="R122" s="299">
        <f t="shared" ref="R122:R137" si="1712">R121+1</f>
        <v>2</v>
      </c>
      <c r="S122" s="300" t="str">
        <f t="shared" ref="S122:U122" si="1591">IFERROR(VLOOKUP($R122,$A$13:$D$30,-S$12,FALSE),"")</f>
        <v>Bijih  Perak</v>
      </c>
      <c r="T122" s="301" t="str">
        <f t="shared" si="1591"/>
        <v>Bijih </v>
      </c>
      <c r="U122" s="301" t="str">
        <f t="shared" si="1591"/>
        <v>Kg</v>
      </c>
      <c r="V122" s="294" t="str">
        <f>ADHK!V122</f>
        <v/>
      </c>
      <c r="W122" s="294"/>
      <c r="X122" s="294">
        <f t="shared" si="1592"/>
        <v>0</v>
      </c>
      <c r="Y122" s="302"/>
      <c r="Z122" s="294">
        <f t="shared" si="1593"/>
        <v>0</v>
      </c>
      <c r="AA122" s="96"/>
      <c r="AB122" s="96"/>
      <c r="AC122" s="97"/>
      <c r="AD122" s="294">
        <f t="shared" si="1594"/>
        <v>0</v>
      </c>
      <c r="AE122" s="302">
        <f t="shared" si="1595"/>
        <v>0.4604471269</v>
      </c>
      <c r="AF122" s="303">
        <f t="shared" si="1596"/>
        <v>0</v>
      </c>
      <c r="AG122" s="304">
        <f t="shared" si="1597"/>
        <v>0</v>
      </c>
      <c r="AH122" s="297"/>
      <c r="AI122" s="299">
        <f t="shared" ref="AI122:AI137" si="1714">AI121+1</f>
        <v>2</v>
      </c>
      <c r="AJ122" s="300" t="str">
        <f t="shared" ref="AJ122:AL122" si="1598">IFERROR(VLOOKUP($R122,$A$13:$D$30,-AJ$12,FALSE),"")</f>
        <v>Bijih  Perak</v>
      </c>
      <c r="AK122" s="301" t="str">
        <f t="shared" si="1598"/>
        <v>Bijih </v>
      </c>
      <c r="AL122" s="301" t="str">
        <f t="shared" si="1598"/>
        <v>Kg</v>
      </c>
      <c r="AM122" s="294" t="str">
        <f>ADHK!AM122</f>
        <v/>
      </c>
      <c r="AN122" s="294"/>
      <c r="AO122" s="294">
        <f t="shared" si="1599"/>
        <v>0</v>
      </c>
      <c r="AP122" s="302"/>
      <c r="AQ122" s="294">
        <f t="shared" si="1600"/>
        <v>0</v>
      </c>
      <c r="AR122" s="96"/>
      <c r="AS122" s="96"/>
      <c r="AT122" s="97"/>
      <c r="AU122" s="294">
        <f t="shared" si="1601"/>
        <v>0</v>
      </c>
      <c r="AV122" s="302">
        <f t="shared" si="1602"/>
        <v>0.4604471269</v>
      </c>
      <c r="AW122" s="303">
        <f t="shared" si="1603"/>
        <v>0</v>
      </c>
      <c r="AX122" s="304">
        <f t="shared" si="1604"/>
        <v>0</v>
      </c>
      <c r="AY122" s="297"/>
      <c r="AZ122" s="299">
        <f t="shared" ref="AZ122:AZ137" si="1716">AZ121+1</f>
        <v>2</v>
      </c>
      <c r="BA122" s="300" t="str">
        <f t="shared" ref="BA122:BC122" si="1605">IFERROR(VLOOKUP($R122,$A$13:$D$30,-BA$12,FALSE),"")</f>
        <v>Bijih  Perak</v>
      </c>
      <c r="BB122" s="301" t="str">
        <f t="shared" si="1605"/>
        <v>Bijih </v>
      </c>
      <c r="BC122" s="301" t="str">
        <f t="shared" si="1605"/>
        <v>Kg</v>
      </c>
      <c r="BD122" s="294" t="str">
        <f>ADHK!BD122</f>
        <v/>
      </c>
      <c r="BE122" s="294"/>
      <c r="BF122" s="294">
        <f t="shared" si="1606"/>
        <v>0</v>
      </c>
      <c r="BG122" s="302"/>
      <c r="BH122" s="294">
        <f t="shared" si="1607"/>
        <v>0</v>
      </c>
      <c r="BI122" s="96"/>
      <c r="BJ122" s="96"/>
      <c r="BK122" s="97"/>
      <c r="BL122" s="294">
        <f t="shared" si="1608"/>
        <v>0</v>
      </c>
      <c r="BM122" s="302">
        <f t="shared" si="1609"/>
        <v>0.4604471269</v>
      </c>
      <c r="BN122" s="303">
        <f t="shared" si="1610"/>
        <v>0</v>
      </c>
      <c r="BO122" s="304">
        <f t="shared" si="1611"/>
        <v>0</v>
      </c>
      <c r="BP122" s="297"/>
      <c r="BQ122" s="299">
        <f t="shared" ref="BQ122:BQ137" si="1718">BQ121+1</f>
        <v>2</v>
      </c>
      <c r="BR122" s="300" t="str">
        <f t="shared" ref="BR122:BT122" si="1612">IFERROR(VLOOKUP($R122,$A$13:$D$30,-BR$12,FALSE),"")</f>
        <v>Bijih  Perak</v>
      </c>
      <c r="BS122" s="301" t="str">
        <f t="shared" si="1612"/>
        <v>Bijih </v>
      </c>
      <c r="BT122" s="301" t="str">
        <f t="shared" si="1612"/>
        <v>Kg</v>
      </c>
      <c r="BU122" s="294" t="str">
        <f>ADHK!BU122</f>
        <v/>
      </c>
      <c r="BV122" s="294"/>
      <c r="BW122" s="294">
        <f t="shared" si="1613"/>
        <v>0</v>
      </c>
      <c r="BX122" s="302"/>
      <c r="BY122" s="294">
        <f t="shared" si="1614"/>
        <v>0</v>
      </c>
      <c r="BZ122" s="96"/>
      <c r="CA122" s="96"/>
      <c r="CB122" s="97"/>
      <c r="CC122" s="294">
        <f t="shared" si="1615"/>
        <v>0</v>
      </c>
      <c r="CD122" s="302">
        <f t="shared" si="1616"/>
        <v>0.4604471269</v>
      </c>
      <c r="CE122" s="303">
        <f t="shared" si="1617"/>
        <v>0</v>
      </c>
      <c r="CF122" s="304">
        <f t="shared" si="1618"/>
        <v>0</v>
      </c>
      <c r="CG122" s="297"/>
      <c r="CH122" s="299">
        <f t="shared" ref="CH122:CH137" si="1720">CH121+1</f>
        <v>2</v>
      </c>
      <c r="CI122" s="300" t="str">
        <f t="shared" ref="CI122:CK122" si="1619">IFERROR(VLOOKUP($R122,$A$13:$D$30,-CI$12,FALSE),"")</f>
        <v>Bijih  Perak</v>
      </c>
      <c r="CJ122" s="301" t="str">
        <f t="shared" si="1619"/>
        <v>Bijih </v>
      </c>
      <c r="CK122" s="301" t="str">
        <f t="shared" si="1619"/>
        <v>Kg</v>
      </c>
      <c r="CL122" s="294" t="str">
        <f>ADHK!CL122</f>
        <v/>
      </c>
      <c r="CM122" s="294"/>
      <c r="CN122" s="294">
        <f t="shared" si="1620"/>
        <v>0</v>
      </c>
      <c r="CO122" s="302"/>
      <c r="CP122" s="294">
        <f t="shared" si="1621"/>
        <v>0</v>
      </c>
      <c r="CQ122" s="96"/>
      <c r="CR122" s="96"/>
      <c r="CS122" s="97"/>
      <c r="CT122" s="294">
        <f t="shared" si="1622"/>
        <v>0</v>
      </c>
      <c r="CU122" s="302">
        <f t="shared" si="1623"/>
        <v>0.4604471269</v>
      </c>
      <c r="CV122" s="303">
        <f t="shared" si="1624"/>
        <v>0</v>
      </c>
      <c r="CW122" s="304">
        <f t="shared" si="1625"/>
        <v>0</v>
      </c>
      <c r="CX122" s="297"/>
      <c r="CY122" s="299">
        <f t="shared" ref="CY122:CY137" si="1722">CY121+1</f>
        <v>2</v>
      </c>
      <c r="CZ122" s="300" t="str">
        <f t="shared" ref="CZ122:DB122" si="1626">IFERROR(VLOOKUP($R122,$A$13:$D$30,-CZ$12,FALSE),"")</f>
        <v>Bijih  Perak</v>
      </c>
      <c r="DA122" s="301" t="str">
        <f t="shared" si="1626"/>
        <v>Bijih </v>
      </c>
      <c r="DB122" s="301" t="str">
        <f t="shared" si="1626"/>
        <v>Kg</v>
      </c>
      <c r="DC122" s="294" t="str">
        <f>ADHK!DC122</f>
        <v/>
      </c>
      <c r="DD122" s="294"/>
      <c r="DE122" s="294">
        <f t="shared" si="1627"/>
        <v>0</v>
      </c>
      <c r="DF122" s="302"/>
      <c r="DG122" s="294">
        <f t="shared" si="1628"/>
        <v>0</v>
      </c>
      <c r="DH122" s="96"/>
      <c r="DI122" s="96"/>
      <c r="DJ122" s="97"/>
      <c r="DK122" s="294">
        <f t="shared" si="1629"/>
        <v>0</v>
      </c>
      <c r="DL122" s="302">
        <f t="shared" si="1630"/>
        <v>0.4604471269</v>
      </c>
      <c r="DM122" s="303">
        <f t="shared" si="1631"/>
        <v>0</v>
      </c>
      <c r="DN122" s="304">
        <f t="shared" si="1632"/>
        <v>0</v>
      </c>
      <c r="DO122" s="297"/>
      <c r="DP122" s="299">
        <f t="shared" ref="DP122:DP137" si="1724">DP121+1</f>
        <v>2</v>
      </c>
      <c r="DQ122" s="300" t="str">
        <f t="shared" ref="DQ122:DS122" si="1633">IFERROR(VLOOKUP($R122,$A$13:$D$30,-DQ$12,FALSE),"")</f>
        <v>Bijih  Perak</v>
      </c>
      <c r="DR122" s="301" t="str">
        <f t="shared" si="1633"/>
        <v>Bijih </v>
      </c>
      <c r="DS122" s="301" t="str">
        <f t="shared" si="1633"/>
        <v>Kg</v>
      </c>
      <c r="DT122" s="294" t="str">
        <f>ADHK!DT122</f>
        <v/>
      </c>
      <c r="DU122" s="294"/>
      <c r="DV122" s="294">
        <f t="shared" si="1634"/>
        <v>0</v>
      </c>
      <c r="DW122" s="302"/>
      <c r="DX122" s="294">
        <f t="shared" si="1635"/>
        <v>0</v>
      </c>
      <c r="DY122" s="96"/>
      <c r="DZ122" s="96"/>
      <c r="EA122" s="97"/>
      <c r="EB122" s="294">
        <f t="shared" si="1636"/>
        <v>0</v>
      </c>
      <c r="EC122" s="302">
        <f t="shared" si="1637"/>
        <v>0.4604471269</v>
      </c>
      <c r="ED122" s="303">
        <f t="shared" si="1638"/>
        <v>0</v>
      </c>
      <c r="EE122" s="304">
        <f t="shared" si="1639"/>
        <v>0</v>
      </c>
      <c r="EF122" s="297"/>
      <c r="EG122" s="299">
        <f t="shared" ref="EG122:EG137" si="1726">EG121+1</f>
        <v>2</v>
      </c>
      <c r="EH122" s="300" t="str">
        <f t="shared" ref="EH122:EJ122" si="1640">IFERROR(VLOOKUP($R122,$A$13:$D$30,-EH$12,FALSE),"")</f>
        <v>Bijih  Perak</v>
      </c>
      <c r="EI122" s="301" t="str">
        <f t="shared" si="1640"/>
        <v>Bijih </v>
      </c>
      <c r="EJ122" s="301" t="str">
        <f t="shared" si="1640"/>
        <v>Kg</v>
      </c>
      <c r="EK122" s="294" t="str">
        <f>ADHK!EK122</f>
        <v/>
      </c>
      <c r="EL122" s="294"/>
      <c r="EM122" s="294">
        <f t="shared" si="1641"/>
        <v>0</v>
      </c>
      <c r="EN122" s="302"/>
      <c r="EO122" s="294">
        <f t="shared" si="1642"/>
        <v>0</v>
      </c>
      <c r="EP122" s="96"/>
      <c r="EQ122" s="96"/>
      <c r="ER122" s="97"/>
      <c r="ES122" s="294">
        <f t="shared" si="1643"/>
        <v>0</v>
      </c>
      <c r="ET122" s="302">
        <f t="shared" si="1644"/>
        <v>0.4604471269</v>
      </c>
      <c r="EU122" s="303">
        <f t="shared" si="1645"/>
        <v>0</v>
      </c>
      <c r="EV122" s="304">
        <f t="shared" si="1646"/>
        <v>0</v>
      </c>
      <c r="EW122" s="297"/>
      <c r="EX122" s="299">
        <f t="shared" ref="EX122:EX137" si="1728">EX121+1</f>
        <v>2</v>
      </c>
      <c r="EY122" s="300" t="str">
        <f t="shared" ref="EY122:FA122" si="1647">IFERROR(VLOOKUP($R122,$A$13:$D$30,-EY$12,FALSE),"")</f>
        <v>Bijih  Perak</v>
      </c>
      <c r="EZ122" s="301" t="str">
        <f t="shared" si="1647"/>
        <v>Bijih </v>
      </c>
      <c r="FA122" s="301" t="str">
        <f t="shared" si="1647"/>
        <v>Kg</v>
      </c>
      <c r="FB122" s="294" t="str">
        <f>ADHK!FB122</f>
        <v/>
      </c>
      <c r="FC122" s="294"/>
      <c r="FD122" s="294">
        <f t="shared" si="1648"/>
        <v>0</v>
      </c>
      <c r="FE122" s="302"/>
      <c r="FF122" s="294">
        <f t="shared" si="1649"/>
        <v>0</v>
      </c>
      <c r="FG122" s="96"/>
      <c r="FH122" s="96"/>
      <c r="FI122" s="97"/>
      <c r="FJ122" s="294">
        <f t="shared" si="1650"/>
        <v>0</v>
      </c>
      <c r="FK122" s="302">
        <f t="shared" si="1651"/>
        <v>0.4604471269</v>
      </c>
      <c r="FL122" s="303">
        <f t="shared" si="1652"/>
        <v>0</v>
      </c>
      <c r="FM122" s="304">
        <f t="shared" si="1653"/>
        <v>0</v>
      </c>
      <c r="FN122" s="297"/>
      <c r="FO122" s="299">
        <f t="shared" ref="FO122:FO137" si="1730">FO121+1</f>
        <v>2</v>
      </c>
      <c r="FP122" s="300" t="str">
        <f t="shared" ref="FP122:FR122" si="1654">IFERROR(VLOOKUP($R122,$A$13:$D$30,-FP$12,FALSE),"")</f>
        <v>Bijih  Perak</v>
      </c>
      <c r="FQ122" s="301" t="str">
        <f t="shared" si="1654"/>
        <v>Bijih </v>
      </c>
      <c r="FR122" s="301" t="str">
        <f t="shared" si="1654"/>
        <v>Kg</v>
      </c>
      <c r="FS122" s="294" t="str">
        <f>ADHK!FS122</f>
        <v/>
      </c>
      <c r="FT122" s="294"/>
      <c r="FU122" s="294">
        <f t="shared" si="1655"/>
        <v>0</v>
      </c>
      <c r="FV122" s="302"/>
      <c r="FW122" s="294">
        <f t="shared" si="1656"/>
        <v>0</v>
      </c>
      <c r="FX122" s="96"/>
      <c r="FY122" s="96"/>
      <c r="FZ122" s="97"/>
      <c r="GA122" s="294">
        <f t="shared" si="1657"/>
        <v>0</v>
      </c>
      <c r="GB122" s="302">
        <f t="shared" si="1658"/>
        <v>0.4604471269</v>
      </c>
      <c r="GC122" s="303">
        <f t="shared" si="1659"/>
        <v>0</v>
      </c>
      <c r="GD122" s="304">
        <f t="shared" si="1660"/>
        <v>0</v>
      </c>
      <c r="GE122" s="297"/>
      <c r="GF122" s="299">
        <f t="shared" ref="GF122:GF137" si="1732">GF121+1</f>
        <v>2</v>
      </c>
      <c r="GG122" s="300" t="str">
        <f t="shared" ref="GG122:GI122" si="1661">IFERROR(VLOOKUP($R122,$A$13:$D$30,-GG$12,FALSE),"")</f>
        <v>Bijih  Perak</v>
      </c>
      <c r="GH122" s="301" t="str">
        <f t="shared" si="1661"/>
        <v>Bijih </v>
      </c>
      <c r="GI122" s="301" t="str">
        <f t="shared" si="1661"/>
        <v>Kg</v>
      </c>
      <c r="GJ122" s="294" t="str">
        <f>ADHK!GJ122</f>
        <v/>
      </c>
      <c r="GK122" s="294"/>
      <c r="GL122" s="294">
        <f t="shared" si="1662"/>
        <v>0</v>
      </c>
      <c r="GM122" s="302"/>
      <c r="GN122" s="294">
        <f t="shared" si="1663"/>
        <v>0</v>
      </c>
      <c r="GO122" s="96"/>
      <c r="GP122" s="96"/>
      <c r="GQ122" s="97"/>
      <c r="GR122" s="294">
        <f t="shared" si="1664"/>
        <v>0</v>
      </c>
      <c r="GS122" s="302">
        <f t="shared" si="1665"/>
        <v>0.4604471269</v>
      </c>
      <c r="GT122" s="303">
        <f t="shared" si="1666"/>
        <v>0</v>
      </c>
      <c r="GU122" s="304">
        <f t="shared" si="1667"/>
        <v>0</v>
      </c>
      <c r="GV122" s="297"/>
      <c r="GW122" s="299">
        <f t="shared" ref="GW122:GW137" si="1734">GW121+1</f>
        <v>2</v>
      </c>
      <c r="GX122" s="300" t="str">
        <f t="shared" ref="GX122:GZ122" si="1668">IFERROR(VLOOKUP($R122,$A$13:$D$30,-GX$12,FALSE),"")</f>
        <v>Bijih  Perak</v>
      </c>
      <c r="GY122" s="301" t="str">
        <f t="shared" si="1668"/>
        <v>Bijih </v>
      </c>
      <c r="GZ122" s="301" t="str">
        <f t="shared" si="1668"/>
        <v>Kg</v>
      </c>
      <c r="HA122" s="294" t="str">
        <f>ADHK!HA122</f>
        <v/>
      </c>
      <c r="HB122" s="294"/>
      <c r="HC122" s="294">
        <f t="shared" si="1669"/>
        <v>0</v>
      </c>
      <c r="HD122" s="302"/>
      <c r="HE122" s="294">
        <f t="shared" si="1670"/>
        <v>0</v>
      </c>
      <c r="HF122" s="96"/>
      <c r="HG122" s="96"/>
      <c r="HH122" s="97"/>
      <c r="HI122" s="294">
        <f t="shared" si="1671"/>
        <v>0</v>
      </c>
      <c r="HJ122" s="302">
        <f t="shared" si="1672"/>
        <v>0.4604471269</v>
      </c>
      <c r="HK122" s="303">
        <f t="shared" si="1673"/>
        <v>0</v>
      </c>
      <c r="HL122" s="304">
        <f t="shared" si="1674"/>
        <v>0</v>
      </c>
      <c r="HM122" s="297"/>
      <c r="HN122" s="299">
        <f t="shared" ref="HN122:HN137" si="1736">HN121+1</f>
        <v>2</v>
      </c>
      <c r="HO122" s="300" t="str">
        <f t="shared" ref="HO122:HQ122" si="1675">IFERROR(VLOOKUP($R122,$A$13:$D$30,-HO$12,FALSE),"")</f>
        <v>Bijih  Perak</v>
      </c>
      <c r="HP122" s="301" t="str">
        <f t="shared" si="1675"/>
        <v>Bijih </v>
      </c>
      <c r="HQ122" s="301" t="str">
        <f t="shared" si="1675"/>
        <v>Kg</v>
      </c>
      <c r="HR122" s="294"/>
      <c r="HS122" s="294"/>
      <c r="HT122" s="294">
        <f t="shared" si="1676"/>
        <v>0</v>
      </c>
      <c r="HU122" s="302"/>
      <c r="HV122" s="294">
        <f t="shared" si="1677"/>
        <v>0</v>
      </c>
      <c r="HW122" s="96"/>
      <c r="HX122" s="96"/>
      <c r="HY122" s="97"/>
      <c r="HZ122" s="294">
        <f t="shared" si="1678"/>
        <v>0</v>
      </c>
      <c r="IA122" s="302">
        <f t="shared" si="1679"/>
        <v>0.4604471269</v>
      </c>
      <c r="IB122" s="303">
        <f t="shared" si="1680"/>
        <v>0</v>
      </c>
      <c r="IC122" s="304">
        <f t="shared" si="1681"/>
        <v>0</v>
      </c>
      <c r="ID122" s="297"/>
      <c r="IE122" s="299">
        <f t="shared" ref="IE122:IE137" si="1738">IE121+1</f>
        <v>2</v>
      </c>
      <c r="IF122" s="300" t="str">
        <f t="shared" ref="IF122:IH122" si="1682">IFERROR(VLOOKUP($R122,$A$13:$D$30,-IF$12,FALSE),"")</f>
        <v>Bijih  Perak</v>
      </c>
      <c r="IG122" s="301" t="str">
        <f t="shared" si="1682"/>
        <v>Bijih </v>
      </c>
      <c r="IH122" s="301" t="str">
        <f t="shared" si="1682"/>
        <v>Kg</v>
      </c>
      <c r="II122" s="294" t="str">
        <f>ADHK!II122</f>
        <v/>
      </c>
      <c r="IJ122" s="294"/>
      <c r="IK122" s="294">
        <f t="shared" si="1683"/>
        <v>0</v>
      </c>
      <c r="IL122" s="302"/>
      <c r="IM122" s="294">
        <f t="shared" si="1684"/>
        <v>0</v>
      </c>
      <c r="IN122" s="96"/>
      <c r="IO122" s="96"/>
      <c r="IP122" s="97"/>
      <c r="IQ122" s="294">
        <f t="shared" si="1685"/>
        <v>0</v>
      </c>
      <c r="IR122" s="302">
        <f t="shared" si="1686"/>
        <v>0.4604471269</v>
      </c>
      <c r="IS122" s="303">
        <f t="shared" si="1687"/>
        <v>0</v>
      </c>
      <c r="IT122" s="304">
        <f t="shared" si="1688"/>
        <v>0</v>
      </c>
      <c r="IU122" s="297"/>
      <c r="IV122" s="299">
        <f t="shared" ref="IV122:IV137" si="1740">IV121+1</f>
        <v>2</v>
      </c>
      <c r="IW122" s="300" t="str">
        <f t="shared" ref="IW122:IY122" si="1689">IFERROR(VLOOKUP($R122,$A$13:$D$30,-IW$12,FALSE),"")</f>
        <v>Bijih  Perak</v>
      </c>
      <c r="IX122" s="301" t="str">
        <f t="shared" si="1689"/>
        <v>Bijih </v>
      </c>
      <c r="IY122" s="301" t="str">
        <f t="shared" si="1689"/>
        <v>Kg</v>
      </c>
      <c r="IZ122" s="294" t="str">
        <f>ADHK!IZ122</f>
        <v/>
      </c>
      <c r="JA122" s="294"/>
      <c r="JB122" s="294">
        <f t="shared" si="1690"/>
        <v>0</v>
      </c>
      <c r="JC122" s="302"/>
      <c r="JD122" s="294">
        <f t="shared" si="1691"/>
        <v>0</v>
      </c>
      <c r="JE122" s="96"/>
      <c r="JF122" s="96"/>
      <c r="JG122" s="97"/>
      <c r="JH122" s="294">
        <f t="shared" si="1692"/>
        <v>0</v>
      </c>
      <c r="JI122" s="302">
        <f t="shared" si="1693"/>
        <v>0.4604471269</v>
      </c>
      <c r="JJ122" s="303">
        <f t="shared" si="1694"/>
        <v>0</v>
      </c>
      <c r="JK122" s="304">
        <f t="shared" si="1695"/>
        <v>0</v>
      </c>
      <c r="JL122" s="297"/>
      <c r="JM122" s="299">
        <f t="shared" ref="JM122:JM137" si="1742">JM121+1</f>
        <v>2</v>
      </c>
      <c r="JN122" s="300" t="str">
        <f t="shared" ref="JN122:JP122" si="1696">IFERROR(VLOOKUP($R122,$A$13:$D$30,-JN$12,FALSE),"")</f>
        <v>Bijih  Perak</v>
      </c>
      <c r="JO122" s="301" t="str">
        <f t="shared" si="1696"/>
        <v>Bijih </v>
      </c>
      <c r="JP122" s="301" t="str">
        <f t="shared" si="1696"/>
        <v>Kg</v>
      </c>
      <c r="JQ122" s="294" t="str">
        <f>ADHK!KY122</f>
        <v/>
      </c>
      <c r="JR122" s="294"/>
      <c r="JS122" s="294">
        <f t="shared" si="1697"/>
        <v>0</v>
      </c>
      <c r="JT122" s="302"/>
      <c r="JU122" s="294">
        <f t="shared" si="1698"/>
        <v>0</v>
      </c>
      <c r="JV122" s="96"/>
      <c r="JW122" s="96"/>
      <c r="JX122" s="97"/>
      <c r="JY122" s="294">
        <f t="shared" si="1699"/>
        <v>0</v>
      </c>
      <c r="JZ122" s="302">
        <f t="shared" si="1700"/>
        <v>0.4604471269</v>
      </c>
      <c r="KA122" s="303">
        <f t="shared" si="1701"/>
        <v>0</v>
      </c>
      <c r="KB122" s="304">
        <f t="shared" si="1702"/>
        <v>0</v>
      </c>
      <c r="KC122" s="297"/>
      <c r="KD122" s="299">
        <f t="shared" ref="KD122:KD137" si="1744">KD121+1</f>
        <v>2</v>
      </c>
      <c r="KE122" s="300" t="str">
        <f t="shared" ref="KE122:KG122" si="1703">IFERROR(VLOOKUP($R122,$A$13:$D$30,-KE$12,FALSE),"")</f>
        <v>Bijih  Perak</v>
      </c>
      <c r="KF122" s="301" t="str">
        <f t="shared" si="1703"/>
        <v>Bijih </v>
      </c>
      <c r="KG122" s="301" t="str">
        <f t="shared" si="1703"/>
        <v>Kg</v>
      </c>
      <c r="KH122" s="294" t="str">
        <f>ADHK!LP122</f>
        <v/>
      </c>
      <c r="KI122" s="294"/>
      <c r="KJ122" s="294">
        <f t="shared" si="1704"/>
        <v>0</v>
      </c>
      <c r="KK122" s="302"/>
      <c r="KL122" s="294">
        <f t="shared" si="1705"/>
        <v>0</v>
      </c>
      <c r="KM122" s="96"/>
      <c r="KN122" s="96"/>
      <c r="KO122" s="97"/>
      <c r="KP122" s="294">
        <f t="shared" si="1706"/>
        <v>0</v>
      </c>
      <c r="KQ122" s="302">
        <f t="shared" si="1707"/>
        <v>0.4604471269</v>
      </c>
      <c r="KR122" s="303">
        <f t="shared" si="1708"/>
        <v>0</v>
      </c>
      <c r="KS122" s="304">
        <f t="shared" si="1709"/>
        <v>0</v>
      </c>
      <c r="KT122" s="297"/>
      <c r="KU122" s="298"/>
    </row>
    <row r="123" ht="15.75" customHeight="1">
      <c r="A123" s="299">
        <f t="shared" si="1710"/>
        <v>3</v>
      </c>
      <c r="B123" s="300" t="str">
        <f t="shared" ref="B123:D123" si="1711">IFERROR(VLOOKUP($A123,$A$13:$D$30,-B$12,FALSE),"")</f>
        <v>Tembaga</v>
      </c>
      <c r="C123" s="301" t="str">
        <f t="shared" si="1711"/>
        <v>Bijih </v>
      </c>
      <c r="D123" s="301" t="str">
        <f t="shared" si="1711"/>
        <v>Ton </v>
      </c>
      <c r="E123" s="294" t="str">
        <f>ADHK!E123</f>
        <v/>
      </c>
      <c r="F123" s="294" t="str">
        <f>ADHK!F123</f>
        <v/>
      </c>
      <c r="G123" s="294">
        <f t="shared" si="1585"/>
        <v>0</v>
      </c>
      <c r="H123" s="302"/>
      <c r="I123" s="294">
        <f t="shared" si="1586"/>
        <v>0</v>
      </c>
      <c r="J123" s="96"/>
      <c r="K123" s="96"/>
      <c r="L123" s="97"/>
      <c r="M123" s="294">
        <f t="shared" si="1587"/>
        <v>0</v>
      </c>
      <c r="N123" s="302">
        <f t="shared" si="1588"/>
        <v>0.4604471269</v>
      </c>
      <c r="O123" s="303">
        <f t="shared" si="1589"/>
        <v>0</v>
      </c>
      <c r="P123" s="304">
        <f t="shared" si="1590"/>
        <v>0</v>
      </c>
      <c r="Q123" s="297"/>
      <c r="R123" s="299">
        <f t="shared" si="1712"/>
        <v>3</v>
      </c>
      <c r="S123" s="300" t="str">
        <f t="shared" ref="S123:U123" si="1713">IFERROR(VLOOKUP($R123,$A$13:$D$30,-S$12,FALSE),"")</f>
        <v>Tembaga</v>
      </c>
      <c r="T123" s="301" t="str">
        <f t="shared" si="1713"/>
        <v>Bijih </v>
      </c>
      <c r="U123" s="301" t="str">
        <f t="shared" si="1713"/>
        <v>Ton </v>
      </c>
      <c r="V123" s="294" t="str">
        <f>ADHK!V123</f>
        <v/>
      </c>
      <c r="W123" s="294"/>
      <c r="X123" s="294">
        <f t="shared" si="1592"/>
        <v>0</v>
      </c>
      <c r="Y123" s="302"/>
      <c r="Z123" s="294">
        <f t="shared" si="1593"/>
        <v>0</v>
      </c>
      <c r="AA123" s="96"/>
      <c r="AB123" s="96"/>
      <c r="AC123" s="97"/>
      <c r="AD123" s="294">
        <f t="shared" si="1594"/>
        <v>0</v>
      </c>
      <c r="AE123" s="302">
        <f t="shared" si="1595"/>
        <v>0.4604471269</v>
      </c>
      <c r="AF123" s="303">
        <f t="shared" si="1596"/>
        <v>0</v>
      </c>
      <c r="AG123" s="304">
        <f t="shared" si="1597"/>
        <v>0</v>
      </c>
      <c r="AH123" s="297"/>
      <c r="AI123" s="299">
        <f t="shared" si="1714"/>
        <v>3</v>
      </c>
      <c r="AJ123" s="300" t="str">
        <f t="shared" ref="AJ123:AL123" si="1715">IFERROR(VLOOKUP($R123,$A$13:$D$30,-AJ$12,FALSE),"")</f>
        <v>Tembaga</v>
      </c>
      <c r="AK123" s="301" t="str">
        <f t="shared" si="1715"/>
        <v>Bijih </v>
      </c>
      <c r="AL123" s="301" t="str">
        <f t="shared" si="1715"/>
        <v>Ton </v>
      </c>
      <c r="AM123" s="294" t="str">
        <f>ADHK!AM123</f>
        <v/>
      </c>
      <c r="AN123" s="294"/>
      <c r="AO123" s="294">
        <f t="shared" si="1599"/>
        <v>0</v>
      </c>
      <c r="AP123" s="302"/>
      <c r="AQ123" s="294">
        <f t="shared" si="1600"/>
        <v>0</v>
      </c>
      <c r="AR123" s="96"/>
      <c r="AS123" s="96"/>
      <c r="AT123" s="97"/>
      <c r="AU123" s="294">
        <f t="shared" si="1601"/>
        <v>0</v>
      </c>
      <c r="AV123" s="302">
        <f t="shared" si="1602"/>
        <v>0.4604471269</v>
      </c>
      <c r="AW123" s="303">
        <f t="shared" si="1603"/>
        <v>0</v>
      </c>
      <c r="AX123" s="304">
        <f t="shared" si="1604"/>
        <v>0</v>
      </c>
      <c r="AY123" s="297"/>
      <c r="AZ123" s="299">
        <f t="shared" si="1716"/>
        <v>3</v>
      </c>
      <c r="BA123" s="300" t="str">
        <f t="shared" ref="BA123:BC123" si="1717">IFERROR(VLOOKUP($R123,$A$13:$D$30,-BA$12,FALSE),"")</f>
        <v>Tembaga</v>
      </c>
      <c r="BB123" s="301" t="str">
        <f t="shared" si="1717"/>
        <v>Bijih </v>
      </c>
      <c r="BC123" s="301" t="str">
        <f t="shared" si="1717"/>
        <v>Ton </v>
      </c>
      <c r="BD123" s="294" t="str">
        <f>ADHK!BD123</f>
        <v/>
      </c>
      <c r="BE123" s="294"/>
      <c r="BF123" s="294">
        <f t="shared" si="1606"/>
        <v>0</v>
      </c>
      <c r="BG123" s="302"/>
      <c r="BH123" s="294">
        <f t="shared" si="1607"/>
        <v>0</v>
      </c>
      <c r="BI123" s="96"/>
      <c r="BJ123" s="96"/>
      <c r="BK123" s="97"/>
      <c r="BL123" s="294">
        <f t="shared" si="1608"/>
        <v>0</v>
      </c>
      <c r="BM123" s="302">
        <f t="shared" si="1609"/>
        <v>0.4604471269</v>
      </c>
      <c r="BN123" s="303">
        <f t="shared" si="1610"/>
        <v>0</v>
      </c>
      <c r="BO123" s="304">
        <f t="shared" si="1611"/>
        <v>0</v>
      </c>
      <c r="BP123" s="297"/>
      <c r="BQ123" s="299">
        <f t="shared" si="1718"/>
        <v>3</v>
      </c>
      <c r="BR123" s="300" t="str">
        <f t="shared" ref="BR123:BT123" si="1719">IFERROR(VLOOKUP($R123,$A$13:$D$30,-BR$12,FALSE),"")</f>
        <v>Tembaga</v>
      </c>
      <c r="BS123" s="301" t="str">
        <f t="shared" si="1719"/>
        <v>Bijih </v>
      </c>
      <c r="BT123" s="301" t="str">
        <f t="shared" si="1719"/>
        <v>Ton </v>
      </c>
      <c r="BU123" s="294" t="str">
        <f>ADHK!BU123</f>
        <v/>
      </c>
      <c r="BV123" s="294"/>
      <c r="BW123" s="294">
        <f t="shared" si="1613"/>
        <v>0</v>
      </c>
      <c r="BX123" s="302"/>
      <c r="BY123" s="294">
        <f t="shared" si="1614"/>
        <v>0</v>
      </c>
      <c r="BZ123" s="96"/>
      <c r="CA123" s="96"/>
      <c r="CB123" s="97"/>
      <c r="CC123" s="294">
        <f t="shared" si="1615"/>
        <v>0</v>
      </c>
      <c r="CD123" s="302">
        <f t="shared" si="1616"/>
        <v>0.4604471269</v>
      </c>
      <c r="CE123" s="303">
        <f t="shared" si="1617"/>
        <v>0</v>
      </c>
      <c r="CF123" s="304">
        <f t="shared" si="1618"/>
        <v>0</v>
      </c>
      <c r="CG123" s="297"/>
      <c r="CH123" s="299">
        <f t="shared" si="1720"/>
        <v>3</v>
      </c>
      <c r="CI123" s="300" t="str">
        <f t="shared" ref="CI123:CK123" si="1721">IFERROR(VLOOKUP($R123,$A$13:$D$30,-CI$12,FALSE),"")</f>
        <v>Tembaga</v>
      </c>
      <c r="CJ123" s="301" t="str">
        <f t="shared" si="1721"/>
        <v>Bijih </v>
      </c>
      <c r="CK123" s="301" t="str">
        <f t="shared" si="1721"/>
        <v>Ton </v>
      </c>
      <c r="CL123" s="294" t="str">
        <f>ADHK!CL123</f>
        <v/>
      </c>
      <c r="CM123" s="294"/>
      <c r="CN123" s="294">
        <f t="shared" si="1620"/>
        <v>0</v>
      </c>
      <c r="CO123" s="302"/>
      <c r="CP123" s="294">
        <f t="shared" si="1621"/>
        <v>0</v>
      </c>
      <c r="CQ123" s="96"/>
      <c r="CR123" s="96"/>
      <c r="CS123" s="97"/>
      <c r="CT123" s="294">
        <f t="shared" si="1622"/>
        <v>0</v>
      </c>
      <c r="CU123" s="302">
        <f t="shared" si="1623"/>
        <v>0.4604471269</v>
      </c>
      <c r="CV123" s="303">
        <f t="shared" si="1624"/>
        <v>0</v>
      </c>
      <c r="CW123" s="304">
        <f t="shared" si="1625"/>
        <v>0</v>
      </c>
      <c r="CX123" s="297"/>
      <c r="CY123" s="299">
        <f t="shared" si="1722"/>
        <v>3</v>
      </c>
      <c r="CZ123" s="300" t="str">
        <f t="shared" ref="CZ123:DB123" si="1723">IFERROR(VLOOKUP($R123,$A$13:$D$30,-CZ$12,FALSE),"")</f>
        <v>Tembaga</v>
      </c>
      <c r="DA123" s="301" t="str">
        <f t="shared" si="1723"/>
        <v>Bijih </v>
      </c>
      <c r="DB123" s="301" t="str">
        <f t="shared" si="1723"/>
        <v>Ton </v>
      </c>
      <c r="DC123" s="294" t="str">
        <f>ADHK!DC123</f>
        <v/>
      </c>
      <c r="DD123" s="294"/>
      <c r="DE123" s="294">
        <f t="shared" si="1627"/>
        <v>0</v>
      </c>
      <c r="DF123" s="302"/>
      <c r="DG123" s="294">
        <f t="shared" si="1628"/>
        <v>0</v>
      </c>
      <c r="DH123" s="96"/>
      <c r="DI123" s="96"/>
      <c r="DJ123" s="97"/>
      <c r="DK123" s="294">
        <f t="shared" si="1629"/>
        <v>0</v>
      </c>
      <c r="DL123" s="302">
        <f t="shared" si="1630"/>
        <v>0.4604471269</v>
      </c>
      <c r="DM123" s="303">
        <f t="shared" si="1631"/>
        <v>0</v>
      </c>
      <c r="DN123" s="304">
        <f t="shared" si="1632"/>
        <v>0</v>
      </c>
      <c r="DO123" s="297"/>
      <c r="DP123" s="299">
        <f t="shared" si="1724"/>
        <v>3</v>
      </c>
      <c r="DQ123" s="300" t="str">
        <f t="shared" ref="DQ123:DS123" si="1725">IFERROR(VLOOKUP($R123,$A$13:$D$30,-DQ$12,FALSE),"")</f>
        <v>Tembaga</v>
      </c>
      <c r="DR123" s="301" t="str">
        <f t="shared" si="1725"/>
        <v>Bijih </v>
      </c>
      <c r="DS123" s="301" t="str">
        <f t="shared" si="1725"/>
        <v>Ton </v>
      </c>
      <c r="DT123" s="294" t="str">
        <f>ADHK!DT123</f>
        <v/>
      </c>
      <c r="DU123" s="294"/>
      <c r="DV123" s="294">
        <f t="shared" si="1634"/>
        <v>0</v>
      </c>
      <c r="DW123" s="302"/>
      <c r="DX123" s="294">
        <f t="shared" si="1635"/>
        <v>0</v>
      </c>
      <c r="DY123" s="96"/>
      <c r="DZ123" s="96"/>
      <c r="EA123" s="97"/>
      <c r="EB123" s="294">
        <f t="shared" si="1636"/>
        <v>0</v>
      </c>
      <c r="EC123" s="302">
        <f t="shared" si="1637"/>
        <v>0.4604471269</v>
      </c>
      <c r="ED123" s="303">
        <f t="shared" si="1638"/>
        <v>0</v>
      </c>
      <c r="EE123" s="304">
        <f t="shared" si="1639"/>
        <v>0</v>
      </c>
      <c r="EF123" s="297"/>
      <c r="EG123" s="299">
        <f t="shared" si="1726"/>
        <v>3</v>
      </c>
      <c r="EH123" s="300" t="str">
        <f t="shared" ref="EH123:EJ123" si="1727">IFERROR(VLOOKUP($R123,$A$13:$D$30,-EH$12,FALSE),"")</f>
        <v>Tembaga</v>
      </c>
      <c r="EI123" s="301" t="str">
        <f t="shared" si="1727"/>
        <v>Bijih </v>
      </c>
      <c r="EJ123" s="301" t="str">
        <f t="shared" si="1727"/>
        <v>Ton </v>
      </c>
      <c r="EK123" s="294" t="str">
        <f>ADHK!EK123</f>
        <v/>
      </c>
      <c r="EL123" s="294"/>
      <c r="EM123" s="294">
        <f t="shared" si="1641"/>
        <v>0</v>
      </c>
      <c r="EN123" s="302"/>
      <c r="EO123" s="294">
        <f t="shared" si="1642"/>
        <v>0</v>
      </c>
      <c r="EP123" s="96"/>
      <c r="EQ123" s="96"/>
      <c r="ER123" s="97"/>
      <c r="ES123" s="294">
        <f t="shared" si="1643"/>
        <v>0</v>
      </c>
      <c r="ET123" s="302">
        <f t="shared" si="1644"/>
        <v>0.4604471269</v>
      </c>
      <c r="EU123" s="303">
        <f t="shared" si="1645"/>
        <v>0</v>
      </c>
      <c r="EV123" s="304">
        <f t="shared" si="1646"/>
        <v>0</v>
      </c>
      <c r="EW123" s="297"/>
      <c r="EX123" s="299">
        <f t="shared" si="1728"/>
        <v>3</v>
      </c>
      <c r="EY123" s="300" t="str">
        <f t="shared" ref="EY123:FA123" si="1729">IFERROR(VLOOKUP($R123,$A$13:$D$30,-EY$12,FALSE),"")</f>
        <v>Tembaga</v>
      </c>
      <c r="EZ123" s="301" t="str">
        <f t="shared" si="1729"/>
        <v>Bijih </v>
      </c>
      <c r="FA123" s="301" t="str">
        <f t="shared" si="1729"/>
        <v>Ton </v>
      </c>
      <c r="FB123" s="294" t="str">
        <f>ADHK!FB123</f>
        <v/>
      </c>
      <c r="FC123" s="294"/>
      <c r="FD123" s="294">
        <f t="shared" si="1648"/>
        <v>0</v>
      </c>
      <c r="FE123" s="302"/>
      <c r="FF123" s="294">
        <f t="shared" si="1649"/>
        <v>0</v>
      </c>
      <c r="FG123" s="96"/>
      <c r="FH123" s="96"/>
      <c r="FI123" s="97"/>
      <c r="FJ123" s="294">
        <f t="shared" si="1650"/>
        <v>0</v>
      </c>
      <c r="FK123" s="302">
        <f t="shared" si="1651"/>
        <v>0.4604471269</v>
      </c>
      <c r="FL123" s="303">
        <f t="shared" si="1652"/>
        <v>0</v>
      </c>
      <c r="FM123" s="304">
        <f t="shared" si="1653"/>
        <v>0</v>
      </c>
      <c r="FN123" s="297"/>
      <c r="FO123" s="299">
        <f t="shared" si="1730"/>
        <v>3</v>
      </c>
      <c r="FP123" s="300" t="str">
        <f t="shared" ref="FP123:FR123" si="1731">IFERROR(VLOOKUP($R123,$A$13:$D$30,-FP$12,FALSE),"")</f>
        <v>Tembaga</v>
      </c>
      <c r="FQ123" s="301" t="str">
        <f t="shared" si="1731"/>
        <v>Bijih </v>
      </c>
      <c r="FR123" s="301" t="str">
        <f t="shared" si="1731"/>
        <v>Ton </v>
      </c>
      <c r="FS123" s="294" t="str">
        <f>ADHK!FS123</f>
        <v/>
      </c>
      <c r="FT123" s="294"/>
      <c r="FU123" s="294">
        <f t="shared" si="1655"/>
        <v>0</v>
      </c>
      <c r="FV123" s="302"/>
      <c r="FW123" s="294">
        <f t="shared" si="1656"/>
        <v>0</v>
      </c>
      <c r="FX123" s="96"/>
      <c r="FY123" s="96"/>
      <c r="FZ123" s="97"/>
      <c r="GA123" s="294">
        <f t="shared" si="1657"/>
        <v>0</v>
      </c>
      <c r="GB123" s="302">
        <f t="shared" si="1658"/>
        <v>0.4604471269</v>
      </c>
      <c r="GC123" s="303">
        <f t="shared" si="1659"/>
        <v>0</v>
      </c>
      <c r="GD123" s="304">
        <f t="shared" si="1660"/>
        <v>0</v>
      </c>
      <c r="GE123" s="297"/>
      <c r="GF123" s="299">
        <f t="shared" si="1732"/>
        <v>3</v>
      </c>
      <c r="GG123" s="300" t="str">
        <f t="shared" ref="GG123:GI123" si="1733">IFERROR(VLOOKUP($R123,$A$13:$D$30,-GG$12,FALSE),"")</f>
        <v>Tembaga</v>
      </c>
      <c r="GH123" s="301" t="str">
        <f t="shared" si="1733"/>
        <v>Bijih </v>
      </c>
      <c r="GI123" s="301" t="str">
        <f t="shared" si="1733"/>
        <v>Ton </v>
      </c>
      <c r="GJ123" s="294" t="str">
        <f>ADHK!GJ123</f>
        <v/>
      </c>
      <c r="GK123" s="294"/>
      <c r="GL123" s="294">
        <f t="shared" si="1662"/>
        <v>0</v>
      </c>
      <c r="GM123" s="302"/>
      <c r="GN123" s="294">
        <f t="shared" si="1663"/>
        <v>0</v>
      </c>
      <c r="GO123" s="96"/>
      <c r="GP123" s="96"/>
      <c r="GQ123" s="97"/>
      <c r="GR123" s="294">
        <f t="shared" si="1664"/>
        <v>0</v>
      </c>
      <c r="GS123" s="302">
        <f t="shared" si="1665"/>
        <v>0.4604471269</v>
      </c>
      <c r="GT123" s="303">
        <f t="shared" si="1666"/>
        <v>0</v>
      </c>
      <c r="GU123" s="304">
        <f t="shared" si="1667"/>
        <v>0</v>
      </c>
      <c r="GV123" s="297"/>
      <c r="GW123" s="299">
        <f t="shared" si="1734"/>
        <v>3</v>
      </c>
      <c r="GX123" s="300" t="str">
        <f t="shared" ref="GX123:GZ123" si="1735">IFERROR(VLOOKUP($R123,$A$13:$D$30,-GX$12,FALSE),"")</f>
        <v>Tembaga</v>
      </c>
      <c r="GY123" s="301" t="str">
        <f t="shared" si="1735"/>
        <v>Bijih </v>
      </c>
      <c r="GZ123" s="301" t="str">
        <f t="shared" si="1735"/>
        <v>Ton </v>
      </c>
      <c r="HA123" s="294" t="str">
        <f>ADHK!HA123</f>
        <v/>
      </c>
      <c r="HB123" s="294"/>
      <c r="HC123" s="294">
        <f t="shared" si="1669"/>
        <v>0</v>
      </c>
      <c r="HD123" s="302"/>
      <c r="HE123" s="294">
        <f t="shared" si="1670"/>
        <v>0</v>
      </c>
      <c r="HF123" s="96"/>
      <c r="HG123" s="96"/>
      <c r="HH123" s="97"/>
      <c r="HI123" s="294">
        <f t="shared" si="1671"/>
        <v>0</v>
      </c>
      <c r="HJ123" s="302">
        <f t="shared" si="1672"/>
        <v>0.4604471269</v>
      </c>
      <c r="HK123" s="303">
        <f t="shared" si="1673"/>
        <v>0</v>
      </c>
      <c r="HL123" s="304">
        <f t="shared" si="1674"/>
        <v>0</v>
      </c>
      <c r="HM123" s="297"/>
      <c r="HN123" s="299">
        <f t="shared" si="1736"/>
        <v>3</v>
      </c>
      <c r="HO123" s="300" t="str">
        <f t="shared" ref="HO123:HQ123" si="1737">IFERROR(VLOOKUP($R123,$A$13:$D$30,-HO$12,FALSE),"")</f>
        <v>Tembaga</v>
      </c>
      <c r="HP123" s="301" t="str">
        <f t="shared" si="1737"/>
        <v>Bijih </v>
      </c>
      <c r="HQ123" s="301" t="str">
        <f t="shared" si="1737"/>
        <v>Ton </v>
      </c>
      <c r="HR123" s="294"/>
      <c r="HS123" s="294"/>
      <c r="HT123" s="294">
        <f t="shared" si="1676"/>
        <v>0</v>
      </c>
      <c r="HU123" s="302"/>
      <c r="HV123" s="294">
        <f t="shared" si="1677"/>
        <v>0</v>
      </c>
      <c r="HW123" s="96"/>
      <c r="HX123" s="96"/>
      <c r="HY123" s="97"/>
      <c r="HZ123" s="294">
        <f t="shared" si="1678"/>
        <v>0</v>
      </c>
      <c r="IA123" s="302">
        <f t="shared" si="1679"/>
        <v>0.4604471269</v>
      </c>
      <c r="IB123" s="303">
        <f t="shared" si="1680"/>
        <v>0</v>
      </c>
      <c r="IC123" s="304">
        <f t="shared" si="1681"/>
        <v>0</v>
      </c>
      <c r="ID123" s="297"/>
      <c r="IE123" s="299">
        <f t="shared" si="1738"/>
        <v>3</v>
      </c>
      <c r="IF123" s="300" t="str">
        <f t="shared" ref="IF123:IH123" si="1739">IFERROR(VLOOKUP($R123,$A$13:$D$30,-IF$12,FALSE),"")</f>
        <v>Tembaga</v>
      </c>
      <c r="IG123" s="301" t="str">
        <f t="shared" si="1739"/>
        <v>Bijih </v>
      </c>
      <c r="IH123" s="301" t="str">
        <f t="shared" si="1739"/>
        <v>Ton </v>
      </c>
      <c r="II123" s="294" t="str">
        <f>ADHK!II123</f>
        <v/>
      </c>
      <c r="IJ123" s="294"/>
      <c r="IK123" s="294">
        <f t="shared" si="1683"/>
        <v>0</v>
      </c>
      <c r="IL123" s="302"/>
      <c r="IM123" s="294">
        <f t="shared" si="1684"/>
        <v>0</v>
      </c>
      <c r="IN123" s="96"/>
      <c r="IO123" s="96"/>
      <c r="IP123" s="97"/>
      <c r="IQ123" s="294">
        <f t="shared" si="1685"/>
        <v>0</v>
      </c>
      <c r="IR123" s="302">
        <f t="shared" si="1686"/>
        <v>0.4604471269</v>
      </c>
      <c r="IS123" s="303">
        <f t="shared" si="1687"/>
        <v>0</v>
      </c>
      <c r="IT123" s="304">
        <f t="shared" si="1688"/>
        <v>0</v>
      </c>
      <c r="IU123" s="297"/>
      <c r="IV123" s="299">
        <f t="shared" si="1740"/>
        <v>3</v>
      </c>
      <c r="IW123" s="300" t="str">
        <f t="shared" ref="IW123:IY123" si="1741">IFERROR(VLOOKUP($R123,$A$13:$D$30,-IW$12,FALSE),"")</f>
        <v>Tembaga</v>
      </c>
      <c r="IX123" s="301" t="str">
        <f t="shared" si="1741"/>
        <v>Bijih </v>
      </c>
      <c r="IY123" s="301" t="str">
        <f t="shared" si="1741"/>
        <v>Ton </v>
      </c>
      <c r="IZ123" s="294" t="str">
        <f>ADHK!IZ123</f>
        <v/>
      </c>
      <c r="JA123" s="294"/>
      <c r="JB123" s="294">
        <f t="shared" si="1690"/>
        <v>0</v>
      </c>
      <c r="JC123" s="302"/>
      <c r="JD123" s="294">
        <f t="shared" si="1691"/>
        <v>0</v>
      </c>
      <c r="JE123" s="96"/>
      <c r="JF123" s="96"/>
      <c r="JG123" s="97"/>
      <c r="JH123" s="294">
        <f t="shared" si="1692"/>
        <v>0</v>
      </c>
      <c r="JI123" s="302">
        <f t="shared" si="1693"/>
        <v>0.4604471269</v>
      </c>
      <c r="JJ123" s="303">
        <f t="shared" si="1694"/>
        <v>0</v>
      </c>
      <c r="JK123" s="304">
        <f t="shared" si="1695"/>
        <v>0</v>
      </c>
      <c r="JL123" s="297"/>
      <c r="JM123" s="299">
        <f t="shared" si="1742"/>
        <v>3</v>
      </c>
      <c r="JN123" s="300" t="str">
        <f t="shared" ref="JN123:JP123" si="1743">IFERROR(VLOOKUP($R123,$A$13:$D$30,-JN$12,FALSE),"")</f>
        <v>Tembaga</v>
      </c>
      <c r="JO123" s="301" t="str">
        <f t="shared" si="1743"/>
        <v>Bijih </v>
      </c>
      <c r="JP123" s="301" t="str">
        <f t="shared" si="1743"/>
        <v>Ton </v>
      </c>
      <c r="JQ123" s="294" t="str">
        <f>ADHK!KY123</f>
        <v/>
      </c>
      <c r="JR123" s="294"/>
      <c r="JS123" s="294">
        <f t="shared" si="1697"/>
        <v>0</v>
      </c>
      <c r="JT123" s="302"/>
      <c r="JU123" s="294">
        <f t="shared" si="1698"/>
        <v>0</v>
      </c>
      <c r="JV123" s="96"/>
      <c r="JW123" s="96"/>
      <c r="JX123" s="97"/>
      <c r="JY123" s="294">
        <f t="shared" si="1699"/>
        <v>0</v>
      </c>
      <c r="JZ123" s="302">
        <f t="shared" si="1700"/>
        <v>0.4604471269</v>
      </c>
      <c r="KA123" s="303">
        <f t="shared" si="1701"/>
        <v>0</v>
      </c>
      <c r="KB123" s="304">
        <f t="shared" si="1702"/>
        <v>0</v>
      </c>
      <c r="KC123" s="297"/>
      <c r="KD123" s="299">
        <f t="shared" si="1744"/>
        <v>3</v>
      </c>
      <c r="KE123" s="300" t="str">
        <f t="shared" ref="KE123:KG123" si="1745">IFERROR(VLOOKUP($R123,$A$13:$D$30,-KE$12,FALSE),"")</f>
        <v>Tembaga</v>
      </c>
      <c r="KF123" s="301" t="str">
        <f t="shared" si="1745"/>
        <v>Bijih </v>
      </c>
      <c r="KG123" s="301" t="str">
        <f t="shared" si="1745"/>
        <v>Ton </v>
      </c>
      <c r="KH123" s="294" t="str">
        <f>ADHK!LP123</f>
        <v/>
      </c>
      <c r="KI123" s="294"/>
      <c r="KJ123" s="294">
        <f t="shared" si="1704"/>
        <v>0</v>
      </c>
      <c r="KK123" s="302"/>
      <c r="KL123" s="294">
        <f t="shared" si="1705"/>
        <v>0</v>
      </c>
      <c r="KM123" s="96"/>
      <c r="KN123" s="96"/>
      <c r="KO123" s="97"/>
      <c r="KP123" s="294">
        <f t="shared" si="1706"/>
        <v>0</v>
      </c>
      <c r="KQ123" s="302">
        <f t="shared" si="1707"/>
        <v>0.4604471269</v>
      </c>
      <c r="KR123" s="303">
        <f t="shared" si="1708"/>
        <v>0</v>
      </c>
      <c r="KS123" s="304">
        <f t="shared" si="1709"/>
        <v>0</v>
      </c>
      <c r="KT123" s="297"/>
      <c r="KU123" s="298"/>
    </row>
    <row r="124" ht="15.75" customHeight="1">
      <c r="A124" s="299">
        <f t="shared" si="1710"/>
        <v>4</v>
      </c>
      <c r="B124" s="300" t="str">
        <f t="shared" ref="B124:D124" si="1746">IFERROR(VLOOKUP($A124,$A$13:$D$30,-B$12,FALSE),"")</f>
        <v>Bauksit </v>
      </c>
      <c r="C124" s="301" t="str">
        <f t="shared" si="1746"/>
        <v>Bijih </v>
      </c>
      <c r="D124" s="301" t="str">
        <f t="shared" si="1746"/>
        <v>Ton </v>
      </c>
      <c r="E124" s="294" t="str">
        <f>ADHK!E124</f>
        <v/>
      </c>
      <c r="F124" s="294" t="str">
        <f>ADHK!F124</f>
        <v/>
      </c>
      <c r="G124" s="294">
        <f t="shared" si="1585"/>
        <v>0</v>
      </c>
      <c r="H124" s="302"/>
      <c r="I124" s="294">
        <f t="shared" si="1586"/>
        <v>0</v>
      </c>
      <c r="J124" s="96"/>
      <c r="K124" s="96"/>
      <c r="L124" s="97"/>
      <c r="M124" s="294">
        <f t="shared" si="1587"/>
        <v>0</v>
      </c>
      <c r="N124" s="302">
        <f t="shared" si="1588"/>
        <v>0.4604471269</v>
      </c>
      <c r="O124" s="303">
        <f t="shared" si="1589"/>
        <v>0</v>
      </c>
      <c r="P124" s="304">
        <f t="shared" si="1590"/>
        <v>0</v>
      </c>
      <c r="Q124" s="297"/>
      <c r="R124" s="299">
        <f t="shared" si="1712"/>
        <v>4</v>
      </c>
      <c r="S124" s="300" t="str">
        <f t="shared" ref="S124:U124" si="1747">IFERROR(VLOOKUP($R124,$A$13:$D$30,-S$12,FALSE),"")</f>
        <v>Bauksit </v>
      </c>
      <c r="T124" s="301" t="str">
        <f t="shared" si="1747"/>
        <v>Bijih </v>
      </c>
      <c r="U124" s="301" t="str">
        <f t="shared" si="1747"/>
        <v>Ton </v>
      </c>
      <c r="V124" s="294" t="str">
        <f>ADHK!V124</f>
        <v/>
      </c>
      <c r="W124" s="294"/>
      <c r="X124" s="294">
        <f t="shared" si="1592"/>
        <v>0</v>
      </c>
      <c r="Y124" s="302"/>
      <c r="Z124" s="294">
        <f t="shared" si="1593"/>
        <v>0</v>
      </c>
      <c r="AA124" s="96"/>
      <c r="AB124" s="96"/>
      <c r="AC124" s="97"/>
      <c r="AD124" s="294">
        <f t="shared" si="1594"/>
        <v>0</v>
      </c>
      <c r="AE124" s="302">
        <f t="shared" si="1595"/>
        <v>0.4604471269</v>
      </c>
      <c r="AF124" s="303">
        <f t="shared" si="1596"/>
        <v>0</v>
      </c>
      <c r="AG124" s="304">
        <f t="shared" si="1597"/>
        <v>0</v>
      </c>
      <c r="AH124" s="297"/>
      <c r="AI124" s="299">
        <f t="shared" si="1714"/>
        <v>4</v>
      </c>
      <c r="AJ124" s="300" t="str">
        <f t="shared" ref="AJ124:AL124" si="1748">IFERROR(VLOOKUP($R124,$A$13:$D$30,-AJ$12,FALSE),"")</f>
        <v>Bauksit </v>
      </c>
      <c r="AK124" s="301" t="str">
        <f t="shared" si="1748"/>
        <v>Bijih </v>
      </c>
      <c r="AL124" s="301" t="str">
        <f t="shared" si="1748"/>
        <v>Ton </v>
      </c>
      <c r="AM124" s="294" t="str">
        <f>ADHK!AM124</f>
        <v/>
      </c>
      <c r="AN124" s="294"/>
      <c r="AO124" s="294">
        <f t="shared" si="1599"/>
        <v>0</v>
      </c>
      <c r="AP124" s="302"/>
      <c r="AQ124" s="294">
        <f t="shared" si="1600"/>
        <v>0</v>
      </c>
      <c r="AR124" s="96"/>
      <c r="AS124" s="96"/>
      <c r="AT124" s="97"/>
      <c r="AU124" s="294">
        <f t="shared" si="1601"/>
        <v>0</v>
      </c>
      <c r="AV124" s="302">
        <f t="shared" si="1602"/>
        <v>0.4604471269</v>
      </c>
      <c r="AW124" s="303">
        <f t="shared" si="1603"/>
        <v>0</v>
      </c>
      <c r="AX124" s="304">
        <f t="shared" si="1604"/>
        <v>0</v>
      </c>
      <c r="AY124" s="297"/>
      <c r="AZ124" s="299">
        <f t="shared" si="1716"/>
        <v>4</v>
      </c>
      <c r="BA124" s="300" t="str">
        <f t="shared" ref="BA124:BC124" si="1749">IFERROR(VLOOKUP($R124,$A$13:$D$30,-BA$12,FALSE),"")</f>
        <v>Bauksit </v>
      </c>
      <c r="BB124" s="301" t="str">
        <f t="shared" si="1749"/>
        <v>Bijih </v>
      </c>
      <c r="BC124" s="301" t="str">
        <f t="shared" si="1749"/>
        <v>Ton </v>
      </c>
      <c r="BD124" s="294" t="str">
        <f>ADHK!BD124</f>
        <v/>
      </c>
      <c r="BE124" s="294"/>
      <c r="BF124" s="294">
        <f t="shared" si="1606"/>
        <v>0</v>
      </c>
      <c r="BG124" s="302"/>
      <c r="BH124" s="294">
        <f t="shared" si="1607"/>
        <v>0</v>
      </c>
      <c r="BI124" s="96"/>
      <c r="BJ124" s="96"/>
      <c r="BK124" s="97"/>
      <c r="BL124" s="294">
        <f t="shared" si="1608"/>
        <v>0</v>
      </c>
      <c r="BM124" s="302">
        <f t="shared" si="1609"/>
        <v>0.4604471269</v>
      </c>
      <c r="BN124" s="303">
        <f t="shared" si="1610"/>
        <v>0</v>
      </c>
      <c r="BO124" s="304">
        <f t="shared" si="1611"/>
        <v>0</v>
      </c>
      <c r="BP124" s="297"/>
      <c r="BQ124" s="299">
        <f t="shared" si="1718"/>
        <v>4</v>
      </c>
      <c r="BR124" s="300" t="str">
        <f t="shared" ref="BR124:BT124" si="1750">IFERROR(VLOOKUP($R124,$A$13:$D$30,-BR$12,FALSE),"")</f>
        <v>Bauksit </v>
      </c>
      <c r="BS124" s="301" t="str">
        <f t="shared" si="1750"/>
        <v>Bijih </v>
      </c>
      <c r="BT124" s="301" t="str">
        <f t="shared" si="1750"/>
        <v>Ton </v>
      </c>
      <c r="BU124" s="294" t="str">
        <f>ADHK!BU124</f>
        <v/>
      </c>
      <c r="BV124" s="294"/>
      <c r="BW124" s="294">
        <f t="shared" si="1613"/>
        <v>0</v>
      </c>
      <c r="BX124" s="302"/>
      <c r="BY124" s="294">
        <f t="shared" si="1614"/>
        <v>0</v>
      </c>
      <c r="BZ124" s="96"/>
      <c r="CA124" s="96"/>
      <c r="CB124" s="97"/>
      <c r="CC124" s="294">
        <f t="shared" si="1615"/>
        <v>0</v>
      </c>
      <c r="CD124" s="302">
        <f t="shared" si="1616"/>
        <v>0.4604471269</v>
      </c>
      <c r="CE124" s="303">
        <f t="shared" si="1617"/>
        <v>0</v>
      </c>
      <c r="CF124" s="304">
        <f t="shared" si="1618"/>
        <v>0</v>
      </c>
      <c r="CG124" s="297"/>
      <c r="CH124" s="299">
        <f t="shared" si="1720"/>
        <v>4</v>
      </c>
      <c r="CI124" s="300" t="str">
        <f t="shared" ref="CI124:CK124" si="1751">IFERROR(VLOOKUP($R124,$A$13:$D$30,-CI$12,FALSE),"")</f>
        <v>Bauksit </v>
      </c>
      <c r="CJ124" s="301" t="str">
        <f t="shared" si="1751"/>
        <v>Bijih </v>
      </c>
      <c r="CK124" s="301" t="str">
        <f t="shared" si="1751"/>
        <v>Ton </v>
      </c>
      <c r="CL124" s="294" t="str">
        <f>ADHK!CL124</f>
        <v/>
      </c>
      <c r="CM124" s="294"/>
      <c r="CN124" s="294">
        <f t="shared" si="1620"/>
        <v>0</v>
      </c>
      <c r="CO124" s="302"/>
      <c r="CP124" s="294">
        <f t="shared" si="1621"/>
        <v>0</v>
      </c>
      <c r="CQ124" s="96"/>
      <c r="CR124" s="96"/>
      <c r="CS124" s="97"/>
      <c r="CT124" s="294">
        <f t="shared" si="1622"/>
        <v>0</v>
      </c>
      <c r="CU124" s="302">
        <f t="shared" si="1623"/>
        <v>0.4604471269</v>
      </c>
      <c r="CV124" s="303">
        <f t="shared" si="1624"/>
        <v>0</v>
      </c>
      <c r="CW124" s="304">
        <f t="shared" si="1625"/>
        <v>0</v>
      </c>
      <c r="CX124" s="297"/>
      <c r="CY124" s="299">
        <f t="shared" si="1722"/>
        <v>4</v>
      </c>
      <c r="CZ124" s="300" t="str">
        <f t="shared" ref="CZ124:DB124" si="1752">IFERROR(VLOOKUP($R124,$A$13:$D$30,-CZ$12,FALSE),"")</f>
        <v>Bauksit </v>
      </c>
      <c r="DA124" s="301" t="str">
        <f t="shared" si="1752"/>
        <v>Bijih </v>
      </c>
      <c r="DB124" s="301" t="str">
        <f t="shared" si="1752"/>
        <v>Ton </v>
      </c>
      <c r="DC124" s="294" t="str">
        <f>ADHK!DC124</f>
        <v/>
      </c>
      <c r="DD124" s="294"/>
      <c r="DE124" s="294">
        <f t="shared" si="1627"/>
        <v>0</v>
      </c>
      <c r="DF124" s="302"/>
      <c r="DG124" s="294">
        <f t="shared" si="1628"/>
        <v>0</v>
      </c>
      <c r="DH124" s="96"/>
      <c r="DI124" s="96"/>
      <c r="DJ124" s="97"/>
      <c r="DK124" s="294">
        <f t="shared" si="1629"/>
        <v>0</v>
      </c>
      <c r="DL124" s="302">
        <f t="shared" si="1630"/>
        <v>0.4604471269</v>
      </c>
      <c r="DM124" s="303">
        <f t="shared" si="1631"/>
        <v>0</v>
      </c>
      <c r="DN124" s="304">
        <f t="shared" si="1632"/>
        <v>0</v>
      </c>
      <c r="DO124" s="297"/>
      <c r="DP124" s="299">
        <f t="shared" si="1724"/>
        <v>4</v>
      </c>
      <c r="DQ124" s="300" t="str">
        <f t="shared" ref="DQ124:DS124" si="1753">IFERROR(VLOOKUP($R124,$A$13:$D$30,-DQ$12,FALSE),"")</f>
        <v>Bauksit </v>
      </c>
      <c r="DR124" s="301" t="str">
        <f t="shared" si="1753"/>
        <v>Bijih </v>
      </c>
      <c r="DS124" s="301" t="str">
        <f t="shared" si="1753"/>
        <v>Ton </v>
      </c>
      <c r="DT124" s="294" t="str">
        <f>ADHK!DT124</f>
        <v/>
      </c>
      <c r="DU124" s="294"/>
      <c r="DV124" s="294">
        <f t="shared" si="1634"/>
        <v>0</v>
      </c>
      <c r="DW124" s="302"/>
      <c r="DX124" s="294">
        <f t="shared" si="1635"/>
        <v>0</v>
      </c>
      <c r="DY124" s="96"/>
      <c r="DZ124" s="96"/>
      <c r="EA124" s="97"/>
      <c r="EB124" s="294">
        <f t="shared" si="1636"/>
        <v>0</v>
      </c>
      <c r="EC124" s="302">
        <f t="shared" si="1637"/>
        <v>0.4604471269</v>
      </c>
      <c r="ED124" s="303">
        <f t="shared" si="1638"/>
        <v>0</v>
      </c>
      <c r="EE124" s="304">
        <f t="shared" si="1639"/>
        <v>0</v>
      </c>
      <c r="EF124" s="297"/>
      <c r="EG124" s="299">
        <f t="shared" si="1726"/>
        <v>4</v>
      </c>
      <c r="EH124" s="300" t="str">
        <f t="shared" ref="EH124:EJ124" si="1754">IFERROR(VLOOKUP($R124,$A$13:$D$30,-EH$12,FALSE),"")</f>
        <v>Bauksit </v>
      </c>
      <c r="EI124" s="301" t="str">
        <f t="shared" si="1754"/>
        <v>Bijih </v>
      </c>
      <c r="EJ124" s="301" t="str">
        <f t="shared" si="1754"/>
        <v>Ton </v>
      </c>
      <c r="EK124" s="294" t="str">
        <f>ADHK!EK124</f>
        <v/>
      </c>
      <c r="EL124" s="294"/>
      <c r="EM124" s="294">
        <f t="shared" si="1641"/>
        <v>0</v>
      </c>
      <c r="EN124" s="302"/>
      <c r="EO124" s="294">
        <f t="shared" si="1642"/>
        <v>0</v>
      </c>
      <c r="EP124" s="96"/>
      <c r="EQ124" s="96"/>
      <c r="ER124" s="97"/>
      <c r="ES124" s="294">
        <f t="shared" si="1643"/>
        <v>0</v>
      </c>
      <c r="ET124" s="302">
        <f t="shared" si="1644"/>
        <v>0.4604471269</v>
      </c>
      <c r="EU124" s="303">
        <f t="shared" si="1645"/>
        <v>0</v>
      </c>
      <c r="EV124" s="304">
        <f t="shared" si="1646"/>
        <v>0</v>
      </c>
      <c r="EW124" s="297"/>
      <c r="EX124" s="299">
        <f t="shared" si="1728"/>
        <v>4</v>
      </c>
      <c r="EY124" s="300" t="str">
        <f t="shared" ref="EY124:FA124" si="1755">IFERROR(VLOOKUP($R124,$A$13:$D$30,-EY$12,FALSE),"")</f>
        <v>Bauksit </v>
      </c>
      <c r="EZ124" s="301" t="str">
        <f t="shared" si="1755"/>
        <v>Bijih </v>
      </c>
      <c r="FA124" s="301" t="str">
        <f t="shared" si="1755"/>
        <v>Ton </v>
      </c>
      <c r="FB124" s="294" t="str">
        <f>ADHK!FB124</f>
        <v/>
      </c>
      <c r="FC124" s="294"/>
      <c r="FD124" s="294">
        <f t="shared" si="1648"/>
        <v>0</v>
      </c>
      <c r="FE124" s="302"/>
      <c r="FF124" s="294">
        <f t="shared" si="1649"/>
        <v>0</v>
      </c>
      <c r="FG124" s="96"/>
      <c r="FH124" s="96"/>
      <c r="FI124" s="97"/>
      <c r="FJ124" s="294">
        <f t="shared" si="1650"/>
        <v>0</v>
      </c>
      <c r="FK124" s="302">
        <f t="shared" si="1651"/>
        <v>0.4604471269</v>
      </c>
      <c r="FL124" s="303">
        <f t="shared" si="1652"/>
        <v>0</v>
      </c>
      <c r="FM124" s="304">
        <f t="shared" si="1653"/>
        <v>0</v>
      </c>
      <c r="FN124" s="297"/>
      <c r="FO124" s="299">
        <f t="shared" si="1730"/>
        <v>4</v>
      </c>
      <c r="FP124" s="300" t="str">
        <f t="shared" ref="FP124:FR124" si="1756">IFERROR(VLOOKUP($R124,$A$13:$D$30,-FP$12,FALSE),"")</f>
        <v>Bauksit </v>
      </c>
      <c r="FQ124" s="301" t="str">
        <f t="shared" si="1756"/>
        <v>Bijih </v>
      </c>
      <c r="FR124" s="301" t="str">
        <f t="shared" si="1756"/>
        <v>Ton </v>
      </c>
      <c r="FS124" s="294" t="str">
        <f>ADHK!FS124</f>
        <v/>
      </c>
      <c r="FT124" s="294"/>
      <c r="FU124" s="294">
        <f t="shared" si="1655"/>
        <v>0</v>
      </c>
      <c r="FV124" s="302"/>
      <c r="FW124" s="294">
        <f t="shared" si="1656"/>
        <v>0</v>
      </c>
      <c r="FX124" s="96"/>
      <c r="FY124" s="96"/>
      <c r="FZ124" s="97"/>
      <c r="GA124" s="294">
        <f t="shared" si="1657"/>
        <v>0</v>
      </c>
      <c r="GB124" s="302">
        <f t="shared" si="1658"/>
        <v>0.4604471269</v>
      </c>
      <c r="GC124" s="303">
        <f t="shared" si="1659"/>
        <v>0</v>
      </c>
      <c r="GD124" s="304">
        <f t="shared" si="1660"/>
        <v>0</v>
      </c>
      <c r="GE124" s="297"/>
      <c r="GF124" s="299">
        <f t="shared" si="1732"/>
        <v>4</v>
      </c>
      <c r="GG124" s="300" t="str">
        <f t="shared" ref="GG124:GI124" si="1757">IFERROR(VLOOKUP($R124,$A$13:$D$30,-GG$12,FALSE),"")</f>
        <v>Bauksit </v>
      </c>
      <c r="GH124" s="301" t="str">
        <f t="shared" si="1757"/>
        <v>Bijih </v>
      </c>
      <c r="GI124" s="301" t="str">
        <f t="shared" si="1757"/>
        <v>Ton </v>
      </c>
      <c r="GJ124" s="294" t="str">
        <f>ADHK!GJ124</f>
        <v/>
      </c>
      <c r="GK124" s="294"/>
      <c r="GL124" s="294">
        <f t="shared" si="1662"/>
        <v>0</v>
      </c>
      <c r="GM124" s="302"/>
      <c r="GN124" s="294">
        <f t="shared" si="1663"/>
        <v>0</v>
      </c>
      <c r="GO124" s="96"/>
      <c r="GP124" s="96"/>
      <c r="GQ124" s="97"/>
      <c r="GR124" s="294">
        <f t="shared" si="1664"/>
        <v>0</v>
      </c>
      <c r="GS124" s="302">
        <f t="shared" si="1665"/>
        <v>0.4604471269</v>
      </c>
      <c r="GT124" s="303">
        <f t="shared" si="1666"/>
        <v>0</v>
      </c>
      <c r="GU124" s="304">
        <f t="shared" si="1667"/>
        <v>0</v>
      </c>
      <c r="GV124" s="297"/>
      <c r="GW124" s="299">
        <f t="shared" si="1734"/>
        <v>4</v>
      </c>
      <c r="GX124" s="300" t="str">
        <f t="shared" ref="GX124:GZ124" si="1758">IFERROR(VLOOKUP($R124,$A$13:$D$30,-GX$12,FALSE),"")</f>
        <v>Bauksit </v>
      </c>
      <c r="GY124" s="301" t="str">
        <f t="shared" si="1758"/>
        <v>Bijih </v>
      </c>
      <c r="GZ124" s="301" t="str">
        <f t="shared" si="1758"/>
        <v>Ton </v>
      </c>
      <c r="HA124" s="294" t="str">
        <f>ADHK!HA124</f>
        <v/>
      </c>
      <c r="HB124" s="294"/>
      <c r="HC124" s="294">
        <f t="shared" si="1669"/>
        <v>0</v>
      </c>
      <c r="HD124" s="302"/>
      <c r="HE124" s="294">
        <f t="shared" si="1670"/>
        <v>0</v>
      </c>
      <c r="HF124" s="96"/>
      <c r="HG124" s="96"/>
      <c r="HH124" s="97"/>
      <c r="HI124" s="294">
        <f t="shared" si="1671"/>
        <v>0</v>
      </c>
      <c r="HJ124" s="302">
        <f t="shared" si="1672"/>
        <v>0.4604471269</v>
      </c>
      <c r="HK124" s="303">
        <f t="shared" si="1673"/>
        <v>0</v>
      </c>
      <c r="HL124" s="304">
        <f t="shared" si="1674"/>
        <v>0</v>
      </c>
      <c r="HM124" s="297"/>
      <c r="HN124" s="299">
        <f t="shared" si="1736"/>
        <v>4</v>
      </c>
      <c r="HO124" s="300" t="str">
        <f t="shared" ref="HO124:HQ124" si="1759">IFERROR(VLOOKUP($R124,$A$13:$D$30,-HO$12,FALSE),"")</f>
        <v>Bauksit </v>
      </c>
      <c r="HP124" s="301" t="str">
        <f t="shared" si="1759"/>
        <v>Bijih </v>
      </c>
      <c r="HQ124" s="301" t="str">
        <f t="shared" si="1759"/>
        <v>Ton </v>
      </c>
      <c r="HR124" s="294"/>
      <c r="HS124" s="294"/>
      <c r="HT124" s="294">
        <f t="shared" si="1676"/>
        <v>0</v>
      </c>
      <c r="HU124" s="302"/>
      <c r="HV124" s="294">
        <f t="shared" si="1677"/>
        <v>0</v>
      </c>
      <c r="HW124" s="96"/>
      <c r="HX124" s="96"/>
      <c r="HY124" s="97"/>
      <c r="HZ124" s="294">
        <f t="shared" si="1678"/>
        <v>0</v>
      </c>
      <c r="IA124" s="302">
        <f t="shared" si="1679"/>
        <v>0.4604471269</v>
      </c>
      <c r="IB124" s="303">
        <f t="shared" si="1680"/>
        <v>0</v>
      </c>
      <c r="IC124" s="304">
        <f t="shared" si="1681"/>
        <v>0</v>
      </c>
      <c r="ID124" s="297"/>
      <c r="IE124" s="299">
        <f t="shared" si="1738"/>
        <v>4</v>
      </c>
      <c r="IF124" s="300" t="str">
        <f t="shared" ref="IF124:IH124" si="1760">IFERROR(VLOOKUP($R124,$A$13:$D$30,-IF$12,FALSE),"")</f>
        <v>Bauksit </v>
      </c>
      <c r="IG124" s="301" t="str">
        <f t="shared" si="1760"/>
        <v>Bijih </v>
      </c>
      <c r="IH124" s="301" t="str">
        <f t="shared" si="1760"/>
        <v>Ton </v>
      </c>
      <c r="II124" s="294" t="str">
        <f>ADHK!II124</f>
        <v/>
      </c>
      <c r="IJ124" s="294"/>
      <c r="IK124" s="294">
        <f t="shared" si="1683"/>
        <v>0</v>
      </c>
      <c r="IL124" s="302"/>
      <c r="IM124" s="294">
        <f t="shared" si="1684"/>
        <v>0</v>
      </c>
      <c r="IN124" s="96"/>
      <c r="IO124" s="96"/>
      <c r="IP124" s="97"/>
      <c r="IQ124" s="294">
        <f t="shared" si="1685"/>
        <v>0</v>
      </c>
      <c r="IR124" s="302">
        <f t="shared" si="1686"/>
        <v>0.4604471269</v>
      </c>
      <c r="IS124" s="303">
        <f t="shared" si="1687"/>
        <v>0</v>
      </c>
      <c r="IT124" s="304">
        <f t="shared" si="1688"/>
        <v>0</v>
      </c>
      <c r="IU124" s="297"/>
      <c r="IV124" s="299">
        <f t="shared" si="1740"/>
        <v>4</v>
      </c>
      <c r="IW124" s="300" t="str">
        <f t="shared" ref="IW124:IY124" si="1761">IFERROR(VLOOKUP($R124,$A$13:$D$30,-IW$12,FALSE),"")</f>
        <v>Bauksit </v>
      </c>
      <c r="IX124" s="301" t="str">
        <f t="shared" si="1761"/>
        <v>Bijih </v>
      </c>
      <c r="IY124" s="301" t="str">
        <f t="shared" si="1761"/>
        <v>Ton </v>
      </c>
      <c r="IZ124" s="294" t="str">
        <f>ADHK!IZ124</f>
        <v/>
      </c>
      <c r="JA124" s="294"/>
      <c r="JB124" s="294">
        <f t="shared" si="1690"/>
        <v>0</v>
      </c>
      <c r="JC124" s="302"/>
      <c r="JD124" s="294">
        <f t="shared" si="1691"/>
        <v>0</v>
      </c>
      <c r="JE124" s="96"/>
      <c r="JF124" s="96"/>
      <c r="JG124" s="97"/>
      <c r="JH124" s="294">
        <f t="shared" si="1692"/>
        <v>0</v>
      </c>
      <c r="JI124" s="302">
        <f t="shared" si="1693"/>
        <v>0.4604471269</v>
      </c>
      <c r="JJ124" s="303">
        <f t="shared" si="1694"/>
        <v>0</v>
      </c>
      <c r="JK124" s="304">
        <f t="shared" si="1695"/>
        <v>0</v>
      </c>
      <c r="JL124" s="297"/>
      <c r="JM124" s="299">
        <f t="shared" si="1742"/>
        <v>4</v>
      </c>
      <c r="JN124" s="300" t="str">
        <f t="shared" ref="JN124:JP124" si="1762">IFERROR(VLOOKUP($R124,$A$13:$D$30,-JN$12,FALSE),"")</f>
        <v>Bauksit </v>
      </c>
      <c r="JO124" s="301" t="str">
        <f t="shared" si="1762"/>
        <v>Bijih </v>
      </c>
      <c r="JP124" s="301" t="str">
        <f t="shared" si="1762"/>
        <v>Ton </v>
      </c>
      <c r="JQ124" s="294" t="str">
        <f>ADHK!KY124</f>
        <v/>
      </c>
      <c r="JR124" s="294"/>
      <c r="JS124" s="294">
        <f t="shared" si="1697"/>
        <v>0</v>
      </c>
      <c r="JT124" s="302"/>
      <c r="JU124" s="294">
        <f t="shared" si="1698"/>
        <v>0</v>
      </c>
      <c r="JV124" s="96"/>
      <c r="JW124" s="96"/>
      <c r="JX124" s="97"/>
      <c r="JY124" s="294">
        <f t="shared" si="1699"/>
        <v>0</v>
      </c>
      <c r="JZ124" s="302">
        <f t="shared" si="1700"/>
        <v>0.4604471269</v>
      </c>
      <c r="KA124" s="303">
        <f t="shared" si="1701"/>
        <v>0</v>
      </c>
      <c r="KB124" s="304">
        <f t="shared" si="1702"/>
        <v>0</v>
      </c>
      <c r="KC124" s="297"/>
      <c r="KD124" s="299">
        <f t="shared" si="1744"/>
        <v>4</v>
      </c>
      <c r="KE124" s="300" t="str">
        <f t="shared" ref="KE124:KG124" si="1763">IFERROR(VLOOKUP($R124,$A$13:$D$30,-KE$12,FALSE),"")</f>
        <v>Bauksit </v>
      </c>
      <c r="KF124" s="301" t="str">
        <f t="shared" si="1763"/>
        <v>Bijih </v>
      </c>
      <c r="KG124" s="301" t="str">
        <f t="shared" si="1763"/>
        <v>Ton </v>
      </c>
      <c r="KH124" s="294" t="str">
        <f>ADHK!LP124</f>
        <v/>
      </c>
      <c r="KI124" s="294"/>
      <c r="KJ124" s="294">
        <f t="shared" si="1704"/>
        <v>0</v>
      </c>
      <c r="KK124" s="302"/>
      <c r="KL124" s="294">
        <f t="shared" si="1705"/>
        <v>0</v>
      </c>
      <c r="KM124" s="96"/>
      <c r="KN124" s="96"/>
      <c r="KO124" s="97"/>
      <c r="KP124" s="294">
        <f t="shared" si="1706"/>
        <v>0</v>
      </c>
      <c r="KQ124" s="302">
        <f t="shared" si="1707"/>
        <v>0.4604471269</v>
      </c>
      <c r="KR124" s="303">
        <f t="shared" si="1708"/>
        <v>0</v>
      </c>
      <c r="KS124" s="304">
        <f t="shared" si="1709"/>
        <v>0</v>
      </c>
      <c r="KT124" s="297"/>
      <c r="KU124" s="298"/>
    </row>
    <row r="125" ht="15.75" customHeight="1">
      <c r="A125" s="299">
        <f t="shared" si="1710"/>
        <v>5</v>
      </c>
      <c r="B125" s="300" t="str">
        <f t="shared" ref="B125:D125" si="1764">IFERROR(VLOOKUP($A125,$A$13:$D$30,-B$12,FALSE),"")</f>
        <v>Bijih Nikel </v>
      </c>
      <c r="C125" s="301" t="str">
        <f t="shared" si="1764"/>
        <v>Bijih </v>
      </c>
      <c r="D125" s="301" t="str">
        <f t="shared" si="1764"/>
        <v>WMT</v>
      </c>
      <c r="E125" s="294" t="str">
        <f>ADHK!E125</f>
        <v/>
      </c>
      <c r="F125" s="294" t="str">
        <f>ADHK!F125</f>
        <v/>
      </c>
      <c r="G125" s="294">
        <f t="shared" si="1585"/>
        <v>0</v>
      </c>
      <c r="H125" s="302"/>
      <c r="I125" s="294">
        <f t="shared" si="1586"/>
        <v>0</v>
      </c>
      <c r="J125" s="96"/>
      <c r="K125" s="96"/>
      <c r="L125" s="97"/>
      <c r="M125" s="294">
        <f t="shared" si="1587"/>
        <v>0</v>
      </c>
      <c r="N125" s="302">
        <f t="shared" si="1588"/>
        <v>0.4604471269</v>
      </c>
      <c r="O125" s="303">
        <f t="shared" si="1589"/>
        <v>0</v>
      </c>
      <c r="P125" s="304">
        <f t="shared" si="1590"/>
        <v>0</v>
      </c>
      <c r="Q125" s="297"/>
      <c r="R125" s="299">
        <f t="shared" si="1712"/>
        <v>5</v>
      </c>
      <c r="S125" s="300" t="str">
        <f t="shared" ref="S125:U125" si="1765">IFERROR(VLOOKUP($R125,$A$13:$D$30,-S$12,FALSE),"")</f>
        <v>Bijih Nikel </v>
      </c>
      <c r="T125" s="301" t="str">
        <f t="shared" si="1765"/>
        <v>Bijih </v>
      </c>
      <c r="U125" s="301" t="str">
        <f t="shared" si="1765"/>
        <v>WMT</v>
      </c>
      <c r="V125" s="294" t="str">
        <f>ADHK!V125</f>
        <v/>
      </c>
      <c r="W125" s="294"/>
      <c r="X125" s="294">
        <f t="shared" si="1592"/>
        <v>0</v>
      </c>
      <c r="Y125" s="302"/>
      <c r="Z125" s="294">
        <f t="shared" si="1593"/>
        <v>0</v>
      </c>
      <c r="AA125" s="96"/>
      <c r="AB125" s="96"/>
      <c r="AC125" s="97"/>
      <c r="AD125" s="294">
        <f t="shared" si="1594"/>
        <v>0</v>
      </c>
      <c r="AE125" s="302">
        <f t="shared" si="1595"/>
        <v>0.4604471269</v>
      </c>
      <c r="AF125" s="303">
        <f t="shared" si="1596"/>
        <v>0</v>
      </c>
      <c r="AG125" s="304">
        <f t="shared" si="1597"/>
        <v>0</v>
      </c>
      <c r="AH125" s="297"/>
      <c r="AI125" s="299">
        <f t="shared" si="1714"/>
        <v>5</v>
      </c>
      <c r="AJ125" s="300" t="str">
        <f t="shared" ref="AJ125:AL125" si="1766">IFERROR(VLOOKUP($R125,$A$13:$D$30,-AJ$12,FALSE),"")</f>
        <v>Bijih Nikel </v>
      </c>
      <c r="AK125" s="301" t="str">
        <f t="shared" si="1766"/>
        <v>Bijih </v>
      </c>
      <c r="AL125" s="301" t="str">
        <f t="shared" si="1766"/>
        <v>WMT</v>
      </c>
      <c r="AM125" s="294" t="str">
        <f>ADHK!AM125</f>
        <v/>
      </c>
      <c r="AN125" s="294"/>
      <c r="AO125" s="294">
        <f t="shared" si="1599"/>
        <v>0</v>
      </c>
      <c r="AP125" s="302"/>
      <c r="AQ125" s="294">
        <f t="shared" si="1600"/>
        <v>0</v>
      </c>
      <c r="AR125" s="96"/>
      <c r="AS125" s="96"/>
      <c r="AT125" s="97"/>
      <c r="AU125" s="294">
        <f t="shared" si="1601"/>
        <v>0</v>
      </c>
      <c r="AV125" s="302">
        <f t="shared" si="1602"/>
        <v>0.4604471269</v>
      </c>
      <c r="AW125" s="303">
        <f t="shared" si="1603"/>
        <v>0</v>
      </c>
      <c r="AX125" s="304">
        <f t="shared" si="1604"/>
        <v>0</v>
      </c>
      <c r="AY125" s="297"/>
      <c r="AZ125" s="299">
        <f t="shared" si="1716"/>
        <v>5</v>
      </c>
      <c r="BA125" s="300" t="str">
        <f t="shared" ref="BA125:BC125" si="1767">IFERROR(VLOOKUP($R125,$A$13:$D$30,-BA$12,FALSE),"")</f>
        <v>Bijih Nikel </v>
      </c>
      <c r="BB125" s="301" t="str">
        <f t="shared" si="1767"/>
        <v>Bijih </v>
      </c>
      <c r="BC125" s="301" t="str">
        <f t="shared" si="1767"/>
        <v>WMT</v>
      </c>
      <c r="BD125" s="294" t="str">
        <f>ADHK!BD125</f>
        <v/>
      </c>
      <c r="BE125" s="294"/>
      <c r="BF125" s="294">
        <f t="shared" si="1606"/>
        <v>0</v>
      </c>
      <c r="BG125" s="302"/>
      <c r="BH125" s="294">
        <f t="shared" si="1607"/>
        <v>0</v>
      </c>
      <c r="BI125" s="96"/>
      <c r="BJ125" s="96"/>
      <c r="BK125" s="97"/>
      <c r="BL125" s="294">
        <f t="shared" si="1608"/>
        <v>0</v>
      </c>
      <c r="BM125" s="302">
        <f t="shared" si="1609"/>
        <v>0.4604471269</v>
      </c>
      <c r="BN125" s="303">
        <f t="shared" si="1610"/>
        <v>0</v>
      </c>
      <c r="BO125" s="304">
        <f t="shared" si="1611"/>
        <v>0</v>
      </c>
      <c r="BP125" s="297"/>
      <c r="BQ125" s="299">
        <f t="shared" si="1718"/>
        <v>5</v>
      </c>
      <c r="BR125" s="300" t="str">
        <f t="shared" ref="BR125:BT125" si="1768">IFERROR(VLOOKUP($R125,$A$13:$D$30,-BR$12,FALSE),"")</f>
        <v>Bijih Nikel </v>
      </c>
      <c r="BS125" s="301" t="str">
        <f t="shared" si="1768"/>
        <v>Bijih </v>
      </c>
      <c r="BT125" s="301" t="str">
        <f t="shared" si="1768"/>
        <v>WMT</v>
      </c>
      <c r="BU125" s="294" t="str">
        <f>ADHK!BU125</f>
        <v/>
      </c>
      <c r="BV125" s="294"/>
      <c r="BW125" s="294">
        <f t="shared" si="1613"/>
        <v>0</v>
      </c>
      <c r="BX125" s="302"/>
      <c r="BY125" s="294">
        <f t="shared" si="1614"/>
        <v>0</v>
      </c>
      <c r="BZ125" s="96"/>
      <c r="CA125" s="96"/>
      <c r="CB125" s="97"/>
      <c r="CC125" s="294">
        <f t="shared" si="1615"/>
        <v>0</v>
      </c>
      <c r="CD125" s="302">
        <f t="shared" si="1616"/>
        <v>0.4604471269</v>
      </c>
      <c r="CE125" s="303">
        <f t="shared" si="1617"/>
        <v>0</v>
      </c>
      <c r="CF125" s="304">
        <f t="shared" si="1618"/>
        <v>0</v>
      </c>
      <c r="CG125" s="297"/>
      <c r="CH125" s="299">
        <f t="shared" si="1720"/>
        <v>5</v>
      </c>
      <c r="CI125" s="300" t="str">
        <f t="shared" ref="CI125:CK125" si="1769">IFERROR(VLOOKUP($R125,$A$13:$D$30,-CI$12,FALSE),"")</f>
        <v>Bijih Nikel </v>
      </c>
      <c r="CJ125" s="301" t="str">
        <f t="shared" si="1769"/>
        <v>Bijih </v>
      </c>
      <c r="CK125" s="301" t="str">
        <f t="shared" si="1769"/>
        <v>WMT</v>
      </c>
      <c r="CL125" s="294" t="str">
        <f>ADHK!CL125</f>
        <v/>
      </c>
      <c r="CM125" s="294"/>
      <c r="CN125" s="294">
        <f t="shared" si="1620"/>
        <v>0</v>
      </c>
      <c r="CO125" s="302"/>
      <c r="CP125" s="294">
        <f t="shared" si="1621"/>
        <v>0</v>
      </c>
      <c r="CQ125" s="96"/>
      <c r="CR125" s="96"/>
      <c r="CS125" s="97"/>
      <c r="CT125" s="294">
        <f t="shared" si="1622"/>
        <v>0</v>
      </c>
      <c r="CU125" s="302">
        <f t="shared" si="1623"/>
        <v>0.4604471269</v>
      </c>
      <c r="CV125" s="303">
        <f t="shared" si="1624"/>
        <v>0</v>
      </c>
      <c r="CW125" s="304">
        <f t="shared" si="1625"/>
        <v>0</v>
      </c>
      <c r="CX125" s="297"/>
      <c r="CY125" s="299">
        <f t="shared" si="1722"/>
        <v>5</v>
      </c>
      <c r="CZ125" s="300" t="str">
        <f t="shared" ref="CZ125:DB125" si="1770">IFERROR(VLOOKUP($R125,$A$13:$D$30,-CZ$12,FALSE),"")</f>
        <v>Bijih Nikel </v>
      </c>
      <c r="DA125" s="301" t="str">
        <f t="shared" si="1770"/>
        <v>Bijih </v>
      </c>
      <c r="DB125" s="301" t="str">
        <f t="shared" si="1770"/>
        <v>WMT</v>
      </c>
      <c r="DC125" s="294" t="str">
        <f>ADHK!DC125</f>
        <v/>
      </c>
      <c r="DD125" s="294"/>
      <c r="DE125" s="294">
        <f t="shared" si="1627"/>
        <v>0</v>
      </c>
      <c r="DF125" s="302"/>
      <c r="DG125" s="294">
        <f t="shared" si="1628"/>
        <v>0</v>
      </c>
      <c r="DH125" s="96"/>
      <c r="DI125" s="96"/>
      <c r="DJ125" s="97"/>
      <c r="DK125" s="294">
        <f t="shared" si="1629"/>
        <v>0</v>
      </c>
      <c r="DL125" s="302">
        <f t="shared" si="1630"/>
        <v>0.4604471269</v>
      </c>
      <c r="DM125" s="303">
        <f t="shared" si="1631"/>
        <v>0</v>
      </c>
      <c r="DN125" s="304">
        <f t="shared" si="1632"/>
        <v>0</v>
      </c>
      <c r="DO125" s="297"/>
      <c r="DP125" s="299">
        <f t="shared" si="1724"/>
        <v>5</v>
      </c>
      <c r="DQ125" s="300" t="str">
        <f t="shared" ref="DQ125:DS125" si="1771">IFERROR(VLOOKUP($R125,$A$13:$D$30,-DQ$12,FALSE),"")</f>
        <v>Bijih Nikel </v>
      </c>
      <c r="DR125" s="301" t="str">
        <f t="shared" si="1771"/>
        <v>Bijih </v>
      </c>
      <c r="DS125" s="301" t="str">
        <f t="shared" si="1771"/>
        <v>WMT</v>
      </c>
      <c r="DT125" s="294" t="str">
        <f>ADHK!DT125</f>
        <v/>
      </c>
      <c r="DU125" s="294"/>
      <c r="DV125" s="294">
        <f t="shared" si="1634"/>
        <v>0</v>
      </c>
      <c r="DW125" s="302"/>
      <c r="DX125" s="294">
        <f t="shared" si="1635"/>
        <v>0</v>
      </c>
      <c r="DY125" s="96"/>
      <c r="DZ125" s="96"/>
      <c r="EA125" s="97"/>
      <c r="EB125" s="294">
        <f t="shared" si="1636"/>
        <v>0</v>
      </c>
      <c r="EC125" s="302">
        <f t="shared" si="1637"/>
        <v>0.4604471269</v>
      </c>
      <c r="ED125" s="303">
        <f t="shared" si="1638"/>
        <v>0</v>
      </c>
      <c r="EE125" s="304">
        <f t="shared" si="1639"/>
        <v>0</v>
      </c>
      <c r="EF125" s="297"/>
      <c r="EG125" s="299">
        <f t="shared" si="1726"/>
        <v>5</v>
      </c>
      <c r="EH125" s="300" t="str">
        <f t="shared" ref="EH125:EJ125" si="1772">IFERROR(VLOOKUP($R125,$A$13:$D$30,-EH$12,FALSE),"")</f>
        <v>Bijih Nikel </v>
      </c>
      <c r="EI125" s="301" t="str">
        <f t="shared" si="1772"/>
        <v>Bijih </v>
      </c>
      <c r="EJ125" s="301" t="str">
        <f t="shared" si="1772"/>
        <v>WMT</v>
      </c>
      <c r="EK125" s="294" t="str">
        <f>ADHK!EK125</f>
        <v/>
      </c>
      <c r="EL125" s="294"/>
      <c r="EM125" s="294">
        <f t="shared" si="1641"/>
        <v>0</v>
      </c>
      <c r="EN125" s="302"/>
      <c r="EO125" s="294">
        <f t="shared" si="1642"/>
        <v>0</v>
      </c>
      <c r="EP125" s="96"/>
      <c r="EQ125" s="96"/>
      <c r="ER125" s="97"/>
      <c r="ES125" s="294">
        <f t="shared" si="1643"/>
        <v>0</v>
      </c>
      <c r="ET125" s="302">
        <f t="shared" si="1644"/>
        <v>0.4604471269</v>
      </c>
      <c r="EU125" s="303">
        <f t="shared" si="1645"/>
        <v>0</v>
      </c>
      <c r="EV125" s="304">
        <f t="shared" si="1646"/>
        <v>0</v>
      </c>
      <c r="EW125" s="297"/>
      <c r="EX125" s="299">
        <f t="shared" si="1728"/>
        <v>5</v>
      </c>
      <c r="EY125" s="300" t="str">
        <f t="shared" ref="EY125:FA125" si="1773">IFERROR(VLOOKUP($R125,$A$13:$D$30,-EY$12,FALSE),"")</f>
        <v>Bijih Nikel </v>
      </c>
      <c r="EZ125" s="301" t="str">
        <f t="shared" si="1773"/>
        <v>Bijih </v>
      </c>
      <c r="FA125" s="301" t="str">
        <f t="shared" si="1773"/>
        <v>WMT</v>
      </c>
      <c r="FB125" s="294" t="str">
        <f>ADHK!FB125</f>
        <v/>
      </c>
      <c r="FC125" s="294"/>
      <c r="FD125" s="294">
        <f t="shared" si="1648"/>
        <v>0</v>
      </c>
      <c r="FE125" s="302"/>
      <c r="FF125" s="294">
        <f t="shared" si="1649"/>
        <v>0</v>
      </c>
      <c r="FG125" s="96"/>
      <c r="FH125" s="96"/>
      <c r="FI125" s="97"/>
      <c r="FJ125" s="294">
        <f t="shared" si="1650"/>
        <v>0</v>
      </c>
      <c r="FK125" s="302">
        <f t="shared" si="1651"/>
        <v>0.4604471269</v>
      </c>
      <c r="FL125" s="303">
        <f t="shared" si="1652"/>
        <v>0</v>
      </c>
      <c r="FM125" s="304">
        <f t="shared" si="1653"/>
        <v>0</v>
      </c>
      <c r="FN125" s="297"/>
      <c r="FO125" s="299">
        <f t="shared" si="1730"/>
        <v>5</v>
      </c>
      <c r="FP125" s="300" t="str">
        <f t="shared" ref="FP125:FR125" si="1774">IFERROR(VLOOKUP($R125,$A$13:$D$30,-FP$12,FALSE),"")</f>
        <v>Bijih Nikel </v>
      </c>
      <c r="FQ125" s="301" t="str">
        <f t="shared" si="1774"/>
        <v>Bijih </v>
      </c>
      <c r="FR125" s="301" t="str">
        <f t="shared" si="1774"/>
        <v>WMT</v>
      </c>
      <c r="FS125" s="305">
        <v>5027131.72</v>
      </c>
      <c r="FT125" s="305">
        <v>288563.33</v>
      </c>
      <c r="FU125" s="294">
        <f t="shared" si="1655"/>
        <v>1450645.869</v>
      </c>
      <c r="FV125" s="302"/>
      <c r="FW125" s="294">
        <f t="shared" si="1656"/>
        <v>0</v>
      </c>
      <c r="FX125" s="96"/>
      <c r="FY125" s="96"/>
      <c r="FZ125" s="97"/>
      <c r="GA125" s="294">
        <f t="shared" si="1657"/>
        <v>1450645.869</v>
      </c>
      <c r="GB125" s="302">
        <f t="shared" si="1658"/>
        <v>0.4604471269</v>
      </c>
      <c r="GC125" s="303">
        <f t="shared" si="1659"/>
        <v>667945.7227</v>
      </c>
      <c r="GD125" s="304">
        <f t="shared" si="1660"/>
        <v>782700.1467</v>
      </c>
      <c r="GE125" s="297"/>
      <c r="GF125" s="299">
        <f t="shared" si="1732"/>
        <v>5</v>
      </c>
      <c r="GG125" s="300" t="str">
        <f t="shared" ref="GG125:GI125" si="1775">IFERROR(VLOOKUP($R125,$A$13:$D$30,-GG$12,FALSE),"")</f>
        <v>Bijih Nikel </v>
      </c>
      <c r="GH125" s="301" t="str">
        <f t="shared" si="1775"/>
        <v>Bijih </v>
      </c>
      <c r="GI125" s="301" t="str">
        <f t="shared" si="1775"/>
        <v>WMT</v>
      </c>
      <c r="GJ125" s="294">
        <f>5055.789*1000</f>
        <v>5055789</v>
      </c>
      <c r="GK125" s="305">
        <v>180377.0</v>
      </c>
      <c r="GL125" s="294">
        <f t="shared" si="1662"/>
        <v>911948.0525</v>
      </c>
      <c r="GM125" s="302"/>
      <c r="GN125" s="294">
        <f t="shared" si="1663"/>
        <v>0</v>
      </c>
      <c r="GO125" s="96"/>
      <c r="GP125" s="96"/>
      <c r="GQ125" s="97"/>
      <c r="GR125" s="294">
        <f t="shared" si="1664"/>
        <v>911948.0525</v>
      </c>
      <c r="GS125" s="302">
        <f t="shared" si="1665"/>
        <v>0.4604471269</v>
      </c>
      <c r="GT125" s="303">
        <f t="shared" si="1666"/>
        <v>419903.8606</v>
      </c>
      <c r="GU125" s="304">
        <f t="shared" si="1667"/>
        <v>492044.1918</v>
      </c>
      <c r="GV125" s="297"/>
      <c r="GW125" s="299">
        <f t="shared" si="1734"/>
        <v>5</v>
      </c>
      <c r="GX125" s="300" t="str">
        <f t="shared" ref="GX125:GZ125" si="1776">IFERROR(VLOOKUP($R125,$A$13:$D$30,-GX$12,FALSE),"")</f>
        <v>Bijih Nikel </v>
      </c>
      <c r="GY125" s="301" t="str">
        <f t="shared" si="1776"/>
        <v>Bijih </v>
      </c>
      <c r="GZ125" s="301" t="str">
        <f t="shared" si="1776"/>
        <v>WMT</v>
      </c>
      <c r="HA125" s="294">
        <f>8993242.6024</f>
        <v>8993242.602</v>
      </c>
      <c r="HB125" s="305">
        <v>216433.12031982</v>
      </c>
      <c r="HC125" s="294">
        <f t="shared" si="1669"/>
        <v>1946435.558</v>
      </c>
      <c r="HD125" s="302"/>
      <c r="HE125" s="294">
        <f t="shared" si="1670"/>
        <v>0</v>
      </c>
      <c r="HF125" s="96"/>
      <c r="HG125" s="96"/>
      <c r="HH125" s="97"/>
      <c r="HI125" s="294">
        <f t="shared" si="1671"/>
        <v>1946435.558</v>
      </c>
      <c r="HJ125" s="302">
        <f t="shared" si="1672"/>
        <v>0.4604471269</v>
      </c>
      <c r="HK125" s="303">
        <f t="shared" si="1673"/>
        <v>896230.6605</v>
      </c>
      <c r="HL125" s="304">
        <f t="shared" si="1674"/>
        <v>1050204.898</v>
      </c>
      <c r="HM125" s="297"/>
      <c r="HN125" s="299">
        <f t="shared" si="1736"/>
        <v>5</v>
      </c>
      <c r="HO125" s="300" t="str">
        <f t="shared" ref="HO125:HQ125" si="1777">IFERROR(VLOOKUP($R125,$A$13:$D$30,-HO$12,FALSE),"")</f>
        <v>Bijih Nikel </v>
      </c>
      <c r="HP125" s="301" t="str">
        <f t="shared" si="1777"/>
        <v>Bijih </v>
      </c>
      <c r="HQ125" s="301" t="str">
        <f t="shared" si="1777"/>
        <v>WMT</v>
      </c>
      <c r="HR125" s="294">
        <f>203001+11431045.666261</f>
        <v>11634046.67</v>
      </c>
      <c r="HS125" s="305">
        <v>270273.0</v>
      </c>
      <c r="HT125" s="294">
        <f t="shared" si="1676"/>
        <v>3144368.695</v>
      </c>
      <c r="HU125" s="302"/>
      <c r="HV125" s="294">
        <f t="shared" si="1677"/>
        <v>0</v>
      </c>
      <c r="HW125" s="96"/>
      <c r="HX125" s="96"/>
      <c r="HY125" s="97"/>
      <c r="HZ125" s="294">
        <f t="shared" si="1678"/>
        <v>3144368.695</v>
      </c>
      <c r="IA125" s="302">
        <f t="shared" si="1679"/>
        <v>0.4604471269</v>
      </c>
      <c r="IB125" s="303">
        <f t="shared" si="1680"/>
        <v>1447815.531</v>
      </c>
      <c r="IC125" s="304">
        <f t="shared" si="1681"/>
        <v>1696553.163</v>
      </c>
      <c r="ID125" s="297"/>
      <c r="IE125" s="299">
        <f t="shared" si="1738"/>
        <v>5</v>
      </c>
      <c r="IF125" s="300" t="str">
        <f t="shared" ref="IF125:IH125" si="1778">IFERROR(VLOOKUP($R125,$A$13:$D$30,-IF$12,FALSE),"")</f>
        <v>Bijih Nikel </v>
      </c>
      <c r="IG125" s="301" t="str">
        <f t="shared" si="1778"/>
        <v>Bijih </v>
      </c>
      <c r="IH125" s="301" t="str">
        <f t="shared" si="1778"/>
        <v>WMT</v>
      </c>
      <c r="II125" s="294">
        <f>((II89*11.275)/100)+II89</f>
        <v>23162918.87</v>
      </c>
      <c r="IJ125" s="294">
        <f>IJ89-((IJ89*1.3049)/100)</f>
        <v>223326.9203</v>
      </c>
      <c r="IK125" s="294">
        <f t="shared" si="1683"/>
        <v>5172903.337</v>
      </c>
      <c r="IL125" s="302"/>
      <c r="IM125" s="294">
        <f t="shared" si="1684"/>
        <v>0</v>
      </c>
      <c r="IN125" s="96"/>
      <c r="IO125" s="96"/>
      <c r="IP125" s="97"/>
      <c r="IQ125" s="294">
        <f t="shared" si="1685"/>
        <v>5172903.337</v>
      </c>
      <c r="IR125" s="302">
        <f t="shared" si="1686"/>
        <v>0.4604471269</v>
      </c>
      <c r="IS125" s="303">
        <f t="shared" si="1687"/>
        <v>2381848.479</v>
      </c>
      <c r="IT125" s="304">
        <f t="shared" si="1688"/>
        <v>2791054.858</v>
      </c>
      <c r="IU125" s="297"/>
      <c r="IV125" s="299">
        <f t="shared" si="1740"/>
        <v>5</v>
      </c>
      <c r="IW125" s="300" t="str">
        <f t="shared" ref="IW125:IY125" si="1779">IFERROR(VLOOKUP($R125,$A$13:$D$30,-IW$12,FALSE),"")</f>
        <v>Bijih Nikel </v>
      </c>
      <c r="IX125" s="301" t="str">
        <f t="shared" si="1779"/>
        <v>Bijih </v>
      </c>
      <c r="IY125" s="301" t="str">
        <f t="shared" si="1779"/>
        <v>WMT</v>
      </c>
      <c r="IZ125" s="301">
        <f>IZ89*(100+14.6)/100</f>
        <v>23679335.83</v>
      </c>
      <c r="JA125" s="301">
        <f>JA89*(100-3.18)/100</f>
        <v>204366.3698</v>
      </c>
      <c r="JB125" s="294">
        <f t="shared" si="1690"/>
        <v>4839259.902</v>
      </c>
      <c r="JC125" s="302"/>
      <c r="JD125" s="294">
        <f t="shared" si="1691"/>
        <v>0</v>
      </c>
      <c r="JE125" s="96"/>
      <c r="JF125" s="96"/>
      <c r="JG125" s="97"/>
      <c r="JH125" s="294">
        <f t="shared" si="1692"/>
        <v>4839259.902</v>
      </c>
      <c r="JI125" s="302">
        <f t="shared" si="1693"/>
        <v>0.4604471269</v>
      </c>
      <c r="JJ125" s="303">
        <f t="shared" si="1694"/>
        <v>2228223.318</v>
      </c>
      <c r="JK125" s="304">
        <f t="shared" si="1695"/>
        <v>2611036.584</v>
      </c>
      <c r="JL125" s="297"/>
      <c r="JM125" s="299">
        <f t="shared" si="1742"/>
        <v>5</v>
      </c>
      <c r="JN125" s="300" t="str">
        <f t="shared" ref="JN125:JP125" si="1780">IFERROR(VLOOKUP($R125,$A$13:$D$30,-JN$12,FALSE),"")</f>
        <v>Bijih Nikel </v>
      </c>
      <c r="JO125" s="301" t="str">
        <f t="shared" si="1780"/>
        <v>Bijih </v>
      </c>
      <c r="JP125" s="301" t="str">
        <f t="shared" si="1780"/>
        <v>WMT</v>
      </c>
      <c r="JQ125" s="301"/>
      <c r="JR125" s="301"/>
      <c r="JS125" s="294">
        <f t="shared" si="1697"/>
        <v>0</v>
      </c>
      <c r="JT125" s="302"/>
      <c r="JU125" s="294">
        <f t="shared" si="1698"/>
        <v>0</v>
      </c>
      <c r="JV125" s="96"/>
      <c r="JW125" s="96"/>
      <c r="JX125" s="97"/>
      <c r="JY125" s="294">
        <f t="shared" si="1699"/>
        <v>0</v>
      </c>
      <c r="JZ125" s="302">
        <f t="shared" si="1700"/>
        <v>0.4604471269</v>
      </c>
      <c r="KA125" s="303">
        <f t="shared" si="1701"/>
        <v>0</v>
      </c>
      <c r="KB125" s="304">
        <f t="shared" si="1702"/>
        <v>0</v>
      </c>
      <c r="KC125" s="297"/>
      <c r="KD125" s="299">
        <f t="shared" si="1744"/>
        <v>5</v>
      </c>
      <c r="KE125" s="300" t="str">
        <f t="shared" ref="KE125:KG125" si="1781">IFERROR(VLOOKUP($R125,$A$13:$D$30,-KE$12,FALSE),"")</f>
        <v>Bijih Nikel </v>
      </c>
      <c r="KF125" s="301" t="str">
        <f t="shared" si="1781"/>
        <v>Bijih </v>
      </c>
      <c r="KG125" s="301" t="str">
        <f t="shared" si="1781"/>
        <v>WMT</v>
      </c>
      <c r="KH125" s="301"/>
      <c r="KI125" s="301"/>
      <c r="KJ125" s="294">
        <f t="shared" si="1704"/>
        <v>0</v>
      </c>
      <c r="KK125" s="302"/>
      <c r="KL125" s="294">
        <f t="shared" si="1705"/>
        <v>0</v>
      </c>
      <c r="KM125" s="96"/>
      <c r="KN125" s="96"/>
      <c r="KO125" s="97"/>
      <c r="KP125" s="294">
        <f t="shared" si="1706"/>
        <v>0</v>
      </c>
      <c r="KQ125" s="302">
        <f t="shared" si="1707"/>
        <v>0.4604471269</v>
      </c>
      <c r="KR125" s="303">
        <f t="shared" si="1708"/>
        <v>0</v>
      </c>
      <c r="KS125" s="304">
        <f t="shared" si="1709"/>
        <v>0</v>
      </c>
      <c r="KT125" s="297"/>
      <c r="KU125" s="298"/>
    </row>
    <row r="126" ht="15.75" customHeight="1">
      <c r="A126" s="299">
        <f t="shared" si="1710"/>
        <v>6</v>
      </c>
      <c r="B126" s="300" t="str">
        <f t="shared" ref="B126:D126" si="1782">IFERROR(VLOOKUP($A126,$A$13:$D$30,-B$12,FALSE),"")</f>
        <v>Pasir Besi </v>
      </c>
      <c r="C126" s="301" t="str">
        <f t="shared" si="1782"/>
        <v>Bijih </v>
      </c>
      <c r="D126" s="301" t="str">
        <f t="shared" si="1782"/>
        <v>Ton </v>
      </c>
      <c r="E126" s="294" t="str">
        <f>ADHK!E126</f>
        <v/>
      </c>
      <c r="F126" s="294" t="str">
        <f>ADHK!F126</f>
        <v/>
      </c>
      <c r="G126" s="294">
        <f t="shared" si="1585"/>
        <v>0</v>
      </c>
      <c r="H126" s="302"/>
      <c r="I126" s="294">
        <f t="shared" si="1586"/>
        <v>0</v>
      </c>
      <c r="J126" s="96"/>
      <c r="K126" s="96"/>
      <c r="L126" s="97"/>
      <c r="M126" s="294">
        <f t="shared" si="1587"/>
        <v>0</v>
      </c>
      <c r="N126" s="302">
        <f t="shared" si="1588"/>
        <v>0.4604471269</v>
      </c>
      <c r="O126" s="303">
        <f t="shared" si="1589"/>
        <v>0</v>
      </c>
      <c r="P126" s="304">
        <f t="shared" si="1590"/>
        <v>0</v>
      </c>
      <c r="Q126" s="297"/>
      <c r="R126" s="299">
        <f t="shared" si="1712"/>
        <v>6</v>
      </c>
      <c r="S126" s="300" t="str">
        <f t="shared" ref="S126:U126" si="1783">IFERROR(VLOOKUP($R126,$A$13:$D$30,-S$12,FALSE),"")</f>
        <v>Pasir Besi </v>
      </c>
      <c r="T126" s="301" t="str">
        <f t="shared" si="1783"/>
        <v>Bijih </v>
      </c>
      <c r="U126" s="301" t="str">
        <f t="shared" si="1783"/>
        <v>Ton </v>
      </c>
      <c r="V126" s="294" t="str">
        <f>ADHK!V126</f>
        <v/>
      </c>
      <c r="W126" s="294"/>
      <c r="X126" s="294">
        <f t="shared" si="1592"/>
        <v>0</v>
      </c>
      <c r="Y126" s="302"/>
      <c r="Z126" s="294">
        <f t="shared" si="1593"/>
        <v>0</v>
      </c>
      <c r="AA126" s="96"/>
      <c r="AB126" s="96"/>
      <c r="AC126" s="97"/>
      <c r="AD126" s="294">
        <f t="shared" si="1594"/>
        <v>0</v>
      </c>
      <c r="AE126" s="302">
        <f t="shared" si="1595"/>
        <v>0.4604471269</v>
      </c>
      <c r="AF126" s="303">
        <f t="shared" si="1596"/>
        <v>0</v>
      </c>
      <c r="AG126" s="304">
        <f t="shared" si="1597"/>
        <v>0</v>
      </c>
      <c r="AH126" s="297"/>
      <c r="AI126" s="299">
        <f t="shared" si="1714"/>
        <v>6</v>
      </c>
      <c r="AJ126" s="300" t="str">
        <f t="shared" ref="AJ126:AL126" si="1784">IFERROR(VLOOKUP($R126,$A$13:$D$30,-AJ$12,FALSE),"")</f>
        <v>Pasir Besi </v>
      </c>
      <c r="AK126" s="301" t="str">
        <f t="shared" si="1784"/>
        <v>Bijih </v>
      </c>
      <c r="AL126" s="301" t="str">
        <f t="shared" si="1784"/>
        <v>Ton </v>
      </c>
      <c r="AM126" s="294" t="str">
        <f>ADHK!AM126</f>
        <v/>
      </c>
      <c r="AN126" s="294"/>
      <c r="AO126" s="294">
        <f t="shared" si="1599"/>
        <v>0</v>
      </c>
      <c r="AP126" s="302"/>
      <c r="AQ126" s="294">
        <f t="shared" si="1600"/>
        <v>0</v>
      </c>
      <c r="AR126" s="96"/>
      <c r="AS126" s="96"/>
      <c r="AT126" s="97"/>
      <c r="AU126" s="294">
        <f t="shared" si="1601"/>
        <v>0</v>
      </c>
      <c r="AV126" s="302">
        <f t="shared" si="1602"/>
        <v>0.4604471269</v>
      </c>
      <c r="AW126" s="303">
        <f t="shared" si="1603"/>
        <v>0</v>
      </c>
      <c r="AX126" s="304">
        <f t="shared" si="1604"/>
        <v>0</v>
      </c>
      <c r="AY126" s="297"/>
      <c r="AZ126" s="299">
        <f t="shared" si="1716"/>
        <v>6</v>
      </c>
      <c r="BA126" s="300" t="str">
        <f t="shared" ref="BA126:BC126" si="1785">IFERROR(VLOOKUP($R126,$A$13:$D$30,-BA$12,FALSE),"")</f>
        <v>Pasir Besi </v>
      </c>
      <c r="BB126" s="301" t="str">
        <f t="shared" si="1785"/>
        <v>Bijih </v>
      </c>
      <c r="BC126" s="301" t="str">
        <f t="shared" si="1785"/>
        <v>Ton </v>
      </c>
      <c r="BD126" s="294" t="str">
        <f>ADHK!BD126</f>
        <v/>
      </c>
      <c r="BE126" s="294"/>
      <c r="BF126" s="294">
        <f t="shared" si="1606"/>
        <v>0</v>
      </c>
      <c r="BG126" s="302"/>
      <c r="BH126" s="294">
        <f t="shared" si="1607"/>
        <v>0</v>
      </c>
      <c r="BI126" s="96"/>
      <c r="BJ126" s="96"/>
      <c r="BK126" s="97"/>
      <c r="BL126" s="294">
        <f t="shared" si="1608"/>
        <v>0</v>
      </c>
      <c r="BM126" s="302">
        <f t="shared" si="1609"/>
        <v>0.4604471269</v>
      </c>
      <c r="BN126" s="303">
        <f t="shared" si="1610"/>
        <v>0</v>
      </c>
      <c r="BO126" s="304">
        <f t="shared" si="1611"/>
        <v>0</v>
      </c>
      <c r="BP126" s="297"/>
      <c r="BQ126" s="299">
        <f t="shared" si="1718"/>
        <v>6</v>
      </c>
      <c r="BR126" s="300" t="str">
        <f t="shared" ref="BR126:BT126" si="1786">IFERROR(VLOOKUP($R126,$A$13:$D$30,-BR$12,FALSE),"")</f>
        <v>Pasir Besi </v>
      </c>
      <c r="BS126" s="301" t="str">
        <f t="shared" si="1786"/>
        <v>Bijih </v>
      </c>
      <c r="BT126" s="301" t="str">
        <f t="shared" si="1786"/>
        <v>Ton </v>
      </c>
      <c r="BU126" s="294" t="str">
        <f>ADHK!BU126</f>
        <v/>
      </c>
      <c r="BV126" s="294"/>
      <c r="BW126" s="294">
        <f t="shared" si="1613"/>
        <v>0</v>
      </c>
      <c r="BX126" s="302"/>
      <c r="BY126" s="294">
        <f t="shared" si="1614"/>
        <v>0</v>
      </c>
      <c r="BZ126" s="96"/>
      <c r="CA126" s="96"/>
      <c r="CB126" s="97"/>
      <c r="CC126" s="294">
        <f t="shared" si="1615"/>
        <v>0</v>
      </c>
      <c r="CD126" s="302">
        <f t="shared" si="1616"/>
        <v>0.4604471269</v>
      </c>
      <c r="CE126" s="303">
        <f t="shared" si="1617"/>
        <v>0</v>
      </c>
      <c r="CF126" s="304">
        <f t="shared" si="1618"/>
        <v>0</v>
      </c>
      <c r="CG126" s="297"/>
      <c r="CH126" s="299">
        <f t="shared" si="1720"/>
        <v>6</v>
      </c>
      <c r="CI126" s="300" t="str">
        <f t="shared" ref="CI126:CK126" si="1787">IFERROR(VLOOKUP($R126,$A$13:$D$30,-CI$12,FALSE),"")</f>
        <v>Pasir Besi </v>
      </c>
      <c r="CJ126" s="301" t="str">
        <f t="shared" si="1787"/>
        <v>Bijih </v>
      </c>
      <c r="CK126" s="301" t="str">
        <f t="shared" si="1787"/>
        <v>Ton </v>
      </c>
      <c r="CL126" s="294" t="str">
        <f>ADHK!CL126</f>
        <v/>
      </c>
      <c r="CM126" s="294"/>
      <c r="CN126" s="294">
        <f t="shared" si="1620"/>
        <v>0</v>
      </c>
      <c r="CO126" s="302"/>
      <c r="CP126" s="294">
        <f t="shared" si="1621"/>
        <v>0</v>
      </c>
      <c r="CQ126" s="96"/>
      <c r="CR126" s="96"/>
      <c r="CS126" s="97"/>
      <c r="CT126" s="294">
        <f t="shared" si="1622"/>
        <v>0</v>
      </c>
      <c r="CU126" s="302">
        <f t="shared" si="1623"/>
        <v>0.4604471269</v>
      </c>
      <c r="CV126" s="303">
        <f t="shared" si="1624"/>
        <v>0</v>
      </c>
      <c r="CW126" s="304">
        <f t="shared" si="1625"/>
        <v>0</v>
      </c>
      <c r="CX126" s="297"/>
      <c r="CY126" s="299">
        <f t="shared" si="1722"/>
        <v>6</v>
      </c>
      <c r="CZ126" s="300" t="str">
        <f t="shared" ref="CZ126:DB126" si="1788">IFERROR(VLOOKUP($R126,$A$13:$D$30,-CZ$12,FALSE),"")</f>
        <v>Pasir Besi </v>
      </c>
      <c r="DA126" s="301" t="str">
        <f t="shared" si="1788"/>
        <v>Bijih </v>
      </c>
      <c r="DB126" s="301" t="str">
        <f t="shared" si="1788"/>
        <v>Ton </v>
      </c>
      <c r="DC126" s="294" t="str">
        <f>ADHK!DC126</f>
        <v/>
      </c>
      <c r="DD126" s="294"/>
      <c r="DE126" s="294">
        <f t="shared" si="1627"/>
        <v>0</v>
      </c>
      <c r="DF126" s="302"/>
      <c r="DG126" s="294">
        <f t="shared" si="1628"/>
        <v>0</v>
      </c>
      <c r="DH126" s="96"/>
      <c r="DI126" s="96"/>
      <c r="DJ126" s="97"/>
      <c r="DK126" s="294">
        <f t="shared" si="1629"/>
        <v>0</v>
      </c>
      <c r="DL126" s="302">
        <f t="shared" si="1630"/>
        <v>0.4604471269</v>
      </c>
      <c r="DM126" s="303">
        <f t="shared" si="1631"/>
        <v>0</v>
      </c>
      <c r="DN126" s="304">
        <f t="shared" si="1632"/>
        <v>0</v>
      </c>
      <c r="DO126" s="297"/>
      <c r="DP126" s="299">
        <f t="shared" si="1724"/>
        <v>6</v>
      </c>
      <c r="DQ126" s="300" t="str">
        <f t="shared" ref="DQ126:DS126" si="1789">IFERROR(VLOOKUP($R126,$A$13:$D$30,-DQ$12,FALSE),"")</f>
        <v>Pasir Besi </v>
      </c>
      <c r="DR126" s="301" t="str">
        <f t="shared" si="1789"/>
        <v>Bijih </v>
      </c>
      <c r="DS126" s="301" t="str">
        <f t="shared" si="1789"/>
        <v>Ton </v>
      </c>
      <c r="DT126" s="294" t="str">
        <f>ADHK!DT126</f>
        <v/>
      </c>
      <c r="DU126" s="294"/>
      <c r="DV126" s="294">
        <f t="shared" si="1634"/>
        <v>0</v>
      </c>
      <c r="DW126" s="302"/>
      <c r="DX126" s="294">
        <f t="shared" si="1635"/>
        <v>0</v>
      </c>
      <c r="DY126" s="96"/>
      <c r="DZ126" s="96"/>
      <c r="EA126" s="97"/>
      <c r="EB126" s="294">
        <f t="shared" si="1636"/>
        <v>0</v>
      </c>
      <c r="EC126" s="302">
        <f t="shared" si="1637"/>
        <v>0.4604471269</v>
      </c>
      <c r="ED126" s="303">
        <f t="shared" si="1638"/>
        <v>0</v>
      </c>
      <c r="EE126" s="304">
        <f t="shared" si="1639"/>
        <v>0</v>
      </c>
      <c r="EF126" s="297"/>
      <c r="EG126" s="299">
        <f t="shared" si="1726"/>
        <v>6</v>
      </c>
      <c r="EH126" s="300" t="str">
        <f t="shared" ref="EH126:EJ126" si="1790">IFERROR(VLOOKUP($R126,$A$13:$D$30,-EH$12,FALSE),"")</f>
        <v>Pasir Besi </v>
      </c>
      <c r="EI126" s="301" t="str">
        <f t="shared" si="1790"/>
        <v>Bijih </v>
      </c>
      <c r="EJ126" s="301" t="str">
        <f t="shared" si="1790"/>
        <v>Ton </v>
      </c>
      <c r="EK126" s="294" t="str">
        <f>ADHK!EK126</f>
        <v/>
      </c>
      <c r="EL126" s="294"/>
      <c r="EM126" s="294">
        <f t="shared" si="1641"/>
        <v>0</v>
      </c>
      <c r="EN126" s="302"/>
      <c r="EO126" s="294">
        <f t="shared" si="1642"/>
        <v>0</v>
      </c>
      <c r="EP126" s="96"/>
      <c r="EQ126" s="96"/>
      <c r="ER126" s="97"/>
      <c r="ES126" s="294">
        <f t="shared" si="1643"/>
        <v>0</v>
      </c>
      <c r="ET126" s="302">
        <f t="shared" si="1644"/>
        <v>0.4604471269</v>
      </c>
      <c r="EU126" s="303">
        <f t="shared" si="1645"/>
        <v>0</v>
      </c>
      <c r="EV126" s="304">
        <f t="shared" si="1646"/>
        <v>0</v>
      </c>
      <c r="EW126" s="297"/>
      <c r="EX126" s="299">
        <f t="shared" si="1728"/>
        <v>6</v>
      </c>
      <c r="EY126" s="300" t="str">
        <f t="shared" ref="EY126:FA126" si="1791">IFERROR(VLOOKUP($R126,$A$13:$D$30,-EY$12,FALSE),"")</f>
        <v>Pasir Besi </v>
      </c>
      <c r="EZ126" s="301" t="str">
        <f t="shared" si="1791"/>
        <v>Bijih </v>
      </c>
      <c r="FA126" s="301" t="str">
        <f t="shared" si="1791"/>
        <v>Ton </v>
      </c>
      <c r="FB126" s="294" t="str">
        <f>ADHK!FB126</f>
        <v/>
      </c>
      <c r="FC126" s="294"/>
      <c r="FD126" s="294">
        <f t="shared" si="1648"/>
        <v>0</v>
      </c>
      <c r="FE126" s="302"/>
      <c r="FF126" s="294">
        <f t="shared" si="1649"/>
        <v>0</v>
      </c>
      <c r="FG126" s="96"/>
      <c r="FH126" s="96"/>
      <c r="FI126" s="97"/>
      <c r="FJ126" s="294">
        <f t="shared" si="1650"/>
        <v>0</v>
      </c>
      <c r="FK126" s="302">
        <f t="shared" si="1651"/>
        <v>0.4604471269</v>
      </c>
      <c r="FL126" s="303">
        <f t="shared" si="1652"/>
        <v>0</v>
      </c>
      <c r="FM126" s="304">
        <f t="shared" si="1653"/>
        <v>0</v>
      </c>
      <c r="FN126" s="297"/>
      <c r="FO126" s="299">
        <f t="shared" si="1730"/>
        <v>6</v>
      </c>
      <c r="FP126" s="300" t="str">
        <f t="shared" ref="FP126:FR126" si="1792">IFERROR(VLOOKUP($R126,$A$13:$D$30,-FP$12,FALSE),"")</f>
        <v>Pasir Besi </v>
      </c>
      <c r="FQ126" s="301" t="str">
        <f t="shared" si="1792"/>
        <v>Bijih </v>
      </c>
      <c r="FR126" s="301" t="str">
        <f t="shared" si="1792"/>
        <v>Ton </v>
      </c>
      <c r="FS126" s="294" t="str">
        <f>ADHK!FS126</f>
        <v/>
      </c>
      <c r="FT126" s="294"/>
      <c r="FU126" s="294">
        <f t="shared" si="1655"/>
        <v>0</v>
      </c>
      <c r="FV126" s="302"/>
      <c r="FW126" s="294">
        <f t="shared" si="1656"/>
        <v>0</v>
      </c>
      <c r="FX126" s="96"/>
      <c r="FY126" s="96"/>
      <c r="FZ126" s="97"/>
      <c r="GA126" s="294">
        <f t="shared" si="1657"/>
        <v>0</v>
      </c>
      <c r="GB126" s="302">
        <f t="shared" si="1658"/>
        <v>0.4604471269</v>
      </c>
      <c r="GC126" s="303">
        <f t="shared" si="1659"/>
        <v>0</v>
      </c>
      <c r="GD126" s="304">
        <f t="shared" si="1660"/>
        <v>0</v>
      </c>
      <c r="GE126" s="297"/>
      <c r="GF126" s="299">
        <f t="shared" si="1732"/>
        <v>6</v>
      </c>
      <c r="GG126" s="300" t="str">
        <f t="shared" ref="GG126:GI126" si="1793">IFERROR(VLOOKUP($R126,$A$13:$D$30,-GG$12,FALSE),"")</f>
        <v>Pasir Besi </v>
      </c>
      <c r="GH126" s="301" t="str">
        <f t="shared" si="1793"/>
        <v>Bijih </v>
      </c>
      <c r="GI126" s="301" t="str">
        <f t="shared" si="1793"/>
        <v>Ton </v>
      </c>
      <c r="GJ126" s="294" t="str">
        <f>ADHK!GJ126</f>
        <v/>
      </c>
      <c r="GK126" s="305"/>
      <c r="GL126" s="294">
        <f t="shared" si="1662"/>
        <v>0</v>
      </c>
      <c r="GM126" s="302"/>
      <c r="GN126" s="294">
        <f t="shared" si="1663"/>
        <v>0</v>
      </c>
      <c r="GO126" s="96"/>
      <c r="GP126" s="96"/>
      <c r="GQ126" s="97"/>
      <c r="GR126" s="294">
        <f t="shared" si="1664"/>
        <v>0</v>
      </c>
      <c r="GS126" s="302">
        <f t="shared" si="1665"/>
        <v>0.4604471269</v>
      </c>
      <c r="GT126" s="303">
        <f t="shared" si="1666"/>
        <v>0</v>
      </c>
      <c r="GU126" s="304">
        <f t="shared" si="1667"/>
        <v>0</v>
      </c>
      <c r="GV126" s="297"/>
      <c r="GW126" s="299">
        <f t="shared" si="1734"/>
        <v>6</v>
      </c>
      <c r="GX126" s="300" t="str">
        <f t="shared" ref="GX126:GZ126" si="1794">IFERROR(VLOOKUP($R126,$A$13:$D$30,-GX$12,FALSE),"")</f>
        <v>Pasir Besi </v>
      </c>
      <c r="GY126" s="301" t="str">
        <f t="shared" si="1794"/>
        <v>Bijih </v>
      </c>
      <c r="GZ126" s="301" t="str">
        <f t="shared" si="1794"/>
        <v>Ton </v>
      </c>
      <c r="HA126" s="294" t="str">
        <f>ADHK!HA126</f>
        <v/>
      </c>
      <c r="HB126" s="305"/>
      <c r="HC126" s="294">
        <f t="shared" si="1669"/>
        <v>0</v>
      </c>
      <c r="HD126" s="302"/>
      <c r="HE126" s="294">
        <f t="shared" si="1670"/>
        <v>0</v>
      </c>
      <c r="HF126" s="96"/>
      <c r="HG126" s="96"/>
      <c r="HH126" s="97"/>
      <c r="HI126" s="294">
        <f t="shared" si="1671"/>
        <v>0</v>
      </c>
      <c r="HJ126" s="302">
        <f t="shared" si="1672"/>
        <v>0.4604471269</v>
      </c>
      <c r="HK126" s="303">
        <f t="shared" si="1673"/>
        <v>0</v>
      </c>
      <c r="HL126" s="304">
        <f t="shared" si="1674"/>
        <v>0</v>
      </c>
      <c r="HM126" s="297"/>
      <c r="HN126" s="299">
        <f t="shared" si="1736"/>
        <v>6</v>
      </c>
      <c r="HO126" s="300" t="str">
        <f t="shared" ref="HO126:HQ126" si="1795">IFERROR(VLOOKUP($R126,$A$13:$D$30,-HO$12,FALSE),"")</f>
        <v>Pasir Besi </v>
      </c>
      <c r="HP126" s="301" t="str">
        <f t="shared" si="1795"/>
        <v>Bijih </v>
      </c>
      <c r="HQ126" s="301" t="str">
        <f t="shared" si="1795"/>
        <v>Ton </v>
      </c>
      <c r="HR126" s="294"/>
      <c r="HS126" s="294"/>
      <c r="HT126" s="294">
        <f t="shared" si="1676"/>
        <v>0</v>
      </c>
      <c r="HU126" s="302"/>
      <c r="HV126" s="294">
        <f t="shared" si="1677"/>
        <v>0</v>
      </c>
      <c r="HW126" s="96"/>
      <c r="HX126" s="96"/>
      <c r="HY126" s="97"/>
      <c r="HZ126" s="294">
        <f t="shared" si="1678"/>
        <v>0</v>
      </c>
      <c r="IA126" s="302">
        <f t="shared" si="1679"/>
        <v>0.4604471269</v>
      </c>
      <c r="IB126" s="303">
        <f t="shared" si="1680"/>
        <v>0</v>
      </c>
      <c r="IC126" s="304">
        <f t="shared" si="1681"/>
        <v>0</v>
      </c>
      <c r="ID126" s="297"/>
      <c r="IE126" s="299">
        <f t="shared" si="1738"/>
        <v>6</v>
      </c>
      <c r="IF126" s="300" t="str">
        <f t="shared" ref="IF126:IH126" si="1796">IFERROR(VLOOKUP($R126,$A$13:$D$30,-IF$12,FALSE),"")</f>
        <v>Pasir Besi </v>
      </c>
      <c r="IG126" s="301" t="str">
        <f t="shared" si="1796"/>
        <v>Bijih </v>
      </c>
      <c r="IH126" s="301" t="str">
        <f t="shared" si="1796"/>
        <v>Ton </v>
      </c>
      <c r="II126" s="294" t="str">
        <f>ADHK!II126</f>
        <v/>
      </c>
      <c r="IJ126" s="294"/>
      <c r="IK126" s="294">
        <f t="shared" si="1683"/>
        <v>0</v>
      </c>
      <c r="IL126" s="302"/>
      <c r="IM126" s="294">
        <f t="shared" si="1684"/>
        <v>0</v>
      </c>
      <c r="IN126" s="96"/>
      <c r="IO126" s="96"/>
      <c r="IP126" s="97"/>
      <c r="IQ126" s="294">
        <f t="shared" si="1685"/>
        <v>0</v>
      </c>
      <c r="IR126" s="302">
        <f t="shared" si="1686"/>
        <v>0.4604471269</v>
      </c>
      <c r="IS126" s="303">
        <f t="shared" si="1687"/>
        <v>0</v>
      </c>
      <c r="IT126" s="304">
        <f t="shared" si="1688"/>
        <v>0</v>
      </c>
      <c r="IU126" s="297"/>
      <c r="IV126" s="299">
        <f t="shared" si="1740"/>
        <v>6</v>
      </c>
      <c r="IW126" s="300" t="str">
        <f t="shared" ref="IW126:IY126" si="1797">IFERROR(VLOOKUP($R126,$A$13:$D$30,-IW$12,FALSE),"")</f>
        <v>Pasir Besi </v>
      </c>
      <c r="IX126" s="301" t="str">
        <f t="shared" si="1797"/>
        <v>Bijih </v>
      </c>
      <c r="IY126" s="301" t="str">
        <f t="shared" si="1797"/>
        <v>Ton </v>
      </c>
      <c r="IZ126" s="294" t="str">
        <f>ADHK!IZ126</f>
        <v/>
      </c>
      <c r="JA126" s="294"/>
      <c r="JB126" s="294">
        <f t="shared" si="1690"/>
        <v>0</v>
      </c>
      <c r="JC126" s="302"/>
      <c r="JD126" s="294">
        <f t="shared" si="1691"/>
        <v>0</v>
      </c>
      <c r="JE126" s="96"/>
      <c r="JF126" s="96"/>
      <c r="JG126" s="97"/>
      <c r="JH126" s="294">
        <f t="shared" si="1692"/>
        <v>0</v>
      </c>
      <c r="JI126" s="302">
        <f t="shared" si="1693"/>
        <v>0.4604471269</v>
      </c>
      <c r="JJ126" s="303">
        <f t="shared" si="1694"/>
        <v>0</v>
      </c>
      <c r="JK126" s="304">
        <f t="shared" si="1695"/>
        <v>0</v>
      </c>
      <c r="JL126" s="297"/>
      <c r="JM126" s="299">
        <f t="shared" si="1742"/>
        <v>6</v>
      </c>
      <c r="JN126" s="300" t="str">
        <f t="shared" ref="JN126:JP126" si="1798">IFERROR(VLOOKUP($R126,$A$13:$D$30,-JN$12,FALSE),"")</f>
        <v>Pasir Besi </v>
      </c>
      <c r="JO126" s="301" t="str">
        <f t="shared" si="1798"/>
        <v>Bijih </v>
      </c>
      <c r="JP126" s="301" t="str">
        <f t="shared" si="1798"/>
        <v>Ton </v>
      </c>
      <c r="JQ126" s="294" t="str">
        <f>ADHK!KY126</f>
        <v/>
      </c>
      <c r="JR126" s="294"/>
      <c r="JS126" s="294">
        <f t="shared" si="1697"/>
        <v>0</v>
      </c>
      <c r="JT126" s="302"/>
      <c r="JU126" s="294">
        <f t="shared" si="1698"/>
        <v>0</v>
      </c>
      <c r="JV126" s="96"/>
      <c r="JW126" s="96"/>
      <c r="JX126" s="97"/>
      <c r="JY126" s="294">
        <f t="shared" si="1699"/>
        <v>0</v>
      </c>
      <c r="JZ126" s="302">
        <f t="shared" si="1700"/>
        <v>0.4604471269</v>
      </c>
      <c r="KA126" s="303">
        <f t="shared" si="1701"/>
        <v>0</v>
      </c>
      <c r="KB126" s="304">
        <f t="shared" si="1702"/>
        <v>0</v>
      </c>
      <c r="KC126" s="297"/>
      <c r="KD126" s="299">
        <f t="shared" si="1744"/>
        <v>6</v>
      </c>
      <c r="KE126" s="300" t="str">
        <f t="shared" ref="KE126:KG126" si="1799">IFERROR(VLOOKUP($R126,$A$13:$D$30,-KE$12,FALSE),"")</f>
        <v>Pasir Besi </v>
      </c>
      <c r="KF126" s="301" t="str">
        <f t="shared" si="1799"/>
        <v>Bijih </v>
      </c>
      <c r="KG126" s="301" t="str">
        <f t="shared" si="1799"/>
        <v>Ton </v>
      </c>
      <c r="KH126" s="294" t="str">
        <f>ADHK!LP126</f>
        <v/>
      </c>
      <c r="KI126" s="294"/>
      <c r="KJ126" s="294">
        <f t="shared" si="1704"/>
        <v>0</v>
      </c>
      <c r="KK126" s="302"/>
      <c r="KL126" s="294">
        <f t="shared" si="1705"/>
        <v>0</v>
      </c>
      <c r="KM126" s="96"/>
      <c r="KN126" s="96"/>
      <c r="KO126" s="97"/>
      <c r="KP126" s="294">
        <f t="shared" si="1706"/>
        <v>0</v>
      </c>
      <c r="KQ126" s="302">
        <f t="shared" si="1707"/>
        <v>0.4604471269</v>
      </c>
      <c r="KR126" s="303">
        <f t="shared" si="1708"/>
        <v>0</v>
      </c>
      <c r="KS126" s="304">
        <f t="shared" si="1709"/>
        <v>0</v>
      </c>
      <c r="KT126" s="297"/>
      <c r="KU126" s="298"/>
    </row>
    <row r="127" ht="15.75" customHeight="1">
      <c r="A127" s="299">
        <f t="shared" si="1710"/>
        <v>7</v>
      </c>
      <c r="B127" s="300" t="str">
        <f t="shared" ref="B127:D127" si="1800">IFERROR(VLOOKUP($A127,$A$13:$D$30,-B$12,FALSE),"")</f>
        <v>Timah</v>
      </c>
      <c r="C127" s="301" t="str">
        <f t="shared" si="1800"/>
        <v>Bijih </v>
      </c>
      <c r="D127" s="301" t="str">
        <f t="shared" si="1800"/>
        <v>Ton </v>
      </c>
      <c r="E127" s="294" t="str">
        <f>ADHK!E127</f>
        <v/>
      </c>
      <c r="F127" s="294" t="str">
        <f>ADHK!F127</f>
        <v/>
      </c>
      <c r="G127" s="294">
        <f t="shared" si="1585"/>
        <v>0</v>
      </c>
      <c r="H127" s="302"/>
      <c r="I127" s="294">
        <f t="shared" si="1586"/>
        <v>0</v>
      </c>
      <c r="J127" s="96"/>
      <c r="K127" s="96"/>
      <c r="L127" s="97"/>
      <c r="M127" s="294">
        <f t="shared" si="1587"/>
        <v>0</v>
      </c>
      <c r="N127" s="302">
        <f t="shared" si="1588"/>
        <v>0.4604471269</v>
      </c>
      <c r="O127" s="303">
        <f t="shared" si="1589"/>
        <v>0</v>
      </c>
      <c r="P127" s="304">
        <f t="shared" si="1590"/>
        <v>0</v>
      </c>
      <c r="Q127" s="297"/>
      <c r="R127" s="299">
        <f t="shared" si="1712"/>
        <v>7</v>
      </c>
      <c r="S127" s="300" t="str">
        <f t="shared" ref="S127:U127" si="1801">IFERROR(VLOOKUP($R127,$A$13:$D$30,-S$12,FALSE),"")</f>
        <v>Timah</v>
      </c>
      <c r="T127" s="301" t="str">
        <f t="shared" si="1801"/>
        <v>Bijih </v>
      </c>
      <c r="U127" s="301" t="str">
        <f t="shared" si="1801"/>
        <v>Ton </v>
      </c>
      <c r="V127" s="294" t="str">
        <f>ADHK!V127</f>
        <v/>
      </c>
      <c r="W127" s="294"/>
      <c r="X127" s="294">
        <f t="shared" si="1592"/>
        <v>0</v>
      </c>
      <c r="Y127" s="302"/>
      <c r="Z127" s="294">
        <f t="shared" si="1593"/>
        <v>0</v>
      </c>
      <c r="AA127" s="96"/>
      <c r="AB127" s="96"/>
      <c r="AC127" s="97"/>
      <c r="AD127" s="294">
        <f t="shared" si="1594"/>
        <v>0</v>
      </c>
      <c r="AE127" s="302">
        <f t="shared" si="1595"/>
        <v>0.4604471269</v>
      </c>
      <c r="AF127" s="303">
        <f t="shared" si="1596"/>
        <v>0</v>
      </c>
      <c r="AG127" s="304">
        <f t="shared" si="1597"/>
        <v>0</v>
      </c>
      <c r="AH127" s="297"/>
      <c r="AI127" s="299">
        <f t="shared" si="1714"/>
        <v>7</v>
      </c>
      <c r="AJ127" s="300" t="str">
        <f t="shared" ref="AJ127:AL127" si="1802">IFERROR(VLOOKUP($R127,$A$13:$D$30,-AJ$12,FALSE),"")</f>
        <v>Timah</v>
      </c>
      <c r="AK127" s="301" t="str">
        <f t="shared" si="1802"/>
        <v>Bijih </v>
      </c>
      <c r="AL127" s="301" t="str">
        <f t="shared" si="1802"/>
        <v>Ton </v>
      </c>
      <c r="AM127" s="294" t="str">
        <f>ADHK!AM127</f>
        <v/>
      </c>
      <c r="AN127" s="294"/>
      <c r="AO127" s="294">
        <f t="shared" si="1599"/>
        <v>0</v>
      </c>
      <c r="AP127" s="302"/>
      <c r="AQ127" s="294">
        <f t="shared" si="1600"/>
        <v>0</v>
      </c>
      <c r="AR127" s="96"/>
      <c r="AS127" s="96"/>
      <c r="AT127" s="97"/>
      <c r="AU127" s="294">
        <f t="shared" si="1601"/>
        <v>0</v>
      </c>
      <c r="AV127" s="302">
        <f t="shared" si="1602"/>
        <v>0.4604471269</v>
      </c>
      <c r="AW127" s="303">
        <f t="shared" si="1603"/>
        <v>0</v>
      </c>
      <c r="AX127" s="304">
        <f t="shared" si="1604"/>
        <v>0</v>
      </c>
      <c r="AY127" s="297"/>
      <c r="AZ127" s="299">
        <f t="shared" si="1716"/>
        <v>7</v>
      </c>
      <c r="BA127" s="300" t="str">
        <f t="shared" ref="BA127:BC127" si="1803">IFERROR(VLOOKUP($R127,$A$13:$D$30,-BA$12,FALSE),"")</f>
        <v>Timah</v>
      </c>
      <c r="BB127" s="301" t="str">
        <f t="shared" si="1803"/>
        <v>Bijih </v>
      </c>
      <c r="BC127" s="301" t="str">
        <f t="shared" si="1803"/>
        <v>Ton </v>
      </c>
      <c r="BD127" s="294" t="str">
        <f>ADHK!BD127</f>
        <v/>
      </c>
      <c r="BE127" s="294"/>
      <c r="BF127" s="294">
        <f t="shared" si="1606"/>
        <v>0</v>
      </c>
      <c r="BG127" s="302"/>
      <c r="BH127" s="294">
        <f t="shared" si="1607"/>
        <v>0</v>
      </c>
      <c r="BI127" s="96"/>
      <c r="BJ127" s="96"/>
      <c r="BK127" s="97"/>
      <c r="BL127" s="294">
        <f t="shared" si="1608"/>
        <v>0</v>
      </c>
      <c r="BM127" s="302">
        <f t="shared" si="1609"/>
        <v>0.4604471269</v>
      </c>
      <c r="BN127" s="303">
        <f t="shared" si="1610"/>
        <v>0</v>
      </c>
      <c r="BO127" s="304">
        <f t="shared" si="1611"/>
        <v>0</v>
      </c>
      <c r="BP127" s="297"/>
      <c r="BQ127" s="299">
        <f t="shared" si="1718"/>
        <v>7</v>
      </c>
      <c r="BR127" s="300" t="str">
        <f t="shared" ref="BR127:BT127" si="1804">IFERROR(VLOOKUP($R127,$A$13:$D$30,-BR$12,FALSE),"")</f>
        <v>Timah</v>
      </c>
      <c r="BS127" s="301" t="str">
        <f t="shared" si="1804"/>
        <v>Bijih </v>
      </c>
      <c r="BT127" s="301" t="str">
        <f t="shared" si="1804"/>
        <v>Ton </v>
      </c>
      <c r="BU127" s="294" t="str">
        <f>ADHK!BU127</f>
        <v/>
      </c>
      <c r="BV127" s="294"/>
      <c r="BW127" s="294">
        <f t="shared" si="1613"/>
        <v>0</v>
      </c>
      <c r="BX127" s="302"/>
      <c r="BY127" s="294">
        <f t="shared" si="1614"/>
        <v>0</v>
      </c>
      <c r="BZ127" s="96"/>
      <c r="CA127" s="96"/>
      <c r="CB127" s="97"/>
      <c r="CC127" s="294">
        <f t="shared" si="1615"/>
        <v>0</v>
      </c>
      <c r="CD127" s="302">
        <f t="shared" si="1616"/>
        <v>0.4604471269</v>
      </c>
      <c r="CE127" s="303">
        <f t="shared" si="1617"/>
        <v>0</v>
      </c>
      <c r="CF127" s="304">
        <f t="shared" si="1618"/>
        <v>0</v>
      </c>
      <c r="CG127" s="297"/>
      <c r="CH127" s="299">
        <f t="shared" si="1720"/>
        <v>7</v>
      </c>
      <c r="CI127" s="300" t="str">
        <f t="shared" ref="CI127:CK127" si="1805">IFERROR(VLOOKUP($R127,$A$13:$D$30,-CI$12,FALSE),"")</f>
        <v>Timah</v>
      </c>
      <c r="CJ127" s="301" t="str">
        <f t="shared" si="1805"/>
        <v>Bijih </v>
      </c>
      <c r="CK127" s="301" t="str">
        <f t="shared" si="1805"/>
        <v>Ton </v>
      </c>
      <c r="CL127" s="294" t="str">
        <f>ADHK!CL127</f>
        <v/>
      </c>
      <c r="CM127" s="294"/>
      <c r="CN127" s="294">
        <f t="shared" si="1620"/>
        <v>0</v>
      </c>
      <c r="CO127" s="302"/>
      <c r="CP127" s="294">
        <f t="shared" si="1621"/>
        <v>0</v>
      </c>
      <c r="CQ127" s="96"/>
      <c r="CR127" s="96"/>
      <c r="CS127" s="97"/>
      <c r="CT127" s="294">
        <f t="shared" si="1622"/>
        <v>0</v>
      </c>
      <c r="CU127" s="302">
        <f t="shared" si="1623"/>
        <v>0.4604471269</v>
      </c>
      <c r="CV127" s="303">
        <f t="shared" si="1624"/>
        <v>0</v>
      </c>
      <c r="CW127" s="304">
        <f t="shared" si="1625"/>
        <v>0</v>
      </c>
      <c r="CX127" s="297"/>
      <c r="CY127" s="299">
        <f t="shared" si="1722"/>
        <v>7</v>
      </c>
      <c r="CZ127" s="300" t="str">
        <f t="shared" ref="CZ127:DB127" si="1806">IFERROR(VLOOKUP($R127,$A$13:$D$30,-CZ$12,FALSE),"")</f>
        <v>Timah</v>
      </c>
      <c r="DA127" s="301" t="str">
        <f t="shared" si="1806"/>
        <v>Bijih </v>
      </c>
      <c r="DB127" s="301" t="str">
        <f t="shared" si="1806"/>
        <v>Ton </v>
      </c>
      <c r="DC127" s="294" t="str">
        <f>ADHK!DC127</f>
        <v/>
      </c>
      <c r="DD127" s="294"/>
      <c r="DE127" s="294">
        <f t="shared" si="1627"/>
        <v>0</v>
      </c>
      <c r="DF127" s="302"/>
      <c r="DG127" s="294">
        <f t="shared" si="1628"/>
        <v>0</v>
      </c>
      <c r="DH127" s="96"/>
      <c r="DI127" s="96"/>
      <c r="DJ127" s="97"/>
      <c r="DK127" s="294">
        <f t="shared" si="1629"/>
        <v>0</v>
      </c>
      <c r="DL127" s="302">
        <f t="shared" si="1630"/>
        <v>0.4604471269</v>
      </c>
      <c r="DM127" s="303">
        <f t="shared" si="1631"/>
        <v>0</v>
      </c>
      <c r="DN127" s="304">
        <f t="shared" si="1632"/>
        <v>0</v>
      </c>
      <c r="DO127" s="297"/>
      <c r="DP127" s="299">
        <f t="shared" si="1724"/>
        <v>7</v>
      </c>
      <c r="DQ127" s="300" t="str">
        <f t="shared" ref="DQ127:DS127" si="1807">IFERROR(VLOOKUP($R127,$A$13:$D$30,-DQ$12,FALSE),"")</f>
        <v>Timah</v>
      </c>
      <c r="DR127" s="301" t="str">
        <f t="shared" si="1807"/>
        <v>Bijih </v>
      </c>
      <c r="DS127" s="301" t="str">
        <f t="shared" si="1807"/>
        <v>Ton </v>
      </c>
      <c r="DT127" s="294" t="str">
        <f>ADHK!DT127</f>
        <v/>
      </c>
      <c r="DU127" s="294"/>
      <c r="DV127" s="294">
        <f t="shared" si="1634"/>
        <v>0</v>
      </c>
      <c r="DW127" s="302"/>
      <c r="DX127" s="294">
        <f t="shared" si="1635"/>
        <v>0</v>
      </c>
      <c r="DY127" s="96"/>
      <c r="DZ127" s="96"/>
      <c r="EA127" s="97"/>
      <c r="EB127" s="294">
        <f t="shared" si="1636"/>
        <v>0</v>
      </c>
      <c r="EC127" s="302">
        <f t="shared" si="1637"/>
        <v>0.4604471269</v>
      </c>
      <c r="ED127" s="303">
        <f t="shared" si="1638"/>
        <v>0</v>
      </c>
      <c r="EE127" s="304">
        <f t="shared" si="1639"/>
        <v>0</v>
      </c>
      <c r="EF127" s="297"/>
      <c r="EG127" s="299">
        <f t="shared" si="1726"/>
        <v>7</v>
      </c>
      <c r="EH127" s="300" t="str">
        <f t="shared" ref="EH127:EJ127" si="1808">IFERROR(VLOOKUP($R127,$A$13:$D$30,-EH$12,FALSE),"")</f>
        <v>Timah</v>
      </c>
      <c r="EI127" s="301" t="str">
        <f t="shared" si="1808"/>
        <v>Bijih </v>
      </c>
      <c r="EJ127" s="301" t="str">
        <f t="shared" si="1808"/>
        <v>Ton </v>
      </c>
      <c r="EK127" s="294" t="str">
        <f>ADHK!EK127</f>
        <v/>
      </c>
      <c r="EL127" s="294"/>
      <c r="EM127" s="294">
        <f t="shared" si="1641"/>
        <v>0</v>
      </c>
      <c r="EN127" s="302"/>
      <c r="EO127" s="294">
        <f t="shared" si="1642"/>
        <v>0</v>
      </c>
      <c r="EP127" s="96"/>
      <c r="EQ127" s="96"/>
      <c r="ER127" s="97"/>
      <c r="ES127" s="294">
        <f t="shared" si="1643"/>
        <v>0</v>
      </c>
      <c r="ET127" s="302">
        <f t="shared" si="1644"/>
        <v>0.4604471269</v>
      </c>
      <c r="EU127" s="303">
        <f t="shared" si="1645"/>
        <v>0</v>
      </c>
      <c r="EV127" s="304">
        <f t="shared" si="1646"/>
        <v>0</v>
      </c>
      <c r="EW127" s="297"/>
      <c r="EX127" s="299">
        <f t="shared" si="1728"/>
        <v>7</v>
      </c>
      <c r="EY127" s="300" t="str">
        <f t="shared" ref="EY127:FA127" si="1809">IFERROR(VLOOKUP($R127,$A$13:$D$30,-EY$12,FALSE),"")</f>
        <v>Timah</v>
      </c>
      <c r="EZ127" s="301" t="str">
        <f t="shared" si="1809"/>
        <v>Bijih </v>
      </c>
      <c r="FA127" s="301" t="str">
        <f t="shared" si="1809"/>
        <v>Ton </v>
      </c>
      <c r="FB127" s="294" t="str">
        <f>ADHK!FB127</f>
        <v/>
      </c>
      <c r="FC127" s="294"/>
      <c r="FD127" s="294">
        <f t="shared" si="1648"/>
        <v>0</v>
      </c>
      <c r="FE127" s="302"/>
      <c r="FF127" s="294">
        <f t="shared" si="1649"/>
        <v>0</v>
      </c>
      <c r="FG127" s="96"/>
      <c r="FH127" s="96"/>
      <c r="FI127" s="97"/>
      <c r="FJ127" s="294">
        <f t="shared" si="1650"/>
        <v>0</v>
      </c>
      <c r="FK127" s="302">
        <f t="shared" si="1651"/>
        <v>0.4604471269</v>
      </c>
      <c r="FL127" s="303">
        <f t="shared" si="1652"/>
        <v>0</v>
      </c>
      <c r="FM127" s="304">
        <f t="shared" si="1653"/>
        <v>0</v>
      </c>
      <c r="FN127" s="297"/>
      <c r="FO127" s="299">
        <f t="shared" si="1730"/>
        <v>7</v>
      </c>
      <c r="FP127" s="300" t="str">
        <f t="shared" ref="FP127:FR127" si="1810">IFERROR(VLOOKUP($R127,$A$13:$D$30,-FP$12,FALSE),"")</f>
        <v>Timah</v>
      </c>
      <c r="FQ127" s="301" t="str">
        <f t="shared" si="1810"/>
        <v>Bijih </v>
      </c>
      <c r="FR127" s="301" t="str">
        <f t="shared" si="1810"/>
        <v>Ton </v>
      </c>
      <c r="FS127" s="294" t="str">
        <f>ADHK!FS127</f>
        <v/>
      </c>
      <c r="FT127" s="294"/>
      <c r="FU127" s="294">
        <f t="shared" si="1655"/>
        <v>0</v>
      </c>
      <c r="FV127" s="302"/>
      <c r="FW127" s="294">
        <f t="shared" si="1656"/>
        <v>0</v>
      </c>
      <c r="FX127" s="96"/>
      <c r="FY127" s="96"/>
      <c r="FZ127" s="97"/>
      <c r="GA127" s="294">
        <f t="shared" si="1657"/>
        <v>0</v>
      </c>
      <c r="GB127" s="302">
        <f t="shared" si="1658"/>
        <v>0.4604471269</v>
      </c>
      <c r="GC127" s="303">
        <f t="shared" si="1659"/>
        <v>0</v>
      </c>
      <c r="GD127" s="304">
        <f t="shared" si="1660"/>
        <v>0</v>
      </c>
      <c r="GE127" s="297"/>
      <c r="GF127" s="299">
        <f t="shared" si="1732"/>
        <v>7</v>
      </c>
      <c r="GG127" s="300" t="str">
        <f t="shared" ref="GG127:GI127" si="1811">IFERROR(VLOOKUP($R127,$A$13:$D$30,-GG$12,FALSE),"")</f>
        <v>Timah</v>
      </c>
      <c r="GH127" s="301" t="str">
        <f t="shared" si="1811"/>
        <v>Bijih </v>
      </c>
      <c r="GI127" s="301" t="str">
        <f t="shared" si="1811"/>
        <v>Ton </v>
      </c>
      <c r="GJ127" s="294" t="str">
        <f>ADHK!GJ127</f>
        <v/>
      </c>
      <c r="GK127" s="294"/>
      <c r="GL127" s="294">
        <f t="shared" si="1662"/>
        <v>0</v>
      </c>
      <c r="GM127" s="302"/>
      <c r="GN127" s="294">
        <f t="shared" si="1663"/>
        <v>0</v>
      </c>
      <c r="GO127" s="96"/>
      <c r="GP127" s="96"/>
      <c r="GQ127" s="97"/>
      <c r="GR127" s="294">
        <f t="shared" si="1664"/>
        <v>0</v>
      </c>
      <c r="GS127" s="302">
        <f t="shared" si="1665"/>
        <v>0.4604471269</v>
      </c>
      <c r="GT127" s="303">
        <f t="shared" si="1666"/>
        <v>0</v>
      </c>
      <c r="GU127" s="304">
        <f t="shared" si="1667"/>
        <v>0</v>
      </c>
      <c r="GV127" s="297"/>
      <c r="GW127" s="299">
        <f t="shared" si="1734"/>
        <v>7</v>
      </c>
      <c r="GX127" s="300" t="str">
        <f t="shared" ref="GX127:GZ127" si="1812">IFERROR(VLOOKUP($R127,$A$13:$D$30,-GX$12,FALSE),"")</f>
        <v>Timah</v>
      </c>
      <c r="GY127" s="301" t="str">
        <f t="shared" si="1812"/>
        <v>Bijih </v>
      </c>
      <c r="GZ127" s="301" t="str">
        <f t="shared" si="1812"/>
        <v>Ton </v>
      </c>
      <c r="HA127" s="294" t="str">
        <f>ADHK!HA127</f>
        <v/>
      </c>
      <c r="HB127" s="294"/>
      <c r="HC127" s="294">
        <f t="shared" si="1669"/>
        <v>0</v>
      </c>
      <c r="HD127" s="302"/>
      <c r="HE127" s="294">
        <f t="shared" si="1670"/>
        <v>0</v>
      </c>
      <c r="HF127" s="96"/>
      <c r="HG127" s="96"/>
      <c r="HH127" s="97"/>
      <c r="HI127" s="294">
        <f t="shared" si="1671"/>
        <v>0</v>
      </c>
      <c r="HJ127" s="302">
        <f t="shared" si="1672"/>
        <v>0.4604471269</v>
      </c>
      <c r="HK127" s="303">
        <f t="shared" si="1673"/>
        <v>0</v>
      </c>
      <c r="HL127" s="304">
        <f t="shared" si="1674"/>
        <v>0</v>
      </c>
      <c r="HM127" s="297"/>
      <c r="HN127" s="299">
        <f t="shared" si="1736"/>
        <v>7</v>
      </c>
      <c r="HO127" s="300" t="str">
        <f t="shared" ref="HO127:HQ127" si="1813">IFERROR(VLOOKUP($R127,$A$13:$D$30,-HO$12,FALSE),"")</f>
        <v>Timah</v>
      </c>
      <c r="HP127" s="301" t="str">
        <f t="shared" si="1813"/>
        <v>Bijih </v>
      </c>
      <c r="HQ127" s="301" t="str">
        <f t="shared" si="1813"/>
        <v>Ton </v>
      </c>
      <c r="HR127" s="294"/>
      <c r="HS127" s="294"/>
      <c r="HT127" s="294">
        <f t="shared" si="1676"/>
        <v>0</v>
      </c>
      <c r="HU127" s="302"/>
      <c r="HV127" s="294">
        <f t="shared" si="1677"/>
        <v>0</v>
      </c>
      <c r="HW127" s="96"/>
      <c r="HX127" s="96"/>
      <c r="HY127" s="97"/>
      <c r="HZ127" s="294">
        <f t="shared" si="1678"/>
        <v>0</v>
      </c>
      <c r="IA127" s="302">
        <f t="shared" si="1679"/>
        <v>0.4604471269</v>
      </c>
      <c r="IB127" s="303">
        <f t="shared" si="1680"/>
        <v>0</v>
      </c>
      <c r="IC127" s="304">
        <f t="shared" si="1681"/>
        <v>0</v>
      </c>
      <c r="ID127" s="297"/>
      <c r="IE127" s="299">
        <f t="shared" si="1738"/>
        <v>7</v>
      </c>
      <c r="IF127" s="300" t="str">
        <f t="shared" ref="IF127:IH127" si="1814">IFERROR(VLOOKUP($R127,$A$13:$D$30,-IF$12,FALSE),"")</f>
        <v>Timah</v>
      </c>
      <c r="IG127" s="301" t="str">
        <f t="shared" si="1814"/>
        <v>Bijih </v>
      </c>
      <c r="IH127" s="301" t="str">
        <f t="shared" si="1814"/>
        <v>Ton </v>
      </c>
      <c r="II127" s="294" t="str">
        <f>ADHK!II127</f>
        <v/>
      </c>
      <c r="IJ127" s="294"/>
      <c r="IK127" s="294">
        <f t="shared" si="1683"/>
        <v>0</v>
      </c>
      <c r="IL127" s="302"/>
      <c r="IM127" s="294">
        <f t="shared" si="1684"/>
        <v>0</v>
      </c>
      <c r="IN127" s="96"/>
      <c r="IO127" s="96"/>
      <c r="IP127" s="97"/>
      <c r="IQ127" s="294">
        <f t="shared" si="1685"/>
        <v>0</v>
      </c>
      <c r="IR127" s="302">
        <f t="shared" si="1686"/>
        <v>0.4604471269</v>
      </c>
      <c r="IS127" s="303">
        <f t="shared" si="1687"/>
        <v>0</v>
      </c>
      <c r="IT127" s="304">
        <f t="shared" si="1688"/>
        <v>0</v>
      </c>
      <c r="IU127" s="297"/>
      <c r="IV127" s="299">
        <f t="shared" si="1740"/>
        <v>7</v>
      </c>
      <c r="IW127" s="300" t="str">
        <f t="shared" ref="IW127:IY127" si="1815">IFERROR(VLOOKUP($R127,$A$13:$D$30,-IW$12,FALSE),"")</f>
        <v>Timah</v>
      </c>
      <c r="IX127" s="301" t="str">
        <f t="shared" si="1815"/>
        <v>Bijih </v>
      </c>
      <c r="IY127" s="301" t="str">
        <f t="shared" si="1815"/>
        <v>Ton </v>
      </c>
      <c r="IZ127" s="294" t="str">
        <f>ADHK!IZ127</f>
        <v/>
      </c>
      <c r="JA127" s="294"/>
      <c r="JB127" s="294">
        <f t="shared" si="1690"/>
        <v>0</v>
      </c>
      <c r="JC127" s="302"/>
      <c r="JD127" s="294">
        <f t="shared" si="1691"/>
        <v>0</v>
      </c>
      <c r="JE127" s="96"/>
      <c r="JF127" s="96"/>
      <c r="JG127" s="97"/>
      <c r="JH127" s="294">
        <f t="shared" si="1692"/>
        <v>0</v>
      </c>
      <c r="JI127" s="302">
        <f t="shared" si="1693"/>
        <v>0.4604471269</v>
      </c>
      <c r="JJ127" s="303">
        <f t="shared" si="1694"/>
        <v>0</v>
      </c>
      <c r="JK127" s="304">
        <f t="shared" si="1695"/>
        <v>0</v>
      </c>
      <c r="JL127" s="297"/>
      <c r="JM127" s="299">
        <f t="shared" si="1742"/>
        <v>7</v>
      </c>
      <c r="JN127" s="300" t="str">
        <f t="shared" ref="JN127:JP127" si="1816">IFERROR(VLOOKUP($R127,$A$13:$D$30,-JN$12,FALSE),"")</f>
        <v>Timah</v>
      </c>
      <c r="JO127" s="301" t="str">
        <f t="shared" si="1816"/>
        <v>Bijih </v>
      </c>
      <c r="JP127" s="301" t="str">
        <f t="shared" si="1816"/>
        <v>Ton </v>
      </c>
      <c r="JQ127" s="294" t="str">
        <f>ADHK!KY127</f>
        <v/>
      </c>
      <c r="JR127" s="294"/>
      <c r="JS127" s="294">
        <f t="shared" si="1697"/>
        <v>0</v>
      </c>
      <c r="JT127" s="302"/>
      <c r="JU127" s="294">
        <f t="shared" si="1698"/>
        <v>0</v>
      </c>
      <c r="JV127" s="96"/>
      <c r="JW127" s="96"/>
      <c r="JX127" s="97"/>
      <c r="JY127" s="294">
        <f t="shared" si="1699"/>
        <v>0</v>
      </c>
      <c r="JZ127" s="302">
        <f t="shared" si="1700"/>
        <v>0.4604471269</v>
      </c>
      <c r="KA127" s="303">
        <f t="shared" si="1701"/>
        <v>0</v>
      </c>
      <c r="KB127" s="304">
        <f t="shared" si="1702"/>
        <v>0</v>
      </c>
      <c r="KC127" s="297"/>
      <c r="KD127" s="299">
        <f t="shared" si="1744"/>
        <v>7</v>
      </c>
      <c r="KE127" s="300" t="str">
        <f t="shared" ref="KE127:KG127" si="1817">IFERROR(VLOOKUP($R127,$A$13:$D$30,-KE$12,FALSE),"")</f>
        <v>Timah</v>
      </c>
      <c r="KF127" s="301" t="str">
        <f t="shared" si="1817"/>
        <v>Bijih </v>
      </c>
      <c r="KG127" s="301" t="str">
        <f t="shared" si="1817"/>
        <v>Ton </v>
      </c>
      <c r="KH127" s="294" t="str">
        <f>ADHK!LP127</f>
        <v/>
      </c>
      <c r="KI127" s="294"/>
      <c r="KJ127" s="294">
        <f t="shared" si="1704"/>
        <v>0</v>
      </c>
      <c r="KK127" s="302"/>
      <c r="KL127" s="294">
        <f t="shared" si="1705"/>
        <v>0</v>
      </c>
      <c r="KM127" s="96"/>
      <c r="KN127" s="96"/>
      <c r="KO127" s="97"/>
      <c r="KP127" s="294">
        <f t="shared" si="1706"/>
        <v>0</v>
      </c>
      <c r="KQ127" s="302">
        <f t="shared" si="1707"/>
        <v>0.4604471269</v>
      </c>
      <c r="KR127" s="303">
        <f t="shared" si="1708"/>
        <v>0</v>
      </c>
      <c r="KS127" s="304">
        <f t="shared" si="1709"/>
        <v>0</v>
      </c>
      <c r="KT127" s="297"/>
      <c r="KU127" s="298"/>
    </row>
    <row r="128" ht="15.75" customHeight="1">
      <c r="A128" s="299">
        <f t="shared" si="1710"/>
        <v>8</v>
      </c>
      <c r="B128" s="300" t="str">
        <f t="shared" ref="B128:D128" si="1818">IFERROR(VLOOKUP($A128,$A$13:$D$30,-B$12,FALSE),"")</f>
        <v>Mangan</v>
      </c>
      <c r="C128" s="301" t="str">
        <f t="shared" si="1818"/>
        <v>Bijih </v>
      </c>
      <c r="D128" s="301" t="str">
        <f t="shared" si="1818"/>
        <v>Ton </v>
      </c>
      <c r="E128" s="294" t="str">
        <f>ADHK!E128</f>
        <v/>
      </c>
      <c r="F128" s="294" t="str">
        <f>ADHK!F128</f>
        <v/>
      </c>
      <c r="G128" s="294">
        <f t="shared" si="1585"/>
        <v>0</v>
      </c>
      <c r="H128" s="302"/>
      <c r="I128" s="294">
        <f t="shared" si="1586"/>
        <v>0</v>
      </c>
      <c r="J128" s="96"/>
      <c r="K128" s="96"/>
      <c r="L128" s="97"/>
      <c r="M128" s="294">
        <f t="shared" si="1587"/>
        <v>0</v>
      </c>
      <c r="N128" s="302">
        <f t="shared" si="1588"/>
        <v>0.4604471269</v>
      </c>
      <c r="O128" s="303">
        <f t="shared" si="1589"/>
        <v>0</v>
      </c>
      <c r="P128" s="304">
        <f t="shared" si="1590"/>
        <v>0</v>
      </c>
      <c r="Q128" s="297"/>
      <c r="R128" s="299">
        <f t="shared" si="1712"/>
        <v>8</v>
      </c>
      <c r="S128" s="300" t="str">
        <f t="shared" ref="S128:U128" si="1819">IFERROR(VLOOKUP($R128,$A$13:$D$30,-S$12,FALSE),"")</f>
        <v>Mangan</v>
      </c>
      <c r="T128" s="301" t="str">
        <f t="shared" si="1819"/>
        <v>Bijih </v>
      </c>
      <c r="U128" s="301" t="str">
        <f t="shared" si="1819"/>
        <v>Ton </v>
      </c>
      <c r="V128" s="294" t="str">
        <f>ADHK!V128</f>
        <v/>
      </c>
      <c r="W128" s="294"/>
      <c r="X128" s="294">
        <f t="shared" si="1592"/>
        <v>0</v>
      </c>
      <c r="Y128" s="302"/>
      <c r="Z128" s="294">
        <f t="shared" si="1593"/>
        <v>0</v>
      </c>
      <c r="AA128" s="96"/>
      <c r="AB128" s="96"/>
      <c r="AC128" s="97"/>
      <c r="AD128" s="294">
        <f t="shared" si="1594"/>
        <v>0</v>
      </c>
      <c r="AE128" s="302">
        <f t="shared" si="1595"/>
        <v>0.4604471269</v>
      </c>
      <c r="AF128" s="303">
        <f t="shared" si="1596"/>
        <v>0</v>
      </c>
      <c r="AG128" s="304">
        <f t="shared" si="1597"/>
        <v>0</v>
      </c>
      <c r="AH128" s="297"/>
      <c r="AI128" s="299">
        <f t="shared" si="1714"/>
        <v>8</v>
      </c>
      <c r="AJ128" s="300" t="str">
        <f t="shared" ref="AJ128:AL128" si="1820">IFERROR(VLOOKUP($R128,$A$13:$D$30,-AJ$12,FALSE),"")</f>
        <v>Mangan</v>
      </c>
      <c r="AK128" s="301" t="str">
        <f t="shared" si="1820"/>
        <v>Bijih </v>
      </c>
      <c r="AL128" s="301" t="str">
        <f t="shared" si="1820"/>
        <v>Ton </v>
      </c>
      <c r="AM128" s="294" t="str">
        <f>ADHK!AM128</f>
        <v/>
      </c>
      <c r="AN128" s="294"/>
      <c r="AO128" s="294">
        <f t="shared" si="1599"/>
        <v>0</v>
      </c>
      <c r="AP128" s="302"/>
      <c r="AQ128" s="294">
        <f t="shared" si="1600"/>
        <v>0</v>
      </c>
      <c r="AR128" s="96"/>
      <c r="AS128" s="96"/>
      <c r="AT128" s="97"/>
      <c r="AU128" s="294">
        <f t="shared" si="1601"/>
        <v>0</v>
      </c>
      <c r="AV128" s="302">
        <f t="shared" si="1602"/>
        <v>0.4604471269</v>
      </c>
      <c r="AW128" s="303">
        <f t="shared" si="1603"/>
        <v>0</v>
      </c>
      <c r="AX128" s="304">
        <f t="shared" si="1604"/>
        <v>0</v>
      </c>
      <c r="AY128" s="297"/>
      <c r="AZ128" s="299">
        <f t="shared" si="1716"/>
        <v>8</v>
      </c>
      <c r="BA128" s="300" t="str">
        <f t="shared" ref="BA128:BC128" si="1821">IFERROR(VLOOKUP($R128,$A$13:$D$30,-BA$12,FALSE),"")</f>
        <v>Mangan</v>
      </c>
      <c r="BB128" s="301" t="str">
        <f t="shared" si="1821"/>
        <v>Bijih </v>
      </c>
      <c r="BC128" s="301" t="str">
        <f t="shared" si="1821"/>
        <v>Ton </v>
      </c>
      <c r="BD128" s="294" t="str">
        <f>ADHK!BD128</f>
        <v/>
      </c>
      <c r="BE128" s="294"/>
      <c r="BF128" s="294">
        <f t="shared" si="1606"/>
        <v>0</v>
      </c>
      <c r="BG128" s="302"/>
      <c r="BH128" s="294">
        <f t="shared" si="1607"/>
        <v>0</v>
      </c>
      <c r="BI128" s="96"/>
      <c r="BJ128" s="96"/>
      <c r="BK128" s="97"/>
      <c r="BL128" s="294">
        <f t="shared" si="1608"/>
        <v>0</v>
      </c>
      <c r="BM128" s="302">
        <f t="shared" si="1609"/>
        <v>0.4604471269</v>
      </c>
      <c r="BN128" s="303">
        <f t="shared" si="1610"/>
        <v>0</v>
      </c>
      <c r="BO128" s="304">
        <f t="shared" si="1611"/>
        <v>0</v>
      </c>
      <c r="BP128" s="297"/>
      <c r="BQ128" s="299">
        <f t="shared" si="1718"/>
        <v>8</v>
      </c>
      <c r="BR128" s="300" t="str">
        <f t="shared" ref="BR128:BT128" si="1822">IFERROR(VLOOKUP($R128,$A$13:$D$30,-BR$12,FALSE),"")</f>
        <v>Mangan</v>
      </c>
      <c r="BS128" s="301" t="str">
        <f t="shared" si="1822"/>
        <v>Bijih </v>
      </c>
      <c r="BT128" s="301" t="str">
        <f t="shared" si="1822"/>
        <v>Ton </v>
      </c>
      <c r="BU128" s="294" t="str">
        <f>ADHK!BU128</f>
        <v/>
      </c>
      <c r="BV128" s="294"/>
      <c r="BW128" s="294">
        <f t="shared" si="1613"/>
        <v>0</v>
      </c>
      <c r="BX128" s="302"/>
      <c r="BY128" s="294">
        <f t="shared" si="1614"/>
        <v>0</v>
      </c>
      <c r="BZ128" s="96"/>
      <c r="CA128" s="96"/>
      <c r="CB128" s="97"/>
      <c r="CC128" s="294">
        <f t="shared" si="1615"/>
        <v>0</v>
      </c>
      <c r="CD128" s="302">
        <f t="shared" si="1616"/>
        <v>0.4604471269</v>
      </c>
      <c r="CE128" s="303">
        <f t="shared" si="1617"/>
        <v>0</v>
      </c>
      <c r="CF128" s="304">
        <f t="shared" si="1618"/>
        <v>0</v>
      </c>
      <c r="CG128" s="297"/>
      <c r="CH128" s="299">
        <f t="shared" si="1720"/>
        <v>8</v>
      </c>
      <c r="CI128" s="300" t="str">
        <f t="shared" ref="CI128:CK128" si="1823">IFERROR(VLOOKUP($R128,$A$13:$D$30,-CI$12,FALSE),"")</f>
        <v>Mangan</v>
      </c>
      <c r="CJ128" s="301" t="str">
        <f t="shared" si="1823"/>
        <v>Bijih </v>
      </c>
      <c r="CK128" s="301" t="str">
        <f t="shared" si="1823"/>
        <v>Ton </v>
      </c>
      <c r="CL128" s="294" t="str">
        <f>ADHK!CL128</f>
        <v/>
      </c>
      <c r="CM128" s="294"/>
      <c r="CN128" s="294">
        <f t="shared" si="1620"/>
        <v>0</v>
      </c>
      <c r="CO128" s="302"/>
      <c r="CP128" s="294">
        <f t="shared" si="1621"/>
        <v>0</v>
      </c>
      <c r="CQ128" s="96"/>
      <c r="CR128" s="96"/>
      <c r="CS128" s="97"/>
      <c r="CT128" s="294">
        <f t="shared" si="1622"/>
        <v>0</v>
      </c>
      <c r="CU128" s="302">
        <f t="shared" si="1623"/>
        <v>0.4604471269</v>
      </c>
      <c r="CV128" s="303">
        <f t="shared" si="1624"/>
        <v>0</v>
      </c>
      <c r="CW128" s="304">
        <f t="shared" si="1625"/>
        <v>0</v>
      </c>
      <c r="CX128" s="297"/>
      <c r="CY128" s="299">
        <f t="shared" si="1722"/>
        <v>8</v>
      </c>
      <c r="CZ128" s="300" t="str">
        <f t="shared" ref="CZ128:DB128" si="1824">IFERROR(VLOOKUP($R128,$A$13:$D$30,-CZ$12,FALSE),"")</f>
        <v>Mangan</v>
      </c>
      <c r="DA128" s="301" t="str">
        <f t="shared" si="1824"/>
        <v>Bijih </v>
      </c>
      <c r="DB128" s="301" t="str">
        <f t="shared" si="1824"/>
        <v>Ton </v>
      </c>
      <c r="DC128" s="294" t="str">
        <f>ADHK!DC128</f>
        <v/>
      </c>
      <c r="DD128" s="294"/>
      <c r="DE128" s="294">
        <f t="shared" si="1627"/>
        <v>0</v>
      </c>
      <c r="DF128" s="302"/>
      <c r="DG128" s="294">
        <f t="shared" si="1628"/>
        <v>0</v>
      </c>
      <c r="DH128" s="96"/>
      <c r="DI128" s="96"/>
      <c r="DJ128" s="97"/>
      <c r="DK128" s="294">
        <f t="shared" si="1629"/>
        <v>0</v>
      </c>
      <c r="DL128" s="302">
        <f t="shared" si="1630"/>
        <v>0.4604471269</v>
      </c>
      <c r="DM128" s="303">
        <f t="shared" si="1631"/>
        <v>0</v>
      </c>
      <c r="DN128" s="304">
        <f t="shared" si="1632"/>
        <v>0</v>
      </c>
      <c r="DO128" s="297"/>
      <c r="DP128" s="299">
        <f t="shared" si="1724"/>
        <v>8</v>
      </c>
      <c r="DQ128" s="300" t="str">
        <f t="shared" ref="DQ128:DS128" si="1825">IFERROR(VLOOKUP($R128,$A$13:$D$30,-DQ$12,FALSE),"")</f>
        <v>Mangan</v>
      </c>
      <c r="DR128" s="301" t="str">
        <f t="shared" si="1825"/>
        <v>Bijih </v>
      </c>
      <c r="DS128" s="301" t="str">
        <f t="shared" si="1825"/>
        <v>Ton </v>
      </c>
      <c r="DT128" s="294" t="str">
        <f>ADHK!DT128</f>
        <v/>
      </c>
      <c r="DU128" s="294"/>
      <c r="DV128" s="294">
        <f t="shared" si="1634"/>
        <v>0</v>
      </c>
      <c r="DW128" s="302"/>
      <c r="DX128" s="294">
        <f t="shared" si="1635"/>
        <v>0</v>
      </c>
      <c r="DY128" s="96"/>
      <c r="DZ128" s="96"/>
      <c r="EA128" s="97"/>
      <c r="EB128" s="294">
        <f t="shared" si="1636"/>
        <v>0</v>
      </c>
      <c r="EC128" s="302">
        <f t="shared" si="1637"/>
        <v>0.4604471269</v>
      </c>
      <c r="ED128" s="303">
        <f t="shared" si="1638"/>
        <v>0</v>
      </c>
      <c r="EE128" s="304">
        <f t="shared" si="1639"/>
        <v>0</v>
      </c>
      <c r="EF128" s="297"/>
      <c r="EG128" s="299">
        <f t="shared" si="1726"/>
        <v>8</v>
      </c>
      <c r="EH128" s="300" t="str">
        <f t="shared" ref="EH128:EJ128" si="1826">IFERROR(VLOOKUP($R128,$A$13:$D$30,-EH$12,FALSE),"")</f>
        <v>Mangan</v>
      </c>
      <c r="EI128" s="301" t="str">
        <f t="shared" si="1826"/>
        <v>Bijih </v>
      </c>
      <c r="EJ128" s="301" t="str">
        <f t="shared" si="1826"/>
        <v>Ton </v>
      </c>
      <c r="EK128" s="294" t="str">
        <f>ADHK!EK128</f>
        <v/>
      </c>
      <c r="EL128" s="294"/>
      <c r="EM128" s="294">
        <f t="shared" si="1641"/>
        <v>0</v>
      </c>
      <c r="EN128" s="302"/>
      <c r="EO128" s="294">
        <f t="shared" si="1642"/>
        <v>0</v>
      </c>
      <c r="EP128" s="96"/>
      <c r="EQ128" s="96"/>
      <c r="ER128" s="97"/>
      <c r="ES128" s="294">
        <f t="shared" si="1643"/>
        <v>0</v>
      </c>
      <c r="ET128" s="302">
        <f t="shared" si="1644"/>
        <v>0.4604471269</v>
      </c>
      <c r="EU128" s="303">
        <f t="shared" si="1645"/>
        <v>0</v>
      </c>
      <c r="EV128" s="304">
        <f t="shared" si="1646"/>
        <v>0</v>
      </c>
      <c r="EW128" s="297"/>
      <c r="EX128" s="299">
        <f t="shared" si="1728"/>
        <v>8</v>
      </c>
      <c r="EY128" s="300" t="str">
        <f t="shared" ref="EY128:FA128" si="1827">IFERROR(VLOOKUP($R128,$A$13:$D$30,-EY$12,FALSE),"")</f>
        <v>Mangan</v>
      </c>
      <c r="EZ128" s="301" t="str">
        <f t="shared" si="1827"/>
        <v>Bijih </v>
      </c>
      <c r="FA128" s="301" t="str">
        <f t="shared" si="1827"/>
        <v>Ton </v>
      </c>
      <c r="FB128" s="294" t="str">
        <f>ADHK!FB128</f>
        <v/>
      </c>
      <c r="FC128" s="294"/>
      <c r="FD128" s="294">
        <f t="shared" si="1648"/>
        <v>0</v>
      </c>
      <c r="FE128" s="302"/>
      <c r="FF128" s="294">
        <f t="shared" si="1649"/>
        <v>0</v>
      </c>
      <c r="FG128" s="96"/>
      <c r="FH128" s="96"/>
      <c r="FI128" s="97"/>
      <c r="FJ128" s="294">
        <f t="shared" si="1650"/>
        <v>0</v>
      </c>
      <c r="FK128" s="302">
        <f t="shared" si="1651"/>
        <v>0.4604471269</v>
      </c>
      <c r="FL128" s="303">
        <f t="shared" si="1652"/>
        <v>0</v>
      </c>
      <c r="FM128" s="304">
        <f t="shared" si="1653"/>
        <v>0</v>
      </c>
      <c r="FN128" s="297"/>
      <c r="FO128" s="299">
        <f t="shared" si="1730"/>
        <v>8</v>
      </c>
      <c r="FP128" s="300" t="str">
        <f t="shared" ref="FP128:FR128" si="1828">IFERROR(VLOOKUP($R128,$A$13:$D$30,-FP$12,FALSE),"")</f>
        <v>Mangan</v>
      </c>
      <c r="FQ128" s="301" t="str">
        <f t="shared" si="1828"/>
        <v>Bijih </v>
      </c>
      <c r="FR128" s="301" t="str">
        <f t="shared" si="1828"/>
        <v>Ton </v>
      </c>
      <c r="FS128" s="294" t="str">
        <f>ADHK!FS128</f>
        <v/>
      </c>
      <c r="FT128" s="294"/>
      <c r="FU128" s="294">
        <f t="shared" si="1655"/>
        <v>0</v>
      </c>
      <c r="FV128" s="302"/>
      <c r="FW128" s="294">
        <f t="shared" si="1656"/>
        <v>0</v>
      </c>
      <c r="FX128" s="96"/>
      <c r="FY128" s="96"/>
      <c r="FZ128" s="97"/>
      <c r="GA128" s="294">
        <f t="shared" si="1657"/>
        <v>0</v>
      </c>
      <c r="GB128" s="302">
        <f t="shared" si="1658"/>
        <v>0.4604471269</v>
      </c>
      <c r="GC128" s="303">
        <f t="shared" si="1659"/>
        <v>0</v>
      </c>
      <c r="GD128" s="304">
        <f t="shared" si="1660"/>
        <v>0</v>
      </c>
      <c r="GE128" s="297"/>
      <c r="GF128" s="299">
        <f t="shared" si="1732"/>
        <v>8</v>
      </c>
      <c r="GG128" s="300" t="str">
        <f t="shared" ref="GG128:GI128" si="1829">IFERROR(VLOOKUP($R128,$A$13:$D$30,-GG$12,FALSE),"")</f>
        <v>Mangan</v>
      </c>
      <c r="GH128" s="301" t="str">
        <f t="shared" si="1829"/>
        <v>Bijih </v>
      </c>
      <c r="GI128" s="301" t="str">
        <f t="shared" si="1829"/>
        <v>Ton </v>
      </c>
      <c r="GJ128" s="294" t="str">
        <f>ADHK!GJ128</f>
        <v/>
      </c>
      <c r="GK128" s="294"/>
      <c r="GL128" s="294">
        <f t="shared" si="1662"/>
        <v>0</v>
      </c>
      <c r="GM128" s="302"/>
      <c r="GN128" s="294">
        <f t="shared" si="1663"/>
        <v>0</v>
      </c>
      <c r="GO128" s="96"/>
      <c r="GP128" s="96"/>
      <c r="GQ128" s="97"/>
      <c r="GR128" s="294">
        <f t="shared" si="1664"/>
        <v>0</v>
      </c>
      <c r="GS128" s="302">
        <f t="shared" si="1665"/>
        <v>0.4604471269</v>
      </c>
      <c r="GT128" s="303">
        <f t="shared" si="1666"/>
        <v>0</v>
      </c>
      <c r="GU128" s="304">
        <f t="shared" si="1667"/>
        <v>0</v>
      </c>
      <c r="GV128" s="297"/>
      <c r="GW128" s="299">
        <f t="shared" si="1734"/>
        <v>8</v>
      </c>
      <c r="GX128" s="300" t="str">
        <f t="shared" ref="GX128:GZ128" si="1830">IFERROR(VLOOKUP($R128,$A$13:$D$30,-GX$12,FALSE),"")</f>
        <v>Mangan</v>
      </c>
      <c r="GY128" s="301" t="str">
        <f t="shared" si="1830"/>
        <v>Bijih </v>
      </c>
      <c r="GZ128" s="301" t="str">
        <f t="shared" si="1830"/>
        <v>Ton </v>
      </c>
      <c r="HA128" s="294" t="str">
        <f>ADHK!HA128</f>
        <v/>
      </c>
      <c r="HB128" s="294"/>
      <c r="HC128" s="294">
        <f t="shared" si="1669"/>
        <v>0</v>
      </c>
      <c r="HD128" s="302"/>
      <c r="HE128" s="294">
        <f t="shared" si="1670"/>
        <v>0</v>
      </c>
      <c r="HF128" s="96"/>
      <c r="HG128" s="96"/>
      <c r="HH128" s="97"/>
      <c r="HI128" s="294">
        <f t="shared" si="1671"/>
        <v>0</v>
      </c>
      <c r="HJ128" s="302">
        <f t="shared" si="1672"/>
        <v>0.4604471269</v>
      </c>
      <c r="HK128" s="303">
        <f t="shared" si="1673"/>
        <v>0</v>
      </c>
      <c r="HL128" s="304">
        <f t="shared" si="1674"/>
        <v>0</v>
      </c>
      <c r="HM128" s="297"/>
      <c r="HN128" s="299">
        <f t="shared" si="1736"/>
        <v>8</v>
      </c>
      <c r="HO128" s="300" t="str">
        <f t="shared" ref="HO128:HQ128" si="1831">IFERROR(VLOOKUP($R128,$A$13:$D$30,-HO$12,FALSE),"")</f>
        <v>Mangan</v>
      </c>
      <c r="HP128" s="301" t="str">
        <f t="shared" si="1831"/>
        <v>Bijih </v>
      </c>
      <c r="HQ128" s="301" t="str">
        <f t="shared" si="1831"/>
        <v>Ton </v>
      </c>
      <c r="HR128" s="294"/>
      <c r="HS128" s="294"/>
      <c r="HT128" s="294">
        <f t="shared" si="1676"/>
        <v>0</v>
      </c>
      <c r="HU128" s="302"/>
      <c r="HV128" s="294">
        <f t="shared" si="1677"/>
        <v>0</v>
      </c>
      <c r="HW128" s="96"/>
      <c r="HX128" s="96"/>
      <c r="HY128" s="97"/>
      <c r="HZ128" s="294">
        <f t="shared" si="1678"/>
        <v>0</v>
      </c>
      <c r="IA128" s="302">
        <f t="shared" si="1679"/>
        <v>0.4604471269</v>
      </c>
      <c r="IB128" s="303">
        <f t="shared" si="1680"/>
        <v>0</v>
      </c>
      <c r="IC128" s="304">
        <f t="shared" si="1681"/>
        <v>0</v>
      </c>
      <c r="ID128" s="297"/>
      <c r="IE128" s="299">
        <f t="shared" si="1738"/>
        <v>8</v>
      </c>
      <c r="IF128" s="300" t="str">
        <f t="shared" ref="IF128:IH128" si="1832">IFERROR(VLOOKUP($R128,$A$13:$D$30,-IF$12,FALSE),"")</f>
        <v>Mangan</v>
      </c>
      <c r="IG128" s="301" t="str">
        <f t="shared" si="1832"/>
        <v>Bijih </v>
      </c>
      <c r="IH128" s="301" t="str">
        <f t="shared" si="1832"/>
        <v>Ton </v>
      </c>
      <c r="II128" s="294" t="str">
        <f>ADHK!II128</f>
        <v/>
      </c>
      <c r="IJ128" s="294"/>
      <c r="IK128" s="294">
        <f t="shared" si="1683"/>
        <v>0</v>
      </c>
      <c r="IL128" s="302"/>
      <c r="IM128" s="294">
        <f t="shared" si="1684"/>
        <v>0</v>
      </c>
      <c r="IN128" s="96"/>
      <c r="IO128" s="96"/>
      <c r="IP128" s="97"/>
      <c r="IQ128" s="294">
        <f t="shared" si="1685"/>
        <v>0</v>
      </c>
      <c r="IR128" s="302">
        <f t="shared" si="1686"/>
        <v>0.4604471269</v>
      </c>
      <c r="IS128" s="303">
        <f t="shared" si="1687"/>
        <v>0</v>
      </c>
      <c r="IT128" s="304">
        <f t="shared" si="1688"/>
        <v>0</v>
      </c>
      <c r="IU128" s="297"/>
      <c r="IV128" s="299">
        <f t="shared" si="1740"/>
        <v>8</v>
      </c>
      <c r="IW128" s="300" t="str">
        <f t="shared" ref="IW128:IY128" si="1833">IFERROR(VLOOKUP($R128,$A$13:$D$30,-IW$12,FALSE),"")</f>
        <v>Mangan</v>
      </c>
      <c r="IX128" s="301" t="str">
        <f t="shared" si="1833"/>
        <v>Bijih </v>
      </c>
      <c r="IY128" s="301" t="str">
        <f t="shared" si="1833"/>
        <v>Ton </v>
      </c>
      <c r="IZ128" s="294" t="str">
        <f>ADHK!IZ128</f>
        <v/>
      </c>
      <c r="JA128" s="294"/>
      <c r="JB128" s="294">
        <f t="shared" si="1690"/>
        <v>0</v>
      </c>
      <c r="JC128" s="302"/>
      <c r="JD128" s="294">
        <f t="shared" si="1691"/>
        <v>0</v>
      </c>
      <c r="JE128" s="96"/>
      <c r="JF128" s="96"/>
      <c r="JG128" s="97"/>
      <c r="JH128" s="294">
        <f t="shared" si="1692"/>
        <v>0</v>
      </c>
      <c r="JI128" s="302">
        <f t="shared" si="1693"/>
        <v>0.4604471269</v>
      </c>
      <c r="JJ128" s="303">
        <f t="shared" si="1694"/>
        <v>0</v>
      </c>
      <c r="JK128" s="304">
        <f t="shared" si="1695"/>
        <v>0</v>
      </c>
      <c r="JL128" s="297"/>
      <c r="JM128" s="299">
        <f t="shared" si="1742"/>
        <v>8</v>
      </c>
      <c r="JN128" s="300" t="str">
        <f t="shared" ref="JN128:JP128" si="1834">IFERROR(VLOOKUP($R128,$A$13:$D$30,-JN$12,FALSE),"")</f>
        <v>Mangan</v>
      </c>
      <c r="JO128" s="301" t="str">
        <f t="shared" si="1834"/>
        <v>Bijih </v>
      </c>
      <c r="JP128" s="301" t="str">
        <f t="shared" si="1834"/>
        <v>Ton </v>
      </c>
      <c r="JQ128" s="294" t="str">
        <f>ADHK!KY128</f>
        <v/>
      </c>
      <c r="JR128" s="294"/>
      <c r="JS128" s="294">
        <f t="shared" si="1697"/>
        <v>0</v>
      </c>
      <c r="JT128" s="302"/>
      <c r="JU128" s="294">
        <f t="shared" si="1698"/>
        <v>0</v>
      </c>
      <c r="JV128" s="96"/>
      <c r="JW128" s="96"/>
      <c r="JX128" s="97"/>
      <c r="JY128" s="294">
        <f t="shared" si="1699"/>
        <v>0</v>
      </c>
      <c r="JZ128" s="302">
        <f t="shared" si="1700"/>
        <v>0.4604471269</v>
      </c>
      <c r="KA128" s="303">
        <f t="shared" si="1701"/>
        <v>0</v>
      </c>
      <c r="KB128" s="304">
        <f t="shared" si="1702"/>
        <v>0</v>
      </c>
      <c r="KC128" s="297"/>
      <c r="KD128" s="299">
        <f t="shared" si="1744"/>
        <v>8</v>
      </c>
      <c r="KE128" s="300" t="str">
        <f t="shared" ref="KE128:KG128" si="1835">IFERROR(VLOOKUP($R128,$A$13:$D$30,-KE$12,FALSE),"")</f>
        <v>Mangan</v>
      </c>
      <c r="KF128" s="301" t="str">
        <f t="shared" si="1835"/>
        <v>Bijih </v>
      </c>
      <c r="KG128" s="301" t="str">
        <f t="shared" si="1835"/>
        <v>Ton </v>
      </c>
      <c r="KH128" s="294" t="str">
        <f>ADHK!LP128</f>
        <v/>
      </c>
      <c r="KI128" s="294"/>
      <c r="KJ128" s="294">
        <f t="shared" si="1704"/>
        <v>0</v>
      </c>
      <c r="KK128" s="302"/>
      <c r="KL128" s="294">
        <f t="shared" si="1705"/>
        <v>0</v>
      </c>
      <c r="KM128" s="96"/>
      <c r="KN128" s="96"/>
      <c r="KO128" s="97"/>
      <c r="KP128" s="294">
        <f t="shared" si="1706"/>
        <v>0</v>
      </c>
      <c r="KQ128" s="302">
        <f t="shared" si="1707"/>
        <v>0.4604471269</v>
      </c>
      <c r="KR128" s="303">
        <f t="shared" si="1708"/>
        <v>0</v>
      </c>
      <c r="KS128" s="304">
        <f t="shared" si="1709"/>
        <v>0</v>
      </c>
      <c r="KT128" s="297"/>
      <c r="KU128" s="298"/>
    </row>
    <row r="129" ht="15.75" customHeight="1">
      <c r="A129" s="299">
        <f t="shared" si="1710"/>
        <v>9</v>
      </c>
      <c r="B129" s="300" t="str">
        <f t="shared" ref="B129:D129" si="1836">IFERROR(VLOOKUP($A129,$A$13:$D$30,-B$12,FALSE),"")</f>
        <v>Lainnya 2.3 (1) ……..</v>
      </c>
      <c r="C129" s="301" t="str">
        <f t="shared" si="1836"/>
        <v>Bijih </v>
      </c>
      <c r="D129" s="301" t="str">
        <f t="shared" si="1836"/>
        <v>Ton </v>
      </c>
      <c r="E129" s="294" t="str">
        <f>ADHK!E129</f>
        <v/>
      </c>
      <c r="F129" s="294" t="str">
        <f>ADHK!F129</f>
        <v/>
      </c>
      <c r="G129" s="294">
        <f t="shared" si="1585"/>
        <v>0</v>
      </c>
      <c r="H129" s="302"/>
      <c r="I129" s="294">
        <f t="shared" si="1586"/>
        <v>0</v>
      </c>
      <c r="J129" s="96"/>
      <c r="K129" s="96"/>
      <c r="L129" s="97"/>
      <c r="M129" s="294">
        <f t="shared" si="1587"/>
        <v>0</v>
      </c>
      <c r="N129" s="302">
        <f t="shared" si="1588"/>
        <v>0.4604471269</v>
      </c>
      <c r="O129" s="303">
        <f t="shared" si="1589"/>
        <v>0</v>
      </c>
      <c r="P129" s="304">
        <f t="shared" si="1590"/>
        <v>0</v>
      </c>
      <c r="Q129" s="297"/>
      <c r="R129" s="299">
        <f t="shared" si="1712"/>
        <v>9</v>
      </c>
      <c r="S129" s="300" t="str">
        <f t="shared" ref="S129:U129" si="1837">IFERROR(VLOOKUP($R129,$A$13:$D$30,-S$12,FALSE),"")</f>
        <v>Lainnya 2.3 (1) ……..</v>
      </c>
      <c r="T129" s="301" t="str">
        <f t="shared" si="1837"/>
        <v>Bijih </v>
      </c>
      <c r="U129" s="301" t="str">
        <f t="shared" si="1837"/>
        <v>Ton </v>
      </c>
      <c r="V129" s="294" t="str">
        <f>ADHK!V129</f>
        <v/>
      </c>
      <c r="W129" s="294"/>
      <c r="X129" s="294">
        <f t="shared" si="1592"/>
        <v>0</v>
      </c>
      <c r="Y129" s="302"/>
      <c r="Z129" s="294">
        <f t="shared" si="1593"/>
        <v>0</v>
      </c>
      <c r="AA129" s="96"/>
      <c r="AB129" s="96"/>
      <c r="AC129" s="97"/>
      <c r="AD129" s="294">
        <f t="shared" si="1594"/>
        <v>0</v>
      </c>
      <c r="AE129" s="302">
        <f t="shared" si="1595"/>
        <v>0.4604471269</v>
      </c>
      <c r="AF129" s="303">
        <f t="shared" si="1596"/>
        <v>0</v>
      </c>
      <c r="AG129" s="304">
        <f t="shared" si="1597"/>
        <v>0</v>
      </c>
      <c r="AH129" s="297"/>
      <c r="AI129" s="299">
        <f t="shared" si="1714"/>
        <v>9</v>
      </c>
      <c r="AJ129" s="300" t="str">
        <f t="shared" ref="AJ129:AL129" si="1838">IFERROR(VLOOKUP($R129,$A$13:$D$30,-AJ$12,FALSE),"")</f>
        <v>Lainnya 2.3 (1) ……..</v>
      </c>
      <c r="AK129" s="301" t="str">
        <f t="shared" si="1838"/>
        <v>Bijih </v>
      </c>
      <c r="AL129" s="301" t="str">
        <f t="shared" si="1838"/>
        <v>Ton </v>
      </c>
      <c r="AM129" s="294" t="str">
        <f>ADHK!AM129</f>
        <v/>
      </c>
      <c r="AN129" s="294"/>
      <c r="AO129" s="294">
        <f t="shared" si="1599"/>
        <v>0</v>
      </c>
      <c r="AP129" s="302"/>
      <c r="AQ129" s="294">
        <f t="shared" si="1600"/>
        <v>0</v>
      </c>
      <c r="AR129" s="96"/>
      <c r="AS129" s="96"/>
      <c r="AT129" s="97"/>
      <c r="AU129" s="294">
        <f t="shared" si="1601"/>
        <v>0</v>
      </c>
      <c r="AV129" s="302">
        <f t="shared" si="1602"/>
        <v>0.4604471269</v>
      </c>
      <c r="AW129" s="303">
        <f t="shared" si="1603"/>
        <v>0</v>
      </c>
      <c r="AX129" s="304">
        <f t="shared" si="1604"/>
        <v>0</v>
      </c>
      <c r="AY129" s="297"/>
      <c r="AZ129" s="299">
        <f t="shared" si="1716"/>
        <v>9</v>
      </c>
      <c r="BA129" s="300" t="str">
        <f t="shared" ref="BA129:BC129" si="1839">IFERROR(VLOOKUP($R129,$A$13:$D$30,-BA$12,FALSE),"")</f>
        <v>Lainnya 2.3 (1) ……..</v>
      </c>
      <c r="BB129" s="301" t="str">
        <f t="shared" si="1839"/>
        <v>Bijih </v>
      </c>
      <c r="BC129" s="301" t="str">
        <f t="shared" si="1839"/>
        <v>Ton </v>
      </c>
      <c r="BD129" s="294" t="str">
        <f>ADHK!BD129</f>
        <v/>
      </c>
      <c r="BE129" s="294"/>
      <c r="BF129" s="294">
        <f t="shared" si="1606"/>
        <v>0</v>
      </c>
      <c r="BG129" s="302"/>
      <c r="BH129" s="294">
        <f t="shared" si="1607"/>
        <v>0</v>
      </c>
      <c r="BI129" s="96"/>
      <c r="BJ129" s="96"/>
      <c r="BK129" s="97"/>
      <c r="BL129" s="294">
        <f t="shared" si="1608"/>
        <v>0</v>
      </c>
      <c r="BM129" s="302">
        <f t="shared" si="1609"/>
        <v>0.4604471269</v>
      </c>
      <c r="BN129" s="303">
        <f t="shared" si="1610"/>
        <v>0</v>
      </c>
      <c r="BO129" s="304">
        <f t="shared" si="1611"/>
        <v>0</v>
      </c>
      <c r="BP129" s="297"/>
      <c r="BQ129" s="299">
        <f t="shared" si="1718"/>
        <v>9</v>
      </c>
      <c r="BR129" s="300" t="str">
        <f t="shared" ref="BR129:BT129" si="1840">IFERROR(VLOOKUP($R129,$A$13:$D$30,-BR$12,FALSE),"")</f>
        <v>Lainnya 2.3 (1) ……..</v>
      </c>
      <c r="BS129" s="301" t="str">
        <f t="shared" si="1840"/>
        <v>Bijih </v>
      </c>
      <c r="BT129" s="301" t="str">
        <f t="shared" si="1840"/>
        <v>Ton </v>
      </c>
      <c r="BU129" s="294" t="str">
        <f>ADHK!BU129</f>
        <v/>
      </c>
      <c r="BV129" s="294"/>
      <c r="BW129" s="294">
        <f t="shared" si="1613"/>
        <v>0</v>
      </c>
      <c r="BX129" s="302"/>
      <c r="BY129" s="294">
        <f t="shared" si="1614"/>
        <v>0</v>
      </c>
      <c r="BZ129" s="96"/>
      <c r="CA129" s="96"/>
      <c r="CB129" s="97"/>
      <c r="CC129" s="294">
        <f t="shared" si="1615"/>
        <v>0</v>
      </c>
      <c r="CD129" s="302">
        <f t="shared" si="1616"/>
        <v>0.4604471269</v>
      </c>
      <c r="CE129" s="303">
        <f t="shared" si="1617"/>
        <v>0</v>
      </c>
      <c r="CF129" s="304">
        <f t="shared" si="1618"/>
        <v>0</v>
      </c>
      <c r="CG129" s="297"/>
      <c r="CH129" s="299">
        <f t="shared" si="1720"/>
        <v>9</v>
      </c>
      <c r="CI129" s="300" t="str">
        <f t="shared" ref="CI129:CK129" si="1841">IFERROR(VLOOKUP($R129,$A$13:$D$30,-CI$12,FALSE),"")</f>
        <v>Lainnya 2.3 (1) ……..</v>
      </c>
      <c r="CJ129" s="301" t="str">
        <f t="shared" si="1841"/>
        <v>Bijih </v>
      </c>
      <c r="CK129" s="301" t="str">
        <f t="shared" si="1841"/>
        <v>Ton </v>
      </c>
      <c r="CL129" s="294" t="str">
        <f>ADHK!CL129</f>
        <v/>
      </c>
      <c r="CM129" s="294"/>
      <c r="CN129" s="294">
        <f t="shared" si="1620"/>
        <v>0</v>
      </c>
      <c r="CO129" s="302"/>
      <c r="CP129" s="294">
        <f t="shared" si="1621"/>
        <v>0</v>
      </c>
      <c r="CQ129" s="96"/>
      <c r="CR129" s="96"/>
      <c r="CS129" s="97"/>
      <c r="CT129" s="294">
        <f t="shared" si="1622"/>
        <v>0</v>
      </c>
      <c r="CU129" s="302">
        <f t="shared" si="1623"/>
        <v>0.4604471269</v>
      </c>
      <c r="CV129" s="303">
        <f t="shared" si="1624"/>
        <v>0</v>
      </c>
      <c r="CW129" s="304">
        <f t="shared" si="1625"/>
        <v>0</v>
      </c>
      <c r="CX129" s="297"/>
      <c r="CY129" s="299">
        <f t="shared" si="1722"/>
        <v>9</v>
      </c>
      <c r="CZ129" s="300" t="str">
        <f t="shared" ref="CZ129:DB129" si="1842">IFERROR(VLOOKUP($R129,$A$13:$D$30,-CZ$12,FALSE),"")</f>
        <v>Lainnya 2.3 (1) ……..</v>
      </c>
      <c r="DA129" s="301" t="str">
        <f t="shared" si="1842"/>
        <v>Bijih </v>
      </c>
      <c r="DB129" s="301" t="str">
        <f t="shared" si="1842"/>
        <v>Ton </v>
      </c>
      <c r="DC129" s="294" t="str">
        <f>ADHK!DC129</f>
        <v/>
      </c>
      <c r="DD129" s="294"/>
      <c r="DE129" s="294">
        <f t="shared" si="1627"/>
        <v>0</v>
      </c>
      <c r="DF129" s="302"/>
      <c r="DG129" s="294">
        <f t="shared" si="1628"/>
        <v>0</v>
      </c>
      <c r="DH129" s="96"/>
      <c r="DI129" s="96"/>
      <c r="DJ129" s="97"/>
      <c r="DK129" s="294">
        <f t="shared" si="1629"/>
        <v>0</v>
      </c>
      <c r="DL129" s="302">
        <f t="shared" si="1630"/>
        <v>0.4604471269</v>
      </c>
      <c r="DM129" s="303">
        <f t="shared" si="1631"/>
        <v>0</v>
      </c>
      <c r="DN129" s="304">
        <f t="shared" si="1632"/>
        <v>0</v>
      </c>
      <c r="DO129" s="297"/>
      <c r="DP129" s="299">
        <f t="shared" si="1724"/>
        <v>9</v>
      </c>
      <c r="DQ129" s="300" t="str">
        <f t="shared" ref="DQ129:DS129" si="1843">IFERROR(VLOOKUP($R129,$A$13:$D$30,-DQ$12,FALSE),"")</f>
        <v>Lainnya 2.3 (1) ……..</v>
      </c>
      <c r="DR129" s="301" t="str">
        <f t="shared" si="1843"/>
        <v>Bijih </v>
      </c>
      <c r="DS129" s="301" t="str">
        <f t="shared" si="1843"/>
        <v>Ton </v>
      </c>
      <c r="DT129" s="294" t="str">
        <f>ADHK!DT129</f>
        <v/>
      </c>
      <c r="DU129" s="294"/>
      <c r="DV129" s="294">
        <f t="shared" si="1634"/>
        <v>0</v>
      </c>
      <c r="DW129" s="302"/>
      <c r="DX129" s="294">
        <f t="shared" si="1635"/>
        <v>0</v>
      </c>
      <c r="DY129" s="96"/>
      <c r="DZ129" s="96"/>
      <c r="EA129" s="97"/>
      <c r="EB129" s="294">
        <f t="shared" si="1636"/>
        <v>0</v>
      </c>
      <c r="EC129" s="302">
        <f t="shared" si="1637"/>
        <v>0.4604471269</v>
      </c>
      <c r="ED129" s="303">
        <f t="shared" si="1638"/>
        <v>0</v>
      </c>
      <c r="EE129" s="304">
        <f t="shared" si="1639"/>
        <v>0</v>
      </c>
      <c r="EF129" s="297"/>
      <c r="EG129" s="299">
        <f t="shared" si="1726"/>
        <v>9</v>
      </c>
      <c r="EH129" s="300" t="str">
        <f t="shared" ref="EH129:EJ129" si="1844">IFERROR(VLOOKUP($R129,$A$13:$D$30,-EH$12,FALSE),"")</f>
        <v>Lainnya 2.3 (1) ……..</v>
      </c>
      <c r="EI129" s="301" t="str">
        <f t="shared" si="1844"/>
        <v>Bijih </v>
      </c>
      <c r="EJ129" s="301" t="str">
        <f t="shared" si="1844"/>
        <v>Ton </v>
      </c>
      <c r="EK129" s="294" t="str">
        <f>ADHK!EK129</f>
        <v/>
      </c>
      <c r="EL129" s="294"/>
      <c r="EM129" s="294">
        <f t="shared" si="1641"/>
        <v>0</v>
      </c>
      <c r="EN129" s="302"/>
      <c r="EO129" s="294">
        <f t="shared" si="1642"/>
        <v>0</v>
      </c>
      <c r="EP129" s="96"/>
      <c r="EQ129" s="96"/>
      <c r="ER129" s="97"/>
      <c r="ES129" s="294">
        <f t="shared" si="1643"/>
        <v>0</v>
      </c>
      <c r="ET129" s="302">
        <f t="shared" si="1644"/>
        <v>0.4604471269</v>
      </c>
      <c r="EU129" s="303">
        <f t="shared" si="1645"/>
        <v>0</v>
      </c>
      <c r="EV129" s="304">
        <f t="shared" si="1646"/>
        <v>0</v>
      </c>
      <c r="EW129" s="297"/>
      <c r="EX129" s="299">
        <f t="shared" si="1728"/>
        <v>9</v>
      </c>
      <c r="EY129" s="300" t="str">
        <f t="shared" ref="EY129:FA129" si="1845">IFERROR(VLOOKUP($R129,$A$13:$D$30,-EY$12,FALSE),"")</f>
        <v>Lainnya 2.3 (1) ……..</v>
      </c>
      <c r="EZ129" s="301" t="str">
        <f t="shared" si="1845"/>
        <v>Bijih </v>
      </c>
      <c r="FA129" s="301" t="str">
        <f t="shared" si="1845"/>
        <v>Ton </v>
      </c>
      <c r="FB129" s="294" t="str">
        <f>ADHK!FB129</f>
        <v/>
      </c>
      <c r="FC129" s="294"/>
      <c r="FD129" s="294">
        <f t="shared" si="1648"/>
        <v>0</v>
      </c>
      <c r="FE129" s="302"/>
      <c r="FF129" s="294">
        <f t="shared" si="1649"/>
        <v>0</v>
      </c>
      <c r="FG129" s="96"/>
      <c r="FH129" s="96"/>
      <c r="FI129" s="97"/>
      <c r="FJ129" s="294">
        <f t="shared" si="1650"/>
        <v>0</v>
      </c>
      <c r="FK129" s="302">
        <f t="shared" si="1651"/>
        <v>0.4604471269</v>
      </c>
      <c r="FL129" s="303">
        <f t="shared" si="1652"/>
        <v>0</v>
      </c>
      <c r="FM129" s="304">
        <f t="shared" si="1653"/>
        <v>0</v>
      </c>
      <c r="FN129" s="297"/>
      <c r="FO129" s="299">
        <f t="shared" si="1730"/>
        <v>9</v>
      </c>
      <c r="FP129" s="300" t="str">
        <f t="shared" ref="FP129:FR129" si="1846">IFERROR(VLOOKUP($R129,$A$13:$D$30,-FP$12,FALSE),"")</f>
        <v>Lainnya 2.3 (1) ……..</v>
      </c>
      <c r="FQ129" s="301" t="str">
        <f t="shared" si="1846"/>
        <v>Bijih </v>
      </c>
      <c r="FR129" s="301" t="str">
        <f t="shared" si="1846"/>
        <v>Ton </v>
      </c>
      <c r="FS129" s="294" t="str">
        <f>ADHK!FS129</f>
        <v/>
      </c>
      <c r="FT129" s="294"/>
      <c r="FU129" s="294">
        <f t="shared" si="1655"/>
        <v>0</v>
      </c>
      <c r="FV129" s="302"/>
      <c r="FW129" s="294">
        <f t="shared" si="1656"/>
        <v>0</v>
      </c>
      <c r="FX129" s="96"/>
      <c r="FY129" s="96"/>
      <c r="FZ129" s="97"/>
      <c r="GA129" s="294">
        <f t="shared" si="1657"/>
        <v>0</v>
      </c>
      <c r="GB129" s="302">
        <f t="shared" si="1658"/>
        <v>0.4604471269</v>
      </c>
      <c r="GC129" s="303">
        <f t="shared" si="1659"/>
        <v>0</v>
      </c>
      <c r="GD129" s="304">
        <f t="shared" si="1660"/>
        <v>0</v>
      </c>
      <c r="GE129" s="297"/>
      <c r="GF129" s="299">
        <f t="shared" si="1732"/>
        <v>9</v>
      </c>
      <c r="GG129" s="300" t="str">
        <f t="shared" ref="GG129:GI129" si="1847">IFERROR(VLOOKUP($R129,$A$13:$D$30,-GG$12,FALSE),"")</f>
        <v>Lainnya 2.3 (1) ……..</v>
      </c>
      <c r="GH129" s="301" t="str">
        <f t="shared" si="1847"/>
        <v>Bijih </v>
      </c>
      <c r="GI129" s="301" t="str">
        <f t="shared" si="1847"/>
        <v>Ton </v>
      </c>
      <c r="GJ129" s="294">
        <f>626.03*1000</f>
        <v>626030</v>
      </c>
      <c r="GK129" s="305">
        <v>172862.0</v>
      </c>
      <c r="GL129" s="294">
        <f t="shared" si="1662"/>
        <v>108216.7979</v>
      </c>
      <c r="GM129" s="302"/>
      <c r="GN129" s="294">
        <f t="shared" si="1663"/>
        <v>0</v>
      </c>
      <c r="GO129" s="96"/>
      <c r="GP129" s="96"/>
      <c r="GQ129" s="97"/>
      <c r="GR129" s="294">
        <f t="shared" si="1664"/>
        <v>108216.7979</v>
      </c>
      <c r="GS129" s="302">
        <f t="shared" si="1665"/>
        <v>0.4604471269</v>
      </c>
      <c r="GT129" s="303">
        <f t="shared" si="1666"/>
        <v>49828.11366</v>
      </c>
      <c r="GU129" s="304">
        <f t="shared" si="1667"/>
        <v>58388.6842</v>
      </c>
      <c r="GV129" s="297"/>
      <c r="GW129" s="299">
        <f t="shared" si="1734"/>
        <v>9</v>
      </c>
      <c r="GX129" s="300" t="str">
        <f t="shared" ref="GX129:GZ129" si="1848">IFERROR(VLOOKUP($R129,$A$13:$D$30,-GX$12,FALSE),"")</f>
        <v>Lainnya 2.3 (1) ……..</v>
      </c>
      <c r="GY129" s="301" t="str">
        <f t="shared" si="1848"/>
        <v>Bijih </v>
      </c>
      <c r="GZ129" s="301" t="str">
        <f t="shared" si="1848"/>
        <v>Ton </v>
      </c>
      <c r="HA129" s="294"/>
      <c r="HB129" s="305">
        <v>10903.7</v>
      </c>
      <c r="HC129" s="294">
        <f t="shared" si="1669"/>
        <v>0</v>
      </c>
      <c r="HD129" s="302"/>
      <c r="HE129" s="294">
        <f t="shared" si="1670"/>
        <v>0</v>
      </c>
      <c r="HF129" s="96"/>
      <c r="HG129" s="96"/>
      <c r="HH129" s="97"/>
      <c r="HI129" s="294">
        <f t="shared" si="1671"/>
        <v>0</v>
      </c>
      <c r="HJ129" s="302">
        <f t="shared" si="1672"/>
        <v>0.4604471269</v>
      </c>
      <c r="HK129" s="303">
        <f t="shared" si="1673"/>
        <v>0</v>
      </c>
      <c r="HL129" s="304">
        <f t="shared" si="1674"/>
        <v>0</v>
      </c>
      <c r="HM129" s="297"/>
      <c r="HN129" s="299">
        <f t="shared" si="1736"/>
        <v>9</v>
      </c>
      <c r="HO129" s="300" t="str">
        <f t="shared" ref="HO129:HQ129" si="1849">IFERROR(VLOOKUP($R129,$A$13:$D$30,-HO$12,FALSE),"")</f>
        <v>Lainnya 2.3 (1) ……..</v>
      </c>
      <c r="HP129" s="301" t="str">
        <f t="shared" si="1849"/>
        <v>Bijih </v>
      </c>
      <c r="HQ129" s="301" t="str">
        <f t="shared" si="1849"/>
        <v>Ton </v>
      </c>
      <c r="HR129" s="305">
        <v>264000.3662</v>
      </c>
      <c r="HS129" s="305">
        <v>43697.13</v>
      </c>
      <c r="HT129" s="294">
        <f t="shared" si="1676"/>
        <v>11536.05832</v>
      </c>
      <c r="HU129" s="302"/>
      <c r="HV129" s="294">
        <f t="shared" si="1677"/>
        <v>0</v>
      </c>
      <c r="HW129" s="96"/>
      <c r="HX129" s="96"/>
      <c r="HY129" s="97"/>
      <c r="HZ129" s="294">
        <f t="shared" si="1678"/>
        <v>11536.05832</v>
      </c>
      <c r="IA129" s="302">
        <f t="shared" si="1679"/>
        <v>0.4604471269</v>
      </c>
      <c r="IB129" s="303">
        <f t="shared" si="1680"/>
        <v>5311.74491</v>
      </c>
      <c r="IC129" s="304">
        <f t="shared" si="1681"/>
        <v>6224.313412</v>
      </c>
      <c r="ID129" s="297"/>
      <c r="IE129" s="299">
        <f t="shared" si="1738"/>
        <v>9</v>
      </c>
      <c r="IF129" s="300" t="str">
        <f t="shared" ref="IF129:IH129" si="1850">IFERROR(VLOOKUP($R129,$A$13:$D$30,-IF$12,FALSE),"")</f>
        <v>Lainnya 2.3 (1) ……..</v>
      </c>
      <c r="IG129" s="301" t="str">
        <f t="shared" si="1850"/>
        <v>Bijih </v>
      </c>
      <c r="IH129" s="301" t="str">
        <f t="shared" si="1850"/>
        <v>Ton </v>
      </c>
      <c r="II129" s="294" t="str">
        <f t="shared" ref="II129:IJ129" si="1851">II93</f>
        <v/>
      </c>
      <c r="IJ129" s="294" t="str">
        <f t="shared" si="1851"/>
        <v/>
      </c>
      <c r="IK129" s="294">
        <f t="shared" si="1683"/>
        <v>0</v>
      </c>
      <c r="IL129" s="302"/>
      <c r="IM129" s="294">
        <f t="shared" si="1684"/>
        <v>0</v>
      </c>
      <c r="IN129" s="96"/>
      <c r="IO129" s="96"/>
      <c r="IP129" s="97"/>
      <c r="IQ129" s="294">
        <f t="shared" si="1685"/>
        <v>0</v>
      </c>
      <c r="IR129" s="302">
        <f t="shared" si="1686"/>
        <v>0.4604471269</v>
      </c>
      <c r="IS129" s="303">
        <f t="shared" si="1687"/>
        <v>0</v>
      </c>
      <c r="IT129" s="304">
        <f t="shared" si="1688"/>
        <v>0</v>
      </c>
      <c r="IU129" s="297"/>
      <c r="IV129" s="299">
        <f t="shared" si="1740"/>
        <v>9</v>
      </c>
      <c r="IW129" s="300" t="str">
        <f t="shared" ref="IW129:IY129" si="1852">IFERROR(VLOOKUP($R129,$A$13:$D$30,-IW$12,FALSE),"")</f>
        <v>Lainnya 2.3 (1) ……..</v>
      </c>
      <c r="IX129" s="301" t="str">
        <f t="shared" si="1852"/>
        <v>Bijih </v>
      </c>
      <c r="IY129" s="301" t="str">
        <f t="shared" si="1852"/>
        <v>Ton </v>
      </c>
      <c r="IZ129" s="294" t="str">
        <f>ADHK!IZ129</f>
        <v/>
      </c>
      <c r="JA129" s="294"/>
      <c r="JB129" s="294">
        <f t="shared" si="1690"/>
        <v>0</v>
      </c>
      <c r="JC129" s="302"/>
      <c r="JD129" s="294">
        <f t="shared" si="1691"/>
        <v>0</v>
      </c>
      <c r="JE129" s="96"/>
      <c r="JF129" s="96"/>
      <c r="JG129" s="97"/>
      <c r="JH129" s="294">
        <f t="shared" si="1692"/>
        <v>0</v>
      </c>
      <c r="JI129" s="302">
        <f t="shared" si="1693"/>
        <v>0.4604471269</v>
      </c>
      <c r="JJ129" s="303">
        <f t="shared" si="1694"/>
        <v>0</v>
      </c>
      <c r="JK129" s="304">
        <f t="shared" si="1695"/>
        <v>0</v>
      </c>
      <c r="JL129" s="297"/>
      <c r="JM129" s="299">
        <f t="shared" si="1742"/>
        <v>9</v>
      </c>
      <c r="JN129" s="300" t="str">
        <f t="shared" ref="JN129:JP129" si="1853">IFERROR(VLOOKUP($R129,$A$13:$D$30,-JN$12,FALSE),"")</f>
        <v>Lainnya 2.3 (1) ……..</v>
      </c>
      <c r="JO129" s="301" t="str">
        <f t="shared" si="1853"/>
        <v>Bijih </v>
      </c>
      <c r="JP129" s="301" t="str">
        <f t="shared" si="1853"/>
        <v>Ton </v>
      </c>
      <c r="JQ129" s="294" t="str">
        <f>ADHK!KY129</f>
        <v/>
      </c>
      <c r="JR129" s="294"/>
      <c r="JS129" s="294">
        <f t="shared" si="1697"/>
        <v>0</v>
      </c>
      <c r="JT129" s="302"/>
      <c r="JU129" s="294">
        <f t="shared" si="1698"/>
        <v>0</v>
      </c>
      <c r="JV129" s="96"/>
      <c r="JW129" s="96"/>
      <c r="JX129" s="97"/>
      <c r="JY129" s="294">
        <f t="shared" si="1699"/>
        <v>0</v>
      </c>
      <c r="JZ129" s="302">
        <f t="shared" si="1700"/>
        <v>0.4604471269</v>
      </c>
      <c r="KA129" s="303">
        <f t="shared" si="1701"/>
        <v>0</v>
      </c>
      <c r="KB129" s="304">
        <f t="shared" si="1702"/>
        <v>0</v>
      </c>
      <c r="KC129" s="297"/>
      <c r="KD129" s="299">
        <f t="shared" si="1744"/>
        <v>9</v>
      </c>
      <c r="KE129" s="300" t="str">
        <f t="shared" ref="KE129:KG129" si="1854">IFERROR(VLOOKUP($R129,$A$13:$D$30,-KE$12,FALSE),"")</f>
        <v>Lainnya 2.3 (1) ……..</v>
      </c>
      <c r="KF129" s="301" t="str">
        <f t="shared" si="1854"/>
        <v>Bijih </v>
      </c>
      <c r="KG129" s="301" t="str">
        <f t="shared" si="1854"/>
        <v>Ton </v>
      </c>
      <c r="KH129" s="294" t="str">
        <f>ADHK!LP129</f>
        <v/>
      </c>
      <c r="KI129" s="294"/>
      <c r="KJ129" s="294">
        <f t="shared" si="1704"/>
        <v>0</v>
      </c>
      <c r="KK129" s="302"/>
      <c r="KL129" s="294">
        <f t="shared" si="1705"/>
        <v>0</v>
      </c>
      <c r="KM129" s="96"/>
      <c r="KN129" s="96"/>
      <c r="KO129" s="97"/>
      <c r="KP129" s="294">
        <f t="shared" si="1706"/>
        <v>0</v>
      </c>
      <c r="KQ129" s="302">
        <f t="shared" si="1707"/>
        <v>0.4604471269</v>
      </c>
      <c r="KR129" s="303">
        <f t="shared" si="1708"/>
        <v>0</v>
      </c>
      <c r="KS129" s="304">
        <f t="shared" si="1709"/>
        <v>0</v>
      </c>
      <c r="KT129" s="297"/>
      <c r="KU129" s="298"/>
    </row>
    <row r="130" ht="15.75" customHeight="1">
      <c r="A130" s="299">
        <f t="shared" si="1710"/>
        <v>10</v>
      </c>
      <c r="B130" s="300" t="str">
        <f t="shared" ref="B130:D130" si="1855">IFERROR(VLOOKUP($A130,$A$13:$D$30,-B$12,FALSE),"")</f>
        <v>Lainnya 2.3 (2) ………</v>
      </c>
      <c r="C130" s="301" t="str">
        <f t="shared" si="1855"/>
        <v>Bijih </v>
      </c>
      <c r="D130" s="301" t="str">
        <f t="shared" si="1855"/>
        <v>Ton </v>
      </c>
      <c r="E130" s="294" t="str">
        <f>ADHK!E130</f>
        <v/>
      </c>
      <c r="F130" s="294" t="str">
        <f>ADHK!F130</f>
        <v/>
      </c>
      <c r="G130" s="294">
        <f t="shared" si="1585"/>
        <v>0</v>
      </c>
      <c r="H130" s="302"/>
      <c r="I130" s="294">
        <f t="shared" si="1586"/>
        <v>0</v>
      </c>
      <c r="J130" s="96"/>
      <c r="K130" s="96"/>
      <c r="L130" s="97"/>
      <c r="M130" s="294">
        <f t="shared" si="1587"/>
        <v>0</v>
      </c>
      <c r="N130" s="302">
        <f t="shared" si="1588"/>
        <v>0.4604471269</v>
      </c>
      <c r="O130" s="303">
        <f t="shared" si="1589"/>
        <v>0</v>
      </c>
      <c r="P130" s="304">
        <f t="shared" si="1590"/>
        <v>0</v>
      </c>
      <c r="Q130" s="297"/>
      <c r="R130" s="299">
        <f t="shared" si="1712"/>
        <v>10</v>
      </c>
      <c r="S130" s="300" t="str">
        <f t="shared" ref="S130:U130" si="1856">IFERROR(VLOOKUP($R130,$A$13:$D$30,-S$12,FALSE),"")</f>
        <v>Lainnya 2.3 (2) ………</v>
      </c>
      <c r="T130" s="301" t="str">
        <f t="shared" si="1856"/>
        <v>Bijih </v>
      </c>
      <c r="U130" s="301" t="str">
        <f t="shared" si="1856"/>
        <v>Ton </v>
      </c>
      <c r="V130" s="294" t="str">
        <f>ADHK!V130</f>
        <v/>
      </c>
      <c r="W130" s="294"/>
      <c r="X130" s="294">
        <f t="shared" si="1592"/>
        <v>0</v>
      </c>
      <c r="Y130" s="302"/>
      <c r="Z130" s="294">
        <f t="shared" si="1593"/>
        <v>0</v>
      </c>
      <c r="AA130" s="96"/>
      <c r="AB130" s="96"/>
      <c r="AC130" s="97"/>
      <c r="AD130" s="294">
        <f t="shared" si="1594"/>
        <v>0</v>
      </c>
      <c r="AE130" s="302">
        <f t="shared" si="1595"/>
        <v>0.4604471269</v>
      </c>
      <c r="AF130" s="303">
        <f t="shared" si="1596"/>
        <v>0</v>
      </c>
      <c r="AG130" s="304">
        <f t="shared" si="1597"/>
        <v>0</v>
      </c>
      <c r="AH130" s="297"/>
      <c r="AI130" s="299">
        <f t="shared" si="1714"/>
        <v>10</v>
      </c>
      <c r="AJ130" s="300" t="str">
        <f t="shared" ref="AJ130:AL130" si="1857">IFERROR(VLOOKUP($R130,$A$13:$D$30,-AJ$12,FALSE),"")</f>
        <v>Lainnya 2.3 (2) ………</v>
      </c>
      <c r="AK130" s="301" t="str">
        <f t="shared" si="1857"/>
        <v>Bijih </v>
      </c>
      <c r="AL130" s="301" t="str">
        <f t="shared" si="1857"/>
        <v>Ton </v>
      </c>
      <c r="AM130" s="294" t="str">
        <f>ADHK!AM130</f>
        <v/>
      </c>
      <c r="AN130" s="294"/>
      <c r="AO130" s="294">
        <f t="shared" si="1599"/>
        <v>0</v>
      </c>
      <c r="AP130" s="302"/>
      <c r="AQ130" s="294">
        <f t="shared" si="1600"/>
        <v>0</v>
      </c>
      <c r="AR130" s="96"/>
      <c r="AS130" s="96"/>
      <c r="AT130" s="97"/>
      <c r="AU130" s="294">
        <f t="shared" si="1601"/>
        <v>0</v>
      </c>
      <c r="AV130" s="302">
        <f t="shared" si="1602"/>
        <v>0.4604471269</v>
      </c>
      <c r="AW130" s="303">
        <f t="shared" si="1603"/>
        <v>0</v>
      </c>
      <c r="AX130" s="304">
        <f t="shared" si="1604"/>
        <v>0</v>
      </c>
      <c r="AY130" s="297"/>
      <c r="AZ130" s="299">
        <f t="shared" si="1716"/>
        <v>10</v>
      </c>
      <c r="BA130" s="300" t="str">
        <f t="shared" ref="BA130:BC130" si="1858">IFERROR(VLOOKUP($R130,$A$13:$D$30,-BA$12,FALSE),"")</f>
        <v>Lainnya 2.3 (2) ………</v>
      </c>
      <c r="BB130" s="301" t="str">
        <f t="shared" si="1858"/>
        <v>Bijih </v>
      </c>
      <c r="BC130" s="301" t="str">
        <f t="shared" si="1858"/>
        <v>Ton </v>
      </c>
      <c r="BD130" s="294" t="str">
        <f>ADHK!BD130</f>
        <v/>
      </c>
      <c r="BE130" s="294"/>
      <c r="BF130" s="294">
        <f t="shared" si="1606"/>
        <v>0</v>
      </c>
      <c r="BG130" s="302"/>
      <c r="BH130" s="294">
        <f t="shared" si="1607"/>
        <v>0</v>
      </c>
      <c r="BI130" s="96"/>
      <c r="BJ130" s="96"/>
      <c r="BK130" s="97"/>
      <c r="BL130" s="294">
        <f t="shared" si="1608"/>
        <v>0</v>
      </c>
      <c r="BM130" s="302">
        <f t="shared" si="1609"/>
        <v>0.4604471269</v>
      </c>
      <c r="BN130" s="303">
        <f t="shared" si="1610"/>
        <v>0</v>
      </c>
      <c r="BO130" s="304">
        <f t="shared" si="1611"/>
        <v>0</v>
      </c>
      <c r="BP130" s="297"/>
      <c r="BQ130" s="299">
        <f t="shared" si="1718"/>
        <v>10</v>
      </c>
      <c r="BR130" s="300" t="str">
        <f t="shared" ref="BR130:BT130" si="1859">IFERROR(VLOOKUP($R130,$A$13:$D$30,-BR$12,FALSE),"")</f>
        <v>Lainnya 2.3 (2) ………</v>
      </c>
      <c r="BS130" s="301" t="str">
        <f t="shared" si="1859"/>
        <v>Bijih </v>
      </c>
      <c r="BT130" s="301" t="str">
        <f t="shared" si="1859"/>
        <v>Ton </v>
      </c>
      <c r="BU130" s="294" t="str">
        <f>ADHK!BU130</f>
        <v/>
      </c>
      <c r="BV130" s="294"/>
      <c r="BW130" s="294">
        <f t="shared" si="1613"/>
        <v>0</v>
      </c>
      <c r="BX130" s="302"/>
      <c r="BY130" s="294">
        <f t="shared" si="1614"/>
        <v>0</v>
      </c>
      <c r="BZ130" s="96"/>
      <c r="CA130" s="96"/>
      <c r="CB130" s="97"/>
      <c r="CC130" s="294">
        <f t="shared" si="1615"/>
        <v>0</v>
      </c>
      <c r="CD130" s="302">
        <f t="shared" si="1616"/>
        <v>0.4604471269</v>
      </c>
      <c r="CE130" s="303">
        <f t="shared" si="1617"/>
        <v>0</v>
      </c>
      <c r="CF130" s="304">
        <f t="shared" si="1618"/>
        <v>0</v>
      </c>
      <c r="CG130" s="297"/>
      <c r="CH130" s="299">
        <f t="shared" si="1720"/>
        <v>10</v>
      </c>
      <c r="CI130" s="300" t="str">
        <f t="shared" ref="CI130:CK130" si="1860">IFERROR(VLOOKUP($R130,$A$13:$D$30,-CI$12,FALSE),"")</f>
        <v>Lainnya 2.3 (2) ………</v>
      </c>
      <c r="CJ130" s="301" t="str">
        <f t="shared" si="1860"/>
        <v>Bijih </v>
      </c>
      <c r="CK130" s="301" t="str">
        <f t="shared" si="1860"/>
        <v>Ton </v>
      </c>
      <c r="CL130" s="294" t="str">
        <f>ADHK!CL130</f>
        <v/>
      </c>
      <c r="CM130" s="294"/>
      <c r="CN130" s="294">
        <f t="shared" si="1620"/>
        <v>0</v>
      </c>
      <c r="CO130" s="302"/>
      <c r="CP130" s="294">
        <f t="shared" si="1621"/>
        <v>0</v>
      </c>
      <c r="CQ130" s="96"/>
      <c r="CR130" s="96"/>
      <c r="CS130" s="97"/>
      <c r="CT130" s="294">
        <f t="shared" si="1622"/>
        <v>0</v>
      </c>
      <c r="CU130" s="302">
        <f t="shared" si="1623"/>
        <v>0.4604471269</v>
      </c>
      <c r="CV130" s="303">
        <f t="shared" si="1624"/>
        <v>0</v>
      </c>
      <c r="CW130" s="304">
        <f t="shared" si="1625"/>
        <v>0</v>
      </c>
      <c r="CX130" s="297"/>
      <c r="CY130" s="299">
        <f t="shared" si="1722"/>
        <v>10</v>
      </c>
      <c r="CZ130" s="300" t="str">
        <f t="shared" ref="CZ130:DB130" si="1861">IFERROR(VLOOKUP($R130,$A$13:$D$30,-CZ$12,FALSE),"")</f>
        <v>Lainnya 2.3 (2) ………</v>
      </c>
      <c r="DA130" s="301" t="str">
        <f t="shared" si="1861"/>
        <v>Bijih </v>
      </c>
      <c r="DB130" s="301" t="str">
        <f t="shared" si="1861"/>
        <v>Ton </v>
      </c>
      <c r="DC130" s="294" t="str">
        <f>ADHK!DC130</f>
        <v/>
      </c>
      <c r="DD130" s="294"/>
      <c r="DE130" s="294">
        <f t="shared" si="1627"/>
        <v>0</v>
      </c>
      <c r="DF130" s="302"/>
      <c r="DG130" s="294">
        <f t="shared" si="1628"/>
        <v>0</v>
      </c>
      <c r="DH130" s="96"/>
      <c r="DI130" s="96"/>
      <c r="DJ130" s="97"/>
      <c r="DK130" s="294">
        <f t="shared" si="1629"/>
        <v>0</v>
      </c>
      <c r="DL130" s="302">
        <f t="shared" si="1630"/>
        <v>0.4604471269</v>
      </c>
      <c r="DM130" s="303">
        <f t="shared" si="1631"/>
        <v>0</v>
      </c>
      <c r="DN130" s="304">
        <f t="shared" si="1632"/>
        <v>0</v>
      </c>
      <c r="DO130" s="297"/>
      <c r="DP130" s="299">
        <f t="shared" si="1724"/>
        <v>10</v>
      </c>
      <c r="DQ130" s="300" t="str">
        <f t="shared" ref="DQ130:DS130" si="1862">IFERROR(VLOOKUP($R130,$A$13:$D$30,-DQ$12,FALSE),"")</f>
        <v>Lainnya 2.3 (2) ………</v>
      </c>
      <c r="DR130" s="301" t="str">
        <f t="shared" si="1862"/>
        <v>Bijih </v>
      </c>
      <c r="DS130" s="301" t="str">
        <f t="shared" si="1862"/>
        <v>Ton </v>
      </c>
      <c r="DT130" s="294" t="str">
        <f>ADHK!DT130</f>
        <v/>
      </c>
      <c r="DU130" s="294"/>
      <c r="DV130" s="294">
        <f t="shared" si="1634"/>
        <v>0</v>
      </c>
      <c r="DW130" s="302"/>
      <c r="DX130" s="294">
        <f t="shared" si="1635"/>
        <v>0</v>
      </c>
      <c r="DY130" s="96"/>
      <c r="DZ130" s="96"/>
      <c r="EA130" s="97"/>
      <c r="EB130" s="294">
        <f t="shared" si="1636"/>
        <v>0</v>
      </c>
      <c r="EC130" s="302">
        <f t="shared" si="1637"/>
        <v>0.4604471269</v>
      </c>
      <c r="ED130" s="303">
        <f t="shared" si="1638"/>
        <v>0</v>
      </c>
      <c r="EE130" s="304">
        <f t="shared" si="1639"/>
        <v>0</v>
      </c>
      <c r="EF130" s="297"/>
      <c r="EG130" s="299">
        <f t="shared" si="1726"/>
        <v>10</v>
      </c>
      <c r="EH130" s="300" t="str">
        <f t="shared" ref="EH130:EJ130" si="1863">IFERROR(VLOOKUP($R130,$A$13:$D$30,-EH$12,FALSE),"")</f>
        <v>Lainnya 2.3 (2) ………</v>
      </c>
      <c r="EI130" s="301" t="str">
        <f t="shared" si="1863"/>
        <v>Bijih </v>
      </c>
      <c r="EJ130" s="301" t="str">
        <f t="shared" si="1863"/>
        <v>Ton </v>
      </c>
      <c r="EK130" s="294" t="str">
        <f>ADHK!EK130</f>
        <v/>
      </c>
      <c r="EL130" s="294"/>
      <c r="EM130" s="294">
        <f t="shared" si="1641"/>
        <v>0</v>
      </c>
      <c r="EN130" s="302"/>
      <c r="EO130" s="294">
        <f t="shared" si="1642"/>
        <v>0</v>
      </c>
      <c r="EP130" s="96"/>
      <c r="EQ130" s="96"/>
      <c r="ER130" s="97"/>
      <c r="ES130" s="294">
        <f t="shared" si="1643"/>
        <v>0</v>
      </c>
      <c r="ET130" s="302">
        <f t="shared" si="1644"/>
        <v>0.4604471269</v>
      </c>
      <c r="EU130" s="303">
        <f t="shared" si="1645"/>
        <v>0</v>
      </c>
      <c r="EV130" s="304">
        <f t="shared" si="1646"/>
        <v>0</v>
      </c>
      <c r="EW130" s="297"/>
      <c r="EX130" s="299">
        <f t="shared" si="1728"/>
        <v>10</v>
      </c>
      <c r="EY130" s="300" t="str">
        <f t="shared" ref="EY130:FA130" si="1864">IFERROR(VLOOKUP($R130,$A$13:$D$30,-EY$12,FALSE),"")</f>
        <v>Lainnya 2.3 (2) ………</v>
      </c>
      <c r="EZ130" s="301" t="str">
        <f t="shared" si="1864"/>
        <v>Bijih </v>
      </c>
      <c r="FA130" s="301" t="str">
        <f t="shared" si="1864"/>
        <v>Ton </v>
      </c>
      <c r="FB130" s="294" t="str">
        <f>ADHK!FB130</f>
        <v/>
      </c>
      <c r="FC130" s="294"/>
      <c r="FD130" s="294">
        <f t="shared" si="1648"/>
        <v>0</v>
      </c>
      <c r="FE130" s="302"/>
      <c r="FF130" s="294">
        <f t="shared" si="1649"/>
        <v>0</v>
      </c>
      <c r="FG130" s="96"/>
      <c r="FH130" s="96"/>
      <c r="FI130" s="97"/>
      <c r="FJ130" s="294">
        <f t="shared" si="1650"/>
        <v>0</v>
      </c>
      <c r="FK130" s="302">
        <f t="shared" si="1651"/>
        <v>0.4604471269</v>
      </c>
      <c r="FL130" s="303">
        <f t="shared" si="1652"/>
        <v>0</v>
      </c>
      <c r="FM130" s="304">
        <f t="shared" si="1653"/>
        <v>0</v>
      </c>
      <c r="FN130" s="297"/>
      <c r="FO130" s="299">
        <f t="shared" si="1730"/>
        <v>10</v>
      </c>
      <c r="FP130" s="300" t="str">
        <f t="shared" ref="FP130:FR130" si="1865">IFERROR(VLOOKUP($R130,$A$13:$D$30,-FP$12,FALSE),"")</f>
        <v>Lainnya 2.3 (2) ………</v>
      </c>
      <c r="FQ130" s="301" t="str">
        <f t="shared" si="1865"/>
        <v>Bijih </v>
      </c>
      <c r="FR130" s="301" t="str">
        <f t="shared" si="1865"/>
        <v>Ton </v>
      </c>
      <c r="FS130" s="294" t="str">
        <f>ADHK!FS130</f>
        <v/>
      </c>
      <c r="FT130" s="294"/>
      <c r="FU130" s="294">
        <f t="shared" si="1655"/>
        <v>0</v>
      </c>
      <c r="FV130" s="302"/>
      <c r="FW130" s="294">
        <f t="shared" si="1656"/>
        <v>0</v>
      </c>
      <c r="FX130" s="96"/>
      <c r="FY130" s="96"/>
      <c r="FZ130" s="97"/>
      <c r="GA130" s="294">
        <f t="shared" si="1657"/>
        <v>0</v>
      </c>
      <c r="GB130" s="302">
        <f t="shared" si="1658"/>
        <v>0.4604471269</v>
      </c>
      <c r="GC130" s="303">
        <f t="shared" si="1659"/>
        <v>0</v>
      </c>
      <c r="GD130" s="304">
        <f t="shared" si="1660"/>
        <v>0</v>
      </c>
      <c r="GE130" s="297"/>
      <c r="GF130" s="299">
        <f t="shared" si="1732"/>
        <v>10</v>
      </c>
      <c r="GG130" s="300" t="str">
        <f t="shared" ref="GG130:GI130" si="1866">IFERROR(VLOOKUP($R130,$A$13:$D$30,-GG$12,FALSE),"")</f>
        <v>Lainnya 2.3 (2) ………</v>
      </c>
      <c r="GH130" s="301" t="str">
        <f t="shared" si="1866"/>
        <v>Bijih </v>
      </c>
      <c r="GI130" s="301" t="str">
        <f t="shared" si="1866"/>
        <v>Ton </v>
      </c>
      <c r="GJ130" s="294" t="str">
        <f>ADHK!GJ130</f>
        <v/>
      </c>
      <c r="GK130" s="294"/>
      <c r="GL130" s="294">
        <f t="shared" si="1662"/>
        <v>0</v>
      </c>
      <c r="GM130" s="302"/>
      <c r="GN130" s="294">
        <f t="shared" si="1663"/>
        <v>0</v>
      </c>
      <c r="GO130" s="96"/>
      <c r="GP130" s="96"/>
      <c r="GQ130" s="97"/>
      <c r="GR130" s="294">
        <f t="shared" si="1664"/>
        <v>0</v>
      </c>
      <c r="GS130" s="302">
        <f t="shared" si="1665"/>
        <v>0.4604471269</v>
      </c>
      <c r="GT130" s="303">
        <f t="shared" si="1666"/>
        <v>0</v>
      </c>
      <c r="GU130" s="304">
        <f t="shared" si="1667"/>
        <v>0</v>
      </c>
      <c r="GV130" s="297"/>
      <c r="GW130" s="299">
        <f t="shared" si="1734"/>
        <v>10</v>
      </c>
      <c r="GX130" s="300" t="str">
        <f t="shared" ref="GX130:GZ130" si="1867">IFERROR(VLOOKUP($R130,$A$13:$D$30,-GX$12,FALSE),"")</f>
        <v>Lainnya 2.3 (2) ………</v>
      </c>
      <c r="GY130" s="301" t="str">
        <f t="shared" si="1867"/>
        <v>Bijih </v>
      </c>
      <c r="GZ130" s="301" t="str">
        <f t="shared" si="1867"/>
        <v>Ton </v>
      </c>
      <c r="HA130" s="294" t="str">
        <f>ADHK!HA130</f>
        <v/>
      </c>
      <c r="HB130" s="294"/>
      <c r="HC130" s="294">
        <f t="shared" si="1669"/>
        <v>0</v>
      </c>
      <c r="HD130" s="302"/>
      <c r="HE130" s="294">
        <f t="shared" si="1670"/>
        <v>0</v>
      </c>
      <c r="HF130" s="96"/>
      <c r="HG130" s="96"/>
      <c r="HH130" s="97"/>
      <c r="HI130" s="294">
        <f t="shared" si="1671"/>
        <v>0</v>
      </c>
      <c r="HJ130" s="302">
        <f t="shared" si="1672"/>
        <v>0.4604471269</v>
      </c>
      <c r="HK130" s="303">
        <f t="shared" si="1673"/>
        <v>0</v>
      </c>
      <c r="HL130" s="304">
        <f t="shared" si="1674"/>
        <v>0</v>
      </c>
      <c r="HM130" s="297"/>
      <c r="HN130" s="299">
        <f t="shared" si="1736"/>
        <v>10</v>
      </c>
      <c r="HO130" s="300" t="str">
        <f t="shared" ref="HO130:HQ130" si="1868">IFERROR(VLOOKUP($R130,$A$13:$D$30,-HO$12,FALSE),"")</f>
        <v>Lainnya 2.3 (2) ………</v>
      </c>
      <c r="HP130" s="301" t="str">
        <f t="shared" si="1868"/>
        <v>Bijih </v>
      </c>
      <c r="HQ130" s="301" t="str">
        <f t="shared" si="1868"/>
        <v>Ton </v>
      </c>
      <c r="HR130" s="294"/>
      <c r="HS130" s="294"/>
      <c r="HT130" s="294">
        <f t="shared" si="1676"/>
        <v>0</v>
      </c>
      <c r="HU130" s="302"/>
      <c r="HV130" s="294">
        <f t="shared" si="1677"/>
        <v>0</v>
      </c>
      <c r="HW130" s="96"/>
      <c r="HX130" s="96"/>
      <c r="HY130" s="97"/>
      <c r="HZ130" s="294">
        <f t="shared" si="1678"/>
        <v>0</v>
      </c>
      <c r="IA130" s="302">
        <f t="shared" si="1679"/>
        <v>0.4604471269</v>
      </c>
      <c r="IB130" s="303">
        <f t="shared" si="1680"/>
        <v>0</v>
      </c>
      <c r="IC130" s="304">
        <f t="shared" si="1681"/>
        <v>0</v>
      </c>
      <c r="ID130" s="297"/>
      <c r="IE130" s="299">
        <f t="shared" si="1738"/>
        <v>10</v>
      </c>
      <c r="IF130" s="300" t="str">
        <f t="shared" ref="IF130:IH130" si="1869">IFERROR(VLOOKUP($R130,$A$13:$D$30,-IF$12,FALSE),"")</f>
        <v>Lainnya 2.3 (2) ………</v>
      </c>
      <c r="IG130" s="301" t="str">
        <f t="shared" si="1869"/>
        <v>Bijih </v>
      </c>
      <c r="IH130" s="301" t="str">
        <f t="shared" si="1869"/>
        <v>Ton </v>
      </c>
      <c r="II130" s="294" t="str">
        <f>ADHK!II130</f>
        <v/>
      </c>
      <c r="IJ130" s="294"/>
      <c r="IK130" s="294">
        <f t="shared" si="1683"/>
        <v>0</v>
      </c>
      <c r="IL130" s="302"/>
      <c r="IM130" s="294">
        <f t="shared" si="1684"/>
        <v>0</v>
      </c>
      <c r="IN130" s="96"/>
      <c r="IO130" s="96"/>
      <c r="IP130" s="97"/>
      <c r="IQ130" s="294">
        <f t="shared" si="1685"/>
        <v>0</v>
      </c>
      <c r="IR130" s="302">
        <f t="shared" si="1686"/>
        <v>0.4604471269</v>
      </c>
      <c r="IS130" s="303">
        <f t="shared" si="1687"/>
        <v>0</v>
      </c>
      <c r="IT130" s="304">
        <f t="shared" si="1688"/>
        <v>0</v>
      </c>
      <c r="IU130" s="297"/>
      <c r="IV130" s="299">
        <f t="shared" si="1740"/>
        <v>10</v>
      </c>
      <c r="IW130" s="300" t="str">
        <f t="shared" ref="IW130:IY130" si="1870">IFERROR(VLOOKUP($R130,$A$13:$D$30,-IW$12,FALSE),"")</f>
        <v>Lainnya 2.3 (2) ………</v>
      </c>
      <c r="IX130" s="301" t="str">
        <f t="shared" si="1870"/>
        <v>Bijih </v>
      </c>
      <c r="IY130" s="301" t="str">
        <f t="shared" si="1870"/>
        <v>Ton </v>
      </c>
      <c r="IZ130" s="294" t="str">
        <f>ADHK!IZ130</f>
        <v/>
      </c>
      <c r="JA130" s="294"/>
      <c r="JB130" s="294">
        <f t="shared" si="1690"/>
        <v>0</v>
      </c>
      <c r="JC130" s="302"/>
      <c r="JD130" s="294">
        <f t="shared" si="1691"/>
        <v>0</v>
      </c>
      <c r="JE130" s="96"/>
      <c r="JF130" s="96"/>
      <c r="JG130" s="97"/>
      <c r="JH130" s="294">
        <f t="shared" si="1692"/>
        <v>0</v>
      </c>
      <c r="JI130" s="302">
        <f t="shared" si="1693"/>
        <v>0.4604471269</v>
      </c>
      <c r="JJ130" s="303">
        <f t="shared" si="1694"/>
        <v>0</v>
      </c>
      <c r="JK130" s="304">
        <f t="shared" si="1695"/>
        <v>0</v>
      </c>
      <c r="JL130" s="297"/>
      <c r="JM130" s="299">
        <f t="shared" si="1742"/>
        <v>10</v>
      </c>
      <c r="JN130" s="300" t="str">
        <f t="shared" ref="JN130:JP130" si="1871">IFERROR(VLOOKUP($R130,$A$13:$D$30,-JN$12,FALSE),"")</f>
        <v>Lainnya 2.3 (2) ………</v>
      </c>
      <c r="JO130" s="301" t="str">
        <f t="shared" si="1871"/>
        <v>Bijih </v>
      </c>
      <c r="JP130" s="301" t="str">
        <f t="shared" si="1871"/>
        <v>Ton </v>
      </c>
      <c r="JQ130" s="294" t="str">
        <f>ADHK!KY130</f>
        <v/>
      </c>
      <c r="JR130" s="294"/>
      <c r="JS130" s="294">
        <f t="shared" si="1697"/>
        <v>0</v>
      </c>
      <c r="JT130" s="302"/>
      <c r="JU130" s="294">
        <f t="shared" si="1698"/>
        <v>0</v>
      </c>
      <c r="JV130" s="96"/>
      <c r="JW130" s="96"/>
      <c r="JX130" s="97"/>
      <c r="JY130" s="294">
        <f t="shared" si="1699"/>
        <v>0</v>
      </c>
      <c r="JZ130" s="302">
        <f t="shared" si="1700"/>
        <v>0.4604471269</v>
      </c>
      <c r="KA130" s="303">
        <f t="shared" si="1701"/>
        <v>0</v>
      </c>
      <c r="KB130" s="304">
        <f t="shared" si="1702"/>
        <v>0</v>
      </c>
      <c r="KC130" s="297"/>
      <c r="KD130" s="299">
        <f t="shared" si="1744"/>
        <v>10</v>
      </c>
      <c r="KE130" s="300" t="str">
        <f t="shared" ref="KE130:KG130" si="1872">IFERROR(VLOOKUP($R130,$A$13:$D$30,-KE$12,FALSE),"")</f>
        <v>Lainnya 2.3 (2) ………</v>
      </c>
      <c r="KF130" s="301" t="str">
        <f t="shared" si="1872"/>
        <v>Bijih </v>
      </c>
      <c r="KG130" s="301" t="str">
        <f t="shared" si="1872"/>
        <v>Ton </v>
      </c>
      <c r="KH130" s="294" t="str">
        <f>ADHK!LP130</f>
        <v/>
      </c>
      <c r="KI130" s="294"/>
      <c r="KJ130" s="294">
        <f t="shared" si="1704"/>
        <v>0</v>
      </c>
      <c r="KK130" s="302"/>
      <c r="KL130" s="294">
        <f t="shared" si="1705"/>
        <v>0</v>
      </c>
      <c r="KM130" s="96"/>
      <c r="KN130" s="96"/>
      <c r="KO130" s="97"/>
      <c r="KP130" s="294">
        <f t="shared" si="1706"/>
        <v>0</v>
      </c>
      <c r="KQ130" s="302">
        <f t="shared" si="1707"/>
        <v>0.4604471269</v>
      </c>
      <c r="KR130" s="303">
        <f t="shared" si="1708"/>
        <v>0</v>
      </c>
      <c r="KS130" s="304">
        <f t="shared" si="1709"/>
        <v>0</v>
      </c>
      <c r="KT130" s="297"/>
      <c r="KU130" s="298"/>
    </row>
    <row r="131" ht="15.75" customHeight="1">
      <c r="A131" s="299">
        <f t="shared" si="1710"/>
        <v>11</v>
      </c>
      <c r="B131" s="300" t="str">
        <f t="shared" ref="B131:D131" si="1873">IFERROR(VLOOKUP($A131,$A$13:$D$30,-B$12,FALSE),"")</f>
        <v>Lainnya 2.3 (3) …….</v>
      </c>
      <c r="C131" s="301" t="str">
        <f t="shared" si="1873"/>
        <v/>
      </c>
      <c r="D131" s="301" t="str">
        <f t="shared" si="1873"/>
        <v/>
      </c>
      <c r="E131" s="294" t="str">
        <f>ADHK!E131</f>
        <v/>
      </c>
      <c r="F131" s="294" t="str">
        <f>ADHK!F131</f>
        <v/>
      </c>
      <c r="G131" s="294">
        <f t="shared" si="1585"/>
        <v>0</v>
      </c>
      <c r="H131" s="302"/>
      <c r="I131" s="294">
        <f t="shared" si="1586"/>
        <v>0</v>
      </c>
      <c r="J131" s="96"/>
      <c r="K131" s="96"/>
      <c r="L131" s="97"/>
      <c r="M131" s="294">
        <f t="shared" si="1587"/>
        <v>0</v>
      </c>
      <c r="N131" s="302">
        <f t="shared" si="1588"/>
        <v>0.4604471269</v>
      </c>
      <c r="O131" s="303">
        <f t="shared" si="1589"/>
        <v>0</v>
      </c>
      <c r="P131" s="304">
        <f t="shared" si="1590"/>
        <v>0</v>
      </c>
      <c r="Q131" s="297"/>
      <c r="R131" s="299">
        <f t="shared" si="1712"/>
        <v>11</v>
      </c>
      <c r="S131" s="300" t="str">
        <f t="shared" ref="S131:U131" si="1874">IFERROR(VLOOKUP($R131,$A$13:$D$30,-S$12,FALSE),"")</f>
        <v>Lainnya 2.3 (3) …….</v>
      </c>
      <c r="T131" s="301" t="str">
        <f t="shared" si="1874"/>
        <v/>
      </c>
      <c r="U131" s="301" t="str">
        <f t="shared" si="1874"/>
        <v/>
      </c>
      <c r="V131" s="294" t="str">
        <f>ADHK!V131</f>
        <v/>
      </c>
      <c r="W131" s="294"/>
      <c r="X131" s="294">
        <f t="shared" si="1592"/>
        <v>0</v>
      </c>
      <c r="Y131" s="302"/>
      <c r="Z131" s="294">
        <f t="shared" si="1593"/>
        <v>0</v>
      </c>
      <c r="AA131" s="96"/>
      <c r="AB131" s="96"/>
      <c r="AC131" s="97"/>
      <c r="AD131" s="294">
        <f t="shared" si="1594"/>
        <v>0</v>
      </c>
      <c r="AE131" s="302">
        <f t="shared" si="1595"/>
        <v>0.4604471269</v>
      </c>
      <c r="AF131" s="303">
        <f t="shared" si="1596"/>
        <v>0</v>
      </c>
      <c r="AG131" s="304">
        <f t="shared" si="1597"/>
        <v>0</v>
      </c>
      <c r="AH131" s="297"/>
      <c r="AI131" s="299">
        <f t="shared" si="1714"/>
        <v>11</v>
      </c>
      <c r="AJ131" s="300" t="str">
        <f t="shared" ref="AJ131:AL131" si="1875">IFERROR(VLOOKUP($R131,$A$13:$D$30,-AJ$12,FALSE),"")</f>
        <v>Lainnya 2.3 (3) …….</v>
      </c>
      <c r="AK131" s="301" t="str">
        <f t="shared" si="1875"/>
        <v/>
      </c>
      <c r="AL131" s="301" t="str">
        <f t="shared" si="1875"/>
        <v/>
      </c>
      <c r="AM131" s="294" t="str">
        <f>ADHK!AM131</f>
        <v/>
      </c>
      <c r="AN131" s="294"/>
      <c r="AO131" s="294">
        <f t="shared" si="1599"/>
        <v>0</v>
      </c>
      <c r="AP131" s="302"/>
      <c r="AQ131" s="294">
        <f t="shared" si="1600"/>
        <v>0</v>
      </c>
      <c r="AR131" s="96"/>
      <c r="AS131" s="96"/>
      <c r="AT131" s="97"/>
      <c r="AU131" s="294">
        <f t="shared" si="1601"/>
        <v>0</v>
      </c>
      <c r="AV131" s="302">
        <f t="shared" si="1602"/>
        <v>0.4604471269</v>
      </c>
      <c r="AW131" s="303">
        <f t="shared" si="1603"/>
        <v>0</v>
      </c>
      <c r="AX131" s="304">
        <f t="shared" si="1604"/>
        <v>0</v>
      </c>
      <c r="AY131" s="297"/>
      <c r="AZ131" s="299">
        <f t="shared" si="1716"/>
        <v>11</v>
      </c>
      <c r="BA131" s="300" t="str">
        <f t="shared" ref="BA131:BC131" si="1876">IFERROR(VLOOKUP($R131,$A$13:$D$30,-BA$12,FALSE),"")</f>
        <v>Lainnya 2.3 (3) …….</v>
      </c>
      <c r="BB131" s="301" t="str">
        <f t="shared" si="1876"/>
        <v/>
      </c>
      <c r="BC131" s="301" t="str">
        <f t="shared" si="1876"/>
        <v/>
      </c>
      <c r="BD131" s="294" t="str">
        <f>ADHK!BD131</f>
        <v/>
      </c>
      <c r="BE131" s="294"/>
      <c r="BF131" s="294">
        <f t="shared" si="1606"/>
        <v>0</v>
      </c>
      <c r="BG131" s="302"/>
      <c r="BH131" s="294">
        <f t="shared" si="1607"/>
        <v>0</v>
      </c>
      <c r="BI131" s="96"/>
      <c r="BJ131" s="96"/>
      <c r="BK131" s="97"/>
      <c r="BL131" s="294">
        <f t="shared" si="1608"/>
        <v>0</v>
      </c>
      <c r="BM131" s="302">
        <f t="shared" si="1609"/>
        <v>0.4604471269</v>
      </c>
      <c r="BN131" s="303">
        <f t="shared" si="1610"/>
        <v>0</v>
      </c>
      <c r="BO131" s="304">
        <f t="shared" si="1611"/>
        <v>0</v>
      </c>
      <c r="BP131" s="297"/>
      <c r="BQ131" s="299">
        <f t="shared" si="1718"/>
        <v>11</v>
      </c>
      <c r="BR131" s="300" t="str">
        <f t="shared" ref="BR131:BT131" si="1877">IFERROR(VLOOKUP($R131,$A$13:$D$30,-BR$12,FALSE),"")</f>
        <v>Lainnya 2.3 (3) …….</v>
      </c>
      <c r="BS131" s="301" t="str">
        <f t="shared" si="1877"/>
        <v/>
      </c>
      <c r="BT131" s="301" t="str">
        <f t="shared" si="1877"/>
        <v/>
      </c>
      <c r="BU131" s="294" t="str">
        <f>ADHK!BU131</f>
        <v/>
      </c>
      <c r="BV131" s="294"/>
      <c r="BW131" s="294">
        <f t="shared" si="1613"/>
        <v>0</v>
      </c>
      <c r="BX131" s="302"/>
      <c r="BY131" s="294">
        <f t="shared" si="1614"/>
        <v>0</v>
      </c>
      <c r="BZ131" s="96"/>
      <c r="CA131" s="96"/>
      <c r="CB131" s="97"/>
      <c r="CC131" s="294">
        <f t="shared" si="1615"/>
        <v>0</v>
      </c>
      <c r="CD131" s="302">
        <f t="shared" si="1616"/>
        <v>0.4604471269</v>
      </c>
      <c r="CE131" s="303">
        <f t="shared" si="1617"/>
        <v>0</v>
      </c>
      <c r="CF131" s="304">
        <f t="shared" si="1618"/>
        <v>0</v>
      </c>
      <c r="CG131" s="297"/>
      <c r="CH131" s="299">
        <f t="shared" si="1720"/>
        <v>11</v>
      </c>
      <c r="CI131" s="300" t="str">
        <f t="shared" ref="CI131:CK131" si="1878">IFERROR(VLOOKUP($R131,$A$13:$D$30,-CI$12,FALSE),"")</f>
        <v>Lainnya 2.3 (3) …….</v>
      </c>
      <c r="CJ131" s="301" t="str">
        <f t="shared" si="1878"/>
        <v/>
      </c>
      <c r="CK131" s="301" t="str">
        <f t="shared" si="1878"/>
        <v/>
      </c>
      <c r="CL131" s="294" t="str">
        <f>ADHK!CL131</f>
        <v/>
      </c>
      <c r="CM131" s="294"/>
      <c r="CN131" s="294">
        <f t="shared" si="1620"/>
        <v>0</v>
      </c>
      <c r="CO131" s="302"/>
      <c r="CP131" s="294">
        <f t="shared" si="1621"/>
        <v>0</v>
      </c>
      <c r="CQ131" s="96"/>
      <c r="CR131" s="96"/>
      <c r="CS131" s="97"/>
      <c r="CT131" s="294">
        <f t="shared" si="1622"/>
        <v>0</v>
      </c>
      <c r="CU131" s="302">
        <f t="shared" si="1623"/>
        <v>0.4604471269</v>
      </c>
      <c r="CV131" s="303">
        <f t="shared" si="1624"/>
        <v>0</v>
      </c>
      <c r="CW131" s="304">
        <f t="shared" si="1625"/>
        <v>0</v>
      </c>
      <c r="CX131" s="297"/>
      <c r="CY131" s="299">
        <f t="shared" si="1722"/>
        <v>11</v>
      </c>
      <c r="CZ131" s="300" t="str">
        <f t="shared" ref="CZ131:DB131" si="1879">IFERROR(VLOOKUP($R131,$A$13:$D$30,-CZ$12,FALSE),"")</f>
        <v>Lainnya 2.3 (3) …….</v>
      </c>
      <c r="DA131" s="301" t="str">
        <f t="shared" si="1879"/>
        <v/>
      </c>
      <c r="DB131" s="301" t="str">
        <f t="shared" si="1879"/>
        <v/>
      </c>
      <c r="DC131" s="294" t="str">
        <f>ADHK!DC131</f>
        <v/>
      </c>
      <c r="DD131" s="294"/>
      <c r="DE131" s="294">
        <f t="shared" si="1627"/>
        <v>0</v>
      </c>
      <c r="DF131" s="302"/>
      <c r="DG131" s="294">
        <f t="shared" si="1628"/>
        <v>0</v>
      </c>
      <c r="DH131" s="96"/>
      <c r="DI131" s="96"/>
      <c r="DJ131" s="97"/>
      <c r="DK131" s="294">
        <f t="shared" si="1629"/>
        <v>0</v>
      </c>
      <c r="DL131" s="302">
        <f t="shared" si="1630"/>
        <v>0.4604471269</v>
      </c>
      <c r="DM131" s="303">
        <f t="shared" si="1631"/>
        <v>0</v>
      </c>
      <c r="DN131" s="304">
        <f t="shared" si="1632"/>
        <v>0</v>
      </c>
      <c r="DO131" s="297"/>
      <c r="DP131" s="299">
        <f t="shared" si="1724"/>
        <v>11</v>
      </c>
      <c r="DQ131" s="300" t="str">
        <f t="shared" ref="DQ131:DS131" si="1880">IFERROR(VLOOKUP($R131,$A$13:$D$30,-DQ$12,FALSE),"")</f>
        <v>Lainnya 2.3 (3) …….</v>
      </c>
      <c r="DR131" s="301" t="str">
        <f t="shared" si="1880"/>
        <v/>
      </c>
      <c r="DS131" s="301" t="str">
        <f t="shared" si="1880"/>
        <v/>
      </c>
      <c r="DT131" s="294" t="str">
        <f>ADHK!DT131</f>
        <v/>
      </c>
      <c r="DU131" s="294"/>
      <c r="DV131" s="294">
        <f t="shared" si="1634"/>
        <v>0</v>
      </c>
      <c r="DW131" s="302"/>
      <c r="DX131" s="294">
        <f t="shared" si="1635"/>
        <v>0</v>
      </c>
      <c r="DY131" s="96"/>
      <c r="DZ131" s="96"/>
      <c r="EA131" s="97"/>
      <c r="EB131" s="294">
        <f t="shared" si="1636"/>
        <v>0</v>
      </c>
      <c r="EC131" s="302">
        <f t="shared" si="1637"/>
        <v>0.4604471269</v>
      </c>
      <c r="ED131" s="303">
        <f t="shared" si="1638"/>
        <v>0</v>
      </c>
      <c r="EE131" s="304">
        <f t="shared" si="1639"/>
        <v>0</v>
      </c>
      <c r="EF131" s="297"/>
      <c r="EG131" s="299">
        <f t="shared" si="1726"/>
        <v>11</v>
      </c>
      <c r="EH131" s="300" t="str">
        <f t="shared" ref="EH131:EJ131" si="1881">IFERROR(VLOOKUP($R131,$A$13:$D$30,-EH$12,FALSE),"")</f>
        <v>Lainnya 2.3 (3) …….</v>
      </c>
      <c r="EI131" s="301" t="str">
        <f t="shared" si="1881"/>
        <v/>
      </c>
      <c r="EJ131" s="301" t="str">
        <f t="shared" si="1881"/>
        <v/>
      </c>
      <c r="EK131" s="294" t="str">
        <f>ADHK!EK131</f>
        <v/>
      </c>
      <c r="EL131" s="294"/>
      <c r="EM131" s="294">
        <f t="shared" si="1641"/>
        <v>0</v>
      </c>
      <c r="EN131" s="302"/>
      <c r="EO131" s="294">
        <f t="shared" si="1642"/>
        <v>0</v>
      </c>
      <c r="EP131" s="96"/>
      <c r="EQ131" s="96"/>
      <c r="ER131" s="97"/>
      <c r="ES131" s="294">
        <f t="shared" si="1643"/>
        <v>0</v>
      </c>
      <c r="ET131" s="302">
        <f t="shared" si="1644"/>
        <v>0.4604471269</v>
      </c>
      <c r="EU131" s="303">
        <f t="shared" si="1645"/>
        <v>0</v>
      </c>
      <c r="EV131" s="304">
        <f t="shared" si="1646"/>
        <v>0</v>
      </c>
      <c r="EW131" s="297"/>
      <c r="EX131" s="299">
        <f t="shared" si="1728"/>
        <v>11</v>
      </c>
      <c r="EY131" s="300" t="str">
        <f t="shared" ref="EY131:FA131" si="1882">IFERROR(VLOOKUP($R131,$A$13:$D$30,-EY$12,FALSE),"")</f>
        <v>Lainnya 2.3 (3) …….</v>
      </c>
      <c r="EZ131" s="301" t="str">
        <f t="shared" si="1882"/>
        <v/>
      </c>
      <c r="FA131" s="301" t="str">
        <f t="shared" si="1882"/>
        <v/>
      </c>
      <c r="FB131" s="294" t="str">
        <f>ADHK!FB131</f>
        <v/>
      </c>
      <c r="FC131" s="294"/>
      <c r="FD131" s="294">
        <f t="shared" si="1648"/>
        <v>0</v>
      </c>
      <c r="FE131" s="302"/>
      <c r="FF131" s="294">
        <f t="shared" si="1649"/>
        <v>0</v>
      </c>
      <c r="FG131" s="96"/>
      <c r="FH131" s="96"/>
      <c r="FI131" s="97"/>
      <c r="FJ131" s="294">
        <f t="shared" si="1650"/>
        <v>0</v>
      </c>
      <c r="FK131" s="302">
        <f t="shared" si="1651"/>
        <v>0.4604471269</v>
      </c>
      <c r="FL131" s="303">
        <f t="shared" si="1652"/>
        <v>0</v>
      </c>
      <c r="FM131" s="304">
        <f t="shared" si="1653"/>
        <v>0</v>
      </c>
      <c r="FN131" s="297"/>
      <c r="FO131" s="299">
        <f t="shared" si="1730"/>
        <v>11</v>
      </c>
      <c r="FP131" s="300" t="str">
        <f t="shared" ref="FP131:FR131" si="1883">IFERROR(VLOOKUP($R131,$A$13:$D$30,-FP$12,FALSE),"")</f>
        <v>Lainnya 2.3 (3) …….</v>
      </c>
      <c r="FQ131" s="301" t="str">
        <f t="shared" si="1883"/>
        <v/>
      </c>
      <c r="FR131" s="301" t="str">
        <f t="shared" si="1883"/>
        <v/>
      </c>
      <c r="FS131" s="294" t="str">
        <f>ADHK!FS131</f>
        <v/>
      </c>
      <c r="FT131" s="294"/>
      <c r="FU131" s="294">
        <f t="shared" si="1655"/>
        <v>0</v>
      </c>
      <c r="FV131" s="302"/>
      <c r="FW131" s="294">
        <f t="shared" si="1656"/>
        <v>0</v>
      </c>
      <c r="FX131" s="96"/>
      <c r="FY131" s="96"/>
      <c r="FZ131" s="97"/>
      <c r="GA131" s="294">
        <f t="shared" si="1657"/>
        <v>0</v>
      </c>
      <c r="GB131" s="302">
        <f t="shared" si="1658"/>
        <v>0.4604471269</v>
      </c>
      <c r="GC131" s="303">
        <f t="shared" si="1659"/>
        <v>0</v>
      </c>
      <c r="GD131" s="304">
        <f t="shared" si="1660"/>
        <v>0</v>
      </c>
      <c r="GE131" s="297"/>
      <c r="GF131" s="299">
        <f t="shared" si="1732"/>
        <v>11</v>
      </c>
      <c r="GG131" s="300" t="str">
        <f t="shared" ref="GG131:GI131" si="1884">IFERROR(VLOOKUP($R131,$A$13:$D$30,-GG$12,FALSE),"")</f>
        <v>Lainnya 2.3 (3) …….</v>
      </c>
      <c r="GH131" s="301" t="str">
        <f t="shared" si="1884"/>
        <v/>
      </c>
      <c r="GI131" s="301" t="str">
        <f t="shared" si="1884"/>
        <v/>
      </c>
      <c r="GJ131" s="294" t="str">
        <f>ADHK!GJ131</f>
        <v/>
      </c>
      <c r="GK131" s="294"/>
      <c r="GL131" s="294">
        <f t="shared" si="1662"/>
        <v>0</v>
      </c>
      <c r="GM131" s="302"/>
      <c r="GN131" s="294">
        <f t="shared" si="1663"/>
        <v>0</v>
      </c>
      <c r="GO131" s="96"/>
      <c r="GP131" s="96"/>
      <c r="GQ131" s="97"/>
      <c r="GR131" s="294">
        <f t="shared" si="1664"/>
        <v>0</v>
      </c>
      <c r="GS131" s="302">
        <f t="shared" si="1665"/>
        <v>0.4604471269</v>
      </c>
      <c r="GT131" s="303">
        <f t="shared" si="1666"/>
        <v>0</v>
      </c>
      <c r="GU131" s="304">
        <f t="shared" si="1667"/>
        <v>0</v>
      </c>
      <c r="GV131" s="297"/>
      <c r="GW131" s="299">
        <f t="shared" si="1734"/>
        <v>11</v>
      </c>
      <c r="GX131" s="300" t="str">
        <f t="shared" ref="GX131:GZ131" si="1885">IFERROR(VLOOKUP($R131,$A$13:$D$30,-GX$12,FALSE),"")</f>
        <v>Lainnya 2.3 (3) …….</v>
      </c>
      <c r="GY131" s="301" t="str">
        <f t="shared" si="1885"/>
        <v/>
      </c>
      <c r="GZ131" s="301" t="str">
        <f t="shared" si="1885"/>
        <v/>
      </c>
      <c r="HA131" s="294" t="str">
        <f>ADHK!HA131</f>
        <v/>
      </c>
      <c r="HB131" s="294"/>
      <c r="HC131" s="294">
        <f t="shared" si="1669"/>
        <v>0</v>
      </c>
      <c r="HD131" s="302"/>
      <c r="HE131" s="294">
        <f t="shared" si="1670"/>
        <v>0</v>
      </c>
      <c r="HF131" s="96"/>
      <c r="HG131" s="96"/>
      <c r="HH131" s="97"/>
      <c r="HI131" s="294">
        <f t="shared" si="1671"/>
        <v>0</v>
      </c>
      <c r="HJ131" s="302">
        <f t="shared" si="1672"/>
        <v>0.4604471269</v>
      </c>
      <c r="HK131" s="303">
        <f t="shared" si="1673"/>
        <v>0</v>
      </c>
      <c r="HL131" s="304">
        <f t="shared" si="1674"/>
        <v>0</v>
      </c>
      <c r="HM131" s="297"/>
      <c r="HN131" s="299">
        <f t="shared" si="1736"/>
        <v>11</v>
      </c>
      <c r="HO131" s="300" t="str">
        <f t="shared" ref="HO131:HQ131" si="1886">IFERROR(VLOOKUP($R131,$A$13:$D$30,-HO$12,FALSE),"")</f>
        <v>Lainnya 2.3 (3) …….</v>
      </c>
      <c r="HP131" s="301" t="str">
        <f t="shared" si="1886"/>
        <v/>
      </c>
      <c r="HQ131" s="301" t="str">
        <f t="shared" si="1886"/>
        <v/>
      </c>
      <c r="HR131" s="294"/>
      <c r="HS131" s="294"/>
      <c r="HT131" s="294">
        <f t="shared" si="1676"/>
        <v>0</v>
      </c>
      <c r="HU131" s="302"/>
      <c r="HV131" s="294">
        <f t="shared" si="1677"/>
        <v>0</v>
      </c>
      <c r="HW131" s="96"/>
      <c r="HX131" s="96"/>
      <c r="HY131" s="97"/>
      <c r="HZ131" s="294">
        <f t="shared" si="1678"/>
        <v>0</v>
      </c>
      <c r="IA131" s="302">
        <f t="shared" si="1679"/>
        <v>0.4604471269</v>
      </c>
      <c r="IB131" s="303">
        <f t="shared" si="1680"/>
        <v>0</v>
      </c>
      <c r="IC131" s="304">
        <f t="shared" si="1681"/>
        <v>0</v>
      </c>
      <c r="ID131" s="297"/>
      <c r="IE131" s="299">
        <f t="shared" si="1738"/>
        <v>11</v>
      </c>
      <c r="IF131" s="300" t="str">
        <f t="shared" ref="IF131:IH131" si="1887">IFERROR(VLOOKUP($R131,$A$13:$D$30,-IF$12,FALSE),"")</f>
        <v>Lainnya 2.3 (3) …….</v>
      </c>
      <c r="IG131" s="301" t="str">
        <f t="shared" si="1887"/>
        <v/>
      </c>
      <c r="IH131" s="301" t="str">
        <f t="shared" si="1887"/>
        <v/>
      </c>
      <c r="II131" s="294" t="str">
        <f>ADHK!II131</f>
        <v/>
      </c>
      <c r="IJ131" s="294"/>
      <c r="IK131" s="294">
        <f t="shared" si="1683"/>
        <v>0</v>
      </c>
      <c r="IL131" s="302"/>
      <c r="IM131" s="294">
        <f t="shared" si="1684"/>
        <v>0</v>
      </c>
      <c r="IN131" s="96"/>
      <c r="IO131" s="96"/>
      <c r="IP131" s="97"/>
      <c r="IQ131" s="294">
        <f t="shared" si="1685"/>
        <v>0</v>
      </c>
      <c r="IR131" s="302">
        <f t="shared" si="1686"/>
        <v>0.4604471269</v>
      </c>
      <c r="IS131" s="303">
        <f t="shared" si="1687"/>
        <v>0</v>
      </c>
      <c r="IT131" s="304">
        <f t="shared" si="1688"/>
        <v>0</v>
      </c>
      <c r="IU131" s="297"/>
      <c r="IV131" s="299">
        <f t="shared" si="1740"/>
        <v>11</v>
      </c>
      <c r="IW131" s="300" t="str">
        <f t="shared" ref="IW131:IY131" si="1888">IFERROR(VLOOKUP($R131,$A$13:$D$30,-IW$12,FALSE),"")</f>
        <v>Lainnya 2.3 (3) …….</v>
      </c>
      <c r="IX131" s="301" t="str">
        <f t="shared" si="1888"/>
        <v/>
      </c>
      <c r="IY131" s="301" t="str">
        <f t="shared" si="1888"/>
        <v/>
      </c>
      <c r="IZ131" s="294" t="str">
        <f>ADHK!IZ131</f>
        <v/>
      </c>
      <c r="JA131" s="294"/>
      <c r="JB131" s="294">
        <f t="shared" si="1690"/>
        <v>0</v>
      </c>
      <c r="JC131" s="302"/>
      <c r="JD131" s="294">
        <f t="shared" si="1691"/>
        <v>0</v>
      </c>
      <c r="JE131" s="96"/>
      <c r="JF131" s="96"/>
      <c r="JG131" s="97"/>
      <c r="JH131" s="294">
        <f t="shared" si="1692"/>
        <v>0</v>
      </c>
      <c r="JI131" s="302">
        <f t="shared" si="1693"/>
        <v>0.4604471269</v>
      </c>
      <c r="JJ131" s="303">
        <f t="shared" si="1694"/>
        <v>0</v>
      </c>
      <c r="JK131" s="304">
        <f t="shared" si="1695"/>
        <v>0</v>
      </c>
      <c r="JL131" s="297"/>
      <c r="JM131" s="299">
        <f t="shared" si="1742"/>
        <v>11</v>
      </c>
      <c r="JN131" s="300" t="str">
        <f t="shared" ref="JN131:JP131" si="1889">IFERROR(VLOOKUP($R131,$A$13:$D$30,-JN$12,FALSE),"")</f>
        <v>Lainnya 2.3 (3) …….</v>
      </c>
      <c r="JO131" s="301" t="str">
        <f t="shared" si="1889"/>
        <v/>
      </c>
      <c r="JP131" s="301" t="str">
        <f t="shared" si="1889"/>
        <v/>
      </c>
      <c r="JQ131" s="294" t="str">
        <f>ADHK!KY131</f>
        <v/>
      </c>
      <c r="JR131" s="294"/>
      <c r="JS131" s="294">
        <f t="shared" si="1697"/>
        <v>0</v>
      </c>
      <c r="JT131" s="302"/>
      <c r="JU131" s="294">
        <f t="shared" si="1698"/>
        <v>0</v>
      </c>
      <c r="JV131" s="96"/>
      <c r="JW131" s="96"/>
      <c r="JX131" s="97"/>
      <c r="JY131" s="294">
        <f t="shared" si="1699"/>
        <v>0</v>
      </c>
      <c r="JZ131" s="302">
        <f t="shared" si="1700"/>
        <v>0.4604471269</v>
      </c>
      <c r="KA131" s="303">
        <f t="shared" si="1701"/>
        <v>0</v>
      </c>
      <c r="KB131" s="304">
        <f t="shared" si="1702"/>
        <v>0</v>
      </c>
      <c r="KC131" s="297"/>
      <c r="KD131" s="299">
        <f t="shared" si="1744"/>
        <v>11</v>
      </c>
      <c r="KE131" s="300" t="str">
        <f t="shared" ref="KE131:KG131" si="1890">IFERROR(VLOOKUP($R131,$A$13:$D$30,-KE$12,FALSE),"")</f>
        <v>Lainnya 2.3 (3) …….</v>
      </c>
      <c r="KF131" s="301" t="str">
        <f t="shared" si="1890"/>
        <v/>
      </c>
      <c r="KG131" s="301" t="str">
        <f t="shared" si="1890"/>
        <v/>
      </c>
      <c r="KH131" s="294" t="str">
        <f>ADHK!LP131</f>
        <v/>
      </c>
      <c r="KI131" s="294"/>
      <c r="KJ131" s="294">
        <f t="shared" si="1704"/>
        <v>0</v>
      </c>
      <c r="KK131" s="302"/>
      <c r="KL131" s="294">
        <f t="shared" si="1705"/>
        <v>0</v>
      </c>
      <c r="KM131" s="96"/>
      <c r="KN131" s="96"/>
      <c r="KO131" s="97"/>
      <c r="KP131" s="294">
        <f t="shared" si="1706"/>
        <v>0</v>
      </c>
      <c r="KQ131" s="302">
        <f t="shared" si="1707"/>
        <v>0.4604471269</v>
      </c>
      <c r="KR131" s="303">
        <f t="shared" si="1708"/>
        <v>0</v>
      </c>
      <c r="KS131" s="304">
        <f t="shared" si="1709"/>
        <v>0</v>
      </c>
      <c r="KT131" s="297"/>
      <c r="KU131" s="298"/>
    </row>
    <row r="132" ht="15.75" customHeight="1">
      <c r="A132" s="299">
        <f t="shared" si="1710"/>
        <v>12</v>
      </c>
      <c r="B132" s="300" t="str">
        <f t="shared" ref="B132:D132" si="1891">IFERROR(VLOOKUP($A132,$A$13:$D$30,-B$12,FALSE),"")</f>
        <v>Lainnya 2.3 (4) …….</v>
      </c>
      <c r="C132" s="301" t="str">
        <f t="shared" si="1891"/>
        <v/>
      </c>
      <c r="D132" s="301" t="str">
        <f t="shared" si="1891"/>
        <v/>
      </c>
      <c r="E132" s="294" t="str">
        <f>ADHK!E132</f>
        <v/>
      </c>
      <c r="F132" s="294" t="str">
        <f>ADHK!F132</f>
        <v/>
      </c>
      <c r="G132" s="294">
        <f t="shared" si="1585"/>
        <v>0</v>
      </c>
      <c r="H132" s="302"/>
      <c r="I132" s="294">
        <f t="shared" si="1586"/>
        <v>0</v>
      </c>
      <c r="J132" s="96"/>
      <c r="K132" s="96"/>
      <c r="L132" s="97"/>
      <c r="M132" s="294">
        <f t="shared" si="1587"/>
        <v>0</v>
      </c>
      <c r="N132" s="302">
        <f t="shared" si="1588"/>
        <v>0.4604471269</v>
      </c>
      <c r="O132" s="303">
        <f t="shared" si="1589"/>
        <v>0</v>
      </c>
      <c r="P132" s="304">
        <f t="shared" si="1590"/>
        <v>0</v>
      </c>
      <c r="Q132" s="297"/>
      <c r="R132" s="299">
        <f t="shared" si="1712"/>
        <v>12</v>
      </c>
      <c r="S132" s="300" t="str">
        <f t="shared" ref="S132:U132" si="1892">IFERROR(VLOOKUP($R132,$A$13:$D$30,-S$12,FALSE),"")</f>
        <v>Lainnya 2.3 (4) …….</v>
      </c>
      <c r="T132" s="301" t="str">
        <f t="shared" si="1892"/>
        <v/>
      </c>
      <c r="U132" s="301" t="str">
        <f t="shared" si="1892"/>
        <v/>
      </c>
      <c r="V132" s="294" t="str">
        <f>ADHK!V132</f>
        <v/>
      </c>
      <c r="W132" s="294"/>
      <c r="X132" s="294">
        <f t="shared" si="1592"/>
        <v>0</v>
      </c>
      <c r="Y132" s="302"/>
      <c r="Z132" s="294">
        <f t="shared" si="1593"/>
        <v>0</v>
      </c>
      <c r="AA132" s="96"/>
      <c r="AB132" s="96"/>
      <c r="AC132" s="97"/>
      <c r="AD132" s="294">
        <f t="shared" si="1594"/>
        <v>0</v>
      </c>
      <c r="AE132" s="302">
        <f t="shared" si="1595"/>
        <v>0.4604471269</v>
      </c>
      <c r="AF132" s="303">
        <f t="shared" si="1596"/>
        <v>0</v>
      </c>
      <c r="AG132" s="304">
        <f t="shared" si="1597"/>
        <v>0</v>
      </c>
      <c r="AH132" s="297"/>
      <c r="AI132" s="299">
        <f t="shared" si="1714"/>
        <v>12</v>
      </c>
      <c r="AJ132" s="300" t="str">
        <f t="shared" ref="AJ132:AL132" si="1893">IFERROR(VLOOKUP($R132,$A$13:$D$30,-AJ$12,FALSE),"")</f>
        <v>Lainnya 2.3 (4) …….</v>
      </c>
      <c r="AK132" s="301" t="str">
        <f t="shared" si="1893"/>
        <v/>
      </c>
      <c r="AL132" s="301" t="str">
        <f t="shared" si="1893"/>
        <v/>
      </c>
      <c r="AM132" s="294" t="str">
        <f>ADHK!AM132</f>
        <v/>
      </c>
      <c r="AN132" s="294"/>
      <c r="AO132" s="294">
        <f t="shared" si="1599"/>
        <v>0</v>
      </c>
      <c r="AP132" s="302"/>
      <c r="AQ132" s="294">
        <f t="shared" si="1600"/>
        <v>0</v>
      </c>
      <c r="AR132" s="96"/>
      <c r="AS132" s="96"/>
      <c r="AT132" s="97"/>
      <c r="AU132" s="294">
        <f t="shared" si="1601"/>
        <v>0</v>
      </c>
      <c r="AV132" s="302">
        <f t="shared" si="1602"/>
        <v>0.4604471269</v>
      </c>
      <c r="AW132" s="303">
        <f t="shared" si="1603"/>
        <v>0</v>
      </c>
      <c r="AX132" s="304">
        <f t="shared" si="1604"/>
        <v>0</v>
      </c>
      <c r="AY132" s="297"/>
      <c r="AZ132" s="299">
        <f t="shared" si="1716"/>
        <v>12</v>
      </c>
      <c r="BA132" s="300" t="str">
        <f t="shared" ref="BA132:BC132" si="1894">IFERROR(VLOOKUP($R132,$A$13:$D$30,-BA$12,FALSE),"")</f>
        <v>Lainnya 2.3 (4) …….</v>
      </c>
      <c r="BB132" s="301" t="str">
        <f t="shared" si="1894"/>
        <v/>
      </c>
      <c r="BC132" s="301" t="str">
        <f t="shared" si="1894"/>
        <v/>
      </c>
      <c r="BD132" s="294" t="str">
        <f>ADHK!BD132</f>
        <v/>
      </c>
      <c r="BE132" s="294"/>
      <c r="BF132" s="294">
        <f t="shared" si="1606"/>
        <v>0</v>
      </c>
      <c r="BG132" s="302"/>
      <c r="BH132" s="294">
        <f t="shared" si="1607"/>
        <v>0</v>
      </c>
      <c r="BI132" s="96"/>
      <c r="BJ132" s="96"/>
      <c r="BK132" s="97"/>
      <c r="BL132" s="294">
        <f t="shared" si="1608"/>
        <v>0</v>
      </c>
      <c r="BM132" s="302">
        <f t="shared" si="1609"/>
        <v>0.4604471269</v>
      </c>
      <c r="BN132" s="303">
        <f t="shared" si="1610"/>
        <v>0</v>
      </c>
      <c r="BO132" s="304">
        <f t="shared" si="1611"/>
        <v>0</v>
      </c>
      <c r="BP132" s="297"/>
      <c r="BQ132" s="299">
        <f t="shared" si="1718"/>
        <v>12</v>
      </c>
      <c r="BR132" s="300" t="str">
        <f t="shared" ref="BR132:BT132" si="1895">IFERROR(VLOOKUP($R132,$A$13:$D$30,-BR$12,FALSE),"")</f>
        <v>Lainnya 2.3 (4) …….</v>
      </c>
      <c r="BS132" s="301" t="str">
        <f t="shared" si="1895"/>
        <v/>
      </c>
      <c r="BT132" s="301" t="str">
        <f t="shared" si="1895"/>
        <v/>
      </c>
      <c r="BU132" s="294" t="str">
        <f>ADHK!BU132</f>
        <v/>
      </c>
      <c r="BV132" s="294"/>
      <c r="BW132" s="294">
        <f t="shared" si="1613"/>
        <v>0</v>
      </c>
      <c r="BX132" s="302"/>
      <c r="BY132" s="294">
        <f t="shared" si="1614"/>
        <v>0</v>
      </c>
      <c r="BZ132" s="96"/>
      <c r="CA132" s="96"/>
      <c r="CB132" s="97"/>
      <c r="CC132" s="294">
        <f t="shared" si="1615"/>
        <v>0</v>
      </c>
      <c r="CD132" s="302">
        <f t="shared" si="1616"/>
        <v>0.4604471269</v>
      </c>
      <c r="CE132" s="303">
        <f t="shared" si="1617"/>
        <v>0</v>
      </c>
      <c r="CF132" s="304">
        <f t="shared" si="1618"/>
        <v>0</v>
      </c>
      <c r="CG132" s="297"/>
      <c r="CH132" s="299">
        <f t="shared" si="1720"/>
        <v>12</v>
      </c>
      <c r="CI132" s="300" t="str">
        <f t="shared" ref="CI132:CK132" si="1896">IFERROR(VLOOKUP($R132,$A$13:$D$30,-CI$12,FALSE),"")</f>
        <v>Lainnya 2.3 (4) …….</v>
      </c>
      <c r="CJ132" s="301" t="str">
        <f t="shared" si="1896"/>
        <v/>
      </c>
      <c r="CK132" s="301" t="str">
        <f t="shared" si="1896"/>
        <v/>
      </c>
      <c r="CL132" s="294" t="str">
        <f>ADHK!CL132</f>
        <v/>
      </c>
      <c r="CM132" s="294"/>
      <c r="CN132" s="294">
        <f t="shared" si="1620"/>
        <v>0</v>
      </c>
      <c r="CO132" s="302"/>
      <c r="CP132" s="294">
        <f t="shared" si="1621"/>
        <v>0</v>
      </c>
      <c r="CQ132" s="96"/>
      <c r="CR132" s="96"/>
      <c r="CS132" s="97"/>
      <c r="CT132" s="294">
        <f t="shared" si="1622"/>
        <v>0</v>
      </c>
      <c r="CU132" s="302">
        <f t="shared" si="1623"/>
        <v>0.4604471269</v>
      </c>
      <c r="CV132" s="303">
        <f t="shared" si="1624"/>
        <v>0</v>
      </c>
      <c r="CW132" s="304">
        <f t="shared" si="1625"/>
        <v>0</v>
      </c>
      <c r="CX132" s="297"/>
      <c r="CY132" s="299">
        <f t="shared" si="1722"/>
        <v>12</v>
      </c>
      <c r="CZ132" s="300" t="str">
        <f t="shared" ref="CZ132:DB132" si="1897">IFERROR(VLOOKUP($R132,$A$13:$D$30,-CZ$12,FALSE),"")</f>
        <v>Lainnya 2.3 (4) …….</v>
      </c>
      <c r="DA132" s="301" t="str">
        <f t="shared" si="1897"/>
        <v/>
      </c>
      <c r="DB132" s="301" t="str">
        <f t="shared" si="1897"/>
        <v/>
      </c>
      <c r="DC132" s="294" t="str">
        <f>ADHK!DC132</f>
        <v/>
      </c>
      <c r="DD132" s="294"/>
      <c r="DE132" s="294">
        <f t="shared" si="1627"/>
        <v>0</v>
      </c>
      <c r="DF132" s="302"/>
      <c r="DG132" s="294">
        <f t="shared" si="1628"/>
        <v>0</v>
      </c>
      <c r="DH132" s="96"/>
      <c r="DI132" s="96"/>
      <c r="DJ132" s="97"/>
      <c r="DK132" s="294">
        <f t="shared" si="1629"/>
        <v>0</v>
      </c>
      <c r="DL132" s="302">
        <f t="shared" si="1630"/>
        <v>0.4604471269</v>
      </c>
      <c r="DM132" s="303">
        <f t="shared" si="1631"/>
        <v>0</v>
      </c>
      <c r="DN132" s="304">
        <f t="shared" si="1632"/>
        <v>0</v>
      </c>
      <c r="DO132" s="297"/>
      <c r="DP132" s="299">
        <f t="shared" si="1724"/>
        <v>12</v>
      </c>
      <c r="DQ132" s="300" t="str">
        <f t="shared" ref="DQ132:DS132" si="1898">IFERROR(VLOOKUP($R132,$A$13:$D$30,-DQ$12,FALSE),"")</f>
        <v>Lainnya 2.3 (4) …….</v>
      </c>
      <c r="DR132" s="301" t="str">
        <f t="shared" si="1898"/>
        <v/>
      </c>
      <c r="DS132" s="301" t="str">
        <f t="shared" si="1898"/>
        <v/>
      </c>
      <c r="DT132" s="294" t="str">
        <f>ADHK!DT132</f>
        <v/>
      </c>
      <c r="DU132" s="294"/>
      <c r="DV132" s="294">
        <f t="shared" si="1634"/>
        <v>0</v>
      </c>
      <c r="DW132" s="302"/>
      <c r="DX132" s="294">
        <f t="shared" si="1635"/>
        <v>0</v>
      </c>
      <c r="DY132" s="96"/>
      <c r="DZ132" s="96"/>
      <c r="EA132" s="97"/>
      <c r="EB132" s="294">
        <f t="shared" si="1636"/>
        <v>0</v>
      </c>
      <c r="EC132" s="302">
        <f t="shared" si="1637"/>
        <v>0.4604471269</v>
      </c>
      <c r="ED132" s="303">
        <f t="shared" si="1638"/>
        <v>0</v>
      </c>
      <c r="EE132" s="304">
        <f t="shared" si="1639"/>
        <v>0</v>
      </c>
      <c r="EF132" s="297"/>
      <c r="EG132" s="299">
        <f t="shared" si="1726"/>
        <v>12</v>
      </c>
      <c r="EH132" s="300" t="str">
        <f t="shared" ref="EH132:EJ132" si="1899">IFERROR(VLOOKUP($R132,$A$13:$D$30,-EH$12,FALSE),"")</f>
        <v>Lainnya 2.3 (4) …….</v>
      </c>
      <c r="EI132" s="301" t="str">
        <f t="shared" si="1899"/>
        <v/>
      </c>
      <c r="EJ132" s="301" t="str">
        <f t="shared" si="1899"/>
        <v/>
      </c>
      <c r="EK132" s="294" t="str">
        <f>ADHK!EK132</f>
        <v/>
      </c>
      <c r="EL132" s="294"/>
      <c r="EM132" s="294">
        <f t="shared" si="1641"/>
        <v>0</v>
      </c>
      <c r="EN132" s="302"/>
      <c r="EO132" s="294">
        <f t="shared" si="1642"/>
        <v>0</v>
      </c>
      <c r="EP132" s="96"/>
      <c r="EQ132" s="96"/>
      <c r="ER132" s="97"/>
      <c r="ES132" s="294">
        <f t="shared" si="1643"/>
        <v>0</v>
      </c>
      <c r="ET132" s="302">
        <f t="shared" si="1644"/>
        <v>0.4604471269</v>
      </c>
      <c r="EU132" s="303">
        <f t="shared" si="1645"/>
        <v>0</v>
      </c>
      <c r="EV132" s="304">
        <f t="shared" si="1646"/>
        <v>0</v>
      </c>
      <c r="EW132" s="297"/>
      <c r="EX132" s="299">
        <f t="shared" si="1728"/>
        <v>12</v>
      </c>
      <c r="EY132" s="300" t="str">
        <f t="shared" ref="EY132:FA132" si="1900">IFERROR(VLOOKUP($R132,$A$13:$D$30,-EY$12,FALSE),"")</f>
        <v>Lainnya 2.3 (4) …….</v>
      </c>
      <c r="EZ132" s="301" t="str">
        <f t="shared" si="1900"/>
        <v/>
      </c>
      <c r="FA132" s="301" t="str">
        <f t="shared" si="1900"/>
        <v/>
      </c>
      <c r="FB132" s="294" t="str">
        <f>ADHK!FB132</f>
        <v/>
      </c>
      <c r="FC132" s="294"/>
      <c r="FD132" s="294">
        <f t="shared" si="1648"/>
        <v>0</v>
      </c>
      <c r="FE132" s="302"/>
      <c r="FF132" s="294">
        <f t="shared" si="1649"/>
        <v>0</v>
      </c>
      <c r="FG132" s="96"/>
      <c r="FH132" s="96"/>
      <c r="FI132" s="97"/>
      <c r="FJ132" s="294">
        <f t="shared" si="1650"/>
        <v>0</v>
      </c>
      <c r="FK132" s="302">
        <f t="shared" si="1651"/>
        <v>0.4604471269</v>
      </c>
      <c r="FL132" s="303">
        <f t="shared" si="1652"/>
        <v>0</v>
      </c>
      <c r="FM132" s="304">
        <f t="shared" si="1653"/>
        <v>0</v>
      </c>
      <c r="FN132" s="297"/>
      <c r="FO132" s="299">
        <f t="shared" si="1730"/>
        <v>12</v>
      </c>
      <c r="FP132" s="300" t="str">
        <f t="shared" ref="FP132:FR132" si="1901">IFERROR(VLOOKUP($R132,$A$13:$D$30,-FP$12,FALSE),"")</f>
        <v>Lainnya 2.3 (4) …….</v>
      </c>
      <c r="FQ132" s="301" t="str">
        <f t="shared" si="1901"/>
        <v/>
      </c>
      <c r="FR132" s="301" t="str">
        <f t="shared" si="1901"/>
        <v/>
      </c>
      <c r="FS132" s="294" t="str">
        <f>ADHK!FS132</f>
        <v/>
      </c>
      <c r="FT132" s="294"/>
      <c r="FU132" s="294">
        <f t="shared" si="1655"/>
        <v>0</v>
      </c>
      <c r="FV132" s="302"/>
      <c r="FW132" s="294">
        <f t="shared" si="1656"/>
        <v>0</v>
      </c>
      <c r="FX132" s="96"/>
      <c r="FY132" s="96"/>
      <c r="FZ132" s="97"/>
      <c r="GA132" s="294">
        <f t="shared" si="1657"/>
        <v>0</v>
      </c>
      <c r="GB132" s="302">
        <f t="shared" si="1658"/>
        <v>0.4604471269</v>
      </c>
      <c r="GC132" s="303">
        <f t="shared" si="1659"/>
        <v>0</v>
      </c>
      <c r="GD132" s="304">
        <f t="shared" si="1660"/>
        <v>0</v>
      </c>
      <c r="GE132" s="297"/>
      <c r="GF132" s="299">
        <f t="shared" si="1732"/>
        <v>12</v>
      </c>
      <c r="GG132" s="300" t="str">
        <f t="shared" ref="GG132:GI132" si="1902">IFERROR(VLOOKUP($R132,$A$13:$D$30,-GG$12,FALSE),"")</f>
        <v>Lainnya 2.3 (4) …….</v>
      </c>
      <c r="GH132" s="301" t="str">
        <f t="shared" si="1902"/>
        <v/>
      </c>
      <c r="GI132" s="301" t="str">
        <f t="shared" si="1902"/>
        <v/>
      </c>
      <c r="GJ132" s="294" t="str">
        <f>ADHK!GJ132</f>
        <v/>
      </c>
      <c r="GK132" s="294"/>
      <c r="GL132" s="294">
        <f t="shared" si="1662"/>
        <v>0</v>
      </c>
      <c r="GM132" s="302"/>
      <c r="GN132" s="294">
        <f t="shared" si="1663"/>
        <v>0</v>
      </c>
      <c r="GO132" s="96"/>
      <c r="GP132" s="96"/>
      <c r="GQ132" s="97"/>
      <c r="GR132" s="294">
        <f t="shared" si="1664"/>
        <v>0</v>
      </c>
      <c r="GS132" s="302">
        <f t="shared" si="1665"/>
        <v>0.4604471269</v>
      </c>
      <c r="GT132" s="303">
        <f t="shared" si="1666"/>
        <v>0</v>
      </c>
      <c r="GU132" s="304">
        <f t="shared" si="1667"/>
        <v>0</v>
      </c>
      <c r="GV132" s="297"/>
      <c r="GW132" s="299">
        <f t="shared" si="1734"/>
        <v>12</v>
      </c>
      <c r="GX132" s="300" t="str">
        <f t="shared" ref="GX132:GZ132" si="1903">IFERROR(VLOOKUP($R132,$A$13:$D$30,-GX$12,FALSE),"")</f>
        <v>Lainnya 2.3 (4) …….</v>
      </c>
      <c r="GY132" s="301" t="str">
        <f t="shared" si="1903"/>
        <v/>
      </c>
      <c r="GZ132" s="301" t="str">
        <f t="shared" si="1903"/>
        <v/>
      </c>
      <c r="HA132" s="294"/>
      <c r="HB132" s="294"/>
      <c r="HC132" s="294">
        <f t="shared" si="1669"/>
        <v>0</v>
      </c>
      <c r="HD132" s="302"/>
      <c r="HE132" s="294">
        <f t="shared" si="1670"/>
        <v>0</v>
      </c>
      <c r="HF132" s="96"/>
      <c r="HG132" s="96"/>
      <c r="HH132" s="97"/>
      <c r="HI132" s="294">
        <f t="shared" si="1671"/>
        <v>0</v>
      </c>
      <c r="HJ132" s="302">
        <f t="shared" si="1672"/>
        <v>0.4604471269</v>
      </c>
      <c r="HK132" s="303">
        <f t="shared" si="1673"/>
        <v>0</v>
      </c>
      <c r="HL132" s="304">
        <f t="shared" si="1674"/>
        <v>0</v>
      </c>
      <c r="HM132" s="297"/>
      <c r="HN132" s="299">
        <f t="shared" si="1736"/>
        <v>12</v>
      </c>
      <c r="HO132" s="300" t="str">
        <f t="shared" ref="HO132:HQ132" si="1904">IFERROR(VLOOKUP($R132,$A$13:$D$30,-HO$12,FALSE),"")</f>
        <v>Lainnya 2.3 (4) …….</v>
      </c>
      <c r="HP132" s="301" t="str">
        <f t="shared" si="1904"/>
        <v/>
      </c>
      <c r="HQ132" s="301" t="str">
        <f t="shared" si="1904"/>
        <v/>
      </c>
      <c r="HR132" s="294"/>
      <c r="HS132" s="294"/>
      <c r="HT132" s="294">
        <f t="shared" si="1676"/>
        <v>0</v>
      </c>
      <c r="HU132" s="302"/>
      <c r="HV132" s="294">
        <f t="shared" si="1677"/>
        <v>0</v>
      </c>
      <c r="HW132" s="96"/>
      <c r="HX132" s="96"/>
      <c r="HY132" s="97"/>
      <c r="HZ132" s="294">
        <f t="shared" si="1678"/>
        <v>0</v>
      </c>
      <c r="IA132" s="302">
        <f t="shared" si="1679"/>
        <v>0.4604471269</v>
      </c>
      <c r="IB132" s="303">
        <f t="shared" si="1680"/>
        <v>0</v>
      </c>
      <c r="IC132" s="304">
        <f t="shared" si="1681"/>
        <v>0</v>
      </c>
      <c r="ID132" s="297"/>
      <c r="IE132" s="299">
        <f t="shared" si="1738"/>
        <v>12</v>
      </c>
      <c r="IF132" s="300" t="str">
        <f t="shared" ref="IF132:IH132" si="1905">IFERROR(VLOOKUP($R132,$A$13:$D$30,-IF$12,FALSE),"")</f>
        <v>Lainnya 2.3 (4) …….</v>
      </c>
      <c r="IG132" s="301" t="str">
        <f t="shared" si="1905"/>
        <v/>
      </c>
      <c r="IH132" s="301" t="str">
        <f t="shared" si="1905"/>
        <v/>
      </c>
      <c r="II132" s="294" t="str">
        <f>ADHK!II132</f>
        <v/>
      </c>
      <c r="IJ132" s="294"/>
      <c r="IK132" s="294">
        <f t="shared" si="1683"/>
        <v>0</v>
      </c>
      <c r="IL132" s="302"/>
      <c r="IM132" s="294">
        <f t="shared" si="1684"/>
        <v>0</v>
      </c>
      <c r="IN132" s="96"/>
      <c r="IO132" s="96"/>
      <c r="IP132" s="97"/>
      <c r="IQ132" s="294">
        <f t="shared" si="1685"/>
        <v>0</v>
      </c>
      <c r="IR132" s="302">
        <f t="shared" si="1686"/>
        <v>0.4604471269</v>
      </c>
      <c r="IS132" s="303">
        <f t="shared" si="1687"/>
        <v>0</v>
      </c>
      <c r="IT132" s="304">
        <f t="shared" si="1688"/>
        <v>0</v>
      </c>
      <c r="IU132" s="297"/>
      <c r="IV132" s="299">
        <f t="shared" si="1740"/>
        <v>12</v>
      </c>
      <c r="IW132" s="300" t="str">
        <f t="shared" ref="IW132:IY132" si="1906">IFERROR(VLOOKUP($R132,$A$13:$D$30,-IW$12,FALSE),"")</f>
        <v>Lainnya 2.3 (4) …….</v>
      </c>
      <c r="IX132" s="301" t="str">
        <f t="shared" si="1906"/>
        <v/>
      </c>
      <c r="IY132" s="301" t="str">
        <f t="shared" si="1906"/>
        <v/>
      </c>
      <c r="IZ132" s="294" t="str">
        <f>ADHK!IZ132</f>
        <v/>
      </c>
      <c r="JA132" s="294"/>
      <c r="JB132" s="294">
        <f t="shared" si="1690"/>
        <v>0</v>
      </c>
      <c r="JC132" s="302"/>
      <c r="JD132" s="294">
        <f t="shared" si="1691"/>
        <v>0</v>
      </c>
      <c r="JE132" s="96"/>
      <c r="JF132" s="96"/>
      <c r="JG132" s="97"/>
      <c r="JH132" s="294">
        <f t="shared" si="1692"/>
        <v>0</v>
      </c>
      <c r="JI132" s="302">
        <f t="shared" si="1693"/>
        <v>0.4604471269</v>
      </c>
      <c r="JJ132" s="303">
        <f t="shared" si="1694"/>
        <v>0</v>
      </c>
      <c r="JK132" s="304">
        <f t="shared" si="1695"/>
        <v>0</v>
      </c>
      <c r="JL132" s="297"/>
      <c r="JM132" s="299">
        <f t="shared" si="1742"/>
        <v>12</v>
      </c>
      <c r="JN132" s="300" t="str">
        <f t="shared" ref="JN132:JP132" si="1907">IFERROR(VLOOKUP($R132,$A$13:$D$30,-JN$12,FALSE),"")</f>
        <v>Lainnya 2.3 (4) …….</v>
      </c>
      <c r="JO132" s="301" t="str">
        <f t="shared" si="1907"/>
        <v/>
      </c>
      <c r="JP132" s="301" t="str">
        <f t="shared" si="1907"/>
        <v/>
      </c>
      <c r="JQ132" s="294" t="str">
        <f>ADHK!KY132</f>
        <v/>
      </c>
      <c r="JR132" s="294"/>
      <c r="JS132" s="294">
        <f t="shared" si="1697"/>
        <v>0</v>
      </c>
      <c r="JT132" s="302"/>
      <c r="JU132" s="294">
        <f t="shared" si="1698"/>
        <v>0</v>
      </c>
      <c r="JV132" s="96"/>
      <c r="JW132" s="96"/>
      <c r="JX132" s="97"/>
      <c r="JY132" s="294">
        <f t="shared" si="1699"/>
        <v>0</v>
      </c>
      <c r="JZ132" s="302">
        <f t="shared" si="1700"/>
        <v>0.4604471269</v>
      </c>
      <c r="KA132" s="303">
        <f t="shared" si="1701"/>
        <v>0</v>
      </c>
      <c r="KB132" s="304">
        <f t="shared" si="1702"/>
        <v>0</v>
      </c>
      <c r="KC132" s="297"/>
      <c r="KD132" s="299">
        <f t="shared" si="1744"/>
        <v>12</v>
      </c>
      <c r="KE132" s="300" t="str">
        <f t="shared" ref="KE132:KG132" si="1908">IFERROR(VLOOKUP($R132,$A$13:$D$30,-KE$12,FALSE),"")</f>
        <v>Lainnya 2.3 (4) …….</v>
      </c>
      <c r="KF132" s="301" t="str">
        <f t="shared" si="1908"/>
        <v/>
      </c>
      <c r="KG132" s="301" t="str">
        <f t="shared" si="1908"/>
        <v/>
      </c>
      <c r="KH132" s="294" t="str">
        <f>ADHK!LP132</f>
        <v/>
      </c>
      <c r="KI132" s="294"/>
      <c r="KJ132" s="294">
        <f t="shared" si="1704"/>
        <v>0</v>
      </c>
      <c r="KK132" s="302"/>
      <c r="KL132" s="294">
        <f t="shared" si="1705"/>
        <v>0</v>
      </c>
      <c r="KM132" s="96"/>
      <c r="KN132" s="96"/>
      <c r="KO132" s="97"/>
      <c r="KP132" s="294">
        <f t="shared" si="1706"/>
        <v>0</v>
      </c>
      <c r="KQ132" s="302">
        <f t="shared" si="1707"/>
        <v>0.4604471269</v>
      </c>
      <c r="KR132" s="303">
        <f t="shared" si="1708"/>
        <v>0</v>
      </c>
      <c r="KS132" s="304">
        <f t="shared" si="1709"/>
        <v>0</v>
      </c>
      <c r="KT132" s="297"/>
      <c r="KU132" s="298"/>
    </row>
    <row r="133" ht="15.75" customHeight="1">
      <c r="A133" s="299">
        <f t="shared" si="1710"/>
        <v>13</v>
      </c>
      <c r="B133" s="300" t="str">
        <f t="shared" ref="B133:D133" si="1909">IFERROR(VLOOKUP($A133,$A$13:$D$30,-B$12,FALSE),"")</f>
        <v>Lainnya 2.3 (5) …….</v>
      </c>
      <c r="C133" s="301" t="str">
        <f t="shared" si="1909"/>
        <v/>
      </c>
      <c r="D133" s="301" t="str">
        <f t="shared" si="1909"/>
        <v/>
      </c>
      <c r="E133" s="294" t="str">
        <f>ADHK!E133</f>
        <v/>
      </c>
      <c r="F133" s="294" t="str">
        <f>ADHK!F133</f>
        <v/>
      </c>
      <c r="G133" s="294">
        <f t="shared" si="1585"/>
        <v>0</v>
      </c>
      <c r="H133" s="302"/>
      <c r="I133" s="294">
        <f t="shared" si="1586"/>
        <v>0</v>
      </c>
      <c r="J133" s="96"/>
      <c r="K133" s="96"/>
      <c r="L133" s="97"/>
      <c r="M133" s="294">
        <f t="shared" si="1587"/>
        <v>0</v>
      </c>
      <c r="N133" s="302">
        <f t="shared" si="1588"/>
        <v>0.4604471269</v>
      </c>
      <c r="O133" s="303">
        <f t="shared" si="1589"/>
        <v>0</v>
      </c>
      <c r="P133" s="304">
        <f t="shared" si="1590"/>
        <v>0</v>
      </c>
      <c r="Q133" s="297"/>
      <c r="R133" s="299">
        <f t="shared" si="1712"/>
        <v>13</v>
      </c>
      <c r="S133" s="300" t="str">
        <f t="shared" ref="S133:U133" si="1910">IFERROR(VLOOKUP($R133,$A$13:$D$30,-S$12,FALSE),"")</f>
        <v>Lainnya 2.3 (5) …….</v>
      </c>
      <c r="T133" s="301" t="str">
        <f t="shared" si="1910"/>
        <v/>
      </c>
      <c r="U133" s="301" t="str">
        <f t="shared" si="1910"/>
        <v/>
      </c>
      <c r="V133" s="294" t="str">
        <f>ADHK!V133</f>
        <v/>
      </c>
      <c r="W133" s="294"/>
      <c r="X133" s="294">
        <f t="shared" si="1592"/>
        <v>0</v>
      </c>
      <c r="Y133" s="302"/>
      <c r="Z133" s="294">
        <f t="shared" si="1593"/>
        <v>0</v>
      </c>
      <c r="AA133" s="96"/>
      <c r="AB133" s="96"/>
      <c r="AC133" s="97"/>
      <c r="AD133" s="294">
        <f t="shared" si="1594"/>
        <v>0</v>
      </c>
      <c r="AE133" s="302">
        <f t="shared" si="1595"/>
        <v>0.4604471269</v>
      </c>
      <c r="AF133" s="303">
        <f t="shared" si="1596"/>
        <v>0</v>
      </c>
      <c r="AG133" s="304">
        <f t="shared" si="1597"/>
        <v>0</v>
      </c>
      <c r="AH133" s="297"/>
      <c r="AI133" s="299">
        <f t="shared" si="1714"/>
        <v>13</v>
      </c>
      <c r="AJ133" s="300" t="str">
        <f t="shared" ref="AJ133:AL133" si="1911">IFERROR(VLOOKUP($R133,$A$13:$D$30,-AJ$12,FALSE),"")</f>
        <v>Lainnya 2.3 (5) …….</v>
      </c>
      <c r="AK133" s="301" t="str">
        <f t="shared" si="1911"/>
        <v/>
      </c>
      <c r="AL133" s="301" t="str">
        <f t="shared" si="1911"/>
        <v/>
      </c>
      <c r="AM133" s="294" t="str">
        <f>ADHK!AM133</f>
        <v/>
      </c>
      <c r="AN133" s="294"/>
      <c r="AO133" s="294">
        <f t="shared" si="1599"/>
        <v>0</v>
      </c>
      <c r="AP133" s="302"/>
      <c r="AQ133" s="294">
        <f t="shared" si="1600"/>
        <v>0</v>
      </c>
      <c r="AR133" s="96"/>
      <c r="AS133" s="96"/>
      <c r="AT133" s="97"/>
      <c r="AU133" s="294">
        <f t="shared" si="1601"/>
        <v>0</v>
      </c>
      <c r="AV133" s="302">
        <f t="shared" si="1602"/>
        <v>0.4604471269</v>
      </c>
      <c r="AW133" s="303">
        <f t="shared" si="1603"/>
        <v>0</v>
      </c>
      <c r="AX133" s="304">
        <f t="shared" si="1604"/>
        <v>0</v>
      </c>
      <c r="AY133" s="297"/>
      <c r="AZ133" s="299">
        <f t="shared" si="1716"/>
        <v>13</v>
      </c>
      <c r="BA133" s="300" t="str">
        <f t="shared" ref="BA133:BC133" si="1912">IFERROR(VLOOKUP($R133,$A$13:$D$30,-BA$12,FALSE),"")</f>
        <v>Lainnya 2.3 (5) …….</v>
      </c>
      <c r="BB133" s="301" t="str">
        <f t="shared" si="1912"/>
        <v/>
      </c>
      <c r="BC133" s="301" t="str">
        <f t="shared" si="1912"/>
        <v/>
      </c>
      <c r="BD133" s="294" t="str">
        <f>ADHK!BD133</f>
        <v/>
      </c>
      <c r="BE133" s="294"/>
      <c r="BF133" s="294">
        <f t="shared" si="1606"/>
        <v>0</v>
      </c>
      <c r="BG133" s="302"/>
      <c r="BH133" s="294">
        <f t="shared" si="1607"/>
        <v>0</v>
      </c>
      <c r="BI133" s="96"/>
      <c r="BJ133" s="96"/>
      <c r="BK133" s="97"/>
      <c r="BL133" s="294">
        <f t="shared" si="1608"/>
        <v>0</v>
      </c>
      <c r="BM133" s="302">
        <f t="shared" si="1609"/>
        <v>0.4604471269</v>
      </c>
      <c r="BN133" s="303">
        <f t="shared" si="1610"/>
        <v>0</v>
      </c>
      <c r="BO133" s="304">
        <f t="shared" si="1611"/>
        <v>0</v>
      </c>
      <c r="BP133" s="297"/>
      <c r="BQ133" s="299">
        <f t="shared" si="1718"/>
        <v>13</v>
      </c>
      <c r="BR133" s="300" t="str">
        <f t="shared" ref="BR133:BT133" si="1913">IFERROR(VLOOKUP($R133,$A$13:$D$30,-BR$12,FALSE),"")</f>
        <v>Lainnya 2.3 (5) …….</v>
      </c>
      <c r="BS133" s="301" t="str">
        <f t="shared" si="1913"/>
        <v/>
      </c>
      <c r="BT133" s="301" t="str">
        <f t="shared" si="1913"/>
        <v/>
      </c>
      <c r="BU133" s="294" t="str">
        <f>ADHK!BU133</f>
        <v/>
      </c>
      <c r="BV133" s="294"/>
      <c r="BW133" s="294">
        <f t="shared" si="1613"/>
        <v>0</v>
      </c>
      <c r="BX133" s="302"/>
      <c r="BY133" s="294">
        <f t="shared" si="1614"/>
        <v>0</v>
      </c>
      <c r="BZ133" s="96"/>
      <c r="CA133" s="96"/>
      <c r="CB133" s="97"/>
      <c r="CC133" s="294">
        <f t="shared" si="1615"/>
        <v>0</v>
      </c>
      <c r="CD133" s="302">
        <f t="shared" si="1616"/>
        <v>0.4604471269</v>
      </c>
      <c r="CE133" s="303">
        <f t="shared" si="1617"/>
        <v>0</v>
      </c>
      <c r="CF133" s="304">
        <f t="shared" si="1618"/>
        <v>0</v>
      </c>
      <c r="CG133" s="297"/>
      <c r="CH133" s="299">
        <f t="shared" si="1720"/>
        <v>13</v>
      </c>
      <c r="CI133" s="300" t="str">
        <f t="shared" ref="CI133:CK133" si="1914">IFERROR(VLOOKUP($R133,$A$13:$D$30,-CI$12,FALSE),"")</f>
        <v>Lainnya 2.3 (5) …….</v>
      </c>
      <c r="CJ133" s="301" t="str">
        <f t="shared" si="1914"/>
        <v/>
      </c>
      <c r="CK133" s="301" t="str">
        <f t="shared" si="1914"/>
        <v/>
      </c>
      <c r="CL133" s="294" t="str">
        <f>ADHK!CL133</f>
        <v/>
      </c>
      <c r="CM133" s="294"/>
      <c r="CN133" s="294">
        <f t="shared" si="1620"/>
        <v>0</v>
      </c>
      <c r="CO133" s="302"/>
      <c r="CP133" s="294">
        <f t="shared" si="1621"/>
        <v>0</v>
      </c>
      <c r="CQ133" s="96"/>
      <c r="CR133" s="96"/>
      <c r="CS133" s="97"/>
      <c r="CT133" s="294">
        <f t="shared" si="1622"/>
        <v>0</v>
      </c>
      <c r="CU133" s="302">
        <f t="shared" si="1623"/>
        <v>0.4604471269</v>
      </c>
      <c r="CV133" s="303">
        <f t="shared" si="1624"/>
        <v>0</v>
      </c>
      <c r="CW133" s="304">
        <f t="shared" si="1625"/>
        <v>0</v>
      </c>
      <c r="CX133" s="297"/>
      <c r="CY133" s="299">
        <f t="shared" si="1722"/>
        <v>13</v>
      </c>
      <c r="CZ133" s="300" t="str">
        <f t="shared" ref="CZ133:DB133" si="1915">IFERROR(VLOOKUP($R133,$A$13:$D$30,-CZ$12,FALSE),"")</f>
        <v>Lainnya 2.3 (5) …….</v>
      </c>
      <c r="DA133" s="301" t="str">
        <f t="shared" si="1915"/>
        <v/>
      </c>
      <c r="DB133" s="301" t="str">
        <f t="shared" si="1915"/>
        <v/>
      </c>
      <c r="DC133" s="294" t="str">
        <f>ADHK!DC133</f>
        <v/>
      </c>
      <c r="DD133" s="294"/>
      <c r="DE133" s="294">
        <f t="shared" si="1627"/>
        <v>0</v>
      </c>
      <c r="DF133" s="302"/>
      <c r="DG133" s="294">
        <f t="shared" si="1628"/>
        <v>0</v>
      </c>
      <c r="DH133" s="96"/>
      <c r="DI133" s="96"/>
      <c r="DJ133" s="97"/>
      <c r="DK133" s="294">
        <f t="shared" si="1629"/>
        <v>0</v>
      </c>
      <c r="DL133" s="302">
        <f t="shared" si="1630"/>
        <v>0.4604471269</v>
      </c>
      <c r="DM133" s="303">
        <f t="shared" si="1631"/>
        <v>0</v>
      </c>
      <c r="DN133" s="304">
        <f t="shared" si="1632"/>
        <v>0</v>
      </c>
      <c r="DO133" s="297"/>
      <c r="DP133" s="299">
        <f t="shared" si="1724"/>
        <v>13</v>
      </c>
      <c r="DQ133" s="300" t="str">
        <f t="shared" ref="DQ133:DS133" si="1916">IFERROR(VLOOKUP($R133,$A$13:$D$30,-DQ$12,FALSE),"")</f>
        <v>Lainnya 2.3 (5) …….</v>
      </c>
      <c r="DR133" s="301" t="str">
        <f t="shared" si="1916"/>
        <v/>
      </c>
      <c r="DS133" s="301" t="str">
        <f t="shared" si="1916"/>
        <v/>
      </c>
      <c r="DT133" s="294" t="str">
        <f>ADHK!DT133</f>
        <v/>
      </c>
      <c r="DU133" s="294"/>
      <c r="DV133" s="294">
        <f t="shared" si="1634"/>
        <v>0</v>
      </c>
      <c r="DW133" s="302"/>
      <c r="DX133" s="294">
        <f t="shared" si="1635"/>
        <v>0</v>
      </c>
      <c r="DY133" s="96"/>
      <c r="DZ133" s="96"/>
      <c r="EA133" s="97"/>
      <c r="EB133" s="294">
        <f t="shared" si="1636"/>
        <v>0</v>
      </c>
      <c r="EC133" s="302">
        <f t="shared" si="1637"/>
        <v>0.4604471269</v>
      </c>
      <c r="ED133" s="303">
        <f t="shared" si="1638"/>
        <v>0</v>
      </c>
      <c r="EE133" s="304">
        <f t="shared" si="1639"/>
        <v>0</v>
      </c>
      <c r="EF133" s="297"/>
      <c r="EG133" s="299">
        <f t="shared" si="1726"/>
        <v>13</v>
      </c>
      <c r="EH133" s="300" t="str">
        <f t="shared" ref="EH133:EJ133" si="1917">IFERROR(VLOOKUP($R133,$A$13:$D$30,-EH$12,FALSE),"")</f>
        <v>Lainnya 2.3 (5) …….</v>
      </c>
      <c r="EI133" s="301" t="str">
        <f t="shared" si="1917"/>
        <v/>
      </c>
      <c r="EJ133" s="301" t="str">
        <f t="shared" si="1917"/>
        <v/>
      </c>
      <c r="EK133" s="294" t="str">
        <f>ADHK!EK133</f>
        <v/>
      </c>
      <c r="EL133" s="294"/>
      <c r="EM133" s="294">
        <f t="shared" si="1641"/>
        <v>0</v>
      </c>
      <c r="EN133" s="302"/>
      <c r="EO133" s="294">
        <f t="shared" si="1642"/>
        <v>0</v>
      </c>
      <c r="EP133" s="96"/>
      <c r="EQ133" s="96"/>
      <c r="ER133" s="97"/>
      <c r="ES133" s="294">
        <f t="shared" si="1643"/>
        <v>0</v>
      </c>
      <c r="ET133" s="302">
        <f t="shared" si="1644"/>
        <v>0.4604471269</v>
      </c>
      <c r="EU133" s="303">
        <f t="shared" si="1645"/>
        <v>0</v>
      </c>
      <c r="EV133" s="304">
        <f t="shared" si="1646"/>
        <v>0</v>
      </c>
      <c r="EW133" s="297"/>
      <c r="EX133" s="299">
        <f t="shared" si="1728"/>
        <v>13</v>
      </c>
      <c r="EY133" s="300" t="str">
        <f t="shared" ref="EY133:FA133" si="1918">IFERROR(VLOOKUP($R133,$A$13:$D$30,-EY$12,FALSE),"")</f>
        <v>Lainnya 2.3 (5) …….</v>
      </c>
      <c r="EZ133" s="301" t="str">
        <f t="shared" si="1918"/>
        <v/>
      </c>
      <c r="FA133" s="301" t="str">
        <f t="shared" si="1918"/>
        <v/>
      </c>
      <c r="FB133" s="294" t="str">
        <f>ADHK!FB133</f>
        <v/>
      </c>
      <c r="FC133" s="294"/>
      <c r="FD133" s="294">
        <f t="shared" si="1648"/>
        <v>0</v>
      </c>
      <c r="FE133" s="302"/>
      <c r="FF133" s="294">
        <f t="shared" si="1649"/>
        <v>0</v>
      </c>
      <c r="FG133" s="96"/>
      <c r="FH133" s="96"/>
      <c r="FI133" s="97"/>
      <c r="FJ133" s="294">
        <f t="shared" si="1650"/>
        <v>0</v>
      </c>
      <c r="FK133" s="302">
        <f t="shared" si="1651"/>
        <v>0.4604471269</v>
      </c>
      <c r="FL133" s="303">
        <f t="shared" si="1652"/>
        <v>0</v>
      </c>
      <c r="FM133" s="304">
        <f t="shared" si="1653"/>
        <v>0</v>
      </c>
      <c r="FN133" s="297"/>
      <c r="FO133" s="299">
        <f t="shared" si="1730"/>
        <v>13</v>
      </c>
      <c r="FP133" s="300" t="str">
        <f t="shared" ref="FP133:FR133" si="1919">IFERROR(VLOOKUP($R133,$A$13:$D$30,-FP$12,FALSE),"")</f>
        <v>Lainnya 2.3 (5) …….</v>
      </c>
      <c r="FQ133" s="301" t="str">
        <f t="shared" si="1919"/>
        <v/>
      </c>
      <c r="FR133" s="301" t="str">
        <f t="shared" si="1919"/>
        <v/>
      </c>
      <c r="FS133" s="294" t="str">
        <f>ADHK!FS133</f>
        <v/>
      </c>
      <c r="FT133" s="294"/>
      <c r="FU133" s="294">
        <f t="shared" si="1655"/>
        <v>0</v>
      </c>
      <c r="FV133" s="302"/>
      <c r="FW133" s="294">
        <f t="shared" si="1656"/>
        <v>0</v>
      </c>
      <c r="FX133" s="96"/>
      <c r="FY133" s="96"/>
      <c r="FZ133" s="97"/>
      <c r="GA133" s="294">
        <f t="shared" si="1657"/>
        <v>0</v>
      </c>
      <c r="GB133" s="302">
        <f t="shared" si="1658"/>
        <v>0.4604471269</v>
      </c>
      <c r="GC133" s="303">
        <f t="shared" si="1659"/>
        <v>0</v>
      </c>
      <c r="GD133" s="304">
        <f t="shared" si="1660"/>
        <v>0</v>
      </c>
      <c r="GE133" s="297"/>
      <c r="GF133" s="299">
        <f t="shared" si="1732"/>
        <v>13</v>
      </c>
      <c r="GG133" s="300" t="str">
        <f t="shared" ref="GG133:GI133" si="1920">IFERROR(VLOOKUP($R133,$A$13:$D$30,-GG$12,FALSE),"")</f>
        <v>Lainnya 2.3 (5) …….</v>
      </c>
      <c r="GH133" s="301" t="str">
        <f t="shared" si="1920"/>
        <v/>
      </c>
      <c r="GI133" s="301" t="str">
        <f t="shared" si="1920"/>
        <v/>
      </c>
      <c r="GJ133" s="294" t="str">
        <f>ADHK!GJ133</f>
        <v/>
      </c>
      <c r="GK133" s="294"/>
      <c r="GL133" s="294">
        <f t="shared" si="1662"/>
        <v>0</v>
      </c>
      <c r="GM133" s="302"/>
      <c r="GN133" s="294">
        <f t="shared" si="1663"/>
        <v>0</v>
      </c>
      <c r="GO133" s="96"/>
      <c r="GP133" s="96"/>
      <c r="GQ133" s="97"/>
      <c r="GR133" s="294">
        <f t="shared" si="1664"/>
        <v>0</v>
      </c>
      <c r="GS133" s="302">
        <f t="shared" si="1665"/>
        <v>0.4604471269</v>
      </c>
      <c r="GT133" s="303">
        <f t="shared" si="1666"/>
        <v>0</v>
      </c>
      <c r="GU133" s="304">
        <f t="shared" si="1667"/>
        <v>0</v>
      </c>
      <c r="GV133" s="297"/>
      <c r="GW133" s="299">
        <f t="shared" si="1734"/>
        <v>13</v>
      </c>
      <c r="GX133" s="300" t="str">
        <f t="shared" ref="GX133:GZ133" si="1921">IFERROR(VLOOKUP($R133,$A$13:$D$30,-GX$12,FALSE),"")</f>
        <v>Lainnya 2.3 (5) …….</v>
      </c>
      <c r="GY133" s="301" t="str">
        <f t="shared" si="1921"/>
        <v/>
      </c>
      <c r="GZ133" s="301" t="str">
        <f t="shared" si="1921"/>
        <v/>
      </c>
      <c r="HA133" s="294"/>
      <c r="HB133" s="305"/>
      <c r="HC133" s="294">
        <f t="shared" si="1669"/>
        <v>0</v>
      </c>
      <c r="HD133" s="302"/>
      <c r="HE133" s="294">
        <f t="shared" si="1670"/>
        <v>0</v>
      </c>
      <c r="HF133" s="96"/>
      <c r="HG133" s="96"/>
      <c r="HH133" s="97"/>
      <c r="HI133" s="294">
        <f t="shared" si="1671"/>
        <v>0</v>
      </c>
      <c r="HJ133" s="302">
        <f t="shared" si="1672"/>
        <v>0.4604471269</v>
      </c>
      <c r="HK133" s="303">
        <f t="shared" si="1673"/>
        <v>0</v>
      </c>
      <c r="HL133" s="304">
        <f t="shared" si="1674"/>
        <v>0</v>
      </c>
      <c r="HM133" s="297"/>
      <c r="HN133" s="299">
        <f t="shared" si="1736"/>
        <v>13</v>
      </c>
      <c r="HO133" s="300" t="str">
        <f t="shared" ref="HO133:HQ133" si="1922">IFERROR(VLOOKUP($R133,$A$13:$D$30,-HO$12,FALSE),"")</f>
        <v>Lainnya 2.3 (5) …….</v>
      </c>
      <c r="HP133" s="301" t="str">
        <f t="shared" si="1922"/>
        <v/>
      </c>
      <c r="HQ133" s="301" t="str">
        <f t="shared" si="1922"/>
        <v/>
      </c>
      <c r="HR133" s="294"/>
      <c r="HS133" s="294"/>
      <c r="HT133" s="294">
        <f t="shared" si="1676"/>
        <v>0</v>
      </c>
      <c r="HU133" s="302"/>
      <c r="HV133" s="294">
        <f t="shared" si="1677"/>
        <v>0</v>
      </c>
      <c r="HW133" s="96"/>
      <c r="HX133" s="96"/>
      <c r="HY133" s="97"/>
      <c r="HZ133" s="294">
        <f t="shared" si="1678"/>
        <v>0</v>
      </c>
      <c r="IA133" s="302">
        <f t="shared" si="1679"/>
        <v>0.4604471269</v>
      </c>
      <c r="IB133" s="303">
        <f t="shared" si="1680"/>
        <v>0</v>
      </c>
      <c r="IC133" s="304">
        <f t="shared" si="1681"/>
        <v>0</v>
      </c>
      <c r="ID133" s="297"/>
      <c r="IE133" s="299">
        <f t="shared" si="1738"/>
        <v>13</v>
      </c>
      <c r="IF133" s="300" t="str">
        <f t="shared" ref="IF133:IH133" si="1923">IFERROR(VLOOKUP($R133,$A$13:$D$30,-IF$12,FALSE),"")</f>
        <v>Lainnya 2.3 (5) …….</v>
      </c>
      <c r="IG133" s="301" t="str">
        <f t="shared" si="1923"/>
        <v/>
      </c>
      <c r="IH133" s="301" t="str">
        <f t="shared" si="1923"/>
        <v/>
      </c>
      <c r="II133" s="294" t="str">
        <f>ADHK!II133</f>
        <v/>
      </c>
      <c r="IJ133" s="294"/>
      <c r="IK133" s="294">
        <f t="shared" si="1683"/>
        <v>0</v>
      </c>
      <c r="IL133" s="302"/>
      <c r="IM133" s="294">
        <f t="shared" si="1684"/>
        <v>0</v>
      </c>
      <c r="IN133" s="96"/>
      <c r="IO133" s="96"/>
      <c r="IP133" s="97"/>
      <c r="IQ133" s="294">
        <f t="shared" si="1685"/>
        <v>0</v>
      </c>
      <c r="IR133" s="302">
        <f t="shared" si="1686"/>
        <v>0.4604471269</v>
      </c>
      <c r="IS133" s="303">
        <f t="shared" si="1687"/>
        <v>0</v>
      </c>
      <c r="IT133" s="304">
        <f t="shared" si="1688"/>
        <v>0</v>
      </c>
      <c r="IU133" s="297"/>
      <c r="IV133" s="299">
        <f t="shared" si="1740"/>
        <v>13</v>
      </c>
      <c r="IW133" s="300" t="str">
        <f t="shared" ref="IW133:IY133" si="1924">IFERROR(VLOOKUP($R133,$A$13:$D$30,-IW$12,FALSE),"")</f>
        <v>Lainnya 2.3 (5) …….</v>
      </c>
      <c r="IX133" s="301" t="str">
        <f t="shared" si="1924"/>
        <v/>
      </c>
      <c r="IY133" s="301" t="str">
        <f t="shared" si="1924"/>
        <v/>
      </c>
      <c r="IZ133" s="294" t="str">
        <f>ADHK!IZ133</f>
        <v/>
      </c>
      <c r="JA133" s="294"/>
      <c r="JB133" s="294">
        <f t="shared" si="1690"/>
        <v>0</v>
      </c>
      <c r="JC133" s="302"/>
      <c r="JD133" s="294">
        <f t="shared" si="1691"/>
        <v>0</v>
      </c>
      <c r="JE133" s="96"/>
      <c r="JF133" s="96"/>
      <c r="JG133" s="97"/>
      <c r="JH133" s="294">
        <f t="shared" si="1692"/>
        <v>0</v>
      </c>
      <c r="JI133" s="302">
        <f t="shared" si="1693"/>
        <v>0.4604471269</v>
      </c>
      <c r="JJ133" s="303">
        <f t="shared" si="1694"/>
        <v>0</v>
      </c>
      <c r="JK133" s="304">
        <f t="shared" si="1695"/>
        <v>0</v>
      </c>
      <c r="JL133" s="297"/>
      <c r="JM133" s="299">
        <f t="shared" si="1742"/>
        <v>13</v>
      </c>
      <c r="JN133" s="300" t="str">
        <f t="shared" ref="JN133:JP133" si="1925">IFERROR(VLOOKUP($R133,$A$13:$D$30,-JN$12,FALSE),"")</f>
        <v>Lainnya 2.3 (5) …….</v>
      </c>
      <c r="JO133" s="301" t="str">
        <f t="shared" si="1925"/>
        <v/>
      </c>
      <c r="JP133" s="301" t="str">
        <f t="shared" si="1925"/>
        <v/>
      </c>
      <c r="JQ133" s="294" t="str">
        <f>ADHK!KY133</f>
        <v/>
      </c>
      <c r="JR133" s="294"/>
      <c r="JS133" s="294">
        <f t="shared" si="1697"/>
        <v>0</v>
      </c>
      <c r="JT133" s="302"/>
      <c r="JU133" s="294">
        <f t="shared" si="1698"/>
        <v>0</v>
      </c>
      <c r="JV133" s="96"/>
      <c r="JW133" s="96"/>
      <c r="JX133" s="97"/>
      <c r="JY133" s="294">
        <f t="shared" si="1699"/>
        <v>0</v>
      </c>
      <c r="JZ133" s="302">
        <f t="shared" si="1700"/>
        <v>0.4604471269</v>
      </c>
      <c r="KA133" s="303">
        <f t="shared" si="1701"/>
        <v>0</v>
      </c>
      <c r="KB133" s="304">
        <f t="shared" si="1702"/>
        <v>0</v>
      </c>
      <c r="KC133" s="297"/>
      <c r="KD133" s="299">
        <f t="shared" si="1744"/>
        <v>13</v>
      </c>
      <c r="KE133" s="300" t="str">
        <f t="shared" ref="KE133:KG133" si="1926">IFERROR(VLOOKUP($R133,$A$13:$D$30,-KE$12,FALSE),"")</f>
        <v>Lainnya 2.3 (5) …….</v>
      </c>
      <c r="KF133" s="301" t="str">
        <f t="shared" si="1926"/>
        <v/>
      </c>
      <c r="KG133" s="301" t="str">
        <f t="shared" si="1926"/>
        <v/>
      </c>
      <c r="KH133" s="294" t="str">
        <f>ADHK!LP133</f>
        <v/>
      </c>
      <c r="KI133" s="294"/>
      <c r="KJ133" s="294">
        <f t="shared" si="1704"/>
        <v>0</v>
      </c>
      <c r="KK133" s="302"/>
      <c r="KL133" s="294">
        <f t="shared" si="1705"/>
        <v>0</v>
      </c>
      <c r="KM133" s="96"/>
      <c r="KN133" s="96"/>
      <c r="KO133" s="97"/>
      <c r="KP133" s="294">
        <f t="shared" si="1706"/>
        <v>0</v>
      </c>
      <c r="KQ133" s="302">
        <f t="shared" si="1707"/>
        <v>0.4604471269</v>
      </c>
      <c r="KR133" s="303">
        <f t="shared" si="1708"/>
        <v>0</v>
      </c>
      <c r="KS133" s="304">
        <f t="shared" si="1709"/>
        <v>0</v>
      </c>
      <c r="KT133" s="297"/>
      <c r="KU133" s="298"/>
    </row>
    <row r="134" ht="15.75" customHeight="1">
      <c r="A134" s="299">
        <f t="shared" si="1710"/>
        <v>14</v>
      </c>
      <c r="B134" s="300" t="str">
        <f t="shared" ref="B134:D134" si="1927">IFERROR(VLOOKUP($A134,$A$13:$D$30,-B$12,FALSE),"")</f>
        <v>Lainnya 2.3 (6) …….</v>
      </c>
      <c r="C134" s="301" t="str">
        <f t="shared" si="1927"/>
        <v/>
      </c>
      <c r="D134" s="301" t="str">
        <f t="shared" si="1927"/>
        <v/>
      </c>
      <c r="E134" s="294" t="str">
        <f>ADHK!E134</f>
        <v/>
      </c>
      <c r="F134" s="294" t="str">
        <f>ADHK!F134</f>
        <v/>
      </c>
      <c r="G134" s="294">
        <f t="shared" si="1585"/>
        <v>0</v>
      </c>
      <c r="H134" s="302"/>
      <c r="I134" s="294">
        <f t="shared" si="1586"/>
        <v>0</v>
      </c>
      <c r="J134" s="96"/>
      <c r="K134" s="96"/>
      <c r="L134" s="97"/>
      <c r="M134" s="294">
        <f t="shared" si="1587"/>
        <v>0</v>
      </c>
      <c r="N134" s="302">
        <f t="shared" si="1588"/>
        <v>0.4604471269</v>
      </c>
      <c r="O134" s="303">
        <f t="shared" si="1589"/>
        <v>0</v>
      </c>
      <c r="P134" s="304">
        <f t="shared" si="1590"/>
        <v>0</v>
      </c>
      <c r="Q134" s="297"/>
      <c r="R134" s="299">
        <f t="shared" si="1712"/>
        <v>14</v>
      </c>
      <c r="S134" s="300" t="str">
        <f t="shared" ref="S134:U134" si="1928">IFERROR(VLOOKUP($R134,$A$13:$D$30,-S$12,FALSE),"")</f>
        <v>Lainnya 2.3 (6) …….</v>
      </c>
      <c r="T134" s="301" t="str">
        <f t="shared" si="1928"/>
        <v/>
      </c>
      <c r="U134" s="301" t="str">
        <f t="shared" si="1928"/>
        <v/>
      </c>
      <c r="V134" s="294" t="str">
        <f>ADHK!V134</f>
        <v/>
      </c>
      <c r="W134" s="294"/>
      <c r="X134" s="294">
        <f t="shared" si="1592"/>
        <v>0</v>
      </c>
      <c r="Y134" s="302"/>
      <c r="Z134" s="294">
        <f t="shared" si="1593"/>
        <v>0</v>
      </c>
      <c r="AA134" s="96"/>
      <c r="AB134" s="96"/>
      <c r="AC134" s="97"/>
      <c r="AD134" s="294">
        <f t="shared" si="1594"/>
        <v>0</v>
      </c>
      <c r="AE134" s="302">
        <f t="shared" si="1595"/>
        <v>0.4604471269</v>
      </c>
      <c r="AF134" s="303">
        <f t="shared" si="1596"/>
        <v>0</v>
      </c>
      <c r="AG134" s="304">
        <f t="shared" si="1597"/>
        <v>0</v>
      </c>
      <c r="AH134" s="297"/>
      <c r="AI134" s="299">
        <f t="shared" si="1714"/>
        <v>14</v>
      </c>
      <c r="AJ134" s="300" t="str">
        <f t="shared" ref="AJ134:AL134" si="1929">IFERROR(VLOOKUP($R134,$A$13:$D$30,-AJ$12,FALSE),"")</f>
        <v>Lainnya 2.3 (6) …….</v>
      </c>
      <c r="AK134" s="301" t="str">
        <f t="shared" si="1929"/>
        <v/>
      </c>
      <c r="AL134" s="301" t="str">
        <f t="shared" si="1929"/>
        <v/>
      </c>
      <c r="AM134" s="294" t="str">
        <f>ADHK!AM134</f>
        <v/>
      </c>
      <c r="AN134" s="294"/>
      <c r="AO134" s="294">
        <f t="shared" si="1599"/>
        <v>0</v>
      </c>
      <c r="AP134" s="302"/>
      <c r="AQ134" s="294">
        <f t="shared" si="1600"/>
        <v>0</v>
      </c>
      <c r="AR134" s="96"/>
      <c r="AS134" s="96"/>
      <c r="AT134" s="97"/>
      <c r="AU134" s="294">
        <f t="shared" si="1601"/>
        <v>0</v>
      </c>
      <c r="AV134" s="302">
        <f t="shared" si="1602"/>
        <v>0.4604471269</v>
      </c>
      <c r="AW134" s="303">
        <f t="shared" si="1603"/>
        <v>0</v>
      </c>
      <c r="AX134" s="304">
        <f t="shared" si="1604"/>
        <v>0</v>
      </c>
      <c r="AY134" s="297"/>
      <c r="AZ134" s="299">
        <f t="shared" si="1716"/>
        <v>14</v>
      </c>
      <c r="BA134" s="300" t="str">
        <f t="shared" ref="BA134:BC134" si="1930">IFERROR(VLOOKUP($R134,$A$13:$D$30,-BA$12,FALSE),"")</f>
        <v>Lainnya 2.3 (6) …….</v>
      </c>
      <c r="BB134" s="301" t="str">
        <f t="shared" si="1930"/>
        <v/>
      </c>
      <c r="BC134" s="301" t="str">
        <f t="shared" si="1930"/>
        <v/>
      </c>
      <c r="BD134" s="294" t="str">
        <f>ADHK!BD134</f>
        <v/>
      </c>
      <c r="BE134" s="294"/>
      <c r="BF134" s="294">
        <f t="shared" si="1606"/>
        <v>0</v>
      </c>
      <c r="BG134" s="302"/>
      <c r="BH134" s="294">
        <f t="shared" si="1607"/>
        <v>0</v>
      </c>
      <c r="BI134" s="96"/>
      <c r="BJ134" s="96"/>
      <c r="BK134" s="97"/>
      <c r="BL134" s="294">
        <f t="shared" si="1608"/>
        <v>0</v>
      </c>
      <c r="BM134" s="302">
        <f t="shared" si="1609"/>
        <v>0.4604471269</v>
      </c>
      <c r="BN134" s="303">
        <f t="shared" si="1610"/>
        <v>0</v>
      </c>
      <c r="BO134" s="304">
        <f t="shared" si="1611"/>
        <v>0</v>
      </c>
      <c r="BP134" s="297"/>
      <c r="BQ134" s="299">
        <f t="shared" si="1718"/>
        <v>14</v>
      </c>
      <c r="BR134" s="300" t="str">
        <f t="shared" ref="BR134:BT134" si="1931">IFERROR(VLOOKUP($R134,$A$13:$D$30,-BR$12,FALSE),"")</f>
        <v>Lainnya 2.3 (6) …….</v>
      </c>
      <c r="BS134" s="301" t="str">
        <f t="shared" si="1931"/>
        <v/>
      </c>
      <c r="BT134" s="301" t="str">
        <f t="shared" si="1931"/>
        <v/>
      </c>
      <c r="BU134" s="294" t="str">
        <f>ADHK!BU134</f>
        <v/>
      </c>
      <c r="BV134" s="294"/>
      <c r="BW134" s="294">
        <f t="shared" si="1613"/>
        <v>0</v>
      </c>
      <c r="BX134" s="302"/>
      <c r="BY134" s="294">
        <f t="shared" si="1614"/>
        <v>0</v>
      </c>
      <c r="BZ134" s="96"/>
      <c r="CA134" s="96"/>
      <c r="CB134" s="97"/>
      <c r="CC134" s="294">
        <f t="shared" si="1615"/>
        <v>0</v>
      </c>
      <c r="CD134" s="302">
        <f t="shared" si="1616"/>
        <v>0.4604471269</v>
      </c>
      <c r="CE134" s="303">
        <f t="shared" si="1617"/>
        <v>0</v>
      </c>
      <c r="CF134" s="304">
        <f t="shared" si="1618"/>
        <v>0</v>
      </c>
      <c r="CG134" s="297"/>
      <c r="CH134" s="299">
        <f t="shared" si="1720"/>
        <v>14</v>
      </c>
      <c r="CI134" s="300" t="str">
        <f t="shared" ref="CI134:CK134" si="1932">IFERROR(VLOOKUP($R134,$A$13:$D$30,-CI$12,FALSE),"")</f>
        <v>Lainnya 2.3 (6) …….</v>
      </c>
      <c r="CJ134" s="301" t="str">
        <f t="shared" si="1932"/>
        <v/>
      </c>
      <c r="CK134" s="301" t="str">
        <f t="shared" si="1932"/>
        <v/>
      </c>
      <c r="CL134" s="294" t="str">
        <f>ADHK!CL134</f>
        <v/>
      </c>
      <c r="CM134" s="294"/>
      <c r="CN134" s="294">
        <f t="shared" si="1620"/>
        <v>0</v>
      </c>
      <c r="CO134" s="302"/>
      <c r="CP134" s="294">
        <f t="shared" si="1621"/>
        <v>0</v>
      </c>
      <c r="CQ134" s="96"/>
      <c r="CR134" s="96"/>
      <c r="CS134" s="97"/>
      <c r="CT134" s="294">
        <f t="shared" si="1622"/>
        <v>0</v>
      </c>
      <c r="CU134" s="302">
        <f t="shared" si="1623"/>
        <v>0.4604471269</v>
      </c>
      <c r="CV134" s="303">
        <f t="shared" si="1624"/>
        <v>0</v>
      </c>
      <c r="CW134" s="304">
        <f t="shared" si="1625"/>
        <v>0</v>
      </c>
      <c r="CX134" s="297"/>
      <c r="CY134" s="299">
        <f t="shared" si="1722"/>
        <v>14</v>
      </c>
      <c r="CZ134" s="300" t="str">
        <f t="shared" ref="CZ134:DB134" si="1933">IFERROR(VLOOKUP($R134,$A$13:$D$30,-CZ$12,FALSE),"")</f>
        <v>Lainnya 2.3 (6) …….</v>
      </c>
      <c r="DA134" s="301" t="str">
        <f t="shared" si="1933"/>
        <v/>
      </c>
      <c r="DB134" s="301" t="str">
        <f t="shared" si="1933"/>
        <v/>
      </c>
      <c r="DC134" s="294" t="str">
        <f>ADHK!DC134</f>
        <v/>
      </c>
      <c r="DD134" s="294"/>
      <c r="DE134" s="294">
        <f t="shared" si="1627"/>
        <v>0</v>
      </c>
      <c r="DF134" s="302"/>
      <c r="DG134" s="294">
        <f t="shared" si="1628"/>
        <v>0</v>
      </c>
      <c r="DH134" s="96"/>
      <c r="DI134" s="96"/>
      <c r="DJ134" s="97"/>
      <c r="DK134" s="294">
        <f t="shared" si="1629"/>
        <v>0</v>
      </c>
      <c r="DL134" s="302">
        <f t="shared" si="1630"/>
        <v>0.4604471269</v>
      </c>
      <c r="DM134" s="303">
        <f t="shared" si="1631"/>
        <v>0</v>
      </c>
      <c r="DN134" s="304">
        <f t="shared" si="1632"/>
        <v>0</v>
      </c>
      <c r="DO134" s="297"/>
      <c r="DP134" s="299">
        <f t="shared" si="1724"/>
        <v>14</v>
      </c>
      <c r="DQ134" s="300" t="str">
        <f t="shared" ref="DQ134:DS134" si="1934">IFERROR(VLOOKUP($R134,$A$13:$D$30,-DQ$12,FALSE),"")</f>
        <v>Lainnya 2.3 (6) …….</v>
      </c>
      <c r="DR134" s="301" t="str">
        <f t="shared" si="1934"/>
        <v/>
      </c>
      <c r="DS134" s="301" t="str">
        <f t="shared" si="1934"/>
        <v/>
      </c>
      <c r="DT134" s="294" t="str">
        <f>ADHK!DT134</f>
        <v/>
      </c>
      <c r="DU134" s="294"/>
      <c r="DV134" s="294">
        <f t="shared" si="1634"/>
        <v>0</v>
      </c>
      <c r="DW134" s="302"/>
      <c r="DX134" s="294">
        <f t="shared" si="1635"/>
        <v>0</v>
      </c>
      <c r="DY134" s="96"/>
      <c r="DZ134" s="96"/>
      <c r="EA134" s="97"/>
      <c r="EB134" s="294">
        <f t="shared" si="1636"/>
        <v>0</v>
      </c>
      <c r="EC134" s="302">
        <f t="shared" si="1637"/>
        <v>0.4604471269</v>
      </c>
      <c r="ED134" s="303">
        <f t="shared" si="1638"/>
        <v>0</v>
      </c>
      <c r="EE134" s="304">
        <f t="shared" si="1639"/>
        <v>0</v>
      </c>
      <c r="EF134" s="297"/>
      <c r="EG134" s="299">
        <f t="shared" si="1726"/>
        <v>14</v>
      </c>
      <c r="EH134" s="300" t="str">
        <f t="shared" ref="EH134:EJ134" si="1935">IFERROR(VLOOKUP($R134,$A$13:$D$30,-EH$12,FALSE),"")</f>
        <v>Lainnya 2.3 (6) …….</v>
      </c>
      <c r="EI134" s="301" t="str">
        <f t="shared" si="1935"/>
        <v/>
      </c>
      <c r="EJ134" s="301" t="str">
        <f t="shared" si="1935"/>
        <v/>
      </c>
      <c r="EK134" s="294" t="str">
        <f>ADHK!EK134</f>
        <v/>
      </c>
      <c r="EL134" s="294"/>
      <c r="EM134" s="294">
        <f t="shared" si="1641"/>
        <v>0</v>
      </c>
      <c r="EN134" s="302"/>
      <c r="EO134" s="294">
        <f t="shared" si="1642"/>
        <v>0</v>
      </c>
      <c r="EP134" s="96"/>
      <c r="EQ134" s="96"/>
      <c r="ER134" s="97"/>
      <c r="ES134" s="294">
        <f t="shared" si="1643"/>
        <v>0</v>
      </c>
      <c r="ET134" s="302">
        <f t="shared" si="1644"/>
        <v>0.4604471269</v>
      </c>
      <c r="EU134" s="303">
        <f t="shared" si="1645"/>
        <v>0</v>
      </c>
      <c r="EV134" s="304">
        <f t="shared" si="1646"/>
        <v>0</v>
      </c>
      <c r="EW134" s="297"/>
      <c r="EX134" s="299">
        <f t="shared" si="1728"/>
        <v>14</v>
      </c>
      <c r="EY134" s="300" t="str">
        <f t="shared" ref="EY134:FA134" si="1936">IFERROR(VLOOKUP($R134,$A$13:$D$30,-EY$12,FALSE),"")</f>
        <v>Lainnya 2.3 (6) …….</v>
      </c>
      <c r="EZ134" s="301" t="str">
        <f t="shared" si="1936"/>
        <v/>
      </c>
      <c r="FA134" s="301" t="str">
        <f t="shared" si="1936"/>
        <v/>
      </c>
      <c r="FB134" s="294" t="str">
        <f>ADHK!FB134</f>
        <v/>
      </c>
      <c r="FC134" s="294"/>
      <c r="FD134" s="294">
        <f t="shared" si="1648"/>
        <v>0</v>
      </c>
      <c r="FE134" s="302"/>
      <c r="FF134" s="294">
        <f t="shared" si="1649"/>
        <v>0</v>
      </c>
      <c r="FG134" s="96"/>
      <c r="FH134" s="96"/>
      <c r="FI134" s="97"/>
      <c r="FJ134" s="294">
        <f t="shared" si="1650"/>
        <v>0</v>
      </c>
      <c r="FK134" s="302">
        <f t="shared" si="1651"/>
        <v>0.4604471269</v>
      </c>
      <c r="FL134" s="303">
        <f t="shared" si="1652"/>
        <v>0</v>
      </c>
      <c r="FM134" s="304">
        <f t="shared" si="1653"/>
        <v>0</v>
      </c>
      <c r="FN134" s="297"/>
      <c r="FO134" s="299">
        <f t="shared" si="1730"/>
        <v>14</v>
      </c>
      <c r="FP134" s="300" t="str">
        <f t="shared" ref="FP134:FR134" si="1937">IFERROR(VLOOKUP($R134,$A$13:$D$30,-FP$12,FALSE),"")</f>
        <v>Lainnya 2.3 (6) …….</v>
      </c>
      <c r="FQ134" s="301" t="str">
        <f t="shared" si="1937"/>
        <v/>
      </c>
      <c r="FR134" s="301" t="str">
        <f t="shared" si="1937"/>
        <v/>
      </c>
      <c r="FS134" s="294" t="str">
        <f>ADHK!FS134</f>
        <v/>
      </c>
      <c r="FT134" s="294"/>
      <c r="FU134" s="294">
        <f t="shared" si="1655"/>
        <v>0</v>
      </c>
      <c r="FV134" s="302"/>
      <c r="FW134" s="294">
        <f t="shared" si="1656"/>
        <v>0</v>
      </c>
      <c r="FX134" s="96"/>
      <c r="FY134" s="96"/>
      <c r="FZ134" s="97"/>
      <c r="GA134" s="294">
        <f t="shared" si="1657"/>
        <v>0</v>
      </c>
      <c r="GB134" s="302">
        <f t="shared" si="1658"/>
        <v>0.4604471269</v>
      </c>
      <c r="GC134" s="303">
        <f t="shared" si="1659"/>
        <v>0</v>
      </c>
      <c r="GD134" s="304">
        <f t="shared" si="1660"/>
        <v>0</v>
      </c>
      <c r="GE134" s="297"/>
      <c r="GF134" s="299">
        <f t="shared" si="1732"/>
        <v>14</v>
      </c>
      <c r="GG134" s="300" t="str">
        <f t="shared" ref="GG134:GI134" si="1938">IFERROR(VLOOKUP($R134,$A$13:$D$30,-GG$12,FALSE),"")</f>
        <v>Lainnya 2.3 (6) …….</v>
      </c>
      <c r="GH134" s="301" t="str">
        <f t="shared" si="1938"/>
        <v/>
      </c>
      <c r="GI134" s="301" t="str">
        <f t="shared" si="1938"/>
        <v/>
      </c>
      <c r="GJ134" s="294" t="str">
        <f>ADHK!GJ134</f>
        <v/>
      </c>
      <c r="GK134" s="294"/>
      <c r="GL134" s="294">
        <f t="shared" si="1662"/>
        <v>0</v>
      </c>
      <c r="GM134" s="302"/>
      <c r="GN134" s="294">
        <f t="shared" si="1663"/>
        <v>0</v>
      </c>
      <c r="GO134" s="96"/>
      <c r="GP134" s="96"/>
      <c r="GQ134" s="97"/>
      <c r="GR134" s="294">
        <f t="shared" si="1664"/>
        <v>0</v>
      </c>
      <c r="GS134" s="302">
        <f t="shared" si="1665"/>
        <v>0.4604471269</v>
      </c>
      <c r="GT134" s="303">
        <f t="shared" si="1666"/>
        <v>0</v>
      </c>
      <c r="GU134" s="304">
        <f t="shared" si="1667"/>
        <v>0</v>
      </c>
      <c r="GV134" s="297"/>
      <c r="GW134" s="299">
        <f t="shared" si="1734"/>
        <v>14</v>
      </c>
      <c r="GX134" s="300" t="str">
        <f t="shared" ref="GX134:GZ134" si="1939">IFERROR(VLOOKUP($R134,$A$13:$D$30,-GX$12,FALSE),"")</f>
        <v>Lainnya 2.3 (6) …….</v>
      </c>
      <c r="GY134" s="301" t="str">
        <f t="shared" si="1939"/>
        <v/>
      </c>
      <c r="GZ134" s="301" t="str">
        <f t="shared" si="1939"/>
        <v/>
      </c>
      <c r="HA134" s="294"/>
      <c r="HB134" s="294"/>
      <c r="HC134" s="294">
        <f t="shared" si="1669"/>
        <v>0</v>
      </c>
      <c r="HD134" s="302"/>
      <c r="HE134" s="294">
        <f t="shared" si="1670"/>
        <v>0</v>
      </c>
      <c r="HF134" s="96"/>
      <c r="HG134" s="96"/>
      <c r="HH134" s="97"/>
      <c r="HI134" s="294">
        <f t="shared" si="1671"/>
        <v>0</v>
      </c>
      <c r="HJ134" s="302">
        <f t="shared" si="1672"/>
        <v>0.4604471269</v>
      </c>
      <c r="HK134" s="303">
        <f t="shared" si="1673"/>
        <v>0</v>
      </c>
      <c r="HL134" s="304">
        <f t="shared" si="1674"/>
        <v>0</v>
      </c>
      <c r="HM134" s="297"/>
      <c r="HN134" s="299">
        <f t="shared" si="1736"/>
        <v>14</v>
      </c>
      <c r="HO134" s="300" t="str">
        <f t="shared" ref="HO134:HQ134" si="1940">IFERROR(VLOOKUP($R134,$A$13:$D$30,-HO$12,FALSE),"")</f>
        <v>Lainnya 2.3 (6) …….</v>
      </c>
      <c r="HP134" s="301" t="str">
        <f t="shared" si="1940"/>
        <v/>
      </c>
      <c r="HQ134" s="301" t="str">
        <f t="shared" si="1940"/>
        <v/>
      </c>
      <c r="HR134" s="294"/>
      <c r="HS134" s="294"/>
      <c r="HT134" s="294">
        <f t="shared" si="1676"/>
        <v>0</v>
      </c>
      <c r="HU134" s="302"/>
      <c r="HV134" s="294">
        <f t="shared" si="1677"/>
        <v>0</v>
      </c>
      <c r="HW134" s="96"/>
      <c r="HX134" s="96"/>
      <c r="HY134" s="97"/>
      <c r="HZ134" s="294">
        <f t="shared" si="1678"/>
        <v>0</v>
      </c>
      <c r="IA134" s="302">
        <f t="shared" si="1679"/>
        <v>0.4604471269</v>
      </c>
      <c r="IB134" s="303">
        <f t="shared" si="1680"/>
        <v>0</v>
      </c>
      <c r="IC134" s="304">
        <f t="shared" si="1681"/>
        <v>0</v>
      </c>
      <c r="ID134" s="297"/>
      <c r="IE134" s="299">
        <f t="shared" si="1738"/>
        <v>14</v>
      </c>
      <c r="IF134" s="300" t="str">
        <f t="shared" ref="IF134:IH134" si="1941">IFERROR(VLOOKUP($R134,$A$13:$D$30,-IF$12,FALSE),"")</f>
        <v>Lainnya 2.3 (6) …….</v>
      </c>
      <c r="IG134" s="301" t="str">
        <f t="shared" si="1941"/>
        <v/>
      </c>
      <c r="IH134" s="301" t="str">
        <f t="shared" si="1941"/>
        <v/>
      </c>
      <c r="II134" s="294" t="str">
        <f>ADHK!II134</f>
        <v/>
      </c>
      <c r="IJ134" s="294"/>
      <c r="IK134" s="294">
        <f t="shared" si="1683"/>
        <v>0</v>
      </c>
      <c r="IL134" s="302"/>
      <c r="IM134" s="294">
        <f t="shared" si="1684"/>
        <v>0</v>
      </c>
      <c r="IN134" s="96"/>
      <c r="IO134" s="96"/>
      <c r="IP134" s="97"/>
      <c r="IQ134" s="294">
        <f t="shared" si="1685"/>
        <v>0</v>
      </c>
      <c r="IR134" s="302">
        <f t="shared" si="1686"/>
        <v>0.4604471269</v>
      </c>
      <c r="IS134" s="303">
        <f t="shared" si="1687"/>
        <v>0</v>
      </c>
      <c r="IT134" s="304">
        <f t="shared" si="1688"/>
        <v>0</v>
      </c>
      <c r="IU134" s="297"/>
      <c r="IV134" s="299">
        <f t="shared" si="1740"/>
        <v>14</v>
      </c>
      <c r="IW134" s="300" t="str">
        <f t="shared" ref="IW134:IY134" si="1942">IFERROR(VLOOKUP($R134,$A$13:$D$30,-IW$12,FALSE),"")</f>
        <v>Lainnya 2.3 (6) …….</v>
      </c>
      <c r="IX134" s="301" t="str">
        <f t="shared" si="1942"/>
        <v/>
      </c>
      <c r="IY134" s="301" t="str">
        <f t="shared" si="1942"/>
        <v/>
      </c>
      <c r="IZ134" s="294" t="str">
        <f>ADHK!IZ134</f>
        <v/>
      </c>
      <c r="JA134" s="294"/>
      <c r="JB134" s="294">
        <f t="shared" si="1690"/>
        <v>0</v>
      </c>
      <c r="JC134" s="302"/>
      <c r="JD134" s="294">
        <f t="shared" si="1691"/>
        <v>0</v>
      </c>
      <c r="JE134" s="96"/>
      <c r="JF134" s="96"/>
      <c r="JG134" s="97"/>
      <c r="JH134" s="294">
        <f t="shared" si="1692"/>
        <v>0</v>
      </c>
      <c r="JI134" s="302">
        <f t="shared" si="1693"/>
        <v>0.4604471269</v>
      </c>
      <c r="JJ134" s="303">
        <f t="shared" si="1694"/>
        <v>0</v>
      </c>
      <c r="JK134" s="304">
        <f t="shared" si="1695"/>
        <v>0</v>
      </c>
      <c r="JL134" s="297"/>
      <c r="JM134" s="299">
        <f t="shared" si="1742"/>
        <v>14</v>
      </c>
      <c r="JN134" s="300" t="str">
        <f t="shared" ref="JN134:JP134" si="1943">IFERROR(VLOOKUP($R134,$A$13:$D$30,-JN$12,FALSE),"")</f>
        <v>Lainnya 2.3 (6) …….</v>
      </c>
      <c r="JO134" s="301" t="str">
        <f t="shared" si="1943"/>
        <v/>
      </c>
      <c r="JP134" s="301" t="str">
        <f t="shared" si="1943"/>
        <v/>
      </c>
      <c r="JQ134" s="294" t="str">
        <f>ADHK!KY134</f>
        <v/>
      </c>
      <c r="JR134" s="294"/>
      <c r="JS134" s="294">
        <f t="shared" si="1697"/>
        <v>0</v>
      </c>
      <c r="JT134" s="302"/>
      <c r="JU134" s="294">
        <f t="shared" si="1698"/>
        <v>0</v>
      </c>
      <c r="JV134" s="96"/>
      <c r="JW134" s="96"/>
      <c r="JX134" s="97"/>
      <c r="JY134" s="294">
        <f t="shared" si="1699"/>
        <v>0</v>
      </c>
      <c r="JZ134" s="302">
        <f t="shared" si="1700"/>
        <v>0.4604471269</v>
      </c>
      <c r="KA134" s="303">
        <f t="shared" si="1701"/>
        <v>0</v>
      </c>
      <c r="KB134" s="304">
        <f t="shared" si="1702"/>
        <v>0</v>
      </c>
      <c r="KC134" s="297"/>
      <c r="KD134" s="299">
        <f t="shared" si="1744"/>
        <v>14</v>
      </c>
      <c r="KE134" s="300" t="str">
        <f t="shared" ref="KE134:KG134" si="1944">IFERROR(VLOOKUP($R134,$A$13:$D$30,-KE$12,FALSE),"")</f>
        <v>Lainnya 2.3 (6) …….</v>
      </c>
      <c r="KF134" s="301" t="str">
        <f t="shared" si="1944"/>
        <v/>
      </c>
      <c r="KG134" s="301" t="str">
        <f t="shared" si="1944"/>
        <v/>
      </c>
      <c r="KH134" s="294" t="str">
        <f>ADHK!LP134</f>
        <v/>
      </c>
      <c r="KI134" s="294"/>
      <c r="KJ134" s="294">
        <f t="shared" si="1704"/>
        <v>0</v>
      </c>
      <c r="KK134" s="302"/>
      <c r="KL134" s="294">
        <f t="shared" si="1705"/>
        <v>0</v>
      </c>
      <c r="KM134" s="96"/>
      <c r="KN134" s="96"/>
      <c r="KO134" s="97"/>
      <c r="KP134" s="294">
        <f t="shared" si="1706"/>
        <v>0</v>
      </c>
      <c r="KQ134" s="302">
        <f t="shared" si="1707"/>
        <v>0.4604471269</v>
      </c>
      <c r="KR134" s="303">
        <f t="shared" si="1708"/>
        <v>0</v>
      </c>
      <c r="KS134" s="304">
        <f t="shared" si="1709"/>
        <v>0</v>
      </c>
      <c r="KT134" s="297"/>
      <c r="KU134" s="298"/>
    </row>
    <row r="135" ht="15.75" customHeight="1">
      <c r="A135" s="299">
        <f t="shared" si="1710"/>
        <v>15</v>
      </c>
      <c r="B135" s="300" t="str">
        <f t="shared" ref="B135:D135" si="1945">IFERROR(VLOOKUP($A135,$A$13:$D$30,-B$12,FALSE),"")</f>
        <v>Lainnya 2.3 (7) …….</v>
      </c>
      <c r="C135" s="301" t="str">
        <f t="shared" si="1945"/>
        <v/>
      </c>
      <c r="D135" s="301" t="str">
        <f t="shared" si="1945"/>
        <v/>
      </c>
      <c r="E135" s="294" t="str">
        <f>ADHK!E135</f>
        <v/>
      </c>
      <c r="F135" s="294">
        <f>ADHK!F135</f>
        <v>6500000</v>
      </c>
      <c r="G135" s="294">
        <f t="shared" si="1585"/>
        <v>0</v>
      </c>
      <c r="H135" s="302"/>
      <c r="I135" s="294">
        <f t="shared" si="1586"/>
        <v>0</v>
      </c>
      <c r="J135" s="96"/>
      <c r="K135" s="96"/>
      <c r="L135" s="97"/>
      <c r="M135" s="294">
        <f t="shared" si="1587"/>
        <v>0</v>
      </c>
      <c r="N135" s="302">
        <f t="shared" si="1588"/>
        <v>0.4604471269</v>
      </c>
      <c r="O135" s="303">
        <f t="shared" si="1589"/>
        <v>0</v>
      </c>
      <c r="P135" s="304">
        <f t="shared" si="1590"/>
        <v>0</v>
      </c>
      <c r="Q135" s="297"/>
      <c r="R135" s="299">
        <f t="shared" si="1712"/>
        <v>15</v>
      </c>
      <c r="S135" s="300" t="str">
        <f t="shared" ref="S135:U135" si="1946">IFERROR(VLOOKUP($R135,$A$13:$D$30,-S$12,FALSE),"")</f>
        <v>Lainnya 2.3 (7) …….</v>
      </c>
      <c r="T135" s="301" t="str">
        <f t="shared" si="1946"/>
        <v/>
      </c>
      <c r="U135" s="301" t="str">
        <f t="shared" si="1946"/>
        <v/>
      </c>
      <c r="V135" s="294" t="str">
        <f>ADHK!V135</f>
        <v/>
      </c>
      <c r="W135" s="294"/>
      <c r="X135" s="294">
        <f t="shared" si="1592"/>
        <v>0</v>
      </c>
      <c r="Y135" s="302"/>
      <c r="Z135" s="294">
        <f t="shared" si="1593"/>
        <v>0</v>
      </c>
      <c r="AA135" s="96"/>
      <c r="AB135" s="96"/>
      <c r="AC135" s="97"/>
      <c r="AD135" s="294">
        <f t="shared" si="1594"/>
        <v>0</v>
      </c>
      <c r="AE135" s="302">
        <f t="shared" si="1595"/>
        <v>0.4604471269</v>
      </c>
      <c r="AF135" s="303">
        <f t="shared" si="1596"/>
        <v>0</v>
      </c>
      <c r="AG135" s="304">
        <f t="shared" si="1597"/>
        <v>0</v>
      </c>
      <c r="AH135" s="297"/>
      <c r="AI135" s="299">
        <f t="shared" si="1714"/>
        <v>15</v>
      </c>
      <c r="AJ135" s="300" t="str">
        <f t="shared" ref="AJ135:AL135" si="1947">IFERROR(VLOOKUP($R135,$A$13:$D$30,-AJ$12,FALSE),"")</f>
        <v>Lainnya 2.3 (7) …….</v>
      </c>
      <c r="AK135" s="301" t="str">
        <f t="shared" si="1947"/>
        <v/>
      </c>
      <c r="AL135" s="301" t="str">
        <f t="shared" si="1947"/>
        <v/>
      </c>
      <c r="AM135" s="294" t="str">
        <f>ADHK!AM135</f>
        <v/>
      </c>
      <c r="AN135" s="294"/>
      <c r="AO135" s="294">
        <f t="shared" si="1599"/>
        <v>0</v>
      </c>
      <c r="AP135" s="302"/>
      <c r="AQ135" s="294">
        <f t="shared" si="1600"/>
        <v>0</v>
      </c>
      <c r="AR135" s="96"/>
      <c r="AS135" s="96"/>
      <c r="AT135" s="97"/>
      <c r="AU135" s="294">
        <f t="shared" si="1601"/>
        <v>0</v>
      </c>
      <c r="AV135" s="302">
        <f t="shared" si="1602"/>
        <v>0.4604471269</v>
      </c>
      <c r="AW135" s="303">
        <f t="shared" si="1603"/>
        <v>0</v>
      </c>
      <c r="AX135" s="304">
        <f t="shared" si="1604"/>
        <v>0</v>
      </c>
      <c r="AY135" s="297"/>
      <c r="AZ135" s="299">
        <f t="shared" si="1716"/>
        <v>15</v>
      </c>
      <c r="BA135" s="300" t="str">
        <f t="shared" ref="BA135:BC135" si="1948">IFERROR(VLOOKUP($R135,$A$13:$D$30,-BA$12,FALSE),"")</f>
        <v>Lainnya 2.3 (7) …….</v>
      </c>
      <c r="BB135" s="301" t="str">
        <f t="shared" si="1948"/>
        <v/>
      </c>
      <c r="BC135" s="301" t="str">
        <f t="shared" si="1948"/>
        <v/>
      </c>
      <c r="BD135" s="294" t="str">
        <f>ADHK!BD135</f>
        <v/>
      </c>
      <c r="BE135" s="294"/>
      <c r="BF135" s="294">
        <f t="shared" si="1606"/>
        <v>0</v>
      </c>
      <c r="BG135" s="302"/>
      <c r="BH135" s="294">
        <f t="shared" si="1607"/>
        <v>0</v>
      </c>
      <c r="BI135" s="96"/>
      <c r="BJ135" s="96"/>
      <c r="BK135" s="97"/>
      <c r="BL135" s="294">
        <f t="shared" si="1608"/>
        <v>0</v>
      </c>
      <c r="BM135" s="302">
        <f t="shared" si="1609"/>
        <v>0.4604471269</v>
      </c>
      <c r="BN135" s="303">
        <f t="shared" si="1610"/>
        <v>0</v>
      </c>
      <c r="BO135" s="304">
        <f t="shared" si="1611"/>
        <v>0</v>
      </c>
      <c r="BP135" s="297"/>
      <c r="BQ135" s="299">
        <f t="shared" si="1718"/>
        <v>15</v>
      </c>
      <c r="BR135" s="300" t="str">
        <f t="shared" ref="BR135:BT135" si="1949">IFERROR(VLOOKUP($R135,$A$13:$D$30,-BR$12,FALSE),"")</f>
        <v>Lainnya 2.3 (7) …….</v>
      </c>
      <c r="BS135" s="301" t="str">
        <f t="shared" si="1949"/>
        <v/>
      </c>
      <c r="BT135" s="301" t="str">
        <f t="shared" si="1949"/>
        <v/>
      </c>
      <c r="BU135" s="294" t="str">
        <f>ADHK!BU135</f>
        <v/>
      </c>
      <c r="BV135" s="294"/>
      <c r="BW135" s="294">
        <f t="shared" si="1613"/>
        <v>0</v>
      </c>
      <c r="BX135" s="302"/>
      <c r="BY135" s="294">
        <f t="shared" si="1614"/>
        <v>0</v>
      </c>
      <c r="BZ135" s="96"/>
      <c r="CA135" s="96"/>
      <c r="CB135" s="97"/>
      <c r="CC135" s="294">
        <f t="shared" si="1615"/>
        <v>0</v>
      </c>
      <c r="CD135" s="302">
        <f t="shared" si="1616"/>
        <v>0.4604471269</v>
      </c>
      <c r="CE135" s="303">
        <f t="shared" si="1617"/>
        <v>0</v>
      </c>
      <c r="CF135" s="304">
        <f t="shared" si="1618"/>
        <v>0</v>
      </c>
      <c r="CG135" s="297"/>
      <c r="CH135" s="299">
        <f t="shared" si="1720"/>
        <v>15</v>
      </c>
      <c r="CI135" s="300" t="str">
        <f t="shared" ref="CI135:CK135" si="1950">IFERROR(VLOOKUP($R135,$A$13:$D$30,-CI$12,FALSE),"")</f>
        <v>Lainnya 2.3 (7) …….</v>
      </c>
      <c r="CJ135" s="301" t="str">
        <f t="shared" si="1950"/>
        <v/>
      </c>
      <c r="CK135" s="301" t="str">
        <f t="shared" si="1950"/>
        <v/>
      </c>
      <c r="CL135" s="294" t="str">
        <f>ADHK!CL135</f>
        <v/>
      </c>
      <c r="CM135" s="294"/>
      <c r="CN135" s="294">
        <f t="shared" si="1620"/>
        <v>0</v>
      </c>
      <c r="CO135" s="302"/>
      <c r="CP135" s="294">
        <f t="shared" si="1621"/>
        <v>0</v>
      </c>
      <c r="CQ135" s="96"/>
      <c r="CR135" s="96"/>
      <c r="CS135" s="97"/>
      <c r="CT135" s="294">
        <f t="shared" si="1622"/>
        <v>0</v>
      </c>
      <c r="CU135" s="302">
        <f t="shared" si="1623"/>
        <v>0.4604471269</v>
      </c>
      <c r="CV135" s="303">
        <f t="shared" si="1624"/>
        <v>0</v>
      </c>
      <c r="CW135" s="304">
        <f t="shared" si="1625"/>
        <v>0</v>
      </c>
      <c r="CX135" s="297"/>
      <c r="CY135" s="299">
        <f t="shared" si="1722"/>
        <v>15</v>
      </c>
      <c r="CZ135" s="300" t="str">
        <f t="shared" ref="CZ135:DB135" si="1951">IFERROR(VLOOKUP($R135,$A$13:$D$30,-CZ$12,FALSE),"")</f>
        <v>Lainnya 2.3 (7) …….</v>
      </c>
      <c r="DA135" s="301" t="str">
        <f t="shared" si="1951"/>
        <v/>
      </c>
      <c r="DB135" s="301" t="str">
        <f t="shared" si="1951"/>
        <v/>
      </c>
      <c r="DC135" s="294" t="str">
        <f>ADHK!DC135</f>
        <v/>
      </c>
      <c r="DD135" s="294"/>
      <c r="DE135" s="294">
        <f t="shared" si="1627"/>
        <v>0</v>
      </c>
      <c r="DF135" s="302"/>
      <c r="DG135" s="294">
        <f t="shared" si="1628"/>
        <v>0</v>
      </c>
      <c r="DH135" s="96"/>
      <c r="DI135" s="96"/>
      <c r="DJ135" s="97"/>
      <c r="DK135" s="294">
        <f t="shared" si="1629"/>
        <v>0</v>
      </c>
      <c r="DL135" s="302">
        <f t="shared" si="1630"/>
        <v>0.4604471269</v>
      </c>
      <c r="DM135" s="303">
        <f t="shared" si="1631"/>
        <v>0</v>
      </c>
      <c r="DN135" s="304">
        <f t="shared" si="1632"/>
        <v>0</v>
      </c>
      <c r="DO135" s="297"/>
      <c r="DP135" s="299">
        <f t="shared" si="1724"/>
        <v>15</v>
      </c>
      <c r="DQ135" s="300" t="str">
        <f t="shared" ref="DQ135:DS135" si="1952">IFERROR(VLOOKUP($R135,$A$13:$D$30,-DQ$12,FALSE),"")</f>
        <v>Lainnya 2.3 (7) …….</v>
      </c>
      <c r="DR135" s="301" t="str">
        <f t="shared" si="1952"/>
        <v/>
      </c>
      <c r="DS135" s="301" t="str">
        <f t="shared" si="1952"/>
        <v/>
      </c>
      <c r="DT135" s="294" t="str">
        <f>ADHK!DT135</f>
        <v/>
      </c>
      <c r="DU135" s="294"/>
      <c r="DV135" s="294">
        <f t="shared" si="1634"/>
        <v>0</v>
      </c>
      <c r="DW135" s="302"/>
      <c r="DX135" s="294">
        <f t="shared" si="1635"/>
        <v>0</v>
      </c>
      <c r="DY135" s="96"/>
      <c r="DZ135" s="96"/>
      <c r="EA135" s="97"/>
      <c r="EB135" s="294">
        <f t="shared" si="1636"/>
        <v>0</v>
      </c>
      <c r="EC135" s="302">
        <f t="shared" si="1637"/>
        <v>0.4604471269</v>
      </c>
      <c r="ED135" s="303">
        <f t="shared" si="1638"/>
        <v>0</v>
      </c>
      <c r="EE135" s="304">
        <f t="shared" si="1639"/>
        <v>0</v>
      </c>
      <c r="EF135" s="297"/>
      <c r="EG135" s="299">
        <f t="shared" si="1726"/>
        <v>15</v>
      </c>
      <c r="EH135" s="300" t="str">
        <f t="shared" ref="EH135:EJ135" si="1953">IFERROR(VLOOKUP($R135,$A$13:$D$30,-EH$12,FALSE),"")</f>
        <v>Lainnya 2.3 (7) …….</v>
      </c>
      <c r="EI135" s="301" t="str">
        <f t="shared" si="1953"/>
        <v/>
      </c>
      <c r="EJ135" s="301" t="str">
        <f t="shared" si="1953"/>
        <v/>
      </c>
      <c r="EK135" s="294" t="str">
        <f>ADHK!EK135</f>
        <v/>
      </c>
      <c r="EL135" s="294"/>
      <c r="EM135" s="294">
        <f t="shared" si="1641"/>
        <v>0</v>
      </c>
      <c r="EN135" s="302"/>
      <c r="EO135" s="294">
        <f t="shared" si="1642"/>
        <v>0</v>
      </c>
      <c r="EP135" s="96"/>
      <c r="EQ135" s="96"/>
      <c r="ER135" s="97"/>
      <c r="ES135" s="294">
        <f t="shared" si="1643"/>
        <v>0</v>
      </c>
      <c r="ET135" s="302">
        <f t="shared" si="1644"/>
        <v>0.4604471269</v>
      </c>
      <c r="EU135" s="303">
        <f t="shared" si="1645"/>
        <v>0</v>
      </c>
      <c r="EV135" s="304">
        <f t="shared" si="1646"/>
        <v>0</v>
      </c>
      <c r="EW135" s="297"/>
      <c r="EX135" s="299">
        <f t="shared" si="1728"/>
        <v>15</v>
      </c>
      <c r="EY135" s="300" t="str">
        <f t="shared" ref="EY135:FA135" si="1954">IFERROR(VLOOKUP($R135,$A$13:$D$30,-EY$12,FALSE),"")</f>
        <v>Lainnya 2.3 (7) …….</v>
      </c>
      <c r="EZ135" s="301" t="str">
        <f t="shared" si="1954"/>
        <v/>
      </c>
      <c r="FA135" s="301" t="str">
        <f t="shared" si="1954"/>
        <v/>
      </c>
      <c r="FB135" s="294" t="str">
        <f>ADHK!FB135</f>
        <v/>
      </c>
      <c r="FC135" s="294"/>
      <c r="FD135" s="294">
        <f t="shared" si="1648"/>
        <v>0</v>
      </c>
      <c r="FE135" s="302"/>
      <c r="FF135" s="294">
        <f t="shared" si="1649"/>
        <v>0</v>
      </c>
      <c r="FG135" s="96"/>
      <c r="FH135" s="96"/>
      <c r="FI135" s="97"/>
      <c r="FJ135" s="294">
        <f t="shared" si="1650"/>
        <v>0</v>
      </c>
      <c r="FK135" s="302">
        <f t="shared" si="1651"/>
        <v>0.4604471269</v>
      </c>
      <c r="FL135" s="303">
        <f t="shared" si="1652"/>
        <v>0</v>
      </c>
      <c r="FM135" s="304">
        <f t="shared" si="1653"/>
        <v>0</v>
      </c>
      <c r="FN135" s="297"/>
      <c r="FO135" s="299">
        <f t="shared" si="1730"/>
        <v>15</v>
      </c>
      <c r="FP135" s="300" t="str">
        <f t="shared" ref="FP135:FR135" si="1955">IFERROR(VLOOKUP($R135,$A$13:$D$30,-FP$12,FALSE),"")</f>
        <v>Lainnya 2.3 (7) …….</v>
      </c>
      <c r="FQ135" s="301" t="str">
        <f t="shared" si="1955"/>
        <v/>
      </c>
      <c r="FR135" s="301" t="str">
        <f t="shared" si="1955"/>
        <v/>
      </c>
      <c r="FS135" s="294" t="str">
        <f>ADHK!FS135</f>
        <v/>
      </c>
      <c r="FT135" s="294"/>
      <c r="FU135" s="294">
        <f t="shared" si="1655"/>
        <v>0</v>
      </c>
      <c r="FV135" s="302"/>
      <c r="FW135" s="294">
        <f t="shared" si="1656"/>
        <v>0</v>
      </c>
      <c r="FX135" s="96"/>
      <c r="FY135" s="96"/>
      <c r="FZ135" s="97"/>
      <c r="GA135" s="294">
        <f t="shared" si="1657"/>
        <v>0</v>
      </c>
      <c r="GB135" s="302">
        <f t="shared" si="1658"/>
        <v>0.4604471269</v>
      </c>
      <c r="GC135" s="303">
        <f t="shared" si="1659"/>
        <v>0</v>
      </c>
      <c r="GD135" s="304">
        <f t="shared" si="1660"/>
        <v>0</v>
      </c>
      <c r="GE135" s="297"/>
      <c r="GF135" s="299">
        <f t="shared" si="1732"/>
        <v>15</v>
      </c>
      <c r="GG135" s="300" t="str">
        <f t="shared" ref="GG135:GI135" si="1956">IFERROR(VLOOKUP($R135,$A$13:$D$30,-GG$12,FALSE),"")</f>
        <v>Lainnya 2.3 (7) …….</v>
      </c>
      <c r="GH135" s="301" t="str">
        <f t="shared" si="1956"/>
        <v/>
      </c>
      <c r="GI135" s="301" t="str">
        <f t="shared" si="1956"/>
        <v/>
      </c>
      <c r="GJ135" s="294" t="str">
        <f>ADHK!GJ135</f>
        <v/>
      </c>
      <c r="GK135" s="294"/>
      <c r="GL135" s="294">
        <f t="shared" si="1662"/>
        <v>0</v>
      </c>
      <c r="GM135" s="302"/>
      <c r="GN135" s="294">
        <f t="shared" si="1663"/>
        <v>0</v>
      </c>
      <c r="GO135" s="96"/>
      <c r="GP135" s="96"/>
      <c r="GQ135" s="97"/>
      <c r="GR135" s="294">
        <f t="shared" si="1664"/>
        <v>0</v>
      </c>
      <c r="GS135" s="302">
        <f t="shared" si="1665"/>
        <v>0.4604471269</v>
      </c>
      <c r="GT135" s="303">
        <f t="shared" si="1666"/>
        <v>0</v>
      </c>
      <c r="GU135" s="304">
        <f t="shared" si="1667"/>
        <v>0</v>
      </c>
      <c r="GV135" s="297"/>
      <c r="GW135" s="299">
        <f t="shared" si="1734"/>
        <v>15</v>
      </c>
      <c r="GX135" s="300" t="str">
        <f t="shared" ref="GX135:GZ135" si="1957">IFERROR(VLOOKUP($R135,$A$13:$D$30,-GX$12,FALSE),"")</f>
        <v>Lainnya 2.3 (7) …….</v>
      </c>
      <c r="GY135" s="301" t="str">
        <f t="shared" si="1957"/>
        <v/>
      </c>
      <c r="GZ135" s="301" t="str">
        <f t="shared" si="1957"/>
        <v/>
      </c>
      <c r="HA135" s="294"/>
      <c r="HB135" s="305"/>
      <c r="HC135" s="294">
        <f t="shared" si="1669"/>
        <v>0</v>
      </c>
      <c r="HD135" s="302"/>
      <c r="HE135" s="294">
        <f t="shared" si="1670"/>
        <v>0</v>
      </c>
      <c r="HF135" s="96"/>
      <c r="HG135" s="96"/>
      <c r="HH135" s="97"/>
      <c r="HI135" s="294">
        <f t="shared" si="1671"/>
        <v>0</v>
      </c>
      <c r="HJ135" s="302">
        <f t="shared" si="1672"/>
        <v>0.4604471269</v>
      </c>
      <c r="HK135" s="303">
        <f t="shared" si="1673"/>
        <v>0</v>
      </c>
      <c r="HL135" s="304">
        <f t="shared" si="1674"/>
        <v>0</v>
      </c>
      <c r="HM135" s="297"/>
      <c r="HN135" s="299">
        <f t="shared" si="1736"/>
        <v>15</v>
      </c>
      <c r="HO135" s="300" t="str">
        <f t="shared" ref="HO135:HQ135" si="1958">IFERROR(VLOOKUP($R135,$A$13:$D$30,-HO$12,FALSE),"")</f>
        <v>Lainnya 2.3 (7) …….</v>
      </c>
      <c r="HP135" s="301" t="str">
        <f t="shared" si="1958"/>
        <v/>
      </c>
      <c r="HQ135" s="301" t="str">
        <f t="shared" si="1958"/>
        <v/>
      </c>
      <c r="HR135" s="294"/>
      <c r="HS135" s="294"/>
      <c r="HT135" s="294">
        <f t="shared" si="1676"/>
        <v>0</v>
      </c>
      <c r="HU135" s="302"/>
      <c r="HV135" s="294">
        <f t="shared" si="1677"/>
        <v>0</v>
      </c>
      <c r="HW135" s="96"/>
      <c r="HX135" s="96"/>
      <c r="HY135" s="97"/>
      <c r="HZ135" s="294">
        <f t="shared" si="1678"/>
        <v>0</v>
      </c>
      <c r="IA135" s="302">
        <f t="shared" si="1679"/>
        <v>0.4604471269</v>
      </c>
      <c r="IB135" s="303">
        <f t="shared" si="1680"/>
        <v>0</v>
      </c>
      <c r="IC135" s="304">
        <f t="shared" si="1681"/>
        <v>0</v>
      </c>
      <c r="ID135" s="297"/>
      <c r="IE135" s="299">
        <f t="shared" si="1738"/>
        <v>15</v>
      </c>
      <c r="IF135" s="300" t="str">
        <f t="shared" ref="IF135:IH135" si="1959">IFERROR(VLOOKUP($R135,$A$13:$D$30,-IF$12,FALSE),"")</f>
        <v>Lainnya 2.3 (7) …….</v>
      </c>
      <c r="IG135" s="301" t="str">
        <f t="shared" si="1959"/>
        <v/>
      </c>
      <c r="IH135" s="301" t="str">
        <f t="shared" si="1959"/>
        <v/>
      </c>
      <c r="II135" s="294" t="str">
        <f>ADHK!II135</f>
        <v/>
      </c>
      <c r="IJ135" s="294"/>
      <c r="IK135" s="294">
        <f t="shared" si="1683"/>
        <v>0</v>
      </c>
      <c r="IL135" s="302"/>
      <c r="IM135" s="294">
        <f t="shared" si="1684"/>
        <v>0</v>
      </c>
      <c r="IN135" s="96"/>
      <c r="IO135" s="96"/>
      <c r="IP135" s="97"/>
      <c r="IQ135" s="294">
        <f t="shared" si="1685"/>
        <v>0</v>
      </c>
      <c r="IR135" s="302">
        <f t="shared" si="1686"/>
        <v>0.4604471269</v>
      </c>
      <c r="IS135" s="303">
        <f t="shared" si="1687"/>
        <v>0</v>
      </c>
      <c r="IT135" s="304">
        <f t="shared" si="1688"/>
        <v>0</v>
      </c>
      <c r="IU135" s="297"/>
      <c r="IV135" s="299">
        <f t="shared" si="1740"/>
        <v>15</v>
      </c>
      <c r="IW135" s="300" t="str">
        <f t="shared" ref="IW135:IY135" si="1960">IFERROR(VLOOKUP($R135,$A$13:$D$30,-IW$12,FALSE),"")</f>
        <v>Lainnya 2.3 (7) …….</v>
      </c>
      <c r="IX135" s="301" t="str">
        <f t="shared" si="1960"/>
        <v/>
      </c>
      <c r="IY135" s="301" t="str">
        <f t="shared" si="1960"/>
        <v/>
      </c>
      <c r="IZ135" s="294" t="str">
        <f>ADHK!IZ135</f>
        <v/>
      </c>
      <c r="JA135" s="294"/>
      <c r="JB135" s="294">
        <f t="shared" si="1690"/>
        <v>0</v>
      </c>
      <c r="JC135" s="302"/>
      <c r="JD135" s="294">
        <f t="shared" si="1691"/>
        <v>0</v>
      </c>
      <c r="JE135" s="96"/>
      <c r="JF135" s="96"/>
      <c r="JG135" s="97"/>
      <c r="JH135" s="294">
        <f t="shared" si="1692"/>
        <v>0</v>
      </c>
      <c r="JI135" s="302">
        <f t="shared" si="1693"/>
        <v>0.4604471269</v>
      </c>
      <c r="JJ135" s="303">
        <f t="shared" si="1694"/>
        <v>0</v>
      </c>
      <c r="JK135" s="304">
        <f t="shared" si="1695"/>
        <v>0</v>
      </c>
      <c r="JL135" s="297"/>
      <c r="JM135" s="299">
        <f t="shared" si="1742"/>
        <v>15</v>
      </c>
      <c r="JN135" s="300" t="str">
        <f t="shared" ref="JN135:JP135" si="1961">IFERROR(VLOOKUP($R135,$A$13:$D$30,-JN$12,FALSE),"")</f>
        <v>Lainnya 2.3 (7) …….</v>
      </c>
      <c r="JO135" s="301" t="str">
        <f t="shared" si="1961"/>
        <v/>
      </c>
      <c r="JP135" s="301" t="str">
        <f t="shared" si="1961"/>
        <v/>
      </c>
      <c r="JQ135" s="294" t="str">
        <f>ADHK!KY135</f>
        <v/>
      </c>
      <c r="JR135" s="294"/>
      <c r="JS135" s="294">
        <f t="shared" si="1697"/>
        <v>0</v>
      </c>
      <c r="JT135" s="302"/>
      <c r="JU135" s="294">
        <f t="shared" si="1698"/>
        <v>0</v>
      </c>
      <c r="JV135" s="96"/>
      <c r="JW135" s="96"/>
      <c r="JX135" s="97"/>
      <c r="JY135" s="294">
        <f t="shared" si="1699"/>
        <v>0</v>
      </c>
      <c r="JZ135" s="302">
        <f t="shared" si="1700"/>
        <v>0.4604471269</v>
      </c>
      <c r="KA135" s="303">
        <f t="shared" si="1701"/>
        <v>0</v>
      </c>
      <c r="KB135" s="304">
        <f t="shared" si="1702"/>
        <v>0</v>
      </c>
      <c r="KC135" s="297"/>
      <c r="KD135" s="299">
        <f t="shared" si="1744"/>
        <v>15</v>
      </c>
      <c r="KE135" s="300" t="str">
        <f t="shared" ref="KE135:KG135" si="1962">IFERROR(VLOOKUP($R135,$A$13:$D$30,-KE$12,FALSE),"")</f>
        <v>Lainnya 2.3 (7) …….</v>
      </c>
      <c r="KF135" s="301" t="str">
        <f t="shared" si="1962"/>
        <v/>
      </c>
      <c r="KG135" s="301" t="str">
        <f t="shared" si="1962"/>
        <v/>
      </c>
      <c r="KH135" s="294" t="str">
        <f>ADHK!LP135</f>
        <v/>
      </c>
      <c r="KI135" s="294"/>
      <c r="KJ135" s="294">
        <f t="shared" si="1704"/>
        <v>0</v>
      </c>
      <c r="KK135" s="302"/>
      <c r="KL135" s="294">
        <f t="shared" si="1705"/>
        <v>0</v>
      </c>
      <c r="KM135" s="96"/>
      <c r="KN135" s="96"/>
      <c r="KO135" s="97"/>
      <c r="KP135" s="294">
        <f t="shared" si="1706"/>
        <v>0</v>
      </c>
      <c r="KQ135" s="302">
        <f t="shared" si="1707"/>
        <v>0.4604471269</v>
      </c>
      <c r="KR135" s="303">
        <f t="shared" si="1708"/>
        <v>0</v>
      </c>
      <c r="KS135" s="304">
        <f t="shared" si="1709"/>
        <v>0</v>
      </c>
      <c r="KT135" s="297"/>
      <c r="KU135" s="298"/>
    </row>
    <row r="136" ht="15.75" customHeight="1">
      <c r="A136" s="299">
        <f t="shared" si="1710"/>
        <v>16</v>
      </c>
      <c r="B136" s="300" t="str">
        <f t="shared" ref="B136:D136" si="1963">IFERROR(VLOOKUP($A136,$A$13:$D$30,-B$12,FALSE),"")</f>
        <v>Lainnya 2.3 (8) …….</v>
      </c>
      <c r="C136" s="301" t="str">
        <f t="shared" si="1963"/>
        <v/>
      </c>
      <c r="D136" s="301" t="str">
        <f t="shared" si="1963"/>
        <v/>
      </c>
      <c r="E136" s="294" t="str">
        <f>ADHK!E136</f>
        <v/>
      </c>
      <c r="F136" s="294" t="str">
        <f>ADHK!F136</f>
        <v/>
      </c>
      <c r="G136" s="294">
        <f t="shared" si="1585"/>
        <v>0</v>
      </c>
      <c r="H136" s="302"/>
      <c r="I136" s="294">
        <f t="shared" si="1586"/>
        <v>0</v>
      </c>
      <c r="J136" s="96"/>
      <c r="K136" s="96"/>
      <c r="L136" s="97"/>
      <c r="M136" s="294">
        <f t="shared" si="1587"/>
        <v>0</v>
      </c>
      <c r="N136" s="302">
        <f t="shared" si="1588"/>
        <v>0.4604471269</v>
      </c>
      <c r="O136" s="303">
        <f t="shared" si="1589"/>
        <v>0</v>
      </c>
      <c r="P136" s="304">
        <f t="shared" si="1590"/>
        <v>0</v>
      </c>
      <c r="Q136" s="297"/>
      <c r="R136" s="299">
        <f t="shared" si="1712"/>
        <v>16</v>
      </c>
      <c r="S136" s="300" t="str">
        <f t="shared" ref="S136:U136" si="1964">IFERROR(VLOOKUP($R136,$A$13:$D$30,-S$12,FALSE),"")</f>
        <v>Lainnya 2.3 (8) …….</v>
      </c>
      <c r="T136" s="301" t="str">
        <f t="shared" si="1964"/>
        <v/>
      </c>
      <c r="U136" s="301" t="str">
        <f t="shared" si="1964"/>
        <v/>
      </c>
      <c r="V136" s="294" t="str">
        <f>ADHK!V136</f>
        <v/>
      </c>
      <c r="W136" s="294"/>
      <c r="X136" s="294">
        <f t="shared" si="1592"/>
        <v>0</v>
      </c>
      <c r="Y136" s="302"/>
      <c r="Z136" s="294">
        <f t="shared" si="1593"/>
        <v>0</v>
      </c>
      <c r="AA136" s="96"/>
      <c r="AB136" s="96"/>
      <c r="AC136" s="97"/>
      <c r="AD136" s="294">
        <f t="shared" si="1594"/>
        <v>0</v>
      </c>
      <c r="AE136" s="302">
        <f t="shared" si="1595"/>
        <v>0.4604471269</v>
      </c>
      <c r="AF136" s="303">
        <f t="shared" si="1596"/>
        <v>0</v>
      </c>
      <c r="AG136" s="304">
        <f t="shared" si="1597"/>
        <v>0</v>
      </c>
      <c r="AH136" s="297"/>
      <c r="AI136" s="299">
        <f t="shared" si="1714"/>
        <v>16</v>
      </c>
      <c r="AJ136" s="300" t="str">
        <f t="shared" ref="AJ136:AL136" si="1965">IFERROR(VLOOKUP($R136,$A$13:$D$30,-AJ$12,FALSE),"")</f>
        <v>Lainnya 2.3 (8) …….</v>
      </c>
      <c r="AK136" s="301" t="str">
        <f t="shared" si="1965"/>
        <v/>
      </c>
      <c r="AL136" s="301" t="str">
        <f t="shared" si="1965"/>
        <v/>
      </c>
      <c r="AM136" s="294" t="str">
        <f>ADHK!AM136</f>
        <v/>
      </c>
      <c r="AN136" s="294"/>
      <c r="AO136" s="294">
        <f t="shared" si="1599"/>
        <v>0</v>
      </c>
      <c r="AP136" s="302"/>
      <c r="AQ136" s="294">
        <f t="shared" si="1600"/>
        <v>0</v>
      </c>
      <c r="AR136" s="96"/>
      <c r="AS136" s="96"/>
      <c r="AT136" s="97"/>
      <c r="AU136" s="294">
        <f t="shared" si="1601"/>
        <v>0</v>
      </c>
      <c r="AV136" s="302">
        <f t="shared" si="1602"/>
        <v>0.4604471269</v>
      </c>
      <c r="AW136" s="303">
        <f t="shared" si="1603"/>
        <v>0</v>
      </c>
      <c r="AX136" s="304">
        <f t="shared" si="1604"/>
        <v>0</v>
      </c>
      <c r="AY136" s="297"/>
      <c r="AZ136" s="299">
        <f t="shared" si="1716"/>
        <v>16</v>
      </c>
      <c r="BA136" s="300" t="str">
        <f t="shared" ref="BA136:BC136" si="1966">IFERROR(VLOOKUP($R136,$A$13:$D$30,-BA$12,FALSE),"")</f>
        <v>Lainnya 2.3 (8) …….</v>
      </c>
      <c r="BB136" s="301" t="str">
        <f t="shared" si="1966"/>
        <v/>
      </c>
      <c r="BC136" s="301" t="str">
        <f t="shared" si="1966"/>
        <v/>
      </c>
      <c r="BD136" s="294" t="str">
        <f>ADHK!BD136</f>
        <v/>
      </c>
      <c r="BE136" s="294"/>
      <c r="BF136" s="294">
        <f t="shared" si="1606"/>
        <v>0</v>
      </c>
      <c r="BG136" s="302"/>
      <c r="BH136" s="294">
        <f t="shared" si="1607"/>
        <v>0</v>
      </c>
      <c r="BI136" s="96"/>
      <c r="BJ136" s="96"/>
      <c r="BK136" s="97"/>
      <c r="BL136" s="294">
        <f t="shared" si="1608"/>
        <v>0</v>
      </c>
      <c r="BM136" s="302">
        <f t="shared" si="1609"/>
        <v>0.4604471269</v>
      </c>
      <c r="BN136" s="303">
        <f t="shared" si="1610"/>
        <v>0</v>
      </c>
      <c r="BO136" s="304">
        <f t="shared" si="1611"/>
        <v>0</v>
      </c>
      <c r="BP136" s="297"/>
      <c r="BQ136" s="299">
        <f t="shared" si="1718"/>
        <v>16</v>
      </c>
      <c r="BR136" s="300" t="str">
        <f t="shared" ref="BR136:BT136" si="1967">IFERROR(VLOOKUP($R136,$A$13:$D$30,-BR$12,FALSE),"")</f>
        <v>Lainnya 2.3 (8) …….</v>
      </c>
      <c r="BS136" s="301" t="str">
        <f t="shared" si="1967"/>
        <v/>
      </c>
      <c r="BT136" s="301" t="str">
        <f t="shared" si="1967"/>
        <v/>
      </c>
      <c r="BU136" s="294" t="str">
        <f>ADHK!BU136</f>
        <v/>
      </c>
      <c r="BV136" s="294"/>
      <c r="BW136" s="294">
        <f t="shared" si="1613"/>
        <v>0</v>
      </c>
      <c r="BX136" s="302"/>
      <c r="BY136" s="294">
        <f t="shared" si="1614"/>
        <v>0</v>
      </c>
      <c r="BZ136" s="96"/>
      <c r="CA136" s="96"/>
      <c r="CB136" s="97"/>
      <c r="CC136" s="294">
        <f t="shared" si="1615"/>
        <v>0</v>
      </c>
      <c r="CD136" s="302">
        <f t="shared" si="1616"/>
        <v>0.4604471269</v>
      </c>
      <c r="CE136" s="303">
        <f t="shared" si="1617"/>
        <v>0</v>
      </c>
      <c r="CF136" s="304">
        <f t="shared" si="1618"/>
        <v>0</v>
      </c>
      <c r="CG136" s="297"/>
      <c r="CH136" s="299">
        <f t="shared" si="1720"/>
        <v>16</v>
      </c>
      <c r="CI136" s="300" t="str">
        <f t="shared" ref="CI136:CK136" si="1968">IFERROR(VLOOKUP($R136,$A$13:$D$30,-CI$12,FALSE),"")</f>
        <v>Lainnya 2.3 (8) …….</v>
      </c>
      <c r="CJ136" s="301" t="str">
        <f t="shared" si="1968"/>
        <v/>
      </c>
      <c r="CK136" s="301" t="str">
        <f t="shared" si="1968"/>
        <v/>
      </c>
      <c r="CL136" s="294" t="str">
        <f>ADHK!CL136</f>
        <v/>
      </c>
      <c r="CM136" s="294"/>
      <c r="CN136" s="294">
        <f t="shared" si="1620"/>
        <v>0</v>
      </c>
      <c r="CO136" s="302"/>
      <c r="CP136" s="294">
        <f t="shared" si="1621"/>
        <v>0</v>
      </c>
      <c r="CQ136" s="96"/>
      <c r="CR136" s="96"/>
      <c r="CS136" s="97"/>
      <c r="CT136" s="294">
        <f t="shared" si="1622"/>
        <v>0</v>
      </c>
      <c r="CU136" s="302">
        <f t="shared" si="1623"/>
        <v>0.4604471269</v>
      </c>
      <c r="CV136" s="303">
        <f t="shared" si="1624"/>
        <v>0</v>
      </c>
      <c r="CW136" s="304">
        <f t="shared" si="1625"/>
        <v>0</v>
      </c>
      <c r="CX136" s="297"/>
      <c r="CY136" s="299">
        <f t="shared" si="1722"/>
        <v>16</v>
      </c>
      <c r="CZ136" s="300" t="str">
        <f t="shared" ref="CZ136:DB136" si="1969">IFERROR(VLOOKUP($R136,$A$13:$D$30,-CZ$12,FALSE),"")</f>
        <v>Lainnya 2.3 (8) …….</v>
      </c>
      <c r="DA136" s="301" t="str">
        <f t="shared" si="1969"/>
        <v/>
      </c>
      <c r="DB136" s="301" t="str">
        <f t="shared" si="1969"/>
        <v/>
      </c>
      <c r="DC136" s="294" t="str">
        <f>ADHK!DC136</f>
        <v/>
      </c>
      <c r="DD136" s="294"/>
      <c r="DE136" s="294">
        <f t="shared" si="1627"/>
        <v>0</v>
      </c>
      <c r="DF136" s="302"/>
      <c r="DG136" s="294">
        <f t="shared" si="1628"/>
        <v>0</v>
      </c>
      <c r="DH136" s="96"/>
      <c r="DI136" s="96"/>
      <c r="DJ136" s="97"/>
      <c r="DK136" s="294">
        <f t="shared" si="1629"/>
        <v>0</v>
      </c>
      <c r="DL136" s="302">
        <f t="shared" si="1630"/>
        <v>0.4604471269</v>
      </c>
      <c r="DM136" s="303">
        <f t="shared" si="1631"/>
        <v>0</v>
      </c>
      <c r="DN136" s="304">
        <f t="shared" si="1632"/>
        <v>0</v>
      </c>
      <c r="DO136" s="297"/>
      <c r="DP136" s="299">
        <f t="shared" si="1724"/>
        <v>16</v>
      </c>
      <c r="DQ136" s="300" t="str">
        <f t="shared" ref="DQ136:DS136" si="1970">IFERROR(VLOOKUP($R136,$A$13:$D$30,-DQ$12,FALSE),"")</f>
        <v>Lainnya 2.3 (8) …….</v>
      </c>
      <c r="DR136" s="301" t="str">
        <f t="shared" si="1970"/>
        <v/>
      </c>
      <c r="DS136" s="301" t="str">
        <f t="shared" si="1970"/>
        <v/>
      </c>
      <c r="DT136" s="294" t="str">
        <f>ADHK!DT136</f>
        <v/>
      </c>
      <c r="DU136" s="294"/>
      <c r="DV136" s="294">
        <f t="shared" si="1634"/>
        <v>0</v>
      </c>
      <c r="DW136" s="302"/>
      <c r="DX136" s="294">
        <f t="shared" si="1635"/>
        <v>0</v>
      </c>
      <c r="DY136" s="96"/>
      <c r="DZ136" s="96"/>
      <c r="EA136" s="97"/>
      <c r="EB136" s="294">
        <f t="shared" si="1636"/>
        <v>0</v>
      </c>
      <c r="EC136" s="302">
        <f t="shared" si="1637"/>
        <v>0.4604471269</v>
      </c>
      <c r="ED136" s="303">
        <f t="shared" si="1638"/>
        <v>0</v>
      </c>
      <c r="EE136" s="304">
        <f t="shared" si="1639"/>
        <v>0</v>
      </c>
      <c r="EF136" s="297"/>
      <c r="EG136" s="299">
        <f t="shared" si="1726"/>
        <v>16</v>
      </c>
      <c r="EH136" s="300" t="str">
        <f t="shared" ref="EH136:EJ136" si="1971">IFERROR(VLOOKUP($R136,$A$13:$D$30,-EH$12,FALSE),"")</f>
        <v>Lainnya 2.3 (8) …….</v>
      </c>
      <c r="EI136" s="301" t="str">
        <f t="shared" si="1971"/>
        <v/>
      </c>
      <c r="EJ136" s="301" t="str">
        <f t="shared" si="1971"/>
        <v/>
      </c>
      <c r="EK136" s="294" t="str">
        <f>ADHK!EK136</f>
        <v/>
      </c>
      <c r="EL136" s="294"/>
      <c r="EM136" s="294">
        <f t="shared" si="1641"/>
        <v>0</v>
      </c>
      <c r="EN136" s="302"/>
      <c r="EO136" s="294">
        <f t="shared" si="1642"/>
        <v>0</v>
      </c>
      <c r="EP136" s="96"/>
      <c r="EQ136" s="96"/>
      <c r="ER136" s="97"/>
      <c r="ES136" s="294">
        <f t="shared" si="1643"/>
        <v>0</v>
      </c>
      <c r="ET136" s="302">
        <f t="shared" si="1644"/>
        <v>0.4604471269</v>
      </c>
      <c r="EU136" s="303">
        <f t="shared" si="1645"/>
        <v>0</v>
      </c>
      <c r="EV136" s="304">
        <f t="shared" si="1646"/>
        <v>0</v>
      </c>
      <c r="EW136" s="297"/>
      <c r="EX136" s="299">
        <f t="shared" si="1728"/>
        <v>16</v>
      </c>
      <c r="EY136" s="300" t="str">
        <f t="shared" ref="EY136:FA136" si="1972">IFERROR(VLOOKUP($R136,$A$13:$D$30,-EY$12,FALSE),"")</f>
        <v>Lainnya 2.3 (8) …….</v>
      </c>
      <c r="EZ136" s="301" t="str">
        <f t="shared" si="1972"/>
        <v/>
      </c>
      <c r="FA136" s="301" t="str">
        <f t="shared" si="1972"/>
        <v/>
      </c>
      <c r="FB136" s="294" t="str">
        <f>ADHK!FB136</f>
        <v/>
      </c>
      <c r="FC136" s="294"/>
      <c r="FD136" s="294">
        <f t="shared" si="1648"/>
        <v>0</v>
      </c>
      <c r="FE136" s="302"/>
      <c r="FF136" s="294">
        <f t="shared" si="1649"/>
        <v>0</v>
      </c>
      <c r="FG136" s="96"/>
      <c r="FH136" s="96"/>
      <c r="FI136" s="97"/>
      <c r="FJ136" s="294">
        <f t="shared" si="1650"/>
        <v>0</v>
      </c>
      <c r="FK136" s="302">
        <f t="shared" si="1651"/>
        <v>0.4604471269</v>
      </c>
      <c r="FL136" s="303">
        <f t="shared" si="1652"/>
        <v>0</v>
      </c>
      <c r="FM136" s="304">
        <f t="shared" si="1653"/>
        <v>0</v>
      </c>
      <c r="FN136" s="297"/>
      <c r="FO136" s="299">
        <f t="shared" si="1730"/>
        <v>16</v>
      </c>
      <c r="FP136" s="300" t="str">
        <f t="shared" ref="FP136:FR136" si="1973">IFERROR(VLOOKUP($R136,$A$13:$D$30,-FP$12,FALSE),"")</f>
        <v>Lainnya 2.3 (8) …….</v>
      </c>
      <c r="FQ136" s="301" t="str">
        <f t="shared" si="1973"/>
        <v/>
      </c>
      <c r="FR136" s="301" t="str">
        <f t="shared" si="1973"/>
        <v/>
      </c>
      <c r="FS136" s="294" t="str">
        <f>ADHK!FS136</f>
        <v/>
      </c>
      <c r="FT136" s="294"/>
      <c r="FU136" s="294">
        <f t="shared" si="1655"/>
        <v>0</v>
      </c>
      <c r="FV136" s="302"/>
      <c r="FW136" s="294">
        <f t="shared" si="1656"/>
        <v>0</v>
      </c>
      <c r="FX136" s="96"/>
      <c r="FY136" s="96"/>
      <c r="FZ136" s="97"/>
      <c r="GA136" s="294">
        <f t="shared" si="1657"/>
        <v>0</v>
      </c>
      <c r="GB136" s="302">
        <f t="shared" si="1658"/>
        <v>0.4604471269</v>
      </c>
      <c r="GC136" s="303">
        <f t="shared" si="1659"/>
        <v>0</v>
      </c>
      <c r="GD136" s="304">
        <f t="shared" si="1660"/>
        <v>0</v>
      </c>
      <c r="GE136" s="297"/>
      <c r="GF136" s="299">
        <f t="shared" si="1732"/>
        <v>16</v>
      </c>
      <c r="GG136" s="300" t="str">
        <f t="shared" ref="GG136:GI136" si="1974">IFERROR(VLOOKUP($R136,$A$13:$D$30,-GG$12,FALSE),"")</f>
        <v>Lainnya 2.3 (8) …….</v>
      </c>
      <c r="GH136" s="301" t="str">
        <f t="shared" si="1974"/>
        <v/>
      </c>
      <c r="GI136" s="301" t="str">
        <f t="shared" si="1974"/>
        <v/>
      </c>
      <c r="GJ136" s="294" t="str">
        <f>ADHK!GJ136</f>
        <v/>
      </c>
      <c r="GK136" s="294"/>
      <c r="GL136" s="294">
        <f t="shared" si="1662"/>
        <v>0</v>
      </c>
      <c r="GM136" s="302"/>
      <c r="GN136" s="294">
        <f t="shared" si="1663"/>
        <v>0</v>
      </c>
      <c r="GO136" s="96"/>
      <c r="GP136" s="96"/>
      <c r="GQ136" s="97"/>
      <c r="GR136" s="294">
        <f t="shared" si="1664"/>
        <v>0</v>
      </c>
      <c r="GS136" s="302">
        <f t="shared" si="1665"/>
        <v>0.4604471269</v>
      </c>
      <c r="GT136" s="303">
        <f t="shared" si="1666"/>
        <v>0</v>
      </c>
      <c r="GU136" s="304">
        <f t="shared" si="1667"/>
        <v>0</v>
      </c>
      <c r="GV136" s="297"/>
      <c r="GW136" s="299">
        <f t="shared" si="1734"/>
        <v>16</v>
      </c>
      <c r="GX136" s="300" t="str">
        <f t="shared" ref="GX136:GZ136" si="1975">IFERROR(VLOOKUP($R136,$A$13:$D$30,-GX$12,FALSE),"")</f>
        <v>Lainnya 2.3 (8) …….</v>
      </c>
      <c r="GY136" s="301" t="str">
        <f t="shared" si="1975"/>
        <v/>
      </c>
      <c r="GZ136" s="301" t="str">
        <f t="shared" si="1975"/>
        <v/>
      </c>
      <c r="HA136" s="294"/>
      <c r="HB136" s="305"/>
      <c r="HC136" s="294">
        <f t="shared" si="1669"/>
        <v>0</v>
      </c>
      <c r="HD136" s="302"/>
      <c r="HE136" s="294">
        <f t="shared" si="1670"/>
        <v>0</v>
      </c>
      <c r="HF136" s="96"/>
      <c r="HG136" s="96"/>
      <c r="HH136" s="97"/>
      <c r="HI136" s="294">
        <f t="shared" si="1671"/>
        <v>0</v>
      </c>
      <c r="HJ136" s="302">
        <f t="shared" si="1672"/>
        <v>0.4604471269</v>
      </c>
      <c r="HK136" s="303">
        <f t="shared" si="1673"/>
        <v>0</v>
      </c>
      <c r="HL136" s="304">
        <f t="shared" si="1674"/>
        <v>0</v>
      </c>
      <c r="HM136" s="297"/>
      <c r="HN136" s="299">
        <f t="shared" si="1736"/>
        <v>16</v>
      </c>
      <c r="HO136" s="300" t="str">
        <f t="shared" ref="HO136:HQ136" si="1976">IFERROR(VLOOKUP($R136,$A$13:$D$30,-HO$12,FALSE),"")</f>
        <v>Lainnya 2.3 (8) …….</v>
      </c>
      <c r="HP136" s="301" t="str">
        <f t="shared" si="1976"/>
        <v/>
      </c>
      <c r="HQ136" s="301" t="str">
        <f t="shared" si="1976"/>
        <v/>
      </c>
      <c r="HR136" s="294" t="str">
        <f>ADHK!HR136</f>
        <v/>
      </c>
      <c r="HS136" s="294"/>
      <c r="HT136" s="294">
        <f t="shared" si="1676"/>
        <v>0</v>
      </c>
      <c r="HU136" s="302"/>
      <c r="HV136" s="294">
        <f t="shared" si="1677"/>
        <v>0</v>
      </c>
      <c r="HW136" s="96"/>
      <c r="HX136" s="96"/>
      <c r="HY136" s="97"/>
      <c r="HZ136" s="294">
        <f t="shared" si="1678"/>
        <v>0</v>
      </c>
      <c r="IA136" s="302">
        <f t="shared" si="1679"/>
        <v>0.4604471269</v>
      </c>
      <c r="IB136" s="303">
        <f t="shared" si="1680"/>
        <v>0</v>
      </c>
      <c r="IC136" s="304">
        <f t="shared" si="1681"/>
        <v>0</v>
      </c>
      <c r="ID136" s="297"/>
      <c r="IE136" s="299">
        <f t="shared" si="1738"/>
        <v>16</v>
      </c>
      <c r="IF136" s="300" t="str">
        <f t="shared" ref="IF136:IH136" si="1977">IFERROR(VLOOKUP($R136,$A$13:$D$30,-IF$12,FALSE),"")</f>
        <v>Lainnya 2.3 (8) …….</v>
      </c>
      <c r="IG136" s="301" t="str">
        <f t="shared" si="1977"/>
        <v/>
      </c>
      <c r="IH136" s="301" t="str">
        <f t="shared" si="1977"/>
        <v/>
      </c>
      <c r="II136" s="294" t="str">
        <f>ADHK!II136</f>
        <v/>
      </c>
      <c r="IJ136" s="294"/>
      <c r="IK136" s="294">
        <f t="shared" si="1683"/>
        <v>0</v>
      </c>
      <c r="IL136" s="302"/>
      <c r="IM136" s="294">
        <f t="shared" si="1684"/>
        <v>0</v>
      </c>
      <c r="IN136" s="96"/>
      <c r="IO136" s="96"/>
      <c r="IP136" s="97"/>
      <c r="IQ136" s="294">
        <f t="shared" si="1685"/>
        <v>0</v>
      </c>
      <c r="IR136" s="302">
        <f t="shared" si="1686"/>
        <v>0.4604471269</v>
      </c>
      <c r="IS136" s="303">
        <f t="shared" si="1687"/>
        <v>0</v>
      </c>
      <c r="IT136" s="304">
        <f t="shared" si="1688"/>
        <v>0</v>
      </c>
      <c r="IU136" s="297"/>
      <c r="IV136" s="299">
        <f t="shared" si="1740"/>
        <v>16</v>
      </c>
      <c r="IW136" s="300" t="str">
        <f t="shared" ref="IW136:IY136" si="1978">IFERROR(VLOOKUP($R136,$A$13:$D$30,-IW$12,FALSE),"")</f>
        <v>Lainnya 2.3 (8) …….</v>
      </c>
      <c r="IX136" s="301" t="str">
        <f t="shared" si="1978"/>
        <v/>
      </c>
      <c r="IY136" s="301" t="str">
        <f t="shared" si="1978"/>
        <v/>
      </c>
      <c r="IZ136" s="294" t="str">
        <f>ADHK!IZ136</f>
        <v/>
      </c>
      <c r="JA136" s="294"/>
      <c r="JB136" s="294">
        <f t="shared" si="1690"/>
        <v>0</v>
      </c>
      <c r="JC136" s="302"/>
      <c r="JD136" s="294">
        <f t="shared" si="1691"/>
        <v>0</v>
      </c>
      <c r="JE136" s="96"/>
      <c r="JF136" s="96"/>
      <c r="JG136" s="97"/>
      <c r="JH136" s="294">
        <f t="shared" si="1692"/>
        <v>0</v>
      </c>
      <c r="JI136" s="302">
        <f t="shared" si="1693"/>
        <v>0.4604471269</v>
      </c>
      <c r="JJ136" s="303">
        <f t="shared" si="1694"/>
        <v>0</v>
      </c>
      <c r="JK136" s="304">
        <f t="shared" si="1695"/>
        <v>0</v>
      </c>
      <c r="JL136" s="297"/>
      <c r="JM136" s="299">
        <f t="shared" si="1742"/>
        <v>16</v>
      </c>
      <c r="JN136" s="300" t="str">
        <f t="shared" ref="JN136:JP136" si="1979">IFERROR(VLOOKUP($R136,$A$13:$D$30,-JN$12,FALSE),"")</f>
        <v>Lainnya 2.3 (8) …….</v>
      </c>
      <c r="JO136" s="301" t="str">
        <f t="shared" si="1979"/>
        <v/>
      </c>
      <c r="JP136" s="301" t="str">
        <f t="shared" si="1979"/>
        <v/>
      </c>
      <c r="JQ136" s="294" t="str">
        <f>ADHK!KY136</f>
        <v/>
      </c>
      <c r="JR136" s="294"/>
      <c r="JS136" s="294">
        <f t="shared" si="1697"/>
        <v>0</v>
      </c>
      <c r="JT136" s="302"/>
      <c r="JU136" s="294">
        <f t="shared" si="1698"/>
        <v>0</v>
      </c>
      <c r="JV136" s="96"/>
      <c r="JW136" s="96"/>
      <c r="JX136" s="97"/>
      <c r="JY136" s="294">
        <f t="shared" si="1699"/>
        <v>0</v>
      </c>
      <c r="JZ136" s="302">
        <f t="shared" si="1700"/>
        <v>0.4604471269</v>
      </c>
      <c r="KA136" s="303">
        <f t="shared" si="1701"/>
        <v>0</v>
      </c>
      <c r="KB136" s="304">
        <f t="shared" si="1702"/>
        <v>0</v>
      </c>
      <c r="KC136" s="297"/>
      <c r="KD136" s="299">
        <f t="shared" si="1744"/>
        <v>16</v>
      </c>
      <c r="KE136" s="300" t="str">
        <f t="shared" ref="KE136:KG136" si="1980">IFERROR(VLOOKUP($R136,$A$13:$D$30,-KE$12,FALSE),"")</f>
        <v>Lainnya 2.3 (8) …….</v>
      </c>
      <c r="KF136" s="301" t="str">
        <f t="shared" si="1980"/>
        <v/>
      </c>
      <c r="KG136" s="301" t="str">
        <f t="shared" si="1980"/>
        <v/>
      </c>
      <c r="KH136" s="294" t="str">
        <f>ADHK!LP136</f>
        <v/>
      </c>
      <c r="KI136" s="294"/>
      <c r="KJ136" s="294">
        <f t="shared" si="1704"/>
        <v>0</v>
      </c>
      <c r="KK136" s="302"/>
      <c r="KL136" s="294">
        <f t="shared" si="1705"/>
        <v>0</v>
      </c>
      <c r="KM136" s="96"/>
      <c r="KN136" s="96"/>
      <c r="KO136" s="97"/>
      <c r="KP136" s="294">
        <f t="shared" si="1706"/>
        <v>0</v>
      </c>
      <c r="KQ136" s="302">
        <f t="shared" si="1707"/>
        <v>0.4604471269</v>
      </c>
      <c r="KR136" s="303">
        <f t="shared" si="1708"/>
        <v>0</v>
      </c>
      <c r="KS136" s="304">
        <f t="shared" si="1709"/>
        <v>0</v>
      </c>
      <c r="KT136" s="297"/>
      <c r="KU136" s="298"/>
    </row>
    <row r="137" ht="15.75" customHeight="1">
      <c r="A137" s="299">
        <f t="shared" si="1710"/>
        <v>17</v>
      </c>
      <c r="B137" s="300" t="str">
        <f t="shared" ref="B137:D137" si="1981">IFERROR(VLOOKUP($A137,$A$13:$D$30,-B$12,FALSE),"")</f>
        <v>Lainnya 2.3 (9) …….</v>
      </c>
      <c r="C137" s="301" t="str">
        <f t="shared" si="1981"/>
        <v/>
      </c>
      <c r="D137" s="301" t="str">
        <f t="shared" si="1981"/>
        <v/>
      </c>
      <c r="E137" s="294" t="str">
        <f>ADHK!E137</f>
        <v/>
      </c>
      <c r="F137" s="294" t="str">
        <f>ADHK!F137</f>
        <v/>
      </c>
      <c r="G137" s="294">
        <f t="shared" si="1585"/>
        <v>0</v>
      </c>
      <c r="H137" s="302"/>
      <c r="I137" s="294">
        <f t="shared" si="1586"/>
        <v>0</v>
      </c>
      <c r="J137" s="96"/>
      <c r="K137" s="96"/>
      <c r="L137" s="97"/>
      <c r="M137" s="294">
        <f t="shared" si="1587"/>
        <v>0</v>
      </c>
      <c r="N137" s="302">
        <f t="shared" si="1588"/>
        <v>0.4604471269</v>
      </c>
      <c r="O137" s="303">
        <f t="shared" si="1589"/>
        <v>0</v>
      </c>
      <c r="P137" s="304">
        <f t="shared" si="1590"/>
        <v>0</v>
      </c>
      <c r="Q137" s="297"/>
      <c r="R137" s="299">
        <f t="shared" si="1712"/>
        <v>17</v>
      </c>
      <c r="S137" s="300" t="str">
        <f t="shared" ref="S137:U137" si="1982">IFERROR(VLOOKUP($R137,$A$13:$D$30,-S$12,FALSE),"")</f>
        <v>Lainnya 2.3 (9) …….</v>
      </c>
      <c r="T137" s="301" t="str">
        <f t="shared" si="1982"/>
        <v/>
      </c>
      <c r="U137" s="301" t="str">
        <f t="shared" si="1982"/>
        <v/>
      </c>
      <c r="V137" s="294" t="str">
        <f>ADHK!V137</f>
        <v/>
      </c>
      <c r="W137" s="294"/>
      <c r="X137" s="294">
        <f t="shared" si="1592"/>
        <v>0</v>
      </c>
      <c r="Y137" s="302"/>
      <c r="Z137" s="294">
        <f t="shared" si="1593"/>
        <v>0</v>
      </c>
      <c r="AA137" s="96"/>
      <c r="AB137" s="96"/>
      <c r="AC137" s="97"/>
      <c r="AD137" s="294">
        <f t="shared" si="1594"/>
        <v>0</v>
      </c>
      <c r="AE137" s="302">
        <f t="shared" si="1595"/>
        <v>0.4604471269</v>
      </c>
      <c r="AF137" s="303">
        <f t="shared" si="1596"/>
        <v>0</v>
      </c>
      <c r="AG137" s="304">
        <f t="shared" si="1597"/>
        <v>0</v>
      </c>
      <c r="AH137" s="297"/>
      <c r="AI137" s="299">
        <f t="shared" si="1714"/>
        <v>17</v>
      </c>
      <c r="AJ137" s="300" t="str">
        <f t="shared" ref="AJ137:AL137" si="1983">IFERROR(VLOOKUP($R137,$A$13:$D$30,-AJ$12,FALSE),"")</f>
        <v>Lainnya 2.3 (9) …….</v>
      </c>
      <c r="AK137" s="301" t="str">
        <f t="shared" si="1983"/>
        <v/>
      </c>
      <c r="AL137" s="301" t="str">
        <f t="shared" si="1983"/>
        <v/>
      </c>
      <c r="AM137" s="294" t="str">
        <f>ADHK!AM137</f>
        <v/>
      </c>
      <c r="AN137" s="294"/>
      <c r="AO137" s="294">
        <f t="shared" si="1599"/>
        <v>0</v>
      </c>
      <c r="AP137" s="302"/>
      <c r="AQ137" s="294">
        <f t="shared" si="1600"/>
        <v>0</v>
      </c>
      <c r="AR137" s="96"/>
      <c r="AS137" s="96"/>
      <c r="AT137" s="97"/>
      <c r="AU137" s="294">
        <f t="shared" si="1601"/>
        <v>0</v>
      </c>
      <c r="AV137" s="302">
        <f t="shared" si="1602"/>
        <v>0.4604471269</v>
      </c>
      <c r="AW137" s="303">
        <f t="shared" si="1603"/>
        <v>0</v>
      </c>
      <c r="AX137" s="304">
        <f t="shared" si="1604"/>
        <v>0</v>
      </c>
      <c r="AY137" s="297"/>
      <c r="AZ137" s="299">
        <f t="shared" si="1716"/>
        <v>17</v>
      </c>
      <c r="BA137" s="300" t="str">
        <f t="shared" ref="BA137:BC137" si="1984">IFERROR(VLOOKUP($R137,$A$13:$D$30,-BA$12,FALSE),"")</f>
        <v>Lainnya 2.3 (9) …….</v>
      </c>
      <c r="BB137" s="301" t="str">
        <f t="shared" si="1984"/>
        <v/>
      </c>
      <c r="BC137" s="301" t="str">
        <f t="shared" si="1984"/>
        <v/>
      </c>
      <c r="BD137" s="294" t="str">
        <f>ADHK!BD137</f>
        <v/>
      </c>
      <c r="BE137" s="294"/>
      <c r="BF137" s="294">
        <f t="shared" si="1606"/>
        <v>0</v>
      </c>
      <c r="BG137" s="302"/>
      <c r="BH137" s="294">
        <f t="shared" si="1607"/>
        <v>0</v>
      </c>
      <c r="BI137" s="96"/>
      <c r="BJ137" s="96"/>
      <c r="BK137" s="97"/>
      <c r="BL137" s="294">
        <f t="shared" si="1608"/>
        <v>0</v>
      </c>
      <c r="BM137" s="302">
        <f t="shared" si="1609"/>
        <v>0.4604471269</v>
      </c>
      <c r="BN137" s="303">
        <f t="shared" si="1610"/>
        <v>0</v>
      </c>
      <c r="BO137" s="304">
        <f t="shared" si="1611"/>
        <v>0</v>
      </c>
      <c r="BP137" s="297"/>
      <c r="BQ137" s="299">
        <f t="shared" si="1718"/>
        <v>17</v>
      </c>
      <c r="BR137" s="300" t="str">
        <f t="shared" ref="BR137:BT137" si="1985">IFERROR(VLOOKUP($R137,$A$13:$D$30,-BR$12,FALSE),"")</f>
        <v>Lainnya 2.3 (9) …….</v>
      </c>
      <c r="BS137" s="301" t="str">
        <f t="shared" si="1985"/>
        <v/>
      </c>
      <c r="BT137" s="301" t="str">
        <f t="shared" si="1985"/>
        <v/>
      </c>
      <c r="BU137" s="294" t="str">
        <f>ADHK!BU137</f>
        <v/>
      </c>
      <c r="BV137" s="294"/>
      <c r="BW137" s="294">
        <f t="shared" si="1613"/>
        <v>0</v>
      </c>
      <c r="BX137" s="302"/>
      <c r="BY137" s="294">
        <f t="shared" si="1614"/>
        <v>0</v>
      </c>
      <c r="BZ137" s="96"/>
      <c r="CA137" s="96"/>
      <c r="CB137" s="97"/>
      <c r="CC137" s="294">
        <f t="shared" si="1615"/>
        <v>0</v>
      </c>
      <c r="CD137" s="302">
        <f t="shared" si="1616"/>
        <v>0.4604471269</v>
      </c>
      <c r="CE137" s="303">
        <f t="shared" si="1617"/>
        <v>0</v>
      </c>
      <c r="CF137" s="304">
        <f t="shared" si="1618"/>
        <v>0</v>
      </c>
      <c r="CG137" s="297"/>
      <c r="CH137" s="299">
        <f t="shared" si="1720"/>
        <v>17</v>
      </c>
      <c r="CI137" s="300" t="str">
        <f t="shared" ref="CI137:CK137" si="1986">IFERROR(VLOOKUP($R137,$A$13:$D$30,-CI$12,FALSE),"")</f>
        <v>Lainnya 2.3 (9) …….</v>
      </c>
      <c r="CJ137" s="301" t="str">
        <f t="shared" si="1986"/>
        <v/>
      </c>
      <c r="CK137" s="301" t="str">
        <f t="shared" si="1986"/>
        <v/>
      </c>
      <c r="CL137" s="294" t="str">
        <f>ADHK!CL137</f>
        <v/>
      </c>
      <c r="CM137" s="294"/>
      <c r="CN137" s="294">
        <f t="shared" si="1620"/>
        <v>0</v>
      </c>
      <c r="CO137" s="302"/>
      <c r="CP137" s="294">
        <f t="shared" si="1621"/>
        <v>0</v>
      </c>
      <c r="CQ137" s="96"/>
      <c r="CR137" s="96"/>
      <c r="CS137" s="97"/>
      <c r="CT137" s="294">
        <f t="shared" si="1622"/>
        <v>0</v>
      </c>
      <c r="CU137" s="302">
        <f t="shared" si="1623"/>
        <v>0.4604471269</v>
      </c>
      <c r="CV137" s="303">
        <f t="shared" si="1624"/>
        <v>0</v>
      </c>
      <c r="CW137" s="304">
        <f t="shared" si="1625"/>
        <v>0</v>
      </c>
      <c r="CX137" s="297"/>
      <c r="CY137" s="299">
        <f t="shared" si="1722"/>
        <v>17</v>
      </c>
      <c r="CZ137" s="300" t="str">
        <f t="shared" ref="CZ137:DB137" si="1987">IFERROR(VLOOKUP($R137,$A$13:$D$30,-CZ$12,FALSE),"")</f>
        <v>Lainnya 2.3 (9) …….</v>
      </c>
      <c r="DA137" s="301" t="str">
        <f t="shared" si="1987"/>
        <v/>
      </c>
      <c r="DB137" s="301" t="str">
        <f t="shared" si="1987"/>
        <v/>
      </c>
      <c r="DC137" s="294" t="str">
        <f>ADHK!DC137</f>
        <v/>
      </c>
      <c r="DD137" s="294"/>
      <c r="DE137" s="294">
        <f t="shared" si="1627"/>
        <v>0</v>
      </c>
      <c r="DF137" s="302"/>
      <c r="DG137" s="294">
        <f t="shared" si="1628"/>
        <v>0</v>
      </c>
      <c r="DH137" s="96"/>
      <c r="DI137" s="96"/>
      <c r="DJ137" s="97"/>
      <c r="DK137" s="294">
        <f t="shared" si="1629"/>
        <v>0</v>
      </c>
      <c r="DL137" s="302">
        <f t="shared" si="1630"/>
        <v>0.4604471269</v>
      </c>
      <c r="DM137" s="303">
        <f t="shared" si="1631"/>
        <v>0</v>
      </c>
      <c r="DN137" s="304">
        <f t="shared" si="1632"/>
        <v>0</v>
      </c>
      <c r="DO137" s="297"/>
      <c r="DP137" s="299">
        <f t="shared" si="1724"/>
        <v>17</v>
      </c>
      <c r="DQ137" s="300" t="str">
        <f t="shared" ref="DQ137:DS137" si="1988">IFERROR(VLOOKUP($R137,$A$13:$D$30,-DQ$12,FALSE),"")</f>
        <v>Lainnya 2.3 (9) …….</v>
      </c>
      <c r="DR137" s="301" t="str">
        <f t="shared" si="1988"/>
        <v/>
      </c>
      <c r="DS137" s="301" t="str">
        <f t="shared" si="1988"/>
        <v/>
      </c>
      <c r="DT137" s="294" t="str">
        <f>ADHK!DT137</f>
        <v/>
      </c>
      <c r="DU137" s="294"/>
      <c r="DV137" s="294">
        <f t="shared" si="1634"/>
        <v>0</v>
      </c>
      <c r="DW137" s="302"/>
      <c r="DX137" s="294">
        <f t="shared" si="1635"/>
        <v>0</v>
      </c>
      <c r="DY137" s="96"/>
      <c r="DZ137" s="96"/>
      <c r="EA137" s="97"/>
      <c r="EB137" s="294">
        <f t="shared" si="1636"/>
        <v>0</v>
      </c>
      <c r="EC137" s="302">
        <f t="shared" si="1637"/>
        <v>0.4604471269</v>
      </c>
      <c r="ED137" s="303">
        <f t="shared" si="1638"/>
        <v>0</v>
      </c>
      <c r="EE137" s="304">
        <f t="shared" si="1639"/>
        <v>0</v>
      </c>
      <c r="EF137" s="297"/>
      <c r="EG137" s="299">
        <f t="shared" si="1726"/>
        <v>17</v>
      </c>
      <c r="EH137" s="300" t="str">
        <f t="shared" ref="EH137:EJ137" si="1989">IFERROR(VLOOKUP($R137,$A$13:$D$30,-EH$12,FALSE),"")</f>
        <v>Lainnya 2.3 (9) …….</v>
      </c>
      <c r="EI137" s="301" t="str">
        <f t="shared" si="1989"/>
        <v/>
      </c>
      <c r="EJ137" s="301" t="str">
        <f t="shared" si="1989"/>
        <v/>
      </c>
      <c r="EK137" s="294" t="str">
        <f>ADHK!EK137</f>
        <v/>
      </c>
      <c r="EL137" s="294"/>
      <c r="EM137" s="294">
        <f t="shared" si="1641"/>
        <v>0</v>
      </c>
      <c r="EN137" s="302"/>
      <c r="EO137" s="294">
        <f t="shared" si="1642"/>
        <v>0</v>
      </c>
      <c r="EP137" s="96"/>
      <c r="EQ137" s="96"/>
      <c r="ER137" s="97"/>
      <c r="ES137" s="294">
        <f t="shared" si="1643"/>
        <v>0</v>
      </c>
      <c r="ET137" s="302">
        <f t="shared" si="1644"/>
        <v>0.4604471269</v>
      </c>
      <c r="EU137" s="303">
        <f t="shared" si="1645"/>
        <v>0</v>
      </c>
      <c r="EV137" s="304">
        <f t="shared" si="1646"/>
        <v>0</v>
      </c>
      <c r="EW137" s="297"/>
      <c r="EX137" s="299">
        <f t="shared" si="1728"/>
        <v>17</v>
      </c>
      <c r="EY137" s="300" t="str">
        <f t="shared" ref="EY137:FA137" si="1990">IFERROR(VLOOKUP($R137,$A$13:$D$30,-EY$12,FALSE),"")</f>
        <v>Lainnya 2.3 (9) …….</v>
      </c>
      <c r="EZ137" s="301" t="str">
        <f t="shared" si="1990"/>
        <v/>
      </c>
      <c r="FA137" s="301" t="str">
        <f t="shared" si="1990"/>
        <v/>
      </c>
      <c r="FB137" s="294" t="str">
        <f>ADHK!FB137</f>
        <v/>
      </c>
      <c r="FC137" s="294"/>
      <c r="FD137" s="294">
        <f t="shared" si="1648"/>
        <v>0</v>
      </c>
      <c r="FE137" s="302"/>
      <c r="FF137" s="294">
        <f t="shared" si="1649"/>
        <v>0</v>
      </c>
      <c r="FG137" s="96"/>
      <c r="FH137" s="96"/>
      <c r="FI137" s="97"/>
      <c r="FJ137" s="294">
        <f t="shared" si="1650"/>
        <v>0</v>
      </c>
      <c r="FK137" s="302">
        <f t="shared" si="1651"/>
        <v>0.4604471269</v>
      </c>
      <c r="FL137" s="303">
        <f t="shared" si="1652"/>
        <v>0</v>
      </c>
      <c r="FM137" s="304">
        <f t="shared" si="1653"/>
        <v>0</v>
      </c>
      <c r="FN137" s="297"/>
      <c r="FO137" s="299">
        <f t="shared" si="1730"/>
        <v>17</v>
      </c>
      <c r="FP137" s="300" t="str">
        <f t="shared" ref="FP137:FR137" si="1991">IFERROR(VLOOKUP($R137,$A$13:$D$30,-FP$12,FALSE),"")</f>
        <v>Lainnya 2.3 (9) …….</v>
      </c>
      <c r="FQ137" s="301" t="str">
        <f t="shared" si="1991"/>
        <v/>
      </c>
      <c r="FR137" s="301" t="str">
        <f t="shared" si="1991"/>
        <v/>
      </c>
      <c r="FS137" s="294" t="str">
        <f>ADHK!FS137</f>
        <v/>
      </c>
      <c r="FT137" s="294"/>
      <c r="FU137" s="294">
        <f t="shared" si="1655"/>
        <v>0</v>
      </c>
      <c r="FV137" s="302"/>
      <c r="FW137" s="294">
        <f t="shared" si="1656"/>
        <v>0</v>
      </c>
      <c r="FX137" s="96"/>
      <c r="FY137" s="96"/>
      <c r="FZ137" s="97"/>
      <c r="GA137" s="294">
        <f t="shared" si="1657"/>
        <v>0</v>
      </c>
      <c r="GB137" s="302">
        <f t="shared" si="1658"/>
        <v>0.4604471269</v>
      </c>
      <c r="GC137" s="303">
        <f t="shared" si="1659"/>
        <v>0</v>
      </c>
      <c r="GD137" s="304">
        <f t="shared" si="1660"/>
        <v>0</v>
      </c>
      <c r="GE137" s="297"/>
      <c r="GF137" s="299">
        <f t="shared" si="1732"/>
        <v>17</v>
      </c>
      <c r="GG137" s="300" t="str">
        <f t="shared" ref="GG137:GI137" si="1992">IFERROR(VLOOKUP($R137,$A$13:$D$30,-GG$12,FALSE),"")</f>
        <v>Lainnya 2.3 (9) …….</v>
      </c>
      <c r="GH137" s="301" t="str">
        <f t="shared" si="1992"/>
        <v/>
      </c>
      <c r="GI137" s="301" t="str">
        <f t="shared" si="1992"/>
        <v/>
      </c>
      <c r="GJ137" s="294" t="str">
        <f>ADHK!GJ137</f>
        <v/>
      </c>
      <c r="GK137" s="294"/>
      <c r="GL137" s="294">
        <f t="shared" si="1662"/>
        <v>0</v>
      </c>
      <c r="GM137" s="302"/>
      <c r="GN137" s="294">
        <f t="shared" si="1663"/>
        <v>0</v>
      </c>
      <c r="GO137" s="96"/>
      <c r="GP137" s="96"/>
      <c r="GQ137" s="97"/>
      <c r="GR137" s="294">
        <f t="shared" si="1664"/>
        <v>0</v>
      </c>
      <c r="GS137" s="302">
        <f t="shared" si="1665"/>
        <v>0.4604471269</v>
      </c>
      <c r="GT137" s="303">
        <f t="shared" si="1666"/>
        <v>0</v>
      </c>
      <c r="GU137" s="304">
        <f t="shared" si="1667"/>
        <v>0</v>
      </c>
      <c r="GV137" s="297"/>
      <c r="GW137" s="299">
        <f t="shared" si="1734"/>
        <v>17</v>
      </c>
      <c r="GX137" s="300" t="str">
        <f t="shared" ref="GX137:GZ137" si="1993">IFERROR(VLOOKUP($R137,$A$13:$D$30,-GX$12,FALSE),"")</f>
        <v>Lainnya 2.3 (9) …….</v>
      </c>
      <c r="GY137" s="301" t="str">
        <f t="shared" si="1993"/>
        <v/>
      </c>
      <c r="GZ137" s="301" t="str">
        <f t="shared" si="1993"/>
        <v/>
      </c>
      <c r="HA137" s="294" t="str">
        <f>ADHK!HA137</f>
        <v/>
      </c>
      <c r="HB137" s="294"/>
      <c r="HC137" s="294">
        <f t="shared" si="1669"/>
        <v>0</v>
      </c>
      <c r="HD137" s="302"/>
      <c r="HE137" s="294">
        <f t="shared" si="1670"/>
        <v>0</v>
      </c>
      <c r="HF137" s="96"/>
      <c r="HG137" s="96"/>
      <c r="HH137" s="97"/>
      <c r="HI137" s="294">
        <f t="shared" si="1671"/>
        <v>0</v>
      </c>
      <c r="HJ137" s="302">
        <f t="shared" si="1672"/>
        <v>0.4604471269</v>
      </c>
      <c r="HK137" s="303">
        <f t="shared" si="1673"/>
        <v>0</v>
      </c>
      <c r="HL137" s="304">
        <f t="shared" si="1674"/>
        <v>0</v>
      </c>
      <c r="HM137" s="297"/>
      <c r="HN137" s="299">
        <f t="shared" si="1736"/>
        <v>17</v>
      </c>
      <c r="HO137" s="300" t="str">
        <f t="shared" ref="HO137:HQ137" si="1994">IFERROR(VLOOKUP($R137,$A$13:$D$30,-HO$12,FALSE),"")</f>
        <v>Lainnya 2.3 (9) …….</v>
      </c>
      <c r="HP137" s="301" t="str">
        <f t="shared" si="1994"/>
        <v/>
      </c>
      <c r="HQ137" s="301" t="str">
        <f t="shared" si="1994"/>
        <v/>
      </c>
      <c r="HR137" s="294" t="str">
        <f>ADHK!HR137</f>
        <v/>
      </c>
      <c r="HS137" s="294"/>
      <c r="HT137" s="294">
        <f t="shared" si="1676"/>
        <v>0</v>
      </c>
      <c r="HU137" s="302"/>
      <c r="HV137" s="294">
        <f t="shared" si="1677"/>
        <v>0</v>
      </c>
      <c r="HW137" s="96"/>
      <c r="HX137" s="96"/>
      <c r="HY137" s="97"/>
      <c r="HZ137" s="294">
        <f t="shared" si="1678"/>
        <v>0</v>
      </c>
      <c r="IA137" s="302">
        <f t="shared" si="1679"/>
        <v>0.4604471269</v>
      </c>
      <c r="IB137" s="303">
        <f t="shared" si="1680"/>
        <v>0</v>
      </c>
      <c r="IC137" s="304">
        <f t="shared" si="1681"/>
        <v>0</v>
      </c>
      <c r="ID137" s="297"/>
      <c r="IE137" s="299">
        <f t="shared" si="1738"/>
        <v>17</v>
      </c>
      <c r="IF137" s="300" t="str">
        <f t="shared" ref="IF137:IH137" si="1995">IFERROR(VLOOKUP($R137,$A$13:$D$30,-IF$12,FALSE),"")</f>
        <v>Lainnya 2.3 (9) …….</v>
      </c>
      <c r="IG137" s="301" t="str">
        <f t="shared" si="1995"/>
        <v/>
      </c>
      <c r="IH137" s="301" t="str">
        <f t="shared" si="1995"/>
        <v/>
      </c>
      <c r="II137" s="294" t="str">
        <f>ADHK!II137</f>
        <v/>
      </c>
      <c r="IJ137" s="294"/>
      <c r="IK137" s="294">
        <f t="shared" si="1683"/>
        <v>0</v>
      </c>
      <c r="IL137" s="302"/>
      <c r="IM137" s="294">
        <f t="shared" si="1684"/>
        <v>0</v>
      </c>
      <c r="IN137" s="96"/>
      <c r="IO137" s="96"/>
      <c r="IP137" s="97"/>
      <c r="IQ137" s="294">
        <f t="shared" si="1685"/>
        <v>0</v>
      </c>
      <c r="IR137" s="302">
        <f t="shared" si="1686"/>
        <v>0.4604471269</v>
      </c>
      <c r="IS137" s="303">
        <f t="shared" si="1687"/>
        <v>0</v>
      </c>
      <c r="IT137" s="304">
        <f t="shared" si="1688"/>
        <v>0</v>
      </c>
      <c r="IU137" s="297"/>
      <c r="IV137" s="299">
        <f t="shared" si="1740"/>
        <v>17</v>
      </c>
      <c r="IW137" s="300" t="str">
        <f t="shared" ref="IW137:IY137" si="1996">IFERROR(VLOOKUP($R137,$A$13:$D$30,-IW$12,FALSE),"")</f>
        <v>Lainnya 2.3 (9) …….</v>
      </c>
      <c r="IX137" s="301" t="str">
        <f t="shared" si="1996"/>
        <v/>
      </c>
      <c r="IY137" s="301" t="str">
        <f t="shared" si="1996"/>
        <v/>
      </c>
      <c r="IZ137" s="294" t="str">
        <f>ADHK!IZ137</f>
        <v/>
      </c>
      <c r="JA137" s="294"/>
      <c r="JB137" s="294">
        <f t="shared" si="1690"/>
        <v>0</v>
      </c>
      <c r="JC137" s="302"/>
      <c r="JD137" s="294">
        <f t="shared" si="1691"/>
        <v>0</v>
      </c>
      <c r="JE137" s="96"/>
      <c r="JF137" s="96"/>
      <c r="JG137" s="97"/>
      <c r="JH137" s="294">
        <f t="shared" si="1692"/>
        <v>0</v>
      </c>
      <c r="JI137" s="302">
        <f t="shared" si="1693"/>
        <v>0.4604471269</v>
      </c>
      <c r="JJ137" s="303">
        <f t="shared" si="1694"/>
        <v>0</v>
      </c>
      <c r="JK137" s="304">
        <f t="shared" si="1695"/>
        <v>0</v>
      </c>
      <c r="JL137" s="297"/>
      <c r="JM137" s="299">
        <f t="shared" si="1742"/>
        <v>17</v>
      </c>
      <c r="JN137" s="300" t="str">
        <f t="shared" ref="JN137:JP137" si="1997">IFERROR(VLOOKUP($R137,$A$13:$D$30,-JN$12,FALSE),"")</f>
        <v>Lainnya 2.3 (9) …….</v>
      </c>
      <c r="JO137" s="301" t="str">
        <f t="shared" si="1997"/>
        <v/>
      </c>
      <c r="JP137" s="301" t="str">
        <f t="shared" si="1997"/>
        <v/>
      </c>
      <c r="JQ137" s="294" t="str">
        <f>ADHK!KY137</f>
        <v/>
      </c>
      <c r="JR137" s="294"/>
      <c r="JS137" s="294">
        <f t="shared" si="1697"/>
        <v>0</v>
      </c>
      <c r="JT137" s="302"/>
      <c r="JU137" s="294">
        <f t="shared" si="1698"/>
        <v>0</v>
      </c>
      <c r="JV137" s="96"/>
      <c r="JW137" s="96"/>
      <c r="JX137" s="97"/>
      <c r="JY137" s="294">
        <f t="shared" si="1699"/>
        <v>0</v>
      </c>
      <c r="JZ137" s="302">
        <f t="shared" si="1700"/>
        <v>0.4604471269</v>
      </c>
      <c r="KA137" s="303">
        <f t="shared" si="1701"/>
        <v>0</v>
      </c>
      <c r="KB137" s="304">
        <f t="shared" si="1702"/>
        <v>0</v>
      </c>
      <c r="KC137" s="297"/>
      <c r="KD137" s="299">
        <f t="shared" si="1744"/>
        <v>17</v>
      </c>
      <c r="KE137" s="300" t="str">
        <f t="shared" ref="KE137:KG137" si="1998">IFERROR(VLOOKUP($R137,$A$13:$D$30,-KE$12,FALSE),"")</f>
        <v>Lainnya 2.3 (9) …….</v>
      </c>
      <c r="KF137" s="301" t="str">
        <f t="shared" si="1998"/>
        <v/>
      </c>
      <c r="KG137" s="301" t="str">
        <f t="shared" si="1998"/>
        <v/>
      </c>
      <c r="KH137" s="294" t="str">
        <f>ADHK!LP137</f>
        <v/>
      </c>
      <c r="KI137" s="294"/>
      <c r="KJ137" s="294">
        <f t="shared" si="1704"/>
        <v>0</v>
      </c>
      <c r="KK137" s="302"/>
      <c r="KL137" s="294">
        <f t="shared" si="1705"/>
        <v>0</v>
      </c>
      <c r="KM137" s="96"/>
      <c r="KN137" s="96"/>
      <c r="KO137" s="97"/>
      <c r="KP137" s="294">
        <f t="shared" si="1706"/>
        <v>0</v>
      </c>
      <c r="KQ137" s="302">
        <f t="shared" si="1707"/>
        <v>0.4604471269</v>
      </c>
      <c r="KR137" s="303">
        <f t="shared" si="1708"/>
        <v>0</v>
      </c>
      <c r="KS137" s="304">
        <f t="shared" si="1709"/>
        <v>0</v>
      </c>
      <c r="KT137" s="297"/>
      <c r="KU137" s="298"/>
    </row>
    <row r="138" ht="15.75" customHeight="1">
      <c r="A138" s="299"/>
      <c r="B138" s="300"/>
      <c r="C138" s="306"/>
      <c r="D138" s="306"/>
      <c r="E138" s="294"/>
      <c r="F138" s="294"/>
      <c r="G138" s="294"/>
      <c r="H138" s="294"/>
      <c r="I138" s="294"/>
      <c r="J138" s="96"/>
      <c r="K138" s="96"/>
      <c r="L138" s="96"/>
      <c r="M138" s="294"/>
      <c r="N138" s="294"/>
      <c r="O138" s="294"/>
      <c r="P138" s="304"/>
      <c r="Q138" s="297"/>
      <c r="R138" s="299"/>
      <c r="S138" s="300"/>
      <c r="T138" s="306"/>
      <c r="U138" s="306"/>
      <c r="V138" s="294"/>
      <c r="W138" s="294"/>
      <c r="X138" s="294"/>
      <c r="Y138" s="294"/>
      <c r="Z138" s="294"/>
      <c r="AA138" s="96"/>
      <c r="AB138" s="96"/>
      <c r="AC138" s="96"/>
      <c r="AD138" s="294"/>
      <c r="AE138" s="294"/>
      <c r="AF138" s="294"/>
      <c r="AG138" s="304"/>
      <c r="AH138" s="297"/>
      <c r="AI138" s="299"/>
      <c r="AJ138" s="300"/>
      <c r="AK138" s="306"/>
      <c r="AL138" s="306"/>
      <c r="AM138" s="294"/>
      <c r="AN138" s="294"/>
      <c r="AO138" s="294"/>
      <c r="AP138" s="294"/>
      <c r="AQ138" s="294"/>
      <c r="AR138" s="96"/>
      <c r="AS138" s="96"/>
      <c r="AT138" s="96"/>
      <c r="AU138" s="294"/>
      <c r="AV138" s="294"/>
      <c r="AW138" s="294"/>
      <c r="AX138" s="304"/>
      <c r="AY138" s="297"/>
      <c r="AZ138" s="299"/>
      <c r="BA138" s="300"/>
      <c r="BB138" s="306"/>
      <c r="BC138" s="306"/>
      <c r="BD138" s="294"/>
      <c r="BE138" s="294"/>
      <c r="BF138" s="294"/>
      <c r="BG138" s="294"/>
      <c r="BH138" s="294"/>
      <c r="BI138" s="96"/>
      <c r="BJ138" s="96"/>
      <c r="BK138" s="96"/>
      <c r="BL138" s="294"/>
      <c r="BM138" s="294"/>
      <c r="BN138" s="294"/>
      <c r="BO138" s="304"/>
      <c r="BP138" s="297"/>
      <c r="BQ138" s="299"/>
      <c r="BR138" s="300"/>
      <c r="BS138" s="306"/>
      <c r="BT138" s="306"/>
      <c r="BU138" s="294"/>
      <c r="BV138" s="294"/>
      <c r="BW138" s="294"/>
      <c r="BX138" s="294"/>
      <c r="BY138" s="294"/>
      <c r="BZ138" s="96"/>
      <c r="CA138" s="96"/>
      <c r="CB138" s="96"/>
      <c r="CC138" s="294"/>
      <c r="CD138" s="294"/>
      <c r="CE138" s="294"/>
      <c r="CF138" s="304"/>
      <c r="CG138" s="297"/>
      <c r="CH138" s="299"/>
      <c r="CI138" s="300"/>
      <c r="CJ138" s="306"/>
      <c r="CK138" s="306"/>
      <c r="CL138" s="294"/>
      <c r="CM138" s="294"/>
      <c r="CN138" s="294"/>
      <c r="CO138" s="294"/>
      <c r="CP138" s="294"/>
      <c r="CQ138" s="96"/>
      <c r="CR138" s="96"/>
      <c r="CS138" s="96"/>
      <c r="CT138" s="294"/>
      <c r="CU138" s="294"/>
      <c r="CV138" s="294"/>
      <c r="CW138" s="304"/>
      <c r="CX138" s="297"/>
      <c r="CY138" s="299"/>
      <c r="CZ138" s="300"/>
      <c r="DA138" s="306"/>
      <c r="DB138" s="306"/>
      <c r="DC138" s="294"/>
      <c r="DD138" s="294"/>
      <c r="DE138" s="294"/>
      <c r="DF138" s="294"/>
      <c r="DG138" s="294"/>
      <c r="DH138" s="96"/>
      <c r="DI138" s="96"/>
      <c r="DJ138" s="96"/>
      <c r="DK138" s="294"/>
      <c r="DL138" s="294"/>
      <c r="DM138" s="294"/>
      <c r="DN138" s="304"/>
      <c r="DO138" s="297"/>
      <c r="DP138" s="299"/>
      <c r="DQ138" s="300"/>
      <c r="DR138" s="306"/>
      <c r="DS138" s="306"/>
      <c r="DT138" s="294"/>
      <c r="DU138" s="294"/>
      <c r="DV138" s="294"/>
      <c r="DW138" s="294"/>
      <c r="DX138" s="294"/>
      <c r="DY138" s="96"/>
      <c r="DZ138" s="96"/>
      <c r="EA138" s="96"/>
      <c r="EB138" s="294"/>
      <c r="EC138" s="294"/>
      <c r="ED138" s="294"/>
      <c r="EE138" s="304"/>
      <c r="EF138" s="297"/>
      <c r="EG138" s="299"/>
      <c r="EH138" s="300"/>
      <c r="EI138" s="306"/>
      <c r="EJ138" s="306"/>
      <c r="EK138" s="294"/>
      <c r="EL138" s="294"/>
      <c r="EM138" s="294"/>
      <c r="EN138" s="294"/>
      <c r="EO138" s="294"/>
      <c r="EP138" s="96"/>
      <c r="EQ138" s="96"/>
      <c r="ER138" s="96"/>
      <c r="ES138" s="294"/>
      <c r="ET138" s="294"/>
      <c r="EU138" s="294"/>
      <c r="EV138" s="304"/>
      <c r="EW138" s="297"/>
      <c r="EX138" s="299"/>
      <c r="EY138" s="300"/>
      <c r="EZ138" s="306"/>
      <c r="FA138" s="306"/>
      <c r="FB138" s="294"/>
      <c r="FC138" s="294"/>
      <c r="FD138" s="294"/>
      <c r="FE138" s="294"/>
      <c r="FF138" s="294"/>
      <c r="FG138" s="96"/>
      <c r="FH138" s="96"/>
      <c r="FI138" s="96"/>
      <c r="FJ138" s="294"/>
      <c r="FK138" s="294"/>
      <c r="FL138" s="294"/>
      <c r="FM138" s="304"/>
      <c r="FN138" s="297"/>
      <c r="FO138" s="299"/>
      <c r="FP138" s="300"/>
      <c r="FQ138" s="306"/>
      <c r="FR138" s="306"/>
      <c r="FS138" s="294"/>
      <c r="FT138" s="294"/>
      <c r="FU138" s="294"/>
      <c r="FV138" s="294"/>
      <c r="FW138" s="294"/>
      <c r="FX138" s="96"/>
      <c r="FY138" s="96"/>
      <c r="FZ138" s="96"/>
      <c r="GA138" s="294"/>
      <c r="GB138" s="294"/>
      <c r="GC138" s="294"/>
      <c r="GD138" s="304"/>
      <c r="GE138" s="297"/>
      <c r="GF138" s="299"/>
      <c r="GG138" s="300"/>
      <c r="GH138" s="306"/>
      <c r="GI138" s="306"/>
      <c r="GJ138" s="294"/>
      <c r="GK138" s="294"/>
      <c r="GL138" s="294"/>
      <c r="GM138" s="294"/>
      <c r="GN138" s="294"/>
      <c r="GO138" s="96"/>
      <c r="GP138" s="96"/>
      <c r="GQ138" s="96"/>
      <c r="GR138" s="294"/>
      <c r="GS138" s="294"/>
      <c r="GT138" s="294"/>
      <c r="GU138" s="304"/>
      <c r="GV138" s="297"/>
      <c r="GW138" s="299"/>
      <c r="GX138" s="300"/>
      <c r="GY138" s="306"/>
      <c r="GZ138" s="306"/>
      <c r="HA138" s="294"/>
      <c r="HB138" s="294"/>
      <c r="HC138" s="294"/>
      <c r="HD138" s="294"/>
      <c r="HE138" s="294"/>
      <c r="HF138" s="96"/>
      <c r="HG138" s="96"/>
      <c r="HH138" s="96"/>
      <c r="HI138" s="294"/>
      <c r="HJ138" s="294"/>
      <c r="HK138" s="294"/>
      <c r="HL138" s="304"/>
      <c r="HM138" s="297"/>
      <c r="HN138" s="299"/>
      <c r="HO138" s="300"/>
      <c r="HP138" s="306"/>
      <c r="HQ138" s="306"/>
      <c r="HR138" s="294"/>
      <c r="HS138" s="294"/>
      <c r="HT138" s="294"/>
      <c r="HU138" s="294"/>
      <c r="HV138" s="294"/>
      <c r="HW138" s="96"/>
      <c r="HX138" s="96"/>
      <c r="HY138" s="96"/>
      <c r="HZ138" s="294"/>
      <c r="IA138" s="294"/>
      <c r="IB138" s="294"/>
      <c r="IC138" s="304"/>
      <c r="ID138" s="297"/>
      <c r="IE138" s="299"/>
      <c r="IF138" s="300"/>
      <c r="IG138" s="306"/>
      <c r="IH138" s="306"/>
      <c r="II138" s="294"/>
      <c r="IJ138" s="294"/>
      <c r="IK138" s="294"/>
      <c r="IL138" s="294"/>
      <c r="IM138" s="294"/>
      <c r="IN138" s="96"/>
      <c r="IO138" s="96"/>
      <c r="IP138" s="96"/>
      <c r="IQ138" s="294"/>
      <c r="IR138" s="294"/>
      <c r="IS138" s="294"/>
      <c r="IT138" s="304"/>
      <c r="IU138" s="297"/>
      <c r="IV138" s="299"/>
      <c r="IW138" s="300"/>
      <c r="IX138" s="306"/>
      <c r="IY138" s="306"/>
      <c r="IZ138" s="294"/>
      <c r="JA138" s="294"/>
      <c r="JB138" s="294"/>
      <c r="JC138" s="294"/>
      <c r="JD138" s="294"/>
      <c r="JE138" s="96"/>
      <c r="JF138" s="96"/>
      <c r="JG138" s="96"/>
      <c r="JH138" s="294"/>
      <c r="JI138" s="294"/>
      <c r="JJ138" s="294"/>
      <c r="JK138" s="304"/>
      <c r="JL138" s="297"/>
      <c r="JM138" s="299"/>
      <c r="JN138" s="300"/>
      <c r="JO138" s="306"/>
      <c r="JP138" s="306"/>
      <c r="JQ138" s="294"/>
      <c r="JR138" s="294"/>
      <c r="JS138" s="294"/>
      <c r="JT138" s="294"/>
      <c r="JU138" s="294"/>
      <c r="JV138" s="96"/>
      <c r="JW138" s="96"/>
      <c r="JX138" s="96"/>
      <c r="JY138" s="294"/>
      <c r="JZ138" s="294"/>
      <c r="KA138" s="294"/>
      <c r="KB138" s="304"/>
      <c r="KC138" s="297"/>
      <c r="KD138" s="299"/>
      <c r="KE138" s="300"/>
      <c r="KF138" s="306"/>
      <c r="KG138" s="306"/>
      <c r="KH138" s="294"/>
      <c r="KI138" s="294"/>
      <c r="KJ138" s="294"/>
      <c r="KK138" s="294"/>
      <c r="KL138" s="294"/>
      <c r="KM138" s="96"/>
      <c r="KN138" s="96"/>
      <c r="KO138" s="96"/>
      <c r="KP138" s="294"/>
      <c r="KQ138" s="294"/>
      <c r="KR138" s="294"/>
      <c r="KS138" s="304"/>
      <c r="KT138" s="297"/>
      <c r="KU138" s="298"/>
    </row>
    <row r="139" ht="15.75" customHeight="1">
      <c r="A139" s="307" t="s">
        <v>51</v>
      </c>
      <c r="B139" s="102"/>
      <c r="C139" s="308"/>
      <c r="D139" s="308"/>
      <c r="E139" s="309"/>
      <c r="F139" s="309"/>
      <c r="G139" s="310">
        <f>SUM(G121:G138)</f>
        <v>0</v>
      </c>
      <c r="H139" s="309"/>
      <c r="I139" s="310">
        <f>SUM(I121:I138)</f>
        <v>0</v>
      </c>
      <c r="J139" s="104"/>
      <c r="K139" s="104"/>
      <c r="L139" s="104"/>
      <c r="M139" s="310">
        <f>SUM(M121:M138)</f>
        <v>0</v>
      </c>
      <c r="N139" s="309"/>
      <c r="O139" s="310">
        <f t="shared" ref="O139:P139" si="1999">SUM(O121:O138)</f>
        <v>0</v>
      </c>
      <c r="P139" s="310">
        <f t="shared" si="1999"/>
        <v>0</v>
      </c>
      <c r="Q139" s="311"/>
      <c r="R139" s="307" t="s">
        <v>51</v>
      </c>
      <c r="S139" s="102"/>
      <c r="T139" s="308"/>
      <c r="U139" s="308"/>
      <c r="V139" s="309"/>
      <c r="W139" s="309"/>
      <c r="X139" s="310">
        <f>SUM(X121:X138)</f>
        <v>0</v>
      </c>
      <c r="Y139" s="309"/>
      <c r="Z139" s="310">
        <f>SUM(Z121:Z138)</f>
        <v>0</v>
      </c>
      <c r="AA139" s="104"/>
      <c r="AB139" s="104"/>
      <c r="AC139" s="104"/>
      <c r="AD139" s="310">
        <f>SUM(AD121:AD138)</f>
        <v>0</v>
      </c>
      <c r="AE139" s="309"/>
      <c r="AF139" s="310">
        <f t="shared" ref="AF139:AG139" si="2000">SUM(AF121:AF138)</f>
        <v>0</v>
      </c>
      <c r="AG139" s="310">
        <f t="shared" si="2000"/>
        <v>0</v>
      </c>
      <c r="AH139" s="311"/>
      <c r="AI139" s="307" t="s">
        <v>51</v>
      </c>
      <c r="AJ139" s="102"/>
      <c r="AK139" s="308"/>
      <c r="AL139" s="308"/>
      <c r="AM139" s="309"/>
      <c r="AN139" s="309"/>
      <c r="AO139" s="310">
        <f>SUM(AO121:AO138)</f>
        <v>0</v>
      </c>
      <c r="AP139" s="309"/>
      <c r="AQ139" s="310">
        <f>SUM(AQ121:AQ138)</f>
        <v>0</v>
      </c>
      <c r="AR139" s="104"/>
      <c r="AS139" s="104"/>
      <c r="AT139" s="104"/>
      <c r="AU139" s="310">
        <f>SUM(AU121:AU138)</f>
        <v>0</v>
      </c>
      <c r="AV139" s="309"/>
      <c r="AW139" s="310">
        <f t="shared" ref="AW139:AX139" si="2001">SUM(AW121:AW138)</f>
        <v>0</v>
      </c>
      <c r="AX139" s="310">
        <f t="shared" si="2001"/>
        <v>0</v>
      </c>
      <c r="AY139" s="311"/>
      <c r="AZ139" s="307" t="s">
        <v>51</v>
      </c>
      <c r="BA139" s="102"/>
      <c r="BB139" s="308"/>
      <c r="BC139" s="308"/>
      <c r="BD139" s="309"/>
      <c r="BE139" s="309"/>
      <c r="BF139" s="310">
        <f>SUM(BF121:BF138)</f>
        <v>0</v>
      </c>
      <c r="BG139" s="309"/>
      <c r="BH139" s="310">
        <f>SUM(BH121:BH138)</f>
        <v>0</v>
      </c>
      <c r="BI139" s="104"/>
      <c r="BJ139" s="104"/>
      <c r="BK139" s="104"/>
      <c r="BL139" s="310">
        <f>SUM(BL121:BL138)</f>
        <v>0</v>
      </c>
      <c r="BM139" s="309"/>
      <c r="BN139" s="310">
        <f t="shared" ref="BN139:BO139" si="2002">SUM(BN121:BN138)</f>
        <v>0</v>
      </c>
      <c r="BO139" s="310">
        <f t="shared" si="2002"/>
        <v>0</v>
      </c>
      <c r="BP139" s="311"/>
      <c r="BQ139" s="307" t="s">
        <v>51</v>
      </c>
      <c r="BR139" s="102"/>
      <c r="BS139" s="308"/>
      <c r="BT139" s="308"/>
      <c r="BU139" s="309"/>
      <c r="BV139" s="309"/>
      <c r="BW139" s="310">
        <f>SUM(BW121:BW138)</f>
        <v>0</v>
      </c>
      <c r="BX139" s="309"/>
      <c r="BY139" s="310">
        <f>SUM(BY121:BY138)</f>
        <v>0</v>
      </c>
      <c r="BZ139" s="104"/>
      <c r="CA139" s="104"/>
      <c r="CB139" s="104"/>
      <c r="CC139" s="310">
        <f>SUM(CC121:CC138)</f>
        <v>0</v>
      </c>
      <c r="CD139" s="309"/>
      <c r="CE139" s="310">
        <f t="shared" ref="CE139:CF139" si="2003">SUM(CE121:CE138)</f>
        <v>0</v>
      </c>
      <c r="CF139" s="310">
        <f t="shared" si="2003"/>
        <v>0</v>
      </c>
      <c r="CG139" s="311"/>
      <c r="CH139" s="307" t="s">
        <v>51</v>
      </c>
      <c r="CI139" s="102"/>
      <c r="CJ139" s="308"/>
      <c r="CK139" s="308"/>
      <c r="CL139" s="309"/>
      <c r="CM139" s="309"/>
      <c r="CN139" s="310">
        <f>SUM(CN121:CN138)</f>
        <v>0</v>
      </c>
      <c r="CO139" s="309"/>
      <c r="CP139" s="310">
        <f>SUM(CP121:CP138)</f>
        <v>0</v>
      </c>
      <c r="CQ139" s="104"/>
      <c r="CR139" s="104"/>
      <c r="CS139" s="104"/>
      <c r="CT139" s="310">
        <f>SUM(CT121:CT138)</f>
        <v>0</v>
      </c>
      <c r="CU139" s="309"/>
      <c r="CV139" s="310">
        <f t="shared" ref="CV139:CW139" si="2004">SUM(CV121:CV138)</f>
        <v>0</v>
      </c>
      <c r="CW139" s="310">
        <f t="shared" si="2004"/>
        <v>0</v>
      </c>
      <c r="CX139" s="311"/>
      <c r="CY139" s="307" t="s">
        <v>51</v>
      </c>
      <c r="CZ139" s="102"/>
      <c r="DA139" s="308"/>
      <c r="DB139" s="308"/>
      <c r="DC139" s="309"/>
      <c r="DD139" s="309"/>
      <c r="DE139" s="310">
        <f>SUM(DE121:DE138)</f>
        <v>0</v>
      </c>
      <c r="DF139" s="309"/>
      <c r="DG139" s="310">
        <f>SUM(DG121:DG138)</f>
        <v>0</v>
      </c>
      <c r="DH139" s="104"/>
      <c r="DI139" s="104"/>
      <c r="DJ139" s="104"/>
      <c r="DK139" s="310">
        <f>SUM(DK121:DK138)</f>
        <v>0</v>
      </c>
      <c r="DL139" s="309"/>
      <c r="DM139" s="310">
        <f t="shared" ref="DM139:DN139" si="2005">SUM(DM121:DM138)</f>
        <v>0</v>
      </c>
      <c r="DN139" s="310">
        <f t="shared" si="2005"/>
        <v>0</v>
      </c>
      <c r="DO139" s="311"/>
      <c r="DP139" s="307" t="s">
        <v>51</v>
      </c>
      <c r="DQ139" s="102"/>
      <c r="DR139" s="308"/>
      <c r="DS139" s="308"/>
      <c r="DT139" s="309"/>
      <c r="DU139" s="309"/>
      <c r="DV139" s="310">
        <f>SUM(DV121:DV138)</f>
        <v>0</v>
      </c>
      <c r="DW139" s="309"/>
      <c r="DX139" s="310">
        <f>SUM(DX121:DX138)</f>
        <v>0</v>
      </c>
      <c r="DY139" s="104"/>
      <c r="DZ139" s="104"/>
      <c r="EA139" s="104"/>
      <c r="EB139" s="310">
        <f>SUM(EB121:EB138)</f>
        <v>0</v>
      </c>
      <c r="EC139" s="309"/>
      <c r="ED139" s="310">
        <f t="shared" ref="ED139:EE139" si="2006">SUM(ED121:ED138)</f>
        <v>0</v>
      </c>
      <c r="EE139" s="310">
        <f t="shared" si="2006"/>
        <v>0</v>
      </c>
      <c r="EF139" s="311"/>
      <c r="EG139" s="307" t="s">
        <v>51</v>
      </c>
      <c r="EH139" s="102"/>
      <c r="EI139" s="308"/>
      <c r="EJ139" s="308"/>
      <c r="EK139" s="309"/>
      <c r="EL139" s="309"/>
      <c r="EM139" s="310">
        <f>SUM(EM121:EM138)</f>
        <v>0</v>
      </c>
      <c r="EN139" s="309"/>
      <c r="EO139" s="310">
        <f>SUM(EO121:EO138)</f>
        <v>0</v>
      </c>
      <c r="EP139" s="104"/>
      <c r="EQ139" s="104"/>
      <c r="ER139" s="104"/>
      <c r="ES139" s="310">
        <f>SUM(ES121:ES138)</f>
        <v>0</v>
      </c>
      <c r="ET139" s="309"/>
      <c r="EU139" s="310">
        <f t="shared" ref="EU139:EV139" si="2007">SUM(EU121:EU138)</f>
        <v>0</v>
      </c>
      <c r="EV139" s="310">
        <f t="shared" si="2007"/>
        <v>0</v>
      </c>
      <c r="EW139" s="311"/>
      <c r="EX139" s="307" t="s">
        <v>51</v>
      </c>
      <c r="EY139" s="102"/>
      <c r="EZ139" s="308"/>
      <c r="FA139" s="308"/>
      <c r="FB139" s="309"/>
      <c r="FC139" s="309"/>
      <c r="FD139" s="310">
        <f>SUM(FD121:FD138)</f>
        <v>0</v>
      </c>
      <c r="FE139" s="309"/>
      <c r="FF139" s="310">
        <f>SUM(FF121:FF138)</f>
        <v>0</v>
      </c>
      <c r="FG139" s="104"/>
      <c r="FH139" s="104"/>
      <c r="FI139" s="104"/>
      <c r="FJ139" s="310">
        <f>SUM(FJ121:FJ138)</f>
        <v>0</v>
      </c>
      <c r="FK139" s="309"/>
      <c r="FL139" s="310">
        <f t="shared" ref="FL139:FM139" si="2008">SUM(FL121:FL138)</f>
        <v>0</v>
      </c>
      <c r="FM139" s="310">
        <f t="shared" si="2008"/>
        <v>0</v>
      </c>
      <c r="FN139" s="311"/>
      <c r="FO139" s="307" t="s">
        <v>51</v>
      </c>
      <c r="FP139" s="102"/>
      <c r="FQ139" s="308"/>
      <c r="FR139" s="308"/>
      <c r="FS139" s="309"/>
      <c r="FT139" s="309"/>
      <c r="FU139" s="310">
        <f>SUM(FU121:FU138)</f>
        <v>1450645.869</v>
      </c>
      <c r="FV139" s="309"/>
      <c r="FW139" s="310">
        <f>SUM(FW121:FW138)</f>
        <v>0</v>
      </c>
      <c r="FX139" s="104"/>
      <c r="FY139" s="104"/>
      <c r="FZ139" s="104"/>
      <c r="GA139" s="310">
        <f>SUM(GA121:GA138)</f>
        <v>1450645.869</v>
      </c>
      <c r="GB139" s="309"/>
      <c r="GC139" s="310">
        <f t="shared" ref="GC139:GD139" si="2009">SUM(GC121:GC138)</f>
        <v>667945.7227</v>
      </c>
      <c r="GD139" s="310">
        <f t="shared" si="2009"/>
        <v>782700.1467</v>
      </c>
      <c r="GE139" s="311"/>
      <c r="GF139" s="307" t="s">
        <v>51</v>
      </c>
      <c r="GG139" s="102"/>
      <c r="GH139" s="308"/>
      <c r="GI139" s="308"/>
      <c r="GJ139" s="309"/>
      <c r="GK139" s="309"/>
      <c r="GL139" s="310">
        <f>SUM(GL121:GL138)</f>
        <v>1020164.85</v>
      </c>
      <c r="GM139" s="309"/>
      <c r="GN139" s="310">
        <f>SUM(GN121:GN138)</f>
        <v>0</v>
      </c>
      <c r="GO139" s="104"/>
      <c r="GP139" s="104"/>
      <c r="GQ139" s="104"/>
      <c r="GR139" s="310">
        <f>SUM(GR121:GR138)</f>
        <v>1020164.85</v>
      </c>
      <c r="GS139" s="309"/>
      <c r="GT139" s="310">
        <f t="shared" ref="GT139:GU139" si="2010">SUM(GT121:GT138)</f>
        <v>469731.9743</v>
      </c>
      <c r="GU139" s="310">
        <f t="shared" si="2010"/>
        <v>550432.876</v>
      </c>
      <c r="GV139" s="311"/>
      <c r="GW139" s="307" t="s">
        <v>51</v>
      </c>
      <c r="GX139" s="102"/>
      <c r="GY139" s="308"/>
      <c r="GZ139" s="308"/>
      <c r="HA139" s="309"/>
      <c r="HB139" s="309"/>
      <c r="HC139" s="310">
        <f>SUM(HC121:HC138)</f>
        <v>1946435.558</v>
      </c>
      <c r="HD139" s="309"/>
      <c r="HE139" s="310">
        <f>SUM(HE121:HE138)</f>
        <v>0</v>
      </c>
      <c r="HF139" s="104"/>
      <c r="HG139" s="104"/>
      <c r="HH139" s="104"/>
      <c r="HI139" s="310">
        <f>SUM(HI121:HI138)</f>
        <v>1946435.558</v>
      </c>
      <c r="HJ139" s="309"/>
      <c r="HK139" s="310">
        <f t="shared" ref="HK139:HL139" si="2011">SUM(HK121:HK138)</f>
        <v>896230.6605</v>
      </c>
      <c r="HL139" s="310">
        <f t="shared" si="2011"/>
        <v>1050204.898</v>
      </c>
      <c r="HM139" s="311"/>
      <c r="HN139" s="307" t="s">
        <v>51</v>
      </c>
      <c r="HO139" s="102"/>
      <c r="HP139" s="308"/>
      <c r="HQ139" s="308"/>
      <c r="HR139" s="309"/>
      <c r="HS139" s="309"/>
      <c r="HT139" s="310">
        <f>SUM(HT121:HT138)</f>
        <v>3155904.753</v>
      </c>
      <c r="HU139" s="309"/>
      <c r="HV139" s="310">
        <f>SUM(HV121:HV138)</f>
        <v>0</v>
      </c>
      <c r="HW139" s="104"/>
      <c r="HX139" s="104"/>
      <c r="HY139" s="104"/>
      <c r="HZ139" s="310">
        <f>SUM(HZ121:HZ138)</f>
        <v>3155904.753</v>
      </c>
      <c r="IA139" s="309"/>
      <c r="IB139" s="310">
        <f t="shared" ref="IB139:IC139" si="2012">SUM(IB121:IB138)</f>
        <v>1453127.276</v>
      </c>
      <c r="IC139" s="310">
        <f t="shared" si="2012"/>
        <v>1702777.477</v>
      </c>
      <c r="ID139" s="311"/>
      <c r="IE139" s="307" t="s">
        <v>51</v>
      </c>
      <c r="IF139" s="102"/>
      <c r="IG139" s="308"/>
      <c r="IH139" s="308"/>
      <c r="II139" s="309"/>
      <c r="IJ139" s="309"/>
      <c r="IK139" s="310">
        <f>SUM(IK121:IK138)</f>
        <v>5172903.337</v>
      </c>
      <c r="IL139" s="309"/>
      <c r="IM139" s="310">
        <f>SUM(IM121:IM138)</f>
        <v>0</v>
      </c>
      <c r="IN139" s="104"/>
      <c r="IO139" s="104"/>
      <c r="IP139" s="104"/>
      <c r="IQ139" s="310">
        <f>SUM(IQ121:IQ138)</f>
        <v>5172903.337</v>
      </c>
      <c r="IR139" s="309"/>
      <c r="IS139" s="310">
        <f t="shared" ref="IS139:IT139" si="2013">SUM(IS121:IS138)</f>
        <v>2381848.479</v>
      </c>
      <c r="IT139" s="310">
        <f t="shared" si="2013"/>
        <v>2791054.858</v>
      </c>
      <c r="IU139" s="311"/>
      <c r="IV139" s="307" t="s">
        <v>51</v>
      </c>
      <c r="IW139" s="102"/>
      <c r="IX139" s="308"/>
      <c r="IY139" s="308"/>
      <c r="IZ139" s="309"/>
      <c r="JA139" s="309"/>
      <c r="JB139" s="310">
        <f>SUM(JB121:JB138)</f>
        <v>4839259.902</v>
      </c>
      <c r="JC139" s="309"/>
      <c r="JD139" s="310">
        <f>SUM(JD121:JD138)</f>
        <v>0</v>
      </c>
      <c r="JE139" s="104"/>
      <c r="JF139" s="104"/>
      <c r="JG139" s="104"/>
      <c r="JH139" s="310">
        <f>SUM(JH121:JH138)</f>
        <v>4839259.902</v>
      </c>
      <c r="JI139" s="309"/>
      <c r="JJ139" s="310">
        <f t="shared" ref="JJ139:JK139" si="2014">SUM(JJ121:JJ138)</f>
        <v>2228223.318</v>
      </c>
      <c r="JK139" s="310">
        <f t="shared" si="2014"/>
        <v>2611036.584</v>
      </c>
      <c r="JL139" s="311"/>
      <c r="JM139" s="307" t="s">
        <v>51</v>
      </c>
      <c r="JN139" s="102"/>
      <c r="JO139" s="308"/>
      <c r="JP139" s="308"/>
      <c r="JQ139" s="309"/>
      <c r="JR139" s="309"/>
      <c r="JS139" s="310">
        <f>SUM(JS121:JS138)</f>
        <v>0</v>
      </c>
      <c r="JT139" s="309"/>
      <c r="JU139" s="310">
        <f>SUM(JU121:JU138)</f>
        <v>0</v>
      </c>
      <c r="JV139" s="104"/>
      <c r="JW139" s="104"/>
      <c r="JX139" s="104"/>
      <c r="JY139" s="310">
        <f>SUM(JY121:JY138)</f>
        <v>0</v>
      </c>
      <c r="JZ139" s="309"/>
      <c r="KA139" s="310">
        <f t="shared" ref="KA139:KB139" si="2015">SUM(KA121:KA138)</f>
        <v>0</v>
      </c>
      <c r="KB139" s="310">
        <f t="shared" si="2015"/>
        <v>0</v>
      </c>
      <c r="KC139" s="311"/>
      <c r="KD139" s="307" t="s">
        <v>51</v>
      </c>
      <c r="KE139" s="102"/>
      <c r="KF139" s="308"/>
      <c r="KG139" s="308"/>
      <c r="KH139" s="309"/>
      <c r="KI139" s="309"/>
      <c r="KJ139" s="310">
        <f>SUM(KJ121:KJ138)</f>
        <v>0</v>
      </c>
      <c r="KK139" s="309"/>
      <c r="KL139" s="310">
        <f>SUM(KL121:KL138)</f>
        <v>0</v>
      </c>
      <c r="KM139" s="104"/>
      <c r="KN139" s="104"/>
      <c r="KO139" s="104"/>
      <c r="KP139" s="310">
        <f>SUM(KP121:KP138)</f>
        <v>0</v>
      </c>
      <c r="KQ139" s="309"/>
      <c r="KR139" s="310">
        <f t="shared" ref="KR139:KS139" si="2016">SUM(KR121:KR138)</f>
        <v>0</v>
      </c>
      <c r="KS139" s="310">
        <f t="shared" si="2016"/>
        <v>0</v>
      </c>
      <c r="KT139" s="311"/>
      <c r="KU139" s="312"/>
    </row>
    <row r="140" ht="15.75" customHeight="1">
      <c r="A140" s="299"/>
      <c r="B140" s="306"/>
      <c r="C140" s="306"/>
      <c r="D140" s="306"/>
      <c r="E140" s="294"/>
      <c r="F140" s="294"/>
      <c r="G140" s="294"/>
      <c r="H140" s="294"/>
      <c r="I140" s="294"/>
      <c r="J140" s="87"/>
      <c r="K140" s="87"/>
      <c r="L140" s="87"/>
      <c r="M140" s="294"/>
      <c r="N140" s="294"/>
      <c r="O140" s="303"/>
      <c r="P140" s="304"/>
      <c r="Q140" s="297"/>
      <c r="R140" s="299"/>
      <c r="S140" s="306"/>
      <c r="T140" s="306"/>
      <c r="U140" s="306"/>
      <c r="V140" s="294"/>
      <c r="W140" s="294"/>
      <c r="X140" s="294"/>
      <c r="Y140" s="294"/>
      <c r="Z140" s="294"/>
      <c r="AA140" s="87"/>
      <c r="AB140" s="87"/>
      <c r="AC140" s="87"/>
      <c r="AD140" s="294"/>
      <c r="AE140" s="294"/>
      <c r="AF140" s="303"/>
      <c r="AG140" s="304"/>
      <c r="AH140" s="297"/>
      <c r="AI140" s="299"/>
      <c r="AJ140" s="306"/>
      <c r="AK140" s="306"/>
      <c r="AL140" s="306"/>
      <c r="AM140" s="294"/>
      <c r="AN140" s="294"/>
      <c r="AO140" s="294"/>
      <c r="AP140" s="294"/>
      <c r="AQ140" s="294"/>
      <c r="AR140" s="87"/>
      <c r="AS140" s="87"/>
      <c r="AT140" s="87"/>
      <c r="AU140" s="294"/>
      <c r="AV140" s="294"/>
      <c r="AW140" s="303"/>
      <c r="AX140" s="304"/>
      <c r="AY140" s="297"/>
      <c r="AZ140" s="299"/>
      <c r="BA140" s="306"/>
      <c r="BB140" s="306"/>
      <c r="BC140" s="306"/>
      <c r="BD140" s="294"/>
      <c r="BE140" s="294"/>
      <c r="BF140" s="294"/>
      <c r="BG140" s="294"/>
      <c r="BH140" s="294"/>
      <c r="BI140" s="87"/>
      <c r="BJ140" s="87"/>
      <c r="BK140" s="87"/>
      <c r="BL140" s="294"/>
      <c r="BM140" s="294"/>
      <c r="BN140" s="303"/>
      <c r="BO140" s="304"/>
      <c r="BP140" s="297"/>
      <c r="BQ140" s="299"/>
      <c r="BR140" s="306"/>
      <c r="BS140" s="306"/>
      <c r="BT140" s="306"/>
      <c r="BU140" s="294"/>
      <c r="BV140" s="294"/>
      <c r="BW140" s="294"/>
      <c r="BX140" s="294"/>
      <c r="BY140" s="294"/>
      <c r="BZ140" s="87"/>
      <c r="CA140" s="87"/>
      <c r="CB140" s="87"/>
      <c r="CC140" s="294"/>
      <c r="CD140" s="294"/>
      <c r="CE140" s="303"/>
      <c r="CF140" s="304"/>
      <c r="CG140" s="297"/>
      <c r="CH140" s="299"/>
      <c r="CI140" s="306"/>
      <c r="CJ140" s="306"/>
      <c r="CK140" s="306"/>
      <c r="CL140" s="294"/>
      <c r="CM140" s="294"/>
      <c r="CN140" s="294"/>
      <c r="CO140" s="294"/>
      <c r="CP140" s="294"/>
      <c r="CQ140" s="87"/>
      <c r="CR140" s="87"/>
      <c r="CS140" s="87"/>
      <c r="CT140" s="294"/>
      <c r="CU140" s="294"/>
      <c r="CV140" s="303"/>
      <c r="CW140" s="304"/>
      <c r="CX140" s="297"/>
      <c r="CY140" s="299"/>
      <c r="CZ140" s="306"/>
      <c r="DA140" s="306"/>
      <c r="DB140" s="306"/>
      <c r="DC140" s="294"/>
      <c r="DD140" s="294"/>
      <c r="DE140" s="294"/>
      <c r="DF140" s="294"/>
      <c r="DG140" s="294"/>
      <c r="DH140" s="87"/>
      <c r="DI140" s="87"/>
      <c r="DJ140" s="87"/>
      <c r="DK140" s="294"/>
      <c r="DL140" s="294"/>
      <c r="DM140" s="303"/>
      <c r="DN140" s="304"/>
      <c r="DO140" s="297"/>
      <c r="DP140" s="299"/>
      <c r="DQ140" s="306"/>
      <c r="DR140" s="306"/>
      <c r="DS140" s="306"/>
      <c r="DT140" s="294"/>
      <c r="DU140" s="294"/>
      <c r="DV140" s="294"/>
      <c r="DW140" s="294"/>
      <c r="DX140" s="294"/>
      <c r="DY140" s="87"/>
      <c r="DZ140" s="87"/>
      <c r="EA140" s="87"/>
      <c r="EB140" s="294"/>
      <c r="EC140" s="294"/>
      <c r="ED140" s="303"/>
      <c r="EE140" s="304"/>
      <c r="EF140" s="297"/>
      <c r="EG140" s="299"/>
      <c r="EH140" s="306"/>
      <c r="EI140" s="306"/>
      <c r="EJ140" s="306"/>
      <c r="EK140" s="294"/>
      <c r="EL140" s="294"/>
      <c r="EM140" s="294"/>
      <c r="EN140" s="294"/>
      <c r="EO140" s="294"/>
      <c r="EP140" s="87"/>
      <c r="EQ140" s="87"/>
      <c r="ER140" s="87"/>
      <c r="ES140" s="294"/>
      <c r="ET140" s="294"/>
      <c r="EU140" s="303"/>
      <c r="EV140" s="304"/>
      <c r="EW140" s="297"/>
      <c r="EX140" s="299"/>
      <c r="EY140" s="306"/>
      <c r="EZ140" s="306"/>
      <c r="FA140" s="306"/>
      <c r="FB140" s="294"/>
      <c r="FC140" s="294"/>
      <c r="FD140" s="294"/>
      <c r="FE140" s="294"/>
      <c r="FF140" s="294"/>
      <c r="FG140" s="87"/>
      <c r="FH140" s="87"/>
      <c r="FI140" s="87"/>
      <c r="FJ140" s="294"/>
      <c r="FK140" s="294"/>
      <c r="FL140" s="303"/>
      <c r="FM140" s="304"/>
      <c r="FN140" s="297"/>
      <c r="FO140" s="299"/>
      <c r="FP140" s="306"/>
      <c r="FQ140" s="306"/>
      <c r="FR140" s="306"/>
      <c r="FS140" s="294"/>
      <c r="FT140" s="294"/>
      <c r="FU140" s="294"/>
      <c r="FV140" s="294"/>
      <c r="FW140" s="294"/>
      <c r="FX140" s="87"/>
      <c r="FY140" s="87"/>
      <c r="FZ140" s="87"/>
      <c r="GA140" s="294"/>
      <c r="GB140" s="294"/>
      <c r="GC140" s="303"/>
      <c r="GD140" s="304"/>
      <c r="GE140" s="297"/>
      <c r="GF140" s="299"/>
      <c r="GG140" s="306"/>
      <c r="GH140" s="306"/>
      <c r="GI140" s="306"/>
      <c r="GJ140" s="294"/>
      <c r="GK140" s="294"/>
      <c r="GL140" s="294"/>
      <c r="GM140" s="294"/>
      <c r="GN140" s="294"/>
      <c r="GO140" s="87"/>
      <c r="GP140" s="87"/>
      <c r="GQ140" s="87"/>
      <c r="GR140" s="294"/>
      <c r="GS140" s="294"/>
      <c r="GT140" s="303"/>
      <c r="GU140" s="304">
        <f>GU139/GU108*100-100</f>
        <v>-28.32544268</v>
      </c>
      <c r="GV140" s="297"/>
      <c r="GW140" s="299"/>
      <c r="GX140" s="306"/>
      <c r="GY140" s="306"/>
      <c r="GZ140" s="306"/>
      <c r="HA140" s="294"/>
      <c r="HB140" s="294"/>
      <c r="HC140" s="294"/>
      <c r="HD140" s="294"/>
      <c r="HE140" s="294"/>
      <c r="HF140" s="87"/>
      <c r="HG140" s="87"/>
      <c r="HH140" s="87"/>
      <c r="HI140" s="294"/>
      <c r="HJ140" s="294"/>
      <c r="HK140" s="303"/>
      <c r="HL140" s="304"/>
      <c r="HM140" s="297"/>
      <c r="HN140" s="299"/>
      <c r="HO140" s="306"/>
      <c r="HP140" s="306"/>
      <c r="HQ140" s="306"/>
      <c r="HR140" s="294"/>
      <c r="HS140" s="294"/>
      <c r="HT140" s="294"/>
      <c r="HU140" s="294"/>
      <c r="HV140" s="294"/>
      <c r="HW140" s="87"/>
      <c r="HX140" s="87"/>
      <c r="HY140" s="87"/>
      <c r="HZ140" s="294"/>
      <c r="IA140" s="294"/>
      <c r="IB140" s="303"/>
      <c r="IC140" s="304"/>
      <c r="ID140" s="297"/>
      <c r="IE140" s="299"/>
      <c r="IF140" s="306"/>
      <c r="IG140" s="306"/>
      <c r="IH140" s="306"/>
      <c r="II140" s="294"/>
      <c r="IJ140" s="294"/>
      <c r="IK140" s="294"/>
      <c r="IL140" s="294"/>
      <c r="IM140" s="294"/>
      <c r="IN140" s="87"/>
      <c r="IO140" s="87"/>
      <c r="IP140" s="87"/>
      <c r="IQ140" s="294"/>
      <c r="IR140" s="294"/>
      <c r="IS140" s="303"/>
      <c r="IT140" s="304"/>
      <c r="IU140" s="297"/>
      <c r="IV140" s="299"/>
      <c r="IW140" s="306"/>
      <c r="IX140" s="306"/>
      <c r="IY140" s="306"/>
      <c r="IZ140" s="294"/>
      <c r="JA140" s="294"/>
      <c r="JB140" s="294"/>
      <c r="JC140" s="294"/>
      <c r="JD140" s="294"/>
      <c r="JE140" s="87"/>
      <c r="JF140" s="87"/>
      <c r="JG140" s="87"/>
      <c r="JH140" s="294"/>
      <c r="JI140" s="294"/>
      <c r="JJ140" s="303"/>
      <c r="JK140" s="304"/>
      <c r="JL140" s="297"/>
      <c r="JM140" s="299"/>
      <c r="JN140" s="306"/>
      <c r="JO140" s="306"/>
      <c r="JP140" s="306"/>
      <c r="JQ140" s="294"/>
      <c r="JR140" s="294"/>
      <c r="JS140" s="294"/>
      <c r="JT140" s="294"/>
      <c r="JU140" s="294"/>
      <c r="JV140" s="87"/>
      <c r="JW140" s="87"/>
      <c r="JX140" s="87"/>
      <c r="JY140" s="294"/>
      <c r="JZ140" s="294"/>
      <c r="KA140" s="303"/>
      <c r="KB140" s="304"/>
      <c r="KC140" s="297"/>
      <c r="KD140" s="299"/>
      <c r="KE140" s="306"/>
      <c r="KF140" s="306"/>
      <c r="KG140" s="306"/>
      <c r="KH140" s="294"/>
      <c r="KI140" s="294"/>
      <c r="KJ140" s="294"/>
      <c r="KK140" s="294"/>
      <c r="KL140" s="294"/>
      <c r="KM140" s="87"/>
      <c r="KN140" s="87"/>
      <c r="KO140" s="87"/>
      <c r="KP140" s="294"/>
      <c r="KQ140" s="294"/>
      <c r="KR140" s="303"/>
      <c r="KS140" s="304"/>
      <c r="KT140" s="297"/>
      <c r="KU140" s="298"/>
    </row>
    <row r="141" ht="15.75" customHeight="1">
      <c r="A141" s="299"/>
      <c r="B141" s="313" t="str">
        <f>"Output Sekunder "&amp;" %"</f>
        <v>Output Sekunder  %</v>
      </c>
      <c r="C141" s="314"/>
      <c r="D141" s="314"/>
      <c r="E141" s="294"/>
      <c r="F141" s="315"/>
      <c r="G141" s="315"/>
      <c r="H141" s="315"/>
      <c r="I141" s="315"/>
      <c r="J141" s="110"/>
      <c r="K141" s="110"/>
      <c r="L141" s="110"/>
      <c r="M141" s="316">
        <f>E141/100*M139</f>
        <v>0</v>
      </c>
      <c r="N141" s="315"/>
      <c r="O141" s="315"/>
      <c r="P141" s="317">
        <f t="shared" ref="P141:P142" si="2017">M141</f>
        <v>0</v>
      </c>
      <c r="Q141" s="297"/>
      <c r="R141" s="299"/>
      <c r="S141" s="313" t="str">
        <f>"Output Sekunder "&amp;" %"</f>
        <v>Output Sekunder  %</v>
      </c>
      <c r="T141" s="314"/>
      <c r="U141" s="314"/>
      <c r="V141" s="294"/>
      <c r="W141" s="315"/>
      <c r="X141" s="315"/>
      <c r="Y141" s="315"/>
      <c r="Z141" s="315"/>
      <c r="AA141" s="110"/>
      <c r="AB141" s="110"/>
      <c r="AC141" s="110"/>
      <c r="AD141" s="316">
        <f>V141/100*AD139</f>
        <v>0</v>
      </c>
      <c r="AE141" s="315"/>
      <c r="AF141" s="315"/>
      <c r="AG141" s="317">
        <f t="shared" ref="AG141:AG142" si="2018">AD141</f>
        <v>0</v>
      </c>
      <c r="AH141" s="297"/>
      <c r="AI141" s="299"/>
      <c r="AJ141" s="313" t="str">
        <f>"Output Sekunder "&amp;" %"</f>
        <v>Output Sekunder  %</v>
      </c>
      <c r="AK141" s="314"/>
      <c r="AL141" s="314"/>
      <c r="AM141" s="294"/>
      <c r="AN141" s="315"/>
      <c r="AO141" s="315"/>
      <c r="AP141" s="315"/>
      <c r="AQ141" s="315"/>
      <c r="AR141" s="110"/>
      <c r="AS141" s="110"/>
      <c r="AT141" s="110"/>
      <c r="AU141" s="316">
        <f>AM141/100*AU139</f>
        <v>0</v>
      </c>
      <c r="AV141" s="315"/>
      <c r="AW141" s="315"/>
      <c r="AX141" s="317">
        <f t="shared" ref="AX141:AX142" si="2019">AU141</f>
        <v>0</v>
      </c>
      <c r="AY141" s="297"/>
      <c r="AZ141" s="299"/>
      <c r="BA141" s="313" t="str">
        <f>"Output Sekunder "&amp;" %"</f>
        <v>Output Sekunder  %</v>
      </c>
      <c r="BB141" s="314"/>
      <c r="BC141" s="314"/>
      <c r="BD141" s="294"/>
      <c r="BE141" s="315"/>
      <c r="BF141" s="315"/>
      <c r="BG141" s="315"/>
      <c r="BH141" s="315"/>
      <c r="BI141" s="110"/>
      <c r="BJ141" s="110"/>
      <c r="BK141" s="110"/>
      <c r="BL141" s="316">
        <f>BD141/100*BL139</f>
        <v>0</v>
      </c>
      <c r="BM141" s="315"/>
      <c r="BN141" s="315"/>
      <c r="BO141" s="317">
        <f t="shared" ref="BO141:BO142" si="2020">BL141</f>
        <v>0</v>
      </c>
      <c r="BP141" s="297"/>
      <c r="BQ141" s="299"/>
      <c r="BR141" s="313" t="str">
        <f>"Output Sekunder "&amp;" %"</f>
        <v>Output Sekunder  %</v>
      </c>
      <c r="BS141" s="314"/>
      <c r="BT141" s="314"/>
      <c r="BU141" s="294"/>
      <c r="BV141" s="315"/>
      <c r="BW141" s="315"/>
      <c r="BX141" s="315"/>
      <c r="BY141" s="315"/>
      <c r="BZ141" s="110"/>
      <c r="CA141" s="110"/>
      <c r="CB141" s="110"/>
      <c r="CC141" s="316">
        <f>BU141/100*CC139</f>
        <v>0</v>
      </c>
      <c r="CD141" s="315"/>
      <c r="CE141" s="315"/>
      <c r="CF141" s="317">
        <f t="shared" ref="CF141:CF142" si="2021">CC141</f>
        <v>0</v>
      </c>
      <c r="CG141" s="297"/>
      <c r="CH141" s="299"/>
      <c r="CI141" s="313" t="str">
        <f>"Output Sekunder "&amp;" %"</f>
        <v>Output Sekunder  %</v>
      </c>
      <c r="CJ141" s="314"/>
      <c r="CK141" s="314"/>
      <c r="CL141" s="294"/>
      <c r="CM141" s="315"/>
      <c r="CN141" s="315"/>
      <c r="CO141" s="315"/>
      <c r="CP141" s="315"/>
      <c r="CQ141" s="110"/>
      <c r="CR141" s="110"/>
      <c r="CS141" s="110"/>
      <c r="CT141" s="316">
        <f>CL141/100*CT139</f>
        <v>0</v>
      </c>
      <c r="CU141" s="315"/>
      <c r="CV141" s="315"/>
      <c r="CW141" s="317">
        <f t="shared" ref="CW141:CW142" si="2022">CT141</f>
        <v>0</v>
      </c>
      <c r="CX141" s="297"/>
      <c r="CY141" s="299"/>
      <c r="CZ141" s="313" t="str">
        <f>"Output Sekunder "&amp;" %"</f>
        <v>Output Sekunder  %</v>
      </c>
      <c r="DA141" s="314"/>
      <c r="DB141" s="314"/>
      <c r="DC141" s="294"/>
      <c r="DD141" s="315"/>
      <c r="DE141" s="315"/>
      <c r="DF141" s="315"/>
      <c r="DG141" s="315"/>
      <c r="DH141" s="110"/>
      <c r="DI141" s="110"/>
      <c r="DJ141" s="110"/>
      <c r="DK141" s="316">
        <f>DC141/100*DK139</f>
        <v>0</v>
      </c>
      <c r="DL141" s="315"/>
      <c r="DM141" s="315"/>
      <c r="DN141" s="317">
        <f t="shared" ref="DN141:DN142" si="2023">DK141</f>
        <v>0</v>
      </c>
      <c r="DO141" s="297"/>
      <c r="DP141" s="299"/>
      <c r="DQ141" s="313" t="str">
        <f>"Output Sekunder "&amp;" %"</f>
        <v>Output Sekunder  %</v>
      </c>
      <c r="DR141" s="314"/>
      <c r="DS141" s="314"/>
      <c r="DT141" s="294"/>
      <c r="DU141" s="315"/>
      <c r="DV141" s="315"/>
      <c r="DW141" s="315"/>
      <c r="DX141" s="315"/>
      <c r="DY141" s="110"/>
      <c r="DZ141" s="110"/>
      <c r="EA141" s="110"/>
      <c r="EB141" s="316">
        <f>DT141/100*EB139</f>
        <v>0</v>
      </c>
      <c r="EC141" s="315"/>
      <c r="ED141" s="315"/>
      <c r="EE141" s="317">
        <f t="shared" ref="EE141:EE142" si="2024">EB141</f>
        <v>0</v>
      </c>
      <c r="EF141" s="297"/>
      <c r="EG141" s="299"/>
      <c r="EH141" s="313" t="str">
        <f>"Output Sekunder "&amp;" %"</f>
        <v>Output Sekunder  %</v>
      </c>
      <c r="EI141" s="314"/>
      <c r="EJ141" s="314"/>
      <c r="EK141" s="294"/>
      <c r="EL141" s="315"/>
      <c r="EM141" s="315"/>
      <c r="EN141" s="315"/>
      <c r="EO141" s="315"/>
      <c r="EP141" s="110"/>
      <c r="EQ141" s="110"/>
      <c r="ER141" s="110"/>
      <c r="ES141" s="316">
        <f>EK141/100*ES139</f>
        <v>0</v>
      </c>
      <c r="ET141" s="315"/>
      <c r="EU141" s="315"/>
      <c r="EV141" s="317">
        <f t="shared" ref="EV141:EV142" si="2025">ES141</f>
        <v>0</v>
      </c>
      <c r="EW141" s="297"/>
      <c r="EX141" s="299"/>
      <c r="EY141" s="313" t="str">
        <f>"Output Sekunder "&amp;" %"</f>
        <v>Output Sekunder  %</v>
      </c>
      <c r="EZ141" s="314"/>
      <c r="FA141" s="314"/>
      <c r="FB141" s="294"/>
      <c r="FC141" s="315"/>
      <c r="FD141" s="315"/>
      <c r="FE141" s="315"/>
      <c r="FF141" s="315"/>
      <c r="FG141" s="110"/>
      <c r="FH141" s="110"/>
      <c r="FI141" s="110"/>
      <c r="FJ141" s="316">
        <f>FB141/100*FJ139</f>
        <v>0</v>
      </c>
      <c r="FK141" s="315"/>
      <c r="FL141" s="315"/>
      <c r="FM141" s="317">
        <f t="shared" ref="FM141:FM142" si="2026">FJ141</f>
        <v>0</v>
      </c>
      <c r="FN141" s="297"/>
      <c r="FO141" s="299"/>
      <c r="FP141" s="313" t="str">
        <f>"Output Sekunder "&amp;" %"</f>
        <v>Output Sekunder  %</v>
      </c>
      <c r="FQ141" s="314"/>
      <c r="FR141" s="314"/>
      <c r="FS141" s="294"/>
      <c r="FT141" s="315"/>
      <c r="FU141" s="315"/>
      <c r="FV141" s="315"/>
      <c r="FW141" s="315"/>
      <c r="FX141" s="110"/>
      <c r="FY141" s="110"/>
      <c r="FZ141" s="110"/>
      <c r="GA141" s="316">
        <f>FS141/100*GA139</f>
        <v>0</v>
      </c>
      <c r="GB141" s="315"/>
      <c r="GC141" s="315"/>
      <c r="GD141" s="317">
        <f t="shared" ref="GD141:GD142" si="2027">GA141</f>
        <v>0</v>
      </c>
      <c r="GE141" s="297"/>
      <c r="GF141" s="299"/>
      <c r="GG141" s="313" t="str">
        <f>"Output Sekunder "&amp;" %"</f>
        <v>Output Sekunder  %</v>
      </c>
      <c r="GH141" s="314"/>
      <c r="GI141" s="314"/>
      <c r="GJ141" s="294"/>
      <c r="GK141" s="315"/>
      <c r="GL141" s="315"/>
      <c r="GM141" s="315"/>
      <c r="GN141" s="315"/>
      <c r="GO141" s="110"/>
      <c r="GP141" s="110"/>
      <c r="GQ141" s="110"/>
      <c r="GR141" s="316">
        <f>GJ141/100*GR139</f>
        <v>0</v>
      </c>
      <c r="GS141" s="315"/>
      <c r="GT141" s="315"/>
      <c r="GU141" s="317">
        <f t="shared" ref="GU141:GU142" si="2028">GR141</f>
        <v>0</v>
      </c>
      <c r="GV141" s="297"/>
      <c r="GW141" s="299"/>
      <c r="GX141" s="313" t="str">
        <f>"Output Sekunder "&amp;" %"</f>
        <v>Output Sekunder  %</v>
      </c>
      <c r="GY141" s="314"/>
      <c r="GZ141" s="314"/>
      <c r="HA141" s="294"/>
      <c r="HB141" s="315"/>
      <c r="HC141" s="315"/>
      <c r="HD141" s="315"/>
      <c r="HE141" s="315"/>
      <c r="HF141" s="110"/>
      <c r="HG141" s="110"/>
      <c r="HH141" s="110"/>
      <c r="HI141" s="316">
        <f>HA141/100*HI139</f>
        <v>0</v>
      </c>
      <c r="HJ141" s="315"/>
      <c r="HK141" s="315"/>
      <c r="HL141" s="317">
        <f t="shared" ref="HL141:HL142" si="2029">HI141</f>
        <v>0</v>
      </c>
      <c r="HM141" s="297"/>
      <c r="HN141" s="299"/>
      <c r="HO141" s="313" t="str">
        <f>"Output Sekunder "&amp;" %"</f>
        <v>Output Sekunder  %</v>
      </c>
      <c r="HP141" s="314"/>
      <c r="HQ141" s="314"/>
      <c r="HR141" s="294"/>
      <c r="HS141" s="315"/>
      <c r="HT141" s="315"/>
      <c r="HU141" s="315"/>
      <c r="HV141" s="315"/>
      <c r="HW141" s="110"/>
      <c r="HX141" s="110"/>
      <c r="HY141" s="110"/>
      <c r="HZ141" s="316">
        <f>HR141/100*HZ139</f>
        <v>0</v>
      </c>
      <c r="IA141" s="315"/>
      <c r="IB141" s="315"/>
      <c r="IC141" s="317">
        <f t="shared" ref="IC141:IC142" si="2030">HZ141</f>
        <v>0</v>
      </c>
      <c r="ID141" s="297"/>
      <c r="IE141" s="299"/>
      <c r="IF141" s="313" t="str">
        <f>"Output Sekunder "&amp;" %"</f>
        <v>Output Sekunder  %</v>
      </c>
      <c r="IG141" s="314"/>
      <c r="IH141" s="314"/>
      <c r="II141" s="294"/>
      <c r="IJ141" s="315"/>
      <c r="IK141" s="315"/>
      <c r="IL141" s="315"/>
      <c r="IM141" s="315"/>
      <c r="IN141" s="110"/>
      <c r="IO141" s="110"/>
      <c r="IP141" s="110"/>
      <c r="IQ141" s="316">
        <f>II141/100*IQ139</f>
        <v>0</v>
      </c>
      <c r="IR141" s="315"/>
      <c r="IS141" s="315"/>
      <c r="IT141" s="317">
        <f t="shared" ref="IT141:IT142" si="2031">IQ141</f>
        <v>0</v>
      </c>
      <c r="IU141" s="297"/>
      <c r="IV141" s="299"/>
      <c r="IW141" s="313" t="str">
        <f>"Output Sekunder "&amp;" %"</f>
        <v>Output Sekunder  %</v>
      </c>
      <c r="IX141" s="314"/>
      <c r="IY141" s="314"/>
      <c r="IZ141" s="294"/>
      <c r="JA141" s="315"/>
      <c r="JB141" s="315"/>
      <c r="JC141" s="315"/>
      <c r="JD141" s="315"/>
      <c r="JE141" s="110"/>
      <c r="JF141" s="110"/>
      <c r="JG141" s="110"/>
      <c r="JH141" s="316">
        <f>IZ141/100*JH139</f>
        <v>0</v>
      </c>
      <c r="JI141" s="315"/>
      <c r="JJ141" s="315"/>
      <c r="JK141" s="317">
        <f t="shared" ref="JK141:JK142" si="2032">JH141</f>
        <v>0</v>
      </c>
      <c r="JL141" s="297"/>
      <c r="JM141" s="299"/>
      <c r="JN141" s="313" t="str">
        <f>"Output Sekunder "&amp;" %"</f>
        <v>Output Sekunder  %</v>
      </c>
      <c r="JO141" s="314"/>
      <c r="JP141" s="314"/>
      <c r="JQ141" s="294"/>
      <c r="JR141" s="315"/>
      <c r="JS141" s="315"/>
      <c r="JT141" s="315"/>
      <c r="JU141" s="315"/>
      <c r="JV141" s="110"/>
      <c r="JW141" s="110"/>
      <c r="JX141" s="110"/>
      <c r="JY141" s="316">
        <f>JQ141/100*JY139</f>
        <v>0</v>
      </c>
      <c r="JZ141" s="315"/>
      <c r="KA141" s="315"/>
      <c r="KB141" s="317">
        <f t="shared" ref="KB141:KB142" si="2033">JY141</f>
        <v>0</v>
      </c>
      <c r="KC141" s="297"/>
      <c r="KD141" s="299"/>
      <c r="KE141" s="313" t="str">
        <f>"Output Sekunder "&amp;" %"</f>
        <v>Output Sekunder  %</v>
      </c>
      <c r="KF141" s="314"/>
      <c r="KG141" s="314"/>
      <c r="KH141" s="294"/>
      <c r="KI141" s="315"/>
      <c r="KJ141" s="315"/>
      <c r="KK141" s="315"/>
      <c r="KL141" s="315"/>
      <c r="KM141" s="110"/>
      <c r="KN141" s="110"/>
      <c r="KO141" s="110"/>
      <c r="KP141" s="316">
        <f>KH141/100*KP139</f>
        <v>0</v>
      </c>
      <c r="KQ141" s="315"/>
      <c r="KR141" s="315"/>
      <c r="KS141" s="317">
        <f t="shared" ref="KS141:KS142" si="2034">KP141</f>
        <v>0</v>
      </c>
      <c r="KT141" s="297"/>
      <c r="KU141" s="298"/>
    </row>
    <row r="142" ht="15.75" customHeight="1">
      <c r="A142" s="299"/>
      <c r="B142" s="318" t="str">
        <f>"Adjusment "&amp;" %"</f>
        <v>Adjusment  %</v>
      </c>
      <c r="C142" s="319"/>
      <c r="D142" s="319"/>
      <c r="E142" s="294"/>
      <c r="F142" s="315"/>
      <c r="G142" s="315"/>
      <c r="H142" s="315"/>
      <c r="I142" s="315"/>
      <c r="J142" s="110"/>
      <c r="K142" s="110"/>
      <c r="L142" s="110"/>
      <c r="M142" s="320">
        <f>E142/100*(M139+M141)</f>
        <v>0</v>
      </c>
      <c r="N142" s="315"/>
      <c r="O142" s="315"/>
      <c r="P142" s="321">
        <f t="shared" si="2017"/>
        <v>0</v>
      </c>
      <c r="Q142" s="297"/>
      <c r="R142" s="299"/>
      <c r="S142" s="318" t="str">
        <f>"Adjusment "&amp;" %"</f>
        <v>Adjusment  %</v>
      </c>
      <c r="T142" s="319"/>
      <c r="U142" s="319"/>
      <c r="V142" s="294"/>
      <c r="W142" s="315"/>
      <c r="X142" s="315"/>
      <c r="Y142" s="315"/>
      <c r="Z142" s="315"/>
      <c r="AA142" s="110"/>
      <c r="AB142" s="110"/>
      <c r="AC142" s="110"/>
      <c r="AD142" s="320">
        <f>V142/100*(AD139+AD141)</f>
        <v>0</v>
      </c>
      <c r="AE142" s="315"/>
      <c r="AF142" s="315"/>
      <c r="AG142" s="321">
        <f t="shared" si="2018"/>
        <v>0</v>
      </c>
      <c r="AH142" s="297"/>
      <c r="AI142" s="299"/>
      <c r="AJ142" s="318" t="str">
        <f>"Adjusment "&amp;" %"</f>
        <v>Adjusment  %</v>
      </c>
      <c r="AK142" s="319"/>
      <c r="AL142" s="319"/>
      <c r="AM142" s="294"/>
      <c r="AN142" s="315"/>
      <c r="AO142" s="315"/>
      <c r="AP142" s="315"/>
      <c r="AQ142" s="315"/>
      <c r="AR142" s="110"/>
      <c r="AS142" s="110"/>
      <c r="AT142" s="110"/>
      <c r="AU142" s="320">
        <f>AM142/100*(AU139+AU141)</f>
        <v>0</v>
      </c>
      <c r="AV142" s="315"/>
      <c r="AW142" s="315"/>
      <c r="AX142" s="321">
        <f t="shared" si="2019"/>
        <v>0</v>
      </c>
      <c r="AY142" s="297"/>
      <c r="AZ142" s="299"/>
      <c r="BA142" s="318" t="str">
        <f>"Adjusment "&amp;" %"</f>
        <v>Adjusment  %</v>
      </c>
      <c r="BB142" s="319"/>
      <c r="BC142" s="319"/>
      <c r="BD142" s="294"/>
      <c r="BE142" s="315"/>
      <c r="BF142" s="315"/>
      <c r="BG142" s="315"/>
      <c r="BH142" s="315"/>
      <c r="BI142" s="110"/>
      <c r="BJ142" s="110"/>
      <c r="BK142" s="110"/>
      <c r="BL142" s="320">
        <f>BD142/100*(BL139+BL141)</f>
        <v>0</v>
      </c>
      <c r="BM142" s="315"/>
      <c r="BN142" s="315"/>
      <c r="BO142" s="321">
        <f t="shared" si="2020"/>
        <v>0</v>
      </c>
      <c r="BP142" s="297"/>
      <c r="BQ142" s="299"/>
      <c r="BR142" s="318" t="str">
        <f>"Adjusment "&amp;" %"</f>
        <v>Adjusment  %</v>
      </c>
      <c r="BS142" s="319"/>
      <c r="BT142" s="319"/>
      <c r="BU142" s="294"/>
      <c r="BV142" s="315"/>
      <c r="BW142" s="315"/>
      <c r="BX142" s="315"/>
      <c r="BY142" s="315"/>
      <c r="BZ142" s="110"/>
      <c r="CA142" s="110"/>
      <c r="CB142" s="110"/>
      <c r="CC142" s="320">
        <f>BU142/100*(CC139+CC141)</f>
        <v>0</v>
      </c>
      <c r="CD142" s="315"/>
      <c r="CE142" s="315"/>
      <c r="CF142" s="321">
        <f t="shared" si="2021"/>
        <v>0</v>
      </c>
      <c r="CG142" s="297"/>
      <c r="CH142" s="299"/>
      <c r="CI142" s="318" t="str">
        <f>"Adjusment "&amp;" %"</f>
        <v>Adjusment  %</v>
      </c>
      <c r="CJ142" s="319"/>
      <c r="CK142" s="319"/>
      <c r="CL142" s="294"/>
      <c r="CM142" s="315"/>
      <c r="CN142" s="315"/>
      <c r="CO142" s="315"/>
      <c r="CP142" s="315"/>
      <c r="CQ142" s="110"/>
      <c r="CR142" s="110"/>
      <c r="CS142" s="110"/>
      <c r="CT142" s="320">
        <f>CL142/100*(CT139+CT141)</f>
        <v>0</v>
      </c>
      <c r="CU142" s="315"/>
      <c r="CV142" s="315"/>
      <c r="CW142" s="321">
        <f t="shared" si="2022"/>
        <v>0</v>
      </c>
      <c r="CX142" s="297"/>
      <c r="CY142" s="299"/>
      <c r="CZ142" s="318" t="str">
        <f>"Adjusment "&amp;" %"</f>
        <v>Adjusment  %</v>
      </c>
      <c r="DA142" s="319"/>
      <c r="DB142" s="319"/>
      <c r="DC142" s="294"/>
      <c r="DD142" s="315"/>
      <c r="DE142" s="315"/>
      <c r="DF142" s="315"/>
      <c r="DG142" s="315"/>
      <c r="DH142" s="110"/>
      <c r="DI142" s="110"/>
      <c r="DJ142" s="110"/>
      <c r="DK142" s="320">
        <f>DC142/100*(DK139+DK141)</f>
        <v>0</v>
      </c>
      <c r="DL142" s="315"/>
      <c r="DM142" s="315"/>
      <c r="DN142" s="321">
        <f t="shared" si="2023"/>
        <v>0</v>
      </c>
      <c r="DO142" s="297"/>
      <c r="DP142" s="299"/>
      <c r="DQ142" s="318" t="str">
        <f>"Adjusment "&amp;" %"</f>
        <v>Adjusment  %</v>
      </c>
      <c r="DR142" s="319"/>
      <c r="DS142" s="319"/>
      <c r="DT142" s="294"/>
      <c r="DU142" s="315"/>
      <c r="DV142" s="315"/>
      <c r="DW142" s="315"/>
      <c r="DX142" s="315"/>
      <c r="DY142" s="110"/>
      <c r="DZ142" s="110"/>
      <c r="EA142" s="110"/>
      <c r="EB142" s="320">
        <f>DT142/100*(EB139+EB141)</f>
        <v>0</v>
      </c>
      <c r="EC142" s="315"/>
      <c r="ED142" s="315"/>
      <c r="EE142" s="321">
        <f t="shared" si="2024"/>
        <v>0</v>
      </c>
      <c r="EF142" s="297"/>
      <c r="EG142" s="299"/>
      <c r="EH142" s="318" t="str">
        <f>"Adjusment "&amp;" %"</f>
        <v>Adjusment  %</v>
      </c>
      <c r="EI142" s="319"/>
      <c r="EJ142" s="319"/>
      <c r="EK142" s="294"/>
      <c r="EL142" s="315"/>
      <c r="EM142" s="315"/>
      <c r="EN142" s="315"/>
      <c r="EO142" s="315"/>
      <c r="EP142" s="110"/>
      <c r="EQ142" s="110"/>
      <c r="ER142" s="110"/>
      <c r="ES142" s="320">
        <f>EK142/100*(ES139+ES141)</f>
        <v>0</v>
      </c>
      <c r="ET142" s="315"/>
      <c r="EU142" s="315"/>
      <c r="EV142" s="321">
        <f t="shared" si="2025"/>
        <v>0</v>
      </c>
      <c r="EW142" s="297"/>
      <c r="EX142" s="299"/>
      <c r="EY142" s="318" t="str">
        <f>"Adjusment "&amp;" %"</f>
        <v>Adjusment  %</v>
      </c>
      <c r="EZ142" s="319"/>
      <c r="FA142" s="319"/>
      <c r="FB142" s="294"/>
      <c r="FC142" s="315"/>
      <c r="FD142" s="315"/>
      <c r="FE142" s="315"/>
      <c r="FF142" s="315"/>
      <c r="FG142" s="110"/>
      <c r="FH142" s="110"/>
      <c r="FI142" s="110"/>
      <c r="FJ142" s="320">
        <f>FB142/100*(FJ139+FJ141)</f>
        <v>0</v>
      </c>
      <c r="FK142" s="315"/>
      <c r="FL142" s="315"/>
      <c r="FM142" s="321">
        <f t="shared" si="2026"/>
        <v>0</v>
      </c>
      <c r="FN142" s="297"/>
      <c r="FO142" s="299"/>
      <c r="FP142" s="318" t="str">
        <f>"Adjusment "&amp;" %"</f>
        <v>Adjusment  %</v>
      </c>
      <c r="FQ142" s="319"/>
      <c r="FR142" s="319"/>
      <c r="FS142" s="294"/>
      <c r="FT142" s="315"/>
      <c r="FU142" s="315"/>
      <c r="FV142" s="315"/>
      <c r="FW142" s="315"/>
      <c r="FX142" s="110"/>
      <c r="FY142" s="110"/>
      <c r="FZ142" s="110"/>
      <c r="GA142" s="320">
        <f>FS142/100*(GA139+GA141)</f>
        <v>0</v>
      </c>
      <c r="GB142" s="315"/>
      <c r="GC142" s="315"/>
      <c r="GD142" s="321">
        <f t="shared" si="2027"/>
        <v>0</v>
      </c>
      <c r="GE142" s="297"/>
      <c r="GF142" s="299"/>
      <c r="GG142" s="318" t="str">
        <f>"Adjusment "&amp;" %"</f>
        <v>Adjusment  %</v>
      </c>
      <c r="GH142" s="319"/>
      <c r="GI142" s="319"/>
      <c r="GJ142" s="294"/>
      <c r="GK142" s="315"/>
      <c r="GL142" s="315"/>
      <c r="GM142" s="315"/>
      <c r="GN142" s="315"/>
      <c r="GO142" s="110"/>
      <c r="GP142" s="110"/>
      <c r="GQ142" s="110"/>
      <c r="GR142" s="320">
        <f>GJ142/100*(GR139+GR141)</f>
        <v>0</v>
      </c>
      <c r="GS142" s="315"/>
      <c r="GT142" s="315"/>
      <c r="GU142" s="321">
        <f t="shared" si="2028"/>
        <v>0</v>
      </c>
      <c r="GV142" s="297"/>
      <c r="GW142" s="299"/>
      <c r="GX142" s="318" t="str">
        <f>"Adjusment "&amp;" %"</f>
        <v>Adjusment  %</v>
      </c>
      <c r="GY142" s="319"/>
      <c r="GZ142" s="319"/>
      <c r="HA142" s="294"/>
      <c r="HB142" s="315"/>
      <c r="HC142" s="315"/>
      <c r="HD142" s="315"/>
      <c r="HE142" s="315"/>
      <c r="HF142" s="110"/>
      <c r="HG142" s="110"/>
      <c r="HH142" s="110"/>
      <c r="HI142" s="320">
        <f>HA142/100*(HI139+HI141)</f>
        <v>0</v>
      </c>
      <c r="HJ142" s="315"/>
      <c r="HK142" s="315"/>
      <c r="HL142" s="321">
        <f t="shared" si="2029"/>
        <v>0</v>
      </c>
      <c r="HM142" s="297"/>
      <c r="HN142" s="299"/>
      <c r="HO142" s="318" t="str">
        <f>"Adjusment "&amp;" %"</f>
        <v>Adjusment  %</v>
      </c>
      <c r="HP142" s="319"/>
      <c r="HQ142" s="319"/>
      <c r="HR142" s="294"/>
      <c r="HS142" s="315"/>
      <c r="HT142" s="315"/>
      <c r="HU142" s="315"/>
      <c r="HV142" s="315"/>
      <c r="HW142" s="110"/>
      <c r="HX142" s="110"/>
      <c r="HY142" s="110"/>
      <c r="HZ142" s="320">
        <f>HR142/100*(HZ139+HZ141)</f>
        <v>0</v>
      </c>
      <c r="IA142" s="315"/>
      <c r="IB142" s="315"/>
      <c r="IC142" s="321">
        <f t="shared" si="2030"/>
        <v>0</v>
      </c>
      <c r="ID142" s="297"/>
      <c r="IE142" s="299"/>
      <c r="IF142" s="318" t="str">
        <f>"Adjusment "&amp;" %"</f>
        <v>Adjusment  %</v>
      </c>
      <c r="IG142" s="319"/>
      <c r="IH142" s="319"/>
      <c r="II142" s="294"/>
      <c r="IJ142" s="315"/>
      <c r="IK142" s="315"/>
      <c r="IL142" s="315"/>
      <c r="IM142" s="315"/>
      <c r="IN142" s="110"/>
      <c r="IO142" s="110"/>
      <c r="IP142" s="110"/>
      <c r="IQ142" s="320">
        <f>II142/100*(IQ139+IQ141)</f>
        <v>0</v>
      </c>
      <c r="IR142" s="315"/>
      <c r="IS142" s="315"/>
      <c r="IT142" s="321">
        <f t="shared" si="2031"/>
        <v>0</v>
      </c>
      <c r="IU142" s="297"/>
      <c r="IV142" s="299"/>
      <c r="IW142" s="318" t="str">
        <f>"Adjusment "&amp;" %"</f>
        <v>Adjusment  %</v>
      </c>
      <c r="IX142" s="319"/>
      <c r="IY142" s="319"/>
      <c r="IZ142" s="294"/>
      <c r="JA142" s="315"/>
      <c r="JB142" s="315"/>
      <c r="JC142" s="315"/>
      <c r="JD142" s="315"/>
      <c r="JE142" s="110"/>
      <c r="JF142" s="110"/>
      <c r="JG142" s="110"/>
      <c r="JH142" s="320">
        <f>IZ142/100*(JH139+JH141)</f>
        <v>0</v>
      </c>
      <c r="JI142" s="315"/>
      <c r="JJ142" s="315"/>
      <c r="JK142" s="321">
        <f t="shared" si="2032"/>
        <v>0</v>
      </c>
      <c r="JL142" s="297"/>
      <c r="JM142" s="299"/>
      <c r="JN142" s="318" t="str">
        <f>"Adjusment "&amp;" %"</f>
        <v>Adjusment  %</v>
      </c>
      <c r="JO142" s="319"/>
      <c r="JP142" s="319"/>
      <c r="JQ142" s="294"/>
      <c r="JR142" s="315"/>
      <c r="JS142" s="315"/>
      <c r="JT142" s="315"/>
      <c r="JU142" s="315"/>
      <c r="JV142" s="110"/>
      <c r="JW142" s="110"/>
      <c r="JX142" s="110"/>
      <c r="JY142" s="320">
        <f>JQ142/100*(JY139+JY141)</f>
        <v>0</v>
      </c>
      <c r="JZ142" s="315"/>
      <c r="KA142" s="315"/>
      <c r="KB142" s="321">
        <f t="shared" si="2033"/>
        <v>0</v>
      </c>
      <c r="KC142" s="297"/>
      <c r="KD142" s="299"/>
      <c r="KE142" s="318" t="str">
        <f>"Adjusment "&amp;" %"</f>
        <v>Adjusment  %</v>
      </c>
      <c r="KF142" s="319"/>
      <c r="KG142" s="319"/>
      <c r="KH142" s="294"/>
      <c r="KI142" s="315"/>
      <c r="KJ142" s="315"/>
      <c r="KK142" s="315"/>
      <c r="KL142" s="315"/>
      <c r="KM142" s="110"/>
      <c r="KN142" s="110"/>
      <c r="KO142" s="110"/>
      <c r="KP142" s="320">
        <f>KH142/100*(KP139+KP141)</f>
        <v>0</v>
      </c>
      <c r="KQ142" s="315"/>
      <c r="KR142" s="315"/>
      <c r="KS142" s="321">
        <f t="shared" si="2034"/>
        <v>0</v>
      </c>
      <c r="KT142" s="297"/>
      <c r="KU142" s="298"/>
    </row>
    <row r="143" ht="15.75" customHeight="1">
      <c r="A143" s="299"/>
      <c r="B143" s="300"/>
      <c r="C143" s="301"/>
      <c r="D143" s="301"/>
      <c r="E143" s="294"/>
      <c r="F143" s="294"/>
      <c r="G143" s="294"/>
      <c r="H143" s="294"/>
      <c r="I143" s="294"/>
      <c r="J143" s="87"/>
      <c r="K143" s="87"/>
      <c r="L143" s="87"/>
      <c r="M143" s="294"/>
      <c r="N143" s="294"/>
      <c r="O143" s="294"/>
      <c r="P143" s="304"/>
      <c r="Q143" s="297"/>
      <c r="R143" s="299"/>
      <c r="S143" s="300"/>
      <c r="T143" s="301"/>
      <c r="U143" s="301"/>
      <c r="V143" s="294"/>
      <c r="W143" s="294"/>
      <c r="X143" s="294"/>
      <c r="Y143" s="294"/>
      <c r="Z143" s="294"/>
      <c r="AA143" s="87"/>
      <c r="AB143" s="87"/>
      <c r="AC143" s="87"/>
      <c r="AD143" s="294"/>
      <c r="AE143" s="294"/>
      <c r="AF143" s="294"/>
      <c r="AG143" s="304"/>
      <c r="AH143" s="297"/>
      <c r="AI143" s="299"/>
      <c r="AJ143" s="300"/>
      <c r="AK143" s="301"/>
      <c r="AL143" s="301"/>
      <c r="AM143" s="294"/>
      <c r="AN143" s="294"/>
      <c r="AO143" s="294"/>
      <c r="AP143" s="294"/>
      <c r="AQ143" s="294"/>
      <c r="AR143" s="87"/>
      <c r="AS143" s="87"/>
      <c r="AT143" s="87"/>
      <c r="AU143" s="294"/>
      <c r="AV143" s="294"/>
      <c r="AW143" s="294"/>
      <c r="AX143" s="304"/>
      <c r="AY143" s="297"/>
      <c r="AZ143" s="299"/>
      <c r="BA143" s="300"/>
      <c r="BB143" s="301"/>
      <c r="BC143" s="301"/>
      <c r="BD143" s="294"/>
      <c r="BE143" s="294"/>
      <c r="BF143" s="294"/>
      <c r="BG143" s="294"/>
      <c r="BH143" s="294"/>
      <c r="BI143" s="87"/>
      <c r="BJ143" s="87"/>
      <c r="BK143" s="87"/>
      <c r="BL143" s="294"/>
      <c r="BM143" s="294"/>
      <c r="BN143" s="294"/>
      <c r="BO143" s="304"/>
      <c r="BP143" s="297"/>
      <c r="BQ143" s="299"/>
      <c r="BR143" s="300"/>
      <c r="BS143" s="301"/>
      <c r="BT143" s="301"/>
      <c r="BU143" s="294"/>
      <c r="BV143" s="294"/>
      <c r="BW143" s="294"/>
      <c r="BX143" s="294"/>
      <c r="BY143" s="294"/>
      <c r="BZ143" s="87"/>
      <c r="CA143" s="87"/>
      <c r="CB143" s="87"/>
      <c r="CC143" s="294"/>
      <c r="CD143" s="294"/>
      <c r="CE143" s="294"/>
      <c r="CF143" s="304"/>
      <c r="CG143" s="297"/>
      <c r="CH143" s="299"/>
      <c r="CI143" s="300"/>
      <c r="CJ143" s="301"/>
      <c r="CK143" s="301"/>
      <c r="CL143" s="294"/>
      <c r="CM143" s="294"/>
      <c r="CN143" s="294"/>
      <c r="CO143" s="294"/>
      <c r="CP143" s="294"/>
      <c r="CQ143" s="87"/>
      <c r="CR143" s="87"/>
      <c r="CS143" s="87"/>
      <c r="CT143" s="294"/>
      <c r="CU143" s="294"/>
      <c r="CV143" s="294"/>
      <c r="CW143" s="304"/>
      <c r="CX143" s="297"/>
      <c r="CY143" s="299"/>
      <c r="CZ143" s="300"/>
      <c r="DA143" s="301"/>
      <c r="DB143" s="301"/>
      <c r="DC143" s="294"/>
      <c r="DD143" s="294"/>
      <c r="DE143" s="294"/>
      <c r="DF143" s="294"/>
      <c r="DG143" s="294"/>
      <c r="DH143" s="87"/>
      <c r="DI143" s="87"/>
      <c r="DJ143" s="87"/>
      <c r="DK143" s="294"/>
      <c r="DL143" s="294"/>
      <c r="DM143" s="294"/>
      <c r="DN143" s="304"/>
      <c r="DO143" s="297"/>
      <c r="DP143" s="299"/>
      <c r="DQ143" s="300"/>
      <c r="DR143" s="301"/>
      <c r="DS143" s="301"/>
      <c r="DT143" s="294"/>
      <c r="DU143" s="294"/>
      <c r="DV143" s="294"/>
      <c r="DW143" s="294"/>
      <c r="DX143" s="294"/>
      <c r="DY143" s="87"/>
      <c r="DZ143" s="87"/>
      <c r="EA143" s="87"/>
      <c r="EB143" s="294"/>
      <c r="EC143" s="294"/>
      <c r="ED143" s="294"/>
      <c r="EE143" s="304"/>
      <c r="EF143" s="297"/>
      <c r="EG143" s="299"/>
      <c r="EH143" s="300"/>
      <c r="EI143" s="301"/>
      <c r="EJ143" s="301"/>
      <c r="EK143" s="294"/>
      <c r="EL143" s="294"/>
      <c r="EM143" s="294"/>
      <c r="EN143" s="294"/>
      <c r="EO143" s="294"/>
      <c r="EP143" s="87"/>
      <c r="EQ143" s="87"/>
      <c r="ER143" s="87"/>
      <c r="ES143" s="294"/>
      <c r="ET143" s="294"/>
      <c r="EU143" s="294"/>
      <c r="EV143" s="304"/>
      <c r="EW143" s="297"/>
      <c r="EX143" s="299"/>
      <c r="EY143" s="300"/>
      <c r="EZ143" s="301"/>
      <c r="FA143" s="301"/>
      <c r="FB143" s="294"/>
      <c r="FC143" s="294"/>
      <c r="FD143" s="294"/>
      <c r="FE143" s="294"/>
      <c r="FF143" s="294"/>
      <c r="FG143" s="87"/>
      <c r="FH143" s="87"/>
      <c r="FI143" s="87"/>
      <c r="FJ143" s="294"/>
      <c r="FK143" s="294"/>
      <c r="FL143" s="294"/>
      <c r="FM143" s="304"/>
      <c r="FN143" s="297"/>
      <c r="FO143" s="299"/>
      <c r="FP143" s="300"/>
      <c r="FQ143" s="301"/>
      <c r="FR143" s="301"/>
      <c r="FS143" s="294"/>
      <c r="FT143" s="294"/>
      <c r="FU143" s="294"/>
      <c r="FV143" s="294"/>
      <c r="FW143" s="294"/>
      <c r="FX143" s="87"/>
      <c r="FY143" s="87"/>
      <c r="FZ143" s="87"/>
      <c r="GA143" s="294"/>
      <c r="GB143" s="294"/>
      <c r="GC143" s="294"/>
      <c r="GD143" s="304"/>
      <c r="GE143" s="297"/>
      <c r="GF143" s="299"/>
      <c r="GG143" s="300"/>
      <c r="GH143" s="301"/>
      <c r="GI143" s="301"/>
      <c r="GJ143" s="294"/>
      <c r="GK143" s="294"/>
      <c r="GL143" s="294"/>
      <c r="GM143" s="294"/>
      <c r="GN143" s="294"/>
      <c r="GO143" s="87"/>
      <c r="GP143" s="87"/>
      <c r="GQ143" s="87"/>
      <c r="GR143" s="294"/>
      <c r="GS143" s="294"/>
      <c r="GT143" s="294"/>
      <c r="GU143" s="304"/>
      <c r="GV143" s="297"/>
      <c r="GW143" s="299"/>
      <c r="GX143" s="300"/>
      <c r="GY143" s="301"/>
      <c r="GZ143" s="301"/>
      <c r="HA143" s="294"/>
      <c r="HB143" s="294"/>
      <c r="HC143" s="294"/>
      <c r="HD143" s="294"/>
      <c r="HE143" s="294"/>
      <c r="HF143" s="87"/>
      <c r="HG143" s="87"/>
      <c r="HH143" s="87"/>
      <c r="HI143" s="294"/>
      <c r="HJ143" s="294"/>
      <c r="HK143" s="294"/>
      <c r="HL143" s="304"/>
      <c r="HM143" s="297"/>
      <c r="HN143" s="299"/>
      <c r="HO143" s="300"/>
      <c r="HP143" s="301"/>
      <c r="HQ143" s="301"/>
      <c r="HR143" s="294"/>
      <c r="HS143" s="294"/>
      <c r="HT143" s="294"/>
      <c r="HU143" s="294"/>
      <c r="HV143" s="294"/>
      <c r="HW143" s="87"/>
      <c r="HX143" s="87"/>
      <c r="HY143" s="87"/>
      <c r="HZ143" s="294"/>
      <c r="IA143" s="294"/>
      <c r="IB143" s="294"/>
      <c r="IC143" s="304"/>
      <c r="ID143" s="297"/>
      <c r="IE143" s="299"/>
      <c r="IF143" s="300"/>
      <c r="IG143" s="301"/>
      <c r="IH143" s="301"/>
      <c r="II143" s="294"/>
      <c r="IJ143" s="294"/>
      <c r="IK143" s="294"/>
      <c r="IL143" s="294"/>
      <c r="IM143" s="294"/>
      <c r="IN143" s="87"/>
      <c r="IO143" s="87"/>
      <c r="IP143" s="87"/>
      <c r="IQ143" s="294"/>
      <c r="IR143" s="294"/>
      <c r="IS143" s="294"/>
      <c r="IT143" s="304"/>
      <c r="IU143" s="297"/>
      <c r="IV143" s="299"/>
      <c r="IW143" s="300"/>
      <c r="IX143" s="301"/>
      <c r="IY143" s="301"/>
      <c r="IZ143" s="294"/>
      <c r="JA143" s="294"/>
      <c r="JB143" s="294"/>
      <c r="JC143" s="294"/>
      <c r="JD143" s="294"/>
      <c r="JE143" s="87"/>
      <c r="JF143" s="87"/>
      <c r="JG143" s="87"/>
      <c r="JH143" s="294"/>
      <c r="JI143" s="294"/>
      <c r="JJ143" s="294"/>
      <c r="JK143" s="304"/>
      <c r="JL143" s="297"/>
      <c r="JM143" s="299"/>
      <c r="JN143" s="300"/>
      <c r="JO143" s="301"/>
      <c r="JP143" s="301"/>
      <c r="JQ143" s="294"/>
      <c r="JR143" s="294"/>
      <c r="JS143" s="294"/>
      <c r="JT143" s="294"/>
      <c r="JU143" s="294"/>
      <c r="JV143" s="87"/>
      <c r="JW143" s="87"/>
      <c r="JX143" s="87"/>
      <c r="JY143" s="294"/>
      <c r="JZ143" s="294"/>
      <c r="KA143" s="294"/>
      <c r="KB143" s="304"/>
      <c r="KC143" s="297"/>
      <c r="KD143" s="299"/>
      <c r="KE143" s="300"/>
      <c r="KF143" s="301"/>
      <c r="KG143" s="301"/>
      <c r="KH143" s="294"/>
      <c r="KI143" s="294"/>
      <c r="KJ143" s="294"/>
      <c r="KK143" s="294"/>
      <c r="KL143" s="294"/>
      <c r="KM143" s="87"/>
      <c r="KN143" s="87"/>
      <c r="KO143" s="87"/>
      <c r="KP143" s="294"/>
      <c r="KQ143" s="294"/>
      <c r="KR143" s="294"/>
      <c r="KS143" s="304"/>
      <c r="KT143" s="297"/>
      <c r="KU143" s="298"/>
    </row>
    <row r="144" ht="24.0" customHeight="1">
      <c r="A144" s="322" t="s">
        <v>52</v>
      </c>
      <c r="B144" s="118"/>
      <c r="C144" s="323"/>
      <c r="D144" s="323"/>
      <c r="E144" s="324"/>
      <c r="F144" s="324"/>
      <c r="G144" s="325">
        <f>SUM(G139:G143)</f>
        <v>0</v>
      </c>
      <c r="H144" s="324"/>
      <c r="I144" s="325">
        <f>SUM(I139:I143)</f>
        <v>0</v>
      </c>
      <c r="J144" s="120"/>
      <c r="K144" s="120"/>
      <c r="L144" s="120"/>
      <c r="M144" s="325">
        <f>SUM(M139:M143)</f>
        <v>0</v>
      </c>
      <c r="N144" s="324"/>
      <c r="O144" s="325">
        <f t="shared" ref="O144:P144" si="2035">SUM(O139:O143)</f>
        <v>0</v>
      </c>
      <c r="P144" s="325">
        <f t="shared" si="2035"/>
        <v>0</v>
      </c>
      <c r="Q144" s="311"/>
      <c r="R144" s="322" t="s">
        <v>52</v>
      </c>
      <c r="S144" s="118"/>
      <c r="T144" s="323"/>
      <c r="U144" s="323"/>
      <c r="V144" s="324"/>
      <c r="W144" s="324"/>
      <c r="X144" s="325">
        <f>SUM(X139:X143)</f>
        <v>0</v>
      </c>
      <c r="Y144" s="324"/>
      <c r="Z144" s="325">
        <f>SUM(Z139:Z143)</f>
        <v>0</v>
      </c>
      <c r="AA144" s="120"/>
      <c r="AB144" s="120"/>
      <c r="AC144" s="120"/>
      <c r="AD144" s="325">
        <f>SUM(AD139:AD143)</f>
        <v>0</v>
      </c>
      <c r="AE144" s="324"/>
      <c r="AF144" s="325">
        <f t="shared" ref="AF144:AG144" si="2036">SUM(AF139:AF143)</f>
        <v>0</v>
      </c>
      <c r="AG144" s="325">
        <f t="shared" si="2036"/>
        <v>0</v>
      </c>
      <c r="AH144" s="311"/>
      <c r="AI144" s="322" t="s">
        <v>52</v>
      </c>
      <c r="AJ144" s="118"/>
      <c r="AK144" s="323"/>
      <c r="AL144" s="323"/>
      <c r="AM144" s="324"/>
      <c r="AN144" s="324"/>
      <c r="AO144" s="325">
        <f>SUM(AO139:AO143)</f>
        <v>0</v>
      </c>
      <c r="AP144" s="324"/>
      <c r="AQ144" s="325">
        <f>SUM(AQ139:AQ143)</f>
        <v>0</v>
      </c>
      <c r="AR144" s="120"/>
      <c r="AS144" s="120"/>
      <c r="AT144" s="120"/>
      <c r="AU144" s="325">
        <f>SUM(AU139:AU143)</f>
        <v>0</v>
      </c>
      <c r="AV144" s="324"/>
      <c r="AW144" s="325">
        <f t="shared" ref="AW144:AX144" si="2037">SUM(AW139:AW143)</f>
        <v>0</v>
      </c>
      <c r="AX144" s="325">
        <f t="shared" si="2037"/>
        <v>0</v>
      </c>
      <c r="AY144" s="311"/>
      <c r="AZ144" s="322" t="s">
        <v>52</v>
      </c>
      <c r="BA144" s="118"/>
      <c r="BB144" s="323"/>
      <c r="BC144" s="323"/>
      <c r="BD144" s="324"/>
      <c r="BE144" s="324"/>
      <c r="BF144" s="325">
        <f>SUM(BF139:BF143)</f>
        <v>0</v>
      </c>
      <c r="BG144" s="324"/>
      <c r="BH144" s="325">
        <f>SUM(BH139:BH143)</f>
        <v>0</v>
      </c>
      <c r="BI144" s="120"/>
      <c r="BJ144" s="120"/>
      <c r="BK144" s="120"/>
      <c r="BL144" s="325">
        <f>SUM(BL139:BL143)</f>
        <v>0</v>
      </c>
      <c r="BM144" s="324"/>
      <c r="BN144" s="325">
        <f t="shared" ref="BN144:BO144" si="2038">SUM(BN139:BN143)</f>
        <v>0</v>
      </c>
      <c r="BO144" s="325">
        <f t="shared" si="2038"/>
        <v>0</v>
      </c>
      <c r="BP144" s="311"/>
      <c r="BQ144" s="322" t="s">
        <v>52</v>
      </c>
      <c r="BR144" s="118"/>
      <c r="BS144" s="323"/>
      <c r="BT144" s="323"/>
      <c r="BU144" s="324"/>
      <c r="BV144" s="324"/>
      <c r="BW144" s="325">
        <f>SUM(BW139:BW143)</f>
        <v>0</v>
      </c>
      <c r="BX144" s="324"/>
      <c r="BY144" s="325">
        <f>SUM(BY139:BY143)</f>
        <v>0</v>
      </c>
      <c r="BZ144" s="120"/>
      <c r="CA144" s="120"/>
      <c r="CB144" s="120"/>
      <c r="CC144" s="325">
        <f>SUM(CC139:CC143)</f>
        <v>0</v>
      </c>
      <c r="CD144" s="324"/>
      <c r="CE144" s="325">
        <f t="shared" ref="CE144:CF144" si="2039">SUM(CE139:CE143)</f>
        <v>0</v>
      </c>
      <c r="CF144" s="325">
        <f t="shared" si="2039"/>
        <v>0</v>
      </c>
      <c r="CG144" s="311"/>
      <c r="CH144" s="322" t="s">
        <v>52</v>
      </c>
      <c r="CI144" s="118"/>
      <c r="CJ144" s="323"/>
      <c r="CK144" s="323"/>
      <c r="CL144" s="324"/>
      <c r="CM144" s="324"/>
      <c r="CN144" s="325">
        <f>SUM(CN139:CN143)</f>
        <v>0</v>
      </c>
      <c r="CO144" s="324"/>
      <c r="CP144" s="325">
        <f>SUM(CP139:CP143)</f>
        <v>0</v>
      </c>
      <c r="CQ144" s="120"/>
      <c r="CR144" s="120"/>
      <c r="CS144" s="120"/>
      <c r="CT144" s="325">
        <f>SUM(CT139:CT143)</f>
        <v>0</v>
      </c>
      <c r="CU144" s="324"/>
      <c r="CV144" s="325">
        <f t="shared" ref="CV144:CW144" si="2040">SUM(CV139:CV143)</f>
        <v>0</v>
      </c>
      <c r="CW144" s="325">
        <f t="shared" si="2040"/>
        <v>0</v>
      </c>
      <c r="CX144" s="311"/>
      <c r="CY144" s="322" t="s">
        <v>52</v>
      </c>
      <c r="CZ144" s="118"/>
      <c r="DA144" s="323"/>
      <c r="DB144" s="323"/>
      <c r="DC144" s="324"/>
      <c r="DD144" s="324"/>
      <c r="DE144" s="325">
        <f>SUM(DE139:DE143)</f>
        <v>0</v>
      </c>
      <c r="DF144" s="324"/>
      <c r="DG144" s="325">
        <f>SUM(DG139:DG143)</f>
        <v>0</v>
      </c>
      <c r="DH144" s="120"/>
      <c r="DI144" s="120"/>
      <c r="DJ144" s="120"/>
      <c r="DK144" s="325">
        <f>SUM(DK139:DK143)</f>
        <v>0</v>
      </c>
      <c r="DL144" s="324"/>
      <c r="DM144" s="325">
        <f t="shared" ref="DM144:DN144" si="2041">SUM(DM139:DM143)</f>
        <v>0</v>
      </c>
      <c r="DN144" s="325">
        <f t="shared" si="2041"/>
        <v>0</v>
      </c>
      <c r="DO144" s="311"/>
      <c r="DP144" s="322" t="s">
        <v>52</v>
      </c>
      <c r="DQ144" s="118"/>
      <c r="DR144" s="323"/>
      <c r="DS144" s="323"/>
      <c r="DT144" s="324"/>
      <c r="DU144" s="324"/>
      <c r="DV144" s="325">
        <f>SUM(DV139:DV143)</f>
        <v>0</v>
      </c>
      <c r="DW144" s="324"/>
      <c r="DX144" s="325">
        <f>SUM(DX139:DX143)</f>
        <v>0</v>
      </c>
      <c r="DY144" s="120"/>
      <c r="DZ144" s="120"/>
      <c r="EA144" s="120"/>
      <c r="EB144" s="325">
        <f>SUM(EB139:EB143)</f>
        <v>0</v>
      </c>
      <c r="EC144" s="324"/>
      <c r="ED144" s="325">
        <f t="shared" ref="ED144:EE144" si="2042">SUM(ED139:ED143)</f>
        <v>0</v>
      </c>
      <c r="EE144" s="325">
        <f t="shared" si="2042"/>
        <v>0</v>
      </c>
      <c r="EF144" s="311"/>
      <c r="EG144" s="322" t="s">
        <v>52</v>
      </c>
      <c r="EH144" s="118"/>
      <c r="EI144" s="323"/>
      <c r="EJ144" s="323"/>
      <c r="EK144" s="324"/>
      <c r="EL144" s="324"/>
      <c r="EM144" s="325">
        <f>SUM(EM139:EM143)</f>
        <v>0</v>
      </c>
      <c r="EN144" s="324"/>
      <c r="EO144" s="325">
        <f>SUM(EO139:EO143)</f>
        <v>0</v>
      </c>
      <c r="EP144" s="120"/>
      <c r="EQ144" s="120"/>
      <c r="ER144" s="120"/>
      <c r="ES144" s="325">
        <f>SUM(ES139:ES143)</f>
        <v>0</v>
      </c>
      <c r="ET144" s="324"/>
      <c r="EU144" s="325">
        <f t="shared" ref="EU144:EV144" si="2043">SUM(EU139:EU143)</f>
        <v>0</v>
      </c>
      <c r="EV144" s="325">
        <f t="shared" si="2043"/>
        <v>0</v>
      </c>
      <c r="EW144" s="311"/>
      <c r="EX144" s="322" t="s">
        <v>52</v>
      </c>
      <c r="EY144" s="118"/>
      <c r="EZ144" s="323"/>
      <c r="FA144" s="323"/>
      <c r="FB144" s="324"/>
      <c r="FC144" s="324"/>
      <c r="FD144" s="325">
        <f>SUM(FD139:FD143)</f>
        <v>0</v>
      </c>
      <c r="FE144" s="324"/>
      <c r="FF144" s="325">
        <f>SUM(FF139:FF143)</f>
        <v>0</v>
      </c>
      <c r="FG144" s="120"/>
      <c r="FH144" s="120"/>
      <c r="FI144" s="120"/>
      <c r="FJ144" s="325">
        <f>SUM(FJ139:FJ143)</f>
        <v>0</v>
      </c>
      <c r="FK144" s="324"/>
      <c r="FL144" s="325">
        <f t="shared" ref="FL144:FM144" si="2044">SUM(FL139:FL143)</f>
        <v>0</v>
      </c>
      <c r="FM144" s="325">
        <f t="shared" si="2044"/>
        <v>0</v>
      </c>
      <c r="FN144" s="311"/>
      <c r="FO144" s="322" t="s">
        <v>52</v>
      </c>
      <c r="FP144" s="118"/>
      <c r="FQ144" s="323"/>
      <c r="FR144" s="323"/>
      <c r="FS144" s="324"/>
      <c r="FT144" s="324"/>
      <c r="FU144" s="325">
        <f>SUM(FU139:FU143)</f>
        <v>1450645.869</v>
      </c>
      <c r="FV144" s="324"/>
      <c r="FW144" s="325">
        <f>SUM(FW139:FW143)</f>
        <v>0</v>
      </c>
      <c r="FX144" s="120"/>
      <c r="FY144" s="120"/>
      <c r="FZ144" s="120"/>
      <c r="GA144" s="325">
        <f>SUM(GA139:GA143)</f>
        <v>1450645.869</v>
      </c>
      <c r="GB144" s="324"/>
      <c r="GC144" s="325">
        <f t="shared" ref="GC144:GD144" si="2045">SUM(GC139:GC143)</f>
        <v>667945.7227</v>
      </c>
      <c r="GD144" s="325">
        <f t="shared" si="2045"/>
        <v>782700.1467</v>
      </c>
      <c r="GE144" s="311"/>
      <c r="GF144" s="322" t="s">
        <v>52</v>
      </c>
      <c r="GG144" s="118"/>
      <c r="GH144" s="323"/>
      <c r="GI144" s="323"/>
      <c r="GJ144" s="324"/>
      <c r="GK144" s="324"/>
      <c r="GL144" s="325">
        <f>SUM(GL139:GL143)</f>
        <v>1020164.85</v>
      </c>
      <c r="GM144" s="324"/>
      <c r="GN144" s="325">
        <f>SUM(GN139:GN143)</f>
        <v>0</v>
      </c>
      <c r="GO144" s="120"/>
      <c r="GP144" s="120"/>
      <c r="GQ144" s="120"/>
      <c r="GR144" s="325">
        <f>SUM(GR139:GR143)</f>
        <v>1020164.85</v>
      </c>
      <c r="GS144" s="324"/>
      <c r="GT144" s="325">
        <f t="shared" ref="GT144:GU144" si="2046">SUM(GT139:GT143)</f>
        <v>469731.9743</v>
      </c>
      <c r="GU144" s="325">
        <f t="shared" si="2046"/>
        <v>550404.5506</v>
      </c>
      <c r="GV144" s="311"/>
      <c r="GW144" s="322" t="s">
        <v>52</v>
      </c>
      <c r="GX144" s="118"/>
      <c r="GY144" s="323"/>
      <c r="GZ144" s="323"/>
      <c r="HA144" s="324"/>
      <c r="HB144" s="324"/>
      <c r="HC144" s="325">
        <f>SUM(HC139:HC143)</f>
        <v>1946435.558</v>
      </c>
      <c r="HD144" s="324"/>
      <c r="HE144" s="325">
        <f>SUM(HE139:HE143)</f>
        <v>0</v>
      </c>
      <c r="HF144" s="120"/>
      <c r="HG144" s="120"/>
      <c r="HH144" s="120"/>
      <c r="HI144" s="325">
        <f>SUM(HI139:HI143)</f>
        <v>1946435.558</v>
      </c>
      <c r="HJ144" s="324"/>
      <c r="HK144" s="325">
        <f t="shared" ref="HK144:HL144" si="2047">SUM(HK139:HK143)</f>
        <v>896230.6605</v>
      </c>
      <c r="HL144" s="325">
        <f t="shared" si="2047"/>
        <v>1050204.898</v>
      </c>
      <c r="HM144" s="311"/>
      <c r="HN144" s="322" t="s">
        <v>52</v>
      </c>
      <c r="HO144" s="118"/>
      <c r="HP144" s="323"/>
      <c r="HQ144" s="323"/>
      <c r="HR144" s="324"/>
      <c r="HS144" s="324"/>
      <c r="HT144" s="325">
        <f>SUM(HT139:HT143)</f>
        <v>3155904.753</v>
      </c>
      <c r="HU144" s="324"/>
      <c r="HV144" s="325">
        <f>SUM(HV139:HV143)</f>
        <v>0</v>
      </c>
      <c r="HW144" s="120"/>
      <c r="HX144" s="120"/>
      <c r="HY144" s="120"/>
      <c r="HZ144" s="325">
        <f>SUM(HZ139:HZ143)</f>
        <v>3155904.753</v>
      </c>
      <c r="IA144" s="324"/>
      <c r="IB144" s="325">
        <f t="shared" ref="IB144:IC144" si="2048">SUM(IB139:IB143)</f>
        <v>1453127.276</v>
      </c>
      <c r="IC144" s="325">
        <f t="shared" si="2048"/>
        <v>1702777.477</v>
      </c>
      <c r="ID144" s="311"/>
      <c r="IE144" s="322" t="s">
        <v>52</v>
      </c>
      <c r="IF144" s="118"/>
      <c r="IG144" s="323"/>
      <c r="IH144" s="323"/>
      <c r="II144" s="324"/>
      <c r="IJ144" s="324"/>
      <c r="IK144" s="325">
        <f>SUM(IK139:IK143)</f>
        <v>5172903.337</v>
      </c>
      <c r="IL144" s="324"/>
      <c r="IM144" s="325">
        <f>SUM(IM139:IM143)</f>
        <v>0</v>
      </c>
      <c r="IN144" s="120"/>
      <c r="IO144" s="120"/>
      <c r="IP144" s="120"/>
      <c r="IQ144" s="325">
        <f>SUM(IQ139:IQ143)</f>
        <v>5172903.337</v>
      </c>
      <c r="IR144" s="324"/>
      <c r="IS144" s="325">
        <f t="shared" ref="IS144:IT144" si="2049">SUM(IS139:IS143)</f>
        <v>2381848.479</v>
      </c>
      <c r="IT144" s="325">
        <f t="shared" si="2049"/>
        <v>2791054.858</v>
      </c>
      <c r="IU144" s="311"/>
      <c r="IV144" s="322" t="s">
        <v>52</v>
      </c>
      <c r="IW144" s="118"/>
      <c r="IX144" s="323"/>
      <c r="IY144" s="323"/>
      <c r="IZ144" s="324"/>
      <c r="JA144" s="324"/>
      <c r="JB144" s="325">
        <f>SUM(JB139:JB143)</f>
        <v>4839259.902</v>
      </c>
      <c r="JC144" s="324"/>
      <c r="JD144" s="325">
        <f>SUM(JD139:JD143)</f>
        <v>0</v>
      </c>
      <c r="JE144" s="120"/>
      <c r="JF144" s="120"/>
      <c r="JG144" s="120"/>
      <c r="JH144" s="325">
        <f>SUM(JH139:JH143)</f>
        <v>4839259.902</v>
      </c>
      <c r="JI144" s="324"/>
      <c r="JJ144" s="325">
        <f t="shared" ref="JJ144:JK144" si="2050">SUM(JJ139:JJ143)</f>
        <v>2228223.318</v>
      </c>
      <c r="JK144" s="325">
        <f t="shared" si="2050"/>
        <v>2611036.584</v>
      </c>
      <c r="JL144" s="311"/>
      <c r="JM144" s="322" t="s">
        <v>52</v>
      </c>
      <c r="JN144" s="118"/>
      <c r="JO144" s="323"/>
      <c r="JP144" s="323"/>
      <c r="JQ144" s="324"/>
      <c r="JR144" s="324"/>
      <c r="JS144" s="325">
        <f>SUM(JS139:JS143)</f>
        <v>0</v>
      </c>
      <c r="JT144" s="324"/>
      <c r="JU144" s="325">
        <f>SUM(JU139:JU143)</f>
        <v>0</v>
      </c>
      <c r="JV144" s="120"/>
      <c r="JW144" s="120"/>
      <c r="JX144" s="120"/>
      <c r="JY144" s="325">
        <f>SUM(JY139:JY143)</f>
        <v>0</v>
      </c>
      <c r="JZ144" s="324"/>
      <c r="KA144" s="325">
        <f t="shared" ref="KA144:KB144" si="2051">SUM(KA139:KA143)</f>
        <v>0</v>
      </c>
      <c r="KB144" s="325">
        <f t="shared" si="2051"/>
        <v>0</v>
      </c>
      <c r="KC144" s="311"/>
      <c r="KD144" s="322" t="s">
        <v>52</v>
      </c>
      <c r="KE144" s="118"/>
      <c r="KF144" s="323"/>
      <c r="KG144" s="323"/>
      <c r="KH144" s="324"/>
      <c r="KI144" s="324"/>
      <c r="KJ144" s="325">
        <f>SUM(KJ139:KJ143)</f>
        <v>0</v>
      </c>
      <c r="KK144" s="324"/>
      <c r="KL144" s="325">
        <f>SUM(KL139:KL143)</f>
        <v>0</v>
      </c>
      <c r="KM144" s="120"/>
      <c r="KN144" s="120"/>
      <c r="KO144" s="120"/>
      <c r="KP144" s="325">
        <f>SUM(KP139:KP143)</f>
        <v>0</v>
      </c>
      <c r="KQ144" s="324"/>
      <c r="KR144" s="325">
        <f t="shared" ref="KR144:KS144" si="2052">SUM(KR139:KR143)</f>
        <v>0</v>
      </c>
      <c r="KS144" s="325">
        <f t="shared" si="2052"/>
        <v>0</v>
      </c>
      <c r="KT144" s="311"/>
      <c r="KU144" s="312"/>
    </row>
    <row r="145" ht="15.0" customHeight="1">
      <c r="A145" s="273"/>
      <c r="B145" s="274"/>
      <c r="C145" s="274"/>
      <c r="D145" s="274"/>
      <c r="E145" s="274"/>
      <c r="F145" s="274"/>
      <c r="G145" s="274"/>
      <c r="H145" s="274"/>
      <c r="I145" s="274"/>
      <c r="J145" s="274"/>
      <c r="K145" s="274"/>
      <c r="L145" s="274"/>
      <c r="M145" s="274"/>
      <c r="N145" s="274"/>
      <c r="O145" s="274"/>
      <c r="P145" s="274"/>
      <c r="Q145" s="275"/>
      <c r="R145" s="273"/>
      <c r="S145" s="274"/>
      <c r="T145" s="274"/>
      <c r="U145" s="274"/>
      <c r="V145" s="274"/>
      <c r="W145" s="274"/>
      <c r="X145" s="274"/>
      <c r="Y145" s="274"/>
      <c r="Z145" s="274"/>
      <c r="AA145" s="274"/>
      <c r="AB145" s="274"/>
      <c r="AC145" s="274"/>
      <c r="AD145" s="274"/>
      <c r="AE145" s="274"/>
      <c r="AF145" s="274"/>
      <c r="AG145" s="274"/>
      <c r="AH145" s="275"/>
      <c r="AI145" s="273"/>
      <c r="AJ145" s="274"/>
      <c r="AK145" s="274"/>
      <c r="AL145" s="274"/>
      <c r="AM145" s="274"/>
      <c r="AN145" s="274"/>
      <c r="AO145" s="274"/>
      <c r="AP145" s="274"/>
      <c r="AQ145" s="274"/>
      <c r="AR145" s="274"/>
      <c r="AS145" s="274"/>
      <c r="AT145" s="274"/>
      <c r="AU145" s="274"/>
      <c r="AV145" s="274"/>
      <c r="AW145" s="274"/>
      <c r="AX145" s="274"/>
      <c r="AY145" s="275"/>
      <c r="AZ145" s="273"/>
      <c r="BA145" s="274"/>
      <c r="BB145" s="274"/>
      <c r="BC145" s="274"/>
      <c r="BD145" s="274"/>
      <c r="BE145" s="274"/>
      <c r="BF145" s="274"/>
      <c r="BG145" s="274"/>
      <c r="BH145" s="274"/>
      <c r="BI145" s="274"/>
      <c r="BJ145" s="274"/>
      <c r="BK145" s="274"/>
      <c r="BL145" s="274"/>
      <c r="BM145" s="274"/>
      <c r="BN145" s="274"/>
      <c r="BO145" s="274"/>
      <c r="BP145" s="275"/>
      <c r="BQ145" s="273"/>
      <c r="BR145" s="274"/>
      <c r="BS145" s="274"/>
      <c r="BT145" s="274"/>
      <c r="BU145" s="274"/>
      <c r="BV145" s="274"/>
      <c r="BW145" s="274"/>
      <c r="BX145" s="274"/>
      <c r="BY145" s="274"/>
      <c r="BZ145" s="274"/>
      <c r="CA145" s="274"/>
      <c r="CB145" s="274"/>
      <c r="CC145" s="274"/>
      <c r="CD145" s="274"/>
      <c r="CE145" s="274"/>
      <c r="CF145" s="274"/>
      <c r="CG145" s="275"/>
      <c r="CH145" s="273"/>
      <c r="CI145" s="274"/>
      <c r="CJ145" s="274"/>
      <c r="CK145" s="274"/>
      <c r="CL145" s="274"/>
      <c r="CM145" s="274"/>
      <c r="CN145" s="274"/>
      <c r="CO145" s="274"/>
      <c r="CP145" s="274"/>
      <c r="CQ145" s="274"/>
      <c r="CR145" s="274"/>
      <c r="CS145" s="274"/>
      <c r="CT145" s="274"/>
      <c r="CU145" s="274"/>
      <c r="CV145" s="274"/>
      <c r="CW145" s="274"/>
      <c r="CX145" s="275"/>
      <c r="CY145" s="273"/>
      <c r="CZ145" s="274"/>
      <c r="DA145" s="274"/>
      <c r="DB145" s="274"/>
      <c r="DC145" s="274"/>
      <c r="DD145" s="274"/>
      <c r="DE145" s="274"/>
      <c r="DF145" s="274"/>
      <c r="DG145" s="274"/>
      <c r="DH145" s="274"/>
      <c r="DI145" s="274"/>
      <c r="DJ145" s="274"/>
      <c r="DK145" s="274"/>
      <c r="DL145" s="274"/>
      <c r="DM145" s="274"/>
      <c r="DN145" s="274"/>
      <c r="DO145" s="275"/>
      <c r="DP145" s="273"/>
      <c r="DQ145" s="274"/>
      <c r="DR145" s="274"/>
      <c r="DS145" s="274"/>
      <c r="DT145" s="274"/>
      <c r="DU145" s="274"/>
      <c r="DV145" s="274"/>
      <c r="DW145" s="274"/>
      <c r="DX145" s="274"/>
      <c r="DY145" s="274"/>
      <c r="DZ145" s="274"/>
      <c r="EA145" s="274"/>
      <c r="EB145" s="274"/>
      <c r="EC145" s="274"/>
      <c r="ED145" s="274"/>
      <c r="EE145" s="274"/>
      <c r="EF145" s="275"/>
      <c r="EG145" s="273"/>
      <c r="EH145" s="274"/>
      <c r="EI145" s="274"/>
      <c r="EJ145" s="274"/>
      <c r="EK145" s="274"/>
      <c r="EL145" s="274"/>
      <c r="EM145" s="274"/>
      <c r="EN145" s="274"/>
      <c r="EO145" s="274"/>
      <c r="EP145" s="274"/>
      <c r="EQ145" s="274"/>
      <c r="ER145" s="274"/>
      <c r="ES145" s="274"/>
      <c r="ET145" s="274"/>
      <c r="EU145" s="274"/>
      <c r="EV145" s="274"/>
      <c r="EW145" s="275"/>
      <c r="EX145" s="273"/>
      <c r="EY145" s="274"/>
      <c r="EZ145" s="274"/>
      <c r="FA145" s="274"/>
      <c r="FB145" s="274"/>
      <c r="FC145" s="274"/>
      <c r="FD145" s="274"/>
      <c r="FE145" s="274"/>
      <c r="FF145" s="274"/>
      <c r="FG145" s="274"/>
      <c r="FH145" s="274"/>
      <c r="FI145" s="274"/>
      <c r="FJ145" s="274"/>
      <c r="FK145" s="274"/>
      <c r="FL145" s="274"/>
      <c r="FM145" s="274"/>
      <c r="FN145" s="275"/>
      <c r="FO145" s="273"/>
      <c r="FP145" s="274"/>
      <c r="FQ145" s="274"/>
      <c r="FR145" s="274"/>
      <c r="FS145" s="274"/>
      <c r="FT145" s="274"/>
      <c r="FU145" s="274"/>
      <c r="FV145" s="274"/>
      <c r="FW145" s="274"/>
      <c r="FX145" s="274"/>
      <c r="FY145" s="274"/>
      <c r="FZ145" s="274"/>
      <c r="GA145" s="274"/>
      <c r="GB145" s="274"/>
      <c r="GC145" s="274"/>
      <c r="GD145" s="274"/>
      <c r="GE145" s="275"/>
      <c r="GF145" s="273"/>
      <c r="GG145" s="274"/>
      <c r="GH145" s="274"/>
      <c r="GI145" s="274"/>
      <c r="GJ145" s="274"/>
      <c r="GK145" s="274"/>
      <c r="GL145" s="274"/>
      <c r="GM145" s="274"/>
      <c r="GN145" s="274"/>
      <c r="GO145" s="274"/>
      <c r="GP145" s="274"/>
      <c r="GQ145" s="274"/>
      <c r="GR145" s="274"/>
      <c r="GS145" s="274"/>
      <c r="GT145" s="274"/>
      <c r="GU145" s="274"/>
      <c r="GV145" s="275"/>
      <c r="GW145" s="273"/>
      <c r="GX145" s="274"/>
      <c r="GY145" s="274"/>
      <c r="GZ145" s="274"/>
      <c r="HA145" s="274"/>
      <c r="HB145" s="274"/>
      <c r="HC145" s="274"/>
      <c r="HD145" s="274"/>
      <c r="HE145" s="274"/>
      <c r="HF145" s="274"/>
      <c r="HG145" s="274"/>
      <c r="HH145" s="274"/>
      <c r="HI145" s="274"/>
      <c r="HJ145" s="274"/>
      <c r="HK145" s="274"/>
      <c r="HL145" s="274"/>
      <c r="HM145" s="275"/>
      <c r="HN145" s="273"/>
      <c r="HO145" s="274"/>
      <c r="HP145" s="274"/>
      <c r="HQ145" s="274"/>
      <c r="HR145" s="274"/>
      <c r="HS145" s="274"/>
      <c r="HT145" s="274"/>
      <c r="HU145" s="274"/>
      <c r="HV145" s="274"/>
      <c r="HW145" s="274"/>
      <c r="HX145" s="274"/>
      <c r="HY145" s="274"/>
      <c r="HZ145" s="274"/>
      <c r="IA145" s="274"/>
      <c r="IB145" s="274"/>
      <c r="IC145" s="274"/>
      <c r="ID145" s="275"/>
      <c r="IE145" s="273"/>
      <c r="IF145" s="274"/>
      <c r="IG145" s="274"/>
      <c r="IH145" s="274"/>
      <c r="II145" s="274"/>
      <c r="IJ145" s="274"/>
      <c r="IK145" s="274"/>
      <c r="IL145" s="274"/>
      <c r="IM145" s="274"/>
      <c r="IN145" s="274"/>
      <c r="IO145" s="274"/>
      <c r="IP145" s="274"/>
      <c r="IQ145" s="274"/>
      <c r="IR145" s="274"/>
      <c r="IS145" s="274"/>
      <c r="IT145" s="274"/>
      <c r="IU145" s="275"/>
      <c r="IV145" s="273"/>
      <c r="IW145" s="274"/>
      <c r="IX145" s="274"/>
      <c r="IY145" s="274"/>
      <c r="IZ145" s="274"/>
      <c r="JA145" s="274"/>
      <c r="JB145" s="274"/>
      <c r="JC145" s="274"/>
      <c r="JD145" s="274"/>
      <c r="JE145" s="274"/>
      <c r="JF145" s="274"/>
      <c r="JG145" s="274"/>
      <c r="JH145" s="274"/>
      <c r="JI145" s="274"/>
      <c r="JJ145" s="274"/>
      <c r="JK145" s="274"/>
      <c r="JL145" s="275"/>
      <c r="JM145" s="273"/>
      <c r="JN145" s="274"/>
      <c r="JO145" s="274"/>
      <c r="JP145" s="274"/>
      <c r="JQ145" s="274"/>
      <c r="JR145" s="274"/>
      <c r="JS145" s="274"/>
      <c r="JT145" s="274"/>
      <c r="JU145" s="274"/>
      <c r="JV145" s="274"/>
      <c r="JW145" s="274"/>
      <c r="JX145" s="274"/>
      <c r="JY145" s="274"/>
      <c r="JZ145" s="274"/>
      <c r="KA145" s="274"/>
      <c r="KB145" s="274"/>
      <c r="KC145" s="275"/>
      <c r="KD145" s="273"/>
      <c r="KE145" s="274"/>
      <c r="KF145" s="274"/>
      <c r="KG145" s="274"/>
      <c r="KH145" s="274"/>
      <c r="KI145" s="274"/>
      <c r="KJ145" s="274"/>
      <c r="KK145" s="274"/>
      <c r="KL145" s="274"/>
      <c r="KM145" s="274"/>
      <c r="KN145" s="274"/>
      <c r="KO145" s="274"/>
      <c r="KP145" s="274"/>
      <c r="KQ145" s="274"/>
      <c r="KR145" s="274"/>
      <c r="KS145" s="274"/>
      <c r="KT145" s="275"/>
      <c r="KU145" s="274"/>
    </row>
    <row r="146" ht="15.0" customHeight="1">
      <c r="A146" s="44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7"/>
      <c r="R146" s="44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7"/>
      <c r="AI146" s="44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  <c r="AV146" s="36"/>
      <c r="AW146" s="36"/>
      <c r="AX146" s="36"/>
      <c r="AY146" s="37"/>
      <c r="AZ146" s="44"/>
      <c r="BA146" s="36"/>
      <c r="BB146" s="36"/>
      <c r="BC146" s="36"/>
      <c r="BD146" s="36"/>
      <c r="BE146" s="36"/>
      <c r="BF146" s="36"/>
      <c r="BG146" s="36"/>
      <c r="BH146" s="36"/>
      <c r="BI146" s="36"/>
      <c r="BJ146" s="36"/>
      <c r="BK146" s="36"/>
      <c r="BL146" s="36"/>
      <c r="BM146" s="36"/>
      <c r="BN146" s="36"/>
      <c r="BO146" s="36"/>
      <c r="BP146" s="37"/>
      <c r="BQ146" s="44"/>
      <c r="BR146" s="36"/>
      <c r="BS146" s="36"/>
      <c r="BT146" s="36"/>
      <c r="BU146" s="36"/>
      <c r="BV146" s="36"/>
      <c r="BW146" s="36"/>
      <c r="BX146" s="36"/>
      <c r="BY146" s="36"/>
      <c r="BZ146" s="36"/>
      <c r="CA146" s="36"/>
      <c r="CB146" s="36"/>
      <c r="CC146" s="36"/>
      <c r="CD146" s="36"/>
      <c r="CE146" s="36"/>
      <c r="CF146" s="36"/>
      <c r="CG146" s="37"/>
      <c r="CH146" s="44"/>
      <c r="CI146" s="36"/>
      <c r="CJ146" s="36"/>
      <c r="CK146" s="36"/>
      <c r="CL146" s="36"/>
      <c r="CM146" s="36"/>
      <c r="CN146" s="36"/>
      <c r="CO146" s="36"/>
      <c r="CP146" s="36"/>
      <c r="CQ146" s="36"/>
      <c r="CR146" s="36"/>
      <c r="CS146" s="36"/>
      <c r="CT146" s="36"/>
      <c r="CU146" s="36"/>
      <c r="CV146" s="36"/>
      <c r="CW146" s="36"/>
      <c r="CX146" s="37"/>
      <c r="CY146" s="44"/>
      <c r="CZ146" s="36"/>
      <c r="DA146" s="36"/>
      <c r="DB146" s="36"/>
      <c r="DC146" s="36"/>
      <c r="DD146" s="36"/>
      <c r="DE146" s="36"/>
      <c r="DF146" s="36"/>
      <c r="DG146" s="36"/>
      <c r="DH146" s="36"/>
      <c r="DI146" s="36"/>
      <c r="DJ146" s="36"/>
      <c r="DK146" s="36"/>
      <c r="DL146" s="36"/>
      <c r="DM146" s="36"/>
      <c r="DN146" s="36"/>
      <c r="DO146" s="37"/>
      <c r="DP146" s="44"/>
      <c r="DQ146" s="36"/>
      <c r="DR146" s="36"/>
      <c r="DS146" s="36"/>
      <c r="DT146" s="36"/>
      <c r="DU146" s="36"/>
      <c r="DV146" s="36"/>
      <c r="DW146" s="36"/>
      <c r="DX146" s="36"/>
      <c r="DY146" s="36"/>
      <c r="DZ146" s="36"/>
      <c r="EA146" s="36"/>
      <c r="EB146" s="36"/>
      <c r="EC146" s="36"/>
      <c r="ED146" s="36"/>
      <c r="EE146" s="36"/>
      <c r="EF146" s="37"/>
      <c r="EG146" s="44"/>
      <c r="EH146" s="36"/>
      <c r="EI146" s="36"/>
      <c r="EJ146" s="36"/>
      <c r="EK146" s="36"/>
      <c r="EL146" s="36"/>
      <c r="EM146" s="36"/>
      <c r="EN146" s="36"/>
      <c r="EO146" s="36"/>
      <c r="EP146" s="36"/>
      <c r="EQ146" s="36"/>
      <c r="ER146" s="36"/>
      <c r="ES146" s="36"/>
      <c r="ET146" s="36"/>
      <c r="EU146" s="36"/>
      <c r="EV146" s="36"/>
      <c r="EW146" s="37"/>
      <c r="EX146" s="44"/>
      <c r="EY146" s="36"/>
      <c r="EZ146" s="36"/>
      <c r="FA146" s="36"/>
      <c r="FB146" s="36"/>
      <c r="FC146" s="36"/>
      <c r="FD146" s="36"/>
      <c r="FE146" s="36"/>
      <c r="FF146" s="36"/>
      <c r="FG146" s="36"/>
      <c r="FH146" s="36"/>
      <c r="FI146" s="36"/>
      <c r="FJ146" s="36"/>
      <c r="FK146" s="36"/>
      <c r="FL146" s="36"/>
      <c r="FM146" s="36"/>
      <c r="FN146" s="37"/>
      <c r="FO146" s="44"/>
      <c r="FP146" s="36"/>
      <c r="FQ146" s="36"/>
      <c r="FR146" s="36"/>
      <c r="FS146" s="36"/>
      <c r="FT146" s="36"/>
      <c r="FU146" s="36"/>
      <c r="FV146" s="36"/>
      <c r="FW146" s="36"/>
      <c r="FX146" s="36"/>
      <c r="FY146" s="36"/>
      <c r="FZ146" s="36"/>
      <c r="GA146" s="36"/>
      <c r="GB146" s="36"/>
      <c r="GC146" s="36"/>
      <c r="GD146" s="36"/>
      <c r="GE146" s="37"/>
      <c r="GF146" s="44"/>
      <c r="GG146" s="36"/>
      <c r="GH146" s="36"/>
      <c r="GI146" s="36"/>
      <c r="GJ146" s="36"/>
      <c r="GK146" s="36"/>
      <c r="GL146" s="36"/>
      <c r="GM146" s="36"/>
      <c r="GN146" s="36"/>
      <c r="GO146" s="36"/>
      <c r="GP146" s="36"/>
      <c r="GQ146" s="36"/>
      <c r="GR146" s="36"/>
      <c r="GS146" s="36"/>
      <c r="GT146" s="36"/>
      <c r="GU146" s="36"/>
      <c r="GV146" s="37"/>
      <c r="GW146" s="44"/>
      <c r="GX146" s="36"/>
      <c r="GY146" s="36"/>
      <c r="GZ146" s="36"/>
      <c r="HA146" s="36"/>
      <c r="HB146" s="36"/>
      <c r="HC146" s="36"/>
      <c r="HD146" s="36"/>
      <c r="HE146" s="36"/>
      <c r="HF146" s="36"/>
      <c r="HG146" s="36"/>
      <c r="HH146" s="36"/>
      <c r="HI146" s="36"/>
      <c r="HJ146" s="36"/>
      <c r="HK146" s="36"/>
      <c r="HL146" s="36"/>
      <c r="HM146" s="37"/>
      <c r="HN146" s="44"/>
      <c r="HO146" s="36"/>
      <c r="HP146" s="36"/>
      <c r="HQ146" s="36"/>
      <c r="HR146" s="36"/>
      <c r="HS146" s="36"/>
      <c r="HT146" s="36"/>
      <c r="HU146" s="36"/>
      <c r="HV146" s="36"/>
      <c r="HW146" s="36"/>
      <c r="HX146" s="36"/>
      <c r="HY146" s="36"/>
      <c r="HZ146" s="36"/>
      <c r="IA146" s="36"/>
      <c r="IB146" s="36"/>
      <c r="IC146" s="36"/>
      <c r="ID146" s="37"/>
      <c r="IE146" s="44"/>
      <c r="IF146" s="36"/>
      <c r="IG146" s="36"/>
      <c r="IH146" s="36"/>
      <c r="II146" s="36"/>
      <c r="IJ146" s="36"/>
      <c r="IK146" s="36"/>
      <c r="IL146" s="36"/>
      <c r="IM146" s="36"/>
      <c r="IN146" s="36"/>
      <c r="IO146" s="36"/>
      <c r="IP146" s="36"/>
      <c r="IQ146" s="36"/>
      <c r="IR146" s="36"/>
      <c r="IS146" s="36"/>
      <c r="IT146" s="36"/>
      <c r="IU146" s="37"/>
      <c r="IV146" s="44"/>
      <c r="IW146" s="36"/>
      <c r="IX146" s="36"/>
      <c r="IY146" s="36"/>
      <c r="IZ146" s="36"/>
      <c r="JA146" s="36"/>
      <c r="JB146" s="36"/>
      <c r="JC146" s="36"/>
      <c r="JD146" s="36"/>
      <c r="JE146" s="36"/>
      <c r="JF146" s="36"/>
      <c r="JG146" s="36"/>
      <c r="JH146" s="36"/>
      <c r="JI146" s="36"/>
      <c r="JJ146" s="36"/>
      <c r="JK146" s="36"/>
      <c r="JL146" s="37"/>
      <c r="JM146" s="44"/>
      <c r="JN146" s="36"/>
      <c r="JO146" s="36"/>
      <c r="JP146" s="36"/>
      <c r="JQ146" s="36"/>
      <c r="JR146" s="36"/>
      <c r="JS146" s="36"/>
      <c r="JT146" s="36"/>
      <c r="JU146" s="36"/>
      <c r="JV146" s="36"/>
      <c r="JW146" s="36"/>
      <c r="JX146" s="36"/>
      <c r="JY146" s="36"/>
      <c r="JZ146" s="36"/>
      <c r="KA146" s="36"/>
      <c r="KB146" s="36"/>
      <c r="KC146" s="37"/>
      <c r="KD146" s="44"/>
      <c r="KE146" s="36"/>
      <c r="KF146" s="36"/>
      <c r="KG146" s="36"/>
      <c r="KH146" s="36"/>
      <c r="KI146" s="36"/>
      <c r="KJ146" s="36"/>
      <c r="KK146" s="36"/>
      <c r="KL146" s="36"/>
      <c r="KM146" s="36"/>
      <c r="KN146" s="36"/>
      <c r="KO146" s="36"/>
      <c r="KP146" s="36"/>
      <c r="KQ146" s="36"/>
      <c r="KR146" s="36"/>
      <c r="KS146" s="36"/>
      <c r="KT146" s="37"/>
      <c r="KU146" s="36"/>
    </row>
    <row r="147" ht="15.0" customHeight="1">
      <c r="A147" s="44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7"/>
      <c r="R147" s="44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7"/>
      <c r="AI147" s="44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  <c r="AU147" s="36"/>
      <c r="AV147" s="36"/>
      <c r="AW147" s="36"/>
      <c r="AX147" s="36"/>
      <c r="AY147" s="37"/>
      <c r="AZ147" s="44"/>
      <c r="BA147" s="36"/>
      <c r="BB147" s="36"/>
      <c r="BC147" s="36"/>
      <c r="BD147" s="36"/>
      <c r="BE147" s="36"/>
      <c r="BF147" s="36"/>
      <c r="BG147" s="36"/>
      <c r="BH147" s="36"/>
      <c r="BI147" s="36"/>
      <c r="BJ147" s="36"/>
      <c r="BK147" s="36"/>
      <c r="BL147" s="36"/>
      <c r="BM147" s="36"/>
      <c r="BN147" s="36"/>
      <c r="BO147" s="36"/>
      <c r="BP147" s="37"/>
      <c r="BQ147" s="44"/>
      <c r="BR147" s="36"/>
      <c r="BS147" s="36"/>
      <c r="BT147" s="36"/>
      <c r="BU147" s="36"/>
      <c r="BV147" s="36"/>
      <c r="BW147" s="36"/>
      <c r="BX147" s="36"/>
      <c r="BY147" s="36"/>
      <c r="BZ147" s="36"/>
      <c r="CA147" s="36"/>
      <c r="CB147" s="36"/>
      <c r="CC147" s="36"/>
      <c r="CD147" s="36"/>
      <c r="CE147" s="36"/>
      <c r="CF147" s="36"/>
      <c r="CG147" s="37"/>
      <c r="CH147" s="44"/>
      <c r="CI147" s="36"/>
      <c r="CJ147" s="36"/>
      <c r="CK147" s="36"/>
      <c r="CL147" s="36"/>
      <c r="CM147" s="36"/>
      <c r="CN147" s="36"/>
      <c r="CO147" s="36"/>
      <c r="CP147" s="36"/>
      <c r="CQ147" s="36"/>
      <c r="CR147" s="36"/>
      <c r="CS147" s="36"/>
      <c r="CT147" s="36"/>
      <c r="CU147" s="36"/>
      <c r="CV147" s="36"/>
      <c r="CW147" s="36"/>
      <c r="CX147" s="37"/>
      <c r="CY147" s="44"/>
      <c r="CZ147" s="36"/>
      <c r="DA147" s="36"/>
      <c r="DB147" s="36"/>
      <c r="DC147" s="36"/>
      <c r="DD147" s="36"/>
      <c r="DE147" s="36"/>
      <c r="DF147" s="36"/>
      <c r="DG147" s="36"/>
      <c r="DH147" s="36"/>
      <c r="DI147" s="36"/>
      <c r="DJ147" s="36"/>
      <c r="DK147" s="36"/>
      <c r="DL147" s="36"/>
      <c r="DM147" s="36"/>
      <c r="DN147" s="36"/>
      <c r="DO147" s="37"/>
      <c r="DP147" s="44"/>
      <c r="DQ147" s="36"/>
      <c r="DR147" s="36"/>
      <c r="DS147" s="36"/>
      <c r="DT147" s="36"/>
      <c r="DU147" s="36"/>
      <c r="DV147" s="36"/>
      <c r="DW147" s="36"/>
      <c r="DX147" s="36"/>
      <c r="DY147" s="36"/>
      <c r="DZ147" s="36"/>
      <c r="EA147" s="36"/>
      <c r="EB147" s="36"/>
      <c r="EC147" s="36"/>
      <c r="ED147" s="36"/>
      <c r="EE147" s="36"/>
      <c r="EF147" s="37"/>
      <c r="EG147" s="44"/>
      <c r="EH147" s="36"/>
      <c r="EI147" s="36"/>
      <c r="EJ147" s="36"/>
      <c r="EK147" s="36"/>
      <c r="EL147" s="36"/>
      <c r="EM147" s="36"/>
      <c r="EN147" s="36"/>
      <c r="EO147" s="36"/>
      <c r="EP147" s="36"/>
      <c r="EQ147" s="36"/>
      <c r="ER147" s="36"/>
      <c r="ES147" s="36"/>
      <c r="ET147" s="36"/>
      <c r="EU147" s="36"/>
      <c r="EV147" s="36"/>
      <c r="EW147" s="37"/>
      <c r="EX147" s="44"/>
      <c r="EY147" s="36"/>
      <c r="EZ147" s="36"/>
      <c r="FA147" s="36"/>
      <c r="FB147" s="36"/>
      <c r="FC147" s="36"/>
      <c r="FD147" s="36"/>
      <c r="FE147" s="36"/>
      <c r="FF147" s="36"/>
      <c r="FG147" s="36"/>
      <c r="FH147" s="36"/>
      <c r="FI147" s="36"/>
      <c r="FJ147" s="36"/>
      <c r="FK147" s="36"/>
      <c r="FL147" s="36"/>
      <c r="FM147" s="36"/>
      <c r="FN147" s="37"/>
      <c r="FO147" s="44"/>
      <c r="FP147" s="36"/>
      <c r="FQ147" s="36"/>
      <c r="FR147" s="36"/>
      <c r="FS147" s="36"/>
      <c r="FT147" s="36"/>
      <c r="FU147" s="36"/>
      <c r="FV147" s="36"/>
      <c r="FW147" s="36"/>
      <c r="FX147" s="36"/>
      <c r="FY147" s="36"/>
      <c r="FZ147" s="36"/>
      <c r="GA147" s="36"/>
      <c r="GB147" s="36"/>
      <c r="GC147" s="36"/>
      <c r="GD147" s="36"/>
      <c r="GE147" s="37"/>
      <c r="GF147" s="44"/>
      <c r="GG147" s="36"/>
      <c r="GH147" s="36"/>
      <c r="GI147" s="36"/>
      <c r="GJ147" s="36"/>
      <c r="GK147" s="36"/>
      <c r="GL147" s="36"/>
      <c r="GM147" s="36"/>
      <c r="GN147" s="36"/>
      <c r="GO147" s="36"/>
      <c r="GP147" s="36"/>
      <c r="GQ147" s="36"/>
      <c r="GR147" s="36"/>
      <c r="GS147" s="36"/>
      <c r="GT147" s="36"/>
      <c r="GU147" s="36"/>
      <c r="GV147" s="37"/>
      <c r="GW147" s="44"/>
      <c r="GX147" s="36"/>
      <c r="GY147" s="36"/>
      <c r="GZ147" s="36"/>
      <c r="HA147" s="36"/>
      <c r="HB147" s="36"/>
      <c r="HC147" s="36"/>
      <c r="HD147" s="36"/>
      <c r="HE147" s="36"/>
      <c r="HF147" s="36"/>
      <c r="HG147" s="36"/>
      <c r="HH147" s="36"/>
      <c r="HI147" s="36"/>
      <c r="HJ147" s="36"/>
      <c r="HK147" s="36"/>
      <c r="HL147" s="36"/>
      <c r="HM147" s="37"/>
      <c r="HN147" s="44"/>
      <c r="HO147" s="36"/>
      <c r="HP147" s="36"/>
      <c r="HQ147" s="36"/>
      <c r="HR147" s="36"/>
      <c r="HS147" s="36"/>
      <c r="HT147" s="36"/>
      <c r="HU147" s="36"/>
      <c r="HV147" s="36"/>
      <c r="HW147" s="36"/>
      <c r="HX147" s="36"/>
      <c r="HY147" s="36"/>
      <c r="HZ147" s="36"/>
      <c r="IA147" s="36"/>
      <c r="IB147" s="36"/>
      <c r="IC147" s="36"/>
      <c r="ID147" s="37"/>
      <c r="IE147" s="44"/>
      <c r="IF147" s="36"/>
      <c r="IG147" s="36"/>
      <c r="IH147" s="36"/>
      <c r="II147" s="36"/>
      <c r="IJ147" s="36"/>
      <c r="IK147" s="36"/>
      <c r="IL147" s="36"/>
      <c r="IM147" s="36"/>
      <c r="IN147" s="36"/>
      <c r="IO147" s="36"/>
      <c r="IP147" s="36"/>
      <c r="IQ147" s="36"/>
      <c r="IR147" s="36"/>
      <c r="IS147" s="36"/>
      <c r="IT147" s="36"/>
      <c r="IU147" s="37"/>
      <c r="IV147" s="44"/>
      <c r="IW147" s="36"/>
      <c r="IX147" s="36"/>
      <c r="IY147" s="36"/>
      <c r="IZ147" s="36"/>
      <c r="JA147" s="36"/>
      <c r="JB147" s="36"/>
      <c r="JC147" s="36"/>
      <c r="JD147" s="36"/>
      <c r="JE147" s="36"/>
      <c r="JF147" s="36"/>
      <c r="JG147" s="36"/>
      <c r="JH147" s="36"/>
      <c r="JI147" s="36"/>
      <c r="JJ147" s="36"/>
      <c r="JK147" s="36"/>
      <c r="JL147" s="37"/>
      <c r="JM147" s="44"/>
      <c r="JN147" s="36"/>
      <c r="JO147" s="36"/>
      <c r="JP147" s="36"/>
      <c r="JQ147" s="36"/>
      <c r="JR147" s="36"/>
      <c r="JS147" s="36"/>
      <c r="JT147" s="36"/>
      <c r="JU147" s="36"/>
      <c r="JV147" s="36"/>
      <c r="JW147" s="36"/>
      <c r="JX147" s="36"/>
      <c r="JY147" s="36"/>
      <c r="JZ147" s="36"/>
      <c r="KA147" s="36"/>
      <c r="KB147" s="36"/>
      <c r="KC147" s="37"/>
      <c r="KD147" s="44"/>
      <c r="KE147" s="36"/>
      <c r="KF147" s="36"/>
      <c r="KG147" s="36"/>
      <c r="KH147" s="36"/>
      <c r="KI147" s="36"/>
      <c r="KJ147" s="36"/>
      <c r="KK147" s="36"/>
      <c r="KL147" s="36"/>
      <c r="KM147" s="36"/>
      <c r="KN147" s="36"/>
      <c r="KO147" s="36"/>
      <c r="KP147" s="36"/>
      <c r="KQ147" s="36"/>
      <c r="KR147" s="36"/>
      <c r="KS147" s="36"/>
      <c r="KT147" s="37"/>
      <c r="KU147" s="36"/>
    </row>
    <row r="148" ht="15.0" customHeight="1">
      <c r="A148" s="326"/>
      <c r="B148" s="327" t="s">
        <v>24</v>
      </c>
      <c r="C148" s="327" t="str">
        <f>ADHK!C148</f>
        <v>: Provinsi Sulawesi Tenggara</v>
      </c>
      <c r="D148" s="327"/>
      <c r="E148" s="327"/>
      <c r="F148" s="327"/>
      <c r="G148" s="327" t="s">
        <v>25</v>
      </c>
      <c r="H148" s="327"/>
      <c r="I148" s="328"/>
      <c r="J148" s="329"/>
      <c r="K148" s="329"/>
      <c r="L148" s="329"/>
      <c r="M148" s="329"/>
      <c r="N148" s="329"/>
      <c r="O148" s="329"/>
      <c r="P148" s="49" t="s">
        <v>26</v>
      </c>
      <c r="Q148" s="330"/>
      <c r="R148" s="326"/>
      <c r="S148" s="327" t="s">
        <v>24</v>
      </c>
      <c r="T148" s="327" t="str">
        <f t="shared" ref="T148:T151" si="2053">C148</f>
        <v>: Provinsi Sulawesi Tenggara</v>
      </c>
      <c r="U148" s="327"/>
      <c r="V148" s="327"/>
      <c r="W148" s="327"/>
      <c r="X148" s="327" t="s">
        <v>25</v>
      </c>
      <c r="Y148" s="327"/>
      <c r="Z148" s="328"/>
      <c r="AA148" s="329"/>
      <c r="AB148" s="329"/>
      <c r="AC148" s="329"/>
      <c r="AD148" s="329"/>
      <c r="AE148" s="329"/>
      <c r="AF148" s="329"/>
      <c r="AG148" s="49" t="s">
        <v>26</v>
      </c>
      <c r="AH148" s="330"/>
      <c r="AI148" s="326"/>
      <c r="AJ148" s="327" t="s">
        <v>24</v>
      </c>
      <c r="AK148" s="327" t="str">
        <f t="shared" ref="AK148:AK151" si="2054">T148</f>
        <v>: Provinsi Sulawesi Tenggara</v>
      </c>
      <c r="AL148" s="327"/>
      <c r="AM148" s="327"/>
      <c r="AN148" s="327"/>
      <c r="AO148" s="327" t="s">
        <v>25</v>
      </c>
      <c r="AP148" s="327"/>
      <c r="AQ148" s="328"/>
      <c r="AR148" s="329"/>
      <c r="AS148" s="329"/>
      <c r="AT148" s="329"/>
      <c r="AU148" s="329"/>
      <c r="AV148" s="329"/>
      <c r="AW148" s="329"/>
      <c r="AX148" s="49" t="s">
        <v>26</v>
      </c>
      <c r="AY148" s="330"/>
      <c r="AZ148" s="326"/>
      <c r="BA148" s="327" t="s">
        <v>24</v>
      </c>
      <c r="BB148" s="327" t="str">
        <f t="shared" ref="BB148:BB151" si="2055">AK148</f>
        <v>: Provinsi Sulawesi Tenggara</v>
      </c>
      <c r="BC148" s="327"/>
      <c r="BD148" s="327"/>
      <c r="BE148" s="327"/>
      <c r="BF148" s="327" t="s">
        <v>25</v>
      </c>
      <c r="BG148" s="327"/>
      <c r="BH148" s="328"/>
      <c r="BI148" s="329"/>
      <c r="BJ148" s="329"/>
      <c r="BK148" s="329"/>
      <c r="BL148" s="329"/>
      <c r="BM148" s="329"/>
      <c r="BN148" s="329"/>
      <c r="BO148" s="49" t="s">
        <v>26</v>
      </c>
      <c r="BP148" s="330"/>
      <c r="BQ148" s="326"/>
      <c r="BR148" s="327" t="s">
        <v>24</v>
      </c>
      <c r="BS148" s="327" t="str">
        <f t="shared" ref="BS148:BS151" si="2056">BB148</f>
        <v>: Provinsi Sulawesi Tenggara</v>
      </c>
      <c r="BT148" s="327"/>
      <c r="BU148" s="327"/>
      <c r="BV148" s="327"/>
      <c r="BW148" s="327" t="s">
        <v>25</v>
      </c>
      <c r="BX148" s="327"/>
      <c r="BY148" s="328"/>
      <c r="BZ148" s="329"/>
      <c r="CA148" s="329"/>
      <c r="CB148" s="329"/>
      <c r="CC148" s="329"/>
      <c r="CD148" s="329"/>
      <c r="CE148" s="329"/>
      <c r="CF148" s="49" t="s">
        <v>26</v>
      </c>
      <c r="CG148" s="330"/>
      <c r="CH148" s="326"/>
      <c r="CI148" s="327" t="s">
        <v>24</v>
      </c>
      <c r="CJ148" s="327" t="str">
        <f t="shared" ref="CJ148:CJ151" si="2057">BS148</f>
        <v>: Provinsi Sulawesi Tenggara</v>
      </c>
      <c r="CK148" s="327"/>
      <c r="CL148" s="327"/>
      <c r="CM148" s="327"/>
      <c r="CN148" s="327" t="s">
        <v>25</v>
      </c>
      <c r="CO148" s="327"/>
      <c r="CP148" s="328"/>
      <c r="CQ148" s="329"/>
      <c r="CR148" s="329"/>
      <c r="CS148" s="329"/>
      <c r="CT148" s="329"/>
      <c r="CU148" s="329"/>
      <c r="CV148" s="329"/>
      <c r="CW148" s="49" t="s">
        <v>26</v>
      </c>
      <c r="CX148" s="330"/>
      <c r="CY148" s="326"/>
      <c r="CZ148" s="327" t="s">
        <v>24</v>
      </c>
      <c r="DA148" s="327" t="str">
        <f t="shared" ref="DA148:DA151" si="2058">CJ148</f>
        <v>: Provinsi Sulawesi Tenggara</v>
      </c>
      <c r="DB148" s="327"/>
      <c r="DC148" s="327"/>
      <c r="DD148" s="327"/>
      <c r="DE148" s="327" t="s">
        <v>25</v>
      </c>
      <c r="DF148" s="327"/>
      <c r="DG148" s="328"/>
      <c r="DH148" s="329"/>
      <c r="DI148" s="329"/>
      <c r="DJ148" s="329"/>
      <c r="DK148" s="329"/>
      <c r="DL148" s="329"/>
      <c r="DM148" s="329"/>
      <c r="DN148" s="49" t="s">
        <v>26</v>
      </c>
      <c r="DO148" s="330"/>
      <c r="DP148" s="326"/>
      <c r="DQ148" s="327" t="s">
        <v>24</v>
      </c>
      <c r="DR148" s="327" t="str">
        <f t="shared" ref="DR148:DR151" si="2059">DA148</f>
        <v>: Provinsi Sulawesi Tenggara</v>
      </c>
      <c r="DS148" s="327"/>
      <c r="DT148" s="327"/>
      <c r="DU148" s="327"/>
      <c r="DV148" s="327" t="s">
        <v>25</v>
      </c>
      <c r="DW148" s="327"/>
      <c r="DX148" s="328"/>
      <c r="DY148" s="329"/>
      <c r="DZ148" s="329"/>
      <c r="EA148" s="329"/>
      <c r="EB148" s="329"/>
      <c r="EC148" s="329"/>
      <c r="ED148" s="329"/>
      <c r="EE148" s="49" t="s">
        <v>26</v>
      </c>
      <c r="EF148" s="330"/>
      <c r="EG148" s="326"/>
      <c r="EH148" s="327" t="s">
        <v>24</v>
      </c>
      <c r="EI148" s="327" t="str">
        <f t="shared" ref="EI148:EI151" si="2060">DR148</f>
        <v>: Provinsi Sulawesi Tenggara</v>
      </c>
      <c r="EJ148" s="327"/>
      <c r="EK148" s="327"/>
      <c r="EL148" s="327"/>
      <c r="EM148" s="327" t="s">
        <v>25</v>
      </c>
      <c r="EN148" s="327"/>
      <c r="EO148" s="328"/>
      <c r="EP148" s="329"/>
      <c r="EQ148" s="329"/>
      <c r="ER148" s="329"/>
      <c r="ES148" s="329"/>
      <c r="ET148" s="329"/>
      <c r="EU148" s="329"/>
      <c r="EV148" s="49" t="s">
        <v>26</v>
      </c>
      <c r="EW148" s="330"/>
      <c r="EX148" s="326"/>
      <c r="EY148" s="327" t="s">
        <v>24</v>
      </c>
      <c r="EZ148" s="327" t="str">
        <f t="shared" ref="EZ148:EZ151" si="2061">EI148</f>
        <v>: Provinsi Sulawesi Tenggara</v>
      </c>
      <c r="FA148" s="327"/>
      <c r="FB148" s="327"/>
      <c r="FC148" s="327"/>
      <c r="FD148" s="327" t="s">
        <v>25</v>
      </c>
      <c r="FE148" s="327"/>
      <c r="FF148" s="328"/>
      <c r="FG148" s="329"/>
      <c r="FH148" s="329"/>
      <c r="FI148" s="329"/>
      <c r="FJ148" s="329"/>
      <c r="FK148" s="329"/>
      <c r="FL148" s="329"/>
      <c r="FM148" s="49" t="s">
        <v>26</v>
      </c>
      <c r="FN148" s="330"/>
      <c r="FO148" s="326"/>
      <c r="FP148" s="327" t="s">
        <v>24</v>
      </c>
      <c r="FQ148" s="327" t="str">
        <f t="shared" ref="FQ148:FQ151" si="2062">EZ148</f>
        <v>: Provinsi Sulawesi Tenggara</v>
      </c>
      <c r="FR148" s="327"/>
      <c r="FS148" s="327"/>
      <c r="FT148" s="327"/>
      <c r="FU148" s="327" t="s">
        <v>25</v>
      </c>
      <c r="FV148" s="327"/>
      <c r="FW148" s="328"/>
      <c r="FX148" s="329"/>
      <c r="FY148" s="329"/>
      <c r="FZ148" s="329"/>
      <c r="GA148" s="329"/>
      <c r="GB148" s="329"/>
      <c r="GC148" s="329"/>
      <c r="GD148" s="49" t="s">
        <v>26</v>
      </c>
      <c r="GE148" s="330"/>
      <c r="GF148" s="326"/>
      <c r="GG148" s="327" t="s">
        <v>24</v>
      </c>
      <c r="GH148" s="327" t="str">
        <f t="shared" ref="GH148:GH151" si="2063">FQ148</f>
        <v>: Provinsi Sulawesi Tenggara</v>
      </c>
      <c r="GI148" s="327"/>
      <c r="GJ148" s="327"/>
      <c r="GK148" s="327"/>
      <c r="GL148" s="327" t="s">
        <v>25</v>
      </c>
      <c r="GM148" s="327"/>
      <c r="GN148" s="328"/>
      <c r="GO148" s="329"/>
      <c r="GP148" s="329"/>
      <c r="GQ148" s="329"/>
      <c r="GR148" s="329"/>
      <c r="GS148" s="329"/>
      <c r="GT148" s="329"/>
      <c r="GU148" s="49" t="s">
        <v>26</v>
      </c>
      <c r="GV148" s="330"/>
      <c r="GW148" s="326"/>
      <c r="GX148" s="327" t="s">
        <v>24</v>
      </c>
      <c r="GY148" s="327" t="str">
        <f t="shared" ref="GY148:GY151" si="2064">GH148</f>
        <v>: Provinsi Sulawesi Tenggara</v>
      </c>
      <c r="GZ148" s="327"/>
      <c r="HA148" s="327"/>
      <c r="HB148" s="327"/>
      <c r="HC148" s="327" t="s">
        <v>25</v>
      </c>
      <c r="HD148" s="327"/>
      <c r="HE148" s="328"/>
      <c r="HF148" s="329"/>
      <c r="HG148" s="329"/>
      <c r="HH148" s="329"/>
      <c r="HI148" s="329"/>
      <c r="HJ148" s="329"/>
      <c r="HK148" s="329"/>
      <c r="HL148" s="49" t="s">
        <v>26</v>
      </c>
      <c r="HM148" s="330"/>
      <c r="HN148" s="326"/>
      <c r="HO148" s="327" t="s">
        <v>24</v>
      </c>
      <c r="HP148" s="327" t="str">
        <f t="shared" ref="HP148:HP151" si="2065">GY148</f>
        <v>: Provinsi Sulawesi Tenggara</v>
      </c>
      <c r="HQ148" s="327"/>
      <c r="HR148" s="327"/>
      <c r="HS148" s="327"/>
      <c r="HT148" s="327" t="s">
        <v>25</v>
      </c>
      <c r="HU148" s="327"/>
      <c r="HV148" s="328"/>
      <c r="HW148" s="329"/>
      <c r="HX148" s="329"/>
      <c r="HY148" s="329"/>
      <c r="HZ148" s="329"/>
      <c r="IA148" s="329"/>
      <c r="IB148" s="329"/>
      <c r="IC148" s="49" t="s">
        <v>26</v>
      </c>
      <c r="ID148" s="330"/>
      <c r="IE148" s="326"/>
      <c r="IF148" s="327" t="s">
        <v>24</v>
      </c>
      <c r="IG148" s="327" t="str">
        <f t="shared" ref="IG148:IG151" si="2066">HP148</f>
        <v>: Provinsi Sulawesi Tenggara</v>
      </c>
      <c r="IH148" s="327"/>
      <c r="II148" s="327"/>
      <c r="IJ148" s="327"/>
      <c r="IK148" s="327" t="s">
        <v>25</v>
      </c>
      <c r="IL148" s="327"/>
      <c r="IM148" s="328"/>
      <c r="IN148" s="329"/>
      <c r="IO148" s="329"/>
      <c r="IP148" s="329"/>
      <c r="IQ148" s="329"/>
      <c r="IR148" s="329"/>
      <c r="IS148" s="329"/>
      <c r="IT148" s="49" t="s">
        <v>26</v>
      </c>
      <c r="IU148" s="330"/>
      <c r="IV148" s="326"/>
      <c r="IW148" s="327" t="s">
        <v>24</v>
      </c>
      <c r="IX148" s="327" t="str">
        <f t="shared" ref="IX148:IX151" si="2067">IG148</f>
        <v>: Provinsi Sulawesi Tenggara</v>
      </c>
      <c r="IY148" s="327"/>
      <c r="IZ148" s="327"/>
      <c r="JA148" s="327"/>
      <c r="JB148" s="327" t="s">
        <v>25</v>
      </c>
      <c r="JC148" s="327"/>
      <c r="JD148" s="328"/>
      <c r="JE148" s="329"/>
      <c r="JF148" s="329"/>
      <c r="JG148" s="329"/>
      <c r="JH148" s="329"/>
      <c r="JI148" s="329"/>
      <c r="JJ148" s="329"/>
      <c r="JK148" s="49" t="s">
        <v>26</v>
      </c>
      <c r="JL148" s="331"/>
      <c r="JM148" s="326"/>
      <c r="JN148" s="327" t="s">
        <v>24</v>
      </c>
      <c r="JO148" s="327" t="str">
        <f t="shared" ref="JO148:JO151" si="2068">IX148</f>
        <v>: Provinsi Sulawesi Tenggara</v>
      </c>
      <c r="JP148" s="327"/>
      <c r="JQ148" s="327"/>
      <c r="JR148" s="327"/>
      <c r="JS148" s="327" t="s">
        <v>25</v>
      </c>
      <c r="JT148" s="327"/>
      <c r="JU148" s="328"/>
      <c r="JV148" s="329"/>
      <c r="JW148" s="329"/>
      <c r="JX148" s="329"/>
      <c r="JY148" s="329"/>
      <c r="JZ148" s="329"/>
      <c r="KA148" s="329"/>
      <c r="KB148" s="49" t="s">
        <v>26</v>
      </c>
      <c r="KC148" s="331"/>
      <c r="KD148" s="326"/>
      <c r="KE148" s="327" t="s">
        <v>24</v>
      </c>
      <c r="KF148" s="327" t="str">
        <f t="shared" ref="KF148:KF151" si="2069">JO148</f>
        <v>: Provinsi Sulawesi Tenggara</v>
      </c>
      <c r="KG148" s="327"/>
      <c r="KH148" s="327"/>
      <c r="KI148" s="327"/>
      <c r="KJ148" s="327" t="s">
        <v>25</v>
      </c>
      <c r="KK148" s="327"/>
      <c r="KL148" s="328"/>
      <c r="KM148" s="329"/>
      <c r="KN148" s="329"/>
      <c r="KO148" s="329"/>
      <c r="KP148" s="329"/>
      <c r="KQ148" s="329"/>
      <c r="KR148" s="329"/>
      <c r="KS148" s="49" t="s">
        <v>26</v>
      </c>
      <c r="KT148" s="331"/>
      <c r="KU148" s="329"/>
    </row>
    <row r="149" ht="15.0" customHeight="1">
      <c r="A149" s="332"/>
      <c r="B149" s="333" t="s">
        <v>27</v>
      </c>
      <c r="C149" s="333" t="str">
        <f>ADHK!C149</f>
        <v>: Pertambangan dan Penggalian    </v>
      </c>
      <c r="D149" s="333"/>
      <c r="E149" s="333"/>
      <c r="F149" s="333"/>
      <c r="G149" s="333" t="s">
        <v>28</v>
      </c>
      <c r="H149" s="333"/>
      <c r="I149" s="334"/>
      <c r="J149" s="329"/>
      <c r="K149" s="329"/>
      <c r="L149" s="329"/>
      <c r="M149" s="329"/>
      <c r="N149" s="329"/>
      <c r="O149" s="329"/>
      <c r="P149" s="55"/>
      <c r="Q149" s="330"/>
      <c r="R149" s="332"/>
      <c r="S149" s="333" t="s">
        <v>27</v>
      </c>
      <c r="T149" s="333" t="str">
        <f t="shared" si="2053"/>
        <v>: Pertambangan dan Penggalian    </v>
      </c>
      <c r="U149" s="333"/>
      <c r="V149" s="333"/>
      <c r="W149" s="333"/>
      <c r="X149" s="333" t="s">
        <v>28</v>
      </c>
      <c r="Y149" s="333"/>
      <c r="Z149" s="334"/>
      <c r="AA149" s="329"/>
      <c r="AB149" s="329"/>
      <c r="AC149" s="329"/>
      <c r="AD149" s="329"/>
      <c r="AE149" s="329"/>
      <c r="AF149" s="329"/>
      <c r="AG149" s="55"/>
      <c r="AH149" s="330"/>
      <c r="AI149" s="332"/>
      <c r="AJ149" s="333" t="s">
        <v>27</v>
      </c>
      <c r="AK149" s="333" t="str">
        <f t="shared" si="2054"/>
        <v>: Pertambangan dan Penggalian    </v>
      </c>
      <c r="AL149" s="333"/>
      <c r="AM149" s="333"/>
      <c r="AN149" s="333"/>
      <c r="AO149" s="333" t="s">
        <v>28</v>
      </c>
      <c r="AP149" s="333"/>
      <c r="AQ149" s="334"/>
      <c r="AR149" s="329"/>
      <c r="AS149" s="329"/>
      <c r="AT149" s="329"/>
      <c r="AU149" s="329"/>
      <c r="AV149" s="329"/>
      <c r="AW149" s="329"/>
      <c r="AX149" s="55"/>
      <c r="AY149" s="330"/>
      <c r="AZ149" s="332"/>
      <c r="BA149" s="333" t="s">
        <v>27</v>
      </c>
      <c r="BB149" s="333" t="str">
        <f t="shared" si="2055"/>
        <v>: Pertambangan dan Penggalian    </v>
      </c>
      <c r="BC149" s="333"/>
      <c r="BD149" s="333"/>
      <c r="BE149" s="333"/>
      <c r="BF149" s="333" t="s">
        <v>28</v>
      </c>
      <c r="BG149" s="333"/>
      <c r="BH149" s="334"/>
      <c r="BI149" s="329"/>
      <c r="BJ149" s="329"/>
      <c r="BK149" s="329"/>
      <c r="BL149" s="329"/>
      <c r="BM149" s="329"/>
      <c r="BN149" s="329"/>
      <c r="BO149" s="55"/>
      <c r="BP149" s="330"/>
      <c r="BQ149" s="332"/>
      <c r="BR149" s="333" t="s">
        <v>27</v>
      </c>
      <c r="BS149" s="333" t="str">
        <f t="shared" si="2056"/>
        <v>: Pertambangan dan Penggalian    </v>
      </c>
      <c r="BT149" s="333"/>
      <c r="BU149" s="333"/>
      <c r="BV149" s="333"/>
      <c r="BW149" s="333" t="s">
        <v>28</v>
      </c>
      <c r="BX149" s="333"/>
      <c r="BY149" s="334"/>
      <c r="BZ149" s="329"/>
      <c r="CA149" s="329"/>
      <c r="CB149" s="329"/>
      <c r="CC149" s="329"/>
      <c r="CD149" s="329"/>
      <c r="CE149" s="329"/>
      <c r="CF149" s="55"/>
      <c r="CG149" s="330"/>
      <c r="CH149" s="332"/>
      <c r="CI149" s="333" t="s">
        <v>27</v>
      </c>
      <c r="CJ149" s="333" t="str">
        <f t="shared" si="2057"/>
        <v>: Pertambangan dan Penggalian    </v>
      </c>
      <c r="CK149" s="333"/>
      <c r="CL149" s="333"/>
      <c r="CM149" s="333"/>
      <c r="CN149" s="333" t="s">
        <v>28</v>
      </c>
      <c r="CO149" s="333"/>
      <c r="CP149" s="334"/>
      <c r="CQ149" s="329"/>
      <c r="CR149" s="329"/>
      <c r="CS149" s="329"/>
      <c r="CT149" s="329"/>
      <c r="CU149" s="329"/>
      <c r="CV149" s="329"/>
      <c r="CW149" s="55"/>
      <c r="CX149" s="330"/>
      <c r="CY149" s="332"/>
      <c r="CZ149" s="333" t="s">
        <v>27</v>
      </c>
      <c r="DA149" s="333" t="str">
        <f t="shared" si="2058"/>
        <v>: Pertambangan dan Penggalian    </v>
      </c>
      <c r="DB149" s="333"/>
      <c r="DC149" s="333"/>
      <c r="DD149" s="333"/>
      <c r="DE149" s="333" t="s">
        <v>28</v>
      </c>
      <c r="DF149" s="333"/>
      <c r="DG149" s="334"/>
      <c r="DH149" s="329"/>
      <c r="DI149" s="329"/>
      <c r="DJ149" s="329"/>
      <c r="DK149" s="329"/>
      <c r="DL149" s="329"/>
      <c r="DM149" s="329"/>
      <c r="DN149" s="55"/>
      <c r="DO149" s="330"/>
      <c r="DP149" s="332"/>
      <c r="DQ149" s="333" t="s">
        <v>27</v>
      </c>
      <c r="DR149" s="333" t="str">
        <f t="shared" si="2059"/>
        <v>: Pertambangan dan Penggalian    </v>
      </c>
      <c r="DS149" s="333"/>
      <c r="DT149" s="333"/>
      <c r="DU149" s="333"/>
      <c r="DV149" s="333" t="s">
        <v>28</v>
      </c>
      <c r="DW149" s="333"/>
      <c r="DX149" s="334"/>
      <c r="DY149" s="329"/>
      <c r="DZ149" s="329"/>
      <c r="EA149" s="329"/>
      <c r="EB149" s="329"/>
      <c r="EC149" s="329"/>
      <c r="ED149" s="329"/>
      <c r="EE149" s="55"/>
      <c r="EF149" s="330"/>
      <c r="EG149" s="332"/>
      <c r="EH149" s="333" t="s">
        <v>27</v>
      </c>
      <c r="EI149" s="333" t="str">
        <f t="shared" si="2060"/>
        <v>: Pertambangan dan Penggalian    </v>
      </c>
      <c r="EJ149" s="333"/>
      <c r="EK149" s="333"/>
      <c r="EL149" s="333"/>
      <c r="EM149" s="333" t="s">
        <v>28</v>
      </c>
      <c r="EN149" s="333"/>
      <c r="EO149" s="334"/>
      <c r="EP149" s="329"/>
      <c r="EQ149" s="329"/>
      <c r="ER149" s="329"/>
      <c r="ES149" s="329"/>
      <c r="ET149" s="329"/>
      <c r="EU149" s="329"/>
      <c r="EV149" s="55"/>
      <c r="EW149" s="330"/>
      <c r="EX149" s="332"/>
      <c r="EY149" s="333" t="s">
        <v>27</v>
      </c>
      <c r="EZ149" s="333" t="str">
        <f t="shared" si="2061"/>
        <v>: Pertambangan dan Penggalian    </v>
      </c>
      <c r="FA149" s="333"/>
      <c r="FB149" s="333"/>
      <c r="FC149" s="333"/>
      <c r="FD149" s="333" t="s">
        <v>28</v>
      </c>
      <c r="FE149" s="333"/>
      <c r="FF149" s="334"/>
      <c r="FG149" s="329"/>
      <c r="FH149" s="329"/>
      <c r="FI149" s="329"/>
      <c r="FJ149" s="329"/>
      <c r="FK149" s="329"/>
      <c r="FL149" s="329"/>
      <c r="FM149" s="55"/>
      <c r="FN149" s="330"/>
      <c r="FO149" s="332"/>
      <c r="FP149" s="333" t="s">
        <v>27</v>
      </c>
      <c r="FQ149" s="333" t="str">
        <f t="shared" si="2062"/>
        <v>: Pertambangan dan Penggalian    </v>
      </c>
      <c r="FR149" s="333"/>
      <c r="FS149" s="333"/>
      <c r="FT149" s="333"/>
      <c r="FU149" s="333" t="s">
        <v>28</v>
      </c>
      <c r="FV149" s="333"/>
      <c r="FW149" s="334"/>
      <c r="FX149" s="329"/>
      <c r="FY149" s="329"/>
      <c r="FZ149" s="329"/>
      <c r="GA149" s="329"/>
      <c r="GB149" s="329"/>
      <c r="GC149" s="329"/>
      <c r="GD149" s="55"/>
      <c r="GE149" s="330"/>
      <c r="GF149" s="332"/>
      <c r="GG149" s="333" t="s">
        <v>27</v>
      </c>
      <c r="GH149" s="333" t="str">
        <f t="shared" si="2063"/>
        <v>: Pertambangan dan Penggalian    </v>
      </c>
      <c r="GI149" s="333"/>
      <c r="GJ149" s="333"/>
      <c r="GK149" s="333"/>
      <c r="GL149" s="333" t="s">
        <v>28</v>
      </c>
      <c r="GM149" s="333"/>
      <c r="GN149" s="334"/>
      <c r="GO149" s="329"/>
      <c r="GP149" s="329"/>
      <c r="GQ149" s="329"/>
      <c r="GR149" s="329"/>
      <c r="GS149" s="329"/>
      <c r="GT149" s="329"/>
      <c r="GU149" s="55"/>
      <c r="GV149" s="330"/>
      <c r="GW149" s="332"/>
      <c r="GX149" s="333" t="s">
        <v>27</v>
      </c>
      <c r="GY149" s="333" t="str">
        <f t="shared" si="2064"/>
        <v>: Pertambangan dan Penggalian    </v>
      </c>
      <c r="GZ149" s="333"/>
      <c r="HA149" s="333"/>
      <c r="HB149" s="333"/>
      <c r="HC149" s="333" t="s">
        <v>28</v>
      </c>
      <c r="HD149" s="333"/>
      <c r="HE149" s="334"/>
      <c r="HF149" s="329"/>
      <c r="HG149" s="329"/>
      <c r="HH149" s="329"/>
      <c r="HI149" s="329"/>
      <c r="HJ149" s="329"/>
      <c r="HK149" s="329"/>
      <c r="HL149" s="55"/>
      <c r="HM149" s="330"/>
      <c r="HN149" s="332"/>
      <c r="HO149" s="333" t="s">
        <v>27</v>
      </c>
      <c r="HP149" s="333" t="str">
        <f t="shared" si="2065"/>
        <v>: Pertambangan dan Penggalian    </v>
      </c>
      <c r="HQ149" s="333"/>
      <c r="HR149" s="333"/>
      <c r="HS149" s="333"/>
      <c r="HT149" s="333" t="s">
        <v>28</v>
      </c>
      <c r="HU149" s="333"/>
      <c r="HV149" s="334"/>
      <c r="HW149" s="329"/>
      <c r="HX149" s="329"/>
      <c r="HY149" s="329"/>
      <c r="HZ149" s="329"/>
      <c r="IA149" s="329"/>
      <c r="IB149" s="329"/>
      <c r="IC149" s="55"/>
      <c r="ID149" s="330"/>
      <c r="IE149" s="332"/>
      <c r="IF149" s="333" t="s">
        <v>27</v>
      </c>
      <c r="IG149" s="333" t="str">
        <f t="shared" si="2066"/>
        <v>: Pertambangan dan Penggalian    </v>
      </c>
      <c r="IH149" s="333"/>
      <c r="II149" s="333"/>
      <c r="IJ149" s="333"/>
      <c r="IK149" s="333" t="s">
        <v>28</v>
      </c>
      <c r="IL149" s="333"/>
      <c r="IM149" s="334"/>
      <c r="IN149" s="329"/>
      <c r="IO149" s="329"/>
      <c r="IP149" s="329"/>
      <c r="IQ149" s="329"/>
      <c r="IR149" s="329"/>
      <c r="IS149" s="329"/>
      <c r="IT149" s="55"/>
      <c r="IU149" s="330"/>
      <c r="IV149" s="332"/>
      <c r="IW149" s="333" t="s">
        <v>27</v>
      </c>
      <c r="IX149" s="333" t="str">
        <f t="shared" si="2067"/>
        <v>: Pertambangan dan Penggalian    </v>
      </c>
      <c r="IY149" s="333"/>
      <c r="IZ149" s="333"/>
      <c r="JA149" s="333"/>
      <c r="JB149" s="333" t="s">
        <v>28</v>
      </c>
      <c r="JC149" s="333"/>
      <c r="JD149" s="334"/>
      <c r="JE149" s="329"/>
      <c r="JF149" s="329"/>
      <c r="JG149" s="329"/>
      <c r="JH149" s="329"/>
      <c r="JI149" s="329"/>
      <c r="JJ149" s="329"/>
      <c r="JK149" s="55"/>
      <c r="JL149" s="331"/>
      <c r="JM149" s="332"/>
      <c r="JN149" s="333" t="s">
        <v>27</v>
      </c>
      <c r="JO149" s="333" t="str">
        <f t="shared" si="2068"/>
        <v>: Pertambangan dan Penggalian    </v>
      </c>
      <c r="JP149" s="333"/>
      <c r="JQ149" s="333"/>
      <c r="JR149" s="333"/>
      <c r="JS149" s="333" t="s">
        <v>28</v>
      </c>
      <c r="JT149" s="333"/>
      <c r="JU149" s="334"/>
      <c r="JV149" s="329"/>
      <c r="JW149" s="329"/>
      <c r="JX149" s="329"/>
      <c r="JY149" s="329"/>
      <c r="JZ149" s="329"/>
      <c r="KA149" s="329"/>
      <c r="KB149" s="55"/>
      <c r="KC149" s="331"/>
      <c r="KD149" s="332"/>
      <c r="KE149" s="333" t="s">
        <v>27</v>
      </c>
      <c r="KF149" s="333" t="str">
        <f t="shared" si="2069"/>
        <v>: Pertambangan dan Penggalian    </v>
      </c>
      <c r="KG149" s="333"/>
      <c r="KH149" s="333"/>
      <c r="KI149" s="333"/>
      <c r="KJ149" s="333" t="s">
        <v>28</v>
      </c>
      <c r="KK149" s="333"/>
      <c r="KL149" s="334"/>
      <c r="KM149" s="329"/>
      <c r="KN149" s="329"/>
      <c r="KO149" s="329"/>
      <c r="KP149" s="329"/>
      <c r="KQ149" s="329"/>
      <c r="KR149" s="329"/>
      <c r="KS149" s="55"/>
      <c r="KT149" s="331"/>
      <c r="KU149" s="329"/>
    </row>
    <row r="150" ht="15.0" customHeight="1">
      <c r="A150" s="332"/>
      <c r="B150" s="333" t="s">
        <v>29</v>
      </c>
      <c r="C150" s="333" t="str">
        <f>ADHK!C150</f>
        <v>: Pertambangan Bijih Logam</v>
      </c>
      <c r="D150" s="333"/>
      <c r="E150" s="333"/>
      <c r="F150" s="333"/>
      <c r="G150" s="335" t="s">
        <v>30</v>
      </c>
      <c r="H150" s="333"/>
      <c r="I150" s="334"/>
      <c r="J150" s="329"/>
      <c r="K150" s="329"/>
      <c r="L150" s="329"/>
      <c r="M150" s="329"/>
      <c r="N150" s="329"/>
      <c r="O150" s="329"/>
      <c r="P150" s="57" t="str">
        <f>"IV/"&amp;P$6</f>
        <v>IV/2010</v>
      </c>
      <c r="Q150" s="330"/>
      <c r="R150" s="332"/>
      <c r="S150" s="333" t="s">
        <v>29</v>
      </c>
      <c r="T150" s="333" t="str">
        <f t="shared" si="2053"/>
        <v>: Pertambangan Bijih Logam</v>
      </c>
      <c r="U150" s="333"/>
      <c r="V150" s="333"/>
      <c r="W150" s="333"/>
      <c r="X150" s="335" t="s">
        <v>30</v>
      </c>
      <c r="Y150" s="333"/>
      <c r="Z150" s="334"/>
      <c r="AA150" s="329"/>
      <c r="AB150" s="329"/>
      <c r="AC150" s="329"/>
      <c r="AD150" s="329"/>
      <c r="AE150" s="329"/>
      <c r="AF150" s="329"/>
      <c r="AG150" s="57" t="str">
        <f>"IV/"&amp;AG$6</f>
        <v>IV/2011</v>
      </c>
      <c r="AH150" s="330"/>
      <c r="AI150" s="332"/>
      <c r="AJ150" s="333" t="s">
        <v>29</v>
      </c>
      <c r="AK150" s="333" t="str">
        <f t="shared" si="2054"/>
        <v>: Pertambangan Bijih Logam</v>
      </c>
      <c r="AL150" s="333"/>
      <c r="AM150" s="333"/>
      <c r="AN150" s="333"/>
      <c r="AO150" s="335" t="s">
        <v>30</v>
      </c>
      <c r="AP150" s="333"/>
      <c r="AQ150" s="334"/>
      <c r="AR150" s="329"/>
      <c r="AS150" s="329"/>
      <c r="AT150" s="329"/>
      <c r="AU150" s="329"/>
      <c r="AV150" s="329"/>
      <c r="AW150" s="329"/>
      <c r="AX150" s="57" t="str">
        <f>"IV/"&amp;AX$6</f>
        <v>IV/2012</v>
      </c>
      <c r="AY150" s="330"/>
      <c r="AZ150" s="332"/>
      <c r="BA150" s="333" t="s">
        <v>29</v>
      </c>
      <c r="BB150" s="333" t="str">
        <f t="shared" si="2055"/>
        <v>: Pertambangan Bijih Logam</v>
      </c>
      <c r="BC150" s="333"/>
      <c r="BD150" s="333"/>
      <c r="BE150" s="333"/>
      <c r="BF150" s="335" t="s">
        <v>30</v>
      </c>
      <c r="BG150" s="333"/>
      <c r="BH150" s="334"/>
      <c r="BI150" s="329"/>
      <c r="BJ150" s="329"/>
      <c r="BK150" s="329"/>
      <c r="BL150" s="329"/>
      <c r="BM150" s="329"/>
      <c r="BN150" s="329"/>
      <c r="BO150" s="57" t="str">
        <f>"IV/"&amp;BO$6</f>
        <v>IV/2013</v>
      </c>
      <c r="BP150" s="330"/>
      <c r="BQ150" s="332"/>
      <c r="BR150" s="333" t="s">
        <v>29</v>
      </c>
      <c r="BS150" s="333" t="str">
        <f t="shared" si="2056"/>
        <v>: Pertambangan Bijih Logam</v>
      </c>
      <c r="BT150" s="333"/>
      <c r="BU150" s="333"/>
      <c r="BV150" s="333"/>
      <c r="BW150" s="335" t="s">
        <v>30</v>
      </c>
      <c r="BX150" s="333"/>
      <c r="BY150" s="334"/>
      <c r="BZ150" s="329"/>
      <c r="CA150" s="329"/>
      <c r="CB150" s="329"/>
      <c r="CC150" s="329"/>
      <c r="CD150" s="329"/>
      <c r="CE150" s="329"/>
      <c r="CF150" s="57" t="str">
        <f>"IV/"&amp;CF$6</f>
        <v>IV/2014</v>
      </c>
      <c r="CG150" s="330"/>
      <c r="CH150" s="332"/>
      <c r="CI150" s="333" t="s">
        <v>29</v>
      </c>
      <c r="CJ150" s="333" t="str">
        <f t="shared" si="2057"/>
        <v>: Pertambangan Bijih Logam</v>
      </c>
      <c r="CK150" s="333"/>
      <c r="CL150" s="333"/>
      <c r="CM150" s="333"/>
      <c r="CN150" s="335" t="s">
        <v>30</v>
      </c>
      <c r="CO150" s="333"/>
      <c r="CP150" s="334"/>
      <c r="CQ150" s="329"/>
      <c r="CR150" s="329"/>
      <c r="CS150" s="329"/>
      <c r="CT150" s="329"/>
      <c r="CU150" s="329"/>
      <c r="CV150" s="329"/>
      <c r="CW150" s="57" t="str">
        <f>"IV/"&amp;CW$6</f>
        <v>IV/2015</v>
      </c>
      <c r="CX150" s="330"/>
      <c r="CY150" s="332"/>
      <c r="CZ150" s="333" t="s">
        <v>29</v>
      </c>
      <c r="DA150" s="333" t="str">
        <f t="shared" si="2058"/>
        <v>: Pertambangan Bijih Logam</v>
      </c>
      <c r="DB150" s="333"/>
      <c r="DC150" s="333"/>
      <c r="DD150" s="333"/>
      <c r="DE150" s="335" t="s">
        <v>30</v>
      </c>
      <c r="DF150" s="333"/>
      <c r="DG150" s="334"/>
      <c r="DH150" s="329"/>
      <c r="DI150" s="329"/>
      <c r="DJ150" s="329"/>
      <c r="DK150" s="329"/>
      <c r="DL150" s="329"/>
      <c r="DM150" s="329"/>
      <c r="DN150" s="57" t="str">
        <f>"IV/"&amp;DN$6</f>
        <v>IV/2016</v>
      </c>
      <c r="DO150" s="330"/>
      <c r="DP150" s="332"/>
      <c r="DQ150" s="333" t="s">
        <v>29</v>
      </c>
      <c r="DR150" s="333" t="str">
        <f t="shared" si="2059"/>
        <v>: Pertambangan Bijih Logam</v>
      </c>
      <c r="DS150" s="333"/>
      <c r="DT150" s="333"/>
      <c r="DU150" s="333"/>
      <c r="DV150" s="335" t="s">
        <v>30</v>
      </c>
      <c r="DW150" s="333"/>
      <c r="DX150" s="334"/>
      <c r="DY150" s="329"/>
      <c r="DZ150" s="329"/>
      <c r="EA150" s="329"/>
      <c r="EB150" s="329"/>
      <c r="EC150" s="329"/>
      <c r="ED150" s="329"/>
      <c r="EE150" s="57" t="str">
        <f>"IV/"&amp;EE$6</f>
        <v>IV/2017</v>
      </c>
      <c r="EF150" s="330"/>
      <c r="EG150" s="332"/>
      <c r="EH150" s="333" t="s">
        <v>29</v>
      </c>
      <c r="EI150" s="333" t="str">
        <f t="shared" si="2060"/>
        <v>: Pertambangan Bijih Logam</v>
      </c>
      <c r="EJ150" s="333"/>
      <c r="EK150" s="333"/>
      <c r="EL150" s="333"/>
      <c r="EM150" s="335" t="s">
        <v>30</v>
      </c>
      <c r="EN150" s="333"/>
      <c r="EO150" s="334"/>
      <c r="EP150" s="329"/>
      <c r="EQ150" s="329"/>
      <c r="ER150" s="329"/>
      <c r="ES150" s="329"/>
      <c r="ET150" s="329"/>
      <c r="EU150" s="329"/>
      <c r="EV150" s="57" t="str">
        <f>"IV/"&amp;EV$6</f>
        <v>IV/2018</v>
      </c>
      <c r="EW150" s="330"/>
      <c r="EX150" s="332"/>
      <c r="EY150" s="333" t="s">
        <v>29</v>
      </c>
      <c r="EZ150" s="333" t="str">
        <f t="shared" si="2061"/>
        <v>: Pertambangan Bijih Logam</v>
      </c>
      <c r="FA150" s="333"/>
      <c r="FB150" s="333"/>
      <c r="FC150" s="333"/>
      <c r="FD150" s="335" t="s">
        <v>30</v>
      </c>
      <c r="FE150" s="333"/>
      <c r="FF150" s="334"/>
      <c r="FG150" s="329"/>
      <c r="FH150" s="329"/>
      <c r="FI150" s="329"/>
      <c r="FJ150" s="329"/>
      <c r="FK150" s="329"/>
      <c r="FL150" s="329"/>
      <c r="FM150" s="57" t="str">
        <f>"IV/"&amp;FM$6</f>
        <v>IV/2019</v>
      </c>
      <c r="FN150" s="330"/>
      <c r="FO150" s="332"/>
      <c r="FP150" s="333" t="s">
        <v>29</v>
      </c>
      <c r="FQ150" s="333" t="str">
        <f t="shared" si="2062"/>
        <v>: Pertambangan Bijih Logam</v>
      </c>
      <c r="FR150" s="333"/>
      <c r="FS150" s="333"/>
      <c r="FT150" s="333"/>
      <c r="FU150" s="335" t="s">
        <v>30</v>
      </c>
      <c r="FV150" s="333"/>
      <c r="FW150" s="334"/>
      <c r="FX150" s="329"/>
      <c r="FY150" s="329"/>
      <c r="FZ150" s="329"/>
      <c r="GA150" s="329"/>
      <c r="GB150" s="329"/>
      <c r="GC150" s="329"/>
      <c r="GD150" s="57" t="str">
        <f>"IV/"&amp;GD$6</f>
        <v>IV/2020</v>
      </c>
      <c r="GE150" s="330"/>
      <c r="GF150" s="332"/>
      <c r="GG150" s="333" t="s">
        <v>29</v>
      </c>
      <c r="GH150" s="333" t="str">
        <f t="shared" si="2063"/>
        <v>: Pertambangan Bijih Logam</v>
      </c>
      <c r="GI150" s="333"/>
      <c r="GJ150" s="333"/>
      <c r="GK150" s="333"/>
      <c r="GL150" s="335" t="s">
        <v>30</v>
      </c>
      <c r="GM150" s="333"/>
      <c r="GN150" s="334"/>
      <c r="GO150" s="329"/>
      <c r="GP150" s="329"/>
      <c r="GQ150" s="329"/>
      <c r="GR150" s="329"/>
      <c r="GS150" s="329"/>
      <c r="GT150" s="329"/>
      <c r="GU150" s="57" t="str">
        <f>"IV/"&amp;GU$6</f>
        <v>IV/2021</v>
      </c>
      <c r="GV150" s="330"/>
      <c r="GW150" s="332"/>
      <c r="GX150" s="333" t="s">
        <v>29</v>
      </c>
      <c r="GY150" s="333" t="str">
        <f t="shared" si="2064"/>
        <v>: Pertambangan Bijih Logam</v>
      </c>
      <c r="GZ150" s="333"/>
      <c r="HA150" s="333"/>
      <c r="HB150" s="333"/>
      <c r="HC150" s="335" t="s">
        <v>30</v>
      </c>
      <c r="HD150" s="333"/>
      <c r="HE150" s="334"/>
      <c r="HF150" s="329"/>
      <c r="HG150" s="329"/>
      <c r="HH150" s="329"/>
      <c r="HI150" s="329"/>
      <c r="HJ150" s="329"/>
      <c r="HK150" s="329"/>
      <c r="HL150" s="57" t="str">
        <f>"IV/"&amp;HL$6</f>
        <v>IV/2022</v>
      </c>
      <c r="HM150" s="330"/>
      <c r="HN150" s="332"/>
      <c r="HO150" s="333" t="s">
        <v>29</v>
      </c>
      <c r="HP150" s="333" t="str">
        <f t="shared" si="2065"/>
        <v>: Pertambangan Bijih Logam</v>
      </c>
      <c r="HQ150" s="333"/>
      <c r="HR150" s="333"/>
      <c r="HS150" s="333"/>
      <c r="HT150" s="335" t="s">
        <v>30</v>
      </c>
      <c r="HU150" s="333"/>
      <c r="HV150" s="334"/>
      <c r="HW150" s="329"/>
      <c r="HX150" s="329"/>
      <c r="HY150" s="329"/>
      <c r="HZ150" s="329"/>
      <c r="IA150" s="329"/>
      <c r="IB150" s="329"/>
      <c r="IC150" s="57" t="str">
        <f>"IV/"&amp;IC$6</f>
        <v>IV/2023</v>
      </c>
      <c r="ID150" s="330"/>
      <c r="IE150" s="332"/>
      <c r="IF150" s="333" t="s">
        <v>29</v>
      </c>
      <c r="IG150" s="333" t="str">
        <f t="shared" si="2066"/>
        <v>: Pertambangan Bijih Logam</v>
      </c>
      <c r="IH150" s="333"/>
      <c r="II150" s="333"/>
      <c r="IJ150" s="333"/>
      <c r="IK150" s="335" t="s">
        <v>30</v>
      </c>
      <c r="IL150" s="333"/>
      <c r="IM150" s="334"/>
      <c r="IN150" s="329"/>
      <c r="IO150" s="329"/>
      <c r="IP150" s="329"/>
      <c r="IQ150" s="329"/>
      <c r="IR150" s="329"/>
      <c r="IS150" s="329"/>
      <c r="IT150" s="57" t="str">
        <f>"IV/"&amp;IT$6</f>
        <v>IV/2024</v>
      </c>
      <c r="IU150" s="330"/>
      <c r="IV150" s="332"/>
      <c r="IW150" s="333" t="s">
        <v>29</v>
      </c>
      <c r="IX150" s="333" t="str">
        <f t="shared" si="2067"/>
        <v>: Pertambangan Bijih Logam</v>
      </c>
      <c r="IY150" s="333"/>
      <c r="IZ150" s="333"/>
      <c r="JA150" s="333"/>
      <c r="JB150" s="335" t="s">
        <v>30</v>
      </c>
      <c r="JC150" s="333"/>
      <c r="JD150" s="334"/>
      <c r="JE150" s="329"/>
      <c r="JF150" s="329"/>
      <c r="JG150" s="329"/>
      <c r="JH150" s="329"/>
      <c r="JI150" s="329"/>
      <c r="JJ150" s="329"/>
      <c r="JK150" s="57" t="str">
        <f>"IV/"&amp;JK$6</f>
        <v>IV/2025</v>
      </c>
      <c r="JL150" s="331"/>
      <c r="JM150" s="332"/>
      <c r="JN150" s="333" t="s">
        <v>29</v>
      </c>
      <c r="JO150" s="333" t="str">
        <f t="shared" si="2068"/>
        <v>: Pertambangan Bijih Logam</v>
      </c>
      <c r="JP150" s="333"/>
      <c r="JQ150" s="333"/>
      <c r="JR150" s="333"/>
      <c r="JS150" s="335" t="s">
        <v>30</v>
      </c>
      <c r="JT150" s="333"/>
      <c r="JU150" s="334"/>
      <c r="JV150" s="329"/>
      <c r="JW150" s="329"/>
      <c r="JX150" s="329"/>
      <c r="JY150" s="329"/>
      <c r="JZ150" s="329"/>
      <c r="KA150" s="329"/>
      <c r="KB150" s="57" t="str">
        <f>"IV/"&amp;KB$6</f>
        <v>IV/2026</v>
      </c>
      <c r="KC150" s="331"/>
      <c r="KD150" s="332"/>
      <c r="KE150" s="333" t="s">
        <v>29</v>
      </c>
      <c r="KF150" s="333" t="str">
        <f t="shared" si="2069"/>
        <v>: Pertambangan Bijih Logam</v>
      </c>
      <c r="KG150" s="333"/>
      <c r="KH150" s="333"/>
      <c r="KI150" s="333"/>
      <c r="KJ150" s="335" t="s">
        <v>30</v>
      </c>
      <c r="KK150" s="333"/>
      <c r="KL150" s="334"/>
      <c r="KM150" s="329"/>
      <c r="KN150" s="329"/>
      <c r="KO150" s="329"/>
      <c r="KP150" s="329"/>
      <c r="KQ150" s="329"/>
      <c r="KR150" s="329"/>
      <c r="KS150" s="57" t="str">
        <f>"IV/"&amp;KS$6</f>
        <v>IV/2027</v>
      </c>
      <c r="KT150" s="331"/>
      <c r="KU150" s="329"/>
    </row>
    <row r="151" ht="15.0" customHeight="1">
      <c r="A151" s="332"/>
      <c r="B151" s="333" t="s">
        <v>31</v>
      </c>
      <c r="C151" s="333" t="str">
        <f>ADHK!C151</f>
        <v>: Pertambangan Bijih Logam</v>
      </c>
      <c r="D151" s="333"/>
      <c r="E151" s="333"/>
      <c r="F151" s="333"/>
      <c r="G151" s="336" t="s">
        <v>59</v>
      </c>
      <c r="H151" s="333"/>
      <c r="I151" s="334"/>
      <c r="J151" s="329"/>
      <c r="K151" s="329"/>
      <c r="L151" s="329"/>
      <c r="M151" s="329"/>
      <c r="N151" s="329"/>
      <c r="O151" s="329"/>
      <c r="P151" s="55"/>
      <c r="Q151" s="330"/>
      <c r="R151" s="332"/>
      <c r="S151" s="333" t="s">
        <v>31</v>
      </c>
      <c r="T151" s="333" t="str">
        <f t="shared" si="2053"/>
        <v>: Pertambangan Bijih Logam</v>
      </c>
      <c r="U151" s="333"/>
      <c r="V151" s="333"/>
      <c r="W151" s="333"/>
      <c r="X151" s="336" t="s">
        <v>59</v>
      </c>
      <c r="Y151" s="333"/>
      <c r="Z151" s="334"/>
      <c r="AA151" s="329"/>
      <c r="AB151" s="329"/>
      <c r="AC151" s="329"/>
      <c r="AD151" s="329"/>
      <c r="AE151" s="329"/>
      <c r="AF151" s="329"/>
      <c r="AG151" s="55"/>
      <c r="AH151" s="330"/>
      <c r="AI151" s="332"/>
      <c r="AJ151" s="333" t="s">
        <v>31</v>
      </c>
      <c r="AK151" s="333" t="str">
        <f t="shared" si="2054"/>
        <v>: Pertambangan Bijih Logam</v>
      </c>
      <c r="AL151" s="333"/>
      <c r="AM151" s="333"/>
      <c r="AN151" s="333"/>
      <c r="AO151" s="336" t="s">
        <v>59</v>
      </c>
      <c r="AP151" s="333"/>
      <c r="AQ151" s="334"/>
      <c r="AR151" s="329"/>
      <c r="AS151" s="329"/>
      <c r="AT151" s="329"/>
      <c r="AU151" s="329"/>
      <c r="AV151" s="329"/>
      <c r="AW151" s="329"/>
      <c r="AX151" s="55"/>
      <c r="AY151" s="330"/>
      <c r="AZ151" s="332"/>
      <c r="BA151" s="333" t="s">
        <v>31</v>
      </c>
      <c r="BB151" s="333" t="str">
        <f t="shared" si="2055"/>
        <v>: Pertambangan Bijih Logam</v>
      </c>
      <c r="BC151" s="333"/>
      <c r="BD151" s="333"/>
      <c r="BE151" s="333"/>
      <c r="BF151" s="336" t="s">
        <v>59</v>
      </c>
      <c r="BG151" s="333"/>
      <c r="BH151" s="334"/>
      <c r="BI151" s="329"/>
      <c r="BJ151" s="329"/>
      <c r="BK151" s="329"/>
      <c r="BL151" s="329"/>
      <c r="BM151" s="329"/>
      <c r="BN151" s="329"/>
      <c r="BO151" s="55"/>
      <c r="BP151" s="330"/>
      <c r="BQ151" s="332"/>
      <c r="BR151" s="333" t="s">
        <v>31</v>
      </c>
      <c r="BS151" s="333" t="str">
        <f t="shared" si="2056"/>
        <v>: Pertambangan Bijih Logam</v>
      </c>
      <c r="BT151" s="333"/>
      <c r="BU151" s="333"/>
      <c r="BV151" s="333"/>
      <c r="BW151" s="336" t="s">
        <v>59</v>
      </c>
      <c r="BX151" s="333"/>
      <c r="BY151" s="334"/>
      <c r="BZ151" s="329"/>
      <c r="CA151" s="329"/>
      <c r="CB151" s="329"/>
      <c r="CC151" s="329"/>
      <c r="CD151" s="329"/>
      <c r="CE151" s="329"/>
      <c r="CF151" s="55"/>
      <c r="CG151" s="330"/>
      <c r="CH151" s="332"/>
      <c r="CI151" s="333" t="s">
        <v>31</v>
      </c>
      <c r="CJ151" s="333" t="str">
        <f t="shared" si="2057"/>
        <v>: Pertambangan Bijih Logam</v>
      </c>
      <c r="CK151" s="333"/>
      <c r="CL151" s="333"/>
      <c r="CM151" s="333"/>
      <c r="CN151" s="336" t="s">
        <v>59</v>
      </c>
      <c r="CO151" s="333"/>
      <c r="CP151" s="334"/>
      <c r="CQ151" s="329"/>
      <c r="CR151" s="329"/>
      <c r="CS151" s="329"/>
      <c r="CT151" s="329"/>
      <c r="CU151" s="329"/>
      <c r="CV151" s="329"/>
      <c r="CW151" s="55"/>
      <c r="CX151" s="330"/>
      <c r="CY151" s="332"/>
      <c r="CZ151" s="333" t="s">
        <v>31</v>
      </c>
      <c r="DA151" s="333" t="str">
        <f t="shared" si="2058"/>
        <v>: Pertambangan Bijih Logam</v>
      </c>
      <c r="DB151" s="333"/>
      <c r="DC151" s="333"/>
      <c r="DD151" s="333"/>
      <c r="DE151" s="336" t="s">
        <v>59</v>
      </c>
      <c r="DF151" s="333"/>
      <c r="DG151" s="334"/>
      <c r="DH151" s="329"/>
      <c r="DI151" s="329"/>
      <c r="DJ151" s="329"/>
      <c r="DK151" s="329"/>
      <c r="DL151" s="329"/>
      <c r="DM151" s="329"/>
      <c r="DN151" s="55"/>
      <c r="DO151" s="330"/>
      <c r="DP151" s="332"/>
      <c r="DQ151" s="333" t="s">
        <v>31</v>
      </c>
      <c r="DR151" s="333" t="str">
        <f t="shared" si="2059"/>
        <v>: Pertambangan Bijih Logam</v>
      </c>
      <c r="DS151" s="333"/>
      <c r="DT151" s="333"/>
      <c r="DU151" s="333"/>
      <c r="DV151" s="336" t="s">
        <v>59</v>
      </c>
      <c r="DW151" s="333"/>
      <c r="DX151" s="334"/>
      <c r="DY151" s="329"/>
      <c r="DZ151" s="329"/>
      <c r="EA151" s="329"/>
      <c r="EB151" s="329"/>
      <c r="EC151" s="329"/>
      <c r="ED151" s="329"/>
      <c r="EE151" s="55"/>
      <c r="EF151" s="330"/>
      <c r="EG151" s="332"/>
      <c r="EH151" s="333" t="s">
        <v>31</v>
      </c>
      <c r="EI151" s="333" t="str">
        <f t="shared" si="2060"/>
        <v>: Pertambangan Bijih Logam</v>
      </c>
      <c r="EJ151" s="333"/>
      <c r="EK151" s="333"/>
      <c r="EL151" s="333"/>
      <c r="EM151" s="336" t="s">
        <v>59</v>
      </c>
      <c r="EN151" s="333"/>
      <c r="EO151" s="334"/>
      <c r="EP151" s="329"/>
      <c r="EQ151" s="329"/>
      <c r="ER151" s="329"/>
      <c r="ES151" s="329"/>
      <c r="ET151" s="329"/>
      <c r="EU151" s="329"/>
      <c r="EV151" s="55"/>
      <c r="EW151" s="330"/>
      <c r="EX151" s="332"/>
      <c r="EY151" s="333" t="s">
        <v>31</v>
      </c>
      <c r="EZ151" s="333" t="str">
        <f t="shared" si="2061"/>
        <v>: Pertambangan Bijih Logam</v>
      </c>
      <c r="FA151" s="333"/>
      <c r="FB151" s="333"/>
      <c r="FC151" s="333"/>
      <c r="FD151" s="336" t="s">
        <v>59</v>
      </c>
      <c r="FE151" s="333"/>
      <c r="FF151" s="334"/>
      <c r="FG151" s="329"/>
      <c r="FH151" s="329"/>
      <c r="FI151" s="329"/>
      <c r="FJ151" s="329"/>
      <c r="FK151" s="329"/>
      <c r="FL151" s="329"/>
      <c r="FM151" s="55"/>
      <c r="FN151" s="330"/>
      <c r="FO151" s="332"/>
      <c r="FP151" s="333" t="s">
        <v>31</v>
      </c>
      <c r="FQ151" s="333" t="str">
        <f t="shared" si="2062"/>
        <v>: Pertambangan Bijih Logam</v>
      </c>
      <c r="FR151" s="333"/>
      <c r="FS151" s="333"/>
      <c r="FT151" s="333"/>
      <c r="FU151" s="336" t="s">
        <v>59</v>
      </c>
      <c r="FV151" s="333"/>
      <c r="FW151" s="334"/>
      <c r="FX151" s="329"/>
      <c r="FY151" s="329"/>
      <c r="FZ151" s="329"/>
      <c r="GA151" s="329"/>
      <c r="GB151" s="329"/>
      <c r="GC151" s="329"/>
      <c r="GD151" s="55"/>
      <c r="GE151" s="330"/>
      <c r="GF151" s="332"/>
      <c r="GG151" s="333" t="s">
        <v>31</v>
      </c>
      <c r="GH151" s="333" t="str">
        <f t="shared" si="2063"/>
        <v>: Pertambangan Bijih Logam</v>
      </c>
      <c r="GI151" s="333"/>
      <c r="GJ151" s="333"/>
      <c r="GK151" s="333"/>
      <c r="GL151" s="336" t="s">
        <v>59</v>
      </c>
      <c r="GM151" s="333"/>
      <c r="GN151" s="334"/>
      <c r="GO151" s="329"/>
      <c r="GP151" s="329"/>
      <c r="GQ151" s="329"/>
      <c r="GR151" s="329"/>
      <c r="GS151" s="329"/>
      <c r="GT151" s="329"/>
      <c r="GU151" s="55"/>
      <c r="GV151" s="330"/>
      <c r="GW151" s="332"/>
      <c r="GX151" s="333" t="s">
        <v>31</v>
      </c>
      <c r="GY151" s="333" t="str">
        <f t="shared" si="2064"/>
        <v>: Pertambangan Bijih Logam</v>
      </c>
      <c r="GZ151" s="333"/>
      <c r="HA151" s="333"/>
      <c r="HB151" s="333"/>
      <c r="HC151" s="336" t="s">
        <v>59</v>
      </c>
      <c r="HD151" s="333"/>
      <c r="HE151" s="334"/>
      <c r="HF151" s="329"/>
      <c r="HG151" s="329"/>
      <c r="HH151" s="329"/>
      <c r="HI151" s="329"/>
      <c r="HJ151" s="329"/>
      <c r="HK151" s="329"/>
      <c r="HL151" s="55"/>
      <c r="HM151" s="330"/>
      <c r="HN151" s="332"/>
      <c r="HO151" s="333" t="s">
        <v>31</v>
      </c>
      <c r="HP151" s="333" t="str">
        <f t="shared" si="2065"/>
        <v>: Pertambangan Bijih Logam</v>
      </c>
      <c r="HQ151" s="333"/>
      <c r="HR151" s="333"/>
      <c r="HS151" s="333"/>
      <c r="HT151" s="336" t="s">
        <v>59</v>
      </c>
      <c r="HU151" s="333"/>
      <c r="HV151" s="334"/>
      <c r="HW151" s="329"/>
      <c r="HX151" s="329"/>
      <c r="HY151" s="329"/>
      <c r="HZ151" s="329"/>
      <c r="IA151" s="329"/>
      <c r="IB151" s="329"/>
      <c r="IC151" s="55"/>
      <c r="ID151" s="330"/>
      <c r="IE151" s="332"/>
      <c r="IF151" s="333" t="s">
        <v>31</v>
      </c>
      <c r="IG151" s="333" t="str">
        <f t="shared" si="2066"/>
        <v>: Pertambangan Bijih Logam</v>
      </c>
      <c r="IH151" s="333"/>
      <c r="II151" s="333"/>
      <c r="IJ151" s="333"/>
      <c r="IK151" s="336" t="s">
        <v>59</v>
      </c>
      <c r="IL151" s="333"/>
      <c r="IM151" s="334"/>
      <c r="IN151" s="329"/>
      <c r="IO151" s="329"/>
      <c r="IP151" s="329"/>
      <c r="IQ151" s="329"/>
      <c r="IR151" s="329"/>
      <c r="IS151" s="329"/>
      <c r="IT151" s="55"/>
      <c r="IU151" s="330"/>
      <c r="IV151" s="332"/>
      <c r="IW151" s="333" t="s">
        <v>31</v>
      </c>
      <c r="IX151" s="333" t="str">
        <f t="shared" si="2067"/>
        <v>: Pertambangan Bijih Logam</v>
      </c>
      <c r="IY151" s="333"/>
      <c r="IZ151" s="333"/>
      <c r="JA151" s="333"/>
      <c r="JB151" s="336" t="s">
        <v>59</v>
      </c>
      <c r="JC151" s="333"/>
      <c r="JD151" s="334"/>
      <c r="JE151" s="329"/>
      <c r="JF151" s="329"/>
      <c r="JG151" s="329"/>
      <c r="JH151" s="329"/>
      <c r="JI151" s="329"/>
      <c r="JJ151" s="329"/>
      <c r="JK151" s="55"/>
      <c r="JL151" s="331"/>
      <c r="JM151" s="332"/>
      <c r="JN151" s="333" t="s">
        <v>31</v>
      </c>
      <c r="JO151" s="333" t="str">
        <f t="shared" si="2068"/>
        <v>: Pertambangan Bijih Logam</v>
      </c>
      <c r="JP151" s="333"/>
      <c r="JQ151" s="333"/>
      <c r="JR151" s="333"/>
      <c r="JS151" s="336" t="s">
        <v>59</v>
      </c>
      <c r="JT151" s="333"/>
      <c r="JU151" s="334"/>
      <c r="JV151" s="329"/>
      <c r="JW151" s="329"/>
      <c r="JX151" s="329"/>
      <c r="JY151" s="329"/>
      <c r="JZ151" s="329"/>
      <c r="KA151" s="329"/>
      <c r="KB151" s="55"/>
      <c r="KC151" s="331"/>
      <c r="KD151" s="332"/>
      <c r="KE151" s="333" t="s">
        <v>31</v>
      </c>
      <c r="KF151" s="333" t="str">
        <f t="shared" si="2069"/>
        <v>: Pertambangan Bijih Logam</v>
      </c>
      <c r="KG151" s="333"/>
      <c r="KH151" s="333"/>
      <c r="KI151" s="333"/>
      <c r="KJ151" s="336" t="s">
        <v>59</v>
      </c>
      <c r="KK151" s="333"/>
      <c r="KL151" s="334"/>
      <c r="KM151" s="329"/>
      <c r="KN151" s="329"/>
      <c r="KO151" s="329"/>
      <c r="KP151" s="329"/>
      <c r="KQ151" s="329"/>
      <c r="KR151" s="329"/>
      <c r="KS151" s="55"/>
      <c r="KT151" s="331"/>
      <c r="KU151" s="329"/>
    </row>
    <row r="152" ht="15.75" customHeight="1">
      <c r="A152" s="337"/>
      <c r="B152" s="338" t="s">
        <v>32</v>
      </c>
      <c r="C152" s="338" t="s">
        <v>33</v>
      </c>
      <c r="D152" s="338"/>
      <c r="E152" s="338"/>
      <c r="F152" s="338"/>
      <c r="G152" s="338" t="str">
        <f>"Tahun "&amp;P$6</f>
        <v>Tahun 2010</v>
      </c>
      <c r="H152" s="338"/>
      <c r="I152" s="339"/>
      <c r="J152" s="329"/>
      <c r="K152" s="329"/>
      <c r="L152" s="329"/>
      <c r="M152" s="329"/>
      <c r="N152" s="329"/>
      <c r="O152" s="329"/>
      <c r="P152" s="329"/>
      <c r="Q152" s="330"/>
      <c r="R152" s="337"/>
      <c r="S152" s="338" t="s">
        <v>32</v>
      </c>
      <c r="T152" s="338" t="s">
        <v>33</v>
      </c>
      <c r="U152" s="338"/>
      <c r="V152" s="338"/>
      <c r="W152" s="338"/>
      <c r="X152" s="338" t="str">
        <f>"Tahun "&amp;AG$6</f>
        <v>Tahun 2011</v>
      </c>
      <c r="Y152" s="338"/>
      <c r="Z152" s="339"/>
      <c r="AA152" s="329"/>
      <c r="AB152" s="329"/>
      <c r="AC152" s="329"/>
      <c r="AD152" s="329"/>
      <c r="AE152" s="329"/>
      <c r="AF152" s="329"/>
      <c r="AG152" s="329"/>
      <c r="AH152" s="330"/>
      <c r="AI152" s="337"/>
      <c r="AJ152" s="338" t="s">
        <v>32</v>
      </c>
      <c r="AK152" s="338" t="s">
        <v>33</v>
      </c>
      <c r="AL152" s="338"/>
      <c r="AM152" s="338"/>
      <c r="AN152" s="338"/>
      <c r="AO152" s="338" t="str">
        <f>"Tahun "&amp;AX$6</f>
        <v>Tahun 2012</v>
      </c>
      <c r="AP152" s="338"/>
      <c r="AQ152" s="339"/>
      <c r="AR152" s="329"/>
      <c r="AS152" s="329"/>
      <c r="AT152" s="329"/>
      <c r="AU152" s="329"/>
      <c r="AV152" s="329"/>
      <c r="AW152" s="329"/>
      <c r="AX152" s="329"/>
      <c r="AY152" s="330"/>
      <c r="AZ152" s="337"/>
      <c r="BA152" s="338" t="s">
        <v>32</v>
      </c>
      <c r="BB152" s="338" t="s">
        <v>33</v>
      </c>
      <c r="BC152" s="338"/>
      <c r="BD152" s="338"/>
      <c r="BE152" s="338"/>
      <c r="BF152" s="338" t="str">
        <f>"Tahun "&amp;BO$6</f>
        <v>Tahun 2013</v>
      </c>
      <c r="BG152" s="338"/>
      <c r="BH152" s="339"/>
      <c r="BI152" s="329"/>
      <c r="BJ152" s="329"/>
      <c r="BK152" s="329"/>
      <c r="BL152" s="329"/>
      <c r="BM152" s="329"/>
      <c r="BN152" s="329"/>
      <c r="BO152" s="329"/>
      <c r="BP152" s="330"/>
      <c r="BQ152" s="337"/>
      <c r="BR152" s="338" t="s">
        <v>32</v>
      </c>
      <c r="BS152" s="338" t="s">
        <v>33</v>
      </c>
      <c r="BT152" s="338"/>
      <c r="BU152" s="338"/>
      <c r="BV152" s="338"/>
      <c r="BW152" s="338" t="str">
        <f>"Tahun "&amp;CF$6</f>
        <v>Tahun 2014</v>
      </c>
      <c r="BX152" s="338"/>
      <c r="BY152" s="339"/>
      <c r="BZ152" s="329"/>
      <c r="CA152" s="329"/>
      <c r="CB152" s="329"/>
      <c r="CC152" s="329"/>
      <c r="CD152" s="329"/>
      <c r="CE152" s="329"/>
      <c r="CF152" s="329"/>
      <c r="CG152" s="330"/>
      <c r="CH152" s="337"/>
      <c r="CI152" s="338" t="s">
        <v>32</v>
      </c>
      <c r="CJ152" s="338" t="s">
        <v>33</v>
      </c>
      <c r="CK152" s="338"/>
      <c r="CL152" s="338"/>
      <c r="CM152" s="338"/>
      <c r="CN152" s="338" t="str">
        <f>"Tahun "&amp;CW$6</f>
        <v>Tahun 2015</v>
      </c>
      <c r="CO152" s="338"/>
      <c r="CP152" s="339"/>
      <c r="CQ152" s="329"/>
      <c r="CR152" s="329"/>
      <c r="CS152" s="329"/>
      <c r="CT152" s="329"/>
      <c r="CU152" s="329"/>
      <c r="CV152" s="329"/>
      <c r="CW152" s="329"/>
      <c r="CX152" s="330"/>
      <c r="CY152" s="337"/>
      <c r="CZ152" s="338" t="s">
        <v>32</v>
      </c>
      <c r="DA152" s="338" t="s">
        <v>33</v>
      </c>
      <c r="DB152" s="338"/>
      <c r="DC152" s="338"/>
      <c r="DD152" s="338"/>
      <c r="DE152" s="338" t="str">
        <f>"Tahun "&amp;DN$6</f>
        <v>Tahun 2016</v>
      </c>
      <c r="DF152" s="338"/>
      <c r="DG152" s="339"/>
      <c r="DH152" s="329"/>
      <c r="DI152" s="329"/>
      <c r="DJ152" s="329"/>
      <c r="DK152" s="329"/>
      <c r="DL152" s="329"/>
      <c r="DM152" s="329"/>
      <c r="DN152" s="329"/>
      <c r="DO152" s="330"/>
      <c r="DP152" s="337"/>
      <c r="DQ152" s="338" t="s">
        <v>32</v>
      </c>
      <c r="DR152" s="338" t="s">
        <v>33</v>
      </c>
      <c r="DS152" s="338"/>
      <c r="DT152" s="338"/>
      <c r="DU152" s="338"/>
      <c r="DV152" s="338" t="str">
        <f>"Tahun "&amp;EE$6</f>
        <v>Tahun 2017</v>
      </c>
      <c r="DW152" s="338"/>
      <c r="DX152" s="339"/>
      <c r="DY152" s="329"/>
      <c r="DZ152" s="329"/>
      <c r="EA152" s="329"/>
      <c r="EB152" s="329"/>
      <c r="EC152" s="329"/>
      <c r="ED152" s="329"/>
      <c r="EE152" s="329"/>
      <c r="EF152" s="330"/>
      <c r="EG152" s="337"/>
      <c r="EH152" s="338" t="s">
        <v>32</v>
      </c>
      <c r="EI152" s="338" t="s">
        <v>33</v>
      </c>
      <c r="EJ152" s="338"/>
      <c r="EK152" s="338"/>
      <c r="EL152" s="338"/>
      <c r="EM152" s="338" t="str">
        <f>"Tahun "&amp;EV$6</f>
        <v>Tahun 2018</v>
      </c>
      <c r="EN152" s="338"/>
      <c r="EO152" s="339"/>
      <c r="EP152" s="329"/>
      <c r="EQ152" s="329"/>
      <c r="ER152" s="329"/>
      <c r="ES152" s="329"/>
      <c r="ET152" s="329"/>
      <c r="EU152" s="329"/>
      <c r="EV152" s="329"/>
      <c r="EW152" s="330"/>
      <c r="EX152" s="337"/>
      <c r="EY152" s="338" t="s">
        <v>32</v>
      </c>
      <c r="EZ152" s="338" t="s">
        <v>33</v>
      </c>
      <c r="FA152" s="338"/>
      <c r="FB152" s="338"/>
      <c r="FC152" s="338"/>
      <c r="FD152" s="338" t="str">
        <f>"Tahun "&amp;FM$6</f>
        <v>Tahun 2019</v>
      </c>
      <c r="FE152" s="338"/>
      <c r="FF152" s="339"/>
      <c r="FG152" s="329"/>
      <c r="FH152" s="329"/>
      <c r="FI152" s="329"/>
      <c r="FJ152" s="329"/>
      <c r="FK152" s="329"/>
      <c r="FL152" s="329"/>
      <c r="FM152" s="329"/>
      <c r="FN152" s="330"/>
      <c r="FO152" s="337"/>
      <c r="FP152" s="338" t="s">
        <v>32</v>
      </c>
      <c r="FQ152" s="338" t="s">
        <v>33</v>
      </c>
      <c r="FR152" s="338"/>
      <c r="FS152" s="338"/>
      <c r="FT152" s="338"/>
      <c r="FU152" s="338" t="str">
        <f>"Tahun "&amp;GD$6</f>
        <v>Tahun 2020</v>
      </c>
      <c r="FV152" s="338"/>
      <c r="FW152" s="339"/>
      <c r="FX152" s="329"/>
      <c r="FY152" s="329"/>
      <c r="FZ152" s="329"/>
      <c r="GA152" s="329"/>
      <c r="GB152" s="329"/>
      <c r="GC152" s="329"/>
      <c r="GD152" s="329"/>
      <c r="GE152" s="330"/>
      <c r="GF152" s="337"/>
      <c r="GG152" s="338" t="s">
        <v>32</v>
      </c>
      <c r="GH152" s="338" t="s">
        <v>33</v>
      </c>
      <c r="GI152" s="338"/>
      <c r="GJ152" s="338"/>
      <c r="GK152" s="338"/>
      <c r="GL152" s="338" t="str">
        <f>"Tahun "&amp;GU$6</f>
        <v>Tahun 2021</v>
      </c>
      <c r="GM152" s="338"/>
      <c r="GN152" s="339"/>
      <c r="GO152" s="329"/>
      <c r="GP152" s="329"/>
      <c r="GQ152" s="329"/>
      <c r="GR152" s="329"/>
      <c r="GS152" s="329"/>
      <c r="GT152" s="329"/>
      <c r="GU152" s="329"/>
      <c r="GV152" s="330"/>
      <c r="GW152" s="337"/>
      <c r="GX152" s="338" t="s">
        <v>32</v>
      </c>
      <c r="GY152" s="338" t="s">
        <v>33</v>
      </c>
      <c r="GZ152" s="338"/>
      <c r="HA152" s="338"/>
      <c r="HB152" s="338"/>
      <c r="HC152" s="338" t="str">
        <f>"Tahun "&amp;HL$6</f>
        <v>Tahun 2022</v>
      </c>
      <c r="HD152" s="338"/>
      <c r="HE152" s="339"/>
      <c r="HF152" s="329"/>
      <c r="HG152" s="329"/>
      <c r="HH152" s="329"/>
      <c r="HI152" s="329"/>
      <c r="HJ152" s="329"/>
      <c r="HK152" s="329"/>
      <c r="HL152" s="329"/>
      <c r="HM152" s="330"/>
      <c r="HN152" s="337"/>
      <c r="HO152" s="338" t="s">
        <v>32</v>
      </c>
      <c r="HP152" s="338" t="s">
        <v>33</v>
      </c>
      <c r="HQ152" s="338"/>
      <c r="HR152" s="338"/>
      <c r="HS152" s="338"/>
      <c r="HT152" s="338" t="str">
        <f>"Tahun "&amp;IC$6</f>
        <v>Tahun 2023</v>
      </c>
      <c r="HU152" s="338"/>
      <c r="HV152" s="339"/>
      <c r="HW152" s="329"/>
      <c r="HX152" s="329"/>
      <c r="HY152" s="329"/>
      <c r="HZ152" s="329"/>
      <c r="IA152" s="329"/>
      <c r="IB152" s="329"/>
      <c r="IC152" s="329"/>
      <c r="ID152" s="330"/>
      <c r="IE152" s="337"/>
      <c r="IF152" s="338" t="s">
        <v>32</v>
      </c>
      <c r="IG152" s="338" t="s">
        <v>33</v>
      </c>
      <c r="IH152" s="338"/>
      <c r="II152" s="338"/>
      <c r="IJ152" s="338"/>
      <c r="IK152" s="338" t="str">
        <f>"Tahun "&amp;IT$6</f>
        <v>Tahun 2024</v>
      </c>
      <c r="IL152" s="338"/>
      <c r="IM152" s="339"/>
      <c r="IN152" s="329"/>
      <c r="IO152" s="329"/>
      <c r="IP152" s="329"/>
      <c r="IQ152" s="329"/>
      <c r="IR152" s="329"/>
      <c r="IS152" s="329"/>
      <c r="IT152" s="329"/>
      <c r="IU152" s="330"/>
      <c r="IV152" s="337"/>
      <c r="IW152" s="338" t="s">
        <v>32</v>
      </c>
      <c r="IX152" s="338" t="s">
        <v>33</v>
      </c>
      <c r="IY152" s="338"/>
      <c r="IZ152" s="338"/>
      <c r="JA152" s="338"/>
      <c r="JB152" s="338" t="str">
        <f>"Tahun "&amp;JK$6</f>
        <v>Tahun 2025</v>
      </c>
      <c r="JC152" s="338"/>
      <c r="JD152" s="339"/>
      <c r="JE152" s="329"/>
      <c r="JF152" s="329"/>
      <c r="JG152" s="329"/>
      <c r="JH152" s="329"/>
      <c r="JI152" s="329"/>
      <c r="JJ152" s="329"/>
      <c r="JK152" s="329"/>
      <c r="JL152" s="330"/>
      <c r="JM152" s="337"/>
      <c r="JN152" s="338" t="s">
        <v>32</v>
      </c>
      <c r="JO152" s="338" t="s">
        <v>33</v>
      </c>
      <c r="JP152" s="338"/>
      <c r="JQ152" s="338"/>
      <c r="JR152" s="338"/>
      <c r="JS152" s="338" t="str">
        <f>"Tahun "&amp;KB$6</f>
        <v>Tahun 2026</v>
      </c>
      <c r="JT152" s="338"/>
      <c r="JU152" s="339"/>
      <c r="JV152" s="329"/>
      <c r="JW152" s="329"/>
      <c r="JX152" s="329"/>
      <c r="JY152" s="329"/>
      <c r="JZ152" s="329"/>
      <c r="KA152" s="329"/>
      <c r="KB152" s="329"/>
      <c r="KC152" s="330"/>
      <c r="KD152" s="337"/>
      <c r="KE152" s="338" t="s">
        <v>32</v>
      </c>
      <c r="KF152" s="338" t="s">
        <v>33</v>
      </c>
      <c r="KG152" s="338"/>
      <c r="KH152" s="338"/>
      <c r="KI152" s="338"/>
      <c r="KJ152" s="338" t="str">
        <f>"Tahun "&amp;KS$6</f>
        <v>Tahun 2027</v>
      </c>
      <c r="KK152" s="338"/>
      <c r="KL152" s="339"/>
      <c r="KM152" s="329"/>
      <c r="KN152" s="329"/>
      <c r="KO152" s="329"/>
      <c r="KP152" s="329"/>
      <c r="KQ152" s="329"/>
      <c r="KR152" s="329"/>
      <c r="KS152" s="329"/>
      <c r="KT152" s="330"/>
      <c r="KU152" s="329"/>
    </row>
    <row r="153" ht="15.75" customHeight="1">
      <c r="A153" s="340"/>
      <c r="B153" s="341"/>
      <c r="C153" s="341"/>
      <c r="D153" s="341"/>
      <c r="E153" s="341"/>
      <c r="F153" s="341"/>
      <c r="G153" s="341"/>
      <c r="H153" s="341"/>
      <c r="I153" s="341"/>
      <c r="J153" s="341"/>
      <c r="K153" s="341"/>
      <c r="L153" s="341"/>
      <c r="M153" s="341"/>
      <c r="N153" s="341"/>
      <c r="O153" s="341"/>
      <c r="P153" s="341"/>
      <c r="Q153" s="342"/>
      <c r="R153" s="340"/>
      <c r="S153" s="341"/>
      <c r="T153" s="341"/>
      <c r="U153" s="341"/>
      <c r="V153" s="341"/>
      <c r="W153" s="341"/>
      <c r="X153" s="341"/>
      <c r="Y153" s="341"/>
      <c r="Z153" s="341"/>
      <c r="AA153" s="341"/>
      <c r="AB153" s="341"/>
      <c r="AC153" s="341"/>
      <c r="AD153" s="341"/>
      <c r="AE153" s="341"/>
      <c r="AF153" s="341"/>
      <c r="AG153" s="341"/>
      <c r="AH153" s="342"/>
      <c r="AI153" s="340"/>
      <c r="AJ153" s="341"/>
      <c r="AK153" s="341"/>
      <c r="AL153" s="341"/>
      <c r="AM153" s="341"/>
      <c r="AN153" s="341"/>
      <c r="AO153" s="341"/>
      <c r="AP153" s="341"/>
      <c r="AQ153" s="341"/>
      <c r="AR153" s="341"/>
      <c r="AS153" s="341"/>
      <c r="AT153" s="341"/>
      <c r="AU153" s="341"/>
      <c r="AV153" s="341"/>
      <c r="AW153" s="341"/>
      <c r="AX153" s="341"/>
      <c r="AY153" s="342"/>
      <c r="AZ153" s="340"/>
      <c r="BA153" s="341"/>
      <c r="BB153" s="341"/>
      <c r="BC153" s="341"/>
      <c r="BD153" s="341"/>
      <c r="BE153" s="341"/>
      <c r="BF153" s="341"/>
      <c r="BG153" s="341"/>
      <c r="BH153" s="341"/>
      <c r="BI153" s="341"/>
      <c r="BJ153" s="341"/>
      <c r="BK153" s="341"/>
      <c r="BL153" s="341"/>
      <c r="BM153" s="341"/>
      <c r="BN153" s="341"/>
      <c r="BO153" s="341"/>
      <c r="BP153" s="342"/>
      <c r="BQ153" s="340"/>
      <c r="BR153" s="341"/>
      <c r="BS153" s="341"/>
      <c r="BT153" s="341"/>
      <c r="BU153" s="341"/>
      <c r="BV153" s="341"/>
      <c r="BW153" s="341"/>
      <c r="BX153" s="341"/>
      <c r="BY153" s="341"/>
      <c r="BZ153" s="341"/>
      <c r="CA153" s="341"/>
      <c r="CB153" s="341"/>
      <c r="CC153" s="341"/>
      <c r="CD153" s="341"/>
      <c r="CE153" s="341"/>
      <c r="CF153" s="341"/>
      <c r="CG153" s="342"/>
      <c r="CH153" s="340"/>
      <c r="CI153" s="341"/>
      <c r="CJ153" s="341"/>
      <c r="CK153" s="341"/>
      <c r="CL153" s="341"/>
      <c r="CM153" s="341"/>
      <c r="CN153" s="341"/>
      <c r="CO153" s="341"/>
      <c r="CP153" s="341"/>
      <c r="CQ153" s="341"/>
      <c r="CR153" s="341"/>
      <c r="CS153" s="341"/>
      <c r="CT153" s="341"/>
      <c r="CU153" s="341"/>
      <c r="CV153" s="341"/>
      <c r="CW153" s="341"/>
      <c r="CX153" s="342"/>
      <c r="CY153" s="340"/>
      <c r="CZ153" s="341"/>
      <c r="DA153" s="341"/>
      <c r="DB153" s="341"/>
      <c r="DC153" s="341"/>
      <c r="DD153" s="341"/>
      <c r="DE153" s="341"/>
      <c r="DF153" s="341"/>
      <c r="DG153" s="341"/>
      <c r="DH153" s="341"/>
      <c r="DI153" s="341"/>
      <c r="DJ153" s="341"/>
      <c r="DK153" s="341"/>
      <c r="DL153" s="341"/>
      <c r="DM153" s="341"/>
      <c r="DN153" s="341"/>
      <c r="DO153" s="342"/>
      <c r="DP153" s="340"/>
      <c r="DQ153" s="341"/>
      <c r="DR153" s="341"/>
      <c r="DS153" s="341"/>
      <c r="DT153" s="341"/>
      <c r="DU153" s="341"/>
      <c r="DV153" s="341"/>
      <c r="DW153" s="341"/>
      <c r="DX153" s="341"/>
      <c r="DY153" s="341"/>
      <c r="DZ153" s="341"/>
      <c r="EA153" s="341"/>
      <c r="EB153" s="341"/>
      <c r="EC153" s="341"/>
      <c r="ED153" s="341"/>
      <c r="EE153" s="341"/>
      <c r="EF153" s="342"/>
      <c r="EG153" s="340"/>
      <c r="EH153" s="341"/>
      <c r="EI153" s="341"/>
      <c r="EJ153" s="341"/>
      <c r="EK153" s="341"/>
      <c r="EL153" s="341"/>
      <c r="EM153" s="341"/>
      <c r="EN153" s="341"/>
      <c r="EO153" s="341"/>
      <c r="EP153" s="341"/>
      <c r="EQ153" s="341"/>
      <c r="ER153" s="341"/>
      <c r="ES153" s="341"/>
      <c r="ET153" s="341"/>
      <c r="EU153" s="341"/>
      <c r="EV153" s="341"/>
      <c r="EW153" s="342"/>
      <c r="EX153" s="340"/>
      <c r="EY153" s="341"/>
      <c r="EZ153" s="341"/>
      <c r="FA153" s="341"/>
      <c r="FB153" s="341"/>
      <c r="FC153" s="341"/>
      <c r="FD153" s="341"/>
      <c r="FE153" s="341"/>
      <c r="FF153" s="341"/>
      <c r="FG153" s="341"/>
      <c r="FH153" s="341"/>
      <c r="FI153" s="341"/>
      <c r="FJ153" s="341"/>
      <c r="FK153" s="341"/>
      <c r="FL153" s="341"/>
      <c r="FM153" s="341"/>
      <c r="FN153" s="342"/>
      <c r="FO153" s="340"/>
      <c r="FP153" s="341"/>
      <c r="FQ153" s="341"/>
      <c r="FR153" s="341"/>
      <c r="FS153" s="341"/>
      <c r="FT153" s="341"/>
      <c r="FU153" s="341"/>
      <c r="FV153" s="341"/>
      <c r="FW153" s="341"/>
      <c r="FX153" s="341"/>
      <c r="FY153" s="341"/>
      <c r="FZ153" s="341"/>
      <c r="GA153" s="341"/>
      <c r="GB153" s="341"/>
      <c r="GC153" s="341"/>
      <c r="GD153" s="341"/>
      <c r="GE153" s="342"/>
      <c r="GF153" s="340"/>
      <c r="GG153" s="341"/>
      <c r="GH153" s="341"/>
      <c r="GI153" s="341"/>
      <c r="GJ153" s="341"/>
      <c r="GK153" s="341"/>
      <c r="GL153" s="341"/>
      <c r="GM153" s="341"/>
      <c r="GN153" s="341"/>
      <c r="GO153" s="341"/>
      <c r="GP153" s="341"/>
      <c r="GQ153" s="341"/>
      <c r="GR153" s="341"/>
      <c r="GS153" s="341"/>
      <c r="GT153" s="341"/>
      <c r="GU153" s="341"/>
      <c r="GV153" s="342"/>
      <c r="GW153" s="340"/>
      <c r="GX153" s="341"/>
      <c r="GY153" s="341"/>
      <c r="GZ153" s="341"/>
      <c r="HA153" s="341"/>
      <c r="HB153" s="341"/>
      <c r="HC153" s="341"/>
      <c r="HD153" s="341"/>
      <c r="HE153" s="341"/>
      <c r="HF153" s="341"/>
      <c r="HG153" s="341"/>
      <c r="HH153" s="341"/>
      <c r="HI153" s="341"/>
      <c r="HJ153" s="341"/>
      <c r="HK153" s="341"/>
      <c r="HL153" s="341"/>
      <c r="HM153" s="342"/>
      <c r="HN153" s="340"/>
      <c r="HO153" s="341"/>
      <c r="HP153" s="341"/>
      <c r="HQ153" s="341"/>
      <c r="HR153" s="341"/>
      <c r="HS153" s="341"/>
      <c r="HT153" s="341"/>
      <c r="HU153" s="341"/>
      <c r="HV153" s="341"/>
      <c r="HW153" s="341"/>
      <c r="HX153" s="341"/>
      <c r="HY153" s="341"/>
      <c r="HZ153" s="341"/>
      <c r="IA153" s="341"/>
      <c r="IB153" s="341"/>
      <c r="IC153" s="341"/>
      <c r="ID153" s="342"/>
      <c r="IE153" s="340"/>
      <c r="IF153" s="341"/>
      <c r="IG153" s="341"/>
      <c r="IH153" s="341"/>
      <c r="II153" s="341"/>
      <c r="IJ153" s="341"/>
      <c r="IK153" s="341"/>
      <c r="IL153" s="341"/>
      <c r="IM153" s="341"/>
      <c r="IN153" s="341"/>
      <c r="IO153" s="341"/>
      <c r="IP153" s="341"/>
      <c r="IQ153" s="341"/>
      <c r="IR153" s="341"/>
      <c r="IS153" s="341"/>
      <c r="IT153" s="341"/>
      <c r="IU153" s="342"/>
      <c r="IV153" s="340"/>
      <c r="IW153" s="341"/>
      <c r="IX153" s="341"/>
      <c r="IY153" s="341"/>
      <c r="IZ153" s="341"/>
      <c r="JA153" s="341"/>
      <c r="JB153" s="341"/>
      <c r="JC153" s="341"/>
      <c r="JD153" s="341"/>
      <c r="JE153" s="341"/>
      <c r="JF153" s="341"/>
      <c r="JG153" s="341"/>
      <c r="JH153" s="341"/>
      <c r="JI153" s="341"/>
      <c r="JJ153" s="341"/>
      <c r="JK153" s="341"/>
      <c r="JL153" s="342"/>
      <c r="JM153" s="340"/>
      <c r="JN153" s="341"/>
      <c r="JO153" s="341"/>
      <c r="JP153" s="341"/>
      <c r="JQ153" s="341"/>
      <c r="JR153" s="341"/>
      <c r="JS153" s="341"/>
      <c r="JT153" s="341"/>
      <c r="JU153" s="341"/>
      <c r="JV153" s="341"/>
      <c r="JW153" s="341"/>
      <c r="JX153" s="341"/>
      <c r="JY153" s="341"/>
      <c r="JZ153" s="341"/>
      <c r="KA153" s="341"/>
      <c r="KB153" s="341"/>
      <c r="KC153" s="342"/>
      <c r="KD153" s="340"/>
      <c r="KE153" s="341"/>
      <c r="KF153" s="341"/>
      <c r="KG153" s="341"/>
      <c r="KH153" s="341"/>
      <c r="KI153" s="341"/>
      <c r="KJ153" s="341"/>
      <c r="KK153" s="341"/>
      <c r="KL153" s="341"/>
      <c r="KM153" s="341"/>
      <c r="KN153" s="341"/>
      <c r="KO153" s="341"/>
      <c r="KP153" s="341"/>
      <c r="KQ153" s="341"/>
      <c r="KR153" s="341"/>
      <c r="KS153" s="341"/>
      <c r="KT153" s="342"/>
      <c r="KU153" s="341"/>
    </row>
    <row r="154" ht="33.75" customHeight="1">
      <c r="A154" s="343" t="s">
        <v>34</v>
      </c>
      <c r="B154" s="344" t="s">
        <v>35</v>
      </c>
      <c r="C154" s="345" t="s">
        <v>36</v>
      </c>
      <c r="D154" s="66"/>
      <c r="E154" s="66"/>
      <c r="F154" s="66"/>
      <c r="G154" s="67"/>
      <c r="H154" s="345" t="s">
        <v>37</v>
      </c>
      <c r="I154" s="67"/>
      <c r="J154" s="345" t="s">
        <v>38</v>
      </c>
      <c r="K154" s="66"/>
      <c r="L154" s="67"/>
      <c r="M154" s="344" t="s">
        <v>39</v>
      </c>
      <c r="N154" s="345" t="s">
        <v>40</v>
      </c>
      <c r="O154" s="67"/>
      <c r="P154" s="346" t="s">
        <v>41</v>
      </c>
      <c r="Q154" s="347"/>
      <c r="R154" s="343" t="s">
        <v>34</v>
      </c>
      <c r="S154" s="344" t="s">
        <v>35</v>
      </c>
      <c r="T154" s="345" t="s">
        <v>36</v>
      </c>
      <c r="U154" s="66"/>
      <c r="V154" s="66"/>
      <c r="W154" s="66"/>
      <c r="X154" s="67"/>
      <c r="Y154" s="345" t="s">
        <v>37</v>
      </c>
      <c r="Z154" s="67"/>
      <c r="AA154" s="345" t="s">
        <v>38</v>
      </c>
      <c r="AB154" s="66"/>
      <c r="AC154" s="67"/>
      <c r="AD154" s="344" t="s">
        <v>39</v>
      </c>
      <c r="AE154" s="345" t="s">
        <v>40</v>
      </c>
      <c r="AF154" s="67"/>
      <c r="AG154" s="346" t="s">
        <v>41</v>
      </c>
      <c r="AH154" s="347"/>
      <c r="AI154" s="343" t="s">
        <v>34</v>
      </c>
      <c r="AJ154" s="344" t="s">
        <v>35</v>
      </c>
      <c r="AK154" s="345" t="s">
        <v>36</v>
      </c>
      <c r="AL154" s="66"/>
      <c r="AM154" s="66"/>
      <c r="AN154" s="66"/>
      <c r="AO154" s="67"/>
      <c r="AP154" s="345" t="s">
        <v>37</v>
      </c>
      <c r="AQ154" s="67"/>
      <c r="AR154" s="345" t="s">
        <v>38</v>
      </c>
      <c r="AS154" s="66"/>
      <c r="AT154" s="67"/>
      <c r="AU154" s="344" t="s">
        <v>39</v>
      </c>
      <c r="AV154" s="345" t="s">
        <v>40</v>
      </c>
      <c r="AW154" s="67"/>
      <c r="AX154" s="346" t="s">
        <v>41</v>
      </c>
      <c r="AY154" s="347"/>
      <c r="AZ154" s="343" t="s">
        <v>34</v>
      </c>
      <c r="BA154" s="344" t="s">
        <v>35</v>
      </c>
      <c r="BB154" s="345" t="s">
        <v>36</v>
      </c>
      <c r="BC154" s="66"/>
      <c r="BD154" s="66"/>
      <c r="BE154" s="66"/>
      <c r="BF154" s="67"/>
      <c r="BG154" s="345" t="s">
        <v>37</v>
      </c>
      <c r="BH154" s="67"/>
      <c r="BI154" s="345" t="s">
        <v>38</v>
      </c>
      <c r="BJ154" s="66"/>
      <c r="BK154" s="67"/>
      <c r="BL154" s="344" t="s">
        <v>39</v>
      </c>
      <c r="BM154" s="345" t="s">
        <v>40</v>
      </c>
      <c r="BN154" s="67"/>
      <c r="BO154" s="346" t="s">
        <v>41</v>
      </c>
      <c r="BP154" s="347"/>
      <c r="BQ154" s="343" t="s">
        <v>34</v>
      </c>
      <c r="BR154" s="344" t="s">
        <v>35</v>
      </c>
      <c r="BS154" s="345" t="s">
        <v>36</v>
      </c>
      <c r="BT154" s="66"/>
      <c r="BU154" s="66"/>
      <c r="BV154" s="66"/>
      <c r="BW154" s="67"/>
      <c r="BX154" s="345" t="s">
        <v>37</v>
      </c>
      <c r="BY154" s="67"/>
      <c r="BZ154" s="345" t="s">
        <v>38</v>
      </c>
      <c r="CA154" s="66"/>
      <c r="CB154" s="67"/>
      <c r="CC154" s="344" t="s">
        <v>39</v>
      </c>
      <c r="CD154" s="345" t="s">
        <v>40</v>
      </c>
      <c r="CE154" s="67"/>
      <c r="CF154" s="346" t="s">
        <v>41</v>
      </c>
      <c r="CG154" s="347"/>
      <c r="CH154" s="343" t="s">
        <v>34</v>
      </c>
      <c r="CI154" s="344" t="s">
        <v>35</v>
      </c>
      <c r="CJ154" s="345" t="s">
        <v>36</v>
      </c>
      <c r="CK154" s="66"/>
      <c r="CL154" s="66"/>
      <c r="CM154" s="66"/>
      <c r="CN154" s="67"/>
      <c r="CO154" s="345" t="s">
        <v>37</v>
      </c>
      <c r="CP154" s="67"/>
      <c r="CQ154" s="345" t="s">
        <v>38</v>
      </c>
      <c r="CR154" s="66"/>
      <c r="CS154" s="67"/>
      <c r="CT154" s="344" t="s">
        <v>39</v>
      </c>
      <c r="CU154" s="345" t="s">
        <v>40</v>
      </c>
      <c r="CV154" s="67"/>
      <c r="CW154" s="346" t="s">
        <v>41</v>
      </c>
      <c r="CX154" s="347"/>
      <c r="CY154" s="343" t="s">
        <v>34</v>
      </c>
      <c r="CZ154" s="344" t="s">
        <v>35</v>
      </c>
      <c r="DA154" s="345" t="s">
        <v>36</v>
      </c>
      <c r="DB154" s="66"/>
      <c r="DC154" s="66"/>
      <c r="DD154" s="66"/>
      <c r="DE154" s="67"/>
      <c r="DF154" s="345" t="s">
        <v>37</v>
      </c>
      <c r="DG154" s="67"/>
      <c r="DH154" s="345" t="s">
        <v>38</v>
      </c>
      <c r="DI154" s="66"/>
      <c r="DJ154" s="67"/>
      <c r="DK154" s="344" t="s">
        <v>39</v>
      </c>
      <c r="DL154" s="345" t="s">
        <v>40</v>
      </c>
      <c r="DM154" s="67"/>
      <c r="DN154" s="346" t="s">
        <v>41</v>
      </c>
      <c r="DO154" s="347"/>
      <c r="DP154" s="343" t="s">
        <v>34</v>
      </c>
      <c r="DQ154" s="344" t="s">
        <v>35</v>
      </c>
      <c r="DR154" s="345" t="s">
        <v>36</v>
      </c>
      <c r="DS154" s="66"/>
      <c r="DT154" s="66"/>
      <c r="DU154" s="66"/>
      <c r="DV154" s="67"/>
      <c r="DW154" s="345" t="s">
        <v>37</v>
      </c>
      <c r="DX154" s="67"/>
      <c r="DY154" s="345" t="s">
        <v>38</v>
      </c>
      <c r="DZ154" s="66"/>
      <c r="EA154" s="67"/>
      <c r="EB154" s="344" t="s">
        <v>39</v>
      </c>
      <c r="EC154" s="345" t="s">
        <v>40</v>
      </c>
      <c r="ED154" s="67"/>
      <c r="EE154" s="346" t="s">
        <v>41</v>
      </c>
      <c r="EF154" s="347"/>
      <c r="EG154" s="343" t="s">
        <v>34</v>
      </c>
      <c r="EH154" s="344" t="s">
        <v>35</v>
      </c>
      <c r="EI154" s="345" t="s">
        <v>36</v>
      </c>
      <c r="EJ154" s="66"/>
      <c r="EK154" s="66"/>
      <c r="EL154" s="66"/>
      <c r="EM154" s="67"/>
      <c r="EN154" s="345" t="s">
        <v>37</v>
      </c>
      <c r="EO154" s="67"/>
      <c r="EP154" s="345" t="s">
        <v>38</v>
      </c>
      <c r="EQ154" s="66"/>
      <c r="ER154" s="67"/>
      <c r="ES154" s="344" t="s">
        <v>39</v>
      </c>
      <c r="ET154" s="345" t="s">
        <v>40</v>
      </c>
      <c r="EU154" s="67"/>
      <c r="EV154" s="346" t="s">
        <v>41</v>
      </c>
      <c r="EW154" s="347"/>
      <c r="EX154" s="343" t="s">
        <v>34</v>
      </c>
      <c r="EY154" s="344" t="s">
        <v>35</v>
      </c>
      <c r="EZ154" s="345" t="s">
        <v>36</v>
      </c>
      <c r="FA154" s="66"/>
      <c r="FB154" s="66"/>
      <c r="FC154" s="66"/>
      <c r="FD154" s="67"/>
      <c r="FE154" s="345" t="s">
        <v>37</v>
      </c>
      <c r="FF154" s="67"/>
      <c r="FG154" s="345" t="s">
        <v>38</v>
      </c>
      <c r="FH154" s="66"/>
      <c r="FI154" s="67"/>
      <c r="FJ154" s="344" t="s">
        <v>39</v>
      </c>
      <c r="FK154" s="345" t="s">
        <v>40</v>
      </c>
      <c r="FL154" s="67"/>
      <c r="FM154" s="346" t="s">
        <v>41</v>
      </c>
      <c r="FN154" s="347"/>
      <c r="FO154" s="343" t="s">
        <v>34</v>
      </c>
      <c r="FP154" s="344" t="s">
        <v>35</v>
      </c>
      <c r="FQ154" s="345" t="s">
        <v>36</v>
      </c>
      <c r="FR154" s="66"/>
      <c r="FS154" s="66"/>
      <c r="FT154" s="66"/>
      <c r="FU154" s="67"/>
      <c r="FV154" s="345" t="s">
        <v>37</v>
      </c>
      <c r="FW154" s="67"/>
      <c r="FX154" s="345" t="s">
        <v>38</v>
      </c>
      <c r="FY154" s="66"/>
      <c r="FZ154" s="67"/>
      <c r="GA154" s="344" t="s">
        <v>39</v>
      </c>
      <c r="GB154" s="345" t="s">
        <v>40</v>
      </c>
      <c r="GC154" s="67"/>
      <c r="GD154" s="346" t="s">
        <v>41</v>
      </c>
      <c r="GE154" s="347"/>
      <c r="GF154" s="343" t="s">
        <v>34</v>
      </c>
      <c r="GG154" s="344" t="s">
        <v>35</v>
      </c>
      <c r="GH154" s="345" t="s">
        <v>36</v>
      </c>
      <c r="GI154" s="66"/>
      <c r="GJ154" s="66"/>
      <c r="GK154" s="66"/>
      <c r="GL154" s="67"/>
      <c r="GM154" s="345" t="s">
        <v>37</v>
      </c>
      <c r="GN154" s="67"/>
      <c r="GO154" s="345" t="s">
        <v>38</v>
      </c>
      <c r="GP154" s="66"/>
      <c r="GQ154" s="67"/>
      <c r="GR154" s="344" t="s">
        <v>39</v>
      </c>
      <c r="GS154" s="345" t="s">
        <v>40</v>
      </c>
      <c r="GT154" s="67"/>
      <c r="GU154" s="346" t="s">
        <v>41</v>
      </c>
      <c r="GV154" s="347"/>
      <c r="GW154" s="343" t="s">
        <v>34</v>
      </c>
      <c r="GX154" s="344" t="s">
        <v>35</v>
      </c>
      <c r="GY154" s="345" t="s">
        <v>36</v>
      </c>
      <c r="GZ154" s="66"/>
      <c r="HA154" s="66"/>
      <c r="HB154" s="66"/>
      <c r="HC154" s="67"/>
      <c r="HD154" s="345" t="s">
        <v>37</v>
      </c>
      <c r="HE154" s="67"/>
      <c r="HF154" s="345" t="s">
        <v>38</v>
      </c>
      <c r="HG154" s="66"/>
      <c r="HH154" s="67"/>
      <c r="HI154" s="344" t="s">
        <v>39</v>
      </c>
      <c r="HJ154" s="345" t="s">
        <v>40</v>
      </c>
      <c r="HK154" s="67"/>
      <c r="HL154" s="346" t="s">
        <v>41</v>
      </c>
      <c r="HM154" s="347"/>
      <c r="HN154" s="343" t="s">
        <v>34</v>
      </c>
      <c r="HO154" s="344" t="s">
        <v>35</v>
      </c>
      <c r="HP154" s="345" t="s">
        <v>36</v>
      </c>
      <c r="HQ154" s="66"/>
      <c r="HR154" s="66"/>
      <c r="HS154" s="66"/>
      <c r="HT154" s="67"/>
      <c r="HU154" s="345" t="s">
        <v>37</v>
      </c>
      <c r="HV154" s="67"/>
      <c r="HW154" s="345" t="s">
        <v>38</v>
      </c>
      <c r="HX154" s="66"/>
      <c r="HY154" s="67"/>
      <c r="HZ154" s="344" t="s">
        <v>39</v>
      </c>
      <c r="IA154" s="345" t="s">
        <v>40</v>
      </c>
      <c r="IB154" s="67"/>
      <c r="IC154" s="346" t="s">
        <v>41</v>
      </c>
      <c r="ID154" s="347"/>
      <c r="IE154" s="343" t="s">
        <v>34</v>
      </c>
      <c r="IF154" s="344" t="s">
        <v>35</v>
      </c>
      <c r="IG154" s="345" t="s">
        <v>36</v>
      </c>
      <c r="IH154" s="66"/>
      <c r="II154" s="66"/>
      <c r="IJ154" s="66"/>
      <c r="IK154" s="67"/>
      <c r="IL154" s="345" t="s">
        <v>37</v>
      </c>
      <c r="IM154" s="67"/>
      <c r="IN154" s="345" t="s">
        <v>38</v>
      </c>
      <c r="IO154" s="66"/>
      <c r="IP154" s="67"/>
      <c r="IQ154" s="344" t="s">
        <v>39</v>
      </c>
      <c r="IR154" s="345" t="s">
        <v>40</v>
      </c>
      <c r="IS154" s="67"/>
      <c r="IT154" s="346" t="s">
        <v>41</v>
      </c>
      <c r="IU154" s="347"/>
      <c r="IV154" s="343" t="s">
        <v>34</v>
      </c>
      <c r="IW154" s="344" t="s">
        <v>35</v>
      </c>
      <c r="IX154" s="345" t="s">
        <v>36</v>
      </c>
      <c r="IY154" s="66"/>
      <c r="IZ154" s="66"/>
      <c r="JA154" s="66"/>
      <c r="JB154" s="67"/>
      <c r="JC154" s="345" t="s">
        <v>37</v>
      </c>
      <c r="JD154" s="67"/>
      <c r="JE154" s="345" t="s">
        <v>38</v>
      </c>
      <c r="JF154" s="66"/>
      <c r="JG154" s="67"/>
      <c r="JH154" s="344" t="s">
        <v>39</v>
      </c>
      <c r="JI154" s="345" t="s">
        <v>40</v>
      </c>
      <c r="JJ154" s="67"/>
      <c r="JK154" s="346" t="s">
        <v>41</v>
      </c>
      <c r="JL154" s="348"/>
      <c r="JM154" s="343" t="s">
        <v>34</v>
      </c>
      <c r="JN154" s="344" t="s">
        <v>35</v>
      </c>
      <c r="JO154" s="345" t="s">
        <v>36</v>
      </c>
      <c r="JP154" s="66"/>
      <c r="JQ154" s="66"/>
      <c r="JR154" s="66"/>
      <c r="JS154" s="67"/>
      <c r="JT154" s="345" t="s">
        <v>37</v>
      </c>
      <c r="JU154" s="67"/>
      <c r="JV154" s="345" t="s">
        <v>38</v>
      </c>
      <c r="JW154" s="66"/>
      <c r="JX154" s="67"/>
      <c r="JY154" s="344" t="s">
        <v>39</v>
      </c>
      <c r="JZ154" s="345" t="s">
        <v>40</v>
      </c>
      <c r="KA154" s="67"/>
      <c r="KB154" s="346" t="s">
        <v>41</v>
      </c>
      <c r="KC154" s="348"/>
      <c r="KD154" s="343" t="s">
        <v>34</v>
      </c>
      <c r="KE154" s="344" t="s">
        <v>35</v>
      </c>
      <c r="KF154" s="345" t="s">
        <v>36</v>
      </c>
      <c r="KG154" s="66"/>
      <c r="KH154" s="66"/>
      <c r="KI154" s="66"/>
      <c r="KJ154" s="67"/>
      <c r="KK154" s="345" t="s">
        <v>37</v>
      </c>
      <c r="KL154" s="67"/>
      <c r="KM154" s="345" t="s">
        <v>38</v>
      </c>
      <c r="KN154" s="66"/>
      <c r="KO154" s="67"/>
      <c r="KP154" s="344" t="s">
        <v>39</v>
      </c>
      <c r="KQ154" s="345" t="s">
        <v>40</v>
      </c>
      <c r="KR154" s="67"/>
      <c r="KS154" s="346" t="s">
        <v>41</v>
      </c>
      <c r="KT154" s="348"/>
      <c r="KU154" s="349"/>
    </row>
    <row r="155" ht="66.0" customHeight="1">
      <c r="A155" s="72"/>
      <c r="B155" s="55"/>
      <c r="C155" s="350" t="s">
        <v>42</v>
      </c>
      <c r="D155" s="350" t="s">
        <v>43</v>
      </c>
      <c r="E155" s="350" t="s">
        <v>44</v>
      </c>
      <c r="F155" s="350" t="s">
        <v>45</v>
      </c>
      <c r="G155" s="350" t="s">
        <v>46</v>
      </c>
      <c r="H155" s="351" t="s">
        <v>47</v>
      </c>
      <c r="I155" s="350" t="s">
        <v>48</v>
      </c>
      <c r="J155" s="351" t="str">
        <f>"Total Biaya Perawatan "&amp;G151&amp;" (Juta Rp)"</f>
        <v>Total Biaya Perawatan Triwulan IV (Juta Rp)</v>
      </c>
      <c r="K155" s="350" t="str">
        <f>"Total Biaya Perawatan "&amp;G115&amp;" (Juta Rp)"</f>
        <v>Total Biaya Perawatan Triwulan III (Juta Rp)</v>
      </c>
      <c r="L155" s="350" t="s">
        <v>49</v>
      </c>
      <c r="M155" s="55"/>
      <c r="N155" s="351" t="s">
        <v>47</v>
      </c>
      <c r="O155" s="351" t="s">
        <v>50</v>
      </c>
      <c r="P155" s="75"/>
      <c r="Q155" s="347"/>
      <c r="R155" s="72"/>
      <c r="S155" s="55"/>
      <c r="T155" s="350" t="s">
        <v>42</v>
      </c>
      <c r="U155" s="350" t="s">
        <v>43</v>
      </c>
      <c r="V155" s="350" t="s">
        <v>44</v>
      </c>
      <c r="W155" s="350" t="s">
        <v>45</v>
      </c>
      <c r="X155" s="350" t="s">
        <v>46</v>
      </c>
      <c r="Y155" s="351" t="s">
        <v>47</v>
      </c>
      <c r="Z155" s="350" t="s">
        <v>48</v>
      </c>
      <c r="AA155" s="351" t="str">
        <f>"Total Biaya Perawatan "&amp;X151&amp;" (Juta Rp)"</f>
        <v>Total Biaya Perawatan Triwulan IV (Juta Rp)</v>
      </c>
      <c r="AB155" s="350" t="str">
        <f>"Total Biaya Perawatan "&amp;X115&amp;" (Juta Rp)"</f>
        <v>Total Biaya Perawatan Triwulan III (Juta Rp)</v>
      </c>
      <c r="AC155" s="350" t="s">
        <v>49</v>
      </c>
      <c r="AD155" s="55"/>
      <c r="AE155" s="351" t="s">
        <v>47</v>
      </c>
      <c r="AF155" s="351" t="s">
        <v>50</v>
      </c>
      <c r="AG155" s="75"/>
      <c r="AH155" s="347"/>
      <c r="AI155" s="72"/>
      <c r="AJ155" s="55"/>
      <c r="AK155" s="350" t="s">
        <v>42</v>
      </c>
      <c r="AL155" s="350" t="s">
        <v>43</v>
      </c>
      <c r="AM155" s="350" t="s">
        <v>44</v>
      </c>
      <c r="AN155" s="350" t="s">
        <v>45</v>
      </c>
      <c r="AO155" s="350" t="s">
        <v>46</v>
      </c>
      <c r="AP155" s="351" t="s">
        <v>47</v>
      </c>
      <c r="AQ155" s="350" t="s">
        <v>48</v>
      </c>
      <c r="AR155" s="351" t="str">
        <f>"Total Biaya Perawatan "&amp;AO151&amp;" (Juta Rp)"</f>
        <v>Total Biaya Perawatan Triwulan IV (Juta Rp)</v>
      </c>
      <c r="AS155" s="350" t="str">
        <f>"Total Biaya Perawatan "&amp;AO115&amp;" (Juta Rp)"</f>
        <v>Total Biaya Perawatan Triwulan III (Juta Rp)</v>
      </c>
      <c r="AT155" s="350" t="s">
        <v>49</v>
      </c>
      <c r="AU155" s="55"/>
      <c r="AV155" s="351" t="s">
        <v>47</v>
      </c>
      <c r="AW155" s="351" t="s">
        <v>50</v>
      </c>
      <c r="AX155" s="75"/>
      <c r="AY155" s="347"/>
      <c r="AZ155" s="72"/>
      <c r="BA155" s="55"/>
      <c r="BB155" s="350" t="s">
        <v>42</v>
      </c>
      <c r="BC155" s="350" t="s">
        <v>43</v>
      </c>
      <c r="BD155" s="350" t="s">
        <v>44</v>
      </c>
      <c r="BE155" s="350" t="s">
        <v>45</v>
      </c>
      <c r="BF155" s="350" t="s">
        <v>46</v>
      </c>
      <c r="BG155" s="351" t="s">
        <v>47</v>
      </c>
      <c r="BH155" s="350" t="s">
        <v>48</v>
      </c>
      <c r="BI155" s="351" t="str">
        <f>"Total Biaya Perawatan "&amp;BF151&amp;" (Juta Rp)"</f>
        <v>Total Biaya Perawatan Triwulan IV (Juta Rp)</v>
      </c>
      <c r="BJ155" s="350" t="str">
        <f>"Total Biaya Perawatan "&amp;BF115&amp;" (Juta Rp)"</f>
        <v>Total Biaya Perawatan Triwulan III (Juta Rp)</v>
      </c>
      <c r="BK155" s="350" t="s">
        <v>49</v>
      </c>
      <c r="BL155" s="55"/>
      <c r="BM155" s="351" t="s">
        <v>47</v>
      </c>
      <c r="BN155" s="351" t="s">
        <v>50</v>
      </c>
      <c r="BO155" s="75"/>
      <c r="BP155" s="347"/>
      <c r="BQ155" s="72"/>
      <c r="BR155" s="55"/>
      <c r="BS155" s="350" t="s">
        <v>42</v>
      </c>
      <c r="BT155" s="350" t="s">
        <v>43</v>
      </c>
      <c r="BU155" s="350" t="s">
        <v>44</v>
      </c>
      <c r="BV155" s="350" t="s">
        <v>45</v>
      </c>
      <c r="BW155" s="350" t="s">
        <v>46</v>
      </c>
      <c r="BX155" s="351" t="s">
        <v>47</v>
      </c>
      <c r="BY155" s="350" t="s">
        <v>48</v>
      </c>
      <c r="BZ155" s="351" t="str">
        <f>"Total Biaya Perawatan "&amp;BW151&amp;" (Juta Rp)"</f>
        <v>Total Biaya Perawatan Triwulan IV (Juta Rp)</v>
      </c>
      <c r="CA155" s="350" t="str">
        <f>"Total Biaya Perawatan "&amp;BW115&amp;" (Juta Rp)"</f>
        <v>Total Biaya Perawatan Triwulan III (Juta Rp)</v>
      </c>
      <c r="CB155" s="350" t="s">
        <v>49</v>
      </c>
      <c r="CC155" s="55"/>
      <c r="CD155" s="351" t="s">
        <v>47</v>
      </c>
      <c r="CE155" s="351" t="s">
        <v>50</v>
      </c>
      <c r="CF155" s="75"/>
      <c r="CG155" s="347"/>
      <c r="CH155" s="72"/>
      <c r="CI155" s="55"/>
      <c r="CJ155" s="350" t="s">
        <v>42</v>
      </c>
      <c r="CK155" s="350" t="s">
        <v>43</v>
      </c>
      <c r="CL155" s="350" t="s">
        <v>44</v>
      </c>
      <c r="CM155" s="350" t="s">
        <v>45</v>
      </c>
      <c r="CN155" s="350" t="s">
        <v>46</v>
      </c>
      <c r="CO155" s="351" t="s">
        <v>47</v>
      </c>
      <c r="CP155" s="350" t="s">
        <v>48</v>
      </c>
      <c r="CQ155" s="351" t="str">
        <f>"Total Biaya Perawatan "&amp;CN151&amp;" (Juta Rp)"</f>
        <v>Total Biaya Perawatan Triwulan IV (Juta Rp)</v>
      </c>
      <c r="CR155" s="350" t="str">
        <f>"Total Biaya Perawatan "&amp;CN115&amp;" (Juta Rp)"</f>
        <v>Total Biaya Perawatan Triwulan III (Juta Rp)</v>
      </c>
      <c r="CS155" s="350" t="s">
        <v>49</v>
      </c>
      <c r="CT155" s="55"/>
      <c r="CU155" s="351" t="s">
        <v>47</v>
      </c>
      <c r="CV155" s="351" t="s">
        <v>50</v>
      </c>
      <c r="CW155" s="75"/>
      <c r="CX155" s="347"/>
      <c r="CY155" s="72"/>
      <c r="CZ155" s="55"/>
      <c r="DA155" s="350" t="s">
        <v>42</v>
      </c>
      <c r="DB155" s="350" t="s">
        <v>43</v>
      </c>
      <c r="DC155" s="350" t="s">
        <v>44</v>
      </c>
      <c r="DD155" s="350" t="s">
        <v>45</v>
      </c>
      <c r="DE155" s="350" t="s">
        <v>46</v>
      </c>
      <c r="DF155" s="351" t="s">
        <v>47</v>
      </c>
      <c r="DG155" s="350" t="s">
        <v>48</v>
      </c>
      <c r="DH155" s="351" t="str">
        <f>"Total Biaya Perawatan "&amp;DE151&amp;" (Juta Rp)"</f>
        <v>Total Biaya Perawatan Triwulan IV (Juta Rp)</v>
      </c>
      <c r="DI155" s="350" t="str">
        <f>"Total Biaya Perawatan "&amp;DE115&amp;" (Juta Rp)"</f>
        <v>Total Biaya Perawatan Triwulan III (Juta Rp)</v>
      </c>
      <c r="DJ155" s="350" t="s">
        <v>49</v>
      </c>
      <c r="DK155" s="55"/>
      <c r="DL155" s="351" t="s">
        <v>47</v>
      </c>
      <c r="DM155" s="351" t="s">
        <v>50</v>
      </c>
      <c r="DN155" s="75"/>
      <c r="DO155" s="347"/>
      <c r="DP155" s="72"/>
      <c r="DQ155" s="55"/>
      <c r="DR155" s="350" t="s">
        <v>42</v>
      </c>
      <c r="DS155" s="350" t="s">
        <v>43</v>
      </c>
      <c r="DT155" s="350" t="s">
        <v>44</v>
      </c>
      <c r="DU155" s="350" t="s">
        <v>45</v>
      </c>
      <c r="DV155" s="350" t="s">
        <v>46</v>
      </c>
      <c r="DW155" s="351" t="s">
        <v>47</v>
      </c>
      <c r="DX155" s="350" t="s">
        <v>48</v>
      </c>
      <c r="DY155" s="351" t="str">
        <f>"Total Biaya Perawatan "&amp;DV151&amp;" (Juta Rp)"</f>
        <v>Total Biaya Perawatan Triwulan IV (Juta Rp)</v>
      </c>
      <c r="DZ155" s="350" t="str">
        <f>"Total Biaya Perawatan "&amp;DV115&amp;" (Juta Rp)"</f>
        <v>Total Biaya Perawatan Triwulan III (Juta Rp)</v>
      </c>
      <c r="EA155" s="350" t="s">
        <v>49</v>
      </c>
      <c r="EB155" s="55"/>
      <c r="EC155" s="351" t="s">
        <v>47</v>
      </c>
      <c r="ED155" s="351" t="s">
        <v>50</v>
      </c>
      <c r="EE155" s="75"/>
      <c r="EF155" s="347"/>
      <c r="EG155" s="72"/>
      <c r="EH155" s="55"/>
      <c r="EI155" s="350" t="s">
        <v>42</v>
      </c>
      <c r="EJ155" s="350" t="s">
        <v>43</v>
      </c>
      <c r="EK155" s="350" t="s">
        <v>44</v>
      </c>
      <c r="EL155" s="350" t="s">
        <v>45</v>
      </c>
      <c r="EM155" s="350" t="s">
        <v>46</v>
      </c>
      <c r="EN155" s="351" t="s">
        <v>47</v>
      </c>
      <c r="EO155" s="350" t="s">
        <v>48</v>
      </c>
      <c r="EP155" s="351" t="str">
        <f>"Total Biaya Perawatan "&amp;EM151&amp;" (Juta Rp)"</f>
        <v>Total Biaya Perawatan Triwulan IV (Juta Rp)</v>
      </c>
      <c r="EQ155" s="350" t="str">
        <f>"Total Biaya Perawatan "&amp;EM115&amp;" (Juta Rp)"</f>
        <v>Total Biaya Perawatan Triwulan III (Juta Rp)</v>
      </c>
      <c r="ER155" s="350" t="s">
        <v>49</v>
      </c>
      <c r="ES155" s="55"/>
      <c r="ET155" s="351" t="s">
        <v>47</v>
      </c>
      <c r="EU155" s="351" t="s">
        <v>50</v>
      </c>
      <c r="EV155" s="75"/>
      <c r="EW155" s="347"/>
      <c r="EX155" s="72"/>
      <c r="EY155" s="55"/>
      <c r="EZ155" s="350" t="s">
        <v>42</v>
      </c>
      <c r="FA155" s="350" t="s">
        <v>43</v>
      </c>
      <c r="FB155" s="350" t="s">
        <v>44</v>
      </c>
      <c r="FC155" s="350" t="s">
        <v>45</v>
      </c>
      <c r="FD155" s="350" t="s">
        <v>46</v>
      </c>
      <c r="FE155" s="351" t="s">
        <v>47</v>
      </c>
      <c r="FF155" s="350" t="s">
        <v>48</v>
      </c>
      <c r="FG155" s="351" t="str">
        <f>"Total Biaya Perawatan "&amp;FD151&amp;" (Juta Rp)"</f>
        <v>Total Biaya Perawatan Triwulan IV (Juta Rp)</v>
      </c>
      <c r="FH155" s="350" t="str">
        <f>"Total Biaya Perawatan "&amp;FD115&amp;" (Juta Rp)"</f>
        <v>Total Biaya Perawatan Triwulan III (Juta Rp)</v>
      </c>
      <c r="FI155" s="350" t="s">
        <v>49</v>
      </c>
      <c r="FJ155" s="55"/>
      <c r="FK155" s="351" t="s">
        <v>47</v>
      </c>
      <c r="FL155" s="351" t="s">
        <v>50</v>
      </c>
      <c r="FM155" s="75"/>
      <c r="FN155" s="347"/>
      <c r="FO155" s="72"/>
      <c r="FP155" s="55"/>
      <c r="FQ155" s="350" t="s">
        <v>42</v>
      </c>
      <c r="FR155" s="350" t="s">
        <v>43</v>
      </c>
      <c r="FS155" s="350" t="s">
        <v>44</v>
      </c>
      <c r="FT155" s="350" t="s">
        <v>45</v>
      </c>
      <c r="FU155" s="350" t="s">
        <v>46</v>
      </c>
      <c r="FV155" s="351" t="s">
        <v>47</v>
      </c>
      <c r="FW155" s="350" t="s">
        <v>48</v>
      </c>
      <c r="FX155" s="351" t="str">
        <f>"Total Biaya Perawatan "&amp;FU151&amp;" (Juta Rp)"</f>
        <v>Total Biaya Perawatan Triwulan IV (Juta Rp)</v>
      </c>
      <c r="FY155" s="350" t="str">
        <f>"Total Biaya Perawatan "&amp;FU115&amp;" (Juta Rp)"</f>
        <v>Total Biaya Perawatan Triwulan III (Juta Rp)</v>
      </c>
      <c r="FZ155" s="350" t="s">
        <v>49</v>
      </c>
      <c r="GA155" s="55"/>
      <c r="GB155" s="351" t="s">
        <v>47</v>
      </c>
      <c r="GC155" s="351" t="s">
        <v>50</v>
      </c>
      <c r="GD155" s="75"/>
      <c r="GE155" s="347"/>
      <c r="GF155" s="72"/>
      <c r="GG155" s="55"/>
      <c r="GH155" s="350" t="s">
        <v>42</v>
      </c>
      <c r="GI155" s="350" t="s">
        <v>43</v>
      </c>
      <c r="GJ155" s="350" t="s">
        <v>44</v>
      </c>
      <c r="GK155" s="350" t="s">
        <v>45</v>
      </c>
      <c r="GL155" s="350" t="s">
        <v>46</v>
      </c>
      <c r="GM155" s="351" t="s">
        <v>47</v>
      </c>
      <c r="GN155" s="350" t="s">
        <v>48</v>
      </c>
      <c r="GO155" s="351" t="str">
        <f>"Total Biaya Perawatan "&amp;GL151&amp;" (Juta Rp)"</f>
        <v>Total Biaya Perawatan Triwulan IV (Juta Rp)</v>
      </c>
      <c r="GP155" s="350" t="str">
        <f>"Total Biaya Perawatan "&amp;GL115&amp;" (Juta Rp)"</f>
        <v>Total Biaya Perawatan Triwulan III (Juta Rp)</v>
      </c>
      <c r="GQ155" s="350" t="s">
        <v>49</v>
      </c>
      <c r="GR155" s="55"/>
      <c r="GS155" s="351" t="s">
        <v>47</v>
      </c>
      <c r="GT155" s="351" t="s">
        <v>50</v>
      </c>
      <c r="GU155" s="75"/>
      <c r="GV155" s="347"/>
      <c r="GW155" s="72"/>
      <c r="GX155" s="55"/>
      <c r="GY155" s="350" t="s">
        <v>42</v>
      </c>
      <c r="GZ155" s="350" t="s">
        <v>43</v>
      </c>
      <c r="HA155" s="350" t="s">
        <v>44</v>
      </c>
      <c r="HB155" s="350" t="s">
        <v>45</v>
      </c>
      <c r="HC155" s="350" t="s">
        <v>46</v>
      </c>
      <c r="HD155" s="351" t="s">
        <v>47</v>
      </c>
      <c r="HE155" s="350" t="s">
        <v>48</v>
      </c>
      <c r="HF155" s="351" t="str">
        <f>"Total Biaya Perawatan "&amp;HC151&amp;" (Juta Rp)"</f>
        <v>Total Biaya Perawatan Triwulan IV (Juta Rp)</v>
      </c>
      <c r="HG155" s="350" t="str">
        <f>"Total Biaya Perawatan "&amp;HC115&amp;" (Juta Rp)"</f>
        <v>Total Biaya Perawatan Triwulan III (Juta Rp)</v>
      </c>
      <c r="HH155" s="350" t="s">
        <v>49</v>
      </c>
      <c r="HI155" s="55"/>
      <c r="HJ155" s="351" t="s">
        <v>47</v>
      </c>
      <c r="HK155" s="351" t="s">
        <v>50</v>
      </c>
      <c r="HL155" s="75"/>
      <c r="HM155" s="347"/>
      <c r="HN155" s="72"/>
      <c r="HO155" s="55"/>
      <c r="HP155" s="350" t="s">
        <v>42</v>
      </c>
      <c r="HQ155" s="350" t="s">
        <v>43</v>
      </c>
      <c r="HR155" s="350" t="s">
        <v>44</v>
      </c>
      <c r="HS155" s="350" t="s">
        <v>45</v>
      </c>
      <c r="HT155" s="350" t="s">
        <v>46</v>
      </c>
      <c r="HU155" s="351" t="s">
        <v>47</v>
      </c>
      <c r="HV155" s="350" t="s">
        <v>48</v>
      </c>
      <c r="HW155" s="351" t="str">
        <f>"Total Biaya Perawatan "&amp;HT151&amp;" (Juta Rp)"</f>
        <v>Total Biaya Perawatan Triwulan IV (Juta Rp)</v>
      </c>
      <c r="HX155" s="350" t="str">
        <f>"Total Biaya Perawatan "&amp;HT115&amp;" (Juta Rp)"</f>
        <v>Total Biaya Perawatan Triwulan III (Juta Rp)</v>
      </c>
      <c r="HY155" s="350" t="s">
        <v>49</v>
      </c>
      <c r="HZ155" s="55"/>
      <c r="IA155" s="351" t="s">
        <v>47</v>
      </c>
      <c r="IB155" s="351" t="s">
        <v>50</v>
      </c>
      <c r="IC155" s="75"/>
      <c r="ID155" s="347"/>
      <c r="IE155" s="72"/>
      <c r="IF155" s="55"/>
      <c r="IG155" s="350" t="s">
        <v>42</v>
      </c>
      <c r="IH155" s="350" t="s">
        <v>43</v>
      </c>
      <c r="II155" s="350" t="s">
        <v>44</v>
      </c>
      <c r="IJ155" s="350" t="s">
        <v>45</v>
      </c>
      <c r="IK155" s="350" t="s">
        <v>46</v>
      </c>
      <c r="IL155" s="351" t="s">
        <v>47</v>
      </c>
      <c r="IM155" s="350" t="s">
        <v>48</v>
      </c>
      <c r="IN155" s="351" t="str">
        <f>"Total Biaya Perawatan "&amp;IK151&amp;" (Juta Rp)"</f>
        <v>Total Biaya Perawatan Triwulan IV (Juta Rp)</v>
      </c>
      <c r="IO155" s="350" t="str">
        <f>"Total Biaya Perawatan "&amp;IK115&amp;" (Juta Rp)"</f>
        <v>Total Biaya Perawatan Triwulan III (Juta Rp)</v>
      </c>
      <c r="IP155" s="350" t="s">
        <v>49</v>
      </c>
      <c r="IQ155" s="55"/>
      <c r="IR155" s="351" t="s">
        <v>47</v>
      </c>
      <c r="IS155" s="351" t="s">
        <v>50</v>
      </c>
      <c r="IT155" s="75"/>
      <c r="IU155" s="347"/>
      <c r="IV155" s="72"/>
      <c r="IW155" s="55"/>
      <c r="IX155" s="350" t="s">
        <v>42</v>
      </c>
      <c r="IY155" s="350" t="s">
        <v>43</v>
      </c>
      <c r="IZ155" s="350" t="s">
        <v>44</v>
      </c>
      <c r="JA155" s="350" t="s">
        <v>45</v>
      </c>
      <c r="JB155" s="350" t="s">
        <v>46</v>
      </c>
      <c r="JC155" s="351" t="s">
        <v>47</v>
      </c>
      <c r="JD155" s="350" t="s">
        <v>48</v>
      </c>
      <c r="JE155" s="351" t="str">
        <f>"Total Biaya Perawatan "&amp;JB151&amp;" (Juta Rp)"</f>
        <v>Total Biaya Perawatan Triwulan IV (Juta Rp)</v>
      </c>
      <c r="JF155" s="350" t="str">
        <f>"Total Biaya Perawatan "&amp;JB115&amp;" (Juta Rp)"</f>
        <v>Total Biaya Perawatan Triwulan III (Juta Rp)</v>
      </c>
      <c r="JG155" s="350" t="s">
        <v>49</v>
      </c>
      <c r="JH155" s="55"/>
      <c r="JI155" s="351" t="s">
        <v>47</v>
      </c>
      <c r="JJ155" s="351" t="s">
        <v>50</v>
      </c>
      <c r="JK155" s="75"/>
      <c r="JL155" s="348"/>
      <c r="JM155" s="72"/>
      <c r="JN155" s="55"/>
      <c r="JO155" s="350" t="s">
        <v>42</v>
      </c>
      <c r="JP155" s="350" t="s">
        <v>43</v>
      </c>
      <c r="JQ155" s="350" t="s">
        <v>44</v>
      </c>
      <c r="JR155" s="350" t="s">
        <v>45</v>
      </c>
      <c r="JS155" s="350" t="s">
        <v>46</v>
      </c>
      <c r="JT155" s="351" t="s">
        <v>47</v>
      </c>
      <c r="JU155" s="350" t="s">
        <v>48</v>
      </c>
      <c r="JV155" s="351" t="str">
        <f>"Total Biaya Perawatan "&amp;JS151&amp;" (Juta Rp)"</f>
        <v>Total Biaya Perawatan Triwulan IV (Juta Rp)</v>
      </c>
      <c r="JW155" s="350" t="str">
        <f>"Total Biaya Perawatan "&amp;JS115&amp;" (Juta Rp)"</f>
        <v>Total Biaya Perawatan Triwulan III (Juta Rp)</v>
      </c>
      <c r="JX155" s="350" t="s">
        <v>49</v>
      </c>
      <c r="JY155" s="55"/>
      <c r="JZ155" s="351" t="s">
        <v>47</v>
      </c>
      <c r="KA155" s="351" t="s">
        <v>50</v>
      </c>
      <c r="KB155" s="75"/>
      <c r="KC155" s="348"/>
      <c r="KD155" s="72"/>
      <c r="KE155" s="55"/>
      <c r="KF155" s="350" t="s">
        <v>42</v>
      </c>
      <c r="KG155" s="350" t="s">
        <v>43</v>
      </c>
      <c r="KH155" s="350" t="s">
        <v>44</v>
      </c>
      <c r="KI155" s="350" t="s">
        <v>45</v>
      </c>
      <c r="KJ155" s="350" t="s">
        <v>46</v>
      </c>
      <c r="KK155" s="351" t="s">
        <v>47</v>
      </c>
      <c r="KL155" s="350" t="s">
        <v>48</v>
      </c>
      <c r="KM155" s="351" t="str">
        <f>"Total Biaya Perawatan "&amp;KJ151&amp;" (Juta Rp)"</f>
        <v>Total Biaya Perawatan Triwulan IV (Juta Rp)</v>
      </c>
      <c r="KN155" s="350" t="str">
        <f>"Total Biaya Perawatan "&amp;KJ115&amp;" (Juta Rp)"</f>
        <v>Total Biaya Perawatan Triwulan III (Juta Rp)</v>
      </c>
      <c r="KO155" s="350" t="s">
        <v>49</v>
      </c>
      <c r="KP155" s="55"/>
      <c r="KQ155" s="351" t="s">
        <v>47</v>
      </c>
      <c r="KR155" s="351" t="s">
        <v>50</v>
      </c>
      <c r="KS155" s="75"/>
      <c r="KT155" s="348"/>
      <c r="KU155" s="349"/>
    </row>
    <row r="156" ht="15.75" customHeight="1">
      <c r="A156" s="352">
        <v>-1.0</v>
      </c>
      <c r="B156" s="353">
        <v>-2.0</v>
      </c>
      <c r="C156" s="353">
        <v>-3.0</v>
      </c>
      <c r="D156" s="353">
        <v>-4.0</v>
      </c>
      <c r="E156" s="353">
        <v>-5.0</v>
      </c>
      <c r="F156" s="353">
        <v>-6.0</v>
      </c>
      <c r="G156" s="353">
        <v>-7.0</v>
      </c>
      <c r="H156" s="353">
        <v>-8.0</v>
      </c>
      <c r="I156" s="353">
        <v>-9.0</v>
      </c>
      <c r="J156" s="353">
        <v>-10.0</v>
      </c>
      <c r="K156" s="353">
        <v>-11.0</v>
      </c>
      <c r="L156" s="353">
        <v>-12.0</v>
      </c>
      <c r="M156" s="353">
        <v>-13.0</v>
      </c>
      <c r="N156" s="353">
        <v>-14.0</v>
      </c>
      <c r="O156" s="353">
        <v>-15.0</v>
      </c>
      <c r="P156" s="353">
        <v>-16.0</v>
      </c>
      <c r="Q156" s="354"/>
      <c r="R156" s="352">
        <v>-1.0</v>
      </c>
      <c r="S156" s="353">
        <v>-2.0</v>
      </c>
      <c r="T156" s="353">
        <v>-3.0</v>
      </c>
      <c r="U156" s="353">
        <v>-4.0</v>
      </c>
      <c r="V156" s="353">
        <v>-5.0</v>
      </c>
      <c r="W156" s="353">
        <v>-6.0</v>
      </c>
      <c r="X156" s="353">
        <v>-7.0</v>
      </c>
      <c r="Y156" s="353">
        <v>-8.0</v>
      </c>
      <c r="Z156" s="353">
        <v>-9.0</v>
      </c>
      <c r="AA156" s="353">
        <v>-10.0</v>
      </c>
      <c r="AB156" s="353">
        <v>-11.0</v>
      </c>
      <c r="AC156" s="353">
        <v>-12.0</v>
      </c>
      <c r="AD156" s="353">
        <v>-13.0</v>
      </c>
      <c r="AE156" s="353">
        <v>-14.0</v>
      </c>
      <c r="AF156" s="353">
        <v>-15.0</v>
      </c>
      <c r="AG156" s="353">
        <v>-16.0</v>
      </c>
      <c r="AH156" s="354"/>
      <c r="AI156" s="352">
        <v>-1.0</v>
      </c>
      <c r="AJ156" s="353">
        <v>-2.0</v>
      </c>
      <c r="AK156" s="353">
        <v>-3.0</v>
      </c>
      <c r="AL156" s="353">
        <v>-4.0</v>
      </c>
      <c r="AM156" s="353">
        <v>-5.0</v>
      </c>
      <c r="AN156" s="353">
        <v>-6.0</v>
      </c>
      <c r="AO156" s="353">
        <v>-7.0</v>
      </c>
      <c r="AP156" s="353">
        <v>-8.0</v>
      </c>
      <c r="AQ156" s="353">
        <v>-9.0</v>
      </c>
      <c r="AR156" s="353">
        <v>-10.0</v>
      </c>
      <c r="AS156" s="353">
        <v>-11.0</v>
      </c>
      <c r="AT156" s="353">
        <v>-12.0</v>
      </c>
      <c r="AU156" s="353">
        <v>-13.0</v>
      </c>
      <c r="AV156" s="353">
        <v>-14.0</v>
      </c>
      <c r="AW156" s="353">
        <v>-15.0</v>
      </c>
      <c r="AX156" s="353">
        <v>-16.0</v>
      </c>
      <c r="AY156" s="354"/>
      <c r="AZ156" s="352">
        <v>-1.0</v>
      </c>
      <c r="BA156" s="353">
        <v>-2.0</v>
      </c>
      <c r="BB156" s="353">
        <v>-3.0</v>
      </c>
      <c r="BC156" s="353">
        <v>-4.0</v>
      </c>
      <c r="BD156" s="353">
        <v>-5.0</v>
      </c>
      <c r="BE156" s="353">
        <v>-6.0</v>
      </c>
      <c r="BF156" s="353">
        <v>-7.0</v>
      </c>
      <c r="BG156" s="353">
        <v>-8.0</v>
      </c>
      <c r="BH156" s="353">
        <v>-9.0</v>
      </c>
      <c r="BI156" s="353">
        <v>-10.0</v>
      </c>
      <c r="BJ156" s="353">
        <v>-11.0</v>
      </c>
      <c r="BK156" s="353">
        <v>-12.0</v>
      </c>
      <c r="BL156" s="353">
        <v>-13.0</v>
      </c>
      <c r="BM156" s="353">
        <v>-14.0</v>
      </c>
      <c r="BN156" s="353">
        <v>-15.0</v>
      </c>
      <c r="BO156" s="353">
        <v>-16.0</v>
      </c>
      <c r="BP156" s="354"/>
      <c r="BQ156" s="352">
        <v>-1.0</v>
      </c>
      <c r="BR156" s="353">
        <v>-2.0</v>
      </c>
      <c r="BS156" s="353">
        <v>-3.0</v>
      </c>
      <c r="BT156" s="353">
        <v>-4.0</v>
      </c>
      <c r="BU156" s="353">
        <v>-5.0</v>
      </c>
      <c r="BV156" s="353">
        <v>-6.0</v>
      </c>
      <c r="BW156" s="353">
        <v>-7.0</v>
      </c>
      <c r="BX156" s="353">
        <v>-8.0</v>
      </c>
      <c r="BY156" s="353">
        <v>-9.0</v>
      </c>
      <c r="BZ156" s="353">
        <v>-10.0</v>
      </c>
      <c r="CA156" s="353">
        <v>-11.0</v>
      </c>
      <c r="CB156" s="353">
        <v>-12.0</v>
      </c>
      <c r="CC156" s="353">
        <v>-13.0</v>
      </c>
      <c r="CD156" s="353">
        <v>-14.0</v>
      </c>
      <c r="CE156" s="353">
        <v>-15.0</v>
      </c>
      <c r="CF156" s="353">
        <v>-16.0</v>
      </c>
      <c r="CG156" s="354"/>
      <c r="CH156" s="352">
        <v>-1.0</v>
      </c>
      <c r="CI156" s="353">
        <v>-2.0</v>
      </c>
      <c r="CJ156" s="353">
        <v>-3.0</v>
      </c>
      <c r="CK156" s="353">
        <v>-4.0</v>
      </c>
      <c r="CL156" s="353">
        <v>-5.0</v>
      </c>
      <c r="CM156" s="353">
        <v>-6.0</v>
      </c>
      <c r="CN156" s="353">
        <v>-7.0</v>
      </c>
      <c r="CO156" s="353">
        <v>-8.0</v>
      </c>
      <c r="CP156" s="353">
        <v>-9.0</v>
      </c>
      <c r="CQ156" s="353">
        <v>-10.0</v>
      </c>
      <c r="CR156" s="353">
        <v>-11.0</v>
      </c>
      <c r="CS156" s="353">
        <v>-12.0</v>
      </c>
      <c r="CT156" s="353">
        <v>-13.0</v>
      </c>
      <c r="CU156" s="353">
        <v>-14.0</v>
      </c>
      <c r="CV156" s="353">
        <v>-15.0</v>
      </c>
      <c r="CW156" s="353">
        <v>-16.0</v>
      </c>
      <c r="CX156" s="354"/>
      <c r="CY156" s="352">
        <v>-1.0</v>
      </c>
      <c r="CZ156" s="353">
        <v>-2.0</v>
      </c>
      <c r="DA156" s="353">
        <v>-3.0</v>
      </c>
      <c r="DB156" s="353">
        <v>-4.0</v>
      </c>
      <c r="DC156" s="353">
        <v>-5.0</v>
      </c>
      <c r="DD156" s="353">
        <v>-6.0</v>
      </c>
      <c r="DE156" s="353">
        <v>-7.0</v>
      </c>
      <c r="DF156" s="353">
        <v>-8.0</v>
      </c>
      <c r="DG156" s="353">
        <v>-9.0</v>
      </c>
      <c r="DH156" s="353">
        <v>-10.0</v>
      </c>
      <c r="DI156" s="353">
        <v>-11.0</v>
      </c>
      <c r="DJ156" s="353">
        <v>-12.0</v>
      </c>
      <c r="DK156" s="353">
        <v>-13.0</v>
      </c>
      <c r="DL156" s="353">
        <v>-14.0</v>
      </c>
      <c r="DM156" s="353">
        <v>-15.0</v>
      </c>
      <c r="DN156" s="353">
        <v>-16.0</v>
      </c>
      <c r="DO156" s="354"/>
      <c r="DP156" s="352">
        <v>-1.0</v>
      </c>
      <c r="DQ156" s="353">
        <v>-2.0</v>
      </c>
      <c r="DR156" s="353">
        <v>-3.0</v>
      </c>
      <c r="DS156" s="353">
        <v>-4.0</v>
      </c>
      <c r="DT156" s="353">
        <v>-5.0</v>
      </c>
      <c r="DU156" s="353">
        <v>-6.0</v>
      </c>
      <c r="DV156" s="353">
        <v>-7.0</v>
      </c>
      <c r="DW156" s="353">
        <v>-8.0</v>
      </c>
      <c r="DX156" s="353">
        <v>-9.0</v>
      </c>
      <c r="DY156" s="353">
        <v>-10.0</v>
      </c>
      <c r="DZ156" s="353">
        <v>-11.0</v>
      </c>
      <c r="EA156" s="353">
        <v>-12.0</v>
      </c>
      <c r="EB156" s="353">
        <v>-13.0</v>
      </c>
      <c r="EC156" s="353">
        <v>-14.0</v>
      </c>
      <c r="ED156" s="353">
        <v>-15.0</v>
      </c>
      <c r="EE156" s="353">
        <v>-16.0</v>
      </c>
      <c r="EF156" s="354"/>
      <c r="EG156" s="352">
        <v>-1.0</v>
      </c>
      <c r="EH156" s="353">
        <v>-2.0</v>
      </c>
      <c r="EI156" s="353">
        <v>-3.0</v>
      </c>
      <c r="EJ156" s="353">
        <v>-4.0</v>
      </c>
      <c r="EK156" s="353">
        <v>-5.0</v>
      </c>
      <c r="EL156" s="353">
        <v>-6.0</v>
      </c>
      <c r="EM156" s="353">
        <v>-7.0</v>
      </c>
      <c r="EN156" s="353">
        <v>-8.0</v>
      </c>
      <c r="EO156" s="353">
        <v>-9.0</v>
      </c>
      <c r="EP156" s="353">
        <v>-10.0</v>
      </c>
      <c r="EQ156" s="353">
        <v>-11.0</v>
      </c>
      <c r="ER156" s="353">
        <v>-12.0</v>
      </c>
      <c r="ES156" s="353">
        <v>-13.0</v>
      </c>
      <c r="ET156" s="353">
        <v>-14.0</v>
      </c>
      <c r="EU156" s="353">
        <v>-15.0</v>
      </c>
      <c r="EV156" s="353">
        <v>-16.0</v>
      </c>
      <c r="EW156" s="354"/>
      <c r="EX156" s="352">
        <v>-1.0</v>
      </c>
      <c r="EY156" s="353">
        <v>-2.0</v>
      </c>
      <c r="EZ156" s="353">
        <v>-3.0</v>
      </c>
      <c r="FA156" s="353">
        <v>-4.0</v>
      </c>
      <c r="FB156" s="353">
        <v>-5.0</v>
      </c>
      <c r="FC156" s="353">
        <v>-6.0</v>
      </c>
      <c r="FD156" s="353">
        <v>-7.0</v>
      </c>
      <c r="FE156" s="353">
        <v>-8.0</v>
      </c>
      <c r="FF156" s="353">
        <v>-9.0</v>
      </c>
      <c r="FG156" s="353">
        <v>-10.0</v>
      </c>
      <c r="FH156" s="353">
        <v>-11.0</v>
      </c>
      <c r="FI156" s="353">
        <v>-12.0</v>
      </c>
      <c r="FJ156" s="353">
        <v>-13.0</v>
      </c>
      <c r="FK156" s="353">
        <v>-14.0</v>
      </c>
      <c r="FL156" s="353">
        <v>-15.0</v>
      </c>
      <c r="FM156" s="353">
        <v>-16.0</v>
      </c>
      <c r="FN156" s="354"/>
      <c r="FO156" s="352">
        <v>-1.0</v>
      </c>
      <c r="FP156" s="353">
        <v>-2.0</v>
      </c>
      <c r="FQ156" s="353">
        <v>-3.0</v>
      </c>
      <c r="FR156" s="353">
        <v>-4.0</v>
      </c>
      <c r="FS156" s="353">
        <v>-5.0</v>
      </c>
      <c r="FT156" s="353">
        <v>-6.0</v>
      </c>
      <c r="FU156" s="353">
        <v>-7.0</v>
      </c>
      <c r="FV156" s="353">
        <v>-8.0</v>
      </c>
      <c r="FW156" s="353">
        <v>-9.0</v>
      </c>
      <c r="FX156" s="353">
        <v>-10.0</v>
      </c>
      <c r="FY156" s="353">
        <v>-11.0</v>
      </c>
      <c r="FZ156" s="353">
        <v>-12.0</v>
      </c>
      <c r="GA156" s="353">
        <v>-13.0</v>
      </c>
      <c r="GB156" s="353">
        <v>-14.0</v>
      </c>
      <c r="GC156" s="353">
        <v>-15.0</v>
      </c>
      <c r="GD156" s="353">
        <v>-16.0</v>
      </c>
      <c r="GE156" s="354"/>
      <c r="GF156" s="352">
        <v>-1.0</v>
      </c>
      <c r="GG156" s="353">
        <v>-2.0</v>
      </c>
      <c r="GH156" s="353">
        <v>-3.0</v>
      </c>
      <c r="GI156" s="353">
        <v>-4.0</v>
      </c>
      <c r="GJ156" s="353">
        <v>-5.0</v>
      </c>
      <c r="GK156" s="353">
        <v>-6.0</v>
      </c>
      <c r="GL156" s="353">
        <v>-7.0</v>
      </c>
      <c r="GM156" s="353">
        <v>-8.0</v>
      </c>
      <c r="GN156" s="353">
        <v>-9.0</v>
      </c>
      <c r="GO156" s="353">
        <v>-10.0</v>
      </c>
      <c r="GP156" s="353">
        <v>-11.0</v>
      </c>
      <c r="GQ156" s="353">
        <v>-12.0</v>
      </c>
      <c r="GR156" s="353">
        <v>-13.0</v>
      </c>
      <c r="GS156" s="353">
        <v>-14.0</v>
      </c>
      <c r="GT156" s="353">
        <v>-15.0</v>
      </c>
      <c r="GU156" s="353">
        <v>-16.0</v>
      </c>
      <c r="GV156" s="354"/>
      <c r="GW156" s="352">
        <v>-1.0</v>
      </c>
      <c r="GX156" s="353">
        <v>-2.0</v>
      </c>
      <c r="GY156" s="353">
        <v>-3.0</v>
      </c>
      <c r="GZ156" s="353">
        <v>-4.0</v>
      </c>
      <c r="HA156" s="353">
        <v>-5.0</v>
      </c>
      <c r="HB156" s="353">
        <v>-6.0</v>
      </c>
      <c r="HC156" s="353">
        <v>-7.0</v>
      </c>
      <c r="HD156" s="353">
        <v>-8.0</v>
      </c>
      <c r="HE156" s="353">
        <v>-9.0</v>
      </c>
      <c r="HF156" s="353">
        <v>-10.0</v>
      </c>
      <c r="HG156" s="353">
        <v>-11.0</v>
      </c>
      <c r="HH156" s="353">
        <v>-12.0</v>
      </c>
      <c r="HI156" s="353">
        <v>-13.0</v>
      </c>
      <c r="HJ156" s="353">
        <v>-14.0</v>
      </c>
      <c r="HK156" s="353">
        <v>-15.0</v>
      </c>
      <c r="HL156" s="353">
        <v>-16.0</v>
      </c>
      <c r="HM156" s="354"/>
      <c r="HN156" s="352">
        <v>-1.0</v>
      </c>
      <c r="HO156" s="353">
        <v>-2.0</v>
      </c>
      <c r="HP156" s="353">
        <v>-3.0</v>
      </c>
      <c r="HQ156" s="353">
        <v>-4.0</v>
      </c>
      <c r="HR156" s="353">
        <v>-5.0</v>
      </c>
      <c r="HS156" s="353">
        <v>-6.0</v>
      </c>
      <c r="HT156" s="353">
        <v>-7.0</v>
      </c>
      <c r="HU156" s="353">
        <v>-8.0</v>
      </c>
      <c r="HV156" s="353">
        <v>-9.0</v>
      </c>
      <c r="HW156" s="353">
        <v>-10.0</v>
      </c>
      <c r="HX156" s="353">
        <v>-11.0</v>
      </c>
      <c r="HY156" s="353">
        <v>-12.0</v>
      </c>
      <c r="HZ156" s="353">
        <v>-13.0</v>
      </c>
      <c r="IA156" s="353">
        <v>-14.0</v>
      </c>
      <c r="IB156" s="353">
        <v>-15.0</v>
      </c>
      <c r="IC156" s="353">
        <v>-16.0</v>
      </c>
      <c r="ID156" s="354"/>
      <c r="IE156" s="352">
        <v>-1.0</v>
      </c>
      <c r="IF156" s="353">
        <v>-2.0</v>
      </c>
      <c r="IG156" s="353">
        <v>-3.0</v>
      </c>
      <c r="IH156" s="353">
        <v>-4.0</v>
      </c>
      <c r="II156" s="353">
        <v>-5.0</v>
      </c>
      <c r="IJ156" s="353">
        <v>-6.0</v>
      </c>
      <c r="IK156" s="353">
        <v>-7.0</v>
      </c>
      <c r="IL156" s="353">
        <v>-8.0</v>
      </c>
      <c r="IM156" s="353">
        <v>-9.0</v>
      </c>
      <c r="IN156" s="353">
        <v>-10.0</v>
      </c>
      <c r="IO156" s="353">
        <v>-11.0</v>
      </c>
      <c r="IP156" s="353">
        <v>-12.0</v>
      </c>
      <c r="IQ156" s="353">
        <v>-13.0</v>
      </c>
      <c r="IR156" s="353">
        <v>-14.0</v>
      </c>
      <c r="IS156" s="353">
        <v>-15.0</v>
      </c>
      <c r="IT156" s="353">
        <v>-16.0</v>
      </c>
      <c r="IU156" s="354"/>
      <c r="IV156" s="352">
        <v>-1.0</v>
      </c>
      <c r="IW156" s="353">
        <v>-2.0</v>
      </c>
      <c r="IX156" s="353">
        <v>-3.0</v>
      </c>
      <c r="IY156" s="353">
        <v>-4.0</v>
      </c>
      <c r="IZ156" s="353">
        <v>-5.0</v>
      </c>
      <c r="JA156" s="353">
        <v>-6.0</v>
      </c>
      <c r="JB156" s="353">
        <v>-7.0</v>
      </c>
      <c r="JC156" s="353">
        <v>-8.0</v>
      </c>
      <c r="JD156" s="353">
        <v>-9.0</v>
      </c>
      <c r="JE156" s="353">
        <v>-10.0</v>
      </c>
      <c r="JF156" s="353">
        <v>-11.0</v>
      </c>
      <c r="JG156" s="353">
        <v>-12.0</v>
      </c>
      <c r="JH156" s="353">
        <v>-13.0</v>
      </c>
      <c r="JI156" s="353">
        <v>-14.0</v>
      </c>
      <c r="JJ156" s="353">
        <v>-15.0</v>
      </c>
      <c r="JK156" s="353">
        <v>-16.0</v>
      </c>
      <c r="JL156" s="354"/>
      <c r="JM156" s="352">
        <v>-1.0</v>
      </c>
      <c r="JN156" s="353">
        <v>-2.0</v>
      </c>
      <c r="JO156" s="353">
        <v>-3.0</v>
      </c>
      <c r="JP156" s="353">
        <v>-4.0</v>
      </c>
      <c r="JQ156" s="353">
        <v>-5.0</v>
      </c>
      <c r="JR156" s="353">
        <v>-6.0</v>
      </c>
      <c r="JS156" s="353">
        <v>-7.0</v>
      </c>
      <c r="JT156" s="353">
        <v>-8.0</v>
      </c>
      <c r="JU156" s="353">
        <v>-9.0</v>
      </c>
      <c r="JV156" s="353">
        <v>-10.0</v>
      </c>
      <c r="JW156" s="353">
        <v>-11.0</v>
      </c>
      <c r="JX156" s="353">
        <v>-12.0</v>
      </c>
      <c r="JY156" s="353">
        <v>-13.0</v>
      </c>
      <c r="JZ156" s="353">
        <v>-14.0</v>
      </c>
      <c r="KA156" s="353">
        <v>-15.0</v>
      </c>
      <c r="KB156" s="353">
        <v>-16.0</v>
      </c>
      <c r="KC156" s="354"/>
      <c r="KD156" s="352">
        <v>-1.0</v>
      </c>
      <c r="KE156" s="353">
        <v>-2.0</v>
      </c>
      <c r="KF156" s="353">
        <v>-3.0</v>
      </c>
      <c r="KG156" s="353">
        <v>-4.0</v>
      </c>
      <c r="KH156" s="353">
        <v>-5.0</v>
      </c>
      <c r="KI156" s="353">
        <v>-6.0</v>
      </c>
      <c r="KJ156" s="353">
        <v>-7.0</v>
      </c>
      <c r="KK156" s="353">
        <v>-8.0</v>
      </c>
      <c r="KL156" s="353">
        <v>-9.0</v>
      </c>
      <c r="KM156" s="353">
        <v>-10.0</v>
      </c>
      <c r="KN156" s="353">
        <v>-11.0</v>
      </c>
      <c r="KO156" s="353">
        <v>-12.0</v>
      </c>
      <c r="KP156" s="353">
        <v>-13.0</v>
      </c>
      <c r="KQ156" s="353">
        <v>-14.0</v>
      </c>
      <c r="KR156" s="353">
        <v>-15.0</v>
      </c>
      <c r="KS156" s="353">
        <v>-16.0</v>
      </c>
      <c r="KT156" s="354"/>
      <c r="KU156" s="355"/>
    </row>
    <row r="157" ht="15.75" customHeight="1">
      <c r="A157" s="356">
        <v>1.0</v>
      </c>
      <c r="B157" s="357" t="str">
        <f t="shared" ref="B157:D157" si="2070">IFERROR(VLOOKUP($A157,$A$13:$D$30,-B$12,FALSE),"")</f>
        <v>Bijih  Emas</v>
      </c>
      <c r="C157" s="358" t="str">
        <f t="shared" si="2070"/>
        <v>Bijih </v>
      </c>
      <c r="D157" s="358" t="str">
        <f t="shared" si="2070"/>
        <v>Kg</v>
      </c>
      <c r="E157" s="359" t="str">
        <f>ADHK!E157</f>
        <v/>
      </c>
      <c r="F157" s="359" t="str">
        <f>ADHK!F157</f>
        <v/>
      </c>
      <c r="G157" s="359">
        <f t="shared" ref="G157:G173" si="2089">IFERROR(+E157*F157/1000000,"")</f>
        <v>0</v>
      </c>
      <c r="H157" s="360"/>
      <c r="I157" s="359">
        <f t="shared" ref="I157:I173" si="2090">IFERROR(+G157*H157,"")</f>
        <v>0</v>
      </c>
      <c r="J157" s="85"/>
      <c r="K157" s="85"/>
      <c r="L157" s="86"/>
      <c r="M157" s="361">
        <f t="shared" ref="M157:M173" si="2091">IFERROR(+(IF(G157="","0",G157))+(IF(I157="","0",I157))+(IF(L157="","0",L157)),"")</f>
        <v>0</v>
      </c>
      <c r="N157" s="360">
        <f t="shared" ref="N157:N173" si="2092">N121</f>
        <v>0.4604471269</v>
      </c>
      <c r="O157" s="362">
        <f t="shared" ref="O157:O173" si="2093">IFERROR(+N157*(M157-L157),"")</f>
        <v>0</v>
      </c>
      <c r="P157" s="363">
        <f t="shared" ref="P157:P173" si="2094">IFERROR(+(IF(M157="","0",M157))-(IF(O157="","0",O157)),"")</f>
        <v>0</v>
      </c>
      <c r="Q157" s="364"/>
      <c r="R157" s="356">
        <v>1.0</v>
      </c>
      <c r="S157" s="357" t="str">
        <f t="shared" ref="S157:U157" si="2071">IFERROR(VLOOKUP($R157,$A$13:$D$30,-S$12,FALSE),"")</f>
        <v>Bijih  Emas</v>
      </c>
      <c r="T157" s="358" t="str">
        <f t="shared" si="2071"/>
        <v>Bijih </v>
      </c>
      <c r="U157" s="358" t="str">
        <f t="shared" si="2071"/>
        <v>Kg</v>
      </c>
      <c r="V157" s="359" t="str">
        <f>ADHK!V157</f>
        <v/>
      </c>
      <c r="W157" s="359"/>
      <c r="X157" s="359">
        <f t="shared" ref="X157:X173" si="2096">IFERROR(+V157*W157/1000000,"")</f>
        <v>0</v>
      </c>
      <c r="Y157" s="360"/>
      <c r="Z157" s="359">
        <f t="shared" ref="Z157:Z173" si="2097">IFERROR(+X157*Y157,"")</f>
        <v>0</v>
      </c>
      <c r="AA157" s="85"/>
      <c r="AB157" s="85"/>
      <c r="AC157" s="86"/>
      <c r="AD157" s="361">
        <f t="shared" ref="AD157:AD173" si="2098">IFERROR(+(IF(X157="","0",X157))+(IF(Z157="","0",Z157))+(IF(AC157="","0",AC157)),"")</f>
        <v>0</v>
      </c>
      <c r="AE157" s="360">
        <f t="shared" ref="AE157:AE173" si="2099">AE121</f>
        <v>0.4604471269</v>
      </c>
      <c r="AF157" s="362">
        <f t="shared" ref="AF157:AF173" si="2100">IFERROR(+AE157*(AD157-AC157),"")</f>
        <v>0</v>
      </c>
      <c r="AG157" s="363">
        <f t="shared" ref="AG157:AG173" si="2101">IFERROR(+(IF(AD157="","0",AD157))-(IF(AF157="","0",AF157)),"")</f>
        <v>0</v>
      </c>
      <c r="AH157" s="364"/>
      <c r="AI157" s="356">
        <v>1.0</v>
      </c>
      <c r="AJ157" s="357" t="str">
        <f t="shared" ref="AJ157:AL157" si="2072">IFERROR(VLOOKUP($R157,$A$13:$D$30,-AJ$12,FALSE),"")</f>
        <v>Bijih  Emas</v>
      </c>
      <c r="AK157" s="358" t="str">
        <f t="shared" si="2072"/>
        <v>Bijih </v>
      </c>
      <c r="AL157" s="358" t="str">
        <f t="shared" si="2072"/>
        <v>Kg</v>
      </c>
      <c r="AM157" s="359" t="str">
        <f>ADHK!AM157</f>
        <v/>
      </c>
      <c r="AN157" s="359"/>
      <c r="AO157" s="359">
        <f t="shared" ref="AO157:AO173" si="2103">IFERROR(+AM157*AN157/1000000,"")</f>
        <v>0</v>
      </c>
      <c r="AP157" s="360"/>
      <c r="AQ157" s="359">
        <f t="shared" ref="AQ157:AQ173" si="2104">IFERROR(+AO157*AP157,"")</f>
        <v>0</v>
      </c>
      <c r="AR157" s="85"/>
      <c r="AS157" s="85"/>
      <c r="AT157" s="86"/>
      <c r="AU157" s="361">
        <f t="shared" ref="AU157:AU173" si="2105">IFERROR(+(IF(AO157="","0",AO157))+(IF(AQ157="","0",AQ157))+(IF(AT157="","0",AT157)),"")</f>
        <v>0</v>
      </c>
      <c r="AV157" s="360">
        <f t="shared" ref="AV157:AV173" si="2106">AV121</f>
        <v>0.4604471269</v>
      </c>
      <c r="AW157" s="362">
        <f t="shared" ref="AW157:AW173" si="2107">IFERROR(+AV157*(AU157-AT157),"")</f>
        <v>0</v>
      </c>
      <c r="AX157" s="363">
        <f t="shared" ref="AX157:AX173" si="2108">IFERROR(+(IF(AU157="","0",AU157))-(IF(AW157="","0",AW157)),"")</f>
        <v>0</v>
      </c>
      <c r="AY157" s="364"/>
      <c r="AZ157" s="356">
        <v>1.0</v>
      </c>
      <c r="BA157" s="357" t="str">
        <f t="shared" ref="BA157:BC157" si="2073">IFERROR(VLOOKUP($R157,$A$13:$D$30,-BA$12,FALSE),"")</f>
        <v>Bijih  Emas</v>
      </c>
      <c r="BB157" s="358" t="str">
        <f t="shared" si="2073"/>
        <v>Bijih </v>
      </c>
      <c r="BC157" s="358" t="str">
        <f t="shared" si="2073"/>
        <v>Kg</v>
      </c>
      <c r="BD157" s="359" t="str">
        <f>ADHK!BD157</f>
        <v/>
      </c>
      <c r="BE157" s="359"/>
      <c r="BF157" s="359">
        <f t="shared" ref="BF157:BF173" si="2110">IFERROR(+BD157*BE157/1000000,"")</f>
        <v>0</v>
      </c>
      <c r="BG157" s="360"/>
      <c r="BH157" s="359">
        <f t="shared" ref="BH157:BH173" si="2111">IFERROR(+BF157*BG157,"")</f>
        <v>0</v>
      </c>
      <c r="BI157" s="85"/>
      <c r="BJ157" s="85"/>
      <c r="BK157" s="86"/>
      <c r="BL157" s="361">
        <f t="shared" ref="BL157:BL173" si="2112">IFERROR(+(IF(BF157="","0",BF157))+(IF(BH157="","0",BH157))+(IF(BK157="","0",BK157)),"")</f>
        <v>0</v>
      </c>
      <c r="BM157" s="360">
        <f t="shared" ref="BM157:BM173" si="2113">BM121</f>
        <v>0.4604471269</v>
      </c>
      <c r="BN157" s="362">
        <f t="shared" ref="BN157:BN173" si="2114">IFERROR(+BM157*(BL157-BK157),"")</f>
        <v>0</v>
      </c>
      <c r="BO157" s="363">
        <f t="shared" ref="BO157:BO173" si="2115">IFERROR(+(IF(BL157="","0",BL157))-(IF(BN157="","0",BN157)),"")</f>
        <v>0</v>
      </c>
      <c r="BP157" s="364"/>
      <c r="BQ157" s="356">
        <v>1.0</v>
      </c>
      <c r="BR157" s="357" t="str">
        <f t="shared" ref="BR157:BT157" si="2074">IFERROR(VLOOKUP($R157,$A$13:$D$30,-BR$12,FALSE),"")</f>
        <v>Bijih  Emas</v>
      </c>
      <c r="BS157" s="358" t="str">
        <f t="shared" si="2074"/>
        <v>Bijih </v>
      </c>
      <c r="BT157" s="358" t="str">
        <f t="shared" si="2074"/>
        <v>Kg</v>
      </c>
      <c r="BU157" s="359" t="str">
        <f>ADHK!BU157</f>
        <v/>
      </c>
      <c r="BV157" s="359"/>
      <c r="BW157" s="359">
        <f t="shared" ref="BW157:BW173" si="2117">IFERROR(+BU157*BV157/1000000,"")</f>
        <v>0</v>
      </c>
      <c r="BX157" s="360"/>
      <c r="BY157" s="359">
        <f t="shared" ref="BY157:BY173" si="2118">IFERROR(+BW157*BX157,"")</f>
        <v>0</v>
      </c>
      <c r="BZ157" s="85"/>
      <c r="CA157" s="85"/>
      <c r="CB157" s="86"/>
      <c r="CC157" s="361">
        <f t="shared" ref="CC157:CC173" si="2119">IFERROR(+(IF(BW157="","0",BW157))+(IF(BY157="","0",BY157))+(IF(CB157="","0",CB157)),"")</f>
        <v>0</v>
      </c>
      <c r="CD157" s="360">
        <f t="shared" ref="CD157:CD173" si="2120">CD121</f>
        <v>0.4604471269</v>
      </c>
      <c r="CE157" s="362">
        <f t="shared" ref="CE157:CE173" si="2121">IFERROR(+CD157*(CC157-CB157),"")</f>
        <v>0</v>
      </c>
      <c r="CF157" s="363">
        <f t="shared" ref="CF157:CF173" si="2122">IFERROR(+(IF(CC157="","0",CC157))-(IF(CE157="","0",CE157)),"")</f>
        <v>0</v>
      </c>
      <c r="CG157" s="364"/>
      <c r="CH157" s="356">
        <v>1.0</v>
      </c>
      <c r="CI157" s="357" t="str">
        <f t="shared" ref="CI157:CK157" si="2075">IFERROR(VLOOKUP($R157,$A$13:$D$30,-CI$12,FALSE),"")</f>
        <v>Bijih  Emas</v>
      </c>
      <c r="CJ157" s="358" t="str">
        <f t="shared" si="2075"/>
        <v>Bijih </v>
      </c>
      <c r="CK157" s="358" t="str">
        <f t="shared" si="2075"/>
        <v>Kg</v>
      </c>
      <c r="CL157" s="359" t="str">
        <f>ADHK!CL157</f>
        <v/>
      </c>
      <c r="CM157" s="359"/>
      <c r="CN157" s="359">
        <f t="shared" ref="CN157:CN173" si="2124">IFERROR(+CL157*CM157/1000000,"")</f>
        <v>0</v>
      </c>
      <c r="CO157" s="360"/>
      <c r="CP157" s="359">
        <f t="shared" ref="CP157:CP173" si="2125">IFERROR(+CN157*CO157,"")</f>
        <v>0</v>
      </c>
      <c r="CQ157" s="85"/>
      <c r="CR157" s="85"/>
      <c r="CS157" s="86"/>
      <c r="CT157" s="361">
        <f t="shared" ref="CT157:CT173" si="2126">IFERROR(+(IF(CN157="","0",CN157))+(IF(CP157="","0",CP157))+(IF(CS157="","0",CS157)),"")</f>
        <v>0</v>
      </c>
      <c r="CU157" s="360">
        <f t="shared" ref="CU157:CU173" si="2127">CU121</f>
        <v>0.4604471269</v>
      </c>
      <c r="CV157" s="362">
        <f t="shared" ref="CV157:CV173" si="2128">IFERROR(+CU157*(CT157-CS157),"")</f>
        <v>0</v>
      </c>
      <c r="CW157" s="363">
        <f t="shared" ref="CW157:CW173" si="2129">IFERROR(+(IF(CT157="","0",CT157))-(IF(CV157="","0",CV157)),"")</f>
        <v>0</v>
      </c>
      <c r="CX157" s="364"/>
      <c r="CY157" s="356">
        <v>1.0</v>
      </c>
      <c r="CZ157" s="357" t="str">
        <f t="shared" ref="CZ157:DB157" si="2076">IFERROR(VLOOKUP($R157,$A$13:$D$30,-CZ$12,FALSE),"")</f>
        <v>Bijih  Emas</v>
      </c>
      <c r="DA157" s="358" t="str">
        <f t="shared" si="2076"/>
        <v>Bijih </v>
      </c>
      <c r="DB157" s="358" t="str">
        <f t="shared" si="2076"/>
        <v>Kg</v>
      </c>
      <c r="DC157" s="359" t="str">
        <f>ADHK!DC157</f>
        <v/>
      </c>
      <c r="DD157" s="359"/>
      <c r="DE157" s="359">
        <f t="shared" ref="DE157:DE173" si="2131">IFERROR(+DC157*DD157/1000000,"")</f>
        <v>0</v>
      </c>
      <c r="DF157" s="360"/>
      <c r="DG157" s="359">
        <f t="shared" ref="DG157:DG173" si="2132">IFERROR(+DE157*DF157,"")</f>
        <v>0</v>
      </c>
      <c r="DH157" s="85"/>
      <c r="DI157" s="85"/>
      <c r="DJ157" s="86"/>
      <c r="DK157" s="361">
        <f t="shared" ref="DK157:DK173" si="2133">IFERROR(+(IF(DE157="","0",DE157))+(IF(DG157="","0",DG157))+(IF(DJ157="","0",DJ157)),"")</f>
        <v>0</v>
      </c>
      <c r="DL157" s="360">
        <f t="shared" ref="DL157:DL173" si="2134">DL121</f>
        <v>0.4604471269</v>
      </c>
      <c r="DM157" s="362">
        <f t="shared" ref="DM157:DM173" si="2135">IFERROR(+DL157*(DK157-DJ157),"")</f>
        <v>0</v>
      </c>
      <c r="DN157" s="363">
        <f t="shared" ref="DN157:DN173" si="2136">IFERROR(+(IF(DK157="","0",DK157))-(IF(DM157="","0",DM157)),"")</f>
        <v>0</v>
      </c>
      <c r="DO157" s="364"/>
      <c r="DP157" s="356">
        <v>1.0</v>
      </c>
      <c r="DQ157" s="357" t="str">
        <f t="shared" ref="DQ157:DS157" si="2077">IFERROR(VLOOKUP($R157,$A$13:$D$30,-DQ$12,FALSE),"")</f>
        <v>Bijih  Emas</v>
      </c>
      <c r="DR157" s="358" t="str">
        <f t="shared" si="2077"/>
        <v>Bijih </v>
      </c>
      <c r="DS157" s="358" t="str">
        <f t="shared" si="2077"/>
        <v>Kg</v>
      </c>
      <c r="DT157" s="359" t="str">
        <f>ADHK!DT157</f>
        <v/>
      </c>
      <c r="DU157" s="359"/>
      <c r="DV157" s="359">
        <f t="shared" ref="DV157:DV173" si="2138">IFERROR(+DT157*DU157/1000000,"")</f>
        <v>0</v>
      </c>
      <c r="DW157" s="360"/>
      <c r="DX157" s="359">
        <f t="shared" ref="DX157:DX173" si="2139">IFERROR(+DV157*DW157,"")</f>
        <v>0</v>
      </c>
      <c r="DY157" s="85"/>
      <c r="DZ157" s="85"/>
      <c r="EA157" s="86"/>
      <c r="EB157" s="361">
        <f t="shared" ref="EB157:EB173" si="2140">IFERROR(+(IF(DV157="","0",DV157))+(IF(DX157="","0",DX157))+(IF(EA157="","0",EA157)),"")</f>
        <v>0</v>
      </c>
      <c r="EC157" s="360">
        <f t="shared" ref="EC157:EC173" si="2141">EC121</f>
        <v>0.4604471269</v>
      </c>
      <c r="ED157" s="362">
        <f t="shared" ref="ED157:ED173" si="2142">IFERROR(+EC157*(EB157-EA157),"")</f>
        <v>0</v>
      </c>
      <c r="EE157" s="363">
        <f t="shared" ref="EE157:EE173" si="2143">IFERROR(+(IF(EB157="","0",EB157))-(IF(ED157="","0",ED157)),"")</f>
        <v>0</v>
      </c>
      <c r="EF157" s="364"/>
      <c r="EG157" s="356">
        <v>1.0</v>
      </c>
      <c r="EH157" s="357" t="str">
        <f t="shared" ref="EH157:EJ157" si="2078">IFERROR(VLOOKUP($R157,$A$13:$D$30,-EH$12,FALSE),"")</f>
        <v>Bijih  Emas</v>
      </c>
      <c r="EI157" s="358" t="str">
        <f t="shared" si="2078"/>
        <v>Bijih </v>
      </c>
      <c r="EJ157" s="358" t="str">
        <f t="shared" si="2078"/>
        <v>Kg</v>
      </c>
      <c r="EK157" s="359" t="str">
        <f>ADHK!EK157</f>
        <v/>
      </c>
      <c r="EL157" s="359"/>
      <c r="EM157" s="359">
        <f t="shared" ref="EM157:EM173" si="2145">IFERROR(+EK157*EL157/1000000,"")</f>
        <v>0</v>
      </c>
      <c r="EN157" s="360"/>
      <c r="EO157" s="359">
        <f t="shared" ref="EO157:EO173" si="2146">IFERROR(+EM157*EN157,"")</f>
        <v>0</v>
      </c>
      <c r="EP157" s="85"/>
      <c r="EQ157" s="85"/>
      <c r="ER157" s="86"/>
      <c r="ES157" s="361">
        <f t="shared" ref="ES157:ES173" si="2147">IFERROR(+(IF(EM157="","0",EM157))+(IF(EO157="","0",EO157))+(IF(ER157="","0",ER157)),"")</f>
        <v>0</v>
      </c>
      <c r="ET157" s="360">
        <f t="shared" ref="ET157:ET173" si="2148">ET121</f>
        <v>0.4604471269</v>
      </c>
      <c r="EU157" s="362">
        <f t="shared" ref="EU157:EU173" si="2149">IFERROR(+ET157*(ES157-ER157),"")</f>
        <v>0</v>
      </c>
      <c r="EV157" s="363">
        <f t="shared" ref="EV157:EV173" si="2150">IFERROR(+(IF(ES157="","0",ES157))-(IF(EU157="","0",EU157)),"")</f>
        <v>0</v>
      </c>
      <c r="EW157" s="364"/>
      <c r="EX157" s="356">
        <v>1.0</v>
      </c>
      <c r="EY157" s="357" t="str">
        <f t="shared" ref="EY157:FA157" si="2079">IFERROR(VLOOKUP($R157,$A$13:$D$30,-EY$12,FALSE),"")</f>
        <v>Bijih  Emas</v>
      </c>
      <c r="EZ157" s="358" t="str">
        <f t="shared" si="2079"/>
        <v>Bijih </v>
      </c>
      <c r="FA157" s="358" t="str">
        <f t="shared" si="2079"/>
        <v>Kg</v>
      </c>
      <c r="FB157" s="359" t="str">
        <f>ADHK!FB157</f>
        <v/>
      </c>
      <c r="FC157" s="359"/>
      <c r="FD157" s="359">
        <f t="shared" ref="FD157:FD173" si="2152">IFERROR(+FB157*FC157/1000000,"")</f>
        <v>0</v>
      </c>
      <c r="FE157" s="360"/>
      <c r="FF157" s="359">
        <f t="shared" ref="FF157:FF173" si="2153">IFERROR(+FD157*FE157,"")</f>
        <v>0</v>
      </c>
      <c r="FG157" s="85"/>
      <c r="FH157" s="85"/>
      <c r="FI157" s="86"/>
      <c r="FJ157" s="361">
        <f t="shared" ref="FJ157:FJ173" si="2154">IFERROR(+(IF(FD157="","0",FD157))+(IF(FF157="","0",FF157))+(IF(FI157="","0",FI157)),"")</f>
        <v>0</v>
      </c>
      <c r="FK157" s="360">
        <f t="shared" ref="FK157:FK173" si="2155">FK121</f>
        <v>0.4604471269</v>
      </c>
      <c r="FL157" s="362">
        <f t="shared" ref="FL157:FL173" si="2156">IFERROR(+FK157*(FJ157-FI157),"")</f>
        <v>0</v>
      </c>
      <c r="FM157" s="363">
        <f t="shared" ref="FM157:FM173" si="2157">IFERROR(+(IF(FJ157="","0",FJ157))-(IF(FL157="","0",FL157)),"")</f>
        <v>0</v>
      </c>
      <c r="FN157" s="364"/>
      <c r="FO157" s="356">
        <v>1.0</v>
      </c>
      <c r="FP157" s="357" t="str">
        <f t="shared" ref="FP157:FR157" si="2080">IFERROR(VLOOKUP($R157,$A$13:$D$30,-FP$12,FALSE),"")</f>
        <v>Bijih  Emas</v>
      </c>
      <c r="FQ157" s="358" t="str">
        <f t="shared" si="2080"/>
        <v>Bijih </v>
      </c>
      <c r="FR157" s="358" t="str">
        <f t="shared" si="2080"/>
        <v>Kg</v>
      </c>
      <c r="FS157" s="359" t="str">
        <f>ADHK!FS157</f>
        <v/>
      </c>
      <c r="FT157" s="359"/>
      <c r="FU157" s="359">
        <f t="shared" ref="FU157:FU173" si="2159">IFERROR(+FS157*FT157/1000000,"")</f>
        <v>0</v>
      </c>
      <c r="FV157" s="360"/>
      <c r="FW157" s="359">
        <f t="shared" ref="FW157:FW173" si="2160">IFERROR(+FU157*FV157,"")</f>
        <v>0</v>
      </c>
      <c r="FX157" s="85"/>
      <c r="FY157" s="85"/>
      <c r="FZ157" s="86"/>
      <c r="GA157" s="361">
        <f t="shared" ref="GA157:GA173" si="2161">IFERROR(+(IF(FU157="","0",FU157))+(IF(FW157="","0",FW157))+(IF(FZ157="","0",FZ157)),"")</f>
        <v>0</v>
      </c>
      <c r="GB157" s="360">
        <f t="shared" ref="GB157:GB173" si="2162">GB121</f>
        <v>0.4604471269</v>
      </c>
      <c r="GC157" s="362">
        <f t="shared" ref="GC157:GC173" si="2163">IFERROR(+GB157*(GA157-FZ157),"")</f>
        <v>0</v>
      </c>
      <c r="GD157" s="363">
        <f t="shared" ref="GD157:GD173" si="2164">IFERROR(+(IF(GA157="","0",GA157))-(IF(GC157="","0",GC157)),"")</f>
        <v>0</v>
      </c>
      <c r="GE157" s="364"/>
      <c r="GF157" s="356">
        <v>1.0</v>
      </c>
      <c r="GG157" s="357" t="str">
        <f t="shared" ref="GG157:GI157" si="2081">IFERROR(VLOOKUP($R157,$A$13:$D$30,-GG$12,FALSE),"")</f>
        <v>Bijih  Emas</v>
      </c>
      <c r="GH157" s="358" t="str">
        <f t="shared" si="2081"/>
        <v>Bijih </v>
      </c>
      <c r="GI157" s="358" t="str">
        <f t="shared" si="2081"/>
        <v>Kg</v>
      </c>
      <c r="GJ157" s="359" t="str">
        <f>ADHK!GJ157</f>
        <v/>
      </c>
      <c r="GK157" s="359"/>
      <c r="GL157" s="359">
        <f t="shared" ref="GL157:GL173" si="2166">IFERROR(+GJ157*GK157/1000000,"")</f>
        <v>0</v>
      </c>
      <c r="GM157" s="360"/>
      <c r="GN157" s="359">
        <f t="shared" ref="GN157:GN173" si="2167">IFERROR(+GL157*GM157,"")</f>
        <v>0</v>
      </c>
      <c r="GO157" s="85"/>
      <c r="GP157" s="85"/>
      <c r="GQ157" s="86"/>
      <c r="GR157" s="361">
        <f t="shared" ref="GR157:GR173" si="2168">IFERROR(+(IF(GL157="","0",GL157))+(IF(GN157="","0",GN157))+(IF(GQ157="","0",GQ157)),"")</f>
        <v>0</v>
      </c>
      <c r="GS157" s="360">
        <f t="shared" ref="GS157:GS173" si="2169">GS121</f>
        <v>0.4604471269</v>
      </c>
      <c r="GT157" s="362">
        <f t="shared" ref="GT157:GT173" si="2170">IFERROR(+GS157*(GR157-GQ157),"")</f>
        <v>0</v>
      </c>
      <c r="GU157" s="363">
        <f t="shared" ref="GU157:GU173" si="2171">IFERROR(+(IF(GR157="","0",GR157))-(IF(GT157="","0",GT157)),"")</f>
        <v>0</v>
      </c>
      <c r="GV157" s="364"/>
      <c r="GW157" s="356">
        <v>1.0</v>
      </c>
      <c r="GX157" s="357" t="str">
        <f t="shared" ref="GX157:GZ157" si="2082">IFERROR(VLOOKUP($R157,$A$13:$D$30,-GX$12,FALSE),"")</f>
        <v>Bijih  Emas</v>
      </c>
      <c r="GY157" s="358" t="str">
        <f t="shared" si="2082"/>
        <v>Bijih </v>
      </c>
      <c r="GZ157" s="358" t="str">
        <f t="shared" si="2082"/>
        <v>Kg</v>
      </c>
      <c r="HA157" s="359" t="str">
        <f>ADHK!HA157</f>
        <v/>
      </c>
      <c r="HB157" s="359"/>
      <c r="HC157" s="359">
        <f t="shared" ref="HC157:HC173" si="2173">IFERROR(+HA157*HB157/1000000,"")</f>
        <v>0</v>
      </c>
      <c r="HD157" s="360"/>
      <c r="HE157" s="359">
        <f t="shared" ref="HE157:HE173" si="2174">IFERROR(+HC157*HD157,"")</f>
        <v>0</v>
      </c>
      <c r="HF157" s="85"/>
      <c r="HG157" s="85"/>
      <c r="HH157" s="86"/>
      <c r="HI157" s="361">
        <f t="shared" ref="HI157:HI173" si="2175">IFERROR(+(IF(HC157="","0",HC157))+(IF(HE157="","0",HE157))+(IF(HH157="","0",HH157)),"")</f>
        <v>0</v>
      </c>
      <c r="HJ157" s="360">
        <f t="shared" ref="HJ157:HJ173" si="2176">HJ121</f>
        <v>0.4604471269</v>
      </c>
      <c r="HK157" s="362">
        <f t="shared" ref="HK157:HK173" si="2177">IFERROR(+HJ157*(HI157-HH157),"")</f>
        <v>0</v>
      </c>
      <c r="HL157" s="363">
        <f t="shared" ref="HL157:HL173" si="2178">IFERROR(+(IF(HI157="","0",HI157))-(IF(HK157="","0",HK157)),"")</f>
        <v>0</v>
      </c>
      <c r="HM157" s="364"/>
      <c r="HN157" s="356">
        <v>1.0</v>
      </c>
      <c r="HO157" s="357" t="str">
        <f t="shared" ref="HO157:HQ157" si="2083">IFERROR(VLOOKUP($R157,$A$13:$D$30,-HO$12,FALSE),"")</f>
        <v>Bijih  Emas</v>
      </c>
      <c r="HP157" s="358" t="str">
        <f t="shared" si="2083"/>
        <v>Bijih </v>
      </c>
      <c r="HQ157" s="358" t="str">
        <f t="shared" si="2083"/>
        <v>Kg</v>
      </c>
      <c r="HR157" s="359" t="str">
        <f>ADHK!HR157</f>
        <v/>
      </c>
      <c r="HS157" s="359"/>
      <c r="HT157" s="359">
        <f t="shared" ref="HT157:HT173" si="2180">IFERROR(+HR157*HS157/1000000,"")</f>
        <v>0</v>
      </c>
      <c r="HU157" s="360"/>
      <c r="HV157" s="359">
        <f t="shared" ref="HV157:HV173" si="2181">IFERROR(+HT157*HU157,"")</f>
        <v>0</v>
      </c>
      <c r="HW157" s="85"/>
      <c r="HX157" s="85"/>
      <c r="HY157" s="86"/>
      <c r="HZ157" s="361">
        <f t="shared" ref="HZ157:HZ173" si="2182">IFERROR(+(IF(HT157="","0",HT157))+(IF(HV157="","0",HV157))+(IF(HY157="","0",HY157)),"")</f>
        <v>0</v>
      </c>
      <c r="IA157" s="360">
        <f t="shared" ref="IA157:IA173" si="2183">IA121</f>
        <v>0.4604471269</v>
      </c>
      <c r="IB157" s="362">
        <f t="shared" ref="IB157:IB173" si="2184">IFERROR(+IA157*(HZ157-HY157),"")</f>
        <v>0</v>
      </c>
      <c r="IC157" s="363">
        <f t="shared" ref="IC157:IC173" si="2185">IFERROR(+(IF(HZ157="","0",HZ157))-(IF(IB157="","0",IB157)),"")</f>
        <v>0</v>
      </c>
      <c r="ID157" s="364"/>
      <c r="IE157" s="356">
        <v>1.0</v>
      </c>
      <c r="IF157" s="357" t="str">
        <f t="shared" ref="IF157:IH157" si="2084">IFERROR(VLOOKUP($R157,$A$13:$D$30,-IF$12,FALSE),"")</f>
        <v>Bijih  Emas</v>
      </c>
      <c r="IG157" s="358" t="str">
        <f t="shared" si="2084"/>
        <v>Bijih </v>
      </c>
      <c r="IH157" s="358" t="str">
        <f t="shared" si="2084"/>
        <v>Kg</v>
      </c>
      <c r="II157" s="359" t="str">
        <f>ADHK!II157</f>
        <v/>
      </c>
      <c r="IJ157" s="359"/>
      <c r="IK157" s="359">
        <f t="shared" ref="IK157:IK173" si="2187">IFERROR(+II157*IJ157/1000000,"")</f>
        <v>0</v>
      </c>
      <c r="IL157" s="360"/>
      <c r="IM157" s="359">
        <f t="shared" ref="IM157:IM173" si="2188">IFERROR(+IK157*IL157,"")</f>
        <v>0</v>
      </c>
      <c r="IN157" s="85"/>
      <c r="IO157" s="85"/>
      <c r="IP157" s="86"/>
      <c r="IQ157" s="361">
        <f t="shared" ref="IQ157:IQ173" si="2189">IFERROR(+(IF(IK157="","0",IK157))+(IF(IM157="","0",IM157))+(IF(IP157="","0",IP157)),"")</f>
        <v>0</v>
      </c>
      <c r="IR157" s="360">
        <f t="shared" ref="IR157:IR173" si="2190">IR121</f>
        <v>0.4604471269</v>
      </c>
      <c r="IS157" s="362">
        <f t="shared" ref="IS157:IS173" si="2191">IFERROR(+IR157*(IQ157-IP157),"")</f>
        <v>0</v>
      </c>
      <c r="IT157" s="363">
        <f t="shared" ref="IT157:IT173" si="2192">IFERROR(+(IF(IQ157="","0",IQ157))-(IF(IS157="","0",IS157)),"")</f>
        <v>0</v>
      </c>
      <c r="IU157" s="364"/>
      <c r="IV157" s="356">
        <v>1.0</v>
      </c>
      <c r="IW157" s="357" t="str">
        <f t="shared" ref="IW157:IY157" si="2085">IFERROR(VLOOKUP($R157,$A$13:$D$30,-IW$12,FALSE),"")</f>
        <v>Bijih  Emas</v>
      </c>
      <c r="IX157" s="358" t="str">
        <f t="shared" si="2085"/>
        <v>Bijih </v>
      </c>
      <c r="IY157" s="358" t="str">
        <f t="shared" si="2085"/>
        <v>Kg</v>
      </c>
      <c r="IZ157" s="359" t="str">
        <f>ADHK!IZ157</f>
        <v/>
      </c>
      <c r="JA157" s="359"/>
      <c r="JB157" s="359">
        <f t="shared" ref="JB157:JB173" si="2194">IFERROR(+IZ157*JA157/1000000,"")</f>
        <v>0</v>
      </c>
      <c r="JC157" s="360"/>
      <c r="JD157" s="359">
        <f t="shared" ref="JD157:JD173" si="2195">IFERROR(+JB157*JC157,"")</f>
        <v>0</v>
      </c>
      <c r="JE157" s="85"/>
      <c r="JF157" s="85"/>
      <c r="JG157" s="86"/>
      <c r="JH157" s="361">
        <f t="shared" ref="JH157:JH173" si="2196">IFERROR(+(IF(JB157="","0",JB157))+(IF(JD157="","0",JD157))+(IF(JG157="","0",JG157)),"")</f>
        <v>0</v>
      </c>
      <c r="JI157" s="360">
        <f t="shared" ref="JI157:JI173" si="2197">JI121</f>
        <v>0.4604471269</v>
      </c>
      <c r="JJ157" s="362">
        <f t="shared" ref="JJ157:JJ173" si="2198">IFERROR(+JI157*(JH157-JG157),"")</f>
        <v>0</v>
      </c>
      <c r="JK157" s="363">
        <f t="shared" ref="JK157:JK173" si="2199">IFERROR(+(IF(JH157="","0",JH157))-(IF(JJ157="","0",JJ157)),"")</f>
        <v>0</v>
      </c>
      <c r="JL157" s="364"/>
      <c r="JM157" s="356">
        <v>1.0</v>
      </c>
      <c r="JN157" s="357" t="str">
        <f t="shared" ref="JN157:JP157" si="2086">IFERROR(VLOOKUP($R157,$A$13:$D$30,-JN$12,FALSE),"")</f>
        <v>Bijih  Emas</v>
      </c>
      <c r="JO157" s="358" t="str">
        <f t="shared" si="2086"/>
        <v>Bijih </v>
      </c>
      <c r="JP157" s="358" t="str">
        <f t="shared" si="2086"/>
        <v>Kg</v>
      </c>
      <c r="JQ157" s="359" t="str">
        <f>ADHK!KY157</f>
        <v/>
      </c>
      <c r="JR157" s="359"/>
      <c r="JS157" s="359">
        <f t="shared" ref="JS157:JS173" si="2201">IFERROR(+JQ157*JR157/1000000,"")</f>
        <v>0</v>
      </c>
      <c r="JT157" s="360"/>
      <c r="JU157" s="359">
        <f t="shared" ref="JU157:JU173" si="2202">IFERROR(+JS157*JT157,"")</f>
        <v>0</v>
      </c>
      <c r="JV157" s="85"/>
      <c r="JW157" s="85"/>
      <c r="JX157" s="86"/>
      <c r="JY157" s="361">
        <f t="shared" ref="JY157:JY173" si="2203">IFERROR(+(IF(JS157="","0",JS157))+(IF(JU157="","0",JU157))+(IF(JX157="","0",JX157)),"")</f>
        <v>0</v>
      </c>
      <c r="JZ157" s="360">
        <f t="shared" ref="JZ157:JZ173" si="2204">JZ121</f>
        <v>0.4604471269</v>
      </c>
      <c r="KA157" s="362">
        <f t="shared" ref="KA157:KA173" si="2205">IFERROR(+JZ157*(JY157-JX157),"")</f>
        <v>0</v>
      </c>
      <c r="KB157" s="363">
        <f t="shared" ref="KB157:KB173" si="2206">IFERROR(+(IF(JY157="","0",JY157))-(IF(KA157="","0",KA157)),"")</f>
        <v>0</v>
      </c>
      <c r="KC157" s="364"/>
      <c r="KD157" s="356">
        <v>1.0</v>
      </c>
      <c r="KE157" s="357" t="str">
        <f t="shared" ref="KE157:KG157" si="2087">IFERROR(VLOOKUP($R157,$A$13:$D$30,-KE$12,FALSE),"")</f>
        <v>Bijih  Emas</v>
      </c>
      <c r="KF157" s="358" t="str">
        <f t="shared" si="2087"/>
        <v>Bijih </v>
      </c>
      <c r="KG157" s="358" t="str">
        <f t="shared" si="2087"/>
        <v>Kg</v>
      </c>
      <c r="KH157" s="359" t="str">
        <f>ADHK!LP157</f>
        <v/>
      </c>
      <c r="KI157" s="359"/>
      <c r="KJ157" s="359">
        <f t="shared" ref="KJ157:KJ173" si="2208">IFERROR(+KH157*KI157/1000000,"")</f>
        <v>0</v>
      </c>
      <c r="KK157" s="360"/>
      <c r="KL157" s="359">
        <f t="shared" ref="KL157:KL173" si="2209">IFERROR(+KJ157*KK157,"")</f>
        <v>0</v>
      </c>
      <c r="KM157" s="85"/>
      <c r="KN157" s="85"/>
      <c r="KO157" s="86"/>
      <c r="KP157" s="361">
        <f t="shared" ref="KP157:KP173" si="2210">IFERROR(+(IF(KJ157="","0",KJ157))+(IF(KL157="","0",KL157))+(IF(KO157="","0",KO157)),"")</f>
        <v>0</v>
      </c>
      <c r="KQ157" s="360">
        <f t="shared" ref="KQ157:KQ173" si="2211">KQ121</f>
        <v>0.4604471269</v>
      </c>
      <c r="KR157" s="362">
        <f t="shared" ref="KR157:KR173" si="2212">IFERROR(+KQ157*(KP157-KO157),"")</f>
        <v>0</v>
      </c>
      <c r="KS157" s="363">
        <f t="shared" ref="KS157:KS173" si="2213">IFERROR(+(IF(KP157="","0",KP157))-(IF(KR157="","0",KR157)),"")</f>
        <v>0</v>
      </c>
      <c r="KT157" s="364"/>
      <c r="KU157" s="365"/>
    </row>
    <row r="158" ht="15.75" customHeight="1">
      <c r="A158" s="366">
        <f t="shared" ref="A158:A173" si="2214">A157+1</f>
        <v>2</v>
      </c>
      <c r="B158" s="367" t="str">
        <f t="shared" ref="B158:D158" si="2088">IFERROR(VLOOKUP($A158,$A$13:$D$30,-B$12,FALSE),"")</f>
        <v>Bijih  Perak</v>
      </c>
      <c r="C158" s="368" t="str">
        <f t="shared" si="2088"/>
        <v>Bijih </v>
      </c>
      <c r="D158" s="368" t="str">
        <f t="shared" si="2088"/>
        <v>Kg</v>
      </c>
      <c r="E158" s="361" t="str">
        <f>ADHK!E158</f>
        <v/>
      </c>
      <c r="F158" s="361" t="str">
        <f>ADHK!F158</f>
        <v/>
      </c>
      <c r="G158" s="361">
        <f t="shared" si="2089"/>
        <v>0</v>
      </c>
      <c r="H158" s="369"/>
      <c r="I158" s="361">
        <f t="shared" si="2090"/>
        <v>0</v>
      </c>
      <c r="J158" s="96"/>
      <c r="K158" s="96"/>
      <c r="L158" s="97"/>
      <c r="M158" s="361">
        <f t="shared" si="2091"/>
        <v>0</v>
      </c>
      <c r="N158" s="369">
        <f t="shared" si="2092"/>
        <v>0.4604471269</v>
      </c>
      <c r="O158" s="370">
        <f t="shared" si="2093"/>
        <v>0</v>
      </c>
      <c r="P158" s="371">
        <f t="shared" si="2094"/>
        <v>0</v>
      </c>
      <c r="Q158" s="364"/>
      <c r="R158" s="366">
        <f t="shared" ref="R158:R173" si="2216">R157+1</f>
        <v>2</v>
      </c>
      <c r="S158" s="367" t="str">
        <f t="shared" ref="S158:U158" si="2095">IFERROR(VLOOKUP($R158,$A$13:$D$30,-S$12,FALSE),"")</f>
        <v>Bijih  Perak</v>
      </c>
      <c r="T158" s="368" t="str">
        <f t="shared" si="2095"/>
        <v>Bijih </v>
      </c>
      <c r="U158" s="368" t="str">
        <f t="shared" si="2095"/>
        <v>Kg</v>
      </c>
      <c r="V158" s="361" t="str">
        <f>ADHK!V158</f>
        <v/>
      </c>
      <c r="W158" s="361"/>
      <c r="X158" s="361">
        <f t="shared" si="2096"/>
        <v>0</v>
      </c>
      <c r="Y158" s="369"/>
      <c r="Z158" s="361">
        <f t="shared" si="2097"/>
        <v>0</v>
      </c>
      <c r="AA158" s="96"/>
      <c r="AB158" s="96"/>
      <c r="AC158" s="97"/>
      <c r="AD158" s="361">
        <f t="shared" si="2098"/>
        <v>0</v>
      </c>
      <c r="AE158" s="369">
        <f t="shared" si="2099"/>
        <v>0.4604471269</v>
      </c>
      <c r="AF158" s="370">
        <f t="shared" si="2100"/>
        <v>0</v>
      </c>
      <c r="AG158" s="371">
        <f t="shared" si="2101"/>
        <v>0</v>
      </c>
      <c r="AH158" s="364"/>
      <c r="AI158" s="366">
        <f t="shared" ref="AI158:AI173" si="2218">AI157+1</f>
        <v>2</v>
      </c>
      <c r="AJ158" s="367" t="str">
        <f t="shared" ref="AJ158:AL158" si="2102">IFERROR(VLOOKUP($R158,$A$13:$D$30,-AJ$12,FALSE),"")</f>
        <v>Bijih  Perak</v>
      </c>
      <c r="AK158" s="368" t="str">
        <f t="shared" si="2102"/>
        <v>Bijih </v>
      </c>
      <c r="AL158" s="368" t="str">
        <f t="shared" si="2102"/>
        <v>Kg</v>
      </c>
      <c r="AM158" s="361" t="str">
        <f>ADHK!AM158</f>
        <v/>
      </c>
      <c r="AN158" s="361"/>
      <c r="AO158" s="361">
        <f t="shared" si="2103"/>
        <v>0</v>
      </c>
      <c r="AP158" s="369"/>
      <c r="AQ158" s="361">
        <f t="shared" si="2104"/>
        <v>0</v>
      </c>
      <c r="AR158" s="96"/>
      <c r="AS158" s="96"/>
      <c r="AT158" s="97"/>
      <c r="AU158" s="361">
        <f t="shared" si="2105"/>
        <v>0</v>
      </c>
      <c r="AV158" s="369">
        <f t="shared" si="2106"/>
        <v>0.4604471269</v>
      </c>
      <c r="AW158" s="370">
        <f t="shared" si="2107"/>
        <v>0</v>
      </c>
      <c r="AX158" s="371">
        <f t="shared" si="2108"/>
        <v>0</v>
      </c>
      <c r="AY158" s="364"/>
      <c r="AZ158" s="366">
        <f t="shared" ref="AZ158:AZ173" si="2220">AZ157+1</f>
        <v>2</v>
      </c>
      <c r="BA158" s="367" t="str">
        <f t="shared" ref="BA158:BC158" si="2109">IFERROR(VLOOKUP($R158,$A$13:$D$30,-BA$12,FALSE),"")</f>
        <v>Bijih  Perak</v>
      </c>
      <c r="BB158" s="368" t="str">
        <f t="shared" si="2109"/>
        <v>Bijih </v>
      </c>
      <c r="BC158" s="368" t="str">
        <f t="shared" si="2109"/>
        <v>Kg</v>
      </c>
      <c r="BD158" s="361" t="str">
        <f>ADHK!BD158</f>
        <v/>
      </c>
      <c r="BE158" s="361"/>
      <c r="BF158" s="361">
        <f t="shared" si="2110"/>
        <v>0</v>
      </c>
      <c r="BG158" s="369"/>
      <c r="BH158" s="361">
        <f t="shared" si="2111"/>
        <v>0</v>
      </c>
      <c r="BI158" s="96"/>
      <c r="BJ158" s="96"/>
      <c r="BK158" s="97"/>
      <c r="BL158" s="361">
        <f t="shared" si="2112"/>
        <v>0</v>
      </c>
      <c r="BM158" s="369">
        <f t="shared" si="2113"/>
        <v>0.4604471269</v>
      </c>
      <c r="BN158" s="370">
        <f t="shared" si="2114"/>
        <v>0</v>
      </c>
      <c r="BO158" s="371">
        <f t="shared" si="2115"/>
        <v>0</v>
      </c>
      <c r="BP158" s="364"/>
      <c r="BQ158" s="366">
        <f t="shared" ref="BQ158:BQ173" si="2222">BQ157+1</f>
        <v>2</v>
      </c>
      <c r="BR158" s="367" t="str">
        <f t="shared" ref="BR158:BT158" si="2116">IFERROR(VLOOKUP($R158,$A$13:$D$30,-BR$12,FALSE),"")</f>
        <v>Bijih  Perak</v>
      </c>
      <c r="BS158" s="368" t="str">
        <f t="shared" si="2116"/>
        <v>Bijih </v>
      </c>
      <c r="BT158" s="368" t="str">
        <f t="shared" si="2116"/>
        <v>Kg</v>
      </c>
      <c r="BU158" s="361" t="str">
        <f>ADHK!BU158</f>
        <v/>
      </c>
      <c r="BV158" s="361"/>
      <c r="BW158" s="361">
        <f t="shared" si="2117"/>
        <v>0</v>
      </c>
      <c r="BX158" s="369"/>
      <c r="BY158" s="361">
        <f t="shared" si="2118"/>
        <v>0</v>
      </c>
      <c r="BZ158" s="96"/>
      <c r="CA158" s="96"/>
      <c r="CB158" s="97"/>
      <c r="CC158" s="361">
        <f t="shared" si="2119"/>
        <v>0</v>
      </c>
      <c r="CD158" s="369">
        <f t="shared" si="2120"/>
        <v>0.4604471269</v>
      </c>
      <c r="CE158" s="370">
        <f t="shared" si="2121"/>
        <v>0</v>
      </c>
      <c r="CF158" s="371">
        <f t="shared" si="2122"/>
        <v>0</v>
      </c>
      <c r="CG158" s="364"/>
      <c r="CH158" s="366">
        <f t="shared" ref="CH158:CH173" si="2224">CH157+1</f>
        <v>2</v>
      </c>
      <c r="CI158" s="367" t="str">
        <f t="shared" ref="CI158:CK158" si="2123">IFERROR(VLOOKUP($R158,$A$13:$D$30,-CI$12,FALSE),"")</f>
        <v>Bijih  Perak</v>
      </c>
      <c r="CJ158" s="368" t="str">
        <f t="shared" si="2123"/>
        <v>Bijih </v>
      </c>
      <c r="CK158" s="368" t="str">
        <f t="shared" si="2123"/>
        <v>Kg</v>
      </c>
      <c r="CL158" s="361" t="str">
        <f>ADHK!CL158</f>
        <v/>
      </c>
      <c r="CM158" s="361"/>
      <c r="CN158" s="361">
        <f t="shared" si="2124"/>
        <v>0</v>
      </c>
      <c r="CO158" s="369"/>
      <c r="CP158" s="361">
        <f t="shared" si="2125"/>
        <v>0</v>
      </c>
      <c r="CQ158" s="96"/>
      <c r="CR158" s="96"/>
      <c r="CS158" s="97"/>
      <c r="CT158" s="361">
        <f t="shared" si="2126"/>
        <v>0</v>
      </c>
      <c r="CU158" s="369">
        <f t="shared" si="2127"/>
        <v>0.4604471269</v>
      </c>
      <c r="CV158" s="370">
        <f t="shared" si="2128"/>
        <v>0</v>
      </c>
      <c r="CW158" s="371">
        <f t="shared" si="2129"/>
        <v>0</v>
      </c>
      <c r="CX158" s="364"/>
      <c r="CY158" s="366">
        <f t="shared" ref="CY158:CY173" si="2226">CY157+1</f>
        <v>2</v>
      </c>
      <c r="CZ158" s="367" t="str">
        <f t="shared" ref="CZ158:DB158" si="2130">IFERROR(VLOOKUP($R158,$A$13:$D$30,-CZ$12,FALSE),"")</f>
        <v>Bijih  Perak</v>
      </c>
      <c r="DA158" s="368" t="str">
        <f t="shared" si="2130"/>
        <v>Bijih </v>
      </c>
      <c r="DB158" s="368" t="str">
        <f t="shared" si="2130"/>
        <v>Kg</v>
      </c>
      <c r="DC158" s="361" t="str">
        <f>ADHK!DC158</f>
        <v/>
      </c>
      <c r="DD158" s="361"/>
      <c r="DE158" s="361">
        <f t="shared" si="2131"/>
        <v>0</v>
      </c>
      <c r="DF158" s="369"/>
      <c r="DG158" s="361">
        <f t="shared" si="2132"/>
        <v>0</v>
      </c>
      <c r="DH158" s="96"/>
      <c r="DI158" s="96"/>
      <c r="DJ158" s="97"/>
      <c r="DK158" s="361">
        <f t="shared" si="2133"/>
        <v>0</v>
      </c>
      <c r="DL158" s="369">
        <f t="shared" si="2134"/>
        <v>0.4604471269</v>
      </c>
      <c r="DM158" s="370">
        <f t="shared" si="2135"/>
        <v>0</v>
      </c>
      <c r="DN158" s="371">
        <f t="shared" si="2136"/>
        <v>0</v>
      </c>
      <c r="DO158" s="364"/>
      <c r="DP158" s="366">
        <f t="shared" ref="DP158:DP173" si="2228">DP157+1</f>
        <v>2</v>
      </c>
      <c r="DQ158" s="367" t="str">
        <f t="shared" ref="DQ158:DS158" si="2137">IFERROR(VLOOKUP($R158,$A$13:$D$30,-DQ$12,FALSE),"")</f>
        <v>Bijih  Perak</v>
      </c>
      <c r="DR158" s="368" t="str">
        <f t="shared" si="2137"/>
        <v>Bijih </v>
      </c>
      <c r="DS158" s="368" t="str">
        <f t="shared" si="2137"/>
        <v>Kg</v>
      </c>
      <c r="DT158" s="361" t="str">
        <f>ADHK!DT158</f>
        <v/>
      </c>
      <c r="DU158" s="361"/>
      <c r="DV158" s="361">
        <f t="shared" si="2138"/>
        <v>0</v>
      </c>
      <c r="DW158" s="369"/>
      <c r="DX158" s="361">
        <f t="shared" si="2139"/>
        <v>0</v>
      </c>
      <c r="DY158" s="96"/>
      <c r="DZ158" s="96"/>
      <c r="EA158" s="97"/>
      <c r="EB158" s="361">
        <f t="shared" si="2140"/>
        <v>0</v>
      </c>
      <c r="EC158" s="369">
        <f t="shared" si="2141"/>
        <v>0.4604471269</v>
      </c>
      <c r="ED158" s="370">
        <f t="shared" si="2142"/>
        <v>0</v>
      </c>
      <c r="EE158" s="371">
        <f t="shared" si="2143"/>
        <v>0</v>
      </c>
      <c r="EF158" s="364"/>
      <c r="EG158" s="366">
        <f t="shared" ref="EG158:EG173" si="2230">EG157+1</f>
        <v>2</v>
      </c>
      <c r="EH158" s="367" t="str">
        <f t="shared" ref="EH158:EJ158" si="2144">IFERROR(VLOOKUP($R158,$A$13:$D$30,-EH$12,FALSE),"")</f>
        <v>Bijih  Perak</v>
      </c>
      <c r="EI158" s="368" t="str">
        <f t="shared" si="2144"/>
        <v>Bijih </v>
      </c>
      <c r="EJ158" s="368" t="str">
        <f t="shared" si="2144"/>
        <v>Kg</v>
      </c>
      <c r="EK158" s="361" t="str">
        <f>ADHK!EK158</f>
        <v/>
      </c>
      <c r="EL158" s="361"/>
      <c r="EM158" s="361">
        <f t="shared" si="2145"/>
        <v>0</v>
      </c>
      <c r="EN158" s="369"/>
      <c r="EO158" s="361">
        <f t="shared" si="2146"/>
        <v>0</v>
      </c>
      <c r="EP158" s="96"/>
      <c r="EQ158" s="96"/>
      <c r="ER158" s="97"/>
      <c r="ES158" s="361">
        <f t="shared" si="2147"/>
        <v>0</v>
      </c>
      <c r="ET158" s="369">
        <f t="shared" si="2148"/>
        <v>0.4604471269</v>
      </c>
      <c r="EU158" s="370">
        <f t="shared" si="2149"/>
        <v>0</v>
      </c>
      <c r="EV158" s="371">
        <f t="shared" si="2150"/>
        <v>0</v>
      </c>
      <c r="EW158" s="364"/>
      <c r="EX158" s="366">
        <f t="shared" ref="EX158:EX173" si="2232">EX157+1</f>
        <v>2</v>
      </c>
      <c r="EY158" s="367" t="str">
        <f t="shared" ref="EY158:FA158" si="2151">IFERROR(VLOOKUP($R158,$A$13:$D$30,-EY$12,FALSE),"")</f>
        <v>Bijih  Perak</v>
      </c>
      <c r="EZ158" s="368" t="str">
        <f t="shared" si="2151"/>
        <v>Bijih </v>
      </c>
      <c r="FA158" s="368" t="str">
        <f t="shared" si="2151"/>
        <v>Kg</v>
      </c>
      <c r="FB158" s="361" t="str">
        <f>ADHK!FB158</f>
        <v/>
      </c>
      <c r="FC158" s="361"/>
      <c r="FD158" s="361">
        <f t="shared" si="2152"/>
        <v>0</v>
      </c>
      <c r="FE158" s="369"/>
      <c r="FF158" s="361">
        <f t="shared" si="2153"/>
        <v>0</v>
      </c>
      <c r="FG158" s="96"/>
      <c r="FH158" s="96"/>
      <c r="FI158" s="97"/>
      <c r="FJ158" s="361">
        <f t="shared" si="2154"/>
        <v>0</v>
      </c>
      <c r="FK158" s="369">
        <f t="shared" si="2155"/>
        <v>0.4604471269</v>
      </c>
      <c r="FL158" s="370">
        <f t="shared" si="2156"/>
        <v>0</v>
      </c>
      <c r="FM158" s="371">
        <f t="shared" si="2157"/>
        <v>0</v>
      </c>
      <c r="FN158" s="364"/>
      <c r="FO158" s="366">
        <f t="shared" ref="FO158:FO173" si="2234">FO157+1</f>
        <v>2</v>
      </c>
      <c r="FP158" s="367" t="str">
        <f t="shared" ref="FP158:FR158" si="2158">IFERROR(VLOOKUP($R158,$A$13:$D$30,-FP$12,FALSE),"")</f>
        <v>Bijih  Perak</v>
      </c>
      <c r="FQ158" s="368" t="str">
        <f t="shared" si="2158"/>
        <v>Bijih </v>
      </c>
      <c r="FR158" s="368" t="str">
        <f t="shared" si="2158"/>
        <v>Kg</v>
      </c>
      <c r="FS158" s="361" t="str">
        <f>ADHK!FS158</f>
        <v/>
      </c>
      <c r="FT158" s="361"/>
      <c r="FU158" s="361">
        <f t="shared" si="2159"/>
        <v>0</v>
      </c>
      <c r="FV158" s="369"/>
      <c r="FW158" s="361">
        <f t="shared" si="2160"/>
        <v>0</v>
      </c>
      <c r="FX158" s="96"/>
      <c r="FY158" s="96"/>
      <c r="FZ158" s="97"/>
      <c r="GA158" s="361">
        <f t="shared" si="2161"/>
        <v>0</v>
      </c>
      <c r="GB158" s="369">
        <f t="shared" si="2162"/>
        <v>0.4604471269</v>
      </c>
      <c r="GC158" s="370">
        <f t="shared" si="2163"/>
        <v>0</v>
      </c>
      <c r="GD158" s="371">
        <f t="shared" si="2164"/>
        <v>0</v>
      </c>
      <c r="GE158" s="364"/>
      <c r="GF158" s="366">
        <f t="shared" ref="GF158:GF173" si="2236">GF157+1</f>
        <v>2</v>
      </c>
      <c r="GG158" s="367" t="str">
        <f t="shared" ref="GG158:GI158" si="2165">IFERROR(VLOOKUP($R158,$A$13:$D$30,-GG$12,FALSE),"")</f>
        <v>Bijih  Perak</v>
      </c>
      <c r="GH158" s="368" t="str">
        <f t="shared" si="2165"/>
        <v>Bijih </v>
      </c>
      <c r="GI158" s="368" t="str">
        <f t="shared" si="2165"/>
        <v>Kg</v>
      </c>
      <c r="GJ158" s="361" t="str">
        <f>ADHK!GJ158</f>
        <v/>
      </c>
      <c r="GK158" s="361"/>
      <c r="GL158" s="361">
        <f t="shared" si="2166"/>
        <v>0</v>
      </c>
      <c r="GM158" s="369"/>
      <c r="GN158" s="361">
        <f t="shared" si="2167"/>
        <v>0</v>
      </c>
      <c r="GO158" s="96"/>
      <c r="GP158" s="96"/>
      <c r="GQ158" s="97"/>
      <c r="GR158" s="361">
        <f t="shared" si="2168"/>
        <v>0</v>
      </c>
      <c r="GS158" s="369">
        <f t="shared" si="2169"/>
        <v>0.4604471269</v>
      </c>
      <c r="GT158" s="370">
        <f t="shared" si="2170"/>
        <v>0</v>
      </c>
      <c r="GU158" s="371">
        <f t="shared" si="2171"/>
        <v>0</v>
      </c>
      <c r="GV158" s="364"/>
      <c r="GW158" s="366">
        <f t="shared" ref="GW158:GW173" si="2238">GW157+1</f>
        <v>2</v>
      </c>
      <c r="GX158" s="367" t="str">
        <f t="shared" ref="GX158:GZ158" si="2172">IFERROR(VLOOKUP($R158,$A$13:$D$30,-GX$12,FALSE),"")</f>
        <v>Bijih  Perak</v>
      </c>
      <c r="GY158" s="368" t="str">
        <f t="shared" si="2172"/>
        <v>Bijih </v>
      </c>
      <c r="GZ158" s="368" t="str">
        <f t="shared" si="2172"/>
        <v>Kg</v>
      </c>
      <c r="HA158" s="361" t="str">
        <f>ADHK!HA158</f>
        <v/>
      </c>
      <c r="HB158" s="361"/>
      <c r="HC158" s="361">
        <f t="shared" si="2173"/>
        <v>0</v>
      </c>
      <c r="HD158" s="369"/>
      <c r="HE158" s="361">
        <f t="shared" si="2174"/>
        <v>0</v>
      </c>
      <c r="HF158" s="96"/>
      <c r="HG158" s="96"/>
      <c r="HH158" s="97"/>
      <c r="HI158" s="361">
        <f t="shared" si="2175"/>
        <v>0</v>
      </c>
      <c r="HJ158" s="369">
        <f t="shared" si="2176"/>
        <v>0.4604471269</v>
      </c>
      <c r="HK158" s="370">
        <f t="shared" si="2177"/>
        <v>0</v>
      </c>
      <c r="HL158" s="371">
        <f t="shared" si="2178"/>
        <v>0</v>
      </c>
      <c r="HM158" s="364"/>
      <c r="HN158" s="366">
        <f t="shared" ref="HN158:HN173" si="2240">HN157+1</f>
        <v>2</v>
      </c>
      <c r="HO158" s="367" t="str">
        <f t="shared" ref="HO158:HQ158" si="2179">IFERROR(VLOOKUP($R158,$A$13:$D$30,-HO$12,FALSE),"")</f>
        <v>Bijih  Perak</v>
      </c>
      <c r="HP158" s="368" t="str">
        <f t="shared" si="2179"/>
        <v>Bijih </v>
      </c>
      <c r="HQ158" s="368" t="str">
        <f t="shared" si="2179"/>
        <v>Kg</v>
      </c>
      <c r="HR158" s="361" t="str">
        <f>ADHK!HR158</f>
        <v/>
      </c>
      <c r="HS158" s="361"/>
      <c r="HT158" s="361">
        <f t="shared" si="2180"/>
        <v>0</v>
      </c>
      <c r="HU158" s="369"/>
      <c r="HV158" s="361">
        <f t="shared" si="2181"/>
        <v>0</v>
      </c>
      <c r="HW158" s="96"/>
      <c r="HX158" s="96"/>
      <c r="HY158" s="97"/>
      <c r="HZ158" s="361">
        <f t="shared" si="2182"/>
        <v>0</v>
      </c>
      <c r="IA158" s="369">
        <f t="shared" si="2183"/>
        <v>0.4604471269</v>
      </c>
      <c r="IB158" s="370">
        <f t="shared" si="2184"/>
        <v>0</v>
      </c>
      <c r="IC158" s="371">
        <f t="shared" si="2185"/>
        <v>0</v>
      </c>
      <c r="ID158" s="364"/>
      <c r="IE158" s="366">
        <f t="shared" ref="IE158:IE173" si="2242">IE157+1</f>
        <v>2</v>
      </c>
      <c r="IF158" s="367" t="str">
        <f t="shared" ref="IF158:IH158" si="2186">IFERROR(VLOOKUP($R158,$A$13:$D$30,-IF$12,FALSE),"")</f>
        <v>Bijih  Perak</v>
      </c>
      <c r="IG158" s="368" t="str">
        <f t="shared" si="2186"/>
        <v>Bijih </v>
      </c>
      <c r="IH158" s="368" t="str">
        <f t="shared" si="2186"/>
        <v>Kg</v>
      </c>
      <c r="II158" s="361" t="str">
        <f>ADHK!II158</f>
        <v/>
      </c>
      <c r="IJ158" s="361"/>
      <c r="IK158" s="361">
        <f t="shared" si="2187"/>
        <v>0</v>
      </c>
      <c r="IL158" s="369"/>
      <c r="IM158" s="361">
        <f t="shared" si="2188"/>
        <v>0</v>
      </c>
      <c r="IN158" s="96"/>
      <c r="IO158" s="96"/>
      <c r="IP158" s="97"/>
      <c r="IQ158" s="361">
        <f t="shared" si="2189"/>
        <v>0</v>
      </c>
      <c r="IR158" s="369">
        <f t="shared" si="2190"/>
        <v>0.4604471269</v>
      </c>
      <c r="IS158" s="370">
        <f t="shared" si="2191"/>
        <v>0</v>
      </c>
      <c r="IT158" s="371">
        <f t="shared" si="2192"/>
        <v>0</v>
      </c>
      <c r="IU158" s="364"/>
      <c r="IV158" s="366">
        <f t="shared" ref="IV158:IV173" si="2244">IV157+1</f>
        <v>2</v>
      </c>
      <c r="IW158" s="367" t="str">
        <f t="shared" ref="IW158:IY158" si="2193">IFERROR(VLOOKUP($R158,$A$13:$D$30,-IW$12,FALSE),"")</f>
        <v>Bijih  Perak</v>
      </c>
      <c r="IX158" s="368" t="str">
        <f t="shared" si="2193"/>
        <v>Bijih </v>
      </c>
      <c r="IY158" s="368" t="str">
        <f t="shared" si="2193"/>
        <v>Kg</v>
      </c>
      <c r="IZ158" s="361" t="str">
        <f>ADHK!IZ158</f>
        <v/>
      </c>
      <c r="JA158" s="361"/>
      <c r="JB158" s="361">
        <f t="shared" si="2194"/>
        <v>0</v>
      </c>
      <c r="JC158" s="369"/>
      <c r="JD158" s="361">
        <f t="shared" si="2195"/>
        <v>0</v>
      </c>
      <c r="JE158" s="96"/>
      <c r="JF158" s="96"/>
      <c r="JG158" s="97"/>
      <c r="JH158" s="361">
        <f t="shared" si="2196"/>
        <v>0</v>
      </c>
      <c r="JI158" s="369">
        <f t="shared" si="2197"/>
        <v>0.4604471269</v>
      </c>
      <c r="JJ158" s="370">
        <f t="shared" si="2198"/>
        <v>0</v>
      </c>
      <c r="JK158" s="371">
        <f t="shared" si="2199"/>
        <v>0</v>
      </c>
      <c r="JL158" s="364"/>
      <c r="JM158" s="366">
        <f t="shared" ref="JM158:JM173" si="2246">JM157+1</f>
        <v>2</v>
      </c>
      <c r="JN158" s="367" t="str">
        <f t="shared" ref="JN158:JP158" si="2200">IFERROR(VLOOKUP($R158,$A$13:$D$30,-JN$12,FALSE),"")</f>
        <v>Bijih  Perak</v>
      </c>
      <c r="JO158" s="368" t="str">
        <f t="shared" si="2200"/>
        <v>Bijih </v>
      </c>
      <c r="JP158" s="368" t="str">
        <f t="shared" si="2200"/>
        <v>Kg</v>
      </c>
      <c r="JQ158" s="361" t="str">
        <f>ADHK!KY158</f>
        <v/>
      </c>
      <c r="JR158" s="361"/>
      <c r="JS158" s="361">
        <f t="shared" si="2201"/>
        <v>0</v>
      </c>
      <c r="JT158" s="369"/>
      <c r="JU158" s="361">
        <f t="shared" si="2202"/>
        <v>0</v>
      </c>
      <c r="JV158" s="96"/>
      <c r="JW158" s="96"/>
      <c r="JX158" s="97"/>
      <c r="JY158" s="361">
        <f t="shared" si="2203"/>
        <v>0</v>
      </c>
      <c r="JZ158" s="369">
        <f t="shared" si="2204"/>
        <v>0.4604471269</v>
      </c>
      <c r="KA158" s="370">
        <f t="shared" si="2205"/>
        <v>0</v>
      </c>
      <c r="KB158" s="371">
        <f t="shared" si="2206"/>
        <v>0</v>
      </c>
      <c r="KC158" s="364"/>
      <c r="KD158" s="366">
        <f t="shared" ref="KD158:KD173" si="2248">KD157+1</f>
        <v>2</v>
      </c>
      <c r="KE158" s="367" t="str">
        <f t="shared" ref="KE158:KG158" si="2207">IFERROR(VLOOKUP($R158,$A$13:$D$30,-KE$12,FALSE),"")</f>
        <v>Bijih  Perak</v>
      </c>
      <c r="KF158" s="368" t="str">
        <f t="shared" si="2207"/>
        <v>Bijih </v>
      </c>
      <c r="KG158" s="368" t="str">
        <f t="shared" si="2207"/>
        <v>Kg</v>
      </c>
      <c r="KH158" s="361" t="str">
        <f>ADHK!LP158</f>
        <v/>
      </c>
      <c r="KI158" s="361"/>
      <c r="KJ158" s="361">
        <f t="shared" si="2208"/>
        <v>0</v>
      </c>
      <c r="KK158" s="369"/>
      <c r="KL158" s="361">
        <f t="shared" si="2209"/>
        <v>0</v>
      </c>
      <c r="KM158" s="96"/>
      <c r="KN158" s="96"/>
      <c r="KO158" s="97"/>
      <c r="KP158" s="361">
        <f t="shared" si="2210"/>
        <v>0</v>
      </c>
      <c r="KQ158" s="369">
        <f t="shared" si="2211"/>
        <v>0.4604471269</v>
      </c>
      <c r="KR158" s="370">
        <f t="shared" si="2212"/>
        <v>0</v>
      </c>
      <c r="KS158" s="371">
        <f t="shared" si="2213"/>
        <v>0</v>
      </c>
      <c r="KT158" s="364"/>
      <c r="KU158" s="365"/>
    </row>
    <row r="159" ht="15.75" customHeight="1">
      <c r="A159" s="366">
        <f t="shared" si="2214"/>
        <v>3</v>
      </c>
      <c r="B159" s="367" t="str">
        <f t="shared" ref="B159:D159" si="2215">IFERROR(VLOOKUP($A159,$A$13:$D$30,-B$12,FALSE),"")</f>
        <v>Tembaga</v>
      </c>
      <c r="C159" s="368" t="str">
        <f t="shared" si="2215"/>
        <v>Bijih </v>
      </c>
      <c r="D159" s="368" t="str">
        <f t="shared" si="2215"/>
        <v>Ton </v>
      </c>
      <c r="E159" s="361" t="str">
        <f>ADHK!E159</f>
        <v/>
      </c>
      <c r="F159" s="361" t="str">
        <f>ADHK!F159</f>
        <v/>
      </c>
      <c r="G159" s="361">
        <f t="shared" si="2089"/>
        <v>0</v>
      </c>
      <c r="H159" s="369"/>
      <c r="I159" s="361">
        <f t="shared" si="2090"/>
        <v>0</v>
      </c>
      <c r="J159" s="96"/>
      <c r="K159" s="96"/>
      <c r="L159" s="97"/>
      <c r="M159" s="361">
        <f t="shared" si="2091"/>
        <v>0</v>
      </c>
      <c r="N159" s="369">
        <f t="shared" si="2092"/>
        <v>0.4604471269</v>
      </c>
      <c r="O159" s="370">
        <f t="shared" si="2093"/>
        <v>0</v>
      </c>
      <c r="P159" s="371">
        <f t="shared" si="2094"/>
        <v>0</v>
      </c>
      <c r="Q159" s="364"/>
      <c r="R159" s="366">
        <f t="shared" si="2216"/>
        <v>3</v>
      </c>
      <c r="S159" s="367" t="str">
        <f t="shared" ref="S159:U159" si="2217">IFERROR(VLOOKUP($R159,$A$13:$D$30,-S$12,FALSE),"")</f>
        <v>Tembaga</v>
      </c>
      <c r="T159" s="368" t="str">
        <f t="shared" si="2217"/>
        <v>Bijih </v>
      </c>
      <c r="U159" s="368" t="str">
        <f t="shared" si="2217"/>
        <v>Ton </v>
      </c>
      <c r="V159" s="361" t="str">
        <f>ADHK!V159</f>
        <v/>
      </c>
      <c r="W159" s="361"/>
      <c r="X159" s="361">
        <f t="shared" si="2096"/>
        <v>0</v>
      </c>
      <c r="Y159" s="369"/>
      <c r="Z159" s="361">
        <f t="shared" si="2097"/>
        <v>0</v>
      </c>
      <c r="AA159" s="96"/>
      <c r="AB159" s="96"/>
      <c r="AC159" s="97"/>
      <c r="AD159" s="361">
        <f t="shared" si="2098"/>
        <v>0</v>
      </c>
      <c r="AE159" s="369">
        <f t="shared" si="2099"/>
        <v>0.4604471269</v>
      </c>
      <c r="AF159" s="370">
        <f t="shared" si="2100"/>
        <v>0</v>
      </c>
      <c r="AG159" s="371">
        <f t="shared" si="2101"/>
        <v>0</v>
      </c>
      <c r="AH159" s="364"/>
      <c r="AI159" s="366">
        <f t="shared" si="2218"/>
        <v>3</v>
      </c>
      <c r="AJ159" s="367" t="str">
        <f t="shared" ref="AJ159:AL159" si="2219">IFERROR(VLOOKUP($R159,$A$13:$D$30,-AJ$12,FALSE),"")</f>
        <v>Tembaga</v>
      </c>
      <c r="AK159" s="368" t="str">
        <f t="shared" si="2219"/>
        <v>Bijih </v>
      </c>
      <c r="AL159" s="368" t="str">
        <f t="shared" si="2219"/>
        <v>Ton </v>
      </c>
      <c r="AM159" s="361" t="str">
        <f>ADHK!AM159</f>
        <v/>
      </c>
      <c r="AN159" s="361"/>
      <c r="AO159" s="361">
        <f t="shared" si="2103"/>
        <v>0</v>
      </c>
      <c r="AP159" s="369"/>
      <c r="AQ159" s="361">
        <f t="shared" si="2104"/>
        <v>0</v>
      </c>
      <c r="AR159" s="96"/>
      <c r="AS159" s="96"/>
      <c r="AT159" s="97"/>
      <c r="AU159" s="361">
        <f t="shared" si="2105"/>
        <v>0</v>
      </c>
      <c r="AV159" s="369">
        <f t="shared" si="2106"/>
        <v>0.4604471269</v>
      </c>
      <c r="AW159" s="370">
        <f t="shared" si="2107"/>
        <v>0</v>
      </c>
      <c r="AX159" s="371">
        <f t="shared" si="2108"/>
        <v>0</v>
      </c>
      <c r="AY159" s="364"/>
      <c r="AZ159" s="366">
        <f t="shared" si="2220"/>
        <v>3</v>
      </c>
      <c r="BA159" s="367" t="str">
        <f t="shared" ref="BA159:BC159" si="2221">IFERROR(VLOOKUP($R159,$A$13:$D$30,-BA$12,FALSE),"")</f>
        <v>Tembaga</v>
      </c>
      <c r="BB159" s="368" t="str">
        <f t="shared" si="2221"/>
        <v>Bijih </v>
      </c>
      <c r="BC159" s="368" t="str">
        <f t="shared" si="2221"/>
        <v>Ton </v>
      </c>
      <c r="BD159" s="361" t="str">
        <f>ADHK!BD159</f>
        <v/>
      </c>
      <c r="BE159" s="361"/>
      <c r="BF159" s="361">
        <f t="shared" si="2110"/>
        <v>0</v>
      </c>
      <c r="BG159" s="369"/>
      <c r="BH159" s="361">
        <f t="shared" si="2111"/>
        <v>0</v>
      </c>
      <c r="BI159" s="96"/>
      <c r="BJ159" s="96"/>
      <c r="BK159" s="97"/>
      <c r="BL159" s="361">
        <f t="shared" si="2112"/>
        <v>0</v>
      </c>
      <c r="BM159" s="369">
        <f t="shared" si="2113"/>
        <v>0.4604471269</v>
      </c>
      <c r="BN159" s="370">
        <f t="shared" si="2114"/>
        <v>0</v>
      </c>
      <c r="BO159" s="371">
        <f t="shared" si="2115"/>
        <v>0</v>
      </c>
      <c r="BP159" s="364"/>
      <c r="BQ159" s="366">
        <f t="shared" si="2222"/>
        <v>3</v>
      </c>
      <c r="BR159" s="367" t="str">
        <f t="shared" ref="BR159:BT159" si="2223">IFERROR(VLOOKUP($R159,$A$13:$D$30,-BR$12,FALSE),"")</f>
        <v>Tembaga</v>
      </c>
      <c r="BS159" s="368" t="str">
        <f t="shared" si="2223"/>
        <v>Bijih </v>
      </c>
      <c r="BT159" s="368" t="str">
        <f t="shared" si="2223"/>
        <v>Ton </v>
      </c>
      <c r="BU159" s="361" t="str">
        <f>ADHK!BU159</f>
        <v/>
      </c>
      <c r="BV159" s="361"/>
      <c r="BW159" s="361">
        <f t="shared" si="2117"/>
        <v>0</v>
      </c>
      <c r="BX159" s="369"/>
      <c r="BY159" s="361">
        <f t="shared" si="2118"/>
        <v>0</v>
      </c>
      <c r="BZ159" s="96"/>
      <c r="CA159" s="96"/>
      <c r="CB159" s="97"/>
      <c r="CC159" s="361">
        <f t="shared" si="2119"/>
        <v>0</v>
      </c>
      <c r="CD159" s="369">
        <f t="shared" si="2120"/>
        <v>0.4604471269</v>
      </c>
      <c r="CE159" s="370">
        <f t="shared" si="2121"/>
        <v>0</v>
      </c>
      <c r="CF159" s="371">
        <f t="shared" si="2122"/>
        <v>0</v>
      </c>
      <c r="CG159" s="364"/>
      <c r="CH159" s="366">
        <f t="shared" si="2224"/>
        <v>3</v>
      </c>
      <c r="CI159" s="367" t="str">
        <f t="shared" ref="CI159:CK159" si="2225">IFERROR(VLOOKUP($R159,$A$13:$D$30,-CI$12,FALSE),"")</f>
        <v>Tembaga</v>
      </c>
      <c r="CJ159" s="368" t="str">
        <f t="shared" si="2225"/>
        <v>Bijih </v>
      </c>
      <c r="CK159" s="368" t="str">
        <f t="shared" si="2225"/>
        <v>Ton </v>
      </c>
      <c r="CL159" s="361" t="str">
        <f>ADHK!CL159</f>
        <v/>
      </c>
      <c r="CM159" s="361"/>
      <c r="CN159" s="361">
        <f t="shared" si="2124"/>
        <v>0</v>
      </c>
      <c r="CO159" s="369"/>
      <c r="CP159" s="361">
        <f t="shared" si="2125"/>
        <v>0</v>
      </c>
      <c r="CQ159" s="96"/>
      <c r="CR159" s="96"/>
      <c r="CS159" s="97"/>
      <c r="CT159" s="361">
        <f t="shared" si="2126"/>
        <v>0</v>
      </c>
      <c r="CU159" s="369">
        <f t="shared" si="2127"/>
        <v>0.4604471269</v>
      </c>
      <c r="CV159" s="370">
        <f t="shared" si="2128"/>
        <v>0</v>
      </c>
      <c r="CW159" s="371">
        <f t="shared" si="2129"/>
        <v>0</v>
      </c>
      <c r="CX159" s="364"/>
      <c r="CY159" s="366">
        <f t="shared" si="2226"/>
        <v>3</v>
      </c>
      <c r="CZ159" s="367" t="str">
        <f t="shared" ref="CZ159:DB159" si="2227">IFERROR(VLOOKUP($R159,$A$13:$D$30,-CZ$12,FALSE),"")</f>
        <v>Tembaga</v>
      </c>
      <c r="DA159" s="368" t="str">
        <f t="shared" si="2227"/>
        <v>Bijih </v>
      </c>
      <c r="DB159" s="368" t="str">
        <f t="shared" si="2227"/>
        <v>Ton </v>
      </c>
      <c r="DC159" s="361" t="str">
        <f>ADHK!DC159</f>
        <v/>
      </c>
      <c r="DD159" s="361"/>
      <c r="DE159" s="361">
        <f t="shared" si="2131"/>
        <v>0</v>
      </c>
      <c r="DF159" s="369"/>
      <c r="DG159" s="361">
        <f t="shared" si="2132"/>
        <v>0</v>
      </c>
      <c r="DH159" s="96"/>
      <c r="DI159" s="96"/>
      <c r="DJ159" s="97"/>
      <c r="DK159" s="361">
        <f t="shared" si="2133"/>
        <v>0</v>
      </c>
      <c r="DL159" s="369">
        <f t="shared" si="2134"/>
        <v>0.4604471269</v>
      </c>
      <c r="DM159" s="370">
        <f t="shared" si="2135"/>
        <v>0</v>
      </c>
      <c r="DN159" s="371">
        <f t="shared" si="2136"/>
        <v>0</v>
      </c>
      <c r="DO159" s="364"/>
      <c r="DP159" s="366">
        <f t="shared" si="2228"/>
        <v>3</v>
      </c>
      <c r="DQ159" s="367" t="str">
        <f t="shared" ref="DQ159:DS159" si="2229">IFERROR(VLOOKUP($R159,$A$13:$D$30,-DQ$12,FALSE),"")</f>
        <v>Tembaga</v>
      </c>
      <c r="DR159" s="368" t="str">
        <f t="shared" si="2229"/>
        <v>Bijih </v>
      </c>
      <c r="DS159" s="368" t="str">
        <f t="shared" si="2229"/>
        <v>Ton </v>
      </c>
      <c r="DT159" s="361" t="str">
        <f>ADHK!DT159</f>
        <v/>
      </c>
      <c r="DU159" s="361"/>
      <c r="DV159" s="361">
        <f t="shared" si="2138"/>
        <v>0</v>
      </c>
      <c r="DW159" s="369"/>
      <c r="DX159" s="361">
        <f t="shared" si="2139"/>
        <v>0</v>
      </c>
      <c r="DY159" s="96"/>
      <c r="DZ159" s="96"/>
      <c r="EA159" s="97"/>
      <c r="EB159" s="361">
        <f t="shared" si="2140"/>
        <v>0</v>
      </c>
      <c r="EC159" s="369">
        <f t="shared" si="2141"/>
        <v>0.4604471269</v>
      </c>
      <c r="ED159" s="370">
        <f t="shared" si="2142"/>
        <v>0</v>
      </c>
      <c r="EE159" s="371">
        <f t="shared" si="2143"/>
        <v>0</v>
      </c>
      <c r="EF159" s="364"/>
      <c r="EG159" s="366">
        <f t="shared" si="2230"/>
        <v>3</v>
      </c>
      <c r="EH159" s="367" t="str">
        <f t="shared" ref="EH159:EJ159" si="2231">IFERROR(VLOOKUP($R159,$A$13:$D$30,-EH$12,FALSE),"")</f>
        <v>Tembaga</v>
      </c>
      <c r="EI159" s="368" t="str">
        <f t="shared" si="2231"/>
        <v>Bijih </v>
      </c>
      <c r="EJ159" s="368" t="str">
        <f t="shared" si="2231"/>
        <v>Ton </v>
      </c>
      <c r="EK159" s="361" t="str">
        <f>ADHK!EK159</f>
        <v/>
      </c>
      <c r="EL159" s="361"/>
      <c r="EM159" s="361">
        <f t="shared" si="2145"/>
        <v>0</v>
      </c>
      <c r="EN159" s="369"/>
      <c r="EO159" s="361">
        <f t="shared" si="2146"/>
        <v>0</v>
      </c>
      <c r="EP159" s="96"/>
      <c r="EQ159" s="96"/>
      <c r="ER159" s="97"/>
      <c r="ES159" s="361">
        <f t="shared" si="2147"/>
        <v>0</v>
      </c>
      <c r="ET159" s="369">
        <f t="shared" si="2148"/>
        <v>0.4604471269</v>
      </c>
      <c r="EU159" s="370">
        <f t="shared" si="2149"/>
        <v>0</v>
      </c>
      <c r="EV159" s="371">
        <f t="shared" si="2150"/>
        <v>0</v>
      </c>
      <c r="EW159" s="364"/>
      <c r="EX159" s="366">
        <f t="shared" si="2232"/>
        <v>3</v>
      </c>
      <c r="EY159" s="367" t="str">
        <f t="shared" ref="EY159:FA159" si="2233">IFERROR(VLOOKUP($R159,$A$13:$D$30,-EY$12,FALSE),"")</f>
        <v>Tembaga</v>
      </c>
      <c r="EZ159" s="368" t="str">
        <f t="shared" si="2233"/>
        <v>Bijih </v>
      </c>
      <c r="FA159" s="368" t="str">
        <f t="shared" si="2233"/>
        <v>Ton </v>
      </c>
      <c r="FB159" s="361" t="str">
        <f>ADHK!FB159</f>
        <v/>
      </c>
      <c r="FC159" s="361"/>
      <c r="FD159" s="361">
        <f t="shared" si="2152"/>
        <v>0</v>
      </c>
      <c r="FE159" s="369"/>
      <c r="FF159" s="361">
        <f t="shared" si="2153"/>
        <v>0</v>
      </c>
      <c r="FG159" s="96"/>
      <c r="FH159" s="96"/>
      <c r="FI159" s="97"/>
      <c r="FJ159" s="361">
        <f t="shared" si="2154"/>
        <v>0</v>
      </c>
      <c r="FK159" s="369">
        <f t="shared" si="2155"/>
        <v>0.4604471269</v>
      </c>
      <c r="FL159" s="370">
        <f t="shared" si="2156"/>
        <v>0</v>
      </c>
      <c r="FM159" s="371">
        <f t="shared" si="2157"/>
        <v>0</v>
      </c>
      <c r="FN159" s="364"/>
      <c r="FO159" s="366">
        <f t="shared" si="2234"/>
        <v>3</v>
      </c>
      <c r="FP159" s="367" t="str">
        <f t="shared" ref="FP159:FR159" si="2235">IFERROR(VLOOKUP($R159,$A$13:$D$30,-FP$12,FALSE),"")</f>
        <v>Tembaga</v>
      </c>
      <c r="FQ159" s="368" t="str">
        <f t="shared" si="2235"/>
        <v>Bijih </v>
      </c>
      <c r="FR159" s="368" t="str">
        <f t="shared" si="2235"/>
        <v>Ton </v>
      </c>
      <c r="FS159" s="361" t="str">
        <f>ADHK!FS159</f>
        <v/>
      </c>
      <c r="FT159" s="361"/>
      <c r="FU159" s="361">
        <f t="shared" si="2159"/>
        <v>0</v>
      </c>
      <c r="FV159" s="369"/>
      <c r="FW159" s="361">
        <f t="shared" si="2160"/>
        <v>0</v>
      </c>
      <c r="FX159" s="96"/>
      <c r="FY159" s="96"/>
      <c r="FZ159" s="97"/>
      <c r="GA159" s="361">
        <f t="shared" si="2161"/>
        <v>0</v>
      </c>
      <c r="GB159" s="369">
        <f t="shared" si="2162"/>
        <v>0.4604471269</v>
      </c>
      <c r="GC159" s="370">
        <f t="shared" si="2163"/>
        <v>0</v>
      </c>
      <c r="GD159" s="371">
        <f t="shared" si="2164"/>
        <v>0</v>
      </c>
      <c r="GE159" s="364"/>
      <c r="GF159" s="366">
        <f t="shared" si="2236"/>
        <v>3</v>
      </c>
      <c r="GG159" s="367" t="str">
        <f t="shared" ref="GG159:GI159" si="2237">IFERROR(VLOOKUP($R159,$A$13:$D$30,-GG$12,FALSE),"")</f>
        <v>Tembaga</v>
      </c>
      <c r="GH159" s="368" t="str">
        <f t="shared" si="2237"/>
        <v>Bijih </v>
      </c>
      <c r="GI159" s="368" t="str">
        <f t="shared" si="2237"/>
        <v>Ton </v>
      </c>
      <c r="GJ159" s="361" t="str">
        <f>ADHK!GJ159</f>
        <v/>
      </c>
      <c r="GK159" s="361"/>
      <c r="GL159" s="361">
        <f t="shared" si="2166"/>
        <v>0</v>
      </c>
      <c r="GM159" s="369"/>
      <c r="GN159" s="361">
        <f t="shared" si="2167"/>
        <v>0</v>
      </c>
      <c r="GO159" s="96"/>
      <c r="GP159" s="96"/>
      <c r="GQ159" s="97"/>
      <c r="GR159" s="361">
        <f t="shared" si="2168"/>
        <v>0</v>
      </c>
      <c r="GS159" s="369">
        <f t="shared" si="2169"/>
        <v>0.4604471269</v>
      </c>
      <c r="GT159" s="370">
        <f t="shared" si="2170"/>
        <v>0</v>
      </c>
      <c r="GU159" s="371">
        <f t="shared" si="2171"/>
        <v>0</v>
      </c>
      <c r="GV159" s="364"/>
      <c r="GW159" s="366">
        <f t="shared" si="2238"/>
        <v>3</v>
      </c>
      <c r="GX159" s="367" t="str">
        <f t="shared" ref="GX159:GZ159" si="2239">IFERROR(VLOOKUP($R159,$A$13:$D$30,-GX$12,FALSE),"")</f>
        <v>Tembaga</v>
      </c>
      <c r="GY159" s="368" t="str">
        <f t="shared" si="2239"/>
        <v>Bijih </v>
      </c>
      <c r="GZ159" s="368" t="str">
        <f t="shared" si="2239"/>
        <v>Ton </v>
      </c>
      <c r="HA159" s="361" t="str">
        <f>ADHK!HA159</f>
        <v/>
      </c>
      <c r="HB159" s="361"/>
      <c r="HC159" s="361">
        <f t="shared" si="2173"/>
        <v>0</v>
      </c>
      <c r="HD159" s="369"/>
      <c r="HE159" s="361">
        <f t="shared" si="2174"/>
        <v>0</v>
      </c>
      <c r="HF159" s="96"/>
      <c r="HG159" s="96"/>
      <c r="HH159" s="97"/>
      <c r="HI159" s="361">
        <f t="shared" si="2175"/>
        <v>0</v>
      </c>
      <c r="HJ159" s="369">
        <f t="shared" si="2176"/>
        <v>0.4604471269</v>
      </c>
      <c r="HK159" s="370">
        <f t="shared" si="2177"/>
        <v>0</v>
      </c>
      <c r="HL159" s="371">
        <f t="shared" si="2178"/>
        <v>0</v>
      </c>
      <c r="HM159" s="364"/>
      <c r="HN159" s="366">
        <f t="shared" si="2240"/>
        <v>3</v>
      </c>
      <c r="HO159" s="367" t="str">
        <f t="shared" ref="HO159:HQ159" si="2241">IFERROR(VLOOKUP($R159,$A$13:$D$30,-HO$12,FALSE),"")</f>
        <v>Tembaga</v>
      </c>
      <c r="HP159" s="368" t="str">
        <f t="shared" si="2241"/>
        <v>Bijih </v>
      </c>
      <c r="HQ159" s="368" t="str">
        <f t="shared" si="2241"/>
        <v>Ton </v>
      </c>
      <c r="HR159" s="361" t="str">
        <f>ADHK!HR159</f>
        <v/>
      </c>
      <c r="HS159" s="361"/>
      <c r="HT159" s="361">
        <f t="shared" si="2180"/>
        <v>0</v>
      </c>
      <c r="HU159" s="369"/>
      <c r="HV159" s="361">
        <f t="shared" si="2181"/>
        <v>0</v>
      </c>
      <c r="HW159" s="96"/>
      <c r="HX159" s="96"/>
      <c r="HY159" s="97"/>
      <c r="HZ159" s="361">
        <f t="shared" si="2182"/>
        <v>0</v>
      </c>
      <c r="IA159" s="369">
        <f t="shared" si="2183"/>
        <v>0.4604471269</v>
      </c>
      <c r="IB159" s="370">
        <f t="shared" si="2184"/>
        <v>0</v>
      </c>
      <c r="IC159" s="371">
        <f t="shared" si="2185"/>
        <v>0</v>
      </c>
      <c r="ID159" s="364"/>
      <c r="IE159" s="366">
        <f t="shared" si="2242"/>
        <v>3</v>
      </c>
      <c r="IF159" s="367" t="str">
        <f t="shared" ref="IF159:IH159" si="2243">IFERROR(VLOOKUP($R159,$A$13:$D$30,-IF$12,FALSE),"")</f>
        <v>Tembaga</v>
      </c>
      <c r="IG159" s="368" t="str">
        <f t="shared" si="2243"/>
        <v>Bijih </v>
      </c>
      <c r="IH159" s="368" t="str">
        <f t="shared" si="2243"/>
        <v>Ton </v>
      </c>
      <c r="II159" s="361" t="str">
        <f>ADHK!II159</f>
        <v/>
      </c>
      <c r="IJ159" s="361"/>
      <c r="IK159" s="361">
        <f t="shared" si="2187"/>
        <v>0</v>
      </c>
      <c r="IL159" s="369"/>
      <c r="IM159" s="361">
        <f t="shared" si="2188"/>
        <v>0</v>
      </c>
      <c r="IN159" s="96"/>
      <c r="IO159" s="96"/>
      <c r="IP159" s="97"/>
      <c r="IQ159" s="361">
        <f t="shared" si="2189"/>
        <v>0</v>
      </c>
      <c r="IR159" s="369">
        <f t="shared" si="2190"/>
        <v>0.4604471269</v>
      </c>
      <c r="IS159" s="370">
        <f t="shared" si="2191"/>
        <v>0</v>
      </c>
      <c r="IT159" s="371">
        <f t="shared" si="2192"/>
        <v>0</v>
      </c>
      <c r="IU159" s="364"/>
      <c r="IV159" s="366">
        <f t="shared" si="2244"/>
        <v>3</v>
      </c>
      <c r="IW159" s="367" t="str">
        <f t="shared" ref="IW159:IY159" si="2245">IFERROR(VLOOKUP($R159,$A$13:$D$30,-IW$12,FALSE),"")</f>
        <v>Tembaga</v>
      </c>
      <c r="IX159" s="368" t="str">
        <f t="shared" si="2245"/>
        <v>Bijih </v>
      </c>
      <c r="IY159" s="368" t="str">
        <f t="shared" si="2245"/>
        <v>Ton </v>
      </c>
      <c r="IZ159" s="361" t="str">
        <f>ADHK!IZ159</f>
        <v/>
      </c>
      <c r="JA159" s="361"/>
      <c r="JB159" s="361">
        <f t="shared" si="2194"/>
        <v>0</v>
      </c>
      <c r="JC159" s="369"/>
      <c r="JD159" s="361">
        <f t="shared" si="2195"/>
        <v>0</v>
      </c>
      <c r="JE159" s="96"/>
      <c r="JF159" s="96"/>
      <c r="JG159" s="97"/>
      <c r="JH159" s="361">
        <f t="shared" si="2196"/>
        <v>0</v>
      </c>
      <c r="JI159" s="369">
        <f t="shared" si="2197"/>
        <v>0.4604471269</v>
      </c>
      <c r="JJ159" s="370">
        <f t="shared" si="2198"/>
        <v>0</v>
      </c>
      <c r="JK159" s="371">
        <f t="shared" si="2199"/>
        <v>0</v>
      </c>
      <c r="JL159" s="364"/>
      <c r="JM159" s="366">
        <f t="shared" si="2246"/>
        <v>3</v>
      </c>
      <c r="JN159" s="367" t="str">
        <f t="shared" ref="JN159:JP159" si="2247">IFERROR(VLOOKUP($R159,$A$13:$D$30,-JN$12,FALSE),"")</f>
        <v>Tembaga</v>
      </c>
      <c r="JO159" s="368" t="str">
        <f t="shared" si="2247"/>
        <v>Bijih </v>
      </c>
      <c r="JP159" s="368" t="str">
        <f t="shared" si="2247"/>
        <v>Ton </v>
      </c>
      <c r="JQ159" s="361" t="str">
        <f>ADHK!KY159</f>
        <v/>
      </c>
      <c r="JR159" s="361"/>
      <c r="JS159" s="361">
        <f t="shared" si="2201"/>
        <v>0</v>
      </c>
      <c r="JT159" s="369"/>
      <c r="JU159" s="361">
        <f t="shared" si="2202"/>
        <v>0</v>
      </c>
      <c r="JV159" s="96"/>
      <c r="JW159" s="96"/>
      <c r="JX159" s="97"/>
      <c r="JY159" s="361">
        <f t="shared" si="2203"/>
        <v>0</v>
      </c>
      <c r="JZ159" s="369">
        <f t="shared" si="2204"/>
        <v>0.4604471269</v>
      </c>
      <c r="KA159" s="370">
        <f t="shared" si="2205"/>
        <v>0</v>
      </c>
      <c r="KB159" s="371">
        <f t="shared" si="2206"/>
        <v>0</v>
      </c>
      <c r="KC159" s="364"/>
      <c r="KD159" s="366">
        <f t="shared" si="2248"/>
        <v>3</v>
      </c>
      <c r="KE159" s="367" t="str">
        <f t="shared" ref="KE159:KG159" si="2249">IFERROR(VLOOKUP($R159,$A$13:$D$30,-KE$12,FALSE),"")</f>
        <v>Tembaga</v>
      </c>
      <c r="KF159" s="368" t="str">
        <f t="shared" si="2249"/>
        <v>Bijih </v>
      </c>
      <c r="KG159" s="368" t="str">
        <f t="shared" si="2249"/>
        <v>Ton </v>
      </c>
      <c r="KH159" s="361" t="str">
        <f>ADHK!LP159</f>
        <v/>
      </c>
      <c r="KI159" s="361"/>
      <c r="KJ159" s="361">
        <f t="shared" si="2208"/>
        <v>0</v>
      </c>
      <c r="KK159" s="369"/>
      <c r="KL159" s="361">
        <f t="shared" si="2209"/>
        <v>0</v>
      </c>
      <c r="KM159" s="96"/>
      <c r="KN159" s="96"/>
      <c r="KO159" s="97"/>
      <c r="KP159" s="361">
        <f t="shared" si="2210"/>
        <v>0</v>
      </c>
      <c r="KQ159" s="369">
        <f t="shared" si="2211"/>
        <v>0.4604471269</v>
      </c>
      <c r="KR159" s="370">
        <f t="shared" si="2212"/>
        <v>0</v>
      </c>
      <c r="KS159" s="371">
        <f t="shared" si="2213"/>
        <v>0</v>
      </c>
      <c r="KT159" s="364"/>
      <c r="KU159" s="365"/>
    </row>
    <row r="160" ht="15.75" customHeight="1">
      <c r="A160" s="366">
        <f t="shared" si="2214"/>
        <v>4</v>
      </c>
      <c r="B160" s="367" t="str">
        <f t="shared" ref="B160:D160" si="2250">IFERROR(VLOOKUP($A160,$A$13:$D$30,-B$12,FALSE),"")</f>
        <v>Bauksit </v>
      </c>
      <c r="C160" s="368" t="str">
        <f t="shared" si="2250"/>
        <v>Bijih </v>
      </c>
      <c r="D160" s="368" t="str">
        <f t="shared" si="2250"/>
        <v>Ton </v>
      </c>
      <c r="E160" s="361" t="str">
        <f>ADHK!E160</f>
        <v/>
      </c>
      <c r="F160" s="361" t="str">
        <f>ADHK!F160</f>
        <v/>
      </c>
      <c r="G160" s="361">
        <f t="shared" si="2089"/>
        <v>0</v>
      </c>
      <c r="H160" s="369"/>
      <c r="I160" s="361">
        <f t="shared" si="2090"/>
        <v>0</v>
      </c>
      <c r="J160" s="96"/>
      <c r="K160" s="96"/>
      <c r="L160" s="97"/>
      <c r="M160" s="361">
        <f t="shared" si="2091"/>
        <v>0</v>
      </c>
      <c r="N160" s="369">
        <f t="shared" si="2092"/>
        <v>0.4604471269</v>
      </c>
      <c r="O160" s="370">
        <f t="shared" si="2093"/>
        <v>0</v>
      </c>
      <c r="P160" s="371">
        <f t="shared" si="2094"/>
        <v>0</v>
      </c>
      <c r="Q160" s="364"/>
      <c r="R160" s="366">
        <f t="shared" si="2216"/>
        <v>4</v>
      </c>
      <c r="S160" s="367" t="str">
        <f t="shared" ref="S160:U160" si="2251">IFERROR(VLOOKUP($R160,$A$13:$D$30,-S$12,FALSE),"")</f>
        <v>Bauksit </v>
      </c>
      <c r="T160" s="368" t="str">
        <f t="shared" si="2251"/>
        <v>Bijih </v>
      </c>
      <c r="U160" s="368" t="str">
        <f t="shared" si="2251"/>
        <v>Ton </v>
      </c>
      <c r="V160" s="361" t="str">
        <f>ADHK!V160</f>
        <v/>
      </c>
      <c r="W160" s="361"/>
      <c r="X160" s="361">
        <f t="shared" si="2096"/>
        <v>0</v>
      </c>
      <c r="Y160" s="369"/>
      <c r="Z160" s="361">
        <f t="shared" si="2097"/>
        <v>0</v>
      </c>
      <c r="AA160" s="96"/>
      <c r="AB160" s="96"/>
      <c r="AC160" s="97"/>
      <c r="AD160" s="361">
        <f t="shared" si="2098"/>
        <v>0</v>
      </c>
      <c r="AE160" s="369">
        <f t="shared" si="2099"/>
        <v>0.4604471269</v>
      </c>
      <c r="AF160" s="370">
        <f t="shared" si="2100"/>
        <v>0</v>
      </c>
      <c r="AG160" s="371">
        <f t="shared" si="2101"/>
        <v>0</v>
      </c>
      <c r="AH160" s="364"/>
      <c r="AI160" s="366">
        <f t="shared" si="2218"/>
        <v>4</v>
      </c>
      <c r="AJ160" s="367" t="str">
        <f t="shared" ref="AJ160:AL160" si="2252">IFERROR(VLOOKUP($R160,$A$13:$D$30,-AJ$12,FALSE),"")</f>
        <v>Bauksit </v>
      </c>
      <c r="AK160" s="368" t="str">
        <f t="shared" si="2252"/>
        <v>Bijih </v>
      </c>
      <c r="AL160" s="368" t="str">
        <f t="shared" si="2252"/>
        <v>Ton </v>
      </c>
      <c r="AM160" s="361" t="str">
        <f>ADHK!AM160</f>
        <v/>
      </c>
      <c r="AN160" s="361"/>
      <c r="AO160" s="361">
        <f t="shared" si="2103"/>
        <v>0</v>
      </c>
      <c r="AP160" s="369"/>
      <c r="AQ160" s="361">
        <f t="shared" si="2104"/>
        <v>0</v>
      </c>
      <c r="AR160" s="96"/>
      <c r="AS160" s="96"/>
      <c r="AT160" s="97"/>
      <c r="AU160" s="361">
        <f t="shared" si="2105"/>
        <v>0</v>
      </c>
      <c r="AV160" s="369">
        <f t="shared" si="2106"/>
        <v>0.4604471269</v>
      </c>
      <c r="AW160" s="370">
        <f t="shared" si="2107"/>
        <v>0</v>
      </c>
      <c r="AX160" s="371">
        <f t="shared" si="2108"/>
        <v>0</v>
      </c>
      <c r="AY160" s="364"/>
      <c r="AZ160" s="366">
        <f t="shared" si="2220"/>
        <v>4</v>
      </c>
      <c r="BA160" s="367" t="str">
        <f t="shared" ref="BA160:BC160" si="2253">IFERROR(VLOOKUP($R160,$A$13:$D$30,-BA$12,FALSE),"")</f>
        <v>Bauksit </v>
      </c>
      <c r="BB160" s="368" t="str">
        <f t="shared" si="2253"/>
        <v>Bijih </v>
      </c>
      <c r="BC160" s="368" t="str">
        <f t="shared" si="2253"/>
        <v>Ton </v>
      </c>
      <c r="BD160" s="361" t="str">
        <f>ADHK!BD160</f>
        <v/>
      </c>
      <c r="BE160" s="361"/>
      <c r="BF160" s="361">
        <f t="shared" si="2110"/>
        <v>0</v>
      </c>
      <c r="BG160" s="369"/>
      <c r="BH160" s="361">
        <f t="shared" si="2111"/>
        <v>0</v>
      </c>
      <c r="BI160" s="96"/>
      <c r="BJ160" s="96"/>
      <c r="BK160" s="97"/>
      <c r="BL160" s="361">
        <f t="shared" si="2112"/>
        <v>0</v>
      </c>
      <c r="BM160" s="369">
        <f t="shared" si="2113"/>
        <v>0.4604471269</v>
      </c>
      <c r="BN160" s="370">
        <f t="shared" si="2114"/>
        <v>0</v>
      </c>
      <c r="BO160" s="371">
        <f t="shared" si="2115"/>
        <v>0</v>
      </c>
      <c r="BP160" s="364"/>
      <c r="BQ160" s="366">
        <f t="shared" si="2222"/>
        <v>4</v>
      </c>
      <c r="BR160" s="367" t="str">
        <f t="shared" ref="BR160:BT160" si="2254">IFERROR(VLOOKUP($R160,$A$13:$D$30,-BR$12,FALSE),"")</f>
        <v>Bauksit </v>
      </c>
      <c r="BS160" s="368" t="str">
        <f t="shared" si="2254"/>
        <v>Bijih </v>
      </c>
      <c r="BT160" s="368" t="str">
        <f t="shared" si="2254"/>
        <v>Ton </v>
      </c>
      <c r="BU160" s="361" t="str">
        <f>ADHK!BU160</f>
        <v/>
      </c>
      <c r="BV160" s="361"/>
      <c r="BW160" s="361">
        <f t="shared" si="2117"/>
        <v>0</v>
      </c>
      <c r="BX160" s="369"/>
      <c r="BY160" s="361">
        <f t="shared" si="2118"/>
        <v>0</v>
      </c>
      <c r="BZ160" s="96"/>
      <c r="CA160" s="96"/>
      <c r="CB160" s="97"/>
      <c r="CC160" s="361">
        <f t="shared" si="2119"/>
        <v>0</v>
      </c>
      <c r="CD160" s="369">
        <f t="shared" si="2120"/>
        <v>0.4604471269</v>
      </c>
      <c r="CE160" s="370">
        <f t="shared" si="2121"/>
        <v>0</v>
      </c>
      <c r="CF160" s="371">
        <f t="shared" si="2122"/>
        <v>0</v>
      </c>
      <c r="CG160" s="364"/>
      <c r="CH160" s="366">
        <f t="shared" si="2224"/>
        <v>4</v>
      </c>
      <c r="CI160" s="367" t="str">
        <f t="shared" ref="CI160:CK160" si="2255">IFERROR(VLOOKUP($R160,$A$13:$D$30,-CI$12,FALSE),"")</f>
        <v>Bauksit </v>
      </c>
      <c r="CJ160" s="368" t="str">
        <f t="shared" si="2255"/>
        <v>Bijih </v>
      </c>
      <c r="CK160" s="368" t="str">
        <f t="shared" si="2255"/>
        <v>Ton </v>
      </c>
      <c r="CL160" s="361" t="str">
        <f>ADHK!CL160</f>
        <v/>
      </c>
      <c r="CM160" s="361"/>
      <c r="CN160" s="361">
        <f t="shared" si="2124"/>
        <v>0</v>
      </c>
      <c r="CO160" s="369"/>
      <c r="CP160" s="361">
        <f t="shared" si="2125"/>
        <v>0</v>
      </c>
      <c r="CQ160" s="96"/>
      <c r="CR160" s="96"/>
      <c r="CS160" s="97"/>
      <c r="CT160" s="361">
        <f t="shared" si="2126"/>
        <v>0</v>
      </c>
      <c r="CU160" s="369">
        <f t="shared" si="2127"/>
        <v>0.4604471269</v>
      </c>
      <c r="CV160" s="370">
        <f t="shared" si="2128"/>
        <v>0</v>
      </c>
      <c r="CW160" s="371">
        <f t="shared" si="2129"/>
        <v>0</v>
      </c>
      <c r="CX160" s="364"/>
      <c r="CY160" s="366">
        <f t="shared" si="2226"/>
        <v>4</v>
      </c>
      <c r="CZ160" s="367" t="str">
        <f t="shared" ref="CZ160:DB160" si="2256">IFERROR(VLOOKUP($R160,$A$13:$D$30,-CZ$12,FALSE),"")</f>
        <v>Bauksit </v>
      </c>
      <c r="DA160" s="368" t="str">
        <f t="shared" si="2256"/>
        <v>Bijih </v>
      </c>
      <c r="DB160" s="368" t="str">
        <f t="shared" si="2256"/>
        <v>Ton </v>
      </c>
      <c r="DC160" s="361" t="str">
        <f>ADHK!DC160</f>
        <v/>
      </c>
      <c r="DD160" s="361"/>
      <c r="DE160" s="361">
        <f t="shared" si="2131"/>
        <v>0</v>
      </c>
      <c r="DF160" s="369"/>
      <c r="DG160" s="361">
        <f t="shared" si="2132"/>
        <v>0</v>
      </c>
      <c r="DH160" s="96"/>
      <c r="DI160" s="96"/>
      <c r="DJ160" s="97"/>
      <c r="DK160" s="361">
        <f t="shared" si="2133"/>
        <v>0</v>
      </c>
      <c r="DL160" s="369">
        <f t="shared" si="2134"/>
        <v>0.4604471269</v>
      </c>
      <c r="DM160" s="370">
        <f t="shared" si="2135"/>
        <v>0</v>
      </c>
      <c r="DN160" s="371">
        <f t="shared" si="2136"/>
        <v>0</v>
      </c>
      <c r="DO160" s="364"/>
      <c r="DP160" s="366">
        <f t="shared" si="2228"/>
        <v>4</v>
      </c>
      <c r="DQ160" s="367" t="str">
        <f t="shared" ref="DQ160:DS160" si="2257">IFERROR(VLOOKUP($R160,$A$13:$D$30,-DQ$12,FALSE),"")</f>
        <v>Bauksit </v>
      </c>
      <c r="DR160" s="368" t="str">
        <f t="shared" si="2257"/>
        <v>Bijih </v>
      </c>
      <c r="DS160" s="368" t="str">
        <f t="shared" si="2257"/>
        <v>Ton </v>
      </c>
      <c r="DT160" s="361" t="str">
        <f>ADHK!DT160</f>
        <v/>
      </c>
      <c r="DU160" s="361"/>
      <c r="DV160" s="361">
        <f t="shared" si="2138"/>
        <v>0</v>
      </c>
      <c r="DW160" s="369"/>
      <c r="DX160" s="361">
        <f t="shared" si="2139"/>
        <v>0</v>
      </c>
      <c r="DY160" s="96"/>
      <c r="DZ160" s="96"/>
      <c r="EA160" s="97"/>
      <c r="EB160" s="361">
        <f t="shared" si="2140"/>
        <v>0</v>
      </c>
      <c r="EC160" s="369">
        <f t="shared" si="2141"/>
        <v>0.4604471269</v>
      </c>
      <c r="ED160" s="370">
        <f t="shared" si="2142"/>
        <v>0</v>
      </c>
      <c r="EE160" s="371">
        <f t="shared" si="2143"/>
        <v>0</v>
      </c>
      <c r="EF160" s="364"/>
      <c r="EG160" s="366">
        <f t="shared" si="2230"/>
        <v>4</v>
      </c>
      <c r="EH160" s="367" t="str">
        <f t="shared" ref="EH160:EJ160" si="2258">IFERROR(VLOOKUP($R160,$A$13:$D$30,-EH$12,FALSE),"")</f>
        <v>Bauksit </v>
      </c>
      <c r="EI160" s="368" t="str">
        <f t="shared" si="2258"/>
        <v>Bijih </v>
      </c>
      <c r="EJ160" s="368" t="str">
        <f t="shared" si="2258"/>
        <v>Ton </v>
      </c>
      <c r="EK160" s="361" t="str">
        <f>ADHK!EK160</f>
        <v/>
      </c>
      <c r="EL160" s="361"/>
      <c r="EM160" s="361">
        <f t="shared" si="2145"/>
        <v>0</v>
      </c>
      <c r="EN160" s="369"/>
      <c r="EO160" s="361">
        <f t="shared" si="2146"/>
        <v>0</v>
      </c>
      <c r="EP160" s="96"/>
      <c r="EQ160" s="96"/>
      <c r="ER160" s="97"/>
      <c r="ES160" s="361">
        <f t="shared" si="2147"/>
        <v>0</v>
      </c>
      <c r="ET160" s="369">
        <f t="shared" si="2148"/>
        <v>0.4604471269</v>
      </c>
      <c r="EU160" s="370">
        <f t="shared" si="2149"/>
        <v>0</v>
      </c>
      <c r="EV160" s="371">
        <f t="shared" si="2150"/>
        <v>0</v>
      </c>
      <c r="EW160" s="364"/>
      <c r="EX160" s="366">
        <f t="shared" si="2232"/>
        <v>4</v>
      </c>
      <c r="EY160" s="367" t="str">
        <f t="shared" ref="EY160:FA160" si="2259">IFERROR(VLOOKUP($R160,$A$13:$D$30,-EY$12,FALSE),"")</f>
        <v>Bauksit </v>
      </c>
      <c r="EZ160" s="368" t="str">
        <f t="shared" si="2259"/>
        <v>Bijih </v>
      </c>
      <c r="FA160" s="368" t="str">
        <f t="shared" si="2259"/>
        <v>Ton </v>
      </c>
      <c r="FB160" s="361" t="str">
        <f>ADHK!FB160</f>
        <v/>
      </c>
      <c r="FC160" s="361"/>
      <c r="FD160" s="361">
        <f t="shared" si="2152"/>
        <v>0</v>
      </c>
      <c r="FE160" s="369"/>
      <c r="FF160" s="361">
        <f t="shared" si="2153"/>
        <v>0</v>
      </c>
      <c r="FG160" s="96"/>
      <c r="FH160" s="96"/>
      <c r="FI160" s="97"/>
      <c r="FJ160" s="361">
        <f t="shared" si="2154"/>
        <v>0</v>
      </c>
      <c r="FK160" s="369">
        <f t="shared" si="2155"/>
        <v>0.4604471269</v>
      </c>
      <c r="FL160" s="370">
        <f t="shared" si="2156"/>
        <v>0</v>
      </c>
      <c r="FM160" s="371">
        <f t="shared" si="2157"/>
        <v>0</v>
      </c>
      <c r="FN160" s="364"/>
      <c r="FO160" s="366">
        <f t="shared" si="2234"/>
        <v>4</v>
      </c>
      <c r="FP160" s="367" t="str">
        <f t="shared" ref="FP160:FR160" si="2260">IFERROR(VLOOKUP($R160,$A$13:$D$30,-FP$12,FALSE),"")</f>
        <v>Bauksit </v>
      </c>
      <c r="FQ160" s="368" t="str">
        <f t="shared" si="2260"/>
        <v>Bijih </v>
      </c>
      <c r="FR160" s="368" t="str">
        <f t="shared" si="2260"/>
        <v>Ton </v>
      </c>
      <c r="FS160" s="361" t="str">
        <f>ADHK!FS160</f>
        <v/>
      </c>
      <c r="FT160" s="361"/>
      <c r="FU160" s="361">
        <f t="shared" si="2159"/>
        <v>0</v>
      </c>
      <c r="FV160" s="369"/>
      <c r="FW160" s="361">
        <f t="shared" si="2160"/>
        <v>0</v>
      </c>
      <c r="FX160" s="96"/>
      <c r="FY160" s="96"/>
      <c r="FZ160" s="97"/>
      <c r="GA160" s="361">
        <f t="shared" si="2161"/>
        <v>0</v>
      </c>
      <c r="GB160" s="369">
        <f t="shared" si="2162"/>
        <v>0.4604471269</v>
      </c>
      <c r="GC160" s="370">
        <f t="shared" si="2163"/>
        <v>0</v>
      </c>
      <c r="GD160" s="371">
        <f t="shared" si="2164"/>
        <v>0</v>
      </c>
      <c r="GE160" s="364"/>
      <c r="GF160" s="366">
        <f t="shared" si="2236"/>
        <v>4</v>
      </c>
      <c r="GG160" s="367" t="str">
        <f t="shared" ref="GG160:GI160" si="2261">IFERROR(VLOOKUP($R160,$A$13:$D$30,-GG$12,FALSE),"")</f>
        <v>Bauksit </v>
      </c>
      <c r="GH160" s="368" t="str">
        <f t="shared" si="2261"/>
        <v>Bijih </v>
      </c>
      <c r="GI160" s="368" t="str">
        <f t="shared" si="2261"/>
        <v>Ton </v>
      </c>
      <c r="GJ160" s="361" t="str">
        <f>ADHK!GJ160</f>
        <v/>
      </c>
      <c r="GK160" s="361"/>
      <c r="GL160" s="361">
        <f t="shared" si="2166"/>
        <v>0</v>
      </c>
      <c r="GM160" s="369"/>
      <c r="GN160" s="361">
        <f t="shared" si="2167"/>
        <v>0</v>
      </c>
      <c r="GO160" s="96"/>
      <c r="GP160" s="96"/>
      <c r="GQ160" s="97"/>
      <c r="GR160" s="361">
        <f t="shared" si="2168"/>
        <v>0</v>
      </c>
      <c r="GS160" s="369">
        <f t="shared" si="2169"/>
        <v>0.4604471269</v>
      </c>
      <c r="GT160" s="370">
        <f t="shared" si="2170"/>
        <v>0</v>
      </c>
      <c r="GU160" s="371">
        <f t="shared" si="2171"/>
        <v>0</v>
      </c>
      <c r="GV160" s="364"/>
      <c r="GW160" s="366">
        <f t="shared" si="2238"/>
        <v>4</v>
      </c>
      <c r="GX160" s="367" t="str">
        <f t="shared" ref="GX160:GZ160" si="2262">IFERROR(VLOOKUP($R160,$A$13:$D$30,-GX$12,FALSE),"")</f>
        <v>Bauksit </v>
      </c>
      <c r="GY160" s="368" t="str">
        <f t="shared" si="2262"/>
        <v>Bijih </v>
      </c>
      <c r="GZ160" s="368" t="str">
        <f t="shared" si="2262"/>
        <v>Ton </v>
      </c>
      <c r="HA160" s="361"/>
      <c r="HB160" s="361"/>
      <c r="HC160" s="361">
        <f t="shared" si="2173"/>
        <v>0</v>
      </c>
      <c r="HD160" s="369"/>
      <c r="HE160" s="361">
        <f t="shared" si="2174"/>
        <v>0</v>
      </c>
      <c r="HF160" s="96"/>
      <c r="HG160" s="96"/>
      <c r="HH160" s="97"/>
      <c r="HI160" s="361">
        <f t="shared" si="2175"/>
        <v>0</v>
      </c>
      <c r="HJ160" s="369">
        <f t="shared" si="2176"/>
        <v>0.4604471269</v>
      </c>
      <c r="HK160" s="370">
        <f t="shared" si="2177"/>
        <v>0</v>
      </c>
      <c r="HL160" s="371">
        <f t="shared" si="2178"/>
        <v>0</v>
      </c>
      <c r="HM160" s="364"/>
      <c r="HN160" s="366">
        <f t="shared" si="2240"/>
        <v>4</v>
      </c>
      <c r="HO160" s="367" t="str">
        <f t="shared" ref="HO160:HQ160" si="2263">IFERROR(VLOOKUP($R160,$A$13:$D$30,-HO$12,FALSE),"")</f>
        <v>Bauksit </v>
      </c>
      <c r="HP160" s="368" t="str">
        <f t="shared" si="2263"/>
        <v>Bijih </v>
      </c>
      <c r="HQ160" s="368" t="str">
        <f t="shared" si="2263"/>
        <v>Ton </v>
      </c>
      <c r="HR160" s="361" t="str">
        <f>ADHK!HR160</f>
        <v/>
      </c>
      <c r="HS160" s="361"/>
      <c r="HT160" s="361">
        <f t="shared" si="2180"/>
        <v>0</v>
      </c>
      <c r="HU160" s="369"/>
      <c r="HV160" s="361">
        <f t="shared" si="2181"/>
        <v>0</v>
      </c>
      <c r="HW160" s="96"/>
      <c r="HX160" s="96"/>
      <c r="HY160" s="97"/>
      <c r="HZ160" s="361">
        <f t="shared" si="2182"/>
        <v>0</v>
      </c>
      <c r="IA160" s="369">
        <f t="shared" si="2183"/>
        <v>0.4604471269</v>
      </c>
      <c r="IB160" s="370">
        <f t="shared" si="2184"/>
        <v>0</v>
      </c>
      <c r="IC160" s="371">
        <f t="shared" si="2185"/>
        <v>0</v>
      </c>
      <c r="ID160" s="364"/>
      <c r="IE160" s="366">
        <f t="shared" si="2242"/>
        <v>4</v>
      </c>
      <c r="IF160" s="367" t="str">
        <f t="shared" ref="IF160:IH160" si="2264">IFERROR(VLOOKUP($R160,$A$13:$D$30,-IF$12,FALSE),"")</f>
        <v>Bauksit </v>
      </c>
      <c r="IG160" s="368" t="str">
        <f t="shared" si="2264"/>
        <v>Bijih </v>
      </c>
      <c r="IH160" s="368" t="str">
        <f t="shared" si="2264"/>
        <v>Ton </v>
      </c>
      <c r="II160" s="361" t="str">
        <f>ADHK!II160</f>
        <v/>
      </c>
      <c r="IJ160" s="361"/>
      <c r="IK160" s="361">
        <f t="shared" si="2187"/>
        <v>0</v>
      </c>
      <c r="IL160" s="369"/>
      <c r="IM160" s="361">
        <f t="shared" si="2188"/>
        <v>0</v>
      </c>
      <c r="IN160" s="96"/>
      <c r="IO160" s="96"/>
      <c r="IP160" s="97"/>
      <c r="IQ160" s="361">
        <f t="shared" si="2189"/>
        <v>0</v>
      </c>
      <c r="IR160" s="369">
        <f t="shared" si="2190"/>
        <v>0.4604471269</v>
      </c>
      <c r="IS160" s="370">
        <f t="shared" si="2191"/>
        <v>0</v>
      </c>
      <c r="IT160" s="371">
        <f t="shared" si="2192"/>
        <v>0</v>
      </c>
      <c r="IU160" s="364"/>
      <c r="IV160" s="366">
        <f t="shared" si="2244"/>
        <v>4</v>
      </c>
      <c r="IW160" s="367" t="str">
        <f t="shared" ref="IW160:IY160" si="2265">IFERROR(VLOOKUP($R160,$A$13:$D$30,-IW$12,FALSE),"")</f>
        <v>Bauksit </v>
      </c>
      <c r="IX160" s="368" t="str">
        <f t="shared" si="2265"/>
        <v>Bijih </v>
      </c>
      <c r="IY160" s="368" t="str">
        <f t="shared" si="2265"/>
        <v>Ton </v>
      </c>
      <c r="IZ160" s="361" t="str">
        <f>ADHK!IZ160</f>
        <v/>
      </c>
      <c r="JA160" s="361"/>
      <c r="JB160" s="361">
        <f t="shared" si="2194"/>
        <v>0</v>
      </c>
      <c r="JC160" s="369"/>
      <c r="JD160" s="361">
        <f t="shared" si="2195"/>
        <v>0</v>
      </c>
      <c r="JE160" s="96"/>
      <c r="JF160" s="96"/>
      <c r="JG160" s="97"/>
      <c r="JH160" s="361">
        <f t="shared" si="2196"/>
        <v>0</v>
      </c>
      <c r="JI160" s="369">
        <f t="shared" si="2197"/>
        <v>0.4604471269</v>
      </c>
      <c r="JJ160" s="370">
        <f t="shared" si="2198"/>
        <v>0</v>
      </c>
      <c r="JK160" s="371">
        <f t="shared" si="2199"/>
        <v>0</v>
      </c>
      <c r="JL160" s="364"/>
      <c r="JM160" s="366">
        <f t="shared" si="2246"/>
        <v>4</v>
      </c>
      <c r="JN160" s="367" t="str">
        <f t="shared" ref="JN160:JP160" si="2266">IFERROR(VLOOKUP($R160,$A$13:$D$30,-JN$12,FALSE),"")</f>
        <v>Bauksit </v>
      </c>
      <c r="JO160" s="368" t="str">
        <f t="shared" si="2266"/>
        <v>Bijih </v>
      </c>
      <c r="JP160" s="368" t="str">
        <f t="shared" si="2266"/>
        <v>Ton </v>
      </c>
      <c r="JQ160" s="361" t="str">
        <f>ADHK!KY160</f>
        <v/>
      </c>
      <c r="JR160" s="361"/>
      <c r="JS160" s="361">
        <f t="shared" si="2201"/>
        <v>0</v>
      </c>
      <c r="JT160" s="369"/>
      <c r="JU160" s="361">
        <f t="shared" si="2202"/>
        <v>0</v>
      </c>
      <c r="JV160" s="96"/>
      <c r="JW160" s="96"/>
      <c r="JX160" s="97"/>
      <c r="JY160" s="361">
        <f t="shared" si="2203"/>
        <v>0</v>
      </c>
      <c r="JZ160" s="369">
        <f t="shared" si="2204"/>
        <v>0.4604471269</v>
      </c>
      <c r="KA160" s="370">
        <f t="shared" si="2205"/>
        <v>0</v>
      </c>
      <c r="KB160" s="371">
        <f t="shared" si="2206"/>
        <v>0</v>
      </c>
      <c r="KC160" s="364"/>
      <c r="KD160" s="366">
        <f t="shared" si="2248"/>
        <v>4</v>
      </c>
      <c r="KE160" s="367" t="str">
        <f t="shared" ref="KE160:KG160" si="2267">IFERROR(VLOOKUP($R160,$A$13:$D$30,-KE$12,FALSE),"")</f>
        <v>Bauksit </v>
      </c>
      <c r="KF160" s="368" t="str">
        <f t="shared" si="2267"/>
        <v>Bijih </v>
      </c>
      <c r="KG160" s="368" t="str">
        <f t="shared" si="2267"/>
        <v>Ton </v>
      </c>
      <c r="KH160" s="361" t="str">
        <f>ADHK!LP160</f>
        <v/>
      </c>
      <c r="KI160" s="361"/>
      <c r="KJ160" s="361">
        <f t="shared" si="2208"/>
        <v>0</v>
      </c>
      <c r="KK160" s="369"/>
      <c r="KL160" s="361">
        <f t="shared" si="2209"/>
        <v>0</v>
      </c>
      <c r="KM160" s="96"/>
      <c r="KN160" s="96"/>
      <c r="KO160" s="97"/>
      <c r="KP160" s="361">
        <f t="shared" si="2210"/>
        <v>0</v>
      </c>
      <c r="KQ160" s="369">
        <f t="shared" si="2211"/>
        <v>0.4604471269</v>
      </c>
      <c r="KR160" s="370">
        <f t="shared" si="2212"/>
        <v>0</v>
      </c>
      <c r="KS160" s="371">
        <f t="shared" si="2213"/>
        <v>0</v>
      </c>
      <c r="KT160" s="364"/>
      <c r="KU160" s="365"/>
    </row>
    <row r="161" ht="15.75" customHeight="1">
      <c r="A161" s="366">
        <f t="shared" si="2214"/>
        <v>5</v>
      </c>
      <c r="B161" s="367" t="str">
        <f t="shared" ref="B161:D161" si="2268">IFERROR(VLOOKUP($A161,$A$13:$D$30,-B$12,FALSE),"")</f>
        <v>Bijih Nikel </v>
      </c>
      <c r="C161" s="368" t="str">
        <f t="shared" si="2268"/>
        <v>Bijih </v>
      </c>
      <c r="D161" s="368" t="str">
        <f t="shared" si="2268"/>
        <v>WMT</v>
      </c>
      <c r="E161" s="361" t="str">
        <f>ADHK!E161</f>
        <v/>
      </c>
      <c r="F161" s="361" t="str">
        <f>ADHK!F161</f>
        <v/>
      </c>
      <c r="G161" s="361">
        <f t="shared" si="2089"/>
        <v>0</v>
      </c>
      <c r="H161" s="369"/>
      <c r="I161" s="361">
        <f t="shared" si="2090"/>
        <v>0</v>
      </c>
      <c r="J161" s="96"/>
      <c r="K161" s="96"/>
      <c r="L161" s="97"/>
      <c r="M161" s="361">
        <f t="shared" si="2091"/>
        <v>0</v>
      </c>
      <c r="N161" s="369">
        <f t="shared" si="2092"/>
        <v>0.4604471269</v>
      </c>
      <c r="O161" s="370">
        <f t="shared" si="2093"/>
        <v>0</v>
      </c>
      <c r="P161" s="371">
        <f t="shared" si="2094"/>
        <v>0</v>
      </c>
      <c r="Q161" s="364"/>
      <c r="R161" s="366">
        <f t="shared" si="2216"/>
        <v>5</v>
      </c>
      <c r="S161" s="367" t="str">
        <f t="shared" ref="S161:U161" si="2269">IFERROR(VLOOKUP($R161,$A$13:$D$30,-S$12,FALSE),"")</f>
        <v>Bijih Nikel </v>
      </c>
      <c r="T161" s="368" t="str">
        <f t="shared" si="2269"/>
        <v>Bijih </v>
      </c>
      <c r="U161" s="368" t="str">
        <f t="shared" si="2269"/>
        <v>WMT</v>
      </c>
      <c r="V161" s="361" t="str">
        <f>ADHK!V161</f>
        <v/>
      </c>
      <c r="W161" s="361"/>
      <c r="X161" s="361">
        <f t="shared" si="2096"/>
        <v>0</v>
      </c>
      <c r="Y161" s="369"/>
      <c r="Z161" s="361">
        <f t="shared" si="2097"/>
        <v>0</v>
      </c>
      <c r="AA161" s="96"/>
      <c r="AB161" s="96"/>
      <c r="AC161" s="97"/>
      <c r="AD161" s="361">
        <f t="shared" si="2098"/>
        <v>0</v>
      </c>
      <c r="AE161" s="369">
        <f t="shared" si="2099"/>
        <v>0.4604471269</v>
      </c>
      <c r="AF161" s="370">
        <f t="shared" si="2100"/>
        <v>0</v>
      </c>
      <c r="AG161" s="371">
        <f t="shared" si="2101"/>
        <v>0</v>
      </c>
      <c r="AH161" s="364"/>
      <c r="AI161" s="366">
        <f t="shared" si="2218"/>
        <v>5</v>
      </c>
      <c r="AJ161" s="367" t="str">
        <f t="shared" ref="AJ161:AL161" si="2270">IFERROR(VLOOKUP($R161,$A$13:$D$30,-AJ$12,FALSE),"")</f>
        <v>Bijih Nikel </v>
      </c>
      <c r="AK161" s="368" t="str">
        <f t="shared" si="2270"/>
        <v>Bijih </v>
      </c>
      <c r="AL161" s="368" t="str">
        <f t="shared" si="2270"/>
        <v>WMT</v>
      </c>
      <c r="AM161" s="361" t="str">
        <f>ADHK!AM161</f>
        <v/>
      </c>
      <c r="AN161" s="361"/>
      <c r="AO161" s="361">
        <f t="shared" si="2103"/>
        <v>0</v>
      </c>
      <c r="AP161" s="369"/>
      <c r="AQ161" s="361">
        <f t="shared" si="2104"/>
        <v>0</v>
      </c>
      <c r="AR161" s="96"/>
      <c r="AS161" s="96"/>
      <c r="AT161" s="97"/>
      <c r="AU161" s="361">
        <f t="shared" si="2105"/>
        <v>0</v>
      </c>
      <c r="AV161" s="369">
        <f t="shared" si="2106"/>
        <v>0.4604471269</v>
      </c>
      <c r="AW161" s="370">
        <f t="shared" si="2107"/>
        <v>0</v>
      </c>
      <c r="AX161" s="371">
        <f t="shared" si="2108"/>
        <v>0</v>
      </c>
      <c r="AY161" s="364"/>
      <c r="AZ161" s="366">
        <f t="shared" si="2220"/>
        <v>5</v>
      </c>
      <c r="BA161" s="367" t="str">
        <f t="shared" ref="BA161:BC161" si="2271">IFERROR(VLOOKUP($R161,$A$13:$D$30,-BA$12,FALSE),"")</f>
        <v>Bijih Nikel </v>
      </c>
      <c r="BB161" s="368" t="str">
        <f t="shared" si="2271"/>
        <v>Bijih </v>
      </c>
      <c r="BC161" s="368" t="str">
        <f t="shared" si="2271"/>
        <v>WMT</v>
      </c>
      <c r="BD161" s="361" t="str">
        <f>ADHK!BD161</f>
        <v/>
      </c>
      <c r="BE161" s="361"/>
      <c r="BF161" s="361">
        <f t="shared" si="2110"/>
        <v>0</v>
      </c>
      <c r="BG161" s="369"/>
      <c r="BH161" s="361">
        <f t="shared" si="2111"/>
        <v>0</v>
      </c>
      <c r="BI161" s="96"/>
      <c r="BJ161" s="96"/>
      <c r="BK161" s="97"/>
      <c r="BL161" s="361">
        <f t="shared" si="2112"/>
        <v>0</v>
      </c>
      <c r="BM161" s="369">
        <f t="shared" si="2113"/>
        <v>0.4604471269</v>
      </c>
      <c r="BN161" s="370">
        <f t="shared" si="2114"/>
        <v>0</v>
      </c>
      <c r="BO161" s="371">
        <f t="shared" si="2115"/>
        <v>0</v>
      </c>
      <c r="BP161" s="364"/>
      <c r="BQ161" s="366">
        <f t="shared" si="2222"/>
        <v>5</v>
      </c>
      <c r="BR161" s="367" t="str">
        <f t="shared" ref="BR161:BT161" si="2272">IFERROR(VLOOKUP($R161,$A$13:$D$30,-BR$12,FALSE),"")</f>
        <v>Bijih Nikel </v>
      </c>
      <c r="BS161" s="368" t="str">
        <f t="shared" si="2272"/>
        <v>Bijih </v>
      </c>
      <c r="BT161" s="368" t="str">
        <f t="shared" si="2272"/>
        <v>WMT</v>
      </c>
      <c r="BU161" s="361" t="str">
        <f>ADHK!BU161</f>
        <v/>
      </c>
      <c r="BV161" s="361"/>
      <c r="BW161" s="361">
        <f t="shared" si="2117"/>
        <v>0</v>
      </c>
      <c r="BX161" s="369"/>
      <c r="BY161" s="361">
        <f t="shared" si="2118"/>
        <v>0</v>
      </c>
      <c r="BZ161" s="96"/>
      <c r="CA161" s="96"/>
      <c r="CB161" s="97"/>
      <c r="CC161" s="361">
        <f t="shared" si="2119"/>
        <v>0</v>
      </c>
      <c r="CD161" s="369">
        <f t="shared" si="2120"/>
        <v>0.4604471269</v>
      </c>
      <c r="CE161" s="370">
        <f t="shared" si="2121"/>
        <v>0</v>
      </c>
      <c r="CF161" s="371">
        <f t="shared" si="2122"/>
        <v>0</v>
      </c>
      <c r="CG161" s="364"/>
      <c r="CH161" s="366">
        <f t="shared" si="2224"/>
        <v>5</v>
      </c>
      <c r="CI161" s="367" t="str">
        <f t="shared" ref="CI161:CK161" si="2273">IFERROR(VLOOKUP($R161,$A$13:$D$30,-CI$12,FALSE),"")</f>
        <v>Bijih Nikel </v>
      </c>
      <c r="CJ161" s="368" t="str">
        <f t="shared" si="2273"/>
        <v>Bijih </v>
      </c>
      <c r="CK161" s="368" t="str">
        <f t="shared" si="2273"/>
        <v>WMT</v>
      </c>
      <c r="CL161" s="361" t="str">
        <f>ADHK!CL161</f>
        <v/>
      </c>
      <c r="CM161" s="361"/>
      <c r="CN161" s="361">
        <f t="shared" si="2124"/>
        <v>0</v>
      </c>
      <c r="CO161" s="369"/>
      <c r="CP161" s="361">
        <f t="shared" si="2125"/>
        <v>0</v>
      </c>
      <c r="CQ161" s="96"/>
      <c r="CR161" s="96"/>
      <c r="CS161" s="97"/>
      <c r="CT161" s="361">
        <f t="shared" si="2126"/>
        <v>0</v>
      </c>
      <c r="CU161" s="369">
        <f t="shared" si="2127"/>
        <v>0.4604471269</v>
      </c>
      <c r="CV161" s="370">
        <f t="shared" si="2128"/>
        <v>0</v>
      </c>
      <c r="CW161" s="371">
        <f t="shared" si="2129"/>
        <v>0</v>
      </c>
      <c r="CX161" s="364"/>
      <c r="CY161" s="366">
        <f t="shared" si="2226"/>
        <v>5</v>
      </c>
      <c r="CZ161" s="367" t="str">
        <f t="shared" ref="CZ161:DB161" si="2274">IFERROR(VLOOKUP($R161,$A$13:$D$30,-CZ$12,FALSE),"")</f>
        <v>Bijih Nikel </v>
      </c>
      <c r="DA161" s="368" t="str">
        <f t="shared" si="2274"/>
        <v>Bijih </v>
      </c>
      <c r="DB161" s="368" t="str">
        <f t="shared" si="2274"/>
        <v>WMT</v>
      </c>
      <c r="DC161" s="361" t="str">
        <f>ADHK!DC161</f>
        <v/>
      </c>
      <c r="DD161" s="361"/>
      <c r="DE161" s="361">
        <f t="shared" si="2131"/>
        <v>0</v>
      </c>
      <c r="DF161" s="369"/>
      <c r="DG161" s="361">
        <f t="shared" si="2132"/>
        <v>0</v>
      </c>
      <c r="DH161" s="96"/>
      <c r="DI161" s="96"/>
      <c r="DJ161" s="97"/>
      <c r="DK161" s="361">
        <f t="shared" si="2133"/>
        <v>0</v>
      </c>
      <c r="DL161" s="369">
        <f t="shared" si="2134"/>
        <v>0.4604471269</v>
      </c>
      <c r="DM161" s="370">
        <f t="shared" si="2135"/>
        <v>0</v>
      </c>
      <c r="DN161" s="371">
        <f t="shared" si="2136"/>
        <v>0</v>
      </c>
      <c r="DO161" s="364"/>
      <c r="DP161" s="366">
        <f t="shared" si="2228"/>
        <v>5</v>
      </c>
      <c r="DQ161" s="367" t="str">
        <f t="shared" ref="DQ161:DS161" si="2275">IFERROR(VLOOKUP($R161,$A$13:$D$30,-DQ$12,FALSE),"")</f>
        <v>Bijih Nikel </v>
      </c>
      <c r="DR161" s="368" t="str">
        <f t="shared" si="2275"/>
        <v>Bijih </v>
      </c>
      <c r="DS161" s="368" t="str">
        <f t="shared" si="2275"/>
        <v>WMT</v>
      </c>
      <c r="DT161" s="361" t="str">
        <f>ADHK!DT161</f>
        <v/>
      </c>
      <c r="DU161" s="361"/>
      <c r="DV161" s="361">
        <f t="shared" si="2138"/>
        <v>0</v>
      </c>
      <c r="DW161" s="369"/>
      <c r="DX161" s="361">
        <f t="shared" si="2139"/>
        <v>0</v>
      </c>
      <c r="DY161" s="96"/>
      <c r="DZ161" s="96"/>
      <c r="EA161" s="97"/>
      <c r="EB161" s="361">
        <f t="shared" si="2140"/>
        <v>0</v>
      </c>
      <c r="EC161" s="369">
        <f t="shared" si="2141"/>
        <v>0.4604471269</v>
      </c>
      <c r="ED161" s="370">
        <f t="shared" si="2142"/>
        <v>0</v>
      </c>
      <c r="EE161" s="371">
        <f t="shared" si="2143"/>
        <v>0</v>
      </c>
      <c r="EF161" s="364"/>
      <c r="EG161" s="366">
        <f t="shared" si="2230"/>
        <v>5</v>
      </c>
      <c r="EH161" s="367" t="str">
        <f t="shared" ref="EH161:EJ161" si="2276">IFERROR(VLOOKUP($R161,$A$13:$D$30,-EH$12,FALSE),"")</f>
        <v>Bijih Nikel </v>
      </c>
      <c r="EI161" s="368" t="str">
        <f t="shared" si="2276"/>
        <v>Bijih </v>
      </c>
      <c r="EJ161" s="368" t="str">
        <f t="shared" si="2276"/>
        <v>WMT</v>
      </c>
      <c r="EK161" s="361" t="str">
        <f>ADHK!EK161</f>
        <v/>
      </c>
      <c r="EL161" s="361"/>
      <c r="EM161" s="361">
        <f t="shared" si="2145"/>
        <v>0</v>
      </c>
      <c r="EN161" s="369"/>
      <c r="EO161" s="361">
        <f t="shared" si="2146"/>
        <v>0</v>
      </c>
      <c r="EP161" s="96"/>
      <c r="EQ161" s="96"/>
      <c r="ER161" s="97"/>
      <c r="ES161" s="361">
        <f t="shared" si="2147"/>
        <v>0</v>
      </c>
      <c r="ET161" s="369">
        <f t="shared" si="2148"/>
        <v>0.4604471269</v>
      </c>
      <c r="EU161" s="370">
        <f t="shared" si="2149"/>
        <v>0</v>
      </c>
      <c r="EV161" s="371">
        <f t="shared" si="2150"/>
        <v>0</v>
      </c>
      <c r="EW161" s="364"/>
      <c r="EX161" s="366">
        <f t="shared" si="2232"/>
        <v>5</v>
      </c>
      <c r="EY161" s="367" t="str">
        <f t="shared" ref="EY161:FA161" si="2277">IFERROR(VLOOKUP($R161,$A$13:$D$30,-EY$12,FALSE),"")</f>
        <v>Bijih Nikel </v>
      </c>
      <c r="EZ161" s="368" t="str">
        <f t="shared" si="2277"/>
        <v>Bijih </v>
      </c>
      <c r="FA161" s="368" t="str">
        <f t="shared" si="2277"/>
        <v>WMT</v>
      </c>
      <c r="FB161" s="361" t="str">
        <f>ADHK!FB161</f>
        <v/>
      </c>
      <c r="FC161" s="361"/>
      <c r="FD161" s="361">
        <f t="shared" si="2152"/>
        <v>0</v>
      </c>
      <c r="FE161" s="369"/>
      <c r="FF161" s="361">
        <f t="shared" si="2153"/>
        <v>0</v>
      </c>
      <c r="FG161" s="96"/>
      <c r="FH161" s="96"/>
      <c r="FI161" s="97"/>
      <c r="FJ161" s="361">
        <f t="shared" si="2154"/>
        <v>0</v>
      </c>
      <c r="FK161" s="369">
        <f t="shared" si="2155"/>
        <v>0.4604471269</v>
      </c>
      <c r="FL161" s="370">
        <f t="shared" si="2156"/>
        <v>0</v>
      </c>
      <c r="FM161" s="371">
        <f t="shared" si="2157"/>
        <v>0</v>
      </c>
      <c r="FN161" s="364"/>
      <c r="FO161" s="366">
        <f t="shared" si="2234"/>
        <v>5</v>
      </c>
      <c r="FP161" s="367" t="str">
        <f t="shared" ref="FP161:FR161" si="2278">IFERROR(VLOOKUP($R161,$A$13:$D$30,-FP$12,FALSE),"")</f>
        <v>Bijih Nikel </v>
      </c>
      <c r="FQ161" s="368" t="str">
        <f t="shared" si="2278"/>
        <v>Bijih </v>
      </c>
      <c r="FR161" s="368" t="str">
        <f t="shared" si="2278"/>
        <v>WMT</v>
      </c>
      <c r="FS161" s="372">
        <v>7966398.34</v>
      </c>
      <c r="FT161" s="372">
        <v>269703.49</v>
      </c>
      <c r="FU161" s="361">
        <f t="shared" si="2159"/>
        <v>2148565.435</v>
      </c>
      <c r="FV161" s="369"/>
      <c r="FW161" s="361">
        <f t="shared" si="2160"/>
        <v>0</v>
      </c>
      <c r="FX161" s="96"/>
      <c r="FY161" s="96"/>
      <c r="FZ161" s="97"/>
      <c r="GA161" s="361">
        <f t="shared" si="2161"/>
        <v>2148565.435</v>
      </c>
      <c r="GB161" s="369">
        <f t="shared" si="2162"/>
        <v>0.4604471269</v>
      </c>
      <c r="GC161" s="370">
        <f t="shared" si="2163"/>
        <v>989300.7815</v>
      </c>
      <c r="GD161" s="371">
        <f t="shared" si="2164"/>
        <v>1159264.654</v>
      </c>
      <c r="GE161" s="364"/>
      <c r="GF161" s="366">
        <f t="shared" si="2236"/>
        <v>5</v>
      </c>
      <c r="GG161" s="367" t="str">
        <f t="shared" ref="GG161:GI161" si="2279">IFERROR(VLOOKUP($R161,$A$13:$D$30,-GG$12,FALSE),"")</f>
        <v>Bijih Nikel </v>
      </c>
      <c r="GH161" s="368" t="str">
        <f t="shared" si="2279"/>
        <v>Bijih </v>
      </c>
      <c r="GI161" s="368" t="str">
        <f t="shared" si="2279"/>
        <v>WMT</v>
      </c>
      <c r="GJ161" s="361">
        <f>5026.056*1000</f>
        <v>5026056</v>
      </c>
      <c r="GK161" s="372">
        <v>704320.0</v>
      </c>
      <c r="GL161" s="361">
        <f t="shared" si="2166"/>
        <v>3539951.762</v>
      </c>
      <c r="GM161" s="369"/>
      <c r="GN161" s="361">
        <f t="shared" si="2167"/>
        <v>0</v>
      </c>
      <c r="GO161" s="96"/>
      <c r="GP161" s="96"/>
      <c r="GQ161" s="97"/>
      <c r="GR161" s="361">
        <f t="shared" si="2168"/>
        <v>3539951.762</v>
      </c>
      <c r="GS161" s="369">
        <f t="shared" si="2169"/>
        <v>0.4604471269</v>
      </c>
      <c r="GT161" s="370">
        <f t="shared" si="2170"/>
        <v>1629960.618</v>
      </c>
      <c r="GU161" s="371">
        <f t="shared" si="2171"/>
        <v>1909991.144</v>
      </c>
      <c r="GV161" s="364"/>
      <c r="GW161" s="366">
        <f t="shared" si="2238"/>
        <v>5</v>
      </c>
      <c r="GX161" s="367" t="str">
        <f t="shared" ref="GX161:GZ161" si="2280">IFERROR(VLOOKUP($R161,$A$13:$D$30,-GX$12,FALSE),"")</f>
        <v>Bijih Nikel </v>
      </c>
      <c r="GY161" s="368" t="str">
        <f t="shared" si="2280"/>
        <v>Bijih </v>
      </c>
      <c r="GZ161" s="368" t="str">
        <f t="shared" si="2280"/>
        <v>WMT</v>
      </c>
      <c r="HA161" s="372">
        <v>7513184.6535</v>
      </c>
      <c r="HB161" s="372">
        <v>216433.12031982</v>
      </c>
      <c r="HC161" s="361">
        <f t="shared" si="2173"/>
        <v>1626101.998</v>
      </c>
      <c r="HD161" s="369"/>
      <c r="HE161" s="361">
        <f t="shared" si="2174"/>
        <v>0</v>
      </c>
      <c r="HF161" s="96"/>
      <c r="HG161" s="96"/>
      <c r="HH161" s="97"/>
      <c r="HI161" s="361">
        <f t="shared" si="2175"/>
        <v>1626101.998</v>
      </c>
      <c r="HJ161" s="369">
        <f t="shared" si="2176"/>
        <v>0.4604471269</v>
      </c>
      <c r="HK161" s="370">
        <f t="shared" si="2177"/>
        <v>748733.9931</v>
      </c>
      <c r="HL161" s="371">
        <f t="shared" si="2178"/>
        <v>877368.005</v>
      </c>
      <c r="HM161" s="364"/>
      <c r="HN161" s="366">
        <f t="shared" si="2240"/>
        <v>5</v>
      </c>
      <c r="HO161" s="367" t="str">
        <f t="shared" ref="HO161:HQ161" si="2281">IFERROR(VLOOKUP($R161,$A$13:$D$30,-HO$12,FALSE),"")</f>
        <v>Bijih Nikel </v>
      </c>
      <c r="HP161" s="368" t="str">
        <f t="shared" si="2281"/>
        <v>Bijih </v>
      </c>
      <c r="HQ161" s="368" t="str">
        <f t="shared" si="2281"/>
        <v>WMT</v>
      </c>
      <c r="HR161" s="372">
        <v>1.1621249218663E7</v>
      </c>
      <c r="HS161" s="372">
        <v>225055.79236954</v>
      </c>
      <c r="HT161" s="361">
        <f t="shared" si="2180"/>
        <v>2615429.451</v>
      </c>
      <c r="HU161" s="369"/>
      <c r="HV161" s="361">
        <f t="shared" si="2181"/>
        <v>0</v>
      </c>
      <c r="HW161" s="96"/>
      <c r="HX161" s="96"/>
      <c r="HY161" s="97"/>
      <c r="HZ161" s="361">
        <f t="shared" si="2182"/>
        <v>2615429.451</v>
      </c>
      <c r="IA161" s="369">
        <f t="shared" si="2183"/>
        <v>0.4604471269</v>
      </c>
      <c r="IB161" s="370">
        <f t="shared" si="2184"/>
        <v>1204266.976</v>
      </c>
      <c r="IC161" s="371">
        <f t="shared" si="2185"/>
        <v>1411162.475</v>
      </c>
      <c r="ID161" s="364"/>
      <c r="IE161" s="366">
        <f t="shared" si="2242"/>
        <v>5</v>
      </c>
      <c r="IF161" s="367" t="str">
        <f t="shared" ref="IF161:IH161" si="2282">IFERROR(VLOOKUP($R161,$A$13:$D$30,-IF$12,FALSE),"")</f>
        <v>Bijih Nikel </v>
      </c>
      <c r="IG161" s="368" t="str">
        <f t="shared" si="2282"/>
        <v>Bijih </v>
      </c>
      <c r="IH161" s="368" t="str">
        <f t="shared" si="2282"/>
        <v>WMT</v>
      </c>
      <c r="II161" s="361">
        <f>II125-(II125*12/100)</f>
        <v>20383368.61</v>
      </c>
      <c r="IJ161" s="361">
        <f>IJ125</f>
        <v>223326.9203</v>
      </c>
      <c r="IK161" s="361">
        <f t="shared" si="2187"/>
        <v>4552154.937</v>
      </c>
      <c r="IL161" s="369"/>
      <c r="IM161" s="361">
        <f t="shared" si="2188"/>
        <v>0</v>
      </c>
      <c r="IN161" s="96"/>
      <c r="IO161" s="96"/>
      <c r="IP161" s="97"/>
      <c r="IQ161" s="361">
        <f t="shared" si="2189"/>
        <v>4552154.937</v>
      </c>
      <c r="IR161" s="369">
        <f t="shared" si="2190"/>
        <v>0.4604471269</v>
      </c>
      <c r="IS161" s="370">
        <f t="shared" si="2191"/>
        <v>2096026.662</v>
      </c>
      <c r="IT161" s="371">
        <f t="shared" si="2192"/>
        <v>2456128.275</v>
      </c>
      <c r="IU161" s="364"/>
      <c r="IV161" s="366">
        <f t="shared" si="2244"/>
        <v>5</v>
      </c>
      <c r="IW161" s="367" t="str">
        <f t="shared" ref="IW161:IY161" si="2283">IFERROR(VLOOKUP($R161,$A$13:$D$30,-IW$12,FALSE),"")</f>
        <v>Bijih Nikel </v>
      </c>
      <c r="IX161" s="368" t="str">
        <f t="shared" si="2283"/>
        <v>Bijih </v>
      </c>
      <c r="IY161" s="368" t="str">
        <f t="shared" si="2283"/>
        <v>WMT</v>
      </c>
      <c r="IZ161" s="361">
        <f>IZ125*(100+6.28)/100</f>
        <v>25166398.12</v>
      </c>
      <c r="JA161" s="368">
        <f>JA125*(100-3.18)/100</f>
        <v>197867.5192</v>
      </c>
      <c r="JB161" s="361">
        <f t="shared" si="2194"/>
        <v>4979612.763</v>
      </c>
      <c r="JC161" s="369"/>
      <c r="JD161" s="361">
        <f t="shared" si="2195"/>
        <v>0</v>
      </c>
      <c r="JE161" s="96"/>
      <c r="JF161" s="96"/>
      <c r="JG161" s="97"/>
      <c r="JH161" s="361">
        <f t="shared" si="2196"/>
        <v>4979612.763</v>
      </c>
      <c r="JI161" s="369">
        <f t="shared" si="2197"/>
        <v>0.4604471269</v>
      </c>
      <c r="JJ161" s="370">
        <f t="shared" si="2198"/>
        <v>2292848.39</v>
      </c>
      <c r="JK161" s="371">
        <f t="shared" si="2199"/>
        <v>2686764.373</v>
      </c>
      <c r="JL161" s="364"/>
      <c r="JM161" s="366">
        <f t="shared" si="2246"/>
        <v>5</v>
      </c>
      <c r="JN161" s="367" t="str">
        <f t="shared" ref="JN161:JP161" si="2284">IFERROR(VLOOKUP($R161,$A$13:$D$30,-JN$12,FALSE),"")</f>
        <v>Bijih Nikel </v>
      </c>
      <c r="JO161" s="368" t="str">
        <f t="shared" si="2284"/>
        <v>Bijih </v>
      </c>
      <c r="JP161" s="368" t="str">
        <f t="shared" si="2284"/>
        <v>WMT</v>
      </c>
      <c r="JQ161" s="361"/>
      <c r="JR161" s="368"/>
      <c r="JS161" s="361">
        <f t="shared" si="2201"/>
        <v>0</v>
      </c>
      <c r="JT161" s="369"/>
      <c r="JU161" s="361">
        <f t="shared" si="2202"/>
        <v>0</v>
      </c>
      <c r="JV161" s="96"/>
      <c r="JW161" s="96"/>
      <c r="JX161" s="97"/>
      <c r="JY161" s="361">
        <f t="shared" si="2203"/>
        <v>0</v>
      </c>
      <c r="JZ161" s="369">
        <f t="shared" si="2204"/>
        <v>0.4604471269</v>
      </c>
      <c r="KA161" s="370">
        <f t="shared" si="2205"/>
        <v>0</v>
      </c>
      <c r="KB161" s="371">
        <f t="shared" si="2206"/>
        <v>0</v>
      </c>
      <c r="KC161" s="364"/>
      <c r="KD161" s="366">
        <f t="shared" si="2248"/>
        <v>5</v>
      </c>
      <c r="KE161" s="367" t="str">
        <f t="shared" ref="KE161:KG161" si="2285">IFERROR(VLOOKUP($R161,$A$13:$D$30,-KE$12,FALSE),"")</f>
        <v>Bijih Nikel </v>
      </c>
      <c r="KF161" s="368" t="str">
        <f t="shared" si="2285"/>
        <v>Bijih </v>
      </c>
      <c r="KG161" s="368" t="str">
        <f t="shared" si="2285"/>
        <v>WMT</v>
      </c>
      <c r="KH161" s="361"/>
      <c r="KI161" s="368"/>
      <c r="KJ161" s="361">
        <f t="shared" si="2208"/>
        <v>0</v>
      </c>
      <c r="KK161" s="369"/>
      <c r="KL161" s="361">
        <f t="shared" si="2209"/>
        <v>0</v>
      </c>
      <c r="KM161" s="96"/>
      <c r="KN161" s="96"/>
      <c r="KO161" s="97"/>
      <c r="KP161" s="361">
        <f t="shared" si="2210"/>
        <v>0</v>
      </c>
      <c r="KQ161" s="369">
        <f t="shared" si="2211"/>
        <v>0.4604471269</v>
      </c>
      <c r="KR161" s="370">
        <f t="shared" si="2212"/>
        <v>0</v>
      </c>
      <c r="KS161" s="371">
        <f t="shared" si="2213"/>
        <v>0</v>
      </c>
      <c r="KT161" s="364"/>
      <c r="KU161" s="365"/>
    </row>
    <row r="162" ht="15.75" customHeight="1">
      <c r="A162" s="366">
        <f t="shared" si="2214"/>
        <v>6</v>
      </c>
      <c r="B162" s="367" t="str">
        <f t="shared" ref="B162:D162" si="2286">IFERROR(VLOOKUP($A162,$A$13:$D$30,-B$12,FALSE),"")</f>
        <v>Pasir Besi </v>
      </c>
      <c r="C162" s="368" t="str">
        <f t="shared" si="2286"/>
        <v>Bijih </v>
      </c>
      <c r="D162" s="368" t="str">
        <f t="shared" si="2286"/>
        <v>Ton </v>
      </c>
      <c r="E162" s="361" t="str">
        <f>ADHK!E162</f>
        <v/>
      </c>
      <c r="F162" s="361" t="str">
        <f>ADHK!F162</f>
        <v/>
      </c>
      <c r="G162" s="361">
        <f t="shared" si="2089"/>
        <v>0</v>
      </c>
      <c r="H162" s="369"/>
      <c r="I162" s="361">
        <f t="shared" si="2090"/>
        <v>0</v>
      </c>
      <c r="J162" s="96"/>
      <c r="K162" s="96"/>
      <c r="L162" s="97"/>
      <c r="M162" s="361">
        <f t="shared" si="2091"/>
        <v>0</v>
      </c>
      <c r="N162" s="369">
        <f t="shared" si="2092"/>
        <v>0.4604471269</v>
      </c>
      <c r="O162" s="370">
        <f t="shared" si="2093"/>
        <v>0</v>
      </c>
      <c r="P162" s="371">
        <f t="shared" si="2094"/>
        <v>0</v>
      </c>
      <c r="Q162" s="364"/>
      <c r="R162" s="366">
        <f t="shared" si="2216"/>
        <v>6</v>
      </c>
      <c r="S162" s="367" t="str">
        <f t="shared" ref="S162:U162" si="2287">IFERROR(VLOOKUP($R162,$A$13:$D$30,-S$12,FALSE),"")</f>
        <v>Pasir Besi </v>
      </c>
      <c r="T162" s="368" t="str">
        <f t="shared" si="2287"/>
        <v>Bijih </v>
      </c>
      <c r="U162" s="368" t="str">
        <f t="shared" si="2287"/>
        <v>Ton </v>
      </c>
      <c r="V162" s="361" t="str">
        <f>ADHK!V162</f>
        <v/>
      </c>
      <c r="W162" s="361"/>
      <c r="X162" s="361">
        <f t="shared" si="2096"/>
        <v>0</v>
      </c>
      <c r="Y162" s="369"/>
      <c r="Z162" s="361">
        <f t="shared" si="2097"/>
        <v>0</v>
      </c>
      <c r="AA162" s="96"/>
      <c r="AB162" s="96"/>
      <c r="AC162" s="97"/>
      <c r="AD162" s="361">
        <f t="shared" si="2098"/>
        <v>0</v>
      </c>
      <c r="AE162" s="369">
        <f t="shared" si="2099"/>
        <v>0.4604471269</v>
      </c>
      <c r="AF162" s="370">
        <f t="shared" si="2100"/>
        <v>0</v>
      </c>
      <c r="AG162" s="371">
        <f t="shared" si="2101"/>
        <v>0</v>
      </c>
      <c r="AH162" s="364"/>
      <c r="AI162" s="366">
        <f t="shared" si="2218"/>
        <v>6</v>
      </c>
      <c r="AJ162" s="367" t="str">
        <f t="shared" ref="AJ162:AL162" si="2288">IFERROR(VLOOKUP($R162,$A$13:$D$30,-AJ$12,FALSE),"")</f>
        <v>Pasir Besi </v>
      </c>
      <c r="AK162" s="368" t="str">
        <f t="shared" si="2288"/>
        <v>Bijih </v>
      </c>
      <c r="AL162" s="368" t="str">
        <f t="shared" si="2288"/>
        <v>Ton </v>
      </c>
      <c r="AM162" s="361" t="str">
        <f>ADHK!AM162</f>
        <v/>
      </c>
      <c r="AN162" s="361"/>
      <c r="AO162" s="361">
        <f t="shared" si="2103"/>
        <v>0</v>
      </c>
      <c r="AP162" s="369"/>
      <c r="AQ162" s="361">
        <f t="shared" si="2104"/>
        <v>0</v>
      </c>
      <c r="AR162" s="96"/>
      <c r="AS162" s="96"/>
      <c r="AT162" s="97"/>
      <c r="AU162" s="361">
        <f t="shared" si="2105"/>
        <v>0</v>
      </c>
      <c r="AV162" s="369">
        <f t="shared" si="2106"/>
        <v>0.4604471269</v>
      </c>
      <c r="AW162" s="370">
        <f t="shared" si="2107"/>
        <v>0</v>
      </c>
      <c r="AX162" s="371">
        <f t="shared" si="2108"/>
        <v>0</v>
      </c>
      <c r="AY162" s="364"/>
      <c r="AZ162" s="366">
        <f t="shared" si="2220"/>
        <v>6</v>
      </c>
      <c r="BA162" s="367" t="str">
        <f t="shared" ref="BA162:BC162" si="2289">IFERROR(VLOOKUP($R162,$A$13:$D$30,-BA$12,FALSE),"")</f>
        <v>Pasir Besi </v>
      </c>
      <c r="BB162" s="368" t="str">
        <f t="shared" si="2289"/>
        <v>Bijih </v>
      </c>
      <c r="BC162" s="368" t="str">
        <f t="shared" si="2289"/>
        <v>Ton </v>
      </c>
      <c r="BD162" s="361" t="str">
        <f>ADHK!BD162</f>
        <v/>
      </c>
      <c r="BE162" s="361"/>
      <c r="BF162" s="361">
        <f t="shared" si="2110"/>
        <v>0</v>
      </c>
      <c r="BG162" s="369"/>
      <c r="BH162" s="361">
        <f t="shared" si="2111"/>
        <v>0</v>
      </c>
      <c r="BI162" s="96"/>
      <c r="BJ162" s="96"/>
      <c r="BK162" s="97"/>
      <c r="BL162" s="361">
        <f t="shared" si="2112"/>
        <v>0</v>
      </c>
      <c r="BM162" s="369">
        <f t="shared" si="2113"/>
        <v>0.4604471269</v>
      </c>
      <c r="BN162" s="370">
        <f t="shared" si="2114"/>
        <v>0</v>
      </c>
      <c r="BO162" s="371">
        <f t="shared" si="2115"/>
        <v>0</v>
      </c>
      <c r="BP162" s="364"/>
      <c r="BQ162" s="366">
        <f t="shared" si="2222"/>
        <v>6</v>
      </c>
      <c r="BR162" s="367" t="str">
        <f t="shared" ref="BR162:BT162" si="2290">IFERROR(VLOOKUP($R162,$A$13:$D$30,-BR$12,FALSE),"")</f>
        <v>Pasir Besi </v>
      </c>
      <c r="BS162" s="368" t="str">
        <f t="shared" si="2290"/>
        <v>Bijih </v>
      </c>
      <c r="BT162" s="368" t="str">
        <f t="shared" si="2290"/>
        <v>Ton </v>
      </c>
      <c r="BU162" s="361" t="str">
        <f>ADHK!BU162</f>
        <v/>
      </c>
      <c r="BV162" s="361"/>
      <c r="BW162" s="361">
        <f t="shared" si="2117"/>
        <v>0</v>
      </c>
      <c r="BX162" s="369"/>
      <c r="BY162" s="361">
        <f t="shared" si="2118"/>
        <v>0</v>
      </c>
      <c r="BZ162" s="96"/>
      <c r="CA162" s="96"/>
      <c r="CB162" s="97"/>
      <c r="CC162" s="361">
        <f t="shared" si="2119"/>
        <v>0</v>
      </c>
      <c r="CD162" s="369">
        <f t="shared" si="2120"/>
        <v>0.4604471269</v>
      </c>
      <c r="CE162" s="370">
        <f t="shared" si="2121"/>
        <v>0</v>
      </c>
      <c r="CF162" s="371">
        <f t="shared" si="2122"/>
        <v>0</v>
      </c>
      <c r="CG162" s="364"/>
      <c r="CH162" s="366">
        <f t="shared" si="2224"/>
        <v>6</v>
      </c>
      <c r="CI162" s="367" t="str">
        <f t="shared" ref="CI162:CK162" si="2291">IFERROR(VLOOKUP($R162,$A$13:$D$30,-CI$12,FALSE),"")</f>
        <v>Pasir Besi </v>
      </c>
      <c r="CJ162" s="368" t="str">
        <f t="shared" si="2291"/>
        <v>Bijih </v>
      </c>
      <c r="CK162" s="368" t="str">
        <f t="shared" si="2291"/>
        <v>Ton </v>
      </c>
      <c r="CL162" s="361" t="str">
        <f>ADHK!CL162</f>
        <v/>
      </c>
      <c r="CM162" s="361"/>
      <c r="CN162" s="361">
        <f t="shared" si="2124"/>
        <v>0</v>
      </c>
      <c r="CO162" s="369"/>
      <c r="CP162" s="361">
        <f t="shared" si="2125"/>
        <v>0</v>
      </c>
      <c r="CQ162" s="96"/>
      <c r="CR162" s="96"/>
      <c r="CS162" s="97"/>
      <c r="CT162" s="361">
        <f t="shared" si="2126"/>
        <v>0</v>
      </c>
      <c r="CU162" s="369">
        <f t="shared" si="2127"/>
        <v>0.4604471269</v>
      </c>
      <c r="CV162" s="370">
        <f t="shared" si="2128"/>
        <v>0</v>
      </c>
      <c r="CW162" s="371">
        <f t="shared" si="2129"/>
        <v>0</v>
      </c>
      <c r="CX162" s="364"/>
      <c r="CY162" s="366">
        <f t="shared" si="2226"/>
        <v>6</v>
      </c>
      <c r="CZ162" s="367" t="str">
        <f t="shared" ref="CZ162:DB162" si="2292">IFERROR(VLOOKUP($R162,$A$13:$D$30,-CZ$12,FALSE),"")</f>
        <v>Pasir Besi </v>
      </c>
      <c r="DA162" s="368" t="str">
        <f t="shared" si="2292"/>
        <v>Bijih </v>
      </c>
      <c r="DB162" s="368" t="str">
        <f t="shared" si="2292"/>
        <v>Ton </v>
      </c>
      <c r="DC162" s="361" t="str">
        <f>ADHK!DC162</f>
        <v/>
      </c>
      <c r="DD162" s="361"/>
      <c r="DE162" s="361">
        <f t="shared" si="2131"/>
        <v>0</v>
      </c>
      <c r="DF162" s="369"/>
      <c r="DG162" s="361">
        <f t="shared" si="2132"/>
        <v>0</v>
      </c>
      <c r="DH162" s="96"/>
      <c r="DI162" s="96"/>
      <c r="DJ162" s="97"/>
      <c r="DK162" s="361">
        <f t="shared" si="2133"/>
        <v>0</v>
      </c>
      <c r="DL162" s="369">
        <f t="shared" si="2134"/>
        <v>0.4604471269</v>
      </c>
      <c r="DM162" s="370">
        <f t="shared" si="2135"/>
        <v>0</v>
      </c>
      <c r="DN162" s="371">
        <f t="shared" si="2136"/>
        <v>0</v>
      </c>
      <c r="DO162" s="364"/>
      <c r="DP162" s="366">
        <f t="shared" si="2228"/>
        <v>6</v>
      </c>
      <c r="DQ162" s="367" t="str">
        <f t="shared" ref="DQ162:DS162" si="2293">IFERROR(VLOOKUP($R162,$A$13:$D$30,-DQ$12,FALSE),"")</f>
        <v>Pasir Besi </v>
      </c>
      <c r="DR162" s="368" t="str">
        <f t="shared" si="2293"/>
        <v>Bijih </v>
      </c>
      <c r="DS162" s="368" t="str">
        <f t="shared" si="2293"/>
        <v>Ton </v>
      </c>
      <c r="DT162" s="361" t="str">
        <f>ADHK!DT162</f>
        <v/>
      </c>
      <c r="DU162" s="361"/>
      <c r="DV162" s="361">
        <f t="shared" si="2138"/>
        <v>0</v>
      </c>
      <c r="DW162" s="369"/>
      <c r="DX162" s="361">
        <f t="shared" si="2139"/>
        <v>0</v>
      </c>
      <c r="DY162" s="96"/>
      <c r="DZ162" s="96"/>
      <c r="EA162" s="97"/>
      <c r="EB162" s="361">
        <f t="shared" si="2140"/>
        <v>0</v>
      </c>
      <c r="EC162" s="369">
        <f t="shared" si="2141"/>
        <v>0.4604471269</v>
      </c>
      <c r="ED162" s="370">
        <f t="shared" si="2142"/>
        <v>0</v>
      </c>
      <c r="EE162" s="371">
        <f t="shared" si="2143"/>
        <v>0</v>
      </c>
      <c r="EF162" s="364"/>
      <c r="EG162" s="366">
        <f t="shared" si="2230"/>
        <v>6</v>
      </c>
      <c r="EH162" s="367" t="str">
        <f t="shared" ref="EH162:EJ162" si="2294">IFERROR(VLOOKUP($R162,$A$13:$D$30,-EH$12,FALSE),"")</f>
        <v>Pasir Besi </v>
      </c>
      <c r="EI162" s="368" t="str">
        <f t="shared" si="2294"/>
        <v>Bijih </v>
      </c>
      <c r="EJ162" s="368" t="str">
        <f t="shared" si="2294"/>
        <v>Ton </v>
      </c>
      <c r="EK162" s="361" t="str">
        <f>ADHK!EK162</f>
        <v/>
      </c>
      <c r="EL162" s="361"/>
      <c r="EM162" s="361">
        <f t="shared" si="2145"/>
        <v>0</v>
      </c>
      <c r="EN162" s="369"/>
      <c r="EO162" s="361">
        <f t="shared" si="2146"/>
        <v>0</v>
      </c>
      <c r="EP162" s="96"/>
      <c r="EQ162" s="96"/>
      <c r="ER162" s="97"/>
      <c r="ES162" s="361">
        <f t="shared" si="2147"/>
        <v>0</v>
      </c>
      <c r="ET162" s="369">
        <f t="shared" si="2148"/>
        <v>0.4604471269</v>
      </c>
      <c r="EU162" s="370">
        <f t="shared" si="2149"/>
        <v>0</v>
      </c>
      <c r="EV162" s="371">
        <f t="shared" si="2150"/>
        <v>0</v>
      </c>
      <c r="EW162" s="364"/>
      <c r="EX162" s="366">
        <f t="shared" si="2232"/>
        <v>6</v>
      </c>
      <c r="EY162" s="367" t="str">
        <f t="shared" ref="EY162:FA162" si="2295">IFERROR(VLOOKUP($R162,$A$13:$D$30,-EY$12,FALSE),"")</f>
        <v>Pasir Besi </v>
      </c>
      <c r="EZ162" s="368" t="str">
        <f t="shared" si="2295"/>
        <v>Bijih </v>
      </c>
      <c r="FA162" s="368" t="str">
        <f t="shared" si="2295"/>
        <v>Ton </v>
      </c>
      <c r="FB162" s="361" t="str">
        <f>ADHK!FB162</f>
        <v/>
      </c>
      <c r="FC162" s="361"/>
      <c r="FD162" s="361">
        <f t="shared" si="2152"/>
        <v>0</v>
      </c>
      <c r="FE162" s="369"/>
      <c r="FF162" s="361">
        <f t="shared" si="2153"/>
        <v>0</v>
      </c>
      <c r="FG162" s="96"/>
      <c r="FH162" s="96"/>
      <c r="FI162" s="97"/>
      <c r="FJ162" s="361">
        <f t="shared" si="2154"/>
        <v>0</v>
      </c>
      <c r="FK162" s="369">
        <f t="shared" si="2155"/>
        <v>0.4604471269</v>
      </c>
      <c r="FL162" s="370">
        <f t="shared" si="2156"/>
        <v>0</v>
      </c>
      <c r="FM162" s="371">
        <f t="shared" si="2157"/>
        <v>0</v>
      </c>
      <c r="FN162" s="364"/>
      <c r="FO162" s="366">
        <f t="shared" si="2234"/>
        <v>6</v>
      </c>
      <c r="FP162" s="367" t="str">
        <f t="shared" ref="FP162:FR162" si="2296">IFERROR(VLOOKUP($R162,$A$13:$D$30,-FP$12,FALSE),"")</f>
        <v>Pasir Besi </v>
      </c>
      <c r="FQ162" s="368" t="str">
        <f t="shared" si="2296"/>
        <v>Bijih </v>
      </c>
      <c r="FR162" s="368" t="str">
        <f t="shared" si="2296"/>
        <v>Ton </v>
      </c>
      <c r="FS162" s="361" t="str">
        <f>ADHK!FS162</f>
        <v/>
      </c>
      <c r="FT162" s="361"/>
      <c r="FU162" s="361">
        <f t="shared" si="2159"/>
        <v>0</v>
      </c>
      <c r="FV162" s="369"/>
      <c r="FW162" s="361">
        <f t="shared" si="2160"/>
        <v>0</v>
      </c>
      <c r="FX162" s="96"/>
      <c r="FY162" s="96"/>
      <c r="FZ162" s="97"/>
      <c r="GA162" s="361">
        <f t="shared" si="2161"/>
        <v>0</v>
      </c>
      <c r="GB162" s="369">
        <f t="shared" si="2162"/>
        <v>0.4604471269</v>
      </c>
      <c r="GC162" s="370">
        <f t="shared" si="2163"/>
        <v>0</v>
      </c>
      <c r="GD162" s="371">
        <f t="shared" si="2164"/>
        <v>0</v>
      </c>
      <c r="GE162" s="364"/>
      <c r="GF162" s="366">
        <f t="shared" si="2236"/>
        <v>6</v>
      </c>
      <c r="GG162" s="367" t="str">
        <f t="shared" ref="GG162:GI162" si="2297">IFERROR(VLOOKUP($R162,$A$13:$D$30,-GG$12,FALSE),"")</f>
        <v>Pasir Besi </v>
      </c>
      <c r="GH162" s="368" t="str">
        <f t="shared" si="2297"/>
        <v>Bijih </v>
      </c>
      <c r="GI162" s="368" t="str">
        <f t="shared" si="2297"/>
        <v>Ton </v>
      </c>
      <c r="GJ162" s="361" t="str">
        <f>ADHK!GJ162</f>
        <v/>
      </c>
      <c r="GK162" s="361"/>
      <c r="GL162" s="361">
        <f t="shared" si="2166"/>
        <v>0</v>
      </c>
      <c r="GM162" s="369"/>
      <c r="GN162" s="361">
        <f t="shared" si="2167"/>
        <v>0</v>
      </c>
      <c r="GO162" s="96"/>
      <c r="GP162" s="96"/>
      <c r="GQ162" s="97"/>
      <c r="GR162" s="361">
        <f t="shared" si="2168"/>
        <v>0</v>
      </c>
      <c r="GS162" s="369">
        <f t="shared" si="2169"/>
        <v>0.4604471269</v>
      </c>
      <c r="GT162" s="370">
        <f t="shared" si="2170"/>
        <v>0</v>
      </c>
      <c r="GU162" s="371">
        <f t="shared" si="2171"/>
        <v>0</v>
      </c>
      <c r="GV162" s="364"/>
      <c r="GW162" s="366">
        <f t="shared" si="2238"/>
        <v>6</v>
      </c>
      <c r="GX162" s="367" t="str">
        <f t="shared" ref="GX162:GZ162" si="2298">IFERROR(VLOOKUP($R162,$A$13:$D$30,-GX$12,FALSE),"")</f>
        <v>Pasir Besi </v>
      </c>
      <c r="GY162" s="368" t="str">
        <f t="shared" si="2298"/>
        <v>Bijih </v>
      </c>
      <c r="GZ162" s="368" t="str">
        <f t="shared" si="2298"/>
        <v>Ton </v>
      </c>
      <c r="HA162" s="361"/>
      <c r="HB162" s="372"/>
      <c r="HC162" s="361">
        <f t="shared" si="2173"/>
        <v>0</v>
      </c>
      <c r="HD162" s="369"/>
      <c r="HE162" s="361">
        <f t="shared" si="2174"/>
        <v>0</v>
      </c>
      <c r="HF162" s="96"/>
      <c r="HG162" s="96"/>
      <c r="HH162" s="97"/>
      <c r="HI162" s="361">
        <f t="shared" si="2175"/>
        <v>0</v>
      </c>
      <c r="HJ162" s="369">
        <f t="shared" si="2176"/>
        <v>0.4604471269</v>
      </c>
      <c r="HK162" s="370">
        <f t="shared" si="2177"/>
        <v>0</v>
      </c>
      <c r="HL162" s="371">
        <f t="shared" si="2178"/>
        <v>0</v>
      </c>
      <c r="HM162" s="364"/>
      <c r="HN162" s="366">
        <f t="shared" si="2240"/>
        <v>6</v>
      </c>
      <c r="HO162" s="367" t="str">
        <f t="shared" ref="HO162:HQ162" si="2299">IFERROR(VLOOKUP($R162,$A$13:$D$30,-HO$12,FALSE),"")</f>
        <v>Pasir Besi </v>
      </c>
      <c r="HP162" s="368" t="str">
        <f t="shared" si="2299"/>
        <v>Bijih </v>
      </c>
      <c r="HQ162" s="368" t="str">
        <f t="shared" si="2299"/>
        <v>Ton </v>
      </c>
      <c r="HR162" s="361" t="str">
        <f>ADHK!HR162</f>
        <v/>
      </c>
      <c r="HS162" s="361"/>
      <c r="HT162" s="361">
        <f t="shared" si="2180"/>
        <v>0</v>
      </c>
      <c r="HU162" s="369"/>
      <c r="HV162" s="361">
        <f t="shared" si="2181"/>
        <v>0</v>
      </c>
      <c r="HW162" s="96"/>
      <c r="HX162" s="96"/>
      <c r="HY162" s="97"/>
      <c r="HZ162" s="361">
        <f t="shared" si="2182"/>
        <v>0</v>
      </c>
      <c r="IA162" s="369">
        <f t="shared" si="2183"/>
        <v>0.4604471269</v>
      </c>
      <c r="IB162" s="370">
        <f t="shared" si="2184"/>
        <v>0</v>
      </c>
      <c r="IC162" s="371">
        <f t="shared" si="2185"/>
        <v>0</v>
      </c>
      <c r="ID162" s="364"/>
      <c r="IE162" s="366">
        <f t="shared" si="2242"/>
        <v>6</v>
      </c>
      <c r="IF162" s="367" t="str">
        <f t="shared" ref="IF162:IH162" si="2300">IFERROR(VLOOKUP($R162,$A$13:$D$30,-IF$12,FALSE),"")</f>
        <v>Pasir Besi </v>
      </c>
      <c r="IG162" s="368" t="str">
        <f t="shared" si="2300"/>
        <v>Bijih </v>
      </c>
      <c r="IH162" s="368" t="str">
        <f t="shared" si="2300"/>
        <v>Ton </v>
      </c>
      <c r="II162" s="361" t="str">
        <f>ADHK!II162</f>
        <v/>
      </c>
      <c r="IJ162" s="361"/>
      <c r="IK162" s="361">
        <f t="shared" si="2187"/>
        <v>0</v>
      </c>
      <c r="IL162" s="369"/>
      <c r="IM162" s="361">
        <f t="shared" si="2188"/>
        <v>0</v>
      </c>
      <c r="IN162" s="96"/>
      <c r="IO162" s="96"/>
      <c r="IP162" s="97"/>
      <c r="IQ162" s="361">
        <f t="shared" si="2189"/>
        <v>0</v>
      </c>
      <c r="IR162" s="369">
        <f t="shared" si="2190"/>
        <v>0.4604471269</v>
      </c>
      <c r="IS162" s="370">
        <f t="shared" si="2191"/>
        <v>0</v>
      </c>
      <c r="IT162" s="371">
        <f t="shared" si="2192"/>
        <v>0</v>
      </c>
      <c r="IU162" s="364"/>
      <c r="IV162" s="366">
        <f t="shared" si="2244"/>
        <v>6</v>
      </c>
      <c r="IW162" s="367" t="str">
        <f t="shared" ref="IW162:IY162" si="2301">IFERROR(VLOOKUP($R162,$A$13:$D$30,-IW$12,FALSE),"")</f>
        <v>Pasir Besi </v>
      </c>
      <c r="IX162" s="368" t="str">
        <f t="shared" si="2301"/>
        <v>Bijih </v>
      </c>
      <c r="IY162" s="368" t="str">
        <f t="shared" si="2301"/>
        <v>Ton </v>
      </c>
      <c r="IZ162" s="361" t="str">
        <f>ADHK!IZ162</f>
        <v/>
      </c>
      <c r="JA162" s="361"/>
      <c r="JB162" s="361">
        <f t="shared" si="2194"/>
        <v>0</v>
      </c>
      <c r="JC162" s="369"/>
      <c r="JD162" s="361">
        <f t="shared" si="2195"/>
        <v>0</v>
      </c>
      <c r="JE162" s="96"/>
      <c r="JF162" s="96"/>
      <c r="JG162" s="97"/>
      <c r="JH162" s="361">
        <f t="shared" si="2196"/>
        <v>0</v>
      </c>
      <c r="JI162" s="369">
        <f t="shared" si="2197"/>
        <v>0.4604471269</v>
      </c>
      <c r="JJ162" s="370">
        <f t="shared" si="2198"/>
        <v>0</v>
      </c>
      <c r="JK162" s="371">
        <f t="shared" si="2199"/>
        <v>0</v>
      </c>
      <c r="JL162" s="364"/>
      <c r="JM162" s="366">
        <f t="shared" si="2246"/>
        <v>6</v>
      </c>
      <c r="JN162" s="367" t="str">
        <f t="shared" ref="JN162:JP162" si="2302">IFERROR(VLOOKUP($R162,$A$13:$D$30,-JN$12,FALSE),"")</f>
        <v>Pasir Besi </v>
      </c>
      <c r="JO162" s="368" t="str">
        <f t="shared" si="2302"/>
        <v>Bijih </v>
      </c>
      <c r="JP162" s="368" t="str">
        <f t="shared" si="2302"/>
        <v>Ton </v>
      </c>
      <c r="JQ162" s="361" t="str">
        <f>ADHK!KY162</f>
        <v/>
      </c>
      <c r="JR162" s="361"/>
      <c r="JS162" s="361">
        <f t="shared" si="2201"/>
        <v>0</v>
      </c>
      <c r="JT162" s="369"/>
      <c r="JU162" s="361">
        <f t="shared" si="2202"/>
        <v>0</v>
      </c>
      <c r="JV162" s="96"/>
      <c r="JW162" s="96"/>
      <c r="JX162" s="97"/>
      <c r="JY162" s="361">
        <f t="shared" si="2203"/>
        <v>0</v>
      </c>
      <c r="JZ162" s="369">
        <f t="shared" si="2204"/>
        <v>0.4604471269</v>
      </c>
      <c r="KA162" s="370">
        <f t="shared" si="2205"/>
        <v>0</v>
      </c>
      <c r="KB162" s="371">
        <f t="shared" si="2206"/>
        <v>0</v>
      </c>
      <c r="KC162" s="364"/>
      <c r="KD162" s="366">
        <f t="shared" si="2248"/>
        <v>6</v>
      </c>
      <c r="KE162" s="367" t="str">
        <f t="shared" ref="KE162:KG162" si="2303">IFERROR(VLOOKUP($R162,$A$13:$D$30,-KE$12,FALSE),"")</f>
        <v>Pasir Besi </v>
      </c>
      <c r="KF162" s="368" t="str">
        <f t="shared" si="2303"/>
        <v>Bijih </v>
      </c>
      <c r="KG162" s="368" t="str">
        <f t="shared" si="2303"/>
        <v>Ton </v>
      </c>
      <c r="KH162" s="361" t="str">
        <f>ADHK!LP162</f>
        <v/>
      </c>
      <c r="KI162" s="361"/>
      <c r="KJ162" s="361">
        <f t="shared" si="2208"/>
        <v>0</v>
      </c>
      <c r="KK162" s="369"/>
      <c r="KL162" s="361">
        <f t="shared" si="2209"/>
        <v>0</v>
      </c>
      <c r="KM162" s="96"/>
      <c r="KN162" s="96"/>
      <c r="KO162" s="97"/>
      <c r="KP162" s="361">
        <f t="shared" si="2210"/>
        <v>0</v>
      </c>
      <c r="KQ162" s="369">
        <f t="shared" si="2211"/>
        <v>0.4604471269</v>
      </c>
      <c r="KR162" s="370">
        <f t="shared" si="2212"/>
        <v>0</v>
      </c>
      <c r="KS162" s="371">
        <f t="shared" si="2213"/>
        <v>0</v>
      </c>
      <c r="KT162" s="364"/>
      <c r="KU162" s="365"/>
    </row>
    <row r="163" ht="15.75" customHeight="1">
      <c r="A163" s="366">
        <f t="shared" si="2214"/>
        <v>7</v>
      </c>
      <c r="B163" s="367" t="str">
        <f t="shared" ref="B163:D163" si="2304">IFERROR(VLOOKUP($A163,$A$13:$D$30,-B$12,FALSE),"")</f>
        <v>Timah</v>
      </c>
      <c r="C163" s="368" t="str">
        <f t="shared" si="2304"/>
        <v>Bijih </v>
      </c>
      <c r="D163" s="368" t="str">
        <f t="shared" si="2304"/>
        <v>Ton </v>
      </c>
      <c r="E163" s="361" t="str">
        <f>ADHK!E163</f>
        <v/>
      </c>
      <c r="F163" s="361" t="str">
        <f>ADHK!F163</f>
        <v/>
      </c>
      <c r="G163" s="361">
        <f t="shared" si="2089"/>
        <v>0</v>
      </c>
      <c r="H163" s="369"/>
      <c r="I163" s="361">
        <f t="shared" si="2090"/>
        <v>0</v>
      </c>
      <c r="J163" s="96"/>
      <c r="K163" s="96"/>
      <c r="L163" s="97"/>
      <c r="M163" s="361">
        <f t="shared" si="2091"/>
        <v>0</v>
      </c>
      <c r="N163" s="369">
        <f t="shared" si="2092"/>
        <v>0.4604471269</v>
      </c>
      <c r="O163" s="370">
        <f t="shared" si="2093"/>
        <v>0</v>
      </c>
      <c r="P163" s="371">
        <f t="shared" si="2094"/>
        <v>0</v>
      </c>
      <c r="Q163" s="364"/>
      <c r="R163" s="366">
        <f t="shared" si="2216"/>
        <v>7</v>
      </c>
      <c r="S163" s="367" t="str">
        <f t="shared" ref="S163:U163" si="2305">IFERROR(VLOOKUP($R163,$A$13:$D$30,-S$12,FALSE),"")</f>
        <v>Timah</v>
      </c>
      <c r="T163" s="368" t="str">
        <f t="shared" si="2305"/>
        <v>Bijih </v>
      </c>
      <c r="U163" s="368" t="str">
        <f t="shared" si="2305"/>
        <v>Ton </v>
      </c>
      <c r="V163" s="361" t="str">
        <f>ADHK!V163</f>
        <v/>
      </c>
      <c r="W163" s="361"/>
      <c r="X163" s="361">
        <f t="shared" si="2096"/>
        <v>0</v>
      </c>
      <c r="Y163" s="369"/>
      <c r="Z163" s="361">
        <f t="shared" si="2097"/>
        <v>0</v>
      </c>
      <c r="AA163" s="96"/>
      <c r="AB163" s="96"/>
      <c r="AC163" s="97"/>
      <c r="AD163" s="361">
        <f t="shared" si="2098"/>
        <v>0</v>
      </c>
      <c r="AE163" s="369">
        <f t="shared" si="2099"/>
        <v>0.4604471269</v>
      </c>
      <c r="AF163" s="370">
        <f t="shared" si="2100"/>
        <v>0</v>
      </c>
      <c r="AG163" s="371">
        <f t="shared" si="2101"/>
        <v>0</v>
      </c>
      <c r="AH163" s="364"/>
      <c r="AI163" s="366">
        <f t="shared" si="2218"/>
        <v>7</v>
      </c>
      <c r="AJ163" s="367" t="str">
        <f t="shared" ref="AJ163:AL163" si="2306">IFERROR(VLOOKUP($R163,$A$13:$D$30,-AJ$12,FALSE),"")</f>
        <v>Timah</v>
      </c>
      <c r="AK163" s="368" t="str">
        <f t="shared" si="2306"/>
        <v>Bijih </v>
      </c>
      <c r="AL163" s="368" t="str">
        <f t="shared" si="2306"/>
        <v>Ton </v>
      </c>
      <c r="AM163" s="361" t="str">
        <f>ADHK!AM163</f>
        <v/>
      </c>
      <c r="AN163" s="361"/>
      <c r="AO163" s="361">
        <f t="shared" si="2103"/>
        <v>0</v>
      </c>
      <c r="AP163" s="369"/>
      <c r="AQ163" s="361">
        <f t="shared" si="2104"/>
        <v>0</v>
      </c>
      <c r="AR163" s="96"/>
      <c r="AS163" s="96"/>
      <c r="AT163" s="97"/>
      <c r="AU163" s="361">
        <f t="shared" si="2105"/>
        <v>0</v>
      </c>
      <c r="AV163" s="369">
        <f t="shared" si="2106"/>
        <v>0.4604471269</v>
      </c>
      <c r="AW163" s="370">
        <f t="shared" si="2107"/>
        <v>0</v>
      </c>
      <c r="AX163" s="371">
        <f t="shared" si="2108"/>
        <v>0</v>
      </c>
      <c r="AY163" s="364"/>
      <c r="AZ163" s="366">
        <f t="shared" si="2220"/>
        <v>7</v>
      </c>
      <c r="BA163" s="367" t="str">
        <f t="shared" ref="BA163:BC163" si="2307">IFERROR(VLOOKUP($R163,$A$13:$D$30,-BA$12,FALSE),"")</f>
        <v>Timah</v>
      </c>
      <c r="BB163" s="368" t="str">
        <f t="shared" si="2307"/>
        <v>Bijih </v>
      </c>
      <c r="BC163" s="368" t="str">
        <f t="shared" si="2307"/>
        <v>Ton </v>
      </c>
      <c r="BD163" s="361" t="str">
        <f>ADHK!BD163</f>
        <v/>
      </c>
      <c r="BE163" s="361"/>
      <c r="BF163" s="361">
        <f t="shared" si="2110"/>
        <v>0</v>
      </c>
      <c r="BG163" s="369"/>
      <c r="BH163" s="361">
        <f t="shared" si="2111"/>
        <v>0</v>
      </c>
      <c r="BI163" s="96"/>
      <c r="BJ163" s="96"/>
      <c r="BK163" s="97"/>
      <c r="BL163" s="361">
        <f t="shared" si="2112"/>
        <v>0</v>
      </c>
      <c r="BM163" s="369">
        <f t="shared" si="2113"/>
        <v>0.4604471269</v>
      </c>
      <c r="BN163" s="370">
        <f t="shared" si="2114"/>
        <v>0</v>
      </c>
      <c r="BO163" s="371">
        <f t="shared" si="2115"/>
        <v>0</v>
      </c>
      <c r="BP163" s="364"/>
      <c r="BQ163" s="366">
        <f t="shared" si="2222"/>
        <v>7</v>
      </c>
      <c r="BR163" s="367" t="str">
        <f t="shared" ref="BR163:BT163" si="2308">IFERROR(VLOOKUP($R163,$A$13:$D$30,-BR$12,FALSE),"")</f>
        <v>Timah</v>
      </c>
      <c r="BS163" s="368" t="str">
        <f t="shared" si="2308"/>
        <v>Bijih </v>
      </c>
      <c r="BT163" s="368" t="str">
        <f t="shared" si="2308"/>
        <v>Ton </v>
      </c>
      <c r="BU163" s="361" t="str">
        <f>ADHK!BU163</f>
        <v/>
      </c>
      <c r="BV163" s="361"/>
      <c r="BW163" s="361">
        <f t="shared" si="2117"/>
        <v>0</v>
      </c>
      <c r="BX163" s="369"/>
      <c r="BY163" s="361">
        <f t="shared" si="2118"/>
        <v>0</v>
      </c>
      <c r="BZ163" s="96"/>
      <c r="CA163" s="96"/>
      <c r="CB163" s="97"/>
      <c r="CC163" s="361">
        <f t="shared" si="2119"/>
        <v>0</v>
      </c>
      <c r="CD163" s="369">
        <f t="shared" si="2120"/>
        <v>0.4604471269</v>
      </c>
      <c r="CE163" s="370">
        <f t="shared" si="2121"/>
        <v>0</v>
      </c>
      <c r="CF163" s="371">
        <f t="shared" si="2122"/>
        <v>0</v>
      </c>
      <c r="CG163" s="364"/>
      <c r="CH163" s="366">
        <f t="shared" si="2224"/>
        <v>7</v>
      </c>
      <c r="CI163" s="367" t="str">
        <f t="shared" ref="CI163:CK163" si="2309">IFERROR(VLOOKUP($R163,$A$13:$D$30,-CI$12,FALSE),"")</f>
        <v>Timah</v>
      </c>
      <c r="CJ163" s="368" t="str">
        <f t="shared" si="2309"/>
        <v>Bijih </v>
      </c>
      <c r="CK163" s="368" t="str">
        <f t="shared" si="2309"/>
        <v>Ton </v>
      </c>
      <c r="CL163" s="361" t="str">
        <f>ADHK!CL163</f>
        <v/>
      </c>
      <c r="CM163" s="361"/>
      <c r="CN163" s="361">
        <f t="shared" si="2124"/>
        <v>0</v>
      </c>
      <c r="CO163" s="369"/>
      <c r="CP163" s="361">
        <f t="shared" si="2125"/>
        <v>0</v>
      </c>
      <c r="CQ163" s="96"/>
      <c r="CR163" s="96"/>
      <c r="CS163" s="97"/>
      <c r="CT163" s="361">
        <f t="shared" si="2126"/>
        <v>0</v>
      </c>
      <c r="CU163" s="369">
        <f t="shared" si="2127"/>
        <v>0.4604471269</v>
      </c>
      <c r="CV163" s="370">
        <f t="shared" si="2128"/>
        <v>0</v>
      </c>
      <c r="CW163" s="371">
        <f t="shared" si="2129"/>
        <v>0</v>
      </c>
      <c r="CX163" s="364"/>
      <c r="CY163" s="366">
        <f t="shared" si="2226"/>
        <v>7</v>
      </c>
      <c r="CZ163" s="367" t="str">
        <f t="shared" ref="CZ163:DB163" si="2310">IFERROR(VLOOKUP($R163,$A$13:$D$30,-CZ$12,FALSE),"")</f>
        <v>Timah</v>
      </c>
      <c r="DA163" s="368" t="str">
        <f t="shared" si="2310"/>
        <v>Bijih </v>
      </c>
      <c r="DB163" s="368" t="str">
        <f t="shared" si="2310"/>
        <v>Ton </v>
      </c>
      <c r="DC163" s="361" t="str">
        <f>ADHK!DC163</f>
        <v/>
      </c>
      <c r="DD163" s="361"/>
      <c r="DE163" s="361">
        <f t="shared" si="2131"/>
        <v>0</v>
      </c>
      <c r="DF163" s="369"/>
      <c r="DG163" s="361">
        <f t="shared" si="2132"/>
        <v>0</v>
      </c>
      <c r="DH163" s="96"/>
      <c r="DI163" s="96"/>
      <c r="DJ163" s="97"/>
      <c r="DK163" s="361">
        <f t="shared" si="2133"/>
        <v>0</v>
      </c>
      <c r="DL163" s="369">
        <f t="shared" si="2134"/>
        <v>0.4604471269</v>
      </c>
      <c r="DM163" s="370">
        <f t="shared" si="2135"/>
        <v>0</v>
      </c>
      <c r="DN163" s="371">
        <f t="shared" si="2136"/>
        <v>0</v>
      </c>
      <c r="DO163" s="364"/>
      <c r="DP163" s="366">
        <f t="shared" si="2228"/>
        <v>7</v>
      </c>
      <c r="DQ163" s="367" t="str">
        <f t="shared" ref="DQ163:DS163" si="2311">IFERROR(VLOOKUP($R163,$A$13:$D$30,-DQ$12,FALSE),"")</f>
        <v>Timah</v>
      </c>
      <c r="DR163" s="368" t="str">
        <f t="shared" si="2311"/>
        <v>Bijih </v>
      </c>
      <c r="DS163" s="368" t="str">
        <f t="shared" si="2311"/>
        <v>Ton </v>
      </c>
      <c r="DT163" s="361" t="str">
        <f>ADHK!DT163</f>
        <v/>
      </c>
      <c r="DU163" s="361"/>
      <c r="DV163" s="361">
        <f t="shared" si="2138"/>
        <v>0</v>
      </c>
      <c r="DW163" s="369"/>
      <c r="DX163" s="361">
        <f t="shared" si="2139"/>
        <v>0</v>
      </c>
      <c r="DY163" s="96"/>
      <c r="DZ163" s="96"/>
      <c r="EA163" s="97"/>
      <c r="EB163" s="361">
        <f t="shared" si="2140"/>
        <v>0</v>
      </c>
      <c r="EC163" s="369">
        <f t="shared" si="2141"/>
        <v>0.4604471269</v>
      </c>
      <c r="ED163" s="370">
        <f t="shared" si="2142"/>
        <v>0</v>
      </c>
      <c r="EE163" s="371">
        <f t="shared" si="2143"/>
        <v>0</v>
      </c>
      <c r="EF163" s="364"/>
      <c r="EG163" s="366">
        <f t="shared" si="2230"/>
        <v>7</v>
      </c>
      <c r="EH163" s="367" t="str">
        <f t="shared" ref="EH163:EJ163" si="2312">IFERROR(VLOOKUP($R163,$A$13:$D$30,-EH$12,FALSE),"")</f>
        <v>Timah</v>
      </c>
      <c r="EI163" s="368" t="str">
        <f t="shared" si="2312"/>
        <v>Bijih </v>
      </c>
      <c r="EJ163" s="368" t="str">
        <f t="shared" si="2312"/>
        <v>Ton </v>
      </c>
      <c r="EK163" s="361" t="str">
        <f>ADHK!EK163</f>
        <v/>
      </c>
      <c r="EL163" s="361"/>
      <c r="EM163" s="361">
        <f t="shared" si="2145"/>
        <v>0</v>
      </c>
      <c r="EN163" s="369"/>
      <c r="EO163" s="361">
        <f t="shared" si="2146"/>
        <v>0</v>
      </c>
      <c r="EP163" s="96"/>
      <c r="EQ163" s="96"/>
      <c r="ER163" s="97"/>
      <c r="ES163" s="361">
        <f t="shared" si="2147"/>
        <v>0</v>
      </c>
      <c r="ET163" s="369">
        <f t="shared" si="2148"/>
        <v>0.4604471269</v>
      </c>
      <c r="EU163" s="370">
        <f t="shared" si="2149"/>
        <v>0</v>
      </c>
      <c r="EV163" s="371">
        <f t="shared" si="2150"/>
        <v>0</v>
      </c>
      <c r="EW163" s="364"/>
      <c r="EX163" s="366">
        <f t="shared" si="2232"/>
        <v>7</v>
      </c>
      <c r="EY163" s="367" t="str">
        <f t="shared" ref="EY163:FA163" si="2313">IFERROR(VLOOKUP($R163,$A$13:$D$30,-EY$12,FALSE),"")</f>
        <v>Timah</v>
      </c>
      <c r="EZ163" s="368" t="str">
        <f t="shared" si="2313"/>
        <v>Bijih </v>
      </c>
      <c r="FA163" s="368" t="str">
        <f t="shared" si="2313"/>
        <v>Ton </v>
      </c>
      <c r="FB163" s="361" t="str">
        <f>ADHK!FB163</f>
        <v/>
      </c>
      <c r="FC163" s="361"/>
      <c r="FD163" s="361">
        <f t="shared" si="2152"/>
        <v>0</v>
      </c>
      <c r="FE163" s="369"/>
      <c r="FF163" s="361">
        <f t="shared" si="2153"/>
        <v>0</v>
      </c>
      <c r="FG163" s="96"/>
      <c r="FH163" s="96"/>
      <c r="FI163" s="97"/>
      <c r="FJ163" s="361">
        <f t="shared" si="2154"/>
        <v>0</v>
      </c>
      <c r="FK163" s="369">
        <f t="shared" si="2155"/>
        <v>0.4604471269</v>
      </c>
      <c r="FL163" s="370">
        <f t="shared" si="2156"/>
        <v>0</v>
      </c>
      <c r="FM163" s="371">
        <f t="shared" si="2157"/>
        <v>0</v>
      </c>
      <c r="FN163" s="364"/>
      <c r="FO163" s="366">
        <f t="shared" si="2234"/>
        <v>7</v>
      </c>
      <c r="FP163" s="367" t="str">
        <f t="shared" ref="FP163:FR163" si="2314">IFERROR(VLOOKUP($R163,$A$13:$D$30,-FP$12,FALSE),"")</f>
        <v>Timah</v>
      </c>
      <c r="FQ163" s="368" t="str">
        <f t="shared" si="2314"/>
        <v>Bijih </v>
      </c>
      <c r="FR163" s="368" t="str">
        <f t="shared" si="2314"/>
        <v>Ton </v>
      </c>
      <c r="FS163" s="361" t="str">
        <f>ADHK!FS163</f>
        <v/>
      </c>
      <c r="FT163" s="361"/>
      <c r="FU163" s="361">
        <f t="shared" si="2159"/>
        <v>0</v>
      </c>
      <c r="FV163" s="369"/>
      <c r="FW163" s="361">
        <f t="shared" si="2160"/>
        <v>0</v>
      </c>
      <c r="FX163" s="96"/>
      <c r="FY163" s="96"/>
      <c r="FZ163" s="97"/>
      <c r="GA163" s="361">
        <f t="shared" si="2161"/>
        <v>0</v>
      </c>
      <c r="GB163" s="369">
        <f t="shared" si="2162"/>
        <v>0.4604471269</v>
      </c>
      <c r="GC163" s="370">
        <f t="shared" si="2163"/>
        <v>0</v>
      </c>
      <c r="GD163" s="371">
        <f t="shared" si="2164"/>
        <v>0</v>
      </c>
      <c r="GE163" s="364"/>
      <c r="GF163" s="366">
        <f t="shared" si="2236"/>
        <v>7</v>
      </c>
      <c r="GG163" s="367" t="str">
        <f t="shared" ref="GG163:GI163" si="2315">IFERROR(VLOOKUP($R163,$A$13:$D$30,-GG$12,FALSE),"")</f>
        <v>Timah</v>
      </c>
      <c r="GH163" s="368" t="str">
        <f t="shared" si="2315"/>
        <v>Bijih </v>
      </c>
      <c r="GI163" s="368" t="str">
        <f t="shared" si="2315"/>
        <v>Ton </v>
      </c>
      <c r="GJ163" s="361" t="str">
        <f>ADHK!GJ163</f>
        <v/>
      </c>
      <c r="GK163" s="361"/>
      <c r="GL163" s="361">
        <f t="shared" si="2166"/>
        <v>0</v>
      </c>
      <c r="GM163" s="369"/>
      <c r="GN163" s="361">
        <f t="shared" si="2167"/>
        <v>0</v>
      </c>
      <c r="GO163" s="96"/>
      <c r="GP163" s="96"/>
      <c r="GQ163" s="97"/>
      <c r="GR163" s="361">
        <f t="shared" si="2168"/>
        <v>0</v>
      </c>
      <c r="GS163" s="369">
        <f t="shared" si="2169"/>
        <v>0.4604471269</v>
      </c>
      <c r="GT163" s="370">
        <f t="shared" si="2170"/>
        <v>0</v>
      </c>
      <c r="GU163" s="371">
        <f t="shared" si="2171"/>
        <v>0</v>
      </c>
      <c r="GV163" s="364"/>
      <c r="GW163" s="366">
        <f t="shared" si="2238"/>
        <v>7</v>
      </c>
      <c r="GX163" s="367" t="str">
        <f t="shared" ref="GX163:GZ163" si="2316">IFERROR(VLOOKUP($R163,$A$13:$D$30,-GX$12,FALSE),"")</f>
        <v>Timah</v>
      </c>
      <c r="GY163" s="368" t="str">
        <f t="shared" si="2316"/>
        <v>Bijih </v>
      </c>
      <c r="GZ163" s="368" t="str">
        <f t="shared" si="2316"/>
        <v>Ton </v>
      </c>
      <c r="HA163" s="361"/>
      <c r="HB163" s="361"/>
      <c r="HC163" s="361">
        <f t="shared" si="2173"/>
        <v>0</v>
      </c>
      <c r="HD163" s="369"/>
      <c r="HE163" s="361">
        <f t="shared" si="2174"/>
        <v>0</v>
      </c>
      <c r="HF163" s="96"/>
      <c r="HG163" s="96"/>
      <c r="HH163" s="97"/>
      <c r="HI163" s="361">
        <f t="shared" si="2175"/>
        <v>0</v>
      </c>
      <c r="HJ163" s="369">
        <f t="shared" si="2176"/>
        <v>0.4604471269</v>
      </c>
      <c r="HK163" s="370">
        <f t="shared" si="2177"/>
        <v>0</v>
      </c>
      <c r="HL163" s="371">
        <f t="shared" si="2178"/>
        <v>0</v>
      </c>
      <c r="HM163" s="364"/>
      <c r="HN163" s="366">
        <f t="shared" si="2240"/>
        <v>7</v>
      </c>
      <c r="HO163" s="367" t="str">
        <f t="shared" ref="HO163:HQ163" si="2317">IFERROR(VLOOKUP($R163,$A$13:$D$30,-HO$12,FALSE),"")</f>
        <v>Timah</v>
      </c>
      <c r="HP163" s="368" t="str">
        <f t="shared" si="2317"/>
        <v>Bijih </v>
      </c>
      <c r="HQ163" s="368" t="str">
        <f t="shared" si="2317"/>
        <v>Ton </v>
      </c>
      <c r="HR163" s="361" t="str">
        <f>ADHK!HR163</f>
        <v/>
      </c>
      <c r="HS163" s="361"/>
      <c r="HT163" s="361">
        <f t="shared" si="2180"/>
        <v>0</v>
      </c>
      <c r="HU163" s="369"/>
      <c r="HV163" s="361">
        <f t="shared" si="2181"/>
        <v>0</v>
      </c>
      <c r="HW163" s="96"/>
      <c r="HX163" s="96"/>
      <c r="HY163" s="97"/>
      <c r="HZ163" s="361">
        <f t="shared" si="2182"/>
        <v>0</v>
      </c>
      <c r="IA163" s="369">
        <f t="shared" si="2183"/>
        <v>0.4604471269</v>
      </c>
      <c r="IB163" s="370">
        <f t="shared" si="2184"/>
        <v>0</v>
      </c>
      <c r="IC163" s="371">
        <f t="shared" si="2185"/>
        <v>0</v>
      </c>
      <c r="ID163" s="364"/>
      <c r="IE163" s="366">
        <f t="shared" si="2242"/>
        <v>7</v>
      </c>
      <c r="IF163" s="367" t="str">
        <f t="shared" ref="IF163:IH163" si="2318">IFERROR(VLOOKUP($R163,$A$13:$D$30,-IF$12,FALSE),"")</f>
        <v>Timah</v>
      </c>
      <c r="IG163" s="368" t="str">
        <f t="shared" si="2318"/>
        <v>Bijih </v>
      </c>
      <c r="IH163" s="368" t="str">
        <f t="shared" si="2318"/>
        <v>Ton </v>
      </c>
      <c r="II163" s="361" t="str">
        <f>ADHK!II163</f>
        <v/>
      </c>
      <c r="IJ163" s="361"/>
      <c r="IK163" s="361">
        <f t="shared" si="2187"/>
        <v>0</v>
      </c>
      <c r="IL163" s="369"/>
      <c r="IM163" s="361">
        <f t="shared" si="2188"/>
        <v>0</v>
      </c>
      <c r="IN163" s="96"/>
      <c r="IO163" s="96"/>
      <c r="IP163" s="97"/>
      <c r="IQ163" s="361">
        <f t="shared" si="2189"/>
        <v>0</v>
      </c>
      <c r="IR163" s="369">
        <f t="shared" si="2190"/>
        <v>0.4604471269</v>
      </c>
      <c r="IS163" s="370">
        <f t="shared" si="2191"/>
        <v>0</v>
      </c>
      <c r="IT163" s="371">
        <f t="shared" si="2192"/>
        <v>0</v>
      </c>
      <c r="IU163" s="364"/>
      <c r="IV163" s="366">
        <f t="shared" si="2244"/>
        <v>7</v>
      </c>
      <c r="IW163" s="367" t="str">
        <f t="shared" ref="IW163:IY163" si="2319">IFERROR(VLOOKUP($R163,$A$13:$D$30,-IW$12,FALSE),"")</f>
        <v>Timah</v>
      </c>
      <c r="IX163" s="368" t="str">
        <f t="shared" si="2319"/>
        <v>Bijih </v>
      </c>
      <c r="IY163" s="368" t="str">
        <f t="shared" si="2319"/>
        <v>Ton </v>
      </c>
      <c r="IZ163" s="361" t="str">
        <f>ADHK!IZ163</f>
        <v/>
      </c>
      <c r="JA163" s="361"/>
      <c r="JB163" s="361">
        <f t="shared" si="2194"/>
        <v>0</v>
      </c>
      <c r="JC163" s="369"/>
      <c r="JD163" s="361">
        <f t="shared" si="2195"/>
        <v>0</v>
      </c>
      <c r="JE163" s="96"/>
      <c r="JF163" s="96"/>
      <c r="JG163" s="97"/>
      <c r="JH163" s="361">
        <f t="shared" si="2196"/>
        <v>0</v>
      </c>
      <c r="JI163" s="369">
        <f t="shared" si="2197"/>
        <v>0.4604471269</v>
      </c>
      <c r="JJ163" s="370">
        <f t="shared" si="2198"/>
        <v>0</v>
      </c>
      <c r="JK163" s="371">
        <f t="shared" si="2199"/>
        <v>0</v>
      </c>
      <c r="JL163" s="364"/>
      <c r="JM163" s="366">
        <f t="shared" si="2246"/>
        <v>7</v>
      </c>
      <c r="JN163" s="367" t="str">
        <f t="shared" ref="JN163:JP163" si="2320">IFERROR(VLOOKUP($R163,$A$13:$D$30,-JN$12,FALSE),"")</f>
        <v>Timah</v>
      </c>
      <c r="JO163" s="368" t="str">
        <f t="shared" si="2320"/>
        <v>Bijih </v>
      </c>
      <c r="JP163" s="368" t="str">
        <f t="shared" si="2320"/>
        <v>Ton </v>
      </c>
      <c r="JQ163" s="361" t="str">
        <f>ADHK!KY163</f>
        <v/>
      </c>
      <c r="JR163" s="361"/>
      <c r="JS163" s="361">
        <f t="shared" si="2201"/>
        <v>0</v>
      </c>
      <c r="JT163" s="369"/>
      <c r="JU163" s="361">
        <f t="shared" si="2202"/>
        <v>0</v>
      </c>
      <c r="JV163" s="96"/>
      <c r="JW163" s="96"/>
      <c r="JX163" s="97"/>
      <c r="JY163" s="361">
        <f t="shared" si="2203"/>
        <v>0</v>
      </c>
      <c r="JZ163" s="369">
        <f t="shared" si="2204"/>
        <v>0.4604471269</v>
      </c>
      <c r="KA163" s="370">
        <f t="shared" si="2205"/>
        <v>0</v>
      </c>
      <c r="KB163" s="371">
        <f t="shared" si="2206"/>
        <v>0</v>
      </c>
      <c r="KC163" s="364"/>
      <c r="KD163" s="366">
        <f t="shared" si="2248"/>
        <v>7</v>
      </c>
      <c r="KE163" s="367" t="str">
        <f t="shared" ref="KE163:KG163" si="2321">IFERROR(VLOOKUP($R163,$A$13:$D$30,-KE$12,FALSE),"")</f>
        <v>Timah</v>
      </c>
      <c r="KF163" s="368" t="str">
        <f t="shared" si="2321"/>
        <v>Bijih </v>
      </c>
      <c r="KG163" s="368" t="str">
        <f t="shared" si="2321"/>
        <v>Ton </v>
      </c>
      <c r="KH163" s="361" t="str">
        <f>ADHK!LP163</f>
        <v/>
      </c>
      <c r="KI163" s="361"/>
      <c r="KJ163" s="361">
        <f t="shared" si="2208"/>
        <v>0</v>
      </c>
      <c r="KK163" s="369"/>
      <c r="KL163" s="361">
        <f t="shared" si="2209"/>
        <v>0</v>
      </c>
      <c r="KM163" s="96"/>
      <c r="KN163" s="96"/>
      <c r="KO163" s="97"/>
      <c r="KP163" s="361">
        <f t="shared" si="2210"/>
        <v>0</v>
      </c>
      <c r="KQ163" s="369">
        <f t="shared" si="2211"/>
        <v>0.4604471269</v>
      </c>
      <c r="KR163" s="370">
        <f t="shared" si="2212"/>
        <v>0</v>
      </c>
      <c r="KS163" s="371">
        <f t="shared" si="2213"/>
        <v>0</v>
      </c>
      <c r="KT163" s="364"/>
      <c r="KU163" s="365"/>
    </row>
    <row r="164" ht="15.75" customHeight="1">
      <c r="A164" s="366">
        <f t="shared" si="2214"/>
        <v>8</v>
      </c>
      <c r="B164" s="367" t="str">
        <f t="shared" ref="B164:D164" si="2322">IFERROR(VLOOKUP($A164,$A$13:$D$30,-B$12,FALSE),"")</f>
        <v>Mangan</v>
      </c>
      <c r="C164" s="368" t="str">
        <f t="shared" si="2322"/>
        <v>Bijih </v>
      </c>
      <c r="D164" s="368" t="str">
        <f t="shared" si="2322"/>
        <v>Ton </v>
      </c>
      <c r="E164" s="361" t="str">
        <f>ADHK!E164</f>
        <v/>
      </c>
      <c r="F164" s="361" t="str">
        <f>ADHK!F164</f>
        <v/>
      </c>
      <c r="G164" s="361">
        <f t="shared" si="2089"/>
        <v>0</v>
      </c>
      <c r="H164" s="369"/>
      <c r="I164" s="361">
        <f t="shared" si="2090"/>
        <v>0</v>
      </c>
      <c r="J164" s="96"/>
      <c r="K164" s="96"/>
      <c r="L164" s="97"/>
      <c r="M164" s="361">
        <f t="shared" si="2091"/>
        <v>0</v>
      </c>
      <c r="N164" s="369">
        <f t="shared" si="2092"/>
        <v>0.4604471269</v>
      </c>
      <c r="O164" s="370">
        <f t="shared" si="2093"/>
        <v>0</v>
      </c>
      <c r="P164" s="371">
        <f t="shared" si="2094"/>
        <v>0</v>
      </c>
      <c r="Q164" s="364"/>
      <c r="R164" s="366">
        <f t="shared" si="2216"/>
        <v>8</v>
      </c>
      <c r="S164" s="367" t="str">
        <f t="shared" ref="S164:U164" si="2323">IFERROR(VLOOKUP($R164,$A$13:$D$30,-S$12,FALSE),"")</f>
        <v>Mangan</v>
      </c>
      <c r="T164" s="368" t="str">
        <f t="shared" si="2323"/>
        <v>Bijih </v>
      </c>
      <c r="U164" s="368" t="str">
        <f t="shared" si="2323"/>
        <v>Ton </v>
      </c>
      <c r="V164" s="361" t="str">
        <f>ADHK!V164</f>
        <v/>
      </c>
      <c r="W164" s="361"/>
      <c r="X164" s="361">
        <f t="shared" si="2096"/>
        <v>0</v>
      </c>
      <c r="Y164" s="369"/>
      <c r="Z164" s="361">
        <f t="shared" si="2097"/>
        <v>0</v>
      </c>
      <c r="AA164" s="96"/>
      <c r="AB164" s="96"/>
      <c r="AC164" s="97"/>
      <c r="AD164" s="361">
        <f t="shared" si="2098"/>
        <v>0</v>
      </c>
      <c r="AE164" s="369">
        <f t="shared" si="2099"/>
        <v>0.4604471269</v>
      </c>
      <c r="AF164" s="370">
        <f t="shared" si="2100"/>
        <v>0</v>
      </c>
      <c r="AG164" s="371">
        <f t="shared" si="2101"/>
        <v>0</v>
      </c>
      <c r="AH164" s="364"/>
      <c r="AI164" s="366">
        <f t="shared" si="2218"/>
        <v>8</v>
      </c>
      <c r="AJ164" s="367" t="str">
        <f t="shared" ref="AJ164:AL164" si="2324">IFERROR(VLOOKUP($R164,$A$13:$D$30,-AJ$12,FALSE),"")</f>
        <v>Mangan</v>
      </c>
      <c r="AK164" s="368" t="str">
        <f t="shared" si="2324"/>
        <v>Bijih </v>
      </c>
      <c r="AL164" s="368" t="str">
        <f t="shared" si="2324"/>
        <v>Ton </v>
      </c>
      <c r="AM164" s="361" t="str">
        <f>ADHK!AM164</f>
        <v/>
      </c>
      <c r="AN164" s="361"/>
      <c r="AO164" s="361">
        <f t="shared" si="2103"/>
        <v>0</v>
      </c>
      <c r="AP164" s="369"/>
      <c r="AQ164" s="361">
        <f t="shared" si="2104"/>
        <v>0</v>
      </c>
      <c r="AR164" s="96"/>
      <c r="AS164" s="96"/>
      <c r="AT164" s="97"/>
      <c r="AU164" s="361">
        <f t="shared" si="2105"/>
        <v>0</v>
      </c>
      <c r="AV164" s="369">
        <f t="shared" si="2106"/>
        <v>0.4604471269</v>
      </c>
      <c r="AW164" s="370">
        <f t="shared" si="2107"/>
        <v>0</v>
      </c>
      <c r="AX164" s="371">
        <f t="shared" si="2108"/>
        <v>0</v>
      </c>
      <c r="AY164" s="364"/>
      <c r="AZ164" s="366">
        <f t="shared" si="2220"/>
        <v>8</v>
      </c>
      <c r="BA164" s="367" t="str">
        <f t="shared" ref="BA164:BC164" si="2325">IFERROR(VLOOKUP($R164,$A$13:$D$30,-BA$12,FALSE),"")</f>
        <v>Mangan</v>
      </c>
      <c r="BB164" s="368" t="str">
        <f t="shared" si="2325"/>
        <v>Bijih </v>
      </c>
      <c r="BC164" s="368" t="str">
        <f t="shared" si="2325"/>
        <v>Ton </v>
      </c>
      <c r="BD164" s="361" t="str">
        <f>ADHK!BD164</f>
        <v/>
      </c>
      <c r="BE164" s="361"/>
      <c r="BF164" s="361">
        <f t="shared" si="2110"/>
        <v>0</v>
      </c>
      <c r="BG164" s="369"/>
      <c r="BH164" s="361">
        <f t="shared" si="2111"/>
        <v>0</v>
      </c>
      <c r="BI164" s="96"/>
      <c r="BJ164" s="96"/>
      <c r="BK164" s="97"/>
      <c r="BL164" s="361">
        <f t="shared" si="2112"/>
        <v>0</v>
      </c>
      <c r="BM164" s="369">
        <f t="shared" si="2113"/>
        <v>0.4604471269</v>
      </c>
      <c r="BN164" s="370">
        <f t="shared" si="2114"/>
        <v>0</v>
      </c>
      <c r="BO164" s="371">
        <f t="shared" si="2115"/>
        <v>0</v>
      </c>
      <c r="BP164" s="364"/>
      <c r="BQ164" s="366">
        <f t="shared" si="2222"/>
        <v>8</v>
      </c>
      <c r="BR164" s="367" t="str">
        <f t="shared" ref="BR164:BT164" si="2326">IFERROR(VLOOKUP($R164,$A$13:$D$30,-BR$12,FALSE),"")</f>
        <v>Mangan</v>
      </c>
      <c r="BS164" s="368" t="str">
        <f t="shared" si="2326"/>
        <v>Bijih </v>
      </c>
      <c r="BT164" s="368" t="str">
        <f t="shared" si="2326"/>
        <v>Ton </v>
      </c>
      <c r="BU164" s="361" t="str">
        <f>ADHK!BU164</f>
        <v/>
      </c>
      <c r="BV164" s="361"/>
      <c r="BW164" s="361">
        <f t="shared" si="2117"/>
        <v>0</v>
      </c>
      <c r="BX164" s="369"/>
      <c r="BY164" s="361">
        <f t="shared" si="2118"/>
        <v>0</v>
      </c>
      <c r="BZ164" s="96"/>
      <c r="CA164" s="96"/>
      <c r="CB164" s="97"/>
      <c r="CC164" s="361">
        <f t="shared" si="2119"/>
        <v>0</v>
      </c>
      <c r="CD164" s="369">
        <f t="shared" si="2120"/>
        <v>0.4604471269</v>
      </c>
      <c r="CE164" s="370">
        <f t="shared" si="2121"/>
        <v>0</v>
      </c>
      <c r="CF164" s="371">
        <f t="shared" si="2122"/>
        <v>0</v>
      </c>
      <c r="CG164" s="364"/>
      <c r="CH164" s="366">
        <f t="shared" si="2224"/>
        <v>8</v>
      </c>
      <c r="CI164" s="367" t="str">
        <f t="shared" ref="CI164:CK164" si="2327">IFERROR(VLOOKUP($R164,$A$13:$D$30,-CI$12,FALSE),"")</f>
        <v>Mangan</v>
      </c>
      <c r="CJ164" s="368" t="str">
        <f t="shared" si="2327"/>
        <v>Bijih </v>
      </c>
      <c r="CK164" s="368" t="str">
        <f t="shared" si="2327"/>
        <v>Ton </v>
      </c>
      <c r="CL164" s="361" t="str">
        <f>ADHK!CL164</f>
        <v/>
      </c>
      <c r="CM164" s="361"/>
      <c r="CN164" s="361">
        <f t="shared" si="2124"/>
        <v>0</v>
      </c>
      <c r="CO164" s="369"/>
      <c r="CP164" s="361">
        <f t="shared" si="2125"/>
        <v>0</v>
      </c>
      <c r="CQ164" s="96"/>
      <c r="CR164" s="96"/>
      <c r="CS164" s="97"/>
      <c r="CT164" s="361">
        <f t="shared" si="2126"/>
        <v>0</v>
      </c>
      <c r="CU164" s="369">
        <f t="shared" si="2127"/>
        <v>0.4604471269</v>
      </c>
      <c r="CV164" s="370">
        <f t="shared" si="2128"/>
        <v>0</v>
      </c>
      <c r="CW164" s="371">
        <f t="shared" si="2129"/>
        <v>0</v>
      </c>
      <c r="CX164" s="364"/>
      <c r="CY164" s="366">
        <f t="shared" si="2226"/>
        <v>8</v>
      </c>
      <c r="CZ164" s="367" t="str">
        <f t="shared" ref="CZ164:DB164" si="2328">IFERROR(VLOOKUP($R164,$A$13:$D$30,-CZ$12,FALSE),"")</f>
        <v>Mangan</v>
      </c>
      <c r="DA164" s="368" t="str">
        <f t="shared" si="2328"/>
        <v>Bijih </v>
      </c>
      <c r="DB164" s="368" t="str">
        <f t="shared" si="2328"/>
        <v>Ton </v>
      </c>
      <c r="DC164" s="361" t="str">
        <f>ADHK!DC164</f>
        <v/>
      </c>
      <c r="DD164" s="361"/>
      <c r="DE164" s="361">
        <f t="shared" si="2131"/>
        <v>0</v>
      </c>
      <c r="DF164" s="369"/>
      <c r="DG164" s="361">
        <f t="shared" si="2132"/>
        <v>0</v>
      </c>
      <c r="DH164" s="96"/>
      <c r="DI164" s="96"/>
      <c r="DJ164" s="97"/>
      <c r="DK164" s="361">
        <f t="shared" si="2133"/>
        <v>0</v>
      </c>
      <c r="DL164" s="369">
        <f t="shared" si="2134"/>
        <v>0.4604471269</v>
      </c>
      <c r="DM164" s="370">
        <f t="shared" si="2135"/>
        <v>0</v>
      </c>
      <c r="DN164" s="371">
        <f t="shared" si="2136"/>
        <v>0</v>
      </c>
      <c r="DO164" s="364"/>
      <c r="DP164" s="366">
        <f t="shared" si="2228"/>
        <v>8</v>
      </c>
      <c r="DQ164" s="367" t="str">
        <f t="shared" ref="DQ164:DS164" si="2329">IFERROR(VLOOKUP($R164,$A$13:$D$30,-DQ$12,FALSE),"")</f>
        <v>Mangan</v>
      </c>
      <c r="DR164" s="368" t="str">
        <f t="shared" si="2329"/>
        <v>Bijih </v>
      </c>
      <c r="DS164" s="368" t="str">
        <f t="shared" si="2329"/>
        <v>Ton </v>
      </c>
      <c r="DT164" s="361" t="str">
        <f>ADHK!DT164</f>
        <v/>
      </c>
      <c r="DU164" s="361"/>
      <c r="DV164" s="361">
        <f t="shared" si="2138"/>
        <v>0</v>
      </c>
      <c r="DW164" s="369"/>
      <c r="DX164" s="361">
        <f t="shared" si="2139"/>
        <v>0</v>
      </c>
      <c r="DY164" s="96"/>
      <c r="DZ164" s="96"/>
      <c r="EA164" s="97"/>
      <c r="EB164" s="361">
        <f t="shared" si="2140"/>
        <v>0</v>
      </c>
      <c r="EC164" s="369">
        <f t="shared" si="2141"/>
        <v>0.4604471269</v>
      </c>
      <c r="ED164" s="370">
        <f t="shared" si="2142"/>
        <v>0</v>
      </c>
      <c r="EE164" s="371">
        <f t="shared" si="2143"/>
        <v>0</v>
      </c>
      <c r="EF164" s="364"/>
      <c r="EG164" s="366">
        <f t="shared" si="2230"/>
        <v>8</v>
      </c>
      <c r="EH164" s="367" t="str">
        <f t="shared" ref="EH164:EJ164" si="2330">IFERROR(VLOOKUP($R164,$A$13:$D$30,-EH$12,FALSE),"")</f>
        <v>Mangan</v>
      </c>
      <c r="EI164" s="368" t="str">
        <f t="shared" si="2330"/>
        <v>Bijih </v>
      </c>
      <c r="EJ164" s="368" t="str">
        <f t="shared" si="2330"/>
        <v>Ton </v>
      </c>
      <c r="EK164" s="361" t="str">
        <f>ADHK!EK164</f>
        <v/>
      </c>
      <c r="EL164" s="361"/>
      <c r="EM164" s="361">
        <f t="shared" si="2145"/>
        <v>0</v>
      </c>
      <c r="EN164" s="369"/>
      <c r="EO164" s="361">
        <f t="shared" si="2146"/>
        <v>0</v>
      </c>
      <c r="EP164" s="96"/>
      <c r="EQ164" s="96"/>
      <c r="ER164" s="97"/>
      <c r="ES164" s="361">
        <f t="shared" si="2147"/>
        <v>0</v>
      </c>
      <c r="ET164" s="369">
        <f t="shared" si="2148"/>
        <v>0.4604471269</v>
      </c>
      <c r="EU164" s="370">
        <f t="shared" si="2149"/>
        <v>0</v>
      </c>
      <c r="EV164" s="371">
        <f t="shared" si="2150"/>
        <v>0</v>
      </c>
      <c r="EW164" s="364"/>
      <c r="EX164" s="366">
        <f t="shared" si="2232"/>
        <v>8</v>
      </c>
      <c r="EY164" s="367" t="str">
        <f t="shared" ref="EY164:FA164" si="2331">IFERROR(VLOOKUP($R164,$A$13:$D$30,-EY$12,FALSE),"")</f>
        <v>Mangan</v>
      </c>
      <c r="EZ164" s="368" t="str">
        <f t="shared" si="2331"/>
        <v>Bijih </v>
      </c>
      <c r="FA164" s="368" t="str">
        <f t="shared" si="2331"/>
        <v>Ton </v>
      </c>
      <c r="FB164" s="361" t="str">
        <f>ADHK!FB164</f>
        <v/>
      </c>
      <c r="FC164" s="361"/>
      <c r="FD164" s="361">
        <f t="shared" si="2152"/>
        <v>0</v>
      </c>
      <c r="FE164" s="369"/>
      <c r="FF164" s="361">
        <f t="shared" si="2153"/>
        <v>0</v>
      </c>
      <c r="FG164" s="96"/>
      <c r="FH164" s="96"/>
      <c r="FI164" s="97"/>
      <c r="FJ164" s="361">
        <f t="shared" si="2154"/>
        <v>0</v>
      </c>
      <c r="FK164" s="369">
        <f t="shared" si="2155"/>
        <v>0.4604471269</v>
      </c>
      <c r="FL164" s="370">
        <f t="shared" si="2156"/>
        <v>0</v>
      </c>
      <c r="FM164" s="371">
        <f t="shared" si="2157"/>
        <v>0</v>
      </c>
      <c r="FN164" s="364"/>
      <c r="FO164" s="366">
        <f t="shared" si="2234"/>
        <v>8</v>
      </c>
      <c r="FP164" s="367" t="str">
        <f t="shared" ref="FP164:FR164" si="2332">IFERROR(VLOOKUP($R164,$A$13:$D$30,-FP$12,FALSE),"")</f>
        <v>Mangan</v>
      </c>
      <c r="FQ164" s="368" t="str">
        <f t="shared" si="2332"/>
        <v>Bijih </v>
      </c>
      <c r="FR164" s="368" t="str">
        <f t="shared" si="2332"/>
        <v>Ton </v>
      </c>
      <c r="FS164" s="361" t="str">
        <f>ADHK!FS164</f>
        <v/>
      </c>
      <c r="FT164" s="361"/>
      <c r="FU164" s="361">
        <f t="shared" si="2159"/>
        <v>0</v>
      </c>
      <c r="FV164" s="369"/>
      <c r="FW164" s="361">
        <f t="shared" si="2160"/>
        <v>0</v>
      </c>
      <c r="FX164" s="96"/>
      <c r="FY164" s="96"/>
      <c r="FZ164" s="97"/>
      <c r="GA164" s="361">
        <f t="shared" si="2161"/>
        <v>0</v>
      </c>
      <c r="GB164" s="369">
        <f t="shared" si="2162"/>
        <v>0.4604471269</v>
      </c>
      <c r="GC164" s="370">
        <f t="shared" si="2163"/>
        <v>0</v>
      </c>
      <c r="GD164" s="371">
        <f t="shared" si="2164"/>
        <v>0</v>
      </c>
      <c r="GE164" s="364"/>
      <c r="GF164" s="366">
        <f t="shared" si="2236"/>
        <v>8</v>
      </c>
      <c r="GG164" s="367" t="str">
        <f t="shared" ref="GG164:GI164" si="2333">IFERROR(VLOOKUP($R164,$A$13:$D$30,-GG$12,FALSE),"")</f>
        <v>Mangan</v>
      </c>
      <c r="GH164" s="368" t="str">
        <f t="shared" si="2333"/>
        <v>Bijih </v>
      </c>
      <c r="GI164" s="368" t="str">
        <f t="shared" si="2333"/>
        <v>Ton </v>
      </c>
      <c r="GJ164" s="361" t="str">
        <f>ADHK!GJ164</f>
        <v/>
      </c>
      <c r="GK164" s="361"/>
      <c r="GL164" s="361">
        <f t="shared" si="2166"/>
        <v>0</v>
      </c>
      <c r="GM164" s="369"/>
      <c r="GN164" s="361">
        <f t="shared" si="2167"/>
        <v>0</v>
      </c>
      <c r="GO164" s="96"/>
      <c r="GP164" s="96"/>
      <c r="GQ164" s="97"/>
      <c r="GR164" s="361">
        <f t="shared" si="2168"/>
        <v>0</v>
      </c>
      <c r="GS164" s="369">
        <f t="shared" si="2169"/>
        <v>0.4604471269</v>
      </c>
      <c r="GT164" s="370">
        <f t="shared" si="2170"/>
        <v>0</v>
      </c>
      <c r="GU164" s="371">
        <f t="shared" si="2171"/>
        <v>0</v>
      </c>
      <c r="GV164" s="364"/>
      <c r="GW164" s="366">
        <f t="shared" si="2238"/>
        <v>8</v>
      </c>
      <c r="GX164" s="367" t="str">
        <f t="shared" ref="GX164:GZ164" si="2334">IFERROR(VLOOKUP($R164,$A$13:$D$30,-GX$12,FALSE),"")</f>
        <v>Mangan</v>
      </c>
      <c r="GY164" s="368" t="str">
        <f t="shared" si="2334"/>
        <v>Bijih </v>
      </c>
      <c r="GZ164" s="368" t="str">
        <f t="shared" si="2334"/>
        <v>Ton </v>
      </c>
      <c r="HA164" s="361"/>
      <c r="HB164" s="361"/>
      <c r="HC164" s="361">
        <f t="shared" si="2173"/>
        <v>0</v>
      </c>
      <c r="HD164" s="369"/>
      <c r="HE164" s="361">
        <f t="shared" si="2174"/>
        <v>0</v>
      </c>
      <c r="HF164" s="96"/>
      <c r="HG164" s="96"/>
      <c r="HH164" s="97"/>
      <c r="HI164" s="361">
        <f t="shared" si="2175"/>
        <v>0</v>
      </c>
      <c r="HJ164" s="369">
        <f t="shared" si="2176"/>
        <v>0.4604471269</v>
      </c>
      <c r="HK164" s="370">
        <f t="shared" si="2177"/>
        <v>0</v>
      </c>
      <c r="HL164" s="371">
        <f t="shared" si="2178"/>
        <v>0</v>
      </c>
      <c r="HM164" s="364"/>
      <c r="HN164" s="366">
        <f t="shared" si="2240"/>
        <v>8</v>
      </c>
      <c r="HO164" s="367" t="str">
        <f t="shared" ref="HO164:HQ164" si="2335">IFERROR(VLOOKUP($R164,$A$13:$D$30,-HO$12,FALSE),"")</f>
        <v>Mangan</v>
      </c>
      <c r="HP164" s="368" t="str">
        <f t="shared" si="2335"/>
        <v>Bijih </v>
      </c>
      <c r="HQ164" s="368" t="str">
        <f t="shared" si="2335"/>
        <v>Ton </v>
      </c>
      <c r="HR164" s="361" t="str">
        <f>ADHK!HR164</f>
        <v/>
      </c>
      <c r="HS164" s="361"/>
      <c r="HT164" s="361">
        <f t="shared" si="2180"/>
        <v>0</v>
      </c>
      <c r="HU164" s="369"/>
      <c r="HV164" s="361">
        <f t="shared" si="2181"/>
        <v>0</v>
      </c>
      <c r="HW164" s="96"/>
      <c r="HX164" s="96"/>
      <c r="HY164" s="97"/>
      <c r="HZ164" s="361">
        <f t="shared" si="2182"/>
        <v>0</v>
      </c>
      <c r="IA164" s="369">
        <f t="shared" si="2183"/>
        <v>0.4604471269</v>
      </c>
      <c r="IB164" s="370">
        <f t="shared" si="2184"/>
        <v>0</v>
      </c>
      <c r="IC164" s="371">
        <f t="shared" si="2185"/>
        <v>0</v>
      </c>
      <c r="ID164" s="364"/>
      <c r="IE164" s="366">
        <f t="shared" si="2242"/>
        <v>8</v>
      </c>
      <c r="IF164" s="367" t="str">
        <f t="shared" ref="IF164:IH164" si="2336">IFERROR(VLOOKUP($R164,$A$13:$D$30,-IF$12,FALSE),"")</f>
        <v>Mangan</v>
      </c>
      <c r="IG164" s="368" t="str">
        <f t="shared" si="2336"/>
        <v>Bijih </v>
      </c>
      <c r="IH164" s="368" t="str">
        <f t="shared" si="2336"/>
        <v>Ton </v>
      </c>
      <c r="II164" s="361" t="str">
        <f>ADHK!II164</f>
        <v/>
      </c>
      <c r="IJ164" s="361"/>
      <c r="IK164" s="361">
        <f t="shared" si="2187"/>
        <v>0</v>
      </c>
      <c r="IL164" s="369"/>
      <c r="IM164" s="361">
        <f t="shared" si="2188"/>
        <v>0</v>
      </c>
      <c r="IN164" s="96"/>
      <c r="IO164" s="96"/>
      <c r="IP164" s="97"/>
      <c r="IQ164" s="361">
        <f t="shared" si="2189"/>
        <v>0</v>
      </c>
      <c r="IR164" s="369">
        <f t="shared" si="2190"/>
        <v>0.4604471269</v>
      </c>
      <c r="IS164" s="370">
        <f t="shared" si="2191"/>
        <v>0</v>
      </c>
      <c r="IT164" s="371">
        <f t="shared" si="2192"/>
        <v>0</v>
      </c>
      <c r="IU164" s="364"/>
      <c r="IV164" s="366">
        <f t="shared" si="2244"/>
        <v>8</v>
      </c>
      <c r="IW164" s="367" t="str">
        <f t="shared" ref="IW164:IY164" si="2337">IFERROR(VLOOKUP($R164,$A$13:$D$30,-IW$12,FALSE),"")</f>
        <v>Mangan</v>
      </c>
      <c r="IX164" s="368" t="str">
        <f t="shared" si="2337"/>
        <v>Bijih </v>
      </c>
      <c r="IY164" s="368" t="str">
        <f t="shared" si="2337"/>
        <v>Ton </v>
      </c>
      <c r="IZ164" s="361" t="str">
        <f>ADHK!IZ164</f>
        <v/>
      </c>
      <c r="JA164" s="361"/>
      <c r="JB164" s="361">
        <f t="shared" si="2194"/>
        <v>0</v>
      </c>
      <c r="JC164" s="369"/>
      <c r="JD164" s="361">
        <f t="shared" si="2195"/>
        <v>0</v>
      </c>
      <c r="JE164" s="96"/>
      <c r="JF164" s="96"/>
      <c r="JG164" s="97"/>
      <c r="JH164" s="361">
        <f t="shared" si="2196"/>
        <v>0</v>
      </c>
      <c r="JI164" s="369">
        <f t="shared" si="2197"/>
        <v>0.4604471269</v>
      </c>
      <c r="JJ164" s="370">
        <f t="shared" si="2198"/>
        <v>0</v>
      </c>
      <c r="JK164" s="371">
        <f t="shared" si="2199"/>
        <v>0</v>
      </c>
      <c r="JL164" s="364"/>
      <c r="JM164" s="366">
        <f t="shared" si="2246"/>
        <v>8</v>
      </c>
      <c r="JN164" s="367" t="str">
        <f t="shared" ref="JN164:JP164" si="2338">IFERROR(VLOOKUP($R164,$A$13:$D$30,-JN$12,FALSE),"")</f>
        <v>Mangan</v>
      </c>
      <c r="JO164" s="368" t="str">
        <f t="shared" si="2338"/>
        <v>Bijih </v>
      </c>
      <c r="JP164" s="368" t="str">
        <f t="shared" si="2338"/>
        <v>Ton </v>
      </c>
      <c r="JQ164" s="361" t="str">
        <f>ADHK!KY164</f>
        <v/>
      </c>
      <c r="JR164" s="361"/>
      <c r="JS164" s="361">
        <f t="shared" si="2201"/>
        <v>0</v>
      </c>
      <c r="JT164" s="369"/>
      <c r="JU164" s="361">
        <f t="shared" si="2202"/>
        <v>0</v>
      </c>
      <c r="JV164" s="96"/>
      <c r="JW164" s="96"/>
      <c r="JX164" s="97"/>
      <c r="JY164" s="361">
        <f t="shared" si="2203"/>
        <v>0</v>
      </c>
      <c r="JZ164" s="369">
        <f t="shared" si="2204"/>
        <v>0.4604471269</v>
      </c>
      <c r="KA164" s="370">
        <f t="shared" si="2205"/>
        <v>0</v>
      </c>
      <c r="KB164" s="371">
        <f t="shared" si="2206"/>
        <v>0</v>
      </c>
      <c r="KC164" s="364"/>
      <c r="KD164" s="366">
        <f t="shared" si="2248"/>
        <v>8</v>
      </c>
      <c r="KE164" s="367" t="str">
        <f t="shared" ref="KE164:KG164" si="2339">IFERROR(VLOOKUP($R164,$A$13:$D$30,-KE$12,FALSE),"")</f>
        <v>Mangan</v>
      </c>
      <c r="KF164" s="368" t="str">
        <f t="shared" si="2339"/>
        <v>Bijih </v>
      </c>
      <c r="KG164" s="368" t="str">
        <f t="shared" si="2339"/>
        <v>Ton </v>
      </c>
      <c r="KH164" s="361" t="str">
        <f>ADHK!LP164</f>
        <v/>
      </c>
      <c r="KI164" s="361"/>
      <c r="KJ164" s="361">
        <f t="shared" si="2208"/>
        <v>0</v>
      </c>
      <c r="KK164" s="369"/>
      <c r="KL164" s="361">
        <f t="shared" si="2209"/>
        <v>0</v>
      </c>
      <c r="KM164" s="96"/>
      <c r="KN164" s="96"/>
      <c r="KO164" s="97"/>
      <c r="KP164" s="361">
        <f t="shared" si="2210"/>
        <v>0</v>
      </c>
      <c r="KQ164" s="369">
        <f t="shared" si="2211"/>
        <v>0.4604471269</v>
      </c>
      <c r="KR164" s="370">
        <f t="shared" si="2212"/>
        <v>0</v>
      </c>
      <c r="KS164" s="371">
        <f t="shared" si="2213"/>
        <v>0</v>
      </c>
      <c r="KT164" s="364"/>
      <c r="KU164" s="365"/>
    </row>
    <row r="165" ht="15.75" customHeight="1">
      <c r="A165" s="366">
        <f t="shared" si="2214"/>
        <v>9</v>
      </c>
      <c r="B165" s="367" t="str">
        <f t="shared" ref="B165:D165" si="2340">IFERROR(VLOOKUP($A165,$A$13:$D$30,-B$12,FALSE),"")</f>
        <v>Lainnya 2.3 (1) ……..</v>
      </c>
      <c r="C165" s="368" t="str">
        <f t="shared" si="2340"/>
        <v>Bijih </v>
      </c>
      <c r="D165" s="368" t="str">
        <f t="shared" si="2340"/>
        <v>Ton </v>
      </c>
      <c r="E165" s="361" t="str">
        <f>ADHK!E165</f>
        <v/>
      </c>
      <c r="F165" s="361" t="str">
        <f>ADHK!F165</f>
        <v/>
      </c>
      <c r="G165" s="361">
        <f t="shared" si="2089"/>
        <v>0</v>
      </c>
      <c r="H165" s="369"/>
      <c r="I165" s="361">
        <f t="shared" si="2090"/>
        <v>0</v>
      </c>
      <c r="J165" s="96"/>
      <c r="K165" s="96"/>
      <c r="L165" s="97"/>
      <c r="M165" s="361">
        <f t="shared" si="2091"/>
        <v>0</v>
      </c>
      <c r="N165" s="369">
        <f t="shared" si="2092"/>
        <v>0.4604471269</v>
      </c>
      <c r="O165" s="370">
        <f t="shared" si="2093"/>
        <v>0</v>
      </c>
      <c r="P165" s="371">
        <f t="shared" si="2094"/>
        <v>0</v>
      </c>
      <c r="Q165" s="364"/>
      <c r="R165" s="366">
        <f t="shared" si="2216"/>
        <v>9</v>
      </c>
      <c r="S165" s="367" t="str">
        <f t="shared" ref="S165:U165" si="2341">IFERROR(VLOOKUP($R165,$A$13:$D$30,-S$12,FALSE),"")</f>
        <v>Lainnya 2.3 (1) ……..</v>
      </c>
      <c r="T165" s="368" t="str">
        <f t="shared" si="2341"/>
        <v>Bijih </v>
      </c>
      <c r="U165" s="368" t="str">
        <f t="shared" si="2341"/>
        <v>Ton </v>
      </c>
      <c r="V165" s="361" t="str">
        <f>ADHK!V165</f>
        <v/>
      </c>
      <c r="W165" s="361"/>
      <c r="X165" s="361">
        <f t="shared" si="2096"/>
        <v>0</v>
      </c>
      <c r="Y165" s="369"/>
      <c r="Z165" s="361">
        <f t="shared" si="2097"/>
        <v>0</v>
      </c>
      <c r="AA165" s="96"/>
      <c r="AB165" s="96"/>
      <c r="AC165" s="97"/>
      <c r="AD165" s="361">
        <f t="shared" si="2098"/>
        <v>0</v>
      </c>
      <c r="AE165" s="369">
        <f t="shared" si="2099"/>
        <v>0.4604471269</v>
      </c>
      <c r="AF165" s="370">
        <f t="shared" si="2100"/>
        <v>0</v>
      </c>
      <c r="AG165" s="371">
        <f t="shared" si="2101"/>
        <v>0</v>
      </c>
      <c r="AH165" s="364"/>
      <c r="AI165" s="366">
        <f t="shared" si="2218"/>
        <v>9</v>
      </c>
      <c r="AJ165" s="367" t="str">
        <f t="shared" ref="AJ165:AL165" si="2342">IFERROR(VLOOKUP($R165,$A$13:$D$30,-AJ$12,FALSE),"")</f>
        <v>Lainnya 2.3 (1) ……..</v>
      </c>
      <c r="AK165" s="368" t="str">
        <f t="shared" si="2342"/>
        <v>Bijih </v>
      </c>
      <c r="AL165" s="368" t="str">
        <f t="shared" si="2342"/>
        <v>Ton </v>
      </c>
      <c r="AM165" s="361" t="str">
        <f>ADHK!AM165</f>
        <v/>
      </c>
      <c r="AN165" s="361"/>
      <c r="AO165" s="361">
        <f t="shared" si="2103"/>
        <v>0</v>
      </c>
      <c r="AP165" s="369"/>
      <c r="AQ165" s="361">
        <f t="shared" si="2104"/>
        <v>0</v>
      </c>
      <c r="AR165" s="96"/>
      <c r="AS165" s="96"/>
      <c r="AT165" s="97"/>
      <c r="AU165" s="361">
        <f t="shared" si="2105"/>
        <v>0</v>
      </c>
      <c r="AV165" s="369">
        <f t="shared" si="2106"/>
        <v>0.4604471269</v>
      </c>
      <c r="AW165" s="370">
        <f t="shared" si="2107"/>
        <v>0</v>
      </c>
      <c r="AX165" s="371">
        <f t="shared" si="2108"/>
        <v>0</v>
      </c>
      <c r="AY165" s="364"/>
      <c r="AZ165" s="366">
        <f t="shared" si="2220"/>
        <v>9</v>
      </c>
      <c r="BA165" s="367" t="str">
        <f t="shared" ref="BA165:BC165" si="2343">IFERROR(VLOOKUP($R165,$A$13:$D$30,-BA$12,FALSE),"")</f>
        <v>Lainnya 2.3 (1) ……..</v>
      </c>
      <c r="BB165" s="368" t="str">
        <f t="shared" si="2343"/>
        <v>Bijih </v>
      </c>
      <c r="BC165" s="368" t="str">
        <f t="shared" si="2343"/>
        <v>Ton </v>
      </c>
      <c r="BD165" s="361" t="str">
        <f>ADHK!BD165</f>
        <v/>
      </c>
      <c r="BE165" s="361"/>
      <c r="BF165" s="361">
        <f t="shared" si="2110"/>
        <v>0</v>
      </c>
      <c r="BG165" s="369"/>
      <c r="BH165" s="361">
        <f t="shared" si="2111"/>
        <v>0</v>
      </c>
      <c r="BI165" s="96"/>
      <c r="BJ165" s="96"/>
      <c r="BK165" s="97"/>
      <c r="BL165" s="361">
        <f t="shared" si="2112"/>
        <v>0</v>
      </c>
      <c r="BM165" s="369">
        <f t="shared" si="2113"/>
        <v>0.4604471269</v>
      </c>
      <c r="BN165" s="370">
        <f t="shared" si="2114"/>
        <v>0</v>
      </c>
      <c r="BO165" s="371">
        <f t="shared" si="2115"/>
        <v>0</v>
      </c>
      <c r="BP165" s="364"/>
      <c r="BQ165" s="366">
        <f t="shared" si="2222"/>
        <v>9</v>
      </c>
      <c r="BR165" s="367" t="str">
        <f t="shared" ref="BR165:BT165" si="2344">IFERROR(VLOOKUP($R165,$A$13:$D$30,-BR$12,FALSE),"")</f>
        <v>Lainnya 2.3 (1) ……..</v>
      </c>
      <c r="BS165" s="368" t="str">
        <f t="shared" si="2344"/>
        <v>Bijih </v>
      </c>
      <c r="BT165" s="368" t="str">
        <f t="shared" si="2344"/>
        <v>Ton </v>
      </c>
      <c r="BU165" s="361" t="str">
        <f>ADHK!BU165</f>
        <v/>
      </c>
      <c r="BV165" s="361"/>
      <c r="BW165" s="361">
        <f t="shared" si="2117"/>
        <v>0</v>
      </c>
      <c r="BX165" s="369"/>
      <c r="BY165" s="361">
        <f t="shared" si="2118"/>
        <v>0</v>
      </c>
      <c r="BZ165" s="96"/>
      <c r="CA165" s="96"/>
      <c r="CB165" s="97"/>
      <c r="CC165" s="361">
        <f t="shared" si="2119"/>
        <v>0</v>
      </c>
      <c r="CD165" s="369">
        <f t="shared" si="2120"/>
        <v>0.4604471269</v>
      </c>
      <c r="CE165" s="370">
        <f t="shared" si="2121"/>
        <v>0</v>
      </c>
      <c r="CF165" s="371">
        <f t="shared" si="2122"/>
        <v>0</v>
      </c>
      <c r="CG165" s="364"/>
      <c r="CH165" s="366">
        <f t="shared" si="2224"/>
        <v>9</v>
      </c>
      <c r="CI165" s="367" t="str">
        <f t="shared" ref="CI165:CK165" si="2345">IFERROR(VLOOKUP($R165,$A$13:$D$30,-CI$12,FALSE),"")</f>
        <v>Lainnya 2.3 (1) ……..</v>
      </c>
      <c r="CJ165" s="368" t="str">
        <f t="shared" si="2345"/>
        <v>Bijih </v>
      </c>
      <c r="CK165" s="368" t="str">
        <f t="shared" si="2345"/>
        <v>Ton </v>
      </c>
      <c r="CL165" s="361" t="str">
        <f>ADHK!CL165</f>
        <v/>
      </c>
      <c r="CM165" s="361"/>
      <c r="CN165" s="361">
        <f t="shared" si="2124"/>
        <v>0</v>
      </c>
      <c r="CO165" s="369"/>
      <c r="CP165" s="361">
        <f t="shared" si="2125"/>
        <v>0</v>
      </c>
      <c r="CQ165" s="96"/>
      <c r="CR165" s="96"/>
      <c r="CS165" s="97"/>
      <c r="CT165" s="361">
        <f t="shared" si="2126"/>
        <v>0</v>
      </c>
      <c r="CU165" s="369">
        <f t="shared" si="2127"/>
        <v>0.4604471269</v>
      </c>
      <c r="CV165" s="370">
        <f t="shared" si="2128"/>
        <v>0</v>
      </c>
      <c r="CW165" s="371">
        <f t="shared" si="2129"/>
        <v>0</v>
      </c>
      <c r="CX165" s="364"/>
      <c r="CY165" s="366">
        <f t="shared" si="2226"/>
        <v>9</v>
      </c>
      <c r="CZ165" s="367" t="str">
        <f t="shared" ref="CZ165:DB165" si="2346">IFERROR(VLOOKUP($R165,$A$13:$D$30,-CZ$12,FALSE),"")</f>
        <v>Lainnya 2.3 (1) ……..</v>
      </c>
      <c r="DA165" s="368" t="str">
        <f t="shared" si="2346"/>
        <v>Bijih </v>
      </c>
      <c r="DB165" s="368" t="str">
        <f t="shared" si="2346"/>
        <v>Ton </v>
      </c>
      <c r="DC165" s="361" t="str">
        <f>ADHK!DC165</f>
        <v/>
      </c>
      <c r="DD165" s="361"/>
      <c r="DE165" s="361">
        <f t="shared" si="2131"/>
        <v>0</v>
      </c>
      <c r="DF165" s="369"/>
      <c r="DG165" s="361">
        <f t="shared" si="2132"/>
        <v>0</v>
      </c>
      <c r="DH165" s="96"/>
      <c r="DI165" s="96"/>
      <c r="DJ165" s="97"/>
      <c r="DK165" s="361">
        <f t="shared" si="2133"/>
        <v>0</v>
      </c>
      <c r="DL165" s="369">
        <f t="shared" si="2134"/>
        <v>0.4604471269</v>
      </c>
      <c r="DM165" s="370">
        <f t="shared" si="2135"/>
        <v>0</v>
      </c>
      <c r="DN165" s="371">
        <f t="shared" si="2136"/>
        <v>0</v>
      </c>
      <c r="DO165" s="364"/>
      <c r="DP165" s="366">
        <f t="shared" si="2228"/>
        <v>9</v>
      </c>
      <c r="DQ165" s="367" t="str">
        <f t="shared" ref="DQ165:DS165" si="2347">IFERROR(VLOOKUP($R165,$A$13:$D$30,-DQ$12,FALSE),"")</f>
        <v>Lainnya 2.3 (1) ……..</v>
      </c>
      <c r="DR165" s="368" t="str">
        <f t="shared" si="2347"/>
        <v>Bijih </v>
      </c>
      <c r="DS165" s="368" t="str">
        <f t="shared" si="2347"/>
        <v>Ton </v>
      </c>
      <c r="DT165" s="361" t="str">
        <f>ADHK!DT165</f>
        <v/>
      </c>
      <c r="DU165" s="361"/>
      <c r="DV165" s="361">
        <f t="shared" si="2138"/>
        <v>0</v>
      </c>
      <c r="DW165" s="369"/>
      <c r="DX165" s="361">
        <f t="shared" si="2139"/>
        <v>0</v>
      </c>
      <c r="DY165" s="96"/>
      <c r="DZ165" s="96"/>
      <c r="EA165" s="97"/>
      <c r="EB165" s="361">
        <f t="shared" si="2140"/>
        <v>0</v>
      </c>
      <c r="EC165" s="369">
        <f t="shared" si="2141"/>
        <v>0.4604471269</v>
      </c>
      <c r="ED165" s="370">
        <f t="shared" si="2142"/>
        <v>0</v>
      </c>
      <c r="EE165" s="371">
        <f t="shared" si="2143"/>
        <v>0</v>
      </c>
      <c r="EF165" s="364"/>
      <c r="EG165" s="366">
        <f t="shared" si="2230"/>
        <v>9</v>
      </c>
      <c r="EH165" s="367" t="str">
        <f t="shared" ref="EH165:EJ165" si="2348">IFERROR(VLOOKUP($R165,$A$13:$D$30,-EH$12,FALSE),"")</f>
        <v>Lainnya 2.3 (1) ……..</v>
      </c>
      <c r="EI165" s="368" t="str">
        <f t="shared" si="2348"/>
        <v>Bijih </v>
      </c>
      <c r="EJ165" s="368" t="str">
        <f t="shared" si="2348"/>
        <v>Ton </v>
      </c>
      <c r="EK165" s="361" t="str">
        <f>ADHK!EK165</f>
        <v/>
      </c>
      <c r="EL165" s="361"/>
      <c r="EM165" s="361">
        <f t="shared" si="2145"/>
        <v>0</v>
      </c>
      <c r="EN165" s="369"/>
      <c r="EO165" s="361">
        <f t="shared" si="2146"/>
        <v>0</v>
      </c>
      <c r="EP165" s="96"/>
      <c r="EQ165" s="96"/>
      <c r="ER165" s="97"/>
      <c r="ES165" s="361">
        <f t="shared" si="2147"/>
        <v>0</v>
      </c>
      <c r="ET165" s="369">
        <f t="shared" si="2148"/>
        <v>0.4604471269</v>
      </c>
      <c r="EU165" s="370">
        <f t="shared" si="2149"/>
        <v>0</v>
      </c>
      <c r="EV165" s="371">
        <f t="shared" si="2150"/>
        <v>0</v>
      </c>
      <c r="EW165" s="364"/>
      <c r="EX165" s="366">
        <f t="shared" si="2232"/>
        <v>9</v>
      </c>
      <c r="EY165" s="367" t="str">
        <f t="shared" ref="EY165:FA165" si="2349">IFERROR(VLOOKUP($R165,$A$13:$D$30,-EY$12,FALSE),"")</f>
        <v>Lainnya 2.3 (1) ……..</v>
      </c>
      <c r="EZ165" s="368" t="str">
        <f t="shared" si="2349"/>
        <v>Bijih </v>
      </c>
      <c r="FA165" s="368" t="str">
        <f t="shared" si="2349"/>
        <v>Ton </v>
      </c>
      <c r="FB165" s="361" t="str">
        <f>ADHK!FB165</f>
        <v/>
      </c>
      <c r="FC165" s="361"/>
      <c r="FD165" s="361">
        <f t="shared" si="2152"/>
        <v>0</v>
      </c>
      <c r="FE165" s="369"/>
      <c r="FF165" s="361">
        <f t="shared" si="2153"/>
        <v>0</v>
      </c>
      <c r="FG165" s="96"/>
      <c r="FH165" s="96"/>
      <c r="FI165" s="97"/>
      <c r="FJ165" s="361">
        <f t="shared" si="2154"/>
        <v>0</v>
      </c>
      <c r="FK165" s="369">
        <f t="shared" si="2155"/>
        <v>0.4604471269</v>
      </c>
      <c r="FL165" s="370">
        <f t="shared" si="2156"/>
        <v>0</v>
      </c>
      <c r="FM165" s="371">
        <f t="shared" si="2157"/>
        <v>0</v>
      </c>
      <c r="FN165" s="364"/>
      <c r="FO165" s="366">
        <f t="shared" si="2234"/>
        <v>9</v>
      </c>
      <c r="FP165" s="367" t="str">
        <f t="shared" ref="FP165:FR165" si="2350">IFERROR(VLOOKUP($R165,$A$13:$D$30,-FP$12,FALSE),"")</f>
        <v>Lainnya 2.3 (1) ……..</v>
      </c>
      <c r="FQ165" s="368" t="str">
        <f t="shared" si="2350"/>
        <v>Bijih </v>
      </c>
      <c r="FR165" s="368" t="str">
        <f t="shared" si="2350"/>
        <v>Ton </v>
      </c>
      <c r="FS165" s="361" t="str">
        <f>ADHK!FS165</f>
        <v/>
      </c>
      <c r="FT165" s="361"/>
      <c r="FU165" s="361">
        <f t="shared" si="2159"/>
        <v>0</v>
      </c>
      <c r="FV165" s="369"/>
      <c r="FW165" s="361">
        <f t="shared" si="2160"/>
        <v>0</v>
      </c>
      <c r="FX165" s="96"/>
      <c r="FY165" s="96"/>
      <c r="FZ165" s="97"/>
      <c r="GA165" s="361">
        <f t="shared" si="2161"/>
        <v>0</v>
      </c>
      <c r="GB165" s="369">
        <f t="shared" si="2162"/>
        <v>0.4604471269</v>
      </c>
      <c r="GC165" s="370">
        <f t="shared" si="2163"/>
        <v>0</v>
      </c>
      <c r="GD165" s="371">
        <f t="shared" si="2164"/>
        <v>0</v>
      </c>
      <c r="GE165" s="364"/>
      <c r="GF165" s="366">
        <f t="shared" si="2236"/>
        <v>9</v>
      </c>
      <c r="GG165" s="367" t="str">
        <f t="shared" ref="GG165:GI165" si="2351">IFERROR(VLOOKUP($R165,$A$13:$D$30,-GG$12,FALSE),"")</f>
        <v>Lainnya 2.3 (1) ……..</v>
      </c>
      <c r="GH165" s="368" t="str">
        <f t="shared" si="2351"/>
        <v>Bijih </v>
      </c>
      <c r="GI165" s="368" t="str">
        <f t="shared" si="2351"/>
        <v>Ton </v>
      </c>
      <c r="GJ165" s="361">
        <f>248.847*1000</f>
        <v>248847</v>
      </c>
      <c r="GK165" s="372">
        <v>237736.0</v>
      </c>
      <c r="GL165" s="361">
        <f t="shared" si="2166"/>
        <v>59159.89039</v>
      </c>
      <c r="GM165" s="369"/>
      <c r="GN165" s="361">
        <f t="shared" si="2167"/>
        <v>0</v>
      </c>
      <c r="GO165" s="96"/>
      <c r="GP165" s="96"/>
      <c r="GQ165" s="97"/>
      <c r="GR165" s="361">
        <f t="shared" si="2168"/>
        <v>59159.89039</v>
      </c>
      <c r="GS165" s="369">
        <f t="shared" si="2169"/>
        <v>0.4604471269</v>
      </c>
      <c r="GT165" s="370">
        <f t="shared" si="2170"/>
        <v>27240.00156</v>
      </c>
      <c r="GU165" s="371">
        <f t="shared" si="2171"/>
        <v>31919.88883</v>
      </c>
      <c r="GV165" s="364"/>
      <c r="GW165" s="366">
        <f t="shared" si="2238"/>
        <v>9</v>
      </c>
      <c r="GX165" s="367" t="str">
        <f t="shared" ref="GX165:GZ165" si="2352">IFERROR(VLOOKUP($R165,$A$13:$D$30,-GX$12,FALSE),"")</f>
        <v>Lainnya 2.3 (1) ……..</v>
      </c>
      <c r="GY165" s="368" t="str">
        <f t="shared" si="2352"/>
        <v>Bijih </v>
      </c>
      <c r="GZ165" s="368" t="str">
        <f t="shared" si="2352"/>
        <v>Ton </v>
      </c>
      <c r="HA165" s="361"/>
      <c r="HB165" s="372">
        <v>10903.7</v>
      </c>
      <c r="HC165" s="361">
        <f t="shared" si="2173"/>
        <v>0</v>
      </c>
      <c r="HD165" s="369"/>
      <c r="HE165" s="361">
        <f t="shared" si="2174"/>
        <v>0</v>
      </c>
      <c r="HF165" s="96"/>
      <c r="HG165" s="96"/>
      <c r="HH165" s="97"/>
      <c r="HI165" s="361">
        <f t="shared" si="2175"/>
        <v>0</v>
      </c>
      <c r="HJ165" s="369">
        <f t="shared" si="2176"/>
        <v>0.4604471269</v>
      </c>
      <c r="HK165" s="370">
        <f t="shared" si="2177"/>
        <v>0</v>
      </c>
      <c r="HL165" s="371">
        <f t="shared" si="2178"/>
        <v>0</v>
      </c>
      <c r="HM165" s="364"/>
      <c r="HN165" s="366">
        <f t="shared" si="2240"/>
        <v>9</v>
      </c>
      <c r="HO165" s="367" t="str">
        <f t="shared" ref="HO165:HQ165" si="2353">IFERROR(VLOOKUP($R165,$A$13:$D$30,-HO$12,FALSE),"")</f>
        <v>Lainnya 2.3 (1) ……..</v>
      </c>
      <c r="HP165" s="368" t="str">
        <f t="shared" si="2353"/>
        <v>Bijih </v>
      </c>
      <c r="HQ165" s="368" t="str">
        <f t="shared" si="2353"/>
        <v>Ton </v>
      </c>
      <c r="HR165" s="372">
        <v>276447.9874455</v>
      </c>
      <c r="HS165" s="372">
        <v>42823.1874</v>
      </c>
      <c r="HT165" s="361">
        <f t="shared" si="2180"/>
        <v>11838.38397</v>
      </c>
      <c r="HU165" s="369"/>
      <c r="HV165" s="361">
        <f t="shared" si="2181"/>
        <v>0</v>
      </c>
      <c r="HW165" s="96"/>
      <c r="HX165" s="96"/>
      <c r="HY165" s="97"/>
      <c r="HZ165" s="361">
        <f t="shared" si="2182"/>
        <v>11838.38397</v>
      </c>
      <c r="IA165" s="369">
        <f t="shared" si="2183"/>
        <v>0.4604471269</v>
      </c>
      <c r="IB165" s="370">
        <f t="shared" si="2184"/>
        <v>5450.949887</v>
      </c>
      <c r="IC165" s="371">
        <f t="shared" si="2185"/>
        <v>6387.434085</v>
      </c>
      <c r="ID165" s="364"/>
      <c r="IE165" s="366">
        <f t="shared" si="2242"/>
        <v>9</v>
      </c>
      <c r="IF165" s="367" t="str">
        <f t="shared" ref="IF165:IH165" si="2354">IFERROR(VLOOKUP($R165,$A$13:$D$30,-IF$12,FALSE),"")</f>
        <v>Lainnya 2.3 (1) ……..</v>
      </c>
      <c r="IG165" s="368" t="str">
        <f t="shared" si="2354"/>
        <v>Bijih </v>
      </c>
      <c r="IH165" s="368" t="str">
        <f t="shared" si="2354"/>
        <v>Ton </v>
      </c>
      <c r="II165" s="361" t="str">
        <f t="shared" ref="II165:IJ165" si="2355">II129</f>
        <v/>
      </c>
      <c r="IJ165" s="361" t="str">
        <f t="shared" si="2355"/>
        <v/>
      </c>
      <c r="IK165" s="361">
        <f t="shared" si="2187"/>
        <v>0</v>
      </c>
      <c r="IL165" s="369"/>
      <c r="IM165" s="361">
        <f t="shared" si="2188"/>
        <v>0</v>
      </c>
      <c r="IN165" s="96"/>
      <c r="IO165" s="96"/>
      <c r="IP165" s="97"/>
      <c r="IQ165" s="361">
        <f t="shared" si="2189"/>
        <v>0</v>
      </c>
      <c r="IR165" s="369">
        <f t="shared" si="2190"/>
        <v>0.4604471269</v>
      </c>
      <c r="IS165" s="370">
        <f t="shared" si="2191"/>
        <v>0</v>
      </c>
      <c r="IT165" s="371">
        <f t="shared" si="2192"/>
        <v>0</v>
      </c>
      <c r="IU165" s="364"/>
      <c r="IV165" s="366">
        <f t="shared" si="2244"/>
        <v>9</v>
      </c>
      <c r="IW165" s="367" t="str">
        <f t="shared" ref="IW165:IY165" si="2356">IFERROR(VLOOKUP($R165,$A$13:$D$30,-IW$12,FALSE),"")</f>
        <v>Lainnya 2.3 (1) ……..</v>
      </c>
      <c r="IX165" s="368" t="str">
        <f t="shared" si="2356"/>
        <v>Bijih </v>
      </c>
      <c r="IY165" s="368" t="str">
        <f t="shared" si="2356"/>
        <v>Ton </v>
      </c>
      <c r="IZ165" s="361" t="str">
        <f>ADHK!IZ165</f>
        <v/>
      </c>
      <c r="JA165" s="361"/>
      <c r="JB165" s="361">
        <f t="shared" si="2194"/>
        <v>0</v>
      </c>
      <c r="JC165" s="369"/>
      <c r="JD165" s="361">
        <f t="shared" si="2195"/>
        <v>0</v>
      </c>
      <c r="JE165" s="96"/>
      <c r="JF165" s="96"/>
      <c r="JG165" s="97"/>
      <c r="JH165" s="361">
        <f t="shared" si="2196"/>
        <v>0</v>
      </c>
      <c r="JI165" s="369">
        <f t="shared" si="2197"/>
        <v>0.4604471269</v>
      </c>
      <c r="JJ165" s="370">
        <f t="shared" si="2198"/>
        <v>0</v>
      </c>
      <c r="JK165" s="371">
        <f t="shared" si="2199"/>
        <v>0</v>
      </c>
      <c r="JL165" s="364"/>
      <c r="JM165" s="366">
        <f t="shared" si="2246"/>
        <v>9</v>
      </c>
      <c r="JN165" s="367" t="str">
        <f t="shared" ref="JN165:JP165" si="2357">IFERROR(VLOOKUP($R165,$A$13:$D$30,-JN$12,FALSE),"")</f>
        <v>Lainnya 2.3 (1) ……..</v>
      </c>
      <c r="JO165" s="368" t="str">
        <f t="shared" si="2357"/>
        <v>Bijih </v>
      </c>
      <c r="JP165" s="368" t="str">
        <f t="shared" si="2357"/>
        <v>Ton </v>
      </c>
      <c r="JQ165" s="361" t="str">
        <f>ADHK!KY165</f>
        <v/>
      </c>
      <c r="JR165" s="361"/>
      <c r="JS165" s="361">
        <f t="shared" si="2201"/>
        <v>0</v>
      </c>
      <c r="JT165" s="369"/>
      <c r="JU165" s="361">
        <f t="shared" si="2202"/>
        <v>0</v>
      </c>
      <c r="JV165" s="96"/>
      <c r="JW165" s="96"/>
      <c r="JX165" s="97"/>
      <c r="JY165" s="361">
        <f t="shared" si="2203"/>
        <v>0</v>
      </c>
      <c r="JZ165" s="369">
        <f t="shared" si="2204"/>
        <v>0.4604471269</v>
      </c>
      <c r="KA165" s="370">
        <f t="shared" si="2205"/>
        <v>0</v>
      </c>
      <c r="KB165" s="371">
        <f t="shared" si="2206"/>
        <v>0</v>
      </c>
      <c r="KC165" s="364"/>
      <c r="KD165" s="366">
        <f t="shared" si="2248"/>
        <v>9</v>
      </c>
      <c r="KE165" s="367" t="str">
        <f t="shared" ref="KE165:KG165" si="2358">IFERROR(VLOOKUP($R165,$A$13:$D$30,-KE$12,FALSE),"")</f>
        <v>Lainnya 2.3 (1) ……..</v>
      </c>
      <c r="KF165" s="368" t="str">
        <f t="shared" si="2358"/>
        <v>Bijih </v>
      </c>
      <c r="KG165" s="368" t="str">
        <f t="shared" si="2358"/>
        <v>Ton </v>
      </c>
      <c r="KH165" s="361" t="str">
        <f>ADHK!LP165</f>
        <v/>
      </c>
      <c r="KI165" s="361"/>
      <c r="KJ165" s="361">
        <f t="shared" si="2208"/>
        <v>0</v>
      </c>
      <c r="KK165" s="369"/>
      <c r="KL165" s="361">
        <f t="shared" si="2209"/>
        <v>0</v>
      </c>
      <c r="KM165" s="96"/>
      <c r="KN165" s="96"/>
      <c r="KO165" s="97"/>
      <c r="KP165" s="361">
        <f t="shared" si="2210"/>
        <v>0</v>
      </c>
      <c r="KQ165" s="369">
        <f t="shared" si="2211"/>
        <v>0.4604471269</v>
      </c>
      <c r="KR165" s="370">
        <f t="shared" si="2212"/>
        <v>0</v>
      </c>
      <c r="KS165" s="371">
        <f t="shared" si="2213"/>
        <v>0</v>
      </c>
      <c r="KT165" s="364"/>
      <c r="KU165" s="365"/>
    </row>
    <row r="166" ht="15.75" customHeight="1">
      <c r="A166" s="366">
        <f t="shared" si="2214"/>
        <v>10</v>
      </c>
      <c r="B166" s="367" t="str">
        <f t="shared" ref="B166:D166" si="2359">IFERROR(VLOOKUP($A166,$A$13:$D$30,-B$12,FALSE),"")</f>
        <v>Lainnya 2.3 (2) ………</v>
      </c>
      <c r="C166" s="368" t="str">
        <f t="shared" si="2359"/>
        <v>Bijih </v>
      </c>
      <c r="D166" s="368" t="str">
        <f t="shared" si="2359"/>
        <v>Ton </v>
      </c>
      <c r="E166" s="361" t="str">
        <f>ADHK!E166</f>
        <v/>
      </c>
      <c r="F166" s="361" t="str">
        <f>ADHK!F166</f>
        <v/>
      </c>
      <c r="G166" s="361">
        <f t="shared" si="2089"/>
        <v>0</v>
      </c>
      <c r="H166" s="369"/>
      <c r="I166" s="361">
        <f t="shared" si="2090"/>
        <v>0</v>
      </c>
      <c r="J166" s="96"/>
      <c r="K166" s="96"/>
      <c r="L166" s="97"/>
      <c r="M166" s="361">
        <f t="shared" si="2091"/>
        <v>0</v>
      </c>
      <c r="N166" s="369">
        <f t="shared" si="2092"/>
        <v>0.4604471269</v>
      </c>
      <c r="O166" s="370">
        <f t="shared" si="2093"/>
        <v>0</v>
      </c>
      <c r="P166" s="371">
        <f t="shared" si="2094"/>
        <v>0</v>
      </c>
      <c r="Q166" s="364"/>
      <c r="R166" s="366">
        <f t="shared" si="2216"/>
        <v>10</v>
      </c>
      <c r="S166" s="367" t="str">
        <f t="shared" ref="S166:U166" si="2360">IFERROR(VLOOKUP($R166,$A$13:$D$30,-S$12,FALSE),"")</f>
        <v>Lainnya 2.3 (2) ………</v>
      </c>
      <c r="T166" s="368" t="str">
        <f t="shared" si="2360"/>
        <v>Bijih </v>
      </c>
      <c r="U166" s="368" t="str">
        <f t="shared" si="2360"/>
        <v>Ton </v>
      </c>
      <c r="V166" s="361" t="str">
        <f>ADHK!V166</f>
        <v/>
      </c>
      <c r="W166" s="361"/>
      <c r="X166" s="361">
        <f t="shared" si="2096"/>
        <v>0</v>
      </c>
      <c r="Y166" s="369"/>
      <c r="Z166" s="361">
        <f t="shared" si="2097"/>
        <v>0</v>
      </c>
      <c r="AA166" s="96"/>
      <c r="AB166" s="96"/>
      <c r="AC166" s="97"/>
      <c r="AD166" s="361">
        <f t="shared" si="2098"/>
        <v>0</v>
      </c>
      <c r="AE166" s="369">
        <f t="shared" si="2099"/>
        <v>0.4604471269</v>
      </c>
      <c r="AF166" s="370">
        <f t="shared" si="2100"/>
        <v>0</v>
      </c>
      <c r="AG166" s="371">
        <f t="shared" si="2101"/>
        <v>0</v>
      </c>
      <c r="AH166" s="364"/>
      <c r="AI166" s="366">
        <f t="shared" si="2218"/>
        <v>10</v>
      </c>
      <c r="AJ166" s="367" t="str">
        <f t="shared" ref="AJ166:AL166" si="2361">IFERROR(VLOOKUP($R166,$A$13:$D$30,-AJ$12,FALSE),"")</f>
        <v>Lainnya 2.3 (2) ………</v>
      </c>
      <c r="AK166" s="368" t="str">
        <f t="shared" si="2361"/>
        <v>Bijih </v>
      </c>
      <c r="AL166" s="368" t="str">
        <f t="shared" si="2361"/>
        <v>Ton </v>
      </c>
      <c r="AM166" s="361" t="str">
        <f>ADHK!AM166</f>
        <v/>
      </c>
      <c r="AN166" s="361"/>
      <c r="AO166" s="361">
        <f t="shared" si="2103"/>
        <v>0</v>
      </c>
      <c r="AP166" s="369"/>
      <c r="AQ166" s="361">
        <f t="shared" si="2104"/>
        <v>0</v>
      </c>
      <c r="AR166" s="96"/>
      <c r="AS166" s="96"/>
      <c r="AT166" s="97"/>
      <c r="AU166" s="361">
        <f t="shared" si="2105"/>
        <v>0</v>
      </c>
      <c r="AV166" s="369">
        <f t="shared" si="2106"/>
        <v>0.4604471269</v>
      </c>
      <c r="AW166" s="370">
        <f t="shared" si="2107"/>
        <v>0</v>
      </c>
      <c r="AX166" s="371">
        <f t="shared" si="2108"/>
        <v>0</v>
      </c>
      <c r="AY166" s="364"/>
      <c r="AZ166" s="366">
        <f t="shared" si="2220"/>
        <v>10</v>
      </c>
      <c r="BA166" s="367" t="str">
        <f t="shared" ref="BA166:BC166" si="2362">IFERROR(VLOOKUP($R166,$A$13:$D$30,-BA$12,FALSE),"")</f>
        <v>Lainnya 2.3 (2) ………</v>
      </c>
      <c r="BB166" s="368" t="str">
        <f t="shared" si="2362"/>
        <v>Bijih </v>
      </c>
      <c r="BC166" s="368" t="str">
        <f t="shared" si="2362"/>
        <v>Ton </v>
      </c>
      <c r="BD166" s="361" t="str">
        <f>ADHK!BD166</f>
        <v/>
      </c>
      <c r="BE166" s="361"/>
      <c r="BF166" s="361">
        <f t="shared" si="2110"/>
        <v>0</v>
      </c>
      <c r="BG166" s="369"/>
      <c r="BH166" s="361">
        <f t="shared" si="2111"/>
        <v>0</v>
      </c>
      <c r="BI166" s="96"/>
      <c r="BJ166" s="96"/>
      <c r="BK166" s="97"/>
      <c r="BL166" s="361">
        <f t="shared" si="2112"/>
        <v>0</v>
      </c>
      <c r="BM166" s="369">
        <f t="shared" si="2113"/>
        <v>0.4604471269</v>
      </c>
      <c r="BN166" s="370">
        <f t="shared" si="2114"/>
        <v>0</v>
      </c>
      <c r="BO166" s="371">
        <f t="shared" si="2115"/>
        <v>0</v>
      </c>
      <c r="BP166" s="364"/>
      <c r="BQ166" s="366">
        <f t="shared" si="2222"/>
        <v>10</v>
      </c>
      <c r="BR166" s="367" t="str">
        <f t="shared" ref="BR166:BT166" si="2363">IFERROR(VLOOKUP($R166,$A$13:$D$30,-BR$12,FALSE),"")</f>
        <v>Lainnya 2.3 (2) ………</v>
      </c>
      <c r="BS166" s="368" t="str">
        <f t="shared" si="2363"/>
        <v>Bijih </v>
      </c>
      <c r="BT166" s="368" t="str">
        <f t="shared" si="2363"/>
        <v>Ton </v>
      </c>
      <c r="BU166" s="361" t="str">
        <f>ADHK!BU166</f>
        <v/>
      </c>
      <c r="BV166" s="361"/>
      <c r="BW166" s="361">
        <f t="shared" si="2117"/>
        <v>0</v>
      </c>
      <c r="BX166" s="369"/>
      <c r="BY166" s="361">
        <f t="shared" si="2118"/>
        <v>0</v>
      </c>
      <c r="BZ166" s="96"/>
      <c r="CA166" s="96"/>
      <c r="CB166" s="97"/>
      <c r="CC166" s="361">
        <f t="shared" si="2119"/>
        <v>0</v>
      </c>
      <c r="CD166" s="369">
        <f t="shared" si="2120"/>
        <v>0.4604471269</v>
      </c>
      <c r="CE166" s="370">
        <f t="shared" si="2121"/>
        <v>0</v>
      </c>
      <c r="CF166" s="371">
        <f t="shared" si="2122"/>
        <v>0</v>
      </c>
      <c r="CG166" s="364"/>
      <c r="CH166" s="366">
        <f t="shared" si="2224"/>
        <v>10</v>
      </c>
      <c r="CI166" s="367" t="str">
        <f t="shared" ref="CI166:CK166" si="2364">IFERROR(VLOOKUP($R166,$A$13:$D$30,-CI$12,FALSE),"")</f>
        <v>Lainnya 2.3 (2) ………</v>
      </c>
      <c r="CJ166" s="368" t="str">
        <f t="shared" si="2364"/>
        <v>Bijih </v>
      </c>
      <c r="CK166" s="368" t="str">
        <f t="shared" si="2364"/>
        <v>Ton </v>
      </c>
      <c r="CL166" s="361" t="str">
        <f>ADHK!CL166</f>
        <v/>
      </c>
      <c r="CM166" s="361"/>
      <c r="CN166" s="361">
        <f t="shared" si="2124"/>
        <v>0</v>
      </c>
      <c r="CO166" s="369"/>
      <c r="CP166" s="361">
        <f t="shared" si="2125"/>
        <v>0</v>
      </c>
      <c r="CQ166" s="96"/>
      <c r="CR166" s="96"/>
      <c r="CS166" s="97"/>
      <c r="CT166" s="361">
        <f t="shared" si="2126"/>
        <v>0</v>
      </c>
      <c r="CU166" s="369">
        <f t="shared" si="2127"/>
        <v>0.4604471269</v>
      </c>
      <c r="CV166" s="370">
        <f t="shared" si="2128"/>
        <v>0</v>
      </c>
      <c r="CW166" s="371">
        <f t="shared" si="2129"/>
        <v>0</v>
      </c>
      <c r="CX166" s="364"/>
      <c r="CY166" s="366">
        <f t="shared" si="2226"/>
        <v>10</v>
      </c>
      <c r="CZ166" s="367" t="str">
        <f t="shared" ref="CZ166:DB166" si="2365">IFERROR(VLOOKUP($R166,$A$13:$D$30,-CZ$12,FALSE),"")</f>
        <v>Lainnya 2.3 (2) ………</v>
      </c>
      <c r="DA166" s="368" t="str">
        <f t="shared" si="2365"/>
        <v>Bijih </v>
      </c>
      <c r="DB166" s="368" t="str">
        <f t="shared" si="2365"/>
        <v>Ton </v>
      </c>
      <c r="DC166" s="361" t="str">
        <f>ADHK!DC166</f>
        <v/>
      </c>
      <c r="DD166" s="361"/>
      <c r="DE166" s="361">
        <f t="shared" si="2131"/>
        <v>0</v>
      </c>
      <c r="DF166" s="369"/>
      <c r="DG166" s="361">
        <f t="shared" si="2132"/>
        <v>0</v>
      </c>
      <c r="DH166" s="96"/>
      <c r="DI166" s="96"/>
      <c r="DJ166" s="97"/>
      <c r="DK166" s="361">
        <f t="shared" si="2133"/>
        <v>0</v>
      </c>
      <c r="DL166" s="369">
        <f t="shared" si="2134"/>
        <v>0.4604471269</v>
      </c>
      <c r="DM166" s="370">
        <f t="shared" si="2135"/>
        <v>0</v>
      </c>
      <c r="DN166" s="371">
        <f t="shared" si="2136"/>
        <v>0</v>
      </c>
      <c r="DO166" s="364"/>
      <c r="DP166" s="366">
        <f t="shared" si="2228"/>
        <v>10</v>
      </c>
      <c r="DQ166" s="367" t="str">
        <f t="shared" ref="DQ166:DS166" si="2366">IFERROR(VLOOKUP($R166,$A$13:$D$30,-DQ$12,FALSE),"")</f>
        <v>Lainnya 2.3 (2) ………</v>
      </c>
      <c r="DR166" s="368" t="str">
        <f t="shared" si="2366"/>
        <v>Bijih </v>
      </c>
      <c r="DS166" s="368" t="str">
        <f t="shared" si="2366"/>
        <v>Ton </v>
      </c>
      <c r="DT166" s="361" t="str">
        <f>ADHK!DT166</f>
        <v/>
      </c>
      <c r="DU166" s="361"/>
      <c r="DV166" s="361">
        <f t="shared" si="2138"/>
        <v>0</v>
      </c>
      <c r="DW166" s="369"/>
      <c r="DX166" s="361">
        <f t="shared" si="2139"/>
        <v>0</v>
      </c>
      <c r="DY166" s="96"/>
      <c r="DZ166" s="96"/>
      <c r="EA166" s="97"/>
      <c r="EB166" s="361">
        <f t="shared" si="2140"/>
        <v>0</v>
      </c>
      <c r="EC166" s="369">
        <f t="shared" si="2141"/>
        <v>0.4604471269</v>
      </c>
      <c r="ED166" s="370">
        <f t="shared" si="2142"/>
        <v>0</v>
      </c>
      <c r="EE166" s="371">
        <f t="shared" si="2143"/>
        <v>0</v>
      </c>
      <c r="EF166" s="364"/>
      <c r="EG166" s="366">
        <f t="shared" si="2230"/>
        <v>10</v>
      </c>
      <c r="EH166" s="367" t="str">
        <f t="shared" ref="EH166:EJ166" si="2367">IFERROR(VLOOKUP($R166,$A$13:$D$30,-EH$12,FALSE),"")</f>
        <v>Lainnya 2.3 (2) ………</v>
      </c>
      <c r="EI166" s="368" t="str">
        <f t="shared" si="2367"/>
        <v>Bijih </v>
      </c>
      <c r="EJ166" s="368" t="str">
        <f t="shared" si="2367"/>
        <v>Ton </v>
      </c>
      <c r="EK166" s="361" t="str">
        <f>ADHK!EK166</f>
        <v/>
      </c>
      <c r="EL166" s="361"/>
      <c r="EM166" s="361">
        <f t="shared" si="2145"/>
        <v>0</v>
      </c>
      <c r="EN166" s="369"/>
      <c r="EO166" s="361">
        <f t="shared" si="2146"/>
        <v>0</v>
      </c>
      <c r="EP166" s="96"/>
      <c r="EQ166" s="96"/>
      <c r="ER166" s="97"/>
      <c r="ES166" s="361">
        <f t="shared" si="2147"/>
        <v>0</v>
      </c>
      <c r="ET166" s="369">
        <f t="shared" si="2148"/>
        <v>0.4604471269</v>
      </c>
      <c r="EU166" s="370">
        <f t="shared" si="2149"/>
        <v>0</v>
      </c>
      <c r="EV166" s="371">
        <f t="shared" si="2150"/>
        <v>0</v>
      </c>
      <c r="EW166" s="364"/>
      <c r="EX166" s="366">
        <f t="shared" si="2232"/>
        <v>10</v>
      </c>
      <c r="EY166" s="367" t="str">
        <f t="shared" ref="EY166:FA166" si="2368">IFERROR(VLOOKUP($R166,$A$13:$D$30,-EY$12,FALSE),"")</f>
        <v>Lainnya 2.3 (2) ………</v>
      </c>
      <c r="EZ166" s="368" t="str">
        <f t="shared" si="2368"/>
        <v>Bijih </v>
      </c>
      <c r="FA166" s="368" t="str">
        <f t="shared" si="2368"/>
        <v>Ton </v>
      </c>
      <c r="FB166" s="361" t="str">
        <f>ADHK!FB166</f>
        <v/>
      </c>
      <c r="FC166" s="361"/>
      <c r="FD166" s="361">
        <f t="shared" si="2152"/>
        <v>0</v>
      </c>
      <c r="FE166" s="369"/>
      <c r="FF166" s="361">
        <f t="shared" si="2153"/>
        <v>0</v>
      </c>
      <c r="FG166" s="96"/>
      <c r="FH166" s="96"/>
      <c r="FI166" s="97"/>
      <c r="FJ166" s="361">
        <f t="shared" si="2154"/>
        <v>0</v>
      </c>
      <c r="FK166" s="369">
        <f t="shared" si="2155"/>
        <v>0.4604471269</v>
      </c>
      <c r="FL166" s="370">
        <f t="shared" si="2156"/>
        <v>0</v>
      </c>
      <c r="FM166" s="371">
        <f t="shared" si="2157"/>
        <v>0</v>
      </c>
      <c r="FN166" s="364"/>
      <c r="FO166" s="366">
        <f t="shared" si="2234"/>
        <v>10</v>
      </c>
      <c r="FP166" s="367" t="str">
        <f t="shared" ref="FP166:FR166" si="2369">IFERROR(VLOOKUP($R166,$A$13:$D$30,-FP$12,FALSE),"")</f>
        <v>Lainnya 2.3 (2) ………</v>
      </c>
      <c r="FQ166" s="368" t="str">
        <f t="shared" si="2369"/>
        <v>Bijih </v>
      </c>
      <c r="FR166" s="368" t="str">
        <f t="shared" si="2369"/>
        <v>Ton </v>
      </c>
      <c r="FS166" s="361" t="str">
        <f>ADHK!FS166</f>
        <v/>
      </c>
      <c r="FT166" s="361"/>
      <c r="FU166" s="361">
        <f t="shared" si="2159"/>
        <v>0</v>
      </c>
      <c r="FV166" s="369"/>
      <c r="FW166" s="361">
        <f t="shared" si="2160"/>
        <v>0</v>
      </c>
      <c r="FX166" s="96"/>
      <c r="FY166" s="96"/>
      <c r="FZ166" s="97"/>
      <c r="GA166" s="361">
        <f t="shared" si="2161"/>
        <v>0</v>
      </c>
      <c r="GB166" s="369">
        <f t="shared" si="2162"/>
        <v>0.4604471269</v>
      </c>
      <c r="GC166" s="370">
        <f t="shared" si="2163"/>
        <v>0</v>
      </c>
      <c r="GD166" s="371">
        <f t="shared" si="2164"/>
        <v>0</v>
      </c>
      <c r="GE166" s="364"/>
      <c r="GF166" s="366">
        <f t="shared" si="2236"/>
        <v>10</v>
      </c>
      <c r="GG166" s="367" t="str">
        <f t="shared" ref="GG166:GI166" si="2370">IFERROR(VLOOKUP($R166,$A$13:$D$30,-GG$12,FALSE),"")</f>
        <v>Lainnya 2.3 (2) ………</v>
      </c>
      <c r="GH166" s="368" t="str">
        <f t="shared" si="2370"/>
        <v>Bijih </v>
      </c>
      <c r="GI166" s="368" t="str">
        <f t="shared" si="2370"/>
        <v>Ton </v>
      </c>
      <c r="GJ166" s="361" t="str">
        <f>ADHK!GJ166</f>
        <v/>
      </c>
      <c r="GK166" s="361"/>
      <c r="GL166" s="361">
        <f t="shared" si="2166"/>
        <v>0</v>
      </c>
      <c r="GM166" s="369"/>
      <c r="GN166" s="361">
        <f t="shared" si="2167"/>
        <v>0</v>
      </c>
      <c r="GO166" s="96"/>
      <c r="GP166" s="96"/>
      <c r="GQ166" s="97"/>
      <c r="GR166" s="361">
        <f t="shared" si="2168"/>
        <v>0</v>
      </c>
      <c r="GS166" s="369">
        <f t="shared" si="2169"/>
        <v>0.4604471269</v>
      </c>
      <c r="GT166" s="370">
        <f t="shared" si="2170"/>
        <v>0</v>
      </c>
      <c r="GU166" s="371">
        <f t="shared" si="2171"/>
        <v>0</v>
      </c>
      <c r="GV166" s="364"/>
      <c r="GW166" s="366">
        <f t="shared" si="2238"/>
        <v>10</v>
      </c>
      <c r="GX166" s="367" t="str">
        <f t="shared" ref="GX166:GZ166" si="2371">IFERROR(VLOOKUP($R166,$A$13:$D$30,-GX$12,FALSE),"")</f>
        <v>Lainnya 2.3 (2) ………</v>
      </c>
      <c r="GY166" s="368" t="str">
        <f t="shared" si="2371"/>
        <v>Bijih </v>
      </c>
      <c r="GZ166" s="368" t="str">
        <f t="shared" si="2371"/>
        <v>Ton </v>
      </c>
      <c r="HA166" s="361"/>
      <c r="HB166" s="361"/>
      <c r="HC166" s="361">
        <f t="shared" si="2173"/>
        <v>0</v>
      </c>
      <c r="HD166" s="369"/>
      <c r="HE166" s="361">
        <f t="shared" si="2174"/>
        <v>0</v>
      </c>
      <c r="HF166" s="96"/>
      <c r="HG166" s="96"/>
      <c r="HH166" s="97"/>
      <c r="HI166" s="361">
        <f t="shared" si="2175"/>
        <v>0</v>
      </c>
      <c r="HJ166" s="369">
        <f t="shared" si="2176"/>
        <v>0.4604471269</v>
      </c>
      <c r="HK166" s="370">
        <f t="shared" si="2177"/>
        <v>0</v>
      </c>
      <c r="HL166" s="371">
        <f t="shared" si="2178"/>
        <v>0</v>
      </c>
      <c r="HM166" s="364"/>
      <c r="HN166" s="366">
        <f t="shared" si="2240"/>
        <v>10</v>
      </c>
      <c r="HO166" s="367" t="str">
        <f t="shared" ref="HO166:HQ166" si="2372">IFERROR(VLOOKUP($R166,$A$13:$D$30,-HO$12,FALSE),"")</f>
        <v>Lainnya 2.3 (2) ………</v>
      </c>
      <c r="HP166" s="368" t="str">
        <f t="shared" si="2372"/>
        <v>Bijih </v>
      </c>
      <c r="HQ166" s="368" t="str">
        <f t="shared" si="2372"/>
        <v>Ton </v>
      </c>
      <c r="HR166" s="361" t="str">
        <f>ADHK!HR166</f>
        <v/>
      </c>
      <c r="HS166" s="361"/>
      <c r="HT166" s="361">
        <f t="shared" si="2180"/>
        <v>0</v>
      </c>
      <c r="HU166" s="369"/>
      <c r="HV166" s="361">
        <f t="shared" si="2181"/>
        <v>0</v>
      </c>
      <c r="HW166" s="96"/>
      <c r="HX166" s="96"/>
      <c r="HY166" s="97"/>
      <c r="HZ166" s="361">
        <f t="shared" si="2182"/>
        <v>0</v>
      </c>
      <c r="IA166" s="369">
        <f t="shared" si="2183"/>
        <v>0.4604471269</v>
      </c>
      <c r="IB166" s="370">
        <f t="shared" si="2184"/>
        <v>0</v>
      </c>
      <c r="IC166" s="371">
        <f t="shared" si="2185"/>
        <v>0</v>
      </c>
      <c r="ID166" s="364"/>
      <c r="IE166" s="366">
        <f t="shared" si="2242"/>
        <v>10</v>
      </c>
      <c r="IF166" s="367" t="str">
        <f t="shared" ref="IF166:IH166" si="2373">IFERROR(VLOOKUP($R166,$A$13:$D$30,-IF$12,FALSE),"")</f>
        <v>Lainnya 2.3 (2) ………</v>
      </c>
      <c r="IG166" s="368" t="str">
        <f t="shared" si="2373"/>
        <v>Bijih </v>
      </c>
      <c r="IH166" s="368" t="str">
        <f t="shared" si="2373"/>
        <v>Ton </v>
      </c>
      <c r="II166" s="361" t="str">
        <f>ADHK!II166</f>
        <v/>
      </c>
      <c r="IJ166" s="361"/>
      <c r="IK166" s="361">
        <f t="shared" si="2187"/>
        <v>0</v>
      </c>
      <c r="IL166" s="369"/>
      <c r="IM166" s="361">
        <f t="shared" si="2188"/>
        <v>0</v>
      </c>
      <c r="IN166" s="96"/>
      <c r="IO166" s="96"/>
      <c r="IP166" s="97"/>
      <c r="IQ166" s="361">
        <f t="shared" si="2189"/>
        <v>0</v>
      </c>
      <c r="IR166" s="369">
        <f t="shared" si="2190"/>
        <v>0.4604471269</v>
      </c>
      <c r="IS166" s="370">
        <f t="shared" si="2191"/>
        <v>0</v>
      </c>
      <c r="IT166" s="371">
        <f t="shared" si="2192"/>
        <v>0</v>
      </c>
      <c r="IU166" s="364"/>
      <c r="IV166" s="366">
        <f t="shared" si="2244"/>
        <v>10</v>
      </c>
      <c r="IW166" s="367" t="str">
        <f t="shared" ref="IW166:IY166" si="2374">IFERROR(VLOOKUP($R166,$A$13:$D$30,-IW$12,FALSE),"")</f>
        <v>Lainnya 2.3 (2) ………</v>
      </c>
      <c r="IX166" s="368" t="str">
        <f t="shared" si="2374"/>
        <v>Bijih </v>
      </c>
      <c r="IY166" s="368" t="str">
        <f t="shared" si="2374"/>
        <v>Ton </v>
      </c>
      <c r="IZ166" s="361" t="str">
        <f>ADHK!IZ166</f>
        <v/>
      </c>
      <c r="JA166" s="361"/>
      <c r="JB166" s="361">
        <f t="shared" si="2194"/>
        <v>0</v>
      </c>
      <c r="JC166" s="369"/>
      <c r="JD166" s="361">
        <f t="shared" si="2195"/>
        <v>0</v>
      </c>
      <c r="JE166" s="96"/>
      <c r="JF166" s="96"/>
      <c r="JG166" s="97"/>
      <c r="JH166" s="361">
        <f t="shared" si="2196"/>
        <v>0</v>
      </c>
      <c r="JI166" s="369">
        <f t="shared" si="2197"/>
        <v>0.4604471269</v>
      </c>
      <c r="JJ166" s="370">
        <f t="shared" si="2198"/>
        <v>0</v>
      </c>
      <c r="JK166" s="371">
        <f t="shared" si="2199"/>
        <v>0</v>
      </c>
      <c r="JL166" s="364"/>
      <c r="JM166" s="366">
        <f t="shared" si="2246"/>
        <v>10</v>
      </c>
      <c r="JN166" s="367" t="str">
        <f t="shared" ref="JN166:JP166" si="2375">IFERROR(VLOOKUP($R166,$A$13:$D$30,-JN$12,FALSE),"")</f>
        <v>Lainnya 2.3 (2) ………</v>
      </c>
      <c r="JO166" s="368" t="str">
        <f t="shared" si="2375"/>
        <v>Bijih </v>
      </c>
      <c r="JP166" s="368" t="str">
        <f t="shared" si="2375"/>
        <v>Ton </v>
      </c>
      <c r="JQ166" s="361" t="str">
        <f>ADHK!KY166</f>
        <v/>
      </c>
      <c r="JR166" s="361"/>
      <c r="JS166" s="361">
        <f t="shared" si="2201"/>
        <v>0</v>
      </c>
      <c r="JT166" s="369"/>
      <c r="JU166" s="361">
        <f t="shared" si="2202"/>
        <v>0</v>
      </c>
      <c r="JV166" s="96"/>
      <c r="JW166" s="96"/>
      <c r="JX166" s="97"/>
      <c r="JY166" s="361">
        <f t="shared" si="2203"/>
        <v>0</v>
      </c>
      <c r="JZ166" s="369">
        <f t="shared" si="2204"/>
        <v>0.4604471269</v>
      </c>
      <c r="KA166" s="370">
        <f t="shared" si="2205"/>
        <v>0</v>
      </c>
      <c r="KB166" s="371">
        <f t="shared" si="2206"/>
        <v>0</v>
      </c>
      <c r="KC166" s="364"/>
      <c r="KD166" s="366">
        <f t="shared" si="2248"/>
        <v>10</v>
      </c>
      <c r="KE166" s="367" t="str">
        <f t="shared" ref="KE166:KG166" si="2376">IFERROR(VLOOKUP($R166,$A$13:$D$30,-KE$12,FALSE),"")</f>
        <v>Lainnya 2.3 (2) ………</v>
      </c>
      <c r="KF166" s="368" t="str">
        <f t="shared" si="2376"/>
        <v>Bijih </v>
      </c>
      <c r="KG166" s="368" t="str">
        <f t="shared" si="2376"/>
        <v>Ton </v>
      </c>
      <c r="KH166" s="361" t="str">
        <f>ADHK!LP166</f>
        <v/>
      </c>
      <c r="KI166" s="361"/>
      <c r="KJ166" s="361">
        <f t="shared" si="2208"/>
        <v>0</v>
      </c>
      <c r="KK166" s="369"/>
      <c r="KL166" s="361">
        <f t="shared" si="2209"/>
        <v>0</v>
      </c>
      <c r="KM166" s="96"/>
      <c r="KN166" s="96"/>
      <c r="KO166" s="97"/>
      <c r="KP166" s="361">
        <f t="shared" si="2210"/>
        <v>0</v>
      </c>
      <c r="KQ166" s="369">
        <f t="shared" si="2211"/>
        <v>0.4604471269</v>
      </c>
      <c r="KR166" s="370">
        <f t="shared" si="2212"/>
        <v>0</v>
      </c>
      <c r="KS166" s="371">
        <f t="shared" si="2213"/>
        <v>0</v>
      </c>
      <c r="KT166" s="364"/>
      <c r="KU166" s="365"/>
    </row>
    <row r="167" ht="15.75" customHeight="1">
      <c r="A167" s="366">
        <f t="shared" si="2214"/>
        <v>11</v>
      </c>
      <c r="B167" s="367" t="str">
        <f t="shared" ref="B167:D167" si="2377">IFERROR(VLOOKUP($A167,$A$13:$D$30,-B$12,FALSE),"")</f>
        <v>Lainnya 2.3 (3) …….</v>
      </c>
      <c r="C167" s="368" t="str">
        <f t="shared" si="2377"/>
        <v/>
      </c>
      <c r="D167" s="368" t="str">
        <f t="shared" si="2377"/>
        <v/>
      </c>
      <c r="E167" s="361" t="str">
        <f>ADHK!E167</f>
        <v/>
      </c>
      <c r="F167" s="361" t="str">
        <f>ADHK!F167</f>
        <v/>
      </c>
      <c r="G167" s="361">
        <f t="shared" si="2089"/>
        <v>0</v>
      </c>
      <c r="H167" s="369"/>
      <c r="I167" s="361">
        <f t="shared" si="2090"/>
        <v>0</v>
      </c>
      <c r="J167" s="96"/>
      <c r="K167" s="96"/>
      <c r="L167" s="97"/>
      <c r="M167" s="361">
        <f t="shared" si="2091"/>
        <v>0</v>
      </c>
      <c r="N167" s="369">
        <f t="shared" si="2092"/>
        <v>0.4604471269</v>
      </c>
      <c r="O167" s="370">
        <f t="shared" si="2093"/>
        <v>0</v>
      </c>
      <c r="P167" s="371">
        <f t="shared" si="2094"/>
        <v>0</v>
      </c>
      <c r="Q167" s="364"/>
      <c r="R167" s="366">
        <f t="shared" si="2216"/>
        <v>11</v>
      </c>
      <c r="S167" s="367" t="str">
        <f t="shared" ref="S167:U167" si="2378">IFERROR(VLOOKUP($R167,$A$13:$D$30,-S$12,FALSE),"")</f>
        <v>Lainnya 2.3 (3) …….</v>
      </c>
      <c r="T167" s="368" t="str">
        <f t="shared" si="2378"/>
        <v/>
      </c>
      <c r="U167" s="368" t="str">
        <f t="shared" si="2378"/>
        <v/>
      </c>
      <c r="V167" s="361" t="str">
        <f>ADHK!V167</f>
        <v/>
      </c>
      <c r="W167" s="361"/>
      <c r="X167" s="361">
        <f t="shared" si="2096"/>
        <v>0</v>
      </c>
      <c r="Y167" s="369"/>
      <c r="Z167" s="361">
        <f t="shared" si="2097"/>
        <v>0</v>
      </c>
      <c r="AA167" s="96"/>
      <c r="AB167" s="96"/>
      <c r="AC167" s="97"/>
      <c r="AD167" s="361">
        <f t="shared" si="2098"/>
        <v>0</v>
      </c>
      <c r="AE167" s="369">
        <f t="shared" si="2099"/>
        <v>0.4604471269</v>
      </c>
      <c r="AF167" s="370">
        <f t="shared" si="2100"/>
        <v>0</v>
      </c>
      <c r="AG167" s="371">
        <f t="shared" si="2101"/>
        <v>0</v>
      </c>
      <c r="AH167" s="364"/>
      <c r="AI167" s="366">
        <f t="shared" si="2218"/>
        <v>11</v>
      </c>
      <c r="AJ167" s="367" t="str">
        <f t="shared" ref="AJ167:AL167" si="2379">IFERROR(VLOOKUP($R167,$A$13:$D$30,-AJ$12,FALSE),"")</f>
        <v>Lainnya 2.3 (3) …….</v>
      </c>
      <c r="AK167" s="368" t="str">
        <f t="shared" si="2379"/>
        <v/>
      </c>
      <c r="AL167" s="368" t="str">
        <f t="shared" si="2379"/>
        <v/>
      </c>
      <c r="AM167" s="361" t="str">
        <f>ADHK!AM167</f>
        <v/>
      </c>
      <c r="AN167" s="361"/>
      <c r="AO167" s="361">
        <f t="shared" si="2103"/>
        <v>0</v>
      </c>
      <c r="AP167" s="369"/>
      <c r="AQ167" s="361">
        <f t="shared" si="2104"/>
        <v>0</v>
      </c>
      <c r="AR167" s="96"/>
      <c r="AS167" s="96"/>
      <c r="AT167" s="97"/>
      <c r="AU167" s="361">
        <f t="shared" si="2105"/>
        <v>0</v>
      </c>
      <c r="AV167" s="369">
        <f t="shared" si="2106"/>
        <v>0.4604471269</v>
      </c>
      <c r="AW167" s="370">
        <f t="shared" si="2107"/>
        <v>0</v>
      </c>
      <c r="AX167" s="371">
        <f t="shared" si="2108"/>
        <v>0</v>
      </c>
      <c r="AY167" s="364"/>
      <c r="AZ167" s="366">
        <f t="shared" si="2220"/>
        <v>11</v>
      </c>
      <c r="BA167" s="367" t="str">
        <f t="shared" ref="BA167:BC167" si="2380">IFERROR(VLOOKUP($R167,$A$13:$D$30,-BA$12,FALSE),"")</f>
        <v>Lainnya 2.3 (3) …….</v>
      </c>
      <c r="BB167" s="368" t="str">
        <f t="shared" si="2380"/>
        <v/>
      </c>
      <c r="BC167" s="368" t="str">
        <f t="shared" si="2380"/>
        <v/>
      </c>
      <c r="BD167" s="361" t="str">
        <f>ADHK!BD167</f>
        <v/>
      </c>
      <c r="BE167" s="361"/>
      <c r="BF167" s="361">
        <f t="shared" si="2110"/>
        <v>0</v>
      </c>
      <c r="BG167" s="369"/>
      <c r="BH167" s="361">
        <f t="shared" si="2111"/>
        <v>0</v>
      </c>
      <c r="BI167" s="96"/>
      <c r="BJ167" s="96"/>
      <c r="BK167" s="97"/>
      <c r="BL167" s="361">
        <f t="shared" si="2112"/>
        <v>0</v>
      </c>
      <c r="BM167" s="369">
        <f t="shared" si="2113"/>
        <v>0.4604471269</v>
      </c>
      <c r="BN167" s="370">
        <f t="shared" si="2114"/>
        <v>0</v>
      </c>
      <c r="BO167" s="371">
        <f t="shared" si="2115"/>
        <v>0</v>
      </c>
      <c r="BP167" s="364"/>
      <c r="BQ167" s="366">
        <f t="shared" si="2222"/>
        <v>11</v>
      </c>
      <c r="BR167" s="367" t="str">
        <f t="shared" ref="BR167:BT167" si="2381">IFERROR(VLOOKUP($R167,$A$13:$D$30,-BR$12,FALSE),"")</f>
        <v>Lainnya 2.3 (3) …….</v>
      </c>
      <c r="BS167" s="368" t="str">
        <f t="shared" si="2381"/>
        <v/>
      </c>
      <c r="BT167" s="368" t="str">
        <f t="shared" si="2381"/>
        <v/>
      </c>
      <c r="BU167" s="361" t="str">
        <f>ADHK!BU167</f>
        <v/>
      </c>
      <c r="BV167" s="361"/>
      <c r="BW167" s="361">
        <f t="shared" si="2117"/>
        <v>0</v>
      </c>
      <c r="BX167" s="369"/>
      <c r="BY167" s="361">
        <f t="shared" si="2118"/>
        <v>0</v>
      </c>
      <c r="BZ167" s="96"/>
      <c r="CA167" s="96"/>
      <c r="CB167" s="97"/>
      <c r="CC167" s="361">
        <f t="shared" si="2119"/>
        <v>0</v>
      </c>
      <c r="CD167" s="369">
        <f t="shared" si="2120"/>
        <v>0.4604471269</v>
      </c>
      <c r="CE167" s="370">
        <f t="shared" si="2121"/>
        <v>0</v>
      </c>
      <c r="CF167" s="371">
        <f t="shared" si="2122"/>
        <v>0</v>
      </c>
      <c r="CG167" s="364"/>
      <c r="CH167" s="366">
        <f t="shared" si="2224"/>
        <v>11</v>
      </c>
      <c r="CI167" s="367" t="str">
        <f t="shared" ref="CI167:CK167" si="2382">IFERROR(VLOOKUP($R167,$A$13:$D$30,-CI$12,FALSE),"")</f>
        <v>Lainnya 2.3 (3) …….</v>
      </c>
      <c r="CJ167" s="368" t="str">
        <f t="shared" si="2382"/>
        <v/>
      </c>
      <c r="CK167" s="368" t="str">
        <f t="shared" si="2382"/>
        <v/>
      </c>
      <c r="CL167" s="361" t="str">
        <f>ADHK!CL167</f>
        <v/>
      </c>
      <c r="CM167" s="361"/>
      <c r="CN167" s="361">
        <f t="shared" si="2124"/>
        <v>0</v>
      </c>
      <c r="CO167" s="369"/>
      <c r="CP167" s="361">
        <f t="shared" si="2125"/>
        <v>0</v>
      </c>
      <c r="CQ167" s="96"/>
      <c r="CR167" s="96"/>
      <c r="CS167" s="97"/>
      <c r="CT167" s="361">
        <f t="shared" si="2126"/>
        <v>0</v>
      </c>
      <c r="CU167" s="369">
        <f t="shared" si="2127"/>
        <v>0.4604471269</v>
      </c>
      <c r="CV167" s="370">
        <f t="shared" si="2128"/>
        <v>0</v>
      </c>
      <c r="CW167" s="371">
        <f t="shared" si="2129"/>
        <v>0</v>
      </c>
      <c r="CX167" s="364"/>
      <c r="CY167" s="366">
        <f t="shared" si="2226"/>
        <v>11</v>
      </c>
      <c r="CZ167" s="367" t="str">
        <f t="shared" ref="CZ167:DB167" si="2383">IFERROR(VLOOKUP($R167,$A$13:$D$30,-CZ$12,FALSE),"")</f>
        <v>Lainnya 2.3 (3) …….</v>
      </c>
      <c r="DA167" s="368" t="str">
        <f t="shared" si="2383"/>
        <v/>
      </c>
      <c r="DB167" s="368" t="str">
        <f t="shared" si="2383"/>
        <v/>
      </c>
      <c r="DC167" s="361" t="str">
        <f>ADHK!DC167</f>
        <v/>
      </c>
      <c r="DD167" s="361"/>
      <c r="DE167" s="361">
        <f t="shared" si="2131"/>
        <v>0</v>
      </c>
      <c r="DF167" s="369"/>
      <c r="DG167" s="361">
        <f t="shared" si="2132"/>
        <v>0</v>
      </c>
      <c r="DH167" s="96"/>
      <c r="DI167" s="96"/>
      <c r="DJ167" s="97"/>
      <c r="DK167" s="361">
        <f t="shared" si="2133"/>
        <v>0</v>
      </c>
      <c r="DL167" s="369">
        <f t="shared" si="2134"/>
        <v>0.4604471269</v>
      </c>
      <c r="DM167" s="370">
        <f t="shared" si="2135"/>
        <v>0</v>
      </c>
      <c r="DN167" s="371">
        <f t="shared" si="2136"/>
        <v>0</v>
      </c>
      <c r="DO167" s="364"/>
      <c r="DP167" s="366">
        <f t="shared" si="2228"/>
        <v>11</v>
      </c>
      <c r="DQ167" s="367" t="str">
        <f t="shared" ref="DQ167:DS167" si="2384">IFERROR(VLOOKUP($R167,$A$13:$D$30,-DQ$12,FALSE),"")</f>
        <v>Lainnya 2.3 (3) …….</v>
      </c>
      <c r="DR167" s="368" t="str">
        <f t="shared" si="2384"/>
        <v/>
      </c>
      <c r="DS167" s="368" t="str">
        <f t="shared" si="2384"/>
        <v/>
      </c>
      <c r="DT167" s="361" t="str">
        <f>ADHK!DT167</f>
        <v/>
      </c>
      <c r="DU167" s="361"/>
      <c r="DV167" s="361">
        <f t="shared" si="2138"/>
        <v>0</v>
      </c>
      <c r="DW167" s="369"/>
      <c r="DX167" s="361">
        <f t="shared" si="2139"/>
        <v>0</v>
      </c>
      <c r="DY167" s="96"/>
      <c r="DZ167" s="96"/>
      <c r="EA167" s="97"/>
      <c r="EB167" s="361">
        <f t="shared" si="2140"/>
        <v>0</v>
      </c>
      <c r="EC167" s="369">
        <f t="shared" si="2141"/>
        <v>0.4604471269</v>
      </c>
      <c r="ED167" s="370">
        <f t="shared" si="2142"/>
        <v>0</v>
      </c>
      <c r="EE167" s="371">
        <f t="shared" si="2143"/>
        <v>0</v>
      </c>
      <c r="EF167" s="364"/>
      <c r="EG167" s="366">
        <f t="shared" si="2230"/>
        <v>11</v>
      </c>
      <c r="EH167" s="367" t="str">
        <f t="shared" ref="EH167:EJ167" si="2385">IFERROR(VLOOKUP($R167,$A$13:$D$30,-EH$12,FALSE),"")</f>
        <v>Lainnya 2.3 (3) …….</v>
      </c>
      <c r="EI167" s="368" t="str">
        <f t="shared" si="2385"/>
        <v/>
      </c>
      <c r="EJ167" s="368" t="str">
        <f t="shared" si="2385"/>
        <v/>
      </c>
      <c r="EK167" s="361" t="str">
        <f>ADHK!EK167</f>
        <v/>
      </c>
      <c r="EL167" s="361"/>
      <c r="EM167" s="361">
        <f t="shared" si="2145"/>
        <v>0</v>
      </c>
      <c r="EN167" s="369"/>
      <c r="EO167" s="361">
        <f t="shared" si="2146"/>
        <v>0</v>
      </c>
      <c r="EP167" s="96"/>
      <c r="EQ167" s="96"/>
      <c r="ER167" s="97"/>
      <c r="ES167" s="361">
        <f t="shared" si="2147"/>
        <v>0</v>
      </c>
      <c r="ET167" s="369">
        <f t="shared" si="2148"/>
        <v>0.4604471269</v>
      </c>
      <c r="EU167" s="370">
        <f t="shared" si="2149"/>
        <v>0</v>
      </c>
      <c r="EV167" s="371">
        <f t="shared" si="2150"/>
        <v>0</v>
      </c>
      <c r="EW167" s="364"/>
      <c r="EX167" s="366">
        <f t="shared" si="2232"/>
        <v>11</v>
      </c>
      <c r="EY167" s="367" t="str">
        <f t="shared" ref="EY167:FA167" si="2386">IFERROR(VLOOKUP($R167,$A$13:$D$30,-EY$12,FALSE),"")</f>
        <v>Lainnya 2.3 (3) …….</v>
      </c>
      <c r="EZ167" s="368" t="str">
        <f t="shared" si="2386"/>
        <v/>
      </c>
      <c r="FA167" s="368" t="str">
        <f t="shared" si="2386"/>
        <v/>
      </c>
      <c r="FB167" s="361" t="str">
        <f>ADHK!FB167</f>
        <v/>
      </c>
      <c r="FC167" s="361"/>
      <c r="FD167" s="361">
        <f t="shared" si="2152"/>
        <v>0</v>
      </c>
      <c r="FE167" s="369"/>
      <c r="FF167" s="361">
        <f t="shared" si="2153"/>
        <v>0</v>
      </c>
      <c r="FG167" s="96"/>
      <c r="FH167" s="96"/>
      <c r="FI167" s="97"/>
      <c r="FJ167" s="361">
        <f t="shared" si="2154"/>
        <v>0</v>
      </c>
      <c r="FK167" s="369">
        <f t="shared" si="2155"/>
        <v>0.4604471269</v>
      </c>
      <c r="FL167" s="370">
        <f t="shared" si="2156"/>
        <v>0</v>
      </c>
      <c r="FM167" s="371">
        <f t="shared" si="2157"/>
        <v>0</v>
      </c>
      <c r="FN167" s="364"/>
      <c r="FO167" s="366">
        <f t="shared" si="2234"/>
        <v>11</v>
      </c>
      <c r="FP167" s="367" t="str">
        <f t="shared" ref="FP167:FR167" si="2387">IFERROR(VLOOKUP($R167,$A$13:$D$30,-FP$12,FALSE),"")</f>
        <v>Lainnya 2.3 (3) …….</v>
      </c>
      <c r="FQ167" s="368" t="str">
        <f t="shared" si="2387"/>
        <v/>
      </c>
      <c r="FR167" s="368" t="str">
        <f t="shared" si="2387"/>
        <v/>
      </c>
      <c r="FS167" s="361" t="str">
        <f>ADHK!FS167</f>
        <v/>
      </c>
      <c r="FT167" s="361"/>
      <c r="FU167" s="361">
        <f t="shared" si="2159"/>
        <v>0</v>
      </c>
      <c r="FV167" s="369"/>
      <c r="FW167" s="361">
        <f t="shared" si="2160"/>
        <v>0</v>
      </c>
      <c r="FX167" s="96"/>
      <c r="FY167" s="96"/>
      <c r="FZ167" s="97"/>
      <c r="GA167" s="361">
        <f t="shared" si="2161"/>
        <v>0</v>
      </c>
      <c r="GB167" s="369">
        <f t="shared" si="2162"/>
        <v>0.4604471269</v>
      </c>
      <c r="GC167" s="370">
        <f t="shared" si="2163"/>
        <v>0</v>
      </c>
      <c r="GD167" s="371">
        <f t="shared" si="2164"/>
        <v>0</v>
      </c>
      <c r="GE167" s="364"/>
      <c r="GF167" s="366">
        <f t="shared" si="2236"/>
        <v>11</v>
      </c>
      <c r="GG167" s="367" t="str">
        <f t="shared" ref="GG167:GI167" si="2388">IFERROR(VLOOKUP($R167,$A$13:$D$30,-GG$12,FALSE),"")</f>
        <v>Lainnya 2.3 (3) …….</v>
      </c>
      <c r="GH167" s="368" t="str">
        <f t="shared" si="2388"/>
        <v/>
      </c>
      <c r="GI167" s="368" t="str">
        <f t="shared" si="2388"/>
        <v/>
      </c>
      <c r="GJ167" s="361" t="str">
        <f>ADHK!GJ167</f>
        <v/>
      </c>
      <c r="GK167" s="361"/>
      <c r="GL167" s="361">
        <f t="shared" si="2166"/>
        <v>0</v>
      </c>
      <c r="GM167" s="369"/>
      <c r="GN167" s="361">
        <f t="shared" si="2167"/>
        <v>0</v>
      </c>
      <c r="GO167" s="96"/>
      <c r="GP167" s="96"/>
      <c r="GQ167" s="97"/>
      <c r="GR167" s="361">
        <f t="shared" si="2168"/>
        <v>0</v>
      </c>
      <c r="GS167" s="369">
        <f t="shared" si="2169"/>
        <v>0.4604471269</v>
      </c>
      <c r="GT167" s="370">
        <f t="shared" si="2170"/>
        <v>0</v>
      </c>
      <c r="GU167" s="371">
        <f t="shared" si="2171"/>
        <v>0</v>
      </c>
      <c r="GV167" s="364"/>
      <c r="GW167" s="366">
        <f t="shared" si="2238"/>
        <v>11</v>
      </c>
      <c r="GX167" s="367" t="str">
        <f t="shared" ref="GX167:GZ167" si="2389">IFERROR(VLOOKUP($R167,$A$13:$D$30,-GX$12,FALSE),"")</f>
        <v>Lainnya 2.3 (3) …….</v>
      </c>
      <c r="GY167" s="368" t="str">
        <f t="shared" si="2389"/>
        <v/>
      </c>
      <c r="GZ167" s="368" t="str">
        <f t="shared" si="2389"/>
        <v/>
      </c>
      <c r="HA167" s="361"/>
      <c r="HB167" s="361"/>
      <c r="HC167" s="361">
        <f t="shared" si="2173"/>
        <v>0</v>
      </c>
      <c r="HD167" s="369"/>
      <c r="HE167" s="361">
        <f t="shared" si="2174"/>
        <v>0</v>
      </c>
      <c r="HF167" s="96"/>
      <c r="HG167" s="96"/>
      <c r="HH167" s="97"/>
      <c r="HI167" s="361">
        <f t="shared" si="2175"/>
        <v>0</v>
      </c>
      <c r="HJ167" s="369">
        <f t="shared" si="2176"/>
        <v>0.4604471269</v>
      </c>
      <c r="HK167" s="370">
        <f t="shared" si="2177"/>
        <v>0</v>
      </c>
      <c r="HL167" s="371">
        <f t="shared" si="2178"/>
        <v>0</v>
      </c>
      <c r="HM167" s="364"/>
      <c r="HN167" s="366">
        <f t="shared" si="2240"/>
        <v>11</v>
      </c>
      <c r="HO167" s="367" t="str">
        <f t="shared" ref="HO167:HQ167" si="2390">IFERROR(VLOOKUP($R167,$A$13:$D$30,-HO$12,FALSE),"")</f>
        <v>Lainnya 2.3 (3) …….</v>
      </c>
      <c r="HP167" s="368" t="str">
        <f t="shared" si="2390"/>
        <v/>
      </c>
      <c r="HQ167" s="368" t="str">
        <f t="shared" si="2390"/>
        <v/>
      </c>
      <c r="HR167" s="361" t="str">
        <f>ADHK!HR167</f>
        <v/>
      </c>
      <c r="HS167" s="361"/>
      <c r="HT167" s="361">
        <f t="shared" si="2180"/>
        <v>0</v>
      </c>
      <c r="HU167" s="369"/>
      <c r="HV167" s="361">
        <f t="shared" si="2181"/>
        <v>0</v>
      </c>
      <c r="HW167" s="96"/>
      <c r="HX167" s="96"/>
      <c r="HY167" s="97"/>
      <c r="HZ167" s="361">
        <f t="shared" si="2182"/>
        <v>0</v>
      </c>
      <c r="IA167" s="369">
        <f t="shared" si="2183"/>
        <v>0.4604471269</v>
      </c>
      <c r="IB167" s="370">
        <f t="shared" si="2184"/>
        <v>0</v>
      </c>
      <c r="IC167" s="371">
        <f t="shared" si="2185"/>
        <v>0</v>
      </c>
      <c r="ID167" s="364"/>
      <c r="IE167" s="366">
        <f t="shared" si="2242"/>
        <v>11</v>
      </c>
      <c r="IF167" s="367" t="str">
        <f t="shared" ref="IF167:IH167" si="2391">IFERROR(VLOOKUP($R167,$A$13:$D$30,-IF$12,FALSE),"")</f>
        <v>Lainnya 2.3 (3) …….</v>
      </c>
      <c r="IG167" s="368" t="str">
        <f t="shared" si="2391"/>
        <v/>
      </c>
      <c r="IH167" s="368" t="str">
        <f t="shared" si="2391"/>
        <v/>
      </c>
      <c r="II167" s="361" t="str">
        <f>ADHK!II167</f>
        <v/>
      </c>
      <c r="IJ167" s="361"/>
      <c r="IK167" s="361">
        <f t="shared" si="2187"/>
        <v>0</v>
      </c>
      <c r="IL167" s="369"/>
      <c r="IM167" s="361">
        <f t="shared" si="2188"/>
        <v>0</v>
      </c>
      <c r="IN167" s="96"/>
      <c r="IO167" s="96"/>
      <c r="IP167" s="97"/>
      <c r="IQ167" s="361">
        <f t="shared" si="2189"/>
        <v>0</v>
      </c>
      <c r="IR167" s="369">
        <f t="shared" si="2190"/>
        <v>0.4604471269</v>
      </c>
      <c r="IS167" s="370">
        <f t="shared" si="2191"/>
        <v>0</v>
      </c>
      <c r="IT167" s="371">
        <f t="shared" si="2192"/>
        <v>0</v>
      </c>
      <c r="IU167" s="364"/>
      <c r="IV167" s="366">
        <f t="shared" si="2244"/>
        <v>11</v>
      </c>
      <c r="IW167" s="367" t="str">
        <f t="shared" ref="IW167:IY167" si="2392">IFERROR(VLOOKUP($R167,$A$13:$D$30,-IW$12,FALSE),"")</f>
        <v>Lainnya 2.3 (3) …….</v>
      </c>
      <c r="IX167" s="368" t="str">
        <f t="shared" si="2392"/>
        <v/>
      </c>
      <c r="IY167" s="368" t="str">
        <f t="shared" si="2392"/>
        <v/>
      </c>
      <c r="IZ167" s="361" t="str">
        <f>ADHK!IZ167</f>
        <v/>
      </c>
      <c r="JA167" s="361"/>
      <c r="JB167" s="361">
        <f t="shared" si="2194"/>
        <v>0</v>
      </c>
      <c r="JC167" s="369"/>
      <c r="JD167" s="361">
        <f t="shared" si="2195"/>
        <v>0</v>
      </c>
      <c r="JE167" s="96"/>
      <c r="JF167" s="96"/>
      <c r="JG167" s="97"/>
      <c r="JH167" s="361">
        <f t="shared" si="2196"/>
        <v>0</v>
      </c>
      <c r="JI167" s="369">
        <f t="shared" si="2197"/>
        <v>0.4604471269</v>
      </c>
      <c r="JJ167" s="370">
        <f t="shared" si="2198"/>
        <v>0</v>
      </c>
      <c r="JK167" s="371">
        <f t="shared" si="2199"/>
        <v>0</v>
      </c>
      <c r="JL167" s="364"/>
      <c r="JM167" s="366">
        <f t="shared" si="2246"/>
        <v>11</v>
      </c>
      <c r="JN167" s="367" t="str">
        <f t="shared" ref="JN167:JP167" si="2393">IFERROR(VLOOKUP($R167,$A$13:$D$30,-JN$12,FALSE),"")</f>
        <v>Lainnya 2.3 (3) …….</v>
      </c>
      <c r="JO167" s="368" t="str">
        <f t="shared" si="2393"/>
        <v/>
      </c>
      <c r="JP167" s="368" t="str">
        <f t="shared" si="2393"/>
        <v/>
      </c>
      <c r="JQ167" s="361" t="str">
        <f>ADHK!KY167</f>
        <v/>
      </c>
      <c r="JR167" s="361"/>
      <c r="JS167" s="361">
        <f t="shared" si="2201"/>
        <v>0</v>
      </c>
      <c r="JT167" s="369"/>
      <c r="JU167" s="361">
        <f t="shared" si="2202"/>
        <v>0</v>
      </c>
      <c r="JV167" s="96"/>
      <c r="JW167" s="96"/>
      <c r="JX167" s="97"/>
      <c r="JY167" s="361">
        <f t="shared" si="2203"/>
        <v>0</v>
      </c>
      <c r="JZ167" s="369">
        <f t="shared" si="2204"/>
        <v>0.4604471269</v>
      </c>
      <c r="KA167" s="370">
        <f t="shared" si="2205"/>
        <v>0</v>
      </c>
      <c r="KB167" s="371">
        <f t="shared" si="2206"/>
        <v>0</v>
      </c>
      <c r="KC167" s="364"/>
      <c r="KD167" s="366">
        <f t="shared" si="2248"/>
        <v>11</v>
      </c>
      <c r="KE167" s="367" t="str">
        <f t="shared" ref="KE167:KG167" si="2394">IFERROR(VLOOKUP($R167,$A$13:$D$30,-KE$12,FALSE),"")</f>
        <v>Lainnya 2.3 (3) …….</v>
      </c>
      <c r="KF167" s="368" t="str">
        <f t="shared" si="2394"/>
        <v/>
      </c>
      <c r="KG167" s="368" t="str">
        <f t="shared" si="2394"/>
        <v/>
      </c>
      <c r="KH167" s="361" t="str">
        <f>ADHK!LP167</f>
        <v/>
      </c>
      <c r="KI167" s="361"/>
      <c r="KJ167" s="361">
        <f t="shared" si="2208"/>
        <v>0</v>
      </c>
      <c r="KK167" s="369"/>
      <c r="KL167" s="361">
        <f t="shared" si="2209"/>
        <v>0</v>
      </c>
      <c r="KM167" s="96"/>
      <c r="KN167" s="96"/>
      <c r="KO167" s="97"/>
      <c r="KP167" s="361">
        <f t="shared" si="2210"/>
        <v>0</v>
      </c>
      <c r="KQ167" s="369">
        <f t="shared" si="2211"/>
        <v>0.4604471269</v>
      </c>
      <c r="KR167" s="370">
        <f t="shared" si="2212"/>
        <v>0</v>
      </c>
      <c r="KS167" s="371">
        <f t="shared" si="2213"/>
        <v>0</v>
      </c>
      <c r="KT167" s="364"/>
      <c r="KU167" s="365"/>
    </row>
    <row r="168" ht="15.75" customHeight="1">
      <c r="A168" s="366">
        <f t="shared" si="2214"/>
        <v>12</v>
      </c>
      <c r="B168" s="367" t="str">
        <f t="shared" ref="B168:D168" si="2395">IFERROR(VLOOKUP($A168,$A$13:$D$30,-B$12,FALSE),"")</f>
        <v>Lainnya 2.3 (4) …….</v>
      </c>
      <c r="C168" s="368" t="str">
        <f t="shared" si="2395"/>
        <v/>
      </c>
      <c r="D168" s="368" t="str">
        <f t="shared" si="2395"/>
        <v/>
      </c>
      <c r="E168" s="361" t="str">
        <f>ADHK!E168</f>
        <v/>
      </c>
      <c r="F168" s="361" t="str">
        <f>ADHK!F168</f>
        <v/>
      </c>
      <c r="G168" s="361">
        <f t="shared" si="2089"/>
        <v>0</v>
      </c>
      <c r="H168" s="369"/>
      <c r="I168" s="361">
        <f t="shared" si="2090"/>
        <v>0</v>
      </c>
      <c r="J168" s="96"/>
      <c r="K168" s="96"/>
      <c r="L168" s="97"/>
      <c r="M168" s="361">
        <f t="shared" si="2091"/>
        <v>0</v>
      </c>
      <c r="N168" s="369">
        <f t="shared" si="2092"/>
        <v>0.4604471269</v>
      </c>
      <c r="O168" s="370">
        <f t="shared" si="2093"/>
        <v>0</v>
      </c>
      <c r="P168" s="371">
        <f t="shared" si="2094"/>
        <v>0</v>
      </c>
      <c r="Q168" s="364"/>
      <c r="R168" s="366">
        <f t="shared" si="2216"/>
        <v>12</v>
      </c>
      <c r="S168" s="367" t="str">
        <f t="shared" ref="S168:U168" si="2396">IFERROR(VLOOKUP($R168,$A$13:$D$30,-S$12,FALSE),"")</f>
        <v>Lainnya 2.3 (4) …….</v>
      </c>
      <c r="T168" s="368" t="str">
        <f t="shared" si="2396"/>
        <v/>
      </c>
      <c r="U168" s="368" t="str">
        <f t="shared" si="2396"/>
        <v/>
      </c>
      <c r="V168" s="361" t="str">
        <f>ADHK!V168</f>
        <v/>
      </c>
      <c r="W168" s="361"/>
      <c r="X168" s="361">
        <f t="shared" si="2096"/>
        <v>0</v>
      </c>
      <c r="Y168" s="369"/>
      <c r="Z168" s="361">
        <f t="shared" si="2097"/>
        <v>0</v>
      </c>
      <c r="AA168" s="96"/>
      <c r="AB168" s="96"/>
      <c r="AC168" s="97"/>
      <c r="AD168" s="361">
        <f t="shared" si="2098"/>
        <v>0</v>
      </c>
      <c r="AE168" s="369">
        <f t="shared" si="2099"/>
        <v>0.4604471269</v>
      </c>
      <c r="AF168" s="370">
        <f t="shared" si="2100"/>
        <v>0</v>
      </c>
      <c r="AG168" s="371">
        <f t="shared" si="2101"/>
        <v>0</v>
      </c>
      <c r="AH168" s="364"/>
      <c r="AI168" s="366">
        <f t="shared" si="2218"/>
        <v>12</v>
      </c>
      <c r="AJ168" s="367" t="str">
        <f t="shared" ref="AJ168:AL168" si="2397">IFERROR(VLOOKUP($R168,$A$13:$D$30,-AJ$12,FALSE),"")</f>
        <v>Lainnya 2.3 (4) …….</v>
      </c>
      <c r="AK168" s="368" t="str">
        <f t="shared" si="2397"/>
        <v/>
      </c>
      <c r="AL168" s="368" t="str">
        <f t="shared" si="2397"/>
        <v/>
      </c>
      <c r="AM168" s="361" t="str">
        <f>ADHK!AM168</f>
        <v/>
      </c>
      <c r="AN168" s="361"/>
      <c r="AO168" s="361">
        <f t="shared" si="2103"/>
        <v>0</v>
      </c>
      <c r="AP168" s="369"/>
      <c r="AQ168" s="361">
        <f t="shared" si="2104"/>
        <v>0</v>
      </c>
      <c r="AR168" s="96"/>
      <c r="AS168" s="96"/>
      <c r="AT168" s="97"/>
      <c r="AU168" s="361">
        <f t="shared" si="2105"/>
        <v>0</v>
      </c>
      <c r="AV168" s="369">
        <f t="shared" si="2106"/>
        <v>0.4604471269</v>
      </c>
      <c r="AW168" s="370">
        <f t="shared" si="2107"/>
        <v>0</v>
      </c>
      <c r="AX168" s="371">
        <f t="shared" si="2108"/>
        <v>0</v>
      </c>
      <c r="AY168" s="364"/>
      <c r="AZ168" s="366">
        <f t="shared" si="2220"/>
        <v>12</v>
      </c>
      <c r="BA168" s="367" t="str">
        <f t="shared" ref="BA168:BC168" si="2398">IFERROR(VLOOKUP($R168,$A$13:$D$30,-BA$12,FALSE),"")</f>
        <v>Lainnya 2.3 (4) …….</v>
      </c>
      <c r="BB168" s="368" t="str">
        <f t="shared" si="2398"/>
        <v/>
      </c>
      <c r="BC168" s="368" t="str">
        <f t="shared" si="2398"/>
        <v/>
      </c>
      <c r="BD168" s="361" t="str">
        <f>ADHK!BD168</f>
        <v/>
      </c>
      <c r="BE168" s="361"/>
      <c r="BF168" s="361">
        <f t="shared" si="2110"/>
        <v>0</v>
      </c>
      <c r="BG168" s="369"/>
      <c r="BH168" s="361">
        <f t="shared" si="2111"/>
        <v>0</v>
      </c>
      <c r="BI168" s="96"/>
      <c r="BJ168" s="96"/>
      <c r="BK168" s="97"/>
      <c r="BL168" s="361">
        <f t="shared" si="2112"/>
        <v>0</v>
      </c>
      <c r="BM168" s="369">
        <f t="shared" si="2113"/>
        <v>0.4604471269</v>
      </c>
      <c r="BN168" s="370">
        <f t="shared" si="2114"/>
        <v>0</v>
      </c>
      <c r="BO168" s="371">
        <f t="shared" si="2115"/>
        <v>0</v>
      </c>
      <c r="BP168" s="364"/>
      <c r="BQ168" s="366">
        <f t="shared" si="2222"/>
        <v>12</v>
      </c>
      <c r="BR168" s="367" t="str">
        <f t="shared" ref="BR168:BT168" si="2399">IFERROR(VLOOKUP($R168,$A$13:$D$30,-BR$12,FALSE),"")</f>
        <v>Lainnya 2.3 (4) …….</v>
      </c>
      <c r="BS168" s="368" t="str">
        <f t="shared" si="2399"/>
        <v/>
      </c>
      <c r="BT168" s="368" t="str">
        <f t="shared" si="2399"/>
        <v/>
      </c>
      <c r="BU168" s="361" t="str">
        <f>ADHK!BU168</f>
        <v/>
      </c>
      <c r="BV168" s="361"/>
      <c r="BW168" s="361">
        <f t="shared" si="2117"/>
        <v>0</v>
      </c>
      <c r="BX168" s="369"/>
      <c r="BY168" s="361">
        <f t="shared" si="2118"/>
        <v>0</v>
      </c>
      <c r="BZ168" s="96"/>
      <c r="CA168" s="96"/>
      <c r="CB168" s="97"/>
      <c r="CC168" s="361">
        <f t="shared" si="2119"/>
        <v>0</v>
      </c>
      <c r="CD168" s="369">
        <f t="shared" si="2120"/>
        <v>0.4604471269</v>
      </c>
      <c r="CE168" s="370">
        <f t="shared" si="2121"/>
        <v>0</v>
      </c>
      <c r="CF168" s="371">
        <f t="shared" si="2122"/>
        <v>0</v>
      </c>
      <c r="CG168" s="364"/>
      <c r="CH168" s="366">
        <f t="shared" si="2224"/>
        <v>12</v>
      </c>
      <c r="CI168" s="367" t="str">
        <f t="shared" ref="CI168:CK168" si="2400">IFERROR(VLOOKUP($R168,$A$13:$D$30,-CI$12,FALSE),"")</f>
        <v>Lainnya 2.3 (4) …….</v>
      </c>
      <c r="CJ168" s="368" t="str">
        <f t="shared" si="2400"/>
        <v/>
      </c>
      <c r="CK168" s="368" t="str">
        <f t="shared" si="2400"/>
        <v/>
      </c>
      <c r="CL168" s="361" t="str">
        <f>ADHK!CL168</f>
        <v/>
      </c>
      <c r="CM168" s="361"/>
      <c r="CN168" s="361">
        <f t="shared" si="2124"/>
        <v>0</v>
      </c>
      <c r="CO168" s="369"/>
      <c r="CP168" s="361">
        <f t="shared" si="2125"/>
        <v>0</v>
      </c>
      <c r="CQ168" s="96"/>
      <c r="CR168" s="96"/>
      <c r="CS168" s="97"/>
      <c r="CT168" s="361">
        <f t="shared" si="2126"/>
        <v>0</v>
      </c>
      <c r="CU168" s="369">
        <f t="shared" si="2127"/>
        <v>0.4604471269</v>
      </c>
      <c r="CV168" s="370">
        <f t="shared" si="2128"/>
        <v>0</v>
      </c>
      <c r="CW168" s="371">
        <f t="shared" si="2129"/>
        <v>0</v>
      </c>
      <c r="CX168" s="364"/>
      <c r="CY168" s="366">
        <f t="shared" si="2226"/>
        <v>12</v>
      </c>
      <c r="CZ168" s="367" t="str">
        <f t="shared" ref="CZ168:DB168" si="2401">IFERROR(VLOOKUP($R168,$A$13:$D$30,-CZ$12,FALSE),"")</f>
        <v>Lainnya 2.3 (4) …….</v>
      </c>
      <c r="DA168" s="368" t="str">
        <f t="shared" si="2401"/>
        <v/>
      </c>
      <c r="DB168" s="368" t="str">
        <f t="shared" si="2401"/>
        <v/>
      </c>
      <c r="DC168" s="361" t="str">
        <f>ADHK!DC168</f>
        <v/>
      </c>
      <c r="DD168" s="361"/>
      <c r="DE168" s="361">
        <f t="shared" si="2131"/>
        <v>0</v>
      </c>
      <c r="DF168" s="369"/>
      <c r="DG168" s="361">
        <f t="shared" si="2132"/>
        <v>0</v>
      </c>
      <c r="DH168" s="96"/>
      <c r="DI168" s="96"/>
      <c r="DJ168" s="97"/>
      <c r="DK168" s="361">
        <f t="shared" si="2133"/>
        <v>0</v>
      </c>
      <c r="DL168" s="369">
        <f t="shared" si="2134"/>
        <v>0.4604471269</v>
      </c>
      <c r="DM168" s="370">
        <f t="shared" si="2135"/>
        <v>0</v>
      </c>
      <c r="DN168" s="371">
        <f t="shared" si="2136"/>
        <v>0</v>
      </c>
      <c r="DO168" s="364"/>
      <c r="DP168" s="366">
        <f t="shared" si="2228"/>
        <v>12</v>
      </c>
      <c r="DQ168" s="367" t="str">
        <f t="shared" ref="DQ168:DS168" si="2402">IFERROR(VLOOKUP($R168,$A$13:$D$30,-DQ$12,FALSE),"")</f>
        <v>Lainnya 2.3 (4) …….</v>
      </c>
      <c r="DR168" s="368" t="str">
        <f t="shared" si="2402"/>
        <v/>
      </c>
      <c r="DS168" s="368" t="str">
        <f t="shared" si="2402"/>
        <v/>
      </c>
      <c r="DT168" s="361" t="str">
        <f>ADHK!DT168</f>
        <v/>
      </c>
      <c r="DU168" s="361"/>
      <c r="DV168" s="361">
        <f t="shared" si="2138"/>
        <v>0</v>
      </c>
      <c r="DW168" s="369"/>
      <c r="DX168" s="361">
        <f t="shared" si="2139"/>
        <v>0</v>
      </c>
      <c r="DY168" s="96"/>
      <c r="DZ168" s="96"/>
      <c r="EA168" s="97"/>
      <c r="EB168" s="361">
        <f t="shared" si="2140"/>
        <v>0</v>
      </c>
      <c r="EC168" s="369">
        <f t="shared" si="2141"/>
        <v>0.4604471269</v>
      </c>
      <c r="ED168" s="370">
        <f t="shared" si="2142"/>
        <v>0</v>
      </c>
      <c r="EE168" s="371">
        <f t="shared" si="2143"/>
        <v>0</v>
      </c>
      <c r="EF168" s="364"/>
      <c r="EG168" s="366">
        <f t="shared" si="2230"/>
        <v>12</v>
      </c>
      <c r="EH168" s="367" t="str">
        <f t="shared" ref="EH168:EJ168" si="2403">IFERROR(VLOOKUP($R168,$A$13:$D$30,-EH$12,FALSE),"")</f>
        <v>Lainnya 2.3 (4) …….</v>
      </c>
      <c r="EI168" s="368" t="str">
        <f t="shared" si="2403"/>
        <v/>
      </c>
      <c r="EJ168" s="368" t="str">
        <f t="shared" si="2403"/>
        <v/>
      </c>
      <c r="EK168" s="361" t="str">
        <f>ADHK!EK168</f>
        <v/>
      </c>
      <c r="EL168" s="361"/>
      <c r="EM168" s="361">
        <f t="shared" si="2145"/>
        <v>0</v>
      </c>
      <c r="EN168" s="369"/>
      <c r="EO168" s="361">
        <f t="shared" si="2146"/>
        <v>0</v>
      </c>
      <c r="EP168" s="96"/>
      <c r="EQ168" s="96"/>
      <c r="ER168" s="97"/>
      <c r="ES168" s="361">
        <f t="shared" si="2147"/>
        <v>0</v>
      </c>
      <c r="ET168" s="369">
        <f t="shared" si="2148"/>
        <v>0.4604471269</v>
      </c>
      <c r="EU168" s="370">
        <f t="shared" si="2149"/>
        <v>0</v>
      </c>
      <c r="EV168" s="371">
        <f t="shared" si="2150"/>
        <v>0</v>
      </c>
      <c r="EW168" s="364"/>
      <c r="EX168" s="366">
        <f t="shared" si="2232"/>
        <v>12</v>
      </c>
      <c r="EY168" s="367" t="str">
        <f t="shared" ref="EY168:FA168" si="2404">IFERROR(VLOOKUP($R168,$A$13:$D$30,-EY$12,FALSE),"")</f>
        <v>Lainnya 2.3 (4) …….</v>
      </c>
      <c r="EZ168" s="368" t="str">
        <f t="shared" si="2404"/>
        <v/>
      </c>
      <c r="FA168" s="368" t="str">
        <f t="shared" si="2404"/>
        <v/>
      </c>
      <c r="FB168" s="361" t="str">
        <f>ADHK!FB168</f>
        <v/>
      </c>
      <c r="FC168" s="361"/>
      <c r="FD168" s="361">
        <f t="shared" si="2152"/>
        <v>0</v>
      </c>
      <c r="FE168" s="369"/>
      <c r="FF168" s="361">
        <f t="shared" si="2153"/>
        <v>0</v>
      </c>
      <c r="FG168" s="96"/>
      <c r="FH168" s="96"/>
      <c r="FI168" s="97"/>
      <c r="FJ168" s="361">
        <f t="shared" si="2154"/>
        <v>0</v>
      </c>
      <c r="FK168" s="369">
        <f t="shared" si="2155"/>
        <v>0.4604471269</v>
      </c>
      <c r="FL168" s="370">
        <f t="shared" si="2156"/>
        <v>0</v>
      </c>
      <c r="FM168" s="371">
        <f t="shared" si="2157"/>
        <v>0</v>
      </c>
      <c r="FN168" s="364"/>
      <c r="FO168" s="366">
        <f t="shared" si="2234"/>
        <v>12</v>
      </c>
      <c r="FP168" s="367" t="str">
        <f t="shared" ref="FP168:FR168" si="2405">IFERROR(VLOOKUP($R168,$A$13:$D$30,-FP$12,FALSE),"")</f>
        <v>Lainnya 2.3 (4) …….</v>
      </c>
      <c r="FQ168" s="368" t="str">
        <f t="shared" si="2405"/>
        <v/>
      </c>
      <c r="FR168" s="368" t="str">
        <f t="shared" si="2405"/>
        <v/>
      </c>
      <c r="FS168" s="361" t="str">
        <f>ADHK!FS168</f>
        <v/>
      </c>
      <c r="FT168" s="361"/>
      <c r="FU168" s="361">
        <f t="shared" si="2159"/>
        <v>0</v>
      </c>
      <c r="FV168" s="369"/>
      <c r="FW168" s="361">
        <f t="shared" si="2160"/>
        <v>0</v>
      </c>
      <c r="FX168" s="96"/>
      <c r="FY168" s="96"/>
      <c r="FZ168" s="97"/>
      <c r="GA168" s="361">
        <f t="shared" si="2161"/>
        <v>0</v>
      </c>
      <c r="GB168" s="369">
        <f t="shared" si="2162"/>
        <v>0.4604471269</v>
      </c>
      <c r="GC168" s="370">
        <f t="shared" si="2163"/>
        <v>0</v>
      </c>
      <c r="GD168" s="371">
        <f t="shared" si="2164"/>
        <v>0</v>
      </c>
      <c r="GE168" s="364"/>
      <c r="GF168" s="366">
        <f t="shared" si="2236"/>
        <v>12</v>
      </c>
      <c r="GG168" s="367" t="str">
        <f t="shared" ref="GG168:GI168" si="2406">IFERROR(VLOOKUP($R168,$A$13:$D$30,-GG$12,FALSE),"")</f>
        <v>Lainnya 2.3 (4) …….</v>
      </c>
      <c r="GH168" s="368" t="str">
        <f t="shared" si="2406"/>
        <v/>
      </c>
      <c r="GI168" s="368" t="str">
        <f t="shared" si="2406"/>
        <v/>
      </c>
      <c r="GJ168" s="361" t="str">
        <f>ADHK!GJ168</f>
        <v/>
      </c>
      <c r="GK168" s="361"/>
      <c r="GL168" s="361">
        <f t="shared" si="2166"/>
        <v>0</v>
      </c>
      <c r="GM168" s="369"/>
      <c r="GN168" s="361">
        <f t="shared" si="2167"/>
        <v>0</v>
      </c>
      <c r="GO168" s="96"/>
      <c r="GP168" s="96"/>
      <c r="GQ168" s="97"/>
      <c r="GR168" s="361">
        <f t="shared" si="2168"/>
        <v>0</v>
      </c>
      <c r="GS168" s="369">
        <f t="shared" si="2169"/>
        <v>0.4604471269</v>
      </c>
      <c r="GT168" s="370">
        <f t="shared" si="2170"/>
        <v>0</v>
      </c>
      <c r="GU168" s="371">
        <f t="shared" si="2171"/>
        <v>0</v>
      </c>
      <c r="GV168" s="364"/>
      <c r="GW168" s="366">
        <f t="shared" si="2238"/>
        <v>12</v>
      </c>
      <c r="GX168" s="367" t="str">
        <f t="shared" ref="GX168:GZ168" si="2407">IFERROR(VLOOKUP($R168,$A$13:$D$30,-GX$12,FALSE),"")</f>
        <v>Lainnya 2.3 (4) …….</v>
      </c>
      <c r="GY168" s="368" t="str">
        <f t="shared" si="2407"/>
        <v/>
      </c>
      <c r="GZ168" s="368" t="str">
        <f t="shared" si="2407"/>
        <v/>
      </c>
      <c r="HA168" s="361"/>
      <c r="HB168" s="361"/>
      <c r="HC168" s="361">
        <f t="shared" si="2173"/>
        <v>0</v>
      </c>
      <c r="HD168" s="369"/>
      <c r="HE168" s="361">
        <f t="shared" si="2174"/>
        <v>0</v>
      </c>
      <c r="HF168" s="96"/>
      <c r="HG168" s="96"/>
      <c r="HH168" s="97"/>
      <c r="HI168" s="361">
        <f t="shared" si="2175"/>
        <v>0</v>
      </c>
      <c r="HJ168" s="369">
        <f t="shared" si="2176"/>
        <v>0.4604471269</v>
      </c>
      <c r="HK168" s="370">
        <f t="shared" si="2177"/>
        <v>0</v>
      </c>
      <c r="HL168" s="371">
        <f t="shared" si="2178"/>
        <v>0</v>
      </c>
      <c r="HM168" s="364"/>
      <c r="HN168" s="366">
        <f t="shared" si="2240"/>
        <v>12</v>
      </c>
      <c r="HO168" s="367" t="str">
        <f t="shared" ref="HO168:HQ168" si="2408">IFERROR(VLOOKUP($R168,$A$13:$D$30,-HO$12,FALSE),"")</f>
        <v>Lainnya 2.3 (4) …….</v>
      </c>
      <c r="HP168" s="368" t="str">
        <f t="shared" si="2408"/>
        <v/>
      </c>
      <c r="HQ168" s="368" t="str">
        <f t="shared" si="2408"/>
        <v/>
      </c>
      <c r="HR168" s="361" t="str">
        <f>ADHK!HR168</f>
        <v/>
      </c>
      <c r="HS168" s="361"/>
      <c r="HT168" s="361">
        <f t="shared" si="2180"/>
        <v>0</v>
      </c>
      <c r="HU168" s="369"/>
      <c r="HV168" s="361">
        <f t="shared" si="2181"/>
        <v>0</v>
      </c>
      <c r="HW168" s="96"/>
      <c r="HX168" s="96"/>
      <c r="HY168" s="97"/>
      <c r="HZ168" s="361">
        <f t="shared" si="2182"/>
        <v>0</v>
      </c>
      <c r="IA168" s="369">
        <f t="shared" si="2183"/>
        <v>0.4604471269</v>
      </c>
      <c r="IB168" s="370">
        <f t="shared" si="2184"/>
        <v>0</v>
      </c>
      <c r="IC168" s="371">
        <f t="shared" si="2185"/>
        <v>0</v>
      </c>
      <c r="ID168" s="364"/>
      <c r="IE168" s="366">
        <f t="shared" si="2242"/>
        <v>12</v>
      </c>
      <c r="IF168" s="367" t="str">
        <f t="shared" ref="IF168:IH168" si="2409">IFERROR(VLOOKUP($R168,$A$13:$D$30,-IF$12,FALSE),"")</f>
        <v>Lainnya 2.3 (4) …….</v>
      </c>
      <c r="IG168" s="368" t="str">
        <f t="shared" si="2409"/>
        <v/>
      </c>
      <c r="IH168" s="368" t="str">
        <f t="shared" si="2409"/>
        <v/>
      </c>
      <c r="II168" s="361" t="str">
        <f>ADHK!II168</f>
        <v/>
      </c>
      <c r="IJ168" s="361"/>
      <c r="IK168" s="361">
        <f t="shared" si="2187"/>
        <v>0</v>
      </c>
      <c r="IL168" s="369"/>
      <c r="IM168" s="361">
        <f t="shared" si="2188"/>
        <v>0</v>
      </c>
      <c r="IN168" s="96"/>
      <c r="IO168" s="96"/>
      <c r="IP168" s="97"/>
      <c r="IQ168" s="361">
        <f t="shared" si="2189"/>
        <v>0</v>
      </c>
      <c r="IR168" s="369">
        <f t="shared" si="2190"/>
        <v>0.4604471269</v>
      </c>
      <c r="IS168" s="370">
        <f t="shared" si="2191"/>
        <v>0</v>
      </c>
      <c r="IT168" s="371">
        <f t="shared" si="2192"/>
        <v>0</v>
      </c>
      <c r="IU168" s="364"/>
      <c r="IV168" s="366">
        <f t="shared" si="2244"/>
        <v>12</v>
      </c>
      <c r="IW168" s="367" t="str">
        <f t="shared" ref="IW168:IY168" si="2410">IFERROR(VLOOKUP($R168,$A$13:$D$30,-IW$12,FALSE),"")</f>
        <v>Lainnya 2.3 (4) …….</v>
      </c>
      <c r="IX168" s="368" t="str">
        <f t="shared" si="2410"/>
        <v/>
      </c>
      <c r="IY168" s="368" t="str">
        <f t="shared" si="2410"/>
        <v/>
      </c>
      <c r="IZ168" s="361" t="str">
        <f>ADHK!IZ168</f>
        <v/>
      </c>
      <c r="JA168" s="361"/>
      <c r="JB168" s="361">
        <f t="shared" si="2194"/>
        <v>0</v>
      </c>
      <c r="JC168" s="369"/>
      <c r="JD168" s="361">
        <f t="shared" si="2195"/>
        <v>0</v>
      </c>
      <c r="JE168" s="96"/>
      <c r="JF168" s="96"/>
      <c r="JG168" s="97"/>
      <c r="JH168" s="361">
        <f t="shared" si="2196"/>
        <v>0</v>
      </c>
      <c r="JI168" s="369">
        <f t="shared" si="2197"/>
        <v>0.4604471269</v>
      </c>
      <c r="JJ168" s="370">
        <f t="shared" si="2198"/>
        <v>0</v>
      </c>
      <c r="JK168" s="371">
        <f t="shared" si="2199"/>
        <v>0</v>
      </c>
      <c r="JL168" s="364"/>
      <c r="JM168" s="366">
        <f t="shared" si="2246"/>
        <v>12</v>
      </c>
      <c r="JN168" s="367" t="str">
        <f t="shared" ref="JN168:JP168" si="2411">IFERROR(VLOOKUP($R168,$A$13:$D$30,-JN$12,FALSE),"")</f>
        <v>Lainnya 2.3 (4) …….</v>
      </c>
      <c r="JO168" s="368" t="str">
        <f t="shared" si="2411"/>
        <v/>
      </c>
      <c r="JP168" s="368" t="str">
        <f t="shared" si="2411"/>
        <v/>
      </c>
      <c r="JQ168" s="361" t="str">
        <f>ADHK!KY168</f>
        <v/>
      </c>
      <c r="JR168" s="361"/>
      <c r="JS168" s="361">
        <f t="shared" si="2201"/>
        <v>0</v>
      </c>
      <c r="JT168" s="369"/>
      <c r="JU168" s="361">
        <f t="shared" si="2202"/>
        <v>0</v>
      </c>
      <c r="JV168" s="96"/>
      <c r="JW168" s="96"/>
      <c r="JX168" s="97"/>
      <c r="JY168" s="361">
        <f t="shared" si="2203"/>
        <v>0</v>
      </c>
      <c r="JZ168" s="369">
        <f t="shared" si="2204"/>
        <v>0.4604471269</v>
      </c>
      <c r="KA168" s="370">
        <f t="shared" si="2205"/>
        <v>0</v>
      </c>
      <c r="KB168" s="371">
        <f t="shared" si="2206"/>
        <v>0</v>
      </c>
      <c r="KC168" s="364"/>
      <c r="KD168" s="366">
        <f t="shared" si="2248"/>
        <v>12</v>
      </c>
      <c r="KE168" s="367" t="str">
        <f t="shared" ref="KE168:KG168" si="2412">IFERROR(VLOOKUP($R168,$A$13:$D$30,-KE$12,FALSE),"")</f>
        <v>Lainnya 2.3 (4) …….</v>
      </c>
      <c r="KF168" s="368" t="str">
        <f t="shared" si="2412"/>
        <v/>
      </c>
      <c r="KG168" s="368" t="str">
        <f t="shared" si="2412"/>
        <v/>
      </c>
      <c r="KH168" s="361" t="str">
        <f>ADHK!LP168</f>
        <v/>
      </c>
      <c r="KI168" s="361"/>
      <c r="KJ168" s="361">
        <f t="shared" si="2208"/>
        <v>0</v>
      </c>
      <c r="KK168" s="369"/>
      <c r="KL168" s="361">
        <f t="shared" si="2209"/>
        <v>0</v>
      </c>
      <c r="KM168" s="96"/>
      <c r="KN168" s="96"/>
      <c r="KO168" s="97"/>
      <c r="KP168" s="361">
        <f t="shared" si="2210"/>
        <v>0</v>
      </c>
      <c r="KQ168" s="369">
        <f t="shared" si="2211"/>
        <v>0.4604471269</v>
      </c>
      <c r="KR168" s="370">
        <f t="shared" si="2212"/>
        <v>0</v>
      </c>
      <c r="KS168" s="371">
        <f t="shared" si="2213"/>
        <v>0</v>
      </c>
      <c r="KT168" s="364"/>
      <c r="KU168" s="365"/>
    </row>
    <row r="169" ht="15.75" customHeight="1">
      <c r="A169" s="366">
        <f t="shared" si="2214"/>
        <v>13</v>
      </c>
      <c r="B169" s="367" t="str">
        <f t="shared" ref="B169:D169" si="2413">IFERROR(VLOOKUP($A169,$A$13:$D$30,-B$12,FALSE),"")</f>
        <v>Lainnya 2.3 (5) …….</v>
      </c>
      <c r="C169" s="368" t="str">
        <f t="shared" si="2413"/>
        <v/>
      </c>
      <c r="D169" s="368" t="str">
        <f t="shared" si="2413"/>
        <v/>
      </c>
      <c r="E169" s="361" t="str">
        <f>ADHK!E169</f>
        <v/>
      </c>
      <c r="F169" s="361" t="str">
        <f>ADHK!F169</f>
        <v/>
      </c>
      <c r="G169" s="361">
        <f t="shared" si="2089"/>
        <v>0</v>
      </c>
      <c r="H169" s="369"/>
      <c r="I169" s="361">
        <f t="shared" si="2090"/>
        <v>0</v>
      </c>
      <c r="J169" s="96"/>
      <c r="K169" s="96"/>
      <c r="L169" s="97"/>
      <c r="M169" s="361">
        <f t="shared" si="2091"/>
        <v>0</v>
      </c>
      <c r="N169" s="369">
        <f t="shared" si="2092"/>
        <v>0.4604471269</v>
      </c>
      <c r="O169" s="370">
        <f t="shared" si="2093"/>
        <v>0</v>
      </c>
      <c r="P169" s="371">
        <f t="shared" si="2094"/>
        <v>0</v>
      </c>
      <c r="Q169" s="364"/>
      <c r="R169" s="366">
        <f t="shared" si="2216"/>
        <v>13</v>
      </c>
      <c r="S169" s="367" t="str">
        <f t="shared" ref="S169:U169" si="2414">IFERROR(VLOOKUP($R169,$A$13:$D$30,-S$12,FALSE),"")</f>
        <v>Lainnya 2.3 (5) …….</v>
      </c>
      <c r="T169" s="368" t="str">
        <f t="shared" si="2414"/>
        <v/>
      </c>
      <c r="U169" s="368" t="str">
        <f t="shared" si="2414"/>
        <v/>
      </c>
      <c r="V169" s="361" t="str">
        <f>ADHK!V169</f>
        <v/>
      </c>
      <c r="W169" s="361"/>
      <c r="X169" s="361">
        <f t="shared" si="2096"/>
        <v>0</v>
      </c>
      <c r="Y169" s="369"/>
      <c r="Z169" s="361">
        <f t="shared" si="2097"/>
        <v>0</v>
      </c>
      <c r="AA169" s="96"/>
      <c r="AB169" s="96"/>
      <c r="AC169" s="97"/>
      <c r="AD169" s="361">
        <f t="shared" si="2098"/>
        <v>0</v>
      </c>
      <c r="AE169" s="369">
        <f t="shared" si="2099"/>
        <v>0.4604471269</v>
      </c>
      <c r="AF169" s="370">
        <f t="shared" si="2100"/>
        <v>0</v>
      </c>
      <c r="AG169" s="371">
        <f t="shared" si="2101"/>
        <v>0</v>
      </c>
      <c r="AH169" s="364"/>
      <c r="AI169" s="366">
        <f t="shared" si="2218"/>
        <v>13</v>
      </c>
      <c r="AJ169" s="367" t="str">
        <f t="shared" ref="AJ169:AL169" si="2415">IFERROR(VLOOKUP($R169,$A$13:$D$30,-AJ$12,FALSE),"")</f>
        <v>Lainnya 2.3 (5) …….</v>
      </c>
      <c r="AK169" s="368" t="str">
        <f t="shared" si="2415"/>
        <v/>
      </c>
      <c r="AL169" s="368" t="str">
        <f t="shared" si="2415"/>
        <v/>
      </c>
      <c r="AM169" s="361" t="str">
        <f>ADHK!AM169</f>
        <v/>
      </c>
      <c r="AN169" s="361"/>
      <c r="AO169" s="361">
        <f t="shared" si="2103"/>
        <v>0</v>
      </c>
      <c r="AP169" s="369"/>
      <c r="AQ169" s="361">
        <f t="shared" si="2104"/>
        <v>0</v>
      </c>
      <c r="AR169" s="96"/>
      <c r="AS169" s="96"/>
      <c r="AT169" s="97"/>
      <c r="AU169" s="361">
        <f t="shared" si="2105"/>
        <v>0</v>
      </c>
      <c r="AV169" s="369">
        <f t="shared" si="2106"/>
        <v>0.4604471269</v>
      </c>
      <c r="AW169" s="370">
        <f t="shared" si="2107"/>
        <v>0</v>
      </c>
      <c r="AX169" s="371">
        <f t="shared" si="2108"/>
        <v>0</v>
      </c>
      <c r="AY169" s="364"/>
      <c r="AZ169" s="366">
        <f t="shared" si="2220"/>
        <v>13</v>
      </c>
      <c r="BA169" s="367" t="str">
        <f t="shared" ref="BA169:BC169" si="2416">IFERROR(VLOOKUP($R169,$A$13:$D$30,-BA$12,FALSE),"")</f>
        <v>Lainnya 2.3 (5) …….</v>
      </c>
      <c r="BB169" s="368" t="str">
        <f t="shared" si="2416"/>
        <v/>
      </c>
      <c r="BC169" s="368" t="str">
        <f t="shared" si="2416"/>
        <v/>
      </c>
      <c r="BD169" s="361" t="str">
        <f>ADHK!BD169</f>
        <v/>
      </c>
      <c r="BE169" s="361"/>
      <c r="BF169" s="361">
        <f t="shared" si="2110"/>
        <v>0</v>
      </c>
      <c r="BG169" s="369"/>
      <c r="BH169" s="361">
        <f t="shared" si="2111"/>
        <v>0</v>
      </c>
      <c r="BI169" s="96"/>
      <c r="BJ169" s="96"/>
      <c r="BK169" s="97"/>
      <c r="BL169" s="361">
        <f t="shared" si="2112"/>
        <v>0</v>
      </c>
      <c r="BM169" s="369">
        <f t="shared" si="2113"/>
        <v>0.4604471269</v>
      </c>
      <c r="BN169" s="370">
        <f t="shared" si="2114"/>
        <v>0</v>
      </c>
      <c r="BO169" s="371">
        <f t="shared" si="2115"/>
        <v>0</v>
      </c>
      <c r="BP169" s="364"/>
      <c r="BQ169" s="366">
        <f t="shared" si="2222"/>
        <v>13</v>
      </c>
      <c r="BR169" s="367" t="str">
        <f t="shared" ref="BR169:BT169" si="2417">IFERROR(VLOOKUP($R169,$A$13:$D$30,-BR$12,FALSE),"")</f>
        <v>Lainnya 2.3 (5) …….</v>
      </c>
      <c r="BS169" s="368" t="str">
        <f t="shared" si="2417"/>
        <v/>
      </c>
      <c r="BT169" s="368" t="str">
        <f t="shared" si="2417"/>
        <v/>
      </c>
      <c r="BU169" s="361" t="str">
        <f>ADHK!BU169</f>
        <v/>
      </c>
      <c r="BV169" s="361"/>
      <c r="BW169" s="361">
        <f t="shared" si="2117"/>
        <v>0</v>
      </c>
      <c r="BX169" s="369"/>
      <c r="BY169" s="361">
        <f t="shared" si="2118"/>
        <v>0</v>
      </c>
      <c r="BZ169" s="96"/>
      <c r="CA169" s="96"/>
      <c r="CB169" s="97"/>
      <c r="CC169" s="361">
        <f t="shared" si="2119"/>
        <v>0</v>
      </c>
      <c r="CD169" s="369">
        <f t="shared" si="2120"/>
        <v>0.4604471269</v>
      </c>
      <c r="CE169" s="370">
        <f t="shared" si="2121"/>
        <v>0</v>
      </c>
      <c r="CF169" s="371">
        <f t="shared" si="2122"/>
        <v>0</v>
      </c>
      <c r="CG169" s="364"/>
      <c r="CH169" s="366">
        <f t="shared" si="2224"/>
        <v>13</v>
      </c>
      <c r="CI169" s="367" t="str">
        <f t="shared" ref="CI169:CK169" si="2418">IFERROR(VLOOKUP($R169,$A$13:$D$30,-CI$12,FALSE),"")</f>
        <v>Lainnya 2.3 (5) …….</v>
      </c>
      <c r="CJ169" s="368" t="str">
        <f t="shared" si="2418"/>
        <v/>
      </c>
      <c r="CK169" s="368" t="str">
        <f t="shared" si="2418"/>
        <v/>
      </c>
      <c r="CL169" s="361" t="str">
        <f>ADHK!CL169</f>
        <v/>
      </c>
      <c r="CM169" s="361"/>
      <c r="CN169" s="361">
        <f t="shared" si="2124"/>
        <v>0</v>
      </c>
      <c r="CO169" s="369"/>
      <c r="CP169" s="361">
        <f t="shared" si="2125"/>
        <v>0</v>
      </c>
      <c r="CQ169" s="96"/>
      <c r="CR169" s="96"/>
      <c r="CS169" s="97"/>
      <c r="CT169" s="361">
        <f t="shared" si="2126"/>
        <v>0</v>
      </c>
      <c r="CU169" s="369">
        <f t="shared" si="2127"/>
        <v>0.4604471269</v>
      </c>
      <c r="CV169" s="370">
        <f t="shared" si="2128"/>
        <v>0</v>
      </c>
      <c r="CW169" s="371">
        <f t="shared" si="2129"/>
        <v>0</v>
      </c>
      <c r="CX169" s="364"/>
      <c r="CY169" s="366">
        <f t="shared" si="2226"/>
        <v>13</v>
      </c>
      <c r="CZ169" s="367" t="str">
        <f t="shared" ref="CZ169:DB169" si="2419">IFERROR(VLOOKUP($R169,$A$13:$D$30,-CZ$12,FALSE),"")</f>
        <v>Lainnya 2.3 (5) …….</v>
      </c>
      <c r="DA169" s="368" t="str">
        <f t="shared" si="2419"/>
        <v/>
      </c>
      <c r="DB169" s="368" t="str">
        <f t="shared" si="2419"/>
        <v/>
      </c>
      <c r="DC169" s="361" t="str">
        <f>ADHK!DC169</f>
        <v/>
      </c>
      <c r="DD169" s="361"/>
      <c r="DE169" s="361">
        <f t="shared" si="2131"/>
        <v>0</v>
      </c>
      <c r="DF169" s="369"/>
      <c r="DG169" s="361">
        <f t="shared" si="2132"/>
        <v>0</v>
      </c>
      <c r="DH169" s="96"/>
      <c r="DI169" s="96"/>
      <c r="DJ169" s="97"/>
      <c r="DK169" s="361">
        <f t="shared" si="2133"/>
        <v>0</v>
      </c>
      <c r="DL169" s="369">
        <f t="shared" si="2134"/>
        <v>0.4604471269</v>
      </c>
      <c r="DM169" s="370">
        <f t="shared" si="2135"/>
        <v>0</v>
      </c>
      <c r="DN169" s="371">
        <f t="shared" si="2136"/>
        <v>0</v>
      </c>
      <c r="DO169" s="364"/>
      <c r="DP169" s="366">
        <f t="shared" si="2228"/>
        <v>13</v>
      </c>
      <c r="DQ169" s="367" t="str">
        <f t="shared" ref="DQ169:DS169" si="2420">IFERROR(VLOOKUP($R169,$A$13:$D$30,-DQ$12,FALSE),"")</f>
        <v>Lainnya 2.3 (5) …….</v>
      </c>
      <c r="DR169" s="368" t="str">
        <f t="shared" si="2420"/>
        <v/>
      </c>
      <c r="DS169" s="368" t="str">
        <f t="shared" si="2420"/>
        <v/>
      </c>
      <c r="DT169" s="361" t="str">
        <f>ADHK!DT169</f>
        <v/>
      </c>
      <c r="DU169" s="361"/>
      <c r="DV169" s="361">
        <f t="shared" si="2138"/>
        <v>0</v>
      </c>
      <c r="DW169" s="369"/>
      <c r="DX169" s="361">
        <f t="shared" si="2139"/>
        <v>0</v>
      </c>
      <c r="DY169" s="96"/>
      <c r="DZ169" s="96"/>
      <c r="EA169" s="97"/>
      <c r="EB169" s="361">
        <f t="shared" si="2140"/>
        <v>0</v>
      </c>
      <c r="EC169" s="369">
        <f t="shared" si="2141"/>
        <v>0.4604471269</v>
      </c>
      <c r="ED169" s="370">
        <f t="shared" si="2142"/>
        <v>0</v>
      </c>
      <c r="EE169" s="371">
        <f t="shared" si="2143"/>
        <v>0</v>
      </c>
      <c r="EF169" s="364"/>
      <c r="EG169" s="366">
        <f t="shared" si="2230"/>
        <v>13</v>
      </c>
      <c r="EH169" s="367" t="str">
        <f t="shared" ref="EH169:EJ169" si="2421">IFERROR(VLOOKUP($R169,$A$13:$D$30,-EH$12,FALSE),"")</f>
        <v>Lainnya 2.3 (5) …….</v>
      </c>
      <c r="EI169" s="368" t="str">
        <f t="shared" si="2421"/>
        <v/>
      </c>
      <c r="EJ169" s="368" t="str">
        <f t="shared" si="2421"/>
        <v/>
      </c>
      <c r="EK169" s="361" t="str">
        <f>ADHK!EK169</f>
        <v/>
      </c>
      <c r="EL169" s="361"/>
      <c r="EM169" s="361">
        <f t="shared" si="2145"/>
        <v>0</v>
      </c>
      <c r="EN169" s="369"/>
      <c r="EO169" s="361">
        <f t="shared" si="2146"/>
        <v>0</v>
      </c>
      <c r="EP169" s="96"/>
      <c r="EQ169" s="96"/>
      <c r="ER169" s="97"/>
      <c r="ES169" s="361">
        <f t="shared" si="2147"/>
        <v>0</v>
      </c>
      <c r="ET169" s="369">
        <f t="shared" si="2148"/>
        <v>0.4604471269</v>
      </c>
      <c r="EU169" s="370">
        <f t="shared" si="2149"/>
        <v>0</v>
      </c>
      <c r="EV169" s="371">
        <f t="shared" si="2150"/>
        <v>0</v>
      </c>
      <c r="EW169" s="364"/>
      <c r="EX169" s="366">
        <f t="shared" si="2232"/>
        <v>13</v>
      </c>
      <c r="EY169" s="367" t="str">
        <f t="shared" ref="EY169:FA169" si="2422">IFERROR(VLOOKUP($R169,$A$13:$D$30,-EY$12,FALSE),"")</f>
        <v>Lainnya 2.3 (5) …….</v>
      </c>
      <c r="EZ169" s="368" t="str">
        <f t="shared" si="2422"/>
        <v/>
      </c>
      <c r="FA169" s="368" t="str">
        <f t="shared" si="2422"/>
        <v/>
      </c>
      <c r="FB169" s="361" t="str">
        <f>ADHK!FB169</f>
        <v/>
      </c>
      <c r="FC169" s="361"/>
      <c r="FD169" s="361">
        <f t="shared" si="2152"/>
        <v>0</v>
      </c>
      <c r="FE169" s="369"/>
      <c r="FF169" s="361">
        <f t="shared" si="2153"/>
        <v>0</v>
      </c>
      <c r="FG169" s="96"/>
      <c r="FH169" s="96"/>
      <c r="FI169" s="97"/>
      <c r="FJ169" s="361">
        <f t="shared" si="2154"/>
        <v>0</v>
      </c>
      <c r="FK169" s="369">
        <f t="shared" si="2155"/>
        <v>0.4604471269</v>
      </c>
      <c r="FL169" s="370">
        <f t="shared" si="2156"/>
        <v>0</v>
      </c>
      <c r="FM169" s="371">
        <f t="shared" si="2157"/>
        <v>0</v>
      </c>
      <c r="FN169" s="364"/>
      <c r="FO169" s="366">
        <f t="shared" si="2234"/>
        <v>13</v>
      </c>
      <c r="FP169" s="367" t="str">
        <f t="shared" ref="FP169:FR169" si="2423">IFERROR(VLOOKUP($R169,$A$13:$D$30,-FP$12,FALSE),"")</f>
        <v>Lainnya 2.3 (5) …….</v>
      </c>
      <c r="FQ169" s="368" t="str">
        <f t="shared" si="2423"/>
        <v/>
      </c>
      <c r="FR169" s="368" t="str">
        <f t="shared" si="2423"/>
        <v/>
      </c>
      <c r="FS169" s="361" t="str">
        <f>ADHK!FS169</f>
        <v/>
      </c>
      <c r="FT169" s="361"/>
      <c r="FU169" s="361">
        <f t="shared" si="2159"/>
        <v>0</v>
      </c>
      <c r="FV169" s="369"/>
      <c r="FW169" s="361">
        <f t="shared" si="2160"/>
        <v>0</v>
      </c>
      <c r="FX169" s="96"/>
      <c r="FY169" s="96"/>
      <c r="FZ169" s="97"/>
      <c r="GA169" s="361">
        <f t="shared" si="2161"/>
        <v>0</v>
      </c>
      <c r="GB169" s="369">
        <f t="shared" si="2162"/>
        <v>0.4604471269</v>
      </c>
      <c r="GC169" s="370">
        <f t="shared" si="2163"/>
        <v>0</v>
      </c>
      <c r="GD169" s="371">
        <f t="shared" si="2164"/>
        <v>0</v>
      </c>
      <c r="GE169" s="364"/>
      <c r="GF169" s="366">
        <f t="shared" si="2236"/>
        <v>13</v>
      </c>
      <c r="GG169" s="367" t="str">
        <f t="shared" ref="GG169:GI169" si="2424">IFERROR(VLOOKUP($R169,$A$13:$D$30,-GG$12,FALSE),"")</f>
        <v>Lainnya 2.3 (5) …….</v>
      </c>
      <c r="GH169" s="368" t="str">
        <f t="shared" si="2424"/>
        <v/>
      </c>
      <c r="GI169" s="368" t="str">
        <f t="shared" si="2424"/>
        <v/>
      </c>
      <c r="GJ169" s="361" t="str">
        <f>ADHK!GJ169</f>
        <v/>
      </c>
      <c r="GK169" s="361"/>
      <c r="GL169" s="361">
        <f t="shared" si="2166"/>
        <v>0</v>
      </c>
      <c r="GM169" s="369"/>
      <c r="GN169" s="361">
        <f t="shared" si="2167"/>
        <v>0</v>
      </c>
      <c r="GO169" s="96"/>
      <c r="GP169" s="96"/>
      <c r="GQ169" s="97"/>
      <c r="GR169" s="361">
        <f t="shared" si="2168"/>
        <v>0</v>
      </c>
      <c r="GS169" s="369">
        <f t="shared" si="2169"/>
        <v>0.4604471269</v>
      </c>
      <c r="GT169" s="370">
        <f t="shared" si="2170"/>
        <v>0</v>
      </c>
      <c r="GU169" s="371">
        <f t="shared" si="2171"/>
        <v>0</v>
      </c>
      <c r="GV169" s="364"/>
      <c r="GW169" s="366">
        <f t="shared" si="2238"/>
        <v>13</v>
      </c>
      <c r="GX169" s="367" t="str">
        <f t="shared" ref="GX169:GZ169" si="2425">IFERROR(VLOOKUP($R169,$A$13:$D$30,-GX$12,FALSE),"")</f>
        <v>Lainnya 2.3 (5) …….</v>
      </c>
      <c r="GY169" s="368" t="str">
        <f t="shared" si="2425"/>
        <v/>
      </c>
      <c r="GZ169" s="368" t="str">
        <f t="shared" si="2425"/>
        <v/>
      </c>
      <c r="HA169" s="361"/>
      <c r="HB169" s="372"/>
      <c r="HC169" s="361">
        <f t="shared" si="2173"/>
        <v>0</v>
      </c>
      <c r="HD169" s="369"/>
      <c r="HE169" s="361">
        <f t="shared" si="2174"/>
        <v>0</v>
      </c>
      <c r="HF169" s="96"/>
      <c r="HG169" s="96"/>
      <c r="HH169" s="97"/>
      <c r="HI169" s="361">
        <f t="shared" si="2175"/>
        <v>0</v>
      </c>
      <c r="HJ169" s="369">
        <f t="shared" si="2176"/>
        <v>0.4604471269</v>
      </c>
      <c r="HK169" s="370">
        <f t="shared" si="2177"/>
        <v>0</v>
      </c>
      <c r="HL169" s="371">
        <f t="shared" si="2178"/>
        <v>0</v>
      </c>
      <c r="HM169" s="364"/>
      <c r="HN169" s="366">
        <f t="shared" si="2240"/>
        <v>13</v>
      </c>
      <c r="HO169" s="367" t="str">
        <f t="shared" ref="HO169:HQ169" si="2426">IFERROR(VLOOKUP($R169,$A$13:$D$30,-HO$12,FALSE),"")</f>
        <v>Lainnya 2.3 (5) …….</v>
      </c>
      <c r="HP169" s="368" t="str">
        <f t="shared" si="2426"/>
        <v/>
      </c>
      <c r="HQ169" s="368" t="str">
        <f t="shared" si="2426"/>
        <v/>
      </c>
      <c r="HR169" s="361" t="str">
        <f>ADHK!HR169</f>
        <v/>
      </c>
      <c r="HS169" s="361"/>
      <c r="HT169" s="361">
        <f t="shared" si="2180"/>
        <v>0</v>
      </c>
      <c r="HU169" s="369"/>
      <c r="HV169" s="361">
        <f t="shared" si="2181"/>
        <v>0</v>
      </c>
      <c r="HW169" s="96"/>
      <c r="HX169" s="96"/>
      <c r="HY169" s="97"/>
      <c r="HZ169" s="361">
        <f t="shared" si="2182"/>
        <v>0</v>
      </c>
      <c r="IA169" s="369">
        <f t="shared" si="2183"/>
        <v>0.4604471269</v>
      </c>
      <c r="IB169" s="370">
        <f t="shared" si="2184"/>
        <v>0</v>
      </c>
      <c r="IC169" s="371">
        <f t="shared" si="2185"/>
        <v>0</v>
      </c>
      <c r="ID169" s="364"/>
      <c r="IE169" s="366">
        <f t="shared" si="2242"/>
        <v>13</v>
      </c>
      <c r="IF169" s="367" t="str">
        <f t="shared" ref="IF169:IH169" si="2427">IFERROR(VLOOKUP($R169,$A$13:$D$30,-IF$12,FALSE),"")</f>
        <v>Lainnya 2.3 (5) …….</v>
      </c>
      <c r="IG169" s="368" t="str">
        <f t="shared" si="2427"/>
        <v/>
      </c>
      <c r="IH169" s="368" t="str">
        <f t="shared" si="2427"/>
        <v/>
      </c>
      <c r="II169" s="361" t="str">
        <f>ADHK!II169</f>
        <v/>
      </c>
      <c r="IJ169" s="361"/>
      <c r="IK169" s="361">
        <f t="shared" si="2187"/>
        <v>0</v>
      </c>
      <c r="IL169" s="369"/>
      <c r="IM169" s="361">
        <f t="shared" si="2188"/>
        <v>0</v>
      </c>
      <c r="IN169" s="96"/>
      <c r="IO169" s="96"/>
      <c r="IP169" s="97"/>
      <c r="IQ169" s="361">
        <f t="shared" si="2189"/>
        <v>0</v>
      </c>
      <c r="IR169" s="369">
        <f t="shared" si="2190"/>
        <v>0.4604471269</v>
      </c>
      <c r="IS169" s="370">
        <f t="shared" si="2191"/>
        <v>0</v>
      </c>
      <c r="IT169" s="371">
        <f t="shared" si="2192"/>
        <v>0</v>
      </c>
      <c r="IU169" s="364"/>
      <c r="IV169" s="366">
        <f t="shared" si="2244"/>
        <v>13</v>
      </c>
      <c r="IW169" s="367" t="str">
        <f t="shared" ref="IW169:IY169" si="2428">IFERROR(VLOOKUP($R169,$A$13:$D$30,-IW$12,FALSE),"")</f>
        <v>Lainnya 2.3 (5) …….</v>
      </c>
      <c r="IX169" s="368" t="str">
        <f t="shared" si="2428"/>
        <v/>
      </c>
      <c r="IY169" s="368" t="str">
        <f t="shared" si="2428"/>
        <v/>
      </c>
      <c r="IZ169" s="361" t="str">
        <f>ADHK!IZ169</f>
        <v/>
      </c>
      <c r="JA169" s="361"/>
      <c r="JB169" s="361">
        <f t="shared" si="2194"/>
        <v>0</v>
      </c>
      <c r="JC169" s="369"/>
      <c r="JD169" s="361">
        <f t="shared" si="2195"/>
        <v>0</v>
      </c>
      <c r="JE169" s="96"/>
      <c r="JF169" s="96"/>
      <c r="JG169" s="97"/>
      <c r="JH169" s="361">
        <f t="shared" si="2196"/>
        <v>0</v>
      </c>
      <c r="JI169" s="369">
        <f t="shared" si="2197"/>
        <v>0.4604471269</v>
      </c>
      <c r="JJ169" s="370">
        <f t="shared" si="2198"/>
        <v>0</v>
      </c>
      <c r="JK169" s="371">
        <f t="shared" si="2199"/>
        <v>0</v>
      </c>
      <c r="JL169" s="364"/>
      <c r="JM169" s="366">
        <f t="shared" si="2246"/>
        <v>13</v>
      </c>
      <c r="JN169" s="367" t="str">
        <f t="shared" ref="JN169:JP169" si="2429">IFERROR(VLOOKUP($R169,$A$13:$D$30,-JN$12,FALSE),"")</f>
        <v>Lainnya 2.3 (5) …….</v>
      </c>
      <c r="JO169" s="368" t="str">
        <f t="shared" si="2429"/>
        <v/>
      </c>
      <c r="JP169" s="368" t="str">
        <f t="shared" si="2429"/>
        <v/>
      </c>
      <c r="JQ169" s="361" t="str">
        <f>ADHK!KY169</f>
        <v/>
      </c>
      <c r="JR169" s="361"/>
      <c r="JS169" s="361">
        <f t="shared" si="2201"/>
        <v>0</v>
      </c>
      <c r="JT169" s="369"/>
      <c r="JU169" s="361">
        <f t="shared" si="2202"/>
        <v>0</v>
      </c>
      <c r="JV169" s="96"/>
      <c r="JW169" s="96"/>
      <c r="JX169" s="97"/>
      <c r="JY169" s="361">
        <f t="shared" si="2203"/>
        <v>0</v>
      </c>
      <c r="JZ169" s="369">
        <f t="shared" si="2204"/>
        <v>0.4604471269</v>
      </c>
      <c r="KA169" s="370">
        <f t="shared" si="2205"/>
        <v>0</v>
      </c>
      <c r="KB169" s="371">
        <f t="shared" si="2206"/>
        <v>0</v>
      </c>
      <c r="KC169" s="364"/>
      <c r="KD169" s="366">
        <f t="shared" si="2248"/>
        <v>13</v>
      </c>
      <c r="KE169" s="367" t="str">
        <f t="shared" ref="KE169:KG169" si="2430">IFERROR(VLOOKUP($R169,$A$13:$D$30,-KE$12,FALSE),"")</f>
        <v>Lainnya 2.3 (5) …….</v>
      </c>
      <c r="KF169" s="368" t="str">
        <f t="shared" si="2430"/>
        <v/>
      </c>
      <c r="KG169" s="368" t="str">
        <f t="shared" si="2430"/>
        <v/>
      </c>
      <c r="KH169" s="361" t="str">
        <f>ADHK!LP169</f>
        <v/>
      </c>
      <c r="KI169" s="361"/>
      <c r="KJ169" s="361">
        <f t="shared" si="2208"/>
        <v>0</v>
      </c>
      <c r="KK169" s="369"/>
      <c r="KL169" s="361">
        <f t="shared" si="2209"/>
        <v>0</v>
      </c>
      <c r="KM169" s="96"/>
      <c r="KN169" s="96"/>
      <c r="KO169" s="97"/>
      <c r="KP169" s="361">
        <f t="shared" si="2210"/>
        <v>0</v>
      </c>
      <c r="KQ169" s="369">
        <f t="shared" si="2211"/>
        <v>0.4604471269</v>
      </c>
      <c r="KR169" s="370">
        <f t="shared" si="2212"/>
        <v>0</v>
      </c>
      <c r="KS169" s="371">
        <f t="shared" si="2213"/>
        <v>0</v>
      </c>
      <c r="KT169" s="364"/>
      <c r="KU169" s="365"/>
    </row>
    <row r="170" ht="15.75" customHeight="1">
      <c r="A170" s="366">
        <f t="shared" si="2214"/>
        <v>14</v>
      </c>
      <c r="B170" s="367" t="str">
        <f t="shared" ref="B170:D170" si="2431">IFERROR(VLOOKUP($A170,$A$13:$D$30,-B$12,FALSE),"")</f>
        <v>Lainnya 2.3 (6) …….</v>
      </c>
      <c r="C170" s="368" t="str">
        <f t="shared" si="2431"/>
        <v/>
      </c>
      <c r="D170" s="368" t="str">
        <f t="shared" si="2431"/>
        <v/>
      </c>
      <c r="E170" s="361" t="str">
        <f>ADHK!E170</f>
        <v/>
      </c>
      <c r="F170" s="361" t="str">
        <f>ADHK!F170</f>
        <v/>
      </c>
      <c r="G170" s="361">
        <f t="shared" si="2089"/>
        <v>0</v>
      </c>
      <c r="H170" s="369"/>
      <c r="I170" s="361">
        <f t="shared" si="2090"/>
        <v>0</v>
      </c>
      <c r="J170" s="96"/>
      <c r="K170" s="96"/>
      <c r="L170" s="97"/>
      <c r="M170" s="361">
        <f t="shared" si="2091"/>
        <v>0</v>
      </c>
      <c r="N170" s="369">
        <f t="shared" si="2092"/>
        <v>0.4604471269</v>
      </c>
      <c r="O170" s="370">
        <f t="shared" si="2093"/>
        <v>0</v>
      </c>
      <c r="P170" s="371">
        <f t="shared" si="2094"/>
        <v>0</v>
      </c>
      <c r="Q170" s="364"/>
      <c r="R170" s="366">
        <f t="shared" si="2216"/>
        <v>14</v>
      </c>
      <c r="S170" s="367" t="str">
        <f t="shared" ref="S170:U170" si="2432">IFERROR(VLOOKUP($R170,$A$13:$D$30,-S$12,FALSE),"")</f>
        <v>Lainnya 2.3 (6) …….</v>
      </c>
      <c r="T170" s="368" t="str">
        <f t="shared" si="2432"/>
        <v/>
      </c>
      <c r="U170" s="368" t="str">
        <f t="shared" si="2432"/>
        <v/>
      </c>
      <c r="V170" s="361" t="str">
        <f>ADHK!V170</f>
        <v/>
      </c>
      <c r="W170" s="361"/>
      <c r="X170" s="361">
        <f t="shared" si="2096"/>
        <v>0</v>
      </c>
      <c r="Y170" s="369"/>
      <c r="Z170" s="361">
        <f t="shared" si="2097"/>
        <v>0</v>
      </c>
      <c r="AA170" s="96"/>
      <c r="AB170" s="96"/>
      <c r="AC170" s="97"/>
      <c r="AD170" s="361">
        <f t="shared" si="2098"/>
        <v>0</v>
      </c>
      <c r="AE170" s="369">
        <f t="shared" si="2099"/>
        <v>0.4604471269</v>
      </c>
      <c r="AF170" s="370">
        <f t="shared" si="2100"/>
        <v>0</v>
      </c>
      <c r="AG170" s="371">
        <f t="shared" si="2101"/>
        <v>0</v>
      </c>
      <c r="AH170" s="364"/>
      <c r="AI170" s="366">
        <f t="shared" si="2218"/>
        <v>14</v>
      </c>
      <c r="AJ170" s="367" t="str">
        <f t="shared" ref="AJ170:AL170" si="2433">IFERROR(VLOOKUP($R170,$A$13:$D$30,-AJ$12,FALSE),"")</f>
        <v>Lainnya 2.3 (6) …….</v>
      </c>
      <c r="AK170" s="368" t="str">
        <f t="shared" si="2433"/>
        <v/>
      </c>
      <c r="AL170" s="368" t="str">
        <f t="shared" si="2433"/>
        <v/>
      </c>
      <c r="AM170" s="361" t="str">
        <f>ADHK!AM170</f>
        <v/>
      </c>
      <c r="AN170" s="361"/>
      <c r="AO170" s="361">
        <f t="shared" si="2103"/>
        <v>0</v>
      </c>
      <c r="AP170" s="369"/>
      <c r="AQ170" s="361">
        <f t="shared" si="2104"/>
        <v>0</v>
      </c>
      <c r="AR170" s="96"/>
      <c r="AS170" s="96"/>
      <c r="AT170" s="97"/>
      <c r="AU170" s="361">
        <f t="shared" si="2105"/>
        <v>0</v>
      </c>
      <c r="AV170" s="369">
        <f t="shared" si="2106"/>
        <v>0.4604471269</v>
      </c>
      <c r="AW170" s="370">
        <f t="shared" si="2107"/>
        <v>0</v>
      </c>
      <c r="AX170" s="371">
        <f t="shared" si="2108"/>
        <v>0</v>
      </c>
      <c r="AY170" s="364"/>
      <c r="AZ170" s="366">
        <f t="shared" si="2220"/>
        <v>14</v>
      </c>
      <c r="BA170" s="367" t="str">
        <f t="shared" ref="BA170:BC170" si="2434">IFERROR(VLOOKUP($R170,$A$13:$D$30,-BA$12,FALSE),"")</f>
        <v>Lainnya 2.3 (6) …….</v>
      </c>
      <c r="BB170" s="368" t="str">
        <f t="shared" si="2434"/>
        <v/>
      </c>
      <c r="BC170" s="368" t="str">
        <f t="shared" si="2434"/>
        <v/>
      </c>
      <c r="BD170" s="361" t="str">
        <f>ADHK!BD170</f>
        <v/>
      </c>
      <c r="BE170" s="361"/>
      <c r="BF170" s="361">
        <f t="shared" si="2110"/>
        <v>0</v>
      </c>
      <c r="BG170" s="369"/>
      <c r="BH170" s="361">
        <f t="shared" si="2111"/>
        <v>0</v>
      </c>
      <c r="BI170" s="96"/>
      <c r="BJ170" s="96"/>
      <c r="BK170" s="97"/>
      <c r="BL170" s="361">
        <f t="shared" si="2112"/>
        <v>0</v>
      </c>
      <c r="BM170" s="369">
        <f t="shared" si="2113"/>
        <v>0.4604471269</v>
      </c>
      <c r="BN170" s="370">
        <f t="shared" si="2114"/>
        <v>0</v>
      </c>
      <c r="BO170" s="371">
        <f t="shared" si="2115"/>
        <v>0</v>
      </c>
      <c r="BP170" s="364"/>
      <c r="BQ170" s="366">
        <f t="shared" si="2222"/>
        <v>14</v>
      </c>
      <c r="BR170" s="367" t="str">
        <f t="shared" ref="BR170:BT170" si="2435">IFERROR(VLOOKUP($R170,$A$13:$D$30,-BR$12,FALSE),"")</f>
        <v>Lainnya 2.3 (6) …….</v>
      </c>
      <c r="BS170" s="368" t="str">
        <f t="shared" si="2435"/>
        <v/>
      </c>
      <c r="BT170" s="368" t="str">
        <f t="shared" si="2435"/>
        <v/>
      </c>
      <c r="BU170" s="361" t="str">
        <f>ADHK!BU170</f>
        <v/>
      </c>
      <c r="BV170" s="361"/>
      <c r="BW170" s="361">
        <f t="shared" si="2117"/>
        <v>0</v>
      </c>
      <c r="BX170" s="369"/>
      <c r="BY170" s="361">
        <f t="shared" si="2118"/>
        <v>0</v>
      </c>
      <c r="BZ170" s="96"/>
      <c r="CA170" s="96"/>
      <c r="CB170" s="97"/>
      <c r="CC170" s="361">
        <f t="shared" si="2119"/>
        <v>0</v>
      </c>
      <c r="CD170" s="369">
        <f t="shared" si="2120"/>
        <v>0.4604471269</v>
      </c>
      <c r="CE170" s="370">
        <f t="shared" si="2121"/>
        <v>0</v>
      </c>
      <c r="CF170" s="371">
        <f t="shared" si="2122"/>
        <v>0</v>
      </c>
      <c r="CG170" s="364"/>
      <c r="CH170" s="366">
        <f t="shared" si="2224"/>
        <v>14</v>
      </c>
      <c r="CI170" s="367" t="str">
        <f t="shared" ref="CI170:CK170" si="2436">IFERROR(VLOOKUP($R170,$A$13:$D$30,-CI$12,FALSE),"")</f>
        <v>Lainnya 2.3 (6) …….</v>
      </c>
      <c r="CJ170" s="368" t="str">
        <f t="shared" si="2436"/>
        <v/>
      </c>
      <c r="CK170" s="368" t="str">
        <f t="shared" si="2436"/>
        <v/>
      </c>
      <c r="CL170" s="361" t="str">
        <f>ADHK!CL170</f>
        <v/>
      </c>
      <c r="CM170" s="361"/>
      <c r="CN170" s="361">
        <f t="shared" si="2124"/>
        <v>0</v>
      </c>
      <c r="CO170" s="369"/>
      <c r="CP170" s="361">
        <f t="shared" si="2125"/>
        <v>0</v>
      </c>
      <c r="CQ170" s="96"/>
      <c r="CR170" s="96"/>
      <c r="CS170" s="97"/>
      <c r="CT170" s="361">
        <f t="shared" si="2126"/>
        <v>0</v>
      </c>
      <c r="CU170" s="369">
        <f t="shared" si="2127"/>
        <v>0.4604471269</v>
      </c>
      <c r="CV170" s="370">
        <f t="shared" si="2128"/>
        <v>0</v>
      </c>
      <c r="CW170" s="371">
        <f t="shared" si="2129"/>
        <v>0</v>
      </c>
      <c r="CX170" s="364"/>
      <c r="CY170" s="366">
        <f t="shared" si="2226"/>
        <v>14</v>
      </c>
      <c r="CZ170" s="367" t="str">
        <f t="shared" ref="CZ170:DB170" si="2437">IFERROR(VLOOKUP($R170,$A$13:$D$30,-CZ$12,FALSE),"")</f>
        <v>Lainnya 2.3 (6) …….</v>
      </c>
      <c r="DA170" s="368" t="str">
        <f t="shared" si="2437"/>
        <v/>
      </c>
      <c r="DB170" s="368" t="str">
        <f t="shared" si="2437"/>
        <v/>
      </c>
      <c r="DC170" s="361" t="str">
        <f>ADHK!DC170</f>
        <v/>
      </c>
      <c r="DD170" s="361"/>
      <c r="DE170" s="361">
        <f t="shared" si="2131"/>
        <v>0</v>
      </c>
      <c r="DF170" s="369"/>
      <c r="DG170" s="361">
        <f t="shared" si="2132"/>
        <v>0</v>
      </c>
      <c r="DH170" s="96"/>
      <c r="DI170" s="96"/>
      <c r="DJ170" s="97"/>
      <c r="DK170" s="361">
        <f t="shared" si="2133"/>
        <v>0</v>
      </c>
      <c r="DL170" s="369">
        <f t="shared" si="2134"/>
        <v>0.4604471269</v>
      </c>
      <c r="DM170" s="370">
        <f t="shared" si="2135"/>
        <v>0</v>
      </c>
      <c r="DN170" s="371">
        <f t="shared" si="2136"/>
        <v>0</v>
      </c>
      <c r="DO170" s="364"/>
      <c r="DP170" s="366">
        <f t="shared" si="2228"/>
        <v>14</v>
      </c>
      <c r="DQ170" s="367" t="str">
        <f t="shared" ref="DQ170:DS170" si="2438">IFERROR(VLOOKUP($R170,$A$13:$D$30,-DQ$12,FALSE),"")</f>
        <v>Lainnya 2.3 (6) …….</v>
      </c>
      <c r="DR170" s="368" t="str">
        <f t="shared" si="2438"/>
        <v/>
      </c>
      <c r="DS170" s="368" t="str">
        <f t="shared" si="2438"/>
        <v/>
      </c>
      <c r="DT170" s="361" t="str">
        <f>ADHK!DT170</f>
        <v/>
      </c>
      <c r="DU170" s="361"/>
      <c r="DV170" s="361">
        <f t="shared" si="2138"/>
        <v>0</v>
      </c>
      <c r="DW170" s="369"/>
      <c r="DX170" s="361">
        <f t="shared" si="2139"/>
        <v>0</v>
      </c>
      <c r="DY170" s="96"/>
      <c r="DZ170" s="96"/>
      <c r="EA170" s="97"/>
      <c r="EB170" s="361">
        <f t="shared" si="2140"/>
        <v>0</v>
      </c>
      <c r="EC170" s="369">
        <f t="shared" si="2141"/>
        <v>0.4604471269</v>
      </c>
      <c r="ED170" s="370">
        <f t="shared" si="2142"/>
        <v>0</v>
      </c>
      <c r="EE170" s="371">
        <f t="shared" si="2143"/>
        <v>0</v>
      </c>
      <c r="EF170" s="364"/>
      <c r="EG170" s="366">
        <f t="shared" si="2230"/>
        <v>14</v>
      </c>
      <c r="EH170" s="367" t="str">
        <f t="shared" ref="EH170:EJ170" si="2439">IFERROR(VLOOKUP($R170,$A$13:$D$30,-EH$12,FALSE),"")</f>
        <v>Lainnya 2.3 (6) …….</v>
      </c>
      <c r="EI170" s="368" t="str">
        <f t="shared" si="2439"/>
        <v/>
      </c>
      <c r="EJ170" s="368" t="str">
        <f t="shared" si="2439"/>
        <v/>
      </c>
      <c r="EK170" s="361" t="str">
        <f>ADHK!EK170</f>
        <v/>
      </c>
      <c r="EL170" s="361"/>
      <c r="EM170" s="361">
        <f t="shared" si="2145"/>
        <v>0</v>
      </c>
      <c r="EN170" s="369"/>
      <c r="EO170" s="361">
        <f t="shared" si="2146"/>
        <v>0</v>
      </c>
      <c r="EP170" s="96"/>
      <c r="EQ170" s="96"/>
      <c r="ER170" s="97"/>
      <c r="ES170" s="361">
        <f t="shared" si="2147"/>
        <v>0</v>
      </c>
      <c r="ET170" s="369">
        <f t="shared" si="2148"/>
        <v>0.4604471269</v>
      </c>
      <c r="EU170" s="370">
        <f t="shared" si="2149"/>
        <v>0</v>
      </c>
      <c r="EV170" s="371">
        <f t="shared" si="2150"/>
        <v>0</v>
      </c>
      <c r="EW170" s="364"/>
      <c r="EX170" s="366">
        <f t="shared" si="2232"/>
        <v>14</v>
      </c>
      <c r="EY170" s="367" t="str">
        <f t="shared" ref="EY170:FA170" si="2440">IFERROR(VLOOKUP($R170,$A$13:$D$30,-EY$12,FALSE),"")</f>
        <v>Lainnya 2.3 (6) …….</v>
      </c>
      <c r="EZ170" s="368" t="str">
        <f t="shared" si="2440"/>
        <v/>
      </c>
      <c r="FA170" s="368" t="str">
        <f t="shared" si="2440"/>
        <v/>
      </c>
      <c r="FB170" s="361" t="str">
        <f>ADHK!FB170</f>
        <v/>
      </c>
      <c r="FC170" s="361"/>
      <c r="FD170" s="361">
        <f t="shared" si="2152"/>
        <v>0</v>
      </c>
      <c r="FE170" s="369"/>
      <c r="FF170" s="361">
        <f t="shared" si="2153"/>
        <v>0</v>
      </c>
      <c r="FG170" s="96"/>
      <c r="FH170" s="96"/>
      <c r="FI170" s="97"/>
      <c r="FJ170" s="361">
        <f t="shared" si="2154"/>
        <v>0</v>
      </c>
      <c r="FK170" s="369">
        <f t="shared" si="2155"/>
        <v>0.4604471269</v>
      </c>
      <c r="FL170" s="370">
        <f t="shared" si="2156"/>
        <v>0</v>
      </c>
      <c r="FM170" s="371">
        <f t="shared" si="2157"/>
        <v>0</v>
      </c>
      <c r="FN170" s="364"/>
      <c r="FO170" s="366">
        <f t="shared" si="2234"/>
        <v>14</v>
      </c>
      <c r="FP170" s="367" t="str">
        <f t="shared" ref="FP170:FR170" si="2441">IFERROR(VLOOKUP($R170,$A$13:$D$30,-FP$12,FALSE),"")</f>
        <v>Lainnya 2.3 (6) …….</v>
      </c>
      <c r="FQ170" s="368" t="str">
        <f t="shared" si="2441"/>
        <v/>
      </c>
      <c r="FR170" s="368" t="str">
        <f t="shared" si="2441"/>
        <v/>
      </c>
      <c r="FS170" s="361" t="str">
        <f>ADHK!FS170</f>
        <v/>
      </c>
      <c r="FT170" s="361"/>
      <c r="FU170" s="361">
        <f t="shared" si="2159"/>
        <v>0</v>
      </c>
      <c r="FV170" s="369"/>
      <c r="FW170" s="361">
        <f t="shared" si="2160"/>
        <v>0</v>
      </c>
      <c r="FX170" s="96"/>
      <c r="FY170" s="96"/>
      <c r="FZ170" s="97"/>
      <c r="GA170" s="361">
        <f t="shared" si="2161"/>
        <v>0</v>
      </c>
      <c r="GB170" s="369">
        <f t="shared" si="2162"/>
        <v>0.4604471269</v>
      </c>
      <c r="GC170" s="370">
        <f t="shared" si="2163"/>
        <v>0</v>
      </c>
      <c r="GD170" s="371">
        <f t="shared" si="2164"/>
        <v>0</v>
      </c>
      <c r="GE170" s="364"/>
      <c r="GF170" s="366">
        <f t="shared" si="2236"/>
        <v>14</v>
      </c>
      <c r="GG170" s="367" t="str">
        <f t="shared" ref="GG170:GI170" si="2442">IFERROR(VLOOKUP($R170,$A$13:$D$30,-GG$12,FALSE),"")</f>
        <v>Lainnya 2.3 (6) …….</v>
      </c>
      <c r="GH170" s="368" t="str">
        <f t="shared" si="2442"/>
        <v/>
      </c>
      <c r="GI170" s="368" t="str">
        <f t="shared" si="2442"/>
        <v/>
      </c>
      <c r="GJ170" s="361" t="str">
        <f>ADHK!GJ170</f>
        <v/>
      </c>
      <c r="GK170" s="361"/>
      <c r="GL170" s="361">
        <f t="shared" si="2166"/>
        <v>0</v>
      </c>
      <c r="GM170" s="369"/>
      <c r="GN170" s="361">
        <f t="shared" si="2167"/>
        <v>0</v>
      </c>
      <c r="GO170" s="96"/>
      <c r="GP170" s="96"/>
      <c r="GQ170" s="97"/>
      <c r="GR170" s="361">
        <f t="shared" si="2168"/>
        <v>0</v>
      </c>
      <c r="GS170" s="369">
        <f t="shared" si="2169"/>
        <v>0.4604471269</v>
      </c>
      <c r="GT170" s="370">
        <f t="shared" si="2170"/>
        <v>0</v>
      </c>
      <c r="GU170" s="371">
        <f t="shared" si="2171"/>
        <v>0</v>
      </c>
      <c r="GV170" s="364"/>
      <c r="GW170" s="366">
        <f t="shared" si="2238"/>
        <v>14</v>
      </c>
      <c r="GX170" s="367" t="str">
        <f t="shared" ref="GX170:GZ170" si="2443">IFERROR(VLOOKUP($R170,$A$13:$D$30,-GX$12,FALSE),"")</f>
        <v>Lainnya 2.3 (6) …….</v>
      </c>
      <c r="GY170" s="368" t="str">
        <f t="shared" si="2443"/>
        <v/>
      </c>
      <c r="GZ170" s="368" t="str">
        <f t="shared" si="2443"/>
        <v/>
      </c>
      <c r="HA170" s="361"/>
      <c r="HB170" s="361"/>
      <c r="HC170" s="361">
        <f t="shared" si="2173"/>
        <v>0</v>
      </c>
      <c r="HD170" s="369"/>
      <c r="HE170" s="361">
        <f t="shared" si="2174"/>
        <v>0</v>
      </c>
      <c r="HF170" s="96"/>
      <c r="HG170" s="96"/>
      <c r="HH170" s="97"/>
      <c r="HI170" s="361">
        <f t="shared" si="2175"/>
        <v>0</v>
      </c>
      <c r="HJ170" s="369">
        <f t="shared" si="2176"/>
        <v>0.4604471269</v>
      </c>
      <c r="HK170" s="370">
        <f t="shared" si="2177"/>
        <v>0</v>
      </c>
      <c r="HL170" s="371">
        <f t="shared" si="2178"/>
        <v>0</v>
      </c>
      <c r="HM170" s="364"/>
      <c r="HN170" s="366">
        <f t="shared" si="2240"/>
        <v>14</v>
      </c>
      <c r="HO170" s="367" t="str">
        <f t="shared" ref="HO170:HQ170" si="2444">IFERROR(VLOOKUP($R170,$A$13:$D$30,-HO$12,FALSE),"")</f>
        <v>Lainnya 2.3 (6) …….</v>
      </c>
      <c r="HP170" s="368" t="str">
        <f t="shared" si="2444"/>
        <v/>
      </c>
      <c r="HQ170" s="368" t="str">
        <f t="shared" si="2444"/>
        <v/>
      </c>
      <c r="HR170" s="361" t="str">
        <f>ADHK!HR170</f>
        <v/>
      </c>
      <c r="HS170" s="361"/>
      <c r="HT170" s="361">
        <f t="shared" si="2180"/>
        <v>0</v>
      </c>
      <c r="HU170" s="369"/>
      <c r="HV170" s="361">
        <f t="shared" si="2181"/>
        <v>0</v>
      </c>
      <c r="HW170" s="96"/>
      <c r="HX170" s="96"/>
      <c r="HY170" s="97"/>
      <c r="HZ170" s="361">
        <f t="shared" si="2182"/>
        <v>0</v>
      </c>
      <c r="IA170" s="369">
        <f t="shared" si="2183"/>
        <v>0.4604471269</v>
      </c>
      <c r="IB170" s="370">
        <f t="shared" si="2184"/>
        <v>0</v>
      </c>
      <c r="IC170" s="371">
        <f t="shared" si="2185"/>
        <v>0</v>
      </c>
      <c r="ID170" s="364"/>
      <c r="IE170" s="366">
        <f t="shared" si="2242"/>
        <v>14</v>
      </c>
      <c r="IF170" s="367" t="str">
        <f t="shared" ref="IF170:IH170" si="2445">IFERROR(VLOOKUP($R170,$A$13:$D$30,-IF$12,FALSE),"")</f>
        <v>Lainnya 2.3 (6) …….</v>
      </c>
      <c r="IG170" s="368" t="str">
        <f t="shared" si="2445"/>
        <v/>
      </c>
      <c r="IH170" s="368" t="str">
        <f t="shared" si="2445"/>
        <v/>
      </c>
      <c r="II170" s="361" t="str">
        <f>ADHK!II170</f>
        <v/>
      </c>
      <c r="IJ170" s="361"/>
      <c r="IK170" s="361">
        <f t="shared" si="2187"/>
        <v>0</v>
      </c>
      <c r="IL170" s="369"/>
      <c r="IM170" s="361">
        <f t="shared" si="2188"/>
        <v>0</v>
      </c>
      <c r="IN170" s="96"/>
      <c r="IO170" s="96"/>
      <c r="IP170" s="97"/>
      <c r="IQ170" s="361">
        <f t="shared" si="2189"/>
        <v>0</v>
      </c>
      <c r="IR170" s="369">
        <f t="shared" si="2190"/>
        <v>0.4604471269</v>
      </c>
      <c r="IS170" s="370">
        <f t="shared" si="2191"/>
        <v>0</v>
      </c>
      <c r="IT170" s="371">
        <f t="shared" si="2192"/>
        <v>0</v>
      </c>
      <c r="IU170" s="364"/>
      <c r="IV170" s="366">
        <f t="shared" si="2244"/>
        <v>14</v>
      </c>
      <c r="IW170" s="367" t="str">
        <f t="shared" ref="IW170:IY170" si="2446">IFERROR(VLOOKUP($R170,$A$13:$D$30,-IW$12,FALSE),"")</f>
        <v>Lainnya 2.3 (6) …….</v>
      </c>
      <c r="IX170" s="368" t="str">
        <f t="shared" si="2446"/>
        <v/>
      </c>
      <c r="IY170" s="368" t="str">
        <f t="shared" si="2446"/>
        <v/>
      </c>
      <c r="IZ170" s="361" t="str">
        <f>ADHK!IZ170</f>
        <v/>
      </c>
      <c r="JA170" s="361"/>
      <c r="JB170" s="361">
        <f t="shared" si="2194"/>
        <v>0</v>
      </c>
      <c r="JC170" s="369"/>
      <c r="JD170" s="361">
        <f t="shared" si="2195"/>
        <v>0</v>
      </c>
      <c r="JE170" s="96"/>
      <c r="JF170" s="96"/>
      <c r="JG170" s="97"/>
      <c r="JH170" s="361">
        <f t="shared" si="2196"/>
        <v>0</v>
      </c>
      <c r="JI170" s="369">
        <f t="shared" si="2197"/>
        <v>0.4604471269</v>
      </c>
      <c r="JJ170" s="370">
        <f t="shared" si="2198"/>
        <v>0</v>
      </c>
      <c r="JK170" s="371">
        <f t="shared" si="2199"/>
        <v>0</v>
      </c>
      <c r="JL170" s="364"/>
      <c r="JM170" s="366">
        <f t="shared" si="2246"/>
        <v>14</v>
      </c>
      <c r="JN170" s="367" t="str">
        <f t="shared" ref="JN170:JP170" si="2447">IFERROR(VLOOKUP($R170,$A$13:$D$30,-JN$12,FALSE),"")</f>
        <v>Lainnya 2.3 (6) …….</v>
      </c>
      <c r="JO170" s="368" t="str">
        <f t="shared" si="2447"/>
        <v/>
      </c>
      <c r="JP170" s="368" t="str">
        <f t="shared" si="2447"/>
        <v/>
      </c>
      <c r="JQ170" s="361" t="str">
        <f>ADHK!KY170</f>
        <v/>
      </c>
      <c r="JR170" s="361"/>
      <c r="JS170" s="361">
        <f t="shared" si="2201"/>
        <v>0</v>
      </c>
      <c r="JT170" s="369"/>
      <c r="JU170" s="361">
        <f t="shared" si="2202"/>
        <v>0</v>
      </c>
      <c r="JV170" s="96"/>
      <c r="JW170" s="96"/>
      <c r="JX170" s="97"/>
      <c r="JY170" s="361">
        <f t="shared" si="2203"/>
        <v>0</v>
      </c>
      <c r="JZ170" s="369">
        <f t="shared" si="2204"/>
        <v>0.4604471269</v>
      </c>
      <c r="KA170" s="370">
        <f t="shared" si="2205"/>
        <v>0</v>
      </c>
      <c r="KB170" s="371">
        <f t="shared" si="2206"/>
        <v>0</v>
      </c>
      <c r="KC170" s="364"/>
      <c r="KD170" s="366">
        <f t="shared" si="2248"/>
        <v>14</v>
      </c>
      <c r="KE170" s="367" t="str">
        <f t="shared" ref="KE170:KG170" si="2448">IFERROR(VLOOKUP($R170,$A$13:$D$30,-KE$12,FALSE),"")</f>
        <v>Lainnya 2.3 (6) …….</v>
      </c>
      <c r="KF170" s="368" t="str">
        <f t="shared" si="2448"/>
        <v/>
      </c>
      <c r="KG170" s="368" t="str">
        <f t="shared" si="2448"/>
        <v/>
      </c>
      <c r="KH170" s="361" t="str">
        <f>ADHK!LP170</f>
        <v/>
      </c>
      <c r="KI170" s="361"/>
      <c r="KJ170" s="361">
        <f t="shared" si="2208"/>
        <v>0</v>
      </c>
      <c r="KK170" s="369"/>
      <c r="KL170" s="361">
        <f t="shared" si="2209"/>
        <v>0</v>
      </c>
      <c r="KM170" s="96"/>
      <c r="KN170" s="96"/>
      <c r="KO170" s="97"/>
      <c r="KP170" s="361">
        <f t="shared" si="2210"/>
        <v>0</v>
      </c>
      <c r="KQ170" s="369">
        <f t="shared" si="2211"/>
        <v>0.4604471269</v>
      </c>
      <c r="KR170" s="370">
        <f t="shared" si="2212"/>
        <v>0</v>
      </c>
      <c r="KS170" s="371">
        <f t="shared" si="2213"/>
        <v>0</v>
      </c>
      <c r="KT170" s="364"/>
      <c r="KU170" s="365"/>
    </row>
    <row r="171" ht="15.75" customHeight="1">
      <c r="A171" s="366">
        <f t="shared" si="2214"/>
        <v>15</v>
      </c>
      <c r="B171" s="367" t="str">
        <f t="shared" ref="B171:D171" si="2449">IFERROR(VLOOKUP($A171,$A$13:$D$30,-B$12,FALSE),"")</f>
        <v>Lainnya 2.3 (7) …….</v>
      </c>
      <c r="C171" s="368" t="str">
        <f t="shared" si="2449"/>
        <v/>
      </c>
      <c r="D171" s="368" t="str">
        <f t="shared" si="2449"/>
        <v/>
      </c>
      <c r="E171" s="361" t="str">
        <f>ADHK!E171</f>
        <v/>
      </c>
      <c r="F171" s="361">
        <f>ADHK!F171</f>
        <v>6500000</v>
      </c>
      <c r="G171" s="361">
        <f t="shared" si="2089"/>
        <v>0</v>
      </c>
      <c r="H171" s="369"/>
      <c r="I171" s="361">
        <f t="shared" si="2090"/>
        <v>0</v>
      </c>
      <c r="J171" s="96"/>
      <c r="K171" s="96"/>
      <c r="L171" s="97"/>
      <c r="M171" s="361">
        <f t="shared" si="2091"/>
        <v>0</v>
      </c>
      <c r="N171" s="369">
        <f t="shared" si="2092"/>
        <v>0.4604471269</v>
      </c>
      <c r="O171" s="370">
        <f t="shared" si="2093"/>
        <v>0</v>
      </c>
      <c r="P171" s="371">
        <f t="shared" si="2094"/>
        <v>0</v>
      </c>
      <c r="Q171" s="364"/>
      <c r="R171" s="366">
        <f t="shared" si="2216"/>
        <v>15</v>
      </c>
      <c r="S171" s="367" t="str">
        <f t="shared" ref="S171:U171" si="2450">IFERROR(VLOOKUP($R171,$A$13:$D$30,-S$12,FALSE),"")</f>
        <v>Lainnya 2.3 (7) …….</v>
      </c>
      <c r="T171" s="368" t="str">
        <f t="shared" si="2450"/>
        <v/>
      </c>
      <c r="U171" s="368" t="str">
        <f t="shared" si="2450"/>
        <v/>
      </c>
      <c r="V171" s="361" t="str">
        <f>ADHK!V171</f>
        <v/>
      </c>
      <c r="W171" s="361"/>
      <c r="X171" s="361">
        <f t="shared" si="2096"/>
        <v>0</v>
      </c>
      <c r="Y171" s="369"/>
      <c r="Z171" s="361">
        <f t="shared" si="2097"/>
        <v>0</v>
      </c>
      <c r="AA171" s="96"/>
      <c r="AB171" s="96"/>
      <c r="AC171" s="97"/>
      <c r="AD171" s="361">
        <f t="shared" si="2098"/>
        <v>0</v>
      </c>
      <c r="AE171" s="369">
        <f t="shared" si="2099"/>
        <v>0.4604471269</v>
      </c>
      <c r="AF171" s="370">
        <f t="shared" si="2100"/>
        <v>0</v>
      </c>
      <c r="AG171" s="371">
        <f t="shared" si="2101"/>
        <v>0</v>
      </c>
      <c r="AH171" s="364"/>
      <c r="AI171" s="366">
        <f t="shared" si="2218"/>
        <v>15</v>
      </c>
      <c r="AJ171" s="367" t="str">
        <f t="shared" ref="AJ171:AL171" si="2451">IFERROR(VLOOKUP($R171,$A$13:$D$30,-AJ$12,FALSE),"")</f>
        <v>Lainnya 2.3 (7) …….</v>
      </c>
      <c r="AK171" s="368" t="str">
        <f t="shared" si="2451"/>
        <v/>
      </c>
      <c r="AL171" s="368" t="str">
        <f t="shared" si="2451"/>
        <v/>
      </c>
      <c r="AM171" s="361" t="str">
        <f>ADHK!AM171</f>
        <v/>
      </c>
      <c r="AN171" s="361"/>
      <c r="AO171" s="361">
        <f t="shared" si="2103"/>
        <v>0</v>
      </c>
      <c r="AP171" s="369"/>
      <c r="AQ171" s="361">
        <f t="shared" si="2104"/>
        <v>0</v>
      </c>
      <c r="AR171" s="96"/>
      <c r="AS171" s="96"/>
      <c r="AT171" s="97"/>
      <c r="AU171" s="361">
        <f t="shared" si="2105"/>
        <v>0</v>
      </c>
      <c r="AV171" s="369">
        <f t="shared" si="2106"/>
        <v>0.4604471269</v>
      </c>
      <c r="AW171" s="370">
        <f t="shared" si="2107"/>
        <v>0</v>
      </c>
      <c r="AX171" s="371">
        <f t="shared" si="2108"/>
        <v>0</v>
      </c>
      <c r="AY171" s="364"/>
      <c r="AZ171" s="366">
        <f t="shared" si="2220"/>
        <v>15</v>
      </c>
      <c r="BA171" s="367" t="str">
        <f t="shared" ref="BA171:BC171" si="2452">IFERROR(VLOOKUP($R171,$A$13:$D$30,-BA$12,FALSE),"")</f>
        <v>Lainnya 2.3 (7) …….</v>
      </c>
      <c r="BB171" s="368" t="str">
        <f t="shared" si="2452"/>
        <v/>
      </c>
      <c r="BC171" s="368" t="str">
        <f t="shared" si="2452"/>
        <v/>
      </c>
      <c r="BD171" s="361" t="str">
        <f>ADHK!BD171</f>
        <v/>
      </c>
      <c r="BE171" s="361"/>
      <c r="BF171" s="361">
        <f t="shared" si="2110"/>
        <v>0</v>
      </c>
      <c r="BG171" s="369"/>
      <c r="BH171" s="361">
        <f t="shared" si="2111"/>
        <v>0</v>
      </c>
      <c r="BI171" s="96"/>
      <c r="BJ171" s="96"/>
      <c r="BK171" s="97"/>
      <c r="BL171" s="361">
        <f t="shared" si="2112"/>
        <v>0</v>
      </c>
      <c r="BM171" s="369">
        <f t="shared" si="2113"/>
        <v>0.4604471269</v>
      </c>
      <c r="BN171" s="370">
        <f t="shared" si="2114"/>
        <v>0</v>
      </c>
      <c r="BO171" s="371">
        <f t="shared" si="2115"/>
        <v>0</v>
      </c>
      <c r="BP171" s="364"/>
      <c r="BQ171" s="366">
        <f t="shared" si="2222"/>
        <v>15</v>
      </c>
      <c r="BR171" s="367" t="str">
        <f t="shared" ref="BR171:BT171" si="2453">IFERROR(VLOOKUP($R171,$A$13:$D$30,-BR$12,FALSE),"")</f>
        <v>Lainnya 2.3 (7) …….</v>
      </c>
      <c r="BS171" s="368" t="str">
        <f t="shared" si="2453"/>
        <v/>
      </c>
      <c r="BT171" s="368" t="str">
        <f t="shared" si="2453"/>
        <v/>
      </c>
      <c r="BU171" s="361" t="str">
        <f>ADHK!BU171</f>
        <v/>
      </c>
      <c r="BV171" s="361"/>
      <c r="BW171" s="361">
        <f t="shared" si="2117"/>
        <v>0</v>
      </c>
      <c r="BX171" s="369"/>
      <c r="BY171" s="361">
        <f t="shared" si="2118"/>
        <v>0</v>
      </c>
      <c r="BZ171" s="96"/>
      <c r="CA171" s="96"/>
      <c r="CB171" s="97"/>
      <c r="CC171" s="361">
        <f t="shared" si="2119"/>
        <v>0</v>
      </c>
      <c r="CD171" s="369">
        <f t="shared" si="2120"/>
        <v>0.4604471269</v>
      </c>
      <c r="CE171" s="370">
        <f t="shared" si="2121"/>
        <v>0</v>
      </c>
      <c r="CF171" s="371">
        <f t="shared" si="2122"/>
        <v>0</v>
      </c>
      <c r="CG171" s="364"/>
      <c r="CH171" s="366">
        <f t="shared" si="2224"/>
        <v>15</v>
      </c>
      <c r="CI171" s="367" t="str">
        <f t="shared" ref="CI171:CK171" si="2454">IFERROR(VLOOKUP($R171,$A$13:$D$30,-CI$12,FALSE),"")</f>
        <v>Lainnya 2.3 (7) …….</v>
      </c>
      <c r="CJ171" s="368" t="str">
        <f t="shared" si="2454"/>
        <v/>
      </c>
      <c r="CK171" s="368" t="str">
        <f t="shared" si="2454"/>
        <v/>
      </c>
      <c r="CL171" s="361" t="str">
        <f>ADHK!CL171</f>
        <v/>
      </c>
      <c r="CM171" s="361"/>
      <c r="CN171" s="361">
        <f t="shared" si="2124"/>
        <v>0</v>
      </c>
      <c r="CO171" s="369"/>
      <c r="CP171" s="361">
        <f t="shared" si="2125"/>
        <v>0</v>
      </c>
      <c r="CQ171" s="96"/>
      <c r="CR171" s="96"/>
      <c r="CS171" s="97"/>
      <c r="CT171" s="361">
        <f t="shared" si="2126"/>
        <v>0</v>
      </c>
      <c r="CU171" s="369">
        <f t="shared" si="2127"/>
        <v>0.4604471269</v>
      </c>
      <c r="CV171" s="370">
        <f t="shared" si="2128"/>
        <v>0</v>
      </c>
      <c r="CW171" s="371">
        <f t="shared" si="2129"/>
        <v>0</v>
      </c>
      <c r="CX171" s="364"/>
      <c r="CY171" s="366">
        <f t="shared" si="2226"/>
        <v>15</v>
      </c>
      <c r="CZ171" s="367" t="str">
        <f t="shared" ref="CZ171:DB171" si="2455">IFERROR(VLOOKUP($R171,$A$13:$D$30,-CZ$12,FALSE),"")</f>
        <v>Lainnya 2.3 (7) …….</v>
      </c>
      <c r="DA171" s="368" t="str">
        <f t="shared" si="2455"/>
        <v/>
      </c>
      <c r="DB171" s="368" t="str">
        <f t="shared" si="2455"/>
        <v/>
      </c>
      <c r="DC171" s="361" t="str">
        <f>ADHK!DC171</f>
        <v/>
      </c>
      <c r="DD171" s="361"/>
      <c r="DE171" s="361">
        <f t="shared" si="2131"/>
        <v>0</v>
      </c>
      <c r="DF171" s="369"/>
      <c r="DG171" s="361">
        <f t="shared" si="2132"/>
        <v>0</v>
      </c>
      <c r="DH171" s="96"/>
      <c r="DI171" s="96"/>
      <c r="DJ171" s="97"/>
      <c r="DK171" s="361">
        <f t="shared" si="2133"/>
        <v>0</v>
      </c>
      <c r="DL171" s="369">
        <f t="shared" si="2134"/>
        <v>0.4604471269</v>
      </c>
      <c r="DM171" s="370">
        <f t="shared" si="2135"/>
        <v>0</v>
      </c>
      <c r="DN171" s="371">
        <f t="shared" si="2136"/>
        <v>0</v>
      </c>
      <c r="DO171" s="364"/>
      <c r="DP171" s="366">
        <f t="shared" si="2228"/>
        <v>15</v>
      </c>
      <c r="DQ171" s="367" t="str">
        <f t="shared" ref="DQ171:DS171" si="2456">IFERROR(VLOOKUP($R171,$A$13:$D$30,-DQ$12,FALSE),"")</f>
        <v>Lainnya 2.3 (7) …….</v>
      </c>
      <c r="DR171" s="368" t="str">
        <f t="shared" si="2456"/>
        <v/>
      </c>
      <c r="DS171" s="368" t="str">
        <f t="shared" si="2456"/>
        <v/>
      </c>
      <c r="DT171" s="361" t="str">
        <f>ADHK!DT171</f>
        <v/>
      </c>
      <c r="DU171" s="361"/>
      <c r="DV171" s="361">
        <f t="shared" si="2138"/>
        <v>0</v>
      </c>
      <c r="DW171" s="369"/>
      <c r="DX171" s="361">
        <f t="shared" si="2139"/>
        <v>0</v>
      </c>
      <c r="DY171" s="96"/>
      <c r="DZ171" s="96"/>
      <c r="EA171" s="97"/>
      <c r="EB171" s="361">
        <f t="shared" si="2140"/>
        <v>0</v>
      </c>
      <c r="EC171" s="369">
        <f t="shared" si="2141"/>
        <v>0.4604471269</v>
      </c>
      <c r="ED171" s="370">
        <f t="shared" si="2142"/>
        <v>0</v>
      </c>
      <c r="EE171" s="371">
        <f t="shared" si="2143"/>
        <v>0</v>
      </c>
      <c r="EF171" s="364"/>
      <c r="EG171" s="366">
        <f t="shared" si="2230"/>
        <v>15</v>
      </c>
      <c r="EH171" s="367" t="str">
        <f t="shared" ref="EH171:EJ171" si="2457">IFERROR(VLOOKUP($R171,$A$13:$D$30,-EH$12,FALSE),"")</f>
        <v>Lainnya 2.3 (7) …….</v>
      </c>
      <c r="EI171" s="368" t="str">
        <f t="shared" si="2457"/>
        <v/>
      </c>
      <c r="EJ171" s="368" t="str">
        <f t="shared" si="2457"/>
        <v/>
      </c>
      <c r="EK171" s="361" t="str">
        <f>ADHK!EK171</f>
        <v/>
      </c>
      <c r="EL171" s="361"/>
      <c r="EM171" s="361">
        <f t="shared" si="2145"/>
        <v>0</v>
      </c>
      <c r="EN171" s="369"/>
      <c r="EO171" s="361">
        <f t="shared" si="2146"/>
        <v>0</v>
      </c>
      <c r="EP171" s="96"/>
      <c r="EQ171" s="96"/>
      <c r="ER171" s="97"/>
      <c r="ES171" s="361">
        <f t="shared" si="2147"/>
        <v>0</v>
      </c>
      <c r="ET171" s="369">
        <f t="shared" si="2148"/>
        <v>0.4604471269</v>
      </c>
      <c r="EU171" s="370">
        <f t="shared" si="2149"/>
        <v>0</v>
      </c>
      <c r="EV171" s="371">
        <f t="shared" si="2150"/>
        <v>0</v>
      </c>
      <c r="EW171" s="364"/>
      <c r="EX171" s="366">
        <f t="shared" si="2232"/>
        <v>15</v>
      </c>
      <c r="EY171" s="367" t="str">
        <f t="shared" ref="EY171:FA171" si="2458">IFERROR(VLOOKUP($R171,$A$13:$D$30,-EY$12,FALSE),"")</f>
        <v>Lainnya 2.3 (7) …….</v>
      </c>
      <c r="EZ171" s="368" t="str">
        <f t="shared" si="2458"/>
        <v/>
      </c>
      <c r="FA171" s="368" t="str">
        <f t="shared" si="2458"/>
        <v/>
      </c>
      <c r="FB171" s="361" t="str">
        <f>ADHK!FB171</f>
        <v/>
      </c>
      <c r="FC171" s="361"/>
      <c r="FD171" s="361">
        <f t="shared" si="2152"/>
        <v>0</v>
      </c>
      <c r="FE171" s="369"/>
      <c r="FF171" s="361">
        <f t="shared" si="2153"/>
        <v>0</v>
      </c>
      <c r="FG171" s="96"/>
      <c r="FH171" s="96"/>
      <c r="FI171" s="97"/>
      <c r="FJ171" s="361">
        <f t="shared" si="2154"/>
        <v>0</v>
      </c>
      <c r="FK171" s="369">
        <f t="shared" si="2155"/>
        <v>0.4604471269</v>
      </c>
      <c r="FL171" s="370">
        <f t="shared" si="2156"/>
        <v>0</v>
      </c>
      <c r="FM171" s="371">
        <f t="shared" si="2157"/>
        <v>0</v>
      </c>
      <c r="FN171" s="364"/>
      <c r="FO171" s="366">
        <f t="shared" si="2234"/>
        <v>15</v>
      </c>
      <c r="FP171" s="367" t="str">
        <f t="shared" ref="FP171:FR171" si="2459">IFERROR(VLOOKUP($R171,$A$13:$D$30,-FP$12,FALSE),"")</f>
        <v>Lainnya 2.3 (7) …….</v>
      </c>
      <c r="FQ171" s="368" t="str">
        <f t="shared" si="2459"/>
        <v/>
      </c>
      <c r="FR171" s="368" t="str">
        <f t="shared" si="2459"/>
        <v/>
      </c>
      <c r="FS171" s="361" t="str">
        <f>ADHK!FS171</f>
        <v/>
      </c>
      <c r="FT171" s="361"/>
      <c r="FU171" s="361">
        <f t="shared" si="2159"/>
        <v>0</v>
      </c>
      <c r="FV171" s="369"/>
      <c r="FW171" s="361">
        <f t="shared" si="2160"/>
        <v>0</v>
      </c>
      <c r="FX171" s="96"/>
      <c r="FY171" s="96"/>
      <c r="FZ171" s="97"/>
      <c r="GA171" s="361">
        <f t="shared" si="2161"/>
        <v>0</v>
      </c>
      <c r="GB171" s="369">
        <f t="shared" si="2162"/>
        <v>0.4604471269</v>
      </c>
      <c r="GC171" s="370">
        <f t="shared" si="2163"/>
        <v>0</v>
      </c>
      <c r="GD171" s="371">
        <f t="shared" si="2164"/>
        <v>0</v>
      </c>
      <c r="GE171" s="364"/>
      <c r="GF171" s="366">
        <f t="shared" si="2236"/>
        <v>15</v>
      </c>
      <c r="GG171" s="367" t="str">
        <f t="shared" ref="GG171:GI171" si="2460">IFERROR(VLOOKUP($R171,$A$13:$D$30,-GG$12,FALSE),"")</f>
        <v>Lainnya 2.3 (7) …….</v>
      </c>
      <c r="GH171" s="368" t="str">
        <f t="shared" si="2460"/>
        <v/>
      </c>
      <c r="GI171" s="368" t="str">
        <f t="shared" si="2460"/>
        <v/>
      </c>
      <c r="GJ171" s="361" t="str">
        <f>ADHK!GJ171</f>
        <v/>
      </c>
      <c r="GK171" s="361"/>
      <c r="GL171" s="361">
        <f t="shared" si="2166"/>
        <v>0</v>
      </c>
      <c r="GM171" s="369"/>
      <c r="GN171" s="361">
        <f t="shared" si="2167"/>
        <v>0</v>
      </c>
      <c r="GO171" s="96"/>
      <c r="GP171" s="96"/>
      <c r="GQ171" s="97"/>
      <c r="GR171" s="361">
        <f t="shared" si="2168"/>
        <v>0</v>
      </c>
      <c r="GS171" s="369">
        <f t="shared" si="2169"/>
        <v>0.4604471269</v>
      </c>
      <c r="GT171" s="370">
        <f t="shared" si="2170"/>
        <v>0</v>
      </c>
      <c r="GU171" s="371">
        <f t="shared" si="2171"/>
        <v>0</v>
      </c>
      <c r="GV171" s="364"/>
      <c r="GW171" s="366">
        <f t="shared" si="2238"/>
        <v>15</v>
      </c>
      <c r="GX171" s="367" t="str">
        <f t="shared" ref="GX171:GZ171" si="2461">IFERROR(VLOOKUP($R171,$A$13:$D$30,-GX$12,FALSE),"")</f>
        <v>Lainnya 2.3 (7) …….</v>
      </c>
      <c r="GY171" s="368" t="str">
        <f t="shared" si="2461"/>
        <v/>
      </c>
      <c r="GZ171" s="368" t="str">
        <f t="shared" si="2461"/>
        <v/>
      </c>
      <c r="HA171" s="361"/>
      <c r="HB171" s="372"/>
      <c r="HC171" s="361">
        <f t="shared" si="2173"/>
        <v>0</v>
      </c>
      <c r="HD171" s="369"/>
      <c r="HE171" s="361">
        <f t="shared" si="2174"/>
        <v>0</v>
      </c>
      <c r="HF171" s="96"/>
      <c r="HG171" s="96"/>
      <c r="HH171" s="97"/>
      <c r="HI171" s="361">
        <f t="shared" si="2175"/>
        <v>0</v>
      </c>
      <c r="HJ171" s="369">
        <f t="shared" si="2176"/>
        <v>0.4604471269</v>
      </c>
      <c r="HK171" s="370">
        <f t="shared" si="2177"/>
        <v>0</v>
      </c>
      <c r="HL171" s="371">
        <f t="shared" si="2178"/>
        <v>0</v>
      </c>
      <c r="HM171" s="364"/>
      <c r="HN171" s="366">
        <f t="shared" si="2240"/>
        <v>15</v>
      </c>
      <c r="HO171" s="367" t="str">
        <f t="shared" ref="HO171:HQ171" si="2462">IFERROR(VLOOKUP($R171,$A$13:$D$30,-HO$12,FALSE),"")</f>
        <v>Lainnya 2.3 (7) …….</v>
      </c>
      <c r="HP171" s="368" t="str">
        <f t="shared" si="2462"/>
        <v/>
      </c>
      <c r="HQ171" s="368" t="str">
        <f t="shared" si="2462"/>
        <v/>
      </c>
      <c r="HR171" s="361" t="str">
        <f>ADHK!HR171</f>
        <v/>
      </c>
      <c r="HS171" s="361"/>
      <c r="HT171" s="361">
        <f t="shared" si="2180"/>
        <v>0</v>
      </c>
      <c r="HU171" s="369"/>
      <c r="HV171" s="361">
        <f t="shared" si="2181"/>
        <v>0</v>
      </c>
      <c r="HW171" s="96"/>
      <c r="HX171" s="96"/>
      <c r="HY171" s="97"/>
      <c r="HZ171" s="361">
        <f t="shared" si="2182"/>
        <v>0</v>
      </c>
      <c r="IA171" s="369">
        <f t="shared" si="2183"/>
        <v>0.4604471269</v>
      </c>
      <c r="IB171" s="370">
        <f t="shared" si="2184"/>
        <v>0</v>
      </c>
      <c r="IC171" s="371">
        <f t="shared" si="2185"/>
        <v>0</v>
      </c>
      <c r="ID171" s="364"/>
      <c r="IE171" s="366">
        <f t="shared" si="2242"/>
        <v>15</v>
      </c>
      <c r="IF171" s="367" t="str">
        <f t="shared" ref="IF171:IH171" si="2463">IFERROR(VLOOKUP($R171,$A$13:$D$30,-IF$12,FALSE),"")</f>
        <v>Lainnya 2.3 (7) …….</v>
      </c>
      <c r="IG171" s="368" t="str">
        <f t="shared" si="2463"/>
        <v/>
      </c>
      <c r="IH171" s="368" t="str">
        <f t="shared" si="2463"/>
        <v/>
      </c>
      <c r="II171" s="361" t="str">
        <f>ADHK!II171</f>
        <v/>
      </c>
      <c r="IJ171" s="361"/>
      <c r="IK171" s="361">
        <f t="shared" si="2187"/>
        <v>0</v>
      </c>
      <c r="IL171" s="369"/>
      <c r="IM171" s="361">
        <f t="shared" si="2188"/>
        <v>0</v>
      </c>
      <c r="IN171" s="96"/>
      <c r="IO171" s="96"/>
      <c r="IP171" s="97"/>
      <c r="IQ171" s="361">
        <f t="shared" si="2189"/>
        <v>0</v>
      </c>
      <c r="IR171" s="369">
        <f t="shared" si="2190"/>
        <v>0.4604471269</v>
      </c>
      <c r="IS171" s="370">
        <f t="shared" si="2191"/>
        <v>0</v>
      </c>
      <c r="IT171" s="371">
        <f t="shared" si="2192"/>
        <v>0</v>
      </c>
      <c r="IU171" s="364"/>
      <c r="IV171" s="366">
        <f t="shared" si="2244"/>
        <v>15</v>
      </c>
      <c r="IW171" s="367" t="str">
        <f t="shared" ref="IW171:IY171" si="2464">IFERROR(VLOOKUP($R171,$A$13:$D$30,-IW$12,FALSE),"")</f>
        <v>Lainnya 2.3 (7) …….</v>
      </c>
      <c r="IX171" s="368" t="str">
        <f t="shared" si="2464"/>
        <v/>
      </c>
      <c r="IY171" s="368" t="str">
        <f t="shared" si="2464"/>
        <v/>
      </c>
      <c r="IZ171" s="361" t="str">
        <f>ADHK!IZ171</f>
        <v/>
      </c>
      <c r="JA171" s="361"/>
      <c r="JB171" s="361">
        <f t="shared" si="2194"/>
        <v>0</v>
      </c>
      <c r="JC171" s="369"/>
      <c r="JD171" s="361">
        <f t="shared" si="2195"/>
        <v>0</v>
      </c>
      <c r="JE171" s="96"/>
      <c r="JF171" s="96"/>
      <c r="JG171" s="97"/>
      <c r="JH171" s="361">
        <f t="shared" si="2196"/>
        <v>0</v>
      </c>
      <c r="JI171" s="369">
        <f t="shared" si="2197"/>
        <v>0.4604471269</v>
      </c>
      <c r="JJ171" s="370">
        <f t="shared" si="2198"/>
        <v>0</v>
      </c>
      <c r="JK171" s="371">
        <f t="shared" si="2199"/>
        <v>0</v>
      </c>
      <c r="JL171" s="364"/>
      <c r="JM171" s="366">
        <f t="shared" si="2246"/>
        <v>15</v>
      </c>
      <c r="JN171" s="367" t="str">
        <f t="shared" ref="JN171:JP171" si="2465">IFERROR(VLOOKUP($R171,$A$13:$D$30,-JN$12,FALSE),"")</f>
        <v>Lainnya 2.3 (7) …….</v>
      </c>
      <c r="JO171" s="368" t="str">
        <f t="shared" si="2465"/>
        <v/>
      </c>
      <c r="JP171" s="368" t="str">
        <f t="shared" si="2465"/>
        <v/>
      </c>
      <c r="JQ171" s="361" t="str">
        <f>ADHK!KY171</f>
        <v/>
      </c>
      <c r="JR171" s="361"/>
      <c r="JS171" s="361">
        <f t="shared" si="2201"/>
        <v>0</v>
      </c>
      <c r="JT171" s="369"/>
      <c r="JU171" s="361">
        <f t="shared" si="2202"/>
        <v>0</v>
      </c>
      <c r="JV171" s="96"/>
      <c r="JW171" s="96"/>
      <c r="JX171" s="97"/>
      <c r="JY171" s="361">
        <f t="shared" si="2203"/>
        <v>0</v>
      </c>
      <c r="JZ171" s="369">
        <f t="shared" si="2204"/>
        <v>0.4604471269</v>
      </c>
      <c r="KA171" s="370">
        <f t="shared" si="2205"/>
        <v>0</v>
      </c>
      <c r="KB171" s="371">
        <f t="shared" si="2206"/>
        <v>0</v>
      </c>
      <c r="KC171" s="364"/>
      <c r="KD171" s="366">
        <f t="shared" si="2248"/>
        <v>15</v>
      </c>
      <c r="KE171" s="367" t="str">
        <f t="shared" ref="KE171:KG171" si="2466">IFERROR(VLOOKUP($R171,$A$13:$D$30,-KE$12,FALSE),"")</f>
        <v>Lainnya 2.3 (7) …….</v>
      </c>
      <c r="KF171" s="368" t="str">
        <f t="shared" si="2466"/>
        <v/>
      </c>
      <c r="KG171" s="368" t="str">
        <f t="shared" si="2466"/>
        <v/>
      </c>
      <c r="KH171" s="361" t="str">
        <f>ADHK!LP171</f>
        <v/>
      </c>
      <c r="KI171" s="361"/>
      <c r="KJ171" s="361">
        <f t="shared" si="2208"/>
        <v>0</v>
      </c>
      <c r="KK171" s="369"/>
      <c r="KL171" s="361">
        <f t="shared" si="2209"/>
        <v>0</v>
      </c>
      <c r="KM171" s="96"/>
      <c r="KN171" s="96"/>
      <c r="KO171" s="97"/>
      <c r="KP171" s="361">
        <f t="shared" si="2210"/>
        <v>0</v>
      </c>
      <c r="KQ171" s="369">
        <f t="shared" si="2211"/>
        <v>0.4604471269</v>
      </c>
      <c r="KR171" s="370">
        <f t="shared" si="2212"/>
        <v>0</v>
      </c>
      <c r="KS171" s="371">
        <f t="shared" si="2213"/>
        <v>0</v>
      </c>
      <c r="KT171" s="364"/>
      <c r="KU171" s="365"/>
    </row>
    <row r="172" ht="15.75" customHeight="1">
      <c r="A172" s="366">
        <f t="shared" si="2214"/>
        <v>16</v>
      </c>
      <c r="B172" s="367" t="str">
        <f t="shared" ref="B172:D172" si="2467">IFERROR(VLOOKUP($A172,$A$13:$D$30,-B$12,FALSE),"")</f>
        <v>Lainnya 2.3 (8) …….</v>
      </c>
      <c r="C172" s="368" t="str">
        <f t="shared" si="2467"/>
        <v/>
      </c>
      <c r="D172" s="368" t="str">
        <f t="shared" si="2467"/>
        <v/>
      </c>
      <c r="E172" s="361" t="str">
        <f>ADHK!E172</f>
        <v/>
      </c>
      <c r="F172" s="361" t="str">
        <f>ADHK!F172</f>
        <v/>
      </c>
      <c r="G172" s="361">
        <f t="shared" si="2089"/>
        <v>0</v>
      </c>
      <c r="H172" s="369"/>
      <c r="I172" s="361">
        <f t="shared" si="2090"/>
        <v>0</v>
      </c>
      <c r="J172" s="96"/>
      <c r="K172" s="96"/>
      <c r="L172" s="97"/>
      <c r="M172" s="361">
        <f t="shared" si="2091"/>
        <v>0</v>
      </c>
      <c r="N172" s="369">
        <f t="shared" si="2092"/>
        <v>0.4604471269</v>
      </c>
      <c r="O172" s="370">
        <f t="shared" si="2093"/>
        <v>0</v>
      </c>
      <c r="P172" s="371">
        <f t="shared" si="2094"/>
        <v>0</v>
      </c>
      <c r="Q172" s="364"/>
      <c r="R172" s="366">
        <f t="shared" si="2216"/>
        <v>16</v>
      </c>
      <c r="S172" s="367" t="str">
        <f t="shared" ref="S172:U172" si="2468">IFERROR(VLOOKUP($R172,$A$13:$D$30,-S$12,FALSE),"")</f>
        <v>Lainnya 2.3 (8) …….</v>
      </c>
      <c r="T172" s="368" t="str">
        <f t="shared" si="2468"/>
        <v/>
      </c>
      <c r="U172" s="368" t="str">
        <f t="shared" si="2468"/>
        <v/>
      </c>
      <c r="V172" s="361" t="str">
        <f>ADHK!V172</f>
        <v/>
      </c>
      <c r="W172" s="361"/>
      <c r="X172" s="361">
        <f t="shared" si="2096"/>
        <v>0</v>
      </c>
      <c r="Y172" s="369"/>
      <c r="Z172" s="361">
        <f t="shared" si="2097"/>
        <v>0</v>
      </c>
      <c r="AA172" s="96"/>
      <c r="AB172" s="96"/>
      <c r="AC172" s="97"/>
      <c r="AD172" s="361">
        <f t="shared" si="2098"/>
        <v>0</v>
      </c>
      <c r="AE172" s="369">
        <f t="shared" si="2099"/>
        <v>0.4604471269</v>
      </c>
      <c r="AF172" s="370">
        <f t="shared" si="2100"/>
        <v>0</v>
      </c>
      <c r="AG172" s="371">
        <f t="shared" si="2101"/>
        <v>0</v>
      </c>
      <c r="AH172" s="364"/>
      <c r="AI172" s="366">
        <f t="shared" si="2218"/>
        <v>16</v>
      </c>
      <c r="AJ172" s="367" t="str">
        <f t="shared" ref="AJ172:AL172" si="2469">IFERROR(VLOOKUP($R172,$A$13:$D$30,-AJ$12,FALSE),"")</f>
        <v>Lainnya 2.3 (8) …….</v>
      </c>
      <c r="AK172" s="368" t="str">
        <f t="shared" si="2469"/>
        <v/>
      </c>
      <c r="AL172" s="368" t="str">
        <f t="shared" si="2469"/>
        <v/>
      </c>
      <c r="AM172" s="361" t="str">
        <f>ADHK!AM172</f>
        <v/>
      </c>
      <c r="AN172" s="361"/>
      <c r="AO172" s="361">
        <f t="shared" si="2103"/>
        <v>0</v>
      </c>
      <c r="AP172" s="369"/>
      <c r="AQ172" s="361">
        <f t="shared" si="2104"/>
        <v>0</v>
      </c>
      <c r="AR172" s="96"/>
      <c r="AS172" s="96"/>
      <c r="AT172" s="97"/>
      <c r="AU172" s="361">
        <f t="shared" si="2105"/>
        <v>0</v>
      </c>
      <c r="AV172" s="369">
        <f t="shared" si="2106"/>
        <v>0.4604471269</v>
      </c>
      <c r="AW172" s="370">
        <f t="shared" si="2107"/>
        <v>0</v>
      </c>
      <c r="AX172" s="371">
        <f t="shared" si="2108"/>
        <v>0</v>
      </c>
      <c r="AY172" s="364"/>
      <c r="AZ172" s="366">
        <f t="shared" si="2220"/>
        <v>16</v>
      </c>
      <c r="BA172" s="367" t="str">
        <f t="shared" ref="BA172:BC172" si="2470">IFERROR(VLOOKUP($R172,$A$13:$D$30,-BA$12,FALSE),"")</f>
        <v>Lainnya 2.3 (8) …….</v>
      </c>
      <c r="BB172" s="368" t="str">
        <f t="shared" si="2470"/>
        <v/>
      </c>
      <c r="BC172" s="368" t="str">
        <f t="shared" si="2470"/>
        <v/>
      </c>
      <c r="BD172" s="361" t="str">
        <f>ADHK!BD172</f>
        <v/>
      </c>
      <c r="BE172" s="361"/>
      <c r="BF172" s="361">
        <f t="shared" si="2110"/>
        <v>0</v>
      </c>
      <c r="BG172" s="369"/>
      <c r="BH172" s="361">
        <f t="shared" si="2111"/>
        <v>0</v>
      </c>
      <c r="BI172" s="96"/>
      <c r="BJ172" s="96"/>
      <c r="BK172" s="97"/>
      <c r="BL172" s="361">
        <f t="shared" si="2112"/>
        <v>0</v>
      </c>
      <c r="BM172" s="369">
        <f t="shared" si="2113"/>
        <v>0.4604471269</v>
      </c>
      <c r="BN172" s="370">
        <f t="shared" si="2114"/>
        <v>0</v>
      </c>
      <c r="BO172" s="371">
        <f t="shared" si="2115"/>
        <v>0</v>
      </c>
      <c r="BP172" s="364"/>
      <c r="BQ172" s="366">
        <f t="shared" si="2222"/>
        <v>16</v>
      </c>
      <c r="BR172" s="367" t="str">
        <f t="shared" ref="BR172:BT172" si="2471">IFERROR(VLOOKUP($R172,$A$13:$D$30,-BR$12,FALSE),"")</f>
        <v>Lainnya 2.3 (8) …….</v>
      </c>
      <c r="BS172" s="368" t="str">
        <f t="shared" si="2471"/>
        <v/>
      </c>
      <c r="BT172" s="368" t="str">
        <f t="shared" si="2471"/>
        <v/>
      </c>
      <c r="BU172" s="361" t="str">
        <f>ADHK!BU172</f>
        <v/>
      </c>
      <c r="BV172" s="361"/>
      <c r="BW172" s="361">
        <f t="shared" si="2117"/>
        <v>0</v>
      </c>
      <c r="BX172" s="369"/>
      <c r="BY172" s="361">
        <f t="shared" si="2118"/>
        <v>0</v>
      </c>
      <c r="BZ172" s="96"/>
      <c r="CA172" s="96"/>
      <c r="CB172" s="97"/>
      <c r="CC172" s="361">
        <f t="shared" si="2119"/>
        <v>0</v>
      </c>
      <c r="CD172" s="369">
        <f t="shared" si="2120"/>
        <v>0.4604471269</v>
      </c>
      <c r="CE172" s="370">
        <f t="shared" si="2121"/>
        <v>0</v>
      </c>
      <c r="CF172" s="371">
        <f t="shared" si="2122"/>
        <v>0</v>
      </c>
      <c r="CG172" s="364"/>
      <c r="CH172" s="366">
        <f t="shared" si="2224"/>
        <v>16</v>
      </c>
      <c r="CI172" s="367" t="str">
        <f t="shared" ref="CI172:CK172" si="2472">IFERROR(VLOOKUP($R172,$A$13:$D$30,-CI$12,FALSE),"")</f>
        <v>Lainnya 2.3 (8) …….</v>
      </c>
      <c r="CJ172" s="368" t="str">
        <f t="shared" si="2472"/>
        <v/>
      </c>
      <c r="CK172" s="368" t="str">
        <f t="shared" si="2472"/>
        <v/>
      </c>
      <c r="CL172" s="361" t="str">
        <f>ADHK!CL172</f>
        <v/>
      </c>
      <c r="CM172" s="361"/>
      <c r="CN172" s="361">
        <f t="shared" si="2124"/>
        <v>0</v>
      </c>
      <c r="CO172" s="369"/>
      <c r="CP172" s="361">
        <f t="shared" si="2125"/>
        <v>0</v>
      </c>
      <c r="CQ172" s="96"/>
      <c r="CR172" s="96"/>
      <c r="CS172" s="97"/>
      <c r="CT172" s="361">
        <f t="shared" si="2126"/>
        <v>0</v>
      </c>
      <c r="CU172" s="369">
        <f t="shared" si="2127"/>
        <v>0.4604471269</v>
      </c>
      <c r="CV172" s="370">
        <f t="shared" si="2128"/>
        <v>0</v>
      </c>
      <c r="CW172" s="371">
        <f t="shared" si="2129"/>
        <v>0</v>
      </c>
      <c r="CX172" s="364"/>
      <c r="CY172" s="366">
        <f t="shared" si="2226"/>
        <v>16</v>
      </c>
      <c r="CZ172" s="367" t="str">
        <f t="shared" ref="CZ172:DB172" si="2473">IFERROR(VLOOKUP($R172,$A$13:$D$30,-CZ$12,FALSE),"")</f>
        <v>Lainnya 2.3 (8) …….</v>
      </c>
      <c r="DA172" s="368" t="str">
        <f t="shared" si="2473"/>
        <v/>
      </c>
      <c r="DB172" s="368" t="str">
        <f t="shared" si="2473"/>
        <v/>
      </c>
      <c r="DC172" s="361" t="str">
        <f>ADHK!DC172</f>
        <v/>
      </c>
      <c r="DD172" s="361"/>
      <c r="DE172" s="361">
        <f t="shared" si="2131"/>
        <v>0</v>
      </c>
      <c r="DF172" s="369"/>
      <c r="DG172" s="361">
        <f t="shared" si="2132"/>
        <v>0</v>
      </c>
      <c r="DH172" s="96"/>
      <c r="DI172" s="96"/>
      <c r="DJ172" s="97"/>
      <c r="DK172" s="361">
        <f t="shared" si="2133"/>
        <v>0</v>
      </c>
      <c r="DL172" s="369">
        <f t="shared" si="2134"/>
        <v>0.4604471269</v>
      </c>
      <c r="DM172" s="370">
        <f t="shared" si="2135"/>
        <v>0</v>
      </c>
      <c r="DN172" s="371">
        <f t="shared" si="2136"/>
        <v>0</v>
      </c>
      <c r="DO172" s="364"/>
      <c r="DP172" s="366">
        <f t="shared" si="2228"/>
        <v>16</v>
      </c>
      <c r="DQ172" s="367" t="str">
        <f t="shared" ref="DQ172:DS172" si="2474">IFERROR(VLOOKUP($R172,$A$13:$D$30,-DQ$12,FALSE),"")</f>
        <v>Lainnya 2.3 (8) …….</v>
      </c>
      <c r="DR172" s="368" t="str">
        <f t="shared" si="2474"/>
        <v/>
      </c>
      <c r="DS172" s="368" t="str">
        <f t="shared" si="2474"/>
        <v/>
      </c>
      <c r="DT172" s="361" t="str">
        <f>ADHK!DT172</f>
        <v/>
      </c>
      <c r="DU172" s="361"/>
      <c r="DV172" s="361">
        <f t="shared" si="2138"/>
        <v>0</v>
      </c>
      <c r="DW172" s="369"/>
      <c r="DX172" s="361">
        <f t="shared" si="2139"/>
        <v>0</v>
      </c>
      <c r="DY172" s="96"/>
      <c r="DZ172" s="96"/>
      <c r="EA172" s="97"/>
      <c r="EB172" s="361">
        <f t="shared" si="2140"/>
        <v>0</v>
      </c>
      <c r="EC172" s="369">
        <f t="shared" si="2141"/>
        <v>0.4604471269</v>
      </c>
      <c r="ED172" s="370">
        <f t="shared" si="2142"/>
        <v>0</v>
      </c>
      <c r="EE172" s="371">
        <f t="shared" si="2143"/>
        <v>0</v>
      </c>
      <c r="EF172" s="364"/>
      <c r="EG172" s="366">
        <f t="shared" si="2230"/>
        <v>16</v>
      </c>
      <c r="EH172" s="367" t="str">
        <f t="shared" ref="EH172:EJ172" si="2475">IFERROR(VLOOKUP($R172,$A$13:$D$30,-EH$12,FALSE),"")</f>
        <v>Lainnya 2.3 (8) …….</v>
      </c>
      <c r="EI172" s="368" t="str">
        <f t="shared" si="2475"/>
        <v/>
      </c>
      <c r="EJ172" s="368" t="str">
        <f t="shared" si="2475"/>
        <v/>
      </c>
      <c r="EK172" s="361" t="str">
        <f>ADHK!EK172</f>
        <v/>
      </c>
      <c r="EL172" s="361"/>
      <c r="EM172" s="361">
        <f t="shared" si="2145"/>
        <v>0</v>
      </c>
      <c r="EN172" s="369"/>
      <c r="EO172" s="361">
        <f t="shared" si="2146"/>
        <v>0</v>
      </c>
      <c r="EP172" s="96"/>
      <c r="EQ172" s="96"/>
      <c r="ER172" s="97"/>
      <c r="ES172" s="361">
        <f t="shared" si="2147"/>
        <v>0</v>
      </c>
      <c r="ET172" s="369">
        <f t="shared" si="2148"/>
        <v>0.4604471269</v>
      </c>
      <c r="EU172" s="370">
        <f t="shared" si="2149"/>
        <v>0</v>
      </c>
      <c r="EV172" s="371">
        <f t="shared" si="2150"/>
        <v>0</v>
      </c>
      <c r="EW172" s="364"/>
      <c r="EX172" s="366">
        <f t="shared" si="2232"/>
        <v>16</v>
      </c>
      <c r="EY172" s="367" t="str">
        <f t="shared" ref="EY172:FA172" si="2476">IFERROR(VLOOKUP($R172,$A$13:$D$30,-EY$12,FALSE),"")</f>
        <v>Lainnya 2.3 (8) …….</v>
      </c>
      <c r="EZ172" s="368" t="str">
        <f t="shared" si="2476"/>
        <v/>
      </c>
      <c r="FA172" s="368" t="str">
        <f t="shared" si="2476"/>
        <v/>
      </c>
      <c r="FB172" s="361" t="str">
        <f>ADHK!FB172</f>
        <v/>
      </c>
      <c r="FC172" s="361"/>
      <c r="FD172" s="361">
        <f t="shared" si="2152"/>
        <v>0</v>
      </c>
      <c r="FE172" s="369"/>
      <c r="FF172" s="361">
        <f t="shared" si="2153"/>
        <v>0</v>
      </c>
      <c r="FG172" s="96"/>
      <c r="FH172" s="96"/>
      <c r="FI172" s="97"/>
      <c r="FJ172" s="361">
        <f t="shared" si="2154"/>
        <v>0</v>
      </c>
      <c r="FK172" s="369">
        <f t="shared" si="2155"/>
        <v>0.4604471269</v>
      </c>
      <c r="FL172" s="370">
        <f t="shared" si="2156"/>
        <v>0</v>
      </c>
      <c r="FM172" s="371">
        <f t="shared" si="2157"/>
        <v>0</v>
      </c>
      <c r="FN172" s="364"/>
      <c r="FO172" s="366">
        <f t="shared" si="2234"/>
        <v>16</v>
      </c>
      <c r="FP172" s="367" t="str">
        <f t="shared" ref="FP172:FR172" si="2477">IFERROR(VLOOKUP($R172,$A$13:$D$30,-FP$12,FALSE),"")</f>
        <v>Lainnya 2.3 (8) …….</v>
      </c>
      <c r="FQ172" s="368" t="str">
        <f t="shared" si="2477"/>
        <v/>
      </c>
      <c r="FR172" s="368" t="str">
        <f t="shared" si="2477"/>
        <v/>
      </c>
      <c r="FS172" s="361" t="str">
        <f>ADHK!FS172</f>
        <v/>
      </c>
      <c r="FT172" s="361"/>
      <c r="FU172" s="361">
        <f t="shared" si="2159"/>
        <v>0</v>
      </c>
      <c r="FV172" s="369"/>
      <c r="FW172" s="361">
        <f t="shared" si="2160"/>
        <v>0</v>
      </c>
      <c r="FX172" s="96"/>
      <c r="FY172" s="96"/>
      <c r="FZ172" s="97"/>
      <c r="GA172" s="361">
        <f t="shared" si="2161"/>
        <v>0</v>
      </c>
      <c r="GB172" s="369">
        <f t="shared" si="2162"/>
        <v>0.4604471269</v>
      </c>
      <c r="GC172" s="370">
        <f t="shared" si="2163"/>
        <v>0</v>
      </c>
      <c r="GD172" s="371">
        <f t="shared" si="2164"/>
        <v>0</v>
      </c>
      <c r="GE172" s="364"/>
      <c r="GF172" s="366">
        <f t="shared" si="2236"/>
        <v>16</v>
      </c>
      <c r="GG172" s="367" t="str">
        <f t="shared" ref="GG172:GI172" si="2478">IFERROR(VLOOKUP($R172,$A$13:$D$30,-GG$12,FALSE),"")</f>
        <v>Lainnya 2.3 (8) …….</v>
      </c>
      <c r="GH172" s="368" t="str">
        <f t="shared" si="2478"/>
        <v/>
      </c>
      <c r="GI172" s="368" t="str">
        <f t="shared" si="2478"/>
        <v/>
      </c>
      <c r="GJ172" s="361" t="str">
        <f>ADHK!GJ172</f>
        <v/>
      </c>
      <c r="GK172" s="361"/>
      <c r="GL172" s="361">
        <f t="shared" si="2166"/>
        <v>0</v>
      </c>
      <c r="GM172" s="369"/>
      <c r="GN172" s="361">
        <f t="shared" si="2167"/>
        <v>0</v>
      </c>
      <c r="GO172" s="96"/>
      <c r="GP172" s="96"/>
      <c r="GQ172" s="97"/>
      <c r="GR172" s="361">
        <f t="shared" si="2168"/>
        <v>0</v>
      </c>
      <c r="GS172" s="369">
        <f t="shared" si="2169"/>
        <v>0.4604471269</v>
      </c>
      <c r="GT172" s="370">
        <f t="shared" si="2170"/>
        <v>0</v>
      </c>
      <c r="GU172" s="371">
        <f t="shared" si="2171"/>
        <v>0</v>
      </c>
      <c r="GV172" s="364"/>
      <c r="GW172" s="366">
        <f t="shared" si="2238"/>
        <v>16</v>
      </c>
      <c r="GX172" s="367" t="str">
        <f t="shared" ref="GX172:GZ172" si="2479">IFERROR(VLOOKUP($R172,$A$13:$D$30,-GX$12,FALSE),"")</f>
        <v>Lainnya 2.3 (8) …….</v>
      </c>
      <c r="GY172" s="368" t="str">
        <f t="shared" si="2479"/>
        <v/>
      </c>
      <c r="GZ172" s="368" t="str">
        <f t="shared" si="2479"/>
        <v/>
      </c>
      <c r="HA172" s="361"/>
      <c r="HB172" s="372"/>
      <c r="HC172" s="361">
        <f t="shared" si="2173"/>
        <v>0</v>
      </c>
      <c r="HD172" s="369"/>
      <c r="HE172" s="361">
        <f t="shared" si="2174"/>
        <v>0</v>
      </c>
      <c r="HF172" s="96"/>
      <c r="HG172" s="96"/>
      <c r="HH172" s="97"/>
      <c r="HI172" s="361">
        <f t="shared" si="2175"/>
        <v>0</v>
      </c>
      <c r="HJ172" s="369">
        <f t="shared" si="2176"/>
        <v>0.4604471269</v>
      </c>
      <c r="HK172" s="370">
        <f t="shared" si="2177"/>
        <v>0</v>
      </c>
      <c r="HL172" s="371">
        <f t="shared" si="2178"/>
        <v>0</v>
      </c>
      <c r="HM172" s="364"/>
      <c r="HN172" s="366">
        <f t="shared" si="2240"/>
        <v>16</v>
      </c>
      <c r="HO172" s="367" t="str">
        <f t="shared" ref="HO172:HQ172" si="2480">IFERROR(VLOOKUP($R172,$A$13:$D$30,-HO$12,FALSE),"")</f>
        <v>Lainnya 2.3 (8) …….</v>
      </c>
      <c r="HP172" s="368" t="str">
        <f t="shared" si="2480"/>
        <v/>
      </c>
      <c r="HQ172" s="368" t="str">
        <f t="shared" si="2480"/>
        <v/>
      </c>
      <c r="HR172" s="361" t="str">
        <f>ADHK!HR172</f>
        <v/>
      </c>
      <c r="HS172" s="361"/>
      <c r="HT172" s="361">
        <f t="shared" si="2180"/>
        <v>0</v>
      </c>
      <c r="HU172" s="369"/>
      <c r="HV172" s="361">
        <f t="shared" si="2181"/>
        <v>0</v>
      </c>
      <c r="HW172" s="96"/>
      <c r="HX172" s="96"/>
      <c r="HY172" s="97"/>
      <c r="HZ172" s="361">
        <f t="shared" si="2182"/>
        <v>0</v>
      </c>
      <c r="IA172" s="369">
        <f t="shared" si="2183"/>
        <v>0.4604471269</v>
      </c>
      <c r="IB172" s="370">
        <f t="shared" si="2184"/>
        <v>0</v>
      </c>
      <c r="IC172" s="371">
        <f t="shared" si="2185"/>
        <v>0</v>
      </c>
      <c r="ID172" s="364"/>
      <c r="IE172" s="366">
        <f t="shared" si="2242"/>
        <v>16</v>
      </c>
      <c r="IF172" s="367" t="str">
        <f t="shared" ref="IF172:IH172" si="2481">IFERROR(VLOOKUP($R172,$A$13:$D$30,-IF$12,FALSE),"")</f>
        <v>Lainnya 2.3 (8) …….</v>
      </c>
      <c r="IG172" s="368" t="str">
        <f t="shared" si="2481"/>
        <v/>
      </c>
      <c r="IH172" s="368" t="str">
        <f t="shared" si="2481"/>
        <v/>
      </c>
      <c r="II172" s="361" t="str">
        <f>ADHK!II172</f>
        <v/>
      </c>
      <c r="IJ172" s="361"/>
      <c r="IK172" s="361">
        <f t="shared" si="2187"/>
        <v>0</v>
      </c>
      <c r="IL172" s="369"/>
      <c r="IM172" s="361">
        <f t="shared" si="2188"/>
        <v>0</v>
      </c>
      <c r="IN172" s="96"/>
      <c r="IO172" s="96"/>
      <c r="IP172" s="97"/>
      <c r="IQ172" s="361">
        <f t="shared" si="2189"/>
        <v>0</v>
      </c>
      <c r="IR172" s="369">
        <f t="shared" si="2190"/>
        <v>0.4604471269</v>
      </c>
      <c r="IS172" s="370">
        <f t="shared" si="2191"/>
        <v>0</v>
      </c>
      <c r="IT172" s="371">
        <f t="shared" si="2192"/>
        <v>0</v>
      </c>
      <c r="IU172" s="364"/>
      <c r="IV172" s="366">
        <f t="shared" si="2244"/>
        <v>16</v>
      </c>
      <c r="IW172" s="367" t="str">
        <f t="shared" ref="IW172:IY172" si="2482">IFERROR(VLOOKUP($R172,$A$13:$D$30,-IW$12,FALSE),"")</f>
        <v>Lainnya 2.3 (8) …….</v>
      </c>
      <c r="IX172" s="368" t="str">
        <f t="shared" si="2482"/>
        <v/>
      </c>
      <c r="IY172" s="368" t="str">
        <f t="shared" si="2482"/>
        <v/>
      </c>
      <c r="IZ172" s="361" t="str">
        <f>ADHK!IZ172</f>
        <v/>
      </c>
      <c r="JA172" s="361"/>
      <c r="JB172" s="361">
        <f t="shared" si="2194"/>
        <v>0</v>
      </c>
      <c r="JC172" s="369"/>
      <c r="JD172" s="361">
        <f t="shared" si="2195"/>
        <v>0</v>
      </c>
      <c r="JE172" s="96"/>
      <c r="JF172" s="96"/>
      <c r="JG172" s="97"/>
      <c r="JH172" s="361">
        <f t="shared" si="2196"/>
        <v>0</v>
      </c>
      <c r="JI172" s="369">
        <f t="shared" si="2197"/>
        <v>0.4604471269</v>
      </c>
      <c r="JJ172" s="370">
        <f t="shared" si="2198"/>
        <v>0</v>
      </c>
      <c r="JK172" s="371">
        <f t="shared" si="2199"/>
        <v>0</v>
      </c>
      <c r="JL172" s="364"/>
      <c r="JM172" s="366">
        <f t="shared" si="2246"/>
        <v>16</v>
      </c>
      <c r="JN172" s="367" t="str">
        <f t="shared" ref="JN172:JP172" si="2483">IFERROR(VLOOKUP($R172,$A$13:$D$30,-JN$12,FALSE),"")</f>
        <v>Lainnya 2.3 (8) …….</v>
      </c>
      <c r="JO172" s="368" t="str">
        <f t="shared" si="2483"/>
        <v/>
      </c>
      <c r="JP172" s="368" t="str">
        <f t="shared" si="2483"/>
        <v/>
      </c>
      <c r="JQ172" s="361" t="str">
        <f>ADHK!KY172</f>
        <v/>
      </c>
      <c r="JR172" s="361"/>
      <c r="JS172" s="361">
        <f t="shared" si="2201"/>
        <v>0</v>
      </c>
      <c r="JT172" s="369"/>
      <c r="JU172" s="361">
        <f t="shared" si="2202"/>
        <v>0</v>
      </c>
      <c r="JV172" s="96"/>
      <c r="JW172" s="96"/>
      <c r="JX172" s="97"/>
      <c r="JY172" s="361">
        <f t="shared" si="2203"/>
        <v>0</v>
      </c>
      <c r="JZ172" s="369">
        <f t="shared" si="2204"/>
        <v>0.4604471269</v>
      </c>
      <c r="KA172" s="370">
        <f t="shared" si="2205"/>
        <v>0</v>
      </c>
      <c r="KB172" s="371">
        <f t="shared" si="2206"/>
        <v>0</v>
      </c>
      <c r="KC172" s="364"/>
      <c r="KD172" s="366">
        <f t="shared" si="2248"/>
        <v>16</v>
      </c>
      <c r="KE172" s="367" t="str">
        <f t="shared" ref="KE172:KG172" si="2484">IFERROR(VLOOKUP($R172,$A$13:$D$30,-KE$12,FALSE),"")</f>
        <v>Lainnya 2.3 (8) …….</v>
      </c>
      <c r="KF172" s="368" t="str">
        <f t="shared" si="2484"/>
        <v/>
      </c>
      <c r="KG172" s="368" t="str">
        <f t="shared" si="2484"/>
        <v/>
      </c>
      <c r="KH172" s="361" t="str">
        <f>ADHK!LP172</f>
        <v/>
      </c>
      <c r="KI172" s="361"/>
      <c r="KJ172" s="361">
        <f t="shared" si="2208"/>
        <v>0</v>
      </c>
      <c r="KK172" s="369"/>
      <c r="KL172" s="361">
        <f t="shared" si="2209"/>
        <v>0</v>
      </c>
      <c r="KM172" s="96"/>
      <c r="KN172" s="96"/>
      <c r="KO172" s="97"/>
      <c r="KP172" s="361">
        <f t="shared" si="2210"/>
        <v>0</v>
      </c>
      <c r="KQ172" s="369">
        <f t="shared" si="2211"/>
        <v>0.4604471269</v>
      </c>
      <c r="KR172" s="370">
        <f t="shared" si="2212"/>
        <v>0</v>
      </c>
      <c r="KS172" s="371">
        <f t="shared" si="2213"/>
        <v>0</v>
      </c>
      <c r="KT172" s="364"/>
      <c r="KU172" s="365"/>
    </row>
    <row r="173" ht="15.75" customHeight="1">
      <c r="A173" s="366">
        <f t="shared" si="2214"/>
        <v>17</v>
      </c>
      <c r="B173" s="367" t="str">
        <f t="shared" ref="B173:D173" si="2485">IFERROR(VLOOKUP($A173,$A$13:$D$30,-B$12,FALSE),"")</f>
        <v>Lainnya 2.3 (9) …….</v>
      </c>
      <c r="C173" s="368" t="str">
        <f t="shared" si="2485"/>
        <v/>
      </c>
      <c r="D173" s="368" t="str">
        <f t="shared" si="2485"/>
        <v/>
      </c>
      <c r="E173" s="361" t="str">
        <f>ADHK!E173</f>
        <v/>
      </c>
      <c r="F173" s="361" t="str">
        <f>ADHK!F173</f>
        <v/>
      </c>
      <c r="G173" s="361">
        <f t="shared" si="2089"/>
        <v>0</v>
      </c>
      <c r="H173" s="369"/>
      <c r="I173" s="361">
        <f t="shared" si="2090"/>
        <v>0</v>
      </c>
      <c r="J173" s="96"/>
      <c r="K173" s="96"/>
      <c r="L173" s="97"/>
      <c r="M173" s="361">
        <f t="shared" si="2091"/>
        <v>0</v>
      </c>
      <c r="N173" s="369">
        <f t="shared" si="2092"/>
        <v>0.4604471269</v>
      </c>
      <c r="O173" s="370">
        <f t="shared" si="2093"/>
        <v>0</v>
      </c>
      <c r="P173" s="371">
        <f t="shared" si="2094"/>
        <v>0</v>
      </c>
      <c r="Q173" s="364"/>
      <c r="R173" s="366">
        <f t="shared" si="2216"/>
        <v>17</v>
      </c>
      <c r="S173" s="367" t="str">
        <f t="shared" ref="S173:U173" si="2486">IFERROR(VLOOKUP($R173,$A$13:$D$30,-S$12,FALSE),"")</f>
        <v>Lainnya 2.3 (9) …….</v>
      </c>
      <c r="T173" s="368" t="str">
        <f t="shared" si="2486"/>
        <v/>
      </c>
      <c r="U173" s="368" t="str">
        <f t="shared" si="2486"/>
        <v/>
      </c>
      <c r="V173" s="361" t="str">
        <f>ADHK!V173</f>
        <v/>
      </c>
      <c r="W173" s="361"/>
      <c r="X173" s="361">
        <f t="shared" si="2096"/>
        <v>0</v>
      </c>
      <c r="Y173" s="369"/>
      <c r="Z173" s="361">
        <f t="shared" si="2097"/>
        <v>0</v>
      </c>
      <c r="AA173" s="96"/>
      <c r="AB173" s="96"/>
      <c r="AC173" s="97"/>
      <c r="AD173" s="361">
        <f t="shared" si="2098"/>
        <v>0</v>
      </c>
      <c r="AE173" s="369">
        <f t="shared" si="2099"/>
        <v>0.4604471269</v>
      </c>
      <c r="AF173" s="370">
        <f t="shared" si="2100"/>
        <v>0</v>
      </c>
      <c r="AG173" s="371">
        <f t="shared" si="2101"/>
        <v>0</v>
      </c>
      <c r="AH173" s="364"/>
      <c r="AI173" s="366">
        <f t="shared" si="2218"/>
        <v>17</v>
      </c>
      <c r="AJ173" s="367" t="str">
        <f t="shared" ref="AJ173:AL173" si="2487">IFERROR(VLOOKUP($R173,$A$13:$D$30,-AJ$12,FALSE),"")</f>
        <v>Lainnya 2.3 (9) …….</v>
      </c>
      <c r="AK173" s="368" t="str">
        <f t="shared" si="2487"/>
        <v/>
      </c>
      <c r="AL173" s="368" t="str">
        <f t="shared" si="2487"/>
        <v/>
      </c>
      <c r="AM173" s="361" t="str">
        <f>ADHK!AM173</f>
        <v/>
      </c>
      <c r="AN173" s="361"/>
      <c r="AO173" s="361">
        <f t="shared" si="2103"/>
        <v>0</v>
      </c>
      <c r="AP173" s="369"/>
      <c r="AQ173" s="361">
        <f t="shared" si="2104"/>
        <v>0</v>
      </c>
      <c r="AR173" s="96"/>
      <c r="AS173" s="96"/>
      <c r="AT173" s="97"/>
      <c r="AU173" s="361">
        <f t="shared" si="2105"/>
        <v>0</v>
      </c>
      <c r="AV173" s="369">
        <f t="shared" si="2106"/>
        <v>0.4604471269</v>
      </c>
      <c r="AW173" s="370">
        <f t="shared" si="2107"/>
        <v>0</v>
      </c>
      <c r="AX173" s="371">
        <f t="shared" si="2108"/>
        <v>0</v>
      </c>
      <c r="AY173" s="364"/>
      <c r="AZ173" s="366">
        <f t="shared" si="2220"/>
        <v>17</v>
      </c>
      <c r="BA173" s="367" t="str">
        <f t="shared" ref="BA173:BC173" si="2488">IFERROR(VLOOKUP($R173,$A$13:$D$30,-BA$12,FALSE),"")</f>
        <v>Lainnya 2.3 (9) …….</v>
      </c>
      <c r="BB173" s="368" t="str">
        <f t="shared" si="2488"/>
        <v/>
      </c>
      <c r="BC173" s="368" t="str">
        <f t="shared" si="2488"/>
        <v/>
      </c>
      <c r="BD173" s="361" t="str">
        <f>ADHK!BD173</f>
        <v/>
      </c>
      <c r="BE173" s="361"/>
      <c r="BF173" s="361">
        <f t="shared" si="2110"/>
        <v>0</v>
      </c>
      <c r="BG173" s="369"/>
      <c r="BH173" s="361">
        <f t="shared" si="2111"/>
        <v>0</v>
      </c>
      <c r="BI173" s="96"/>
      <c r="BJ173" s="96"/>
      <c r="BK173" s="97"/>
      <c r="BL173" s="361">
        <f t="shared" si="2112"/>
        <v>0</v>
      </c>
      <c r="BM173" s="369">
        <f t="shared" si="2113"/>
        <v>0.4604471269</v>
      </c>
      <c r="BN173" s="370">
        <f t="shared" si="2114"/>
        <v>0</v>
      </c>
      <c r="BO173" s="371">
        <f t="shared" si="2115"/>
        <v>0</v>
      </c>
      <c r="BP173" s="364"/>
      <c r="BQ173" s="366">
        <f t="shared" si="2222"/>
        <v>17</v>
      </c>
      <c r="BR173" s="367" t="str">
        <f t="shared" ref="BR173:BT173" si="2489">IFERROR(VLOOKUP($R173,$A$13:$D$30,-BR$12,FALSE),"")</f>
        <v>Lainnya 2.3 (9) …….</v>
      </c>
      <c r="BS173" s="368" t="str">
        <f t="shared" si="2489"/>
        <v/>
      </c>
      <c r="BT173" s="368" t="str">
        <f t="shared" si="2489"/>
        <v/>
      </c>
      <c r="BU173" s="361" t="str">
        <f>ADHK!BU173</f>
        <v/>
      </c>
      <c r="BV173" s="361"/>
      <c r="BW173" s="361">
        <f t="shared" si="2117"/>
        <v>0</v>
      </c>
      <c r="BX173" s="369"/>
      <c r="BY173" s="361">
        <f t="shared" si="2118"/>
        <v>0</v>
      </c>
      <c r="BZ173" s="96"/>
      <c r="CA173" s="96"/>
      <c r="CB173" s="97"/>
      <c r="CC173" s="361">
        <f t="shared" si="2119"/>
        <v>0</v>
      </c>
      <c r="CD173" s="369">
        <f t="shared" si="2120"/>
        <v>0.4604471269</v>
      </c>
      <c r="CE173" s="370">
        <f t="shared" si="2121"/>
        <v>0</v>
      </c>
      <c r="CF173" s="371">
        <f t="shared" si="2122"/>
        <v>0</v>
      </c>
      <c r="CG173" s="364"/>
      <c r="CH173" s="366">
        <f t="shared" si="2224"/>
        <v>17</v>
      </c>
      <c r="CI173" s="367" t="str">
        <f t="shared" ref="CI173:CK173" si="2490">IFERROR(VLOOKUP($R173,$A$13:$D$30,-CI$12,FALSE),"")</f>
        <v>Lainnya 2.3 (9) …….</v>
      </c>
      <c r="CJ173" s="368" t="str">
        <f t="shared" si="2490"/>
        <v/>
      </c>
      <c r="CK173" s="368" t="str">
        <f t="shared" si="2490"/>
        <v/>
      </c>
      <c r="CL173" s="361" t="str">
        <f>ADHK!CL173</f>
        <v/>
      </c>
      <c r="CM173" s="361"/>
      <c r="CN173" s="361">
        <f t="shared" si="2124"/>
        <v>0</v>
      </c>
      <c r="CO173" s="369"/>
      <c r="CP173" s="361">
        <f t="shared" si="2125"/>
        <v>0</v>
      </c>
      <c r="CQ173" s="96"/>
      <c r="CR173" s="96"/>
      <c r="CS173" s="97"/>
      <c r="CT173" s="361">
        <f t="shared" si="2126"/>
        <v>0</v>
      </c>
      <c r="CU173" s="369">
        <f t="shared" si="2127"/>
        <v>0.4604471269</v>
      </c>
      <c r="CV173" s="370">
        <f t="shared" si="2128"/>
        <v>0</v>
      </c>
      <c r="CW173" s="371">
        <f t="shared" si="2129"/>
        <v>0</v>
      </c>
      <c r="CX173" s="364"/>
      <c r="CY173" s="366">
        <f t="shared" si="2226"/>
        <v>17</v>
      </c>
      <c r="CZ173" s="367" t="str">
        <f t="shared" ref="CZ173:DB173" si="2491">IFERROR(VLOOKUP($R173,$A$13:$D$30,-CZ$12,FALSE),"")</f>
        <v>Lainnya 2.3 (9) …….</v>
      </c>
      <c r="DA173" s="368" t="str">
        <f t="shared" si="2491"/>
        <v/>
      </c>
      <c r="DB173" s="368" t="str">
        <f t="shared" si="2491"/>
        <v/>
      </c>
      <c r="DC173" s="361" t="str">
        <f>ADHK!DC173</f>
        <v/>
      </c>
      <c r="DD173" s="361"/>
      <c r="DE173" s="361">
        <f t="shared" si="2131"/>
        <v>0</v>
      </c>
      <c r="DF173" s="369"/>
      <c r="DG173" s="361">
        <f t="shared" si="2132"/>
        <v>0</v>
      </c>
      <c r="DH173" s="96"/>
      <c r="DI173" s="96"/>
      <c r="DJ173" s="97"/>
      <c r="DK173" s="361">
        <f t="shared" si="2133"/>
        <v>0</v>
      </c>
      <c r="DL173" s="369">
        <f t="shared" si="2134"/>
        <v>0.4604471269</v>
      </c>
      <c r="DM173" s="370">
        <f t="shared" si="2135"/>
        <v>0</v>
      </c>
      <c r="DN173" s="371">
        <f t="shared" si="2136"/>
        <v>0</v>
      </c>
      <c r="DO173" s="364"/>
      <c r="DP173" s="366">
        <f t="shared" si="2228"/>
        <v>17</v>
      </c>
      <c r="DQ173" s="367" t="str">
        <f t="shared" ref="DQ173:DS173" si="2492">IFERROR(VLOOKUP($R173,$A$13:$D$30,-DQ$12,FALSE),"")</f>
        <v>Lainnya 2.3 (9) …….</v>
      </c>
      <c r="DR173" s="368" t="str">
        <f t="shared" si="2492"/>
        <v/>
      </c>
      <c r="DS173" s="368" t="str">
        <f t="shared" si="2492"/>
        <v/>
      </c>
      <c r="DT173" s="361" t="str">
        <f>ADHK!DT173</f>
        <v/>
      </c>
      <c r="DU173" s="361"/>
      <c r="DV173" s="361">
        <f t="shared" si="2138"/>
        <v>0</v>
      </c>
      <c r="DW173" s="369"/>
      <c r="DX173" s="361">
        <f t="shared" si="2139"/>
        <v>0</v>
      </c>
      <c r="DY173" s="96"/>
      <c r="DZ173" s="96"/>
      <c r="EA173" s="97"/>
      <c r="EB173" s="361">
        <f t="shared" si="2140"/>
        <v>0</v>
      </c>
      <c r="EC173" s="369">
        <f t="shared" si="2141"/>
        <v>0.4604471269</v>
      </c>
      <c r="ED173" s="370">
        <f t="shared" si="2142"/>
        <v>0</v>
      </c>
      <c r="EE173" s="371">
        <f t="shared" si="2143"/>
        <v>0</v>
      </c>
      <c r="EF173" s="364"/>
      <c r="EG173" s="366">
        <f t="shared" si="2230"/>
        <v>17</v>
      </c>
      <c r="EH173" s="367" t="str">
        <f t="shared" ref="EH173:EJ173" si="2493">IFERROR(VLOOKUP($R173,$A$13:$D$30,-EH$12,FALSE),"")</f>
        <v>Lainnya 2.3 (9) …….</v>
      </c>
      <c r="EI173" s="368" t="str">
        <f t="shared" si="2493"/>
        <v/>
      </c>
      <c r="EJ173" s="368" t="str">
        <f t="shared" si="2493"/>
        <v/>
      </c>
      <c r="EK173" s="361" t="str">
        <f>ADHK!EK173</f>
        <v/>
      </c>
      <c r="EL173" s="361"/>
      <c r="EM173" s="361">
        <f t="shared" si="2145"/>
        <v>0</v>
      </c>
      <c r="EN173" s="369"/>
      <c r="EO173" s="361">
        <f t="shared" si="2146"/>
        <v>0</v>
      </c>
      <c r="EP173" s="96"/>
      <c r="EQ173" s="96"/>
      <c r="ER173" s="97"/>
      <c r="ES173" s="361">
        <f t="shared" si="2147"/>
        <v>0</v>
      </c>
      <c r="ET173" s="369">
        <f t="shared" si="2148"/>
        <v>0.4604471269</v>
      </c>
      <c r="EU173" s="370">
        <f t="shared" si="2149"/>
        <v>0</v>
      </c>
      <c r="EV173" s="371">
        <f t="shared" si="2150"/>
        <v>0</v>
      </c>
      <c r="EW173" s="364"/>
      <c r="EX173" s="366">
        <f t="shared" si="2232"/>
        <v>17</v>
      </c>
      <c r="EY173" s="367" t="str">
        <f t="shared" ref="EY173:FA173" si="2494">IFERROR(VLOOKUP($R173,$A$13:$D$30,-EY$12,FALSE),"")</f>
        <v>Lainnya 2.3 (9) …….</v>
      </c>
      <c r="EZ173" s="368" t="str">
        <f t="shared" si="2494"/>
        <v/>
      </c>
      <c r="FA173" s="368" t="str">
        <f t="shared" si="2494"/>
        <v/>
      </c>
      <c r="FB173" s="361" t="str">
        <f>ADHK!FB173</f>
        <v/>
      </c>
      <c r="FC173" s="361"/>
      <c r="FD173" s="361">
        <f t="shared" si="2152"/>
        <v>0</v>
      </c>
      <c r="FE173" s="369"/>
      <c r="FF173" s="361">
        <f t="shared" si="2153"/>
        <v>0</v>
      </c>
      <c r="FG173" s="96"/>
      <c r="FH173" s="96"/>
      <c r="FI173" s="97"/>
      <c r="FJ173" s="361">
        <f t="shared" si="2154"/>
        <v>0</v>
      </c>
      <c r="FK173" s="369">
        <f t="shared" si="2155"/>
        <v>0.4604471269</v>
      </c>
      <c r="FL173" s="370">
        <f t="shared" si="2156"/>
        <v>0</v>
      </c>
      <c r="FM173" s="371">
        <f t="shared" si="2157"/>
        <v>0</v>
      </c>
      <c r="FN173" s="364"/>
      <c r="FO173" s="366">
        <f t="shared" si="2234"/>
        <v>17</v>
      </c>
      <c r="FP173" s="367" t="str">
        <f t="shared" ref="FP173:FR173" si="2495">IFERROR(VLOOKUP($R173,$A$13:$D$30,-FP$12,FALSE),"")</f>
        <v>Lainnya 2.3 (9) …….</v>
      </c>
      <c r="FQ173" s="368" t="str">
        <f t="shared" si="2495"/>
        <v/>
      </c>
      <c r="FR173" s="368" t="str">
        <f t="shared" si="2495"/>
        <v/>
      </c>
      <c r="FS173" s="361" t="str">
        <f>ADHK!FS173</f>
        <v/>
      </c>
      <c r="FT173" s="361"/>
      <c r="FU173" s="361">
        <f t="shared" si="2159"/>
        <v>0</v>
      </c>
      <c r="FV173" s="369"/>
      <c r="FW173" s="361">
        <f t="shared" si="2160"/>
        <v>0</v>
      </c>
      <c r="FX173" s="96"/>
      <c r="FY173" s="96"/>
      <c r="FZ173" s="97"/>
      <c r="GA173" s="361">
        <f t="shared" si="2161"/>
        <v>0</v>
      </c>
      <c r="GB173" s="369">
        <f t="shared" si="2162"/>
        <v>0.4604471269</v>
      </c>
      <c r="GC173" s="370">
        <f t="shared" si="2163"/>
        <v>0</v>
      </c>
      <c r="GD173" s="371">
        <f t="shared" si="2164"/>
        <v>0</v>
      </c>
      <c r="GE173" s="364"/>
      <c r="GF173" s="366">
        <f t="shared" si="2236"/>
        <v>17</v>
      </c>
      <c r="GG173" s="367" t="str">
        <f t="shared" ref="GG173:GI173" si="2496">IFERROR(VLOOKUP($R173,$A$13:$D$30,-GG$12,FALSE),"")</f>
        <v>Lainnya 2.3 (9) …….</v>
      </c>
      <c r="GH173" s="368" t="str">
        <f t="shared" si="2496"/>
        <v/>
      </c>
      <c r="GI173" s="368" t="str">
        <f t="shared" si="2496"/>
        <v/>
      </c>
      <c r="GJ173" s="361" t="str">
        <f>ADHK!GJ173</f>
        <v/>
      </c>
      <c r="GK173" s="361"/>
      <c r="GL173" s="361">
        <f t="shared" si="2166"/>
        <v>0</v>
      </c>
      <c r="GM173" s="369"/>
      <c r="GN173" s="361">
        <f t="shared" si="2167"/>
        <v>0</v>
      </c>
      <c r="GO173" s="96"/>
      <c r="GP173" s="96"/>
      <c r="GQ173" s="97"/>
      <c r="GR173" s="361">
        <f t="shared" si="2168"/>
        <v>0</v>
      </c>
      <c r="GS173" s="369">
        <f t="shared" si="2169"/>
        <v>0.4604471269</v>
      </c>
      <c r="GT173" s="370">
        <f t="shared" si="2170"/>
        <v>0</v>
      </c>
      <c r="GU173" s="371">
        <f t="shared" si="2171"/>
        <v>0</v>
      </c>
      <c r="GV173" s="364"/>
      <c r="GW173" s="366">
        <f t="shared" si="2238"/>
        <v>17</v>
      </c>
      <c r="GX173" s="367" t="str">
        <f t="shared" ref="GX173:GZ173" si="2497">IFERROR(VLOOKUP($R173,$A$13:$D$30,-GX$12,FALSE),"")</f>
        <v>Lainnya 2.3 (9) …….</v>
      </c>
      <c r="GY173" s="368" t="str">
        <f t="shared" si="2497"/>
        <v/>
      </c>
      <c r="GZ173" s="368" t="str">
        <f t="shared" si="2497"/>
        <v/>
      </c>
      <c r="HA173" s="361"/>
      <c r="HB173" s="361"/>
      <c r="HC173" s="361">
        <f t="shared" si="2173"/>
        <v>0</v>
      </c>
      <c r="HD173" s="369"/>
      <c r="HE173" s="361">
        <f t="shared" si="2174"/>
        <v>0</v>
      </c>
      <c r="HF173" s="96"/>
      <c r="HG173" s="96"/>
      <c r="HH173" s="97"/>
      <c r="HI173" s="361">
        <f t="shared" si="2175"/>
        <v>0</v>
      </c>
      <c r="HJ173" s="369">
        <f t="shared" si="2176"/>
        <v>0.4604471269</v>
      </c>
      <c r="HK173" s="370">
        <f t="shared" si="2177"/>
        <v>0</v>
      </c>
      <c r="HL173" s="371">
        <f t="shared" si="2178"/>
        <v>0</v>
      </c>
      <c r="HM173" s="364"/>
      <c r="HN173" s="366">
        <f t="shared" si="2240"/>
        <v>17</v>
      </c>
      <c r="HO173" s="367" t="str">
        <f t="shared" ref="HO173:HQ173" si="2498">IFERROR(VLOOKUP($R173,$A$13:$D$30,-HO$12,FALSE),"")</f>
        <v>Lainnya 2.3 (9) …….</v>
      </c>
      <c r="HP173" s="368" t="str">
        <f t="shared" si="2498"/>
        <v/>
      </c>
      <c r="HQ173" s="368" t="str">
        <f t="shared" si="2498"/>
        <v/>
      </c>
      <c r="HR173" s="361" t="str">
        <f>ADHK!HR173</f>
        <v/>
      </c>
      <c r="HS173" s="361"/>
      <c r="HT173" s="361">
        <f t="shared" si="2180"/>
        <v>0</v>
      </c>
      <c r="HU173" s="369"/>
      <c r="HV173" s="361">
        <f t="shared" si="2181"/>
        <v>0</v>
      </c>
      <c r="HW173" s="96"/>
      <c r="HX173" s="96"/>
      <c r="HY173" s="97"/>
      <c r="HZ173" s="361">
        <f t="shared" si="2182"/>
        <v>0</v>
      </c>
      <c r="IA173" s="369">
        <f t="shared" si="2183"/>
        <v>0.4604471269</v>
      </c>
      <c r="IB173" s="370">
        <f t="shared" si="2184"/>
        <v>0</v>
      </c>
      <c r="IC173" s="371">
        <f t="shared" si="2185"/>
        <v>0</v>
      </c>
      <c r="ID173" s="364"/>
      <c r="IE173" s="366">
        <f t="shared" si="2242"/>
        <v>17</v>
      </c>
      <c r="IF173" s="367" t="str">
        <f t="shared" ref="IF173:IH173" si="2499">IFERROR(VLOOKUP($R173,$A$13:$D$30,-IF$12,FALSE),"")</f>
        <v>Lainnya 2.3 (9) …….</v>
      </c>
      <c r="IG173" s="368" t="str">
        <f t="shared" si="2499"/>
        <v/>
      </c>
      <c r="IH173" s="368" t="str">
        <f t="shared" si="2499"/>
        <v/>
      </c>
      <c r="II173" s="361" t="str">
        <f>ADHK!II173</f>
        <v/>
      </c>
      <c r="IJ173" s="361"/>
      <c r="IK173" s="361">
        <f t="shared" si="2187"/>
        <v>0</v>
      </c>
      <c r="IL173" s="369"/>
      <c r="IM173" s="361">
        <f t="shared" si="2188"/>
        <v>0</v>
      </c>
      <c r="IN173" s="96"/>
      <c r="IO173" s="96"/>
      <c r="IP173" s="97"/>
      <c r="IQ173" s="361">
        <f t="shared" si="2189"/>
        <v>0</v>
      </c>
      <c r="IR173" s="369">
        <f t="shared" si="2190"/>
        <v>0.4604471269</v>
      </c>
      <c r="IS173" s="370">
        <f t="shared" si="2191"/>
        <v>0</v>
      </c>
      <c r="IT173" s="371">
        <f t="shared" si="2192"/>
        <v>0</v>
      </c>
      <c r="IU173" s="364"/>
      <c r="IV173" s="366">
        <f t="shared" si="2244"/>
        <v>17</v>
      </c>
      <c r="IW173" s="367" t="str">
        <f t="shared" ref="IW173:IY173" si="2500">IFERROR(VLOOKUP($R173,$A$13:$D$30,-IW$12,FALSE),"")</f>
        <v>Lainnya 2.3 (9) …….</v>
      </c>
      <c r="IX173" s="368" t="str">
        <f t="shared" si="2500"/>
        <v/>
      </c>
      <c r="IY173" s="368" t="str">
        <f t="shared" si="2500"/>
        <v/>
      </c>
      <c r="IZ173" s="361" t="str">
        <f>ADHK!IZ173</f>
        <v/>
      </c>
      <c r="JA173" s="361"/>
      <c r="JB173" s="361">
        <f t="shared" si="2194"/>
        <v>0</v>
      </c>
      <c r="JC173" s="369"/>
      <c r="JD173" s="361">
        <f t="shared" si="2195"/>
        <v>0</v>
      </c>
      <c r="JE173" s="96"/>
      <c r="JF173" s="96"/>
      <c r="JG173" s="97"/>
      <c r="JH173" s="361">
        <f t="shared" si="2196"/>
        <v>0</v>
      </c>
      <c r="JI173" s="369">
        <f t="shared" si="2197"/>
        <v>0.4604471269</v>
      </c>
      <c r="JJ173" s="370">
        <f t="shared" si="2198"/>
        <v>0</v>
      </c>
      <c r="JK173" s="371">
        <f t="shared" si="2199"/>
        <v>0</v>
      </c>
      <c r="JL173" s="364"/>
      <c r="JM173" s="366">
        <f t="shared" si="2246"/>
        <v>17</v>
      </c>
      <c r="JN173" s="367" t="str">
        <f t="shared" ref="JN173:JP173" si="2501">IFERROR(VLOOKUP($R173,$A$13:$D$30,-JN$12,FALSE),"")</f>
        <v>Lainnya 2.3 (9) …….</v>
      </c>
      <c r="JO173" s="368" t="str">
        <f t="shared" si="2501"/>
        <v/>
      </c>
      <c r="JP173" s="368" t="str">
        <f t="shared" si="2501"/>
        <v/>
      </c>
      <c r="JQ173" s="361" t="str">
        <f>ADHK!KY173</f>
        <v/>
      </c>
      <c r="JR173" s="361"/>
      <c r="JS173" s="361">
        <f t="shared" si="2201"/>
        <v>0</v>
      </c>
      <c r="JT173" s="369"/>
      <c r="JU173" s="361">
        <f t="shared" si="2202"/>
        <v>0</v>
      </c>
      <c r="JV173" s="96"/>
      <c r="JW173" s="96"/>
      <c r="JX173" s="97"/>
      <c r="JY173" s="361">
        <f t="shared" si="2203"/>
        <v>0</v>
      </c>
      <c r="JZ173" s="369">
        <f t="shared" si="2204"/>
        <v>0.4604471269</v>
      </c>
      <c r="KA173" s="370">
        <f t="shared" si="2205"/>
        <v>0</v>
      </c>
      <c r="KB173" s="371">
        <f t="shared" si="2206"/>
        <v>0</v>
      </c>
      <c r="KC173" s="364"/>
      <c r="KD173" s="366">
        <f t="shared" si="2248"/>
        <v>17</v>
      </c>
      <c r="KE173" s="367" t="str">
        <f t="shared" ref="KE173:KG173" si="2502">IFERROR(VLOOKUP($R173,$A$13:$D$30,-KE$12,FALSE),"")</f>
        <v>Lainnya 2.3 (9) …….</v>
      </c>
      <c r="KF173" s="368" t="str">
        <f t="shared" si="2502"/>
        <v/>
      </c>
      <c r="KG173" s="368" t="str">
        <f t="shared" si="2502"/>
        <v/>
      </c>
      <c r="KH173" s="361" t="str">
        <f>ADHK!LP173</f>
        <v/>
      </c>
      <c r="KI173" s="361"/>
      <c r="KJ173" s="361">
        <f t="shared" si="2208"/>
        <v>0</v>
      </c>
      <c r="KK173" s="369"/>
      <c r="KL173" s="361">
        <f t="shared" si="2209"/>
        <v>0</v>
      </c>
      <c r="KM173" s="96"/>
      <c r="KN173" s="96"/>
      <c r="KO173" s="97"/>
      <c r="KP173" s="361">
        <f t="shared" si="2210"/>
        <v>0</v>
      </c>
      <c r="KQ173" s="369">
        <f t="shared" si="2211"/>
        <v>0.4604471269</v>
      </c>
      <c r="KR173" s="370">
        <f t="shared" si="2212"/>
        <v>0</v>
      </c>
      <c r="KS173" s="371">
        <f t="shared" si="2213"/>
        <v>0</v>
      </c>
      <c r="KT173" s="364"/>
      <c r="KU173" s="365"/>
    </row>
    <row r="174" ht="15.75" customHeight="1">
      <c r="A174" s="366"/>
      <c r="B174" s="367"/>
      <c r="C174" s="373"/>
      <c r="D174" s="373"/>
      <c r="E174" s="361"/>
      <c r="F174" s="361"/>
      <c r="G174" s="361"/>
      <c r="H174" s="361"/>
      <c r="I174" s="361"/>
      <c r="J174" s="96"/>
      <c r="K174" s="96"/>
      <c r="L174" s="96"/>
      <c r="M174" s="361"/>
      <c r="N174" s="361"/>
      <c r="O174" s="361"/>
      <c r="P174" s="371"/>
      <c r="Q174" s="364"/>
      <c r="R174" s="366"/>
      <c r="S174" s="367"/>
      <c r="T174" s="373"/>
      <c r="U174" s="373"/>
      <c r="V174" s="361"/>
      <c r="W174" s="361"/>
      <c r="X174" s="361"/>
      <c r="Y174" s="361"/>
      <c r="Z174" s="361"/>
      <c r="AA174" s="96"/>
      <c r="AB174" s="96"/>
      <c r="AC174" s="96"/>
      <c r="AD174" s="361"/>
      <c r="AE174" s="361"/>
      <c r="AF174" s="361"/>
      <c r="AG174" s="371"/>
      <c r="AH174" s="364"/>
      <c r="AI174" s="366"/>
      <c r="AJ174" s="367"/>
      <c r="AK174" s="373"/>
      <c r="AL174" s="373"/>
      <c r="AM174" s="361"/>
      <c r="AN174" s="361"/>
      <c r="AO174" s="361"/>
      <c r="AP174" s="361"/>
      <c r="AQ174" s="361"/>
      <c r="AR174" s="96"/>
      <c r="AS174" s="96"/>
      <c r="AT174" s="96"/>
      <c r="AU174" s="361"/>
      <c r="AV174" s="361"/>
      <c r="AW174" s="361"/>
      <c r="AX174" s="371"/>
      <c r="AY174" s="364"/>
      <c r="AZ174" s="366"/>
      <c r="BA174" s="367"/>
      <c r="BB174" s="373"/>
      <c r="BC174" s="373"/>
      <c r="BD174" s="361"/>
      <c r="BE174" s="361"/>
      <c r="BF174" s="361"/>
      <c r="BG174" s="361"/>
      <c r="BH174" s="361"/>
      <c r="BI174" s="96"/>
      <c r="BJ174" s="96"/>
      <c r="BK174" s="96"/>
      <c r="BL174" s="361"/>
      <c r="BM174" s="361"/>
      <c r="BN174" s="361"/>
      <c r="BO174" s="371"/>
      <c r="BP174" s="364"/>
      <c r="BQ174" s="366"/>
      <c r="BR174" s="367"/>
      <c r="BS174" s="373"/>
      <c r="BT174" s="373"/>
      <c r="BU174" s="361"/>
      <c r="BV174" s="361"/>
      <c r="BW174" s="361"/>
      <c r="BX174" s="361"/>
      <c r="BY174" s="361"/>
      <c r="BZ174" s="96"/>
      <c r="CA174" s="96"/>
      <c r="CB174" s="96"/>
      <c r="CC174" s="361"/>
      <c r="CD174" s="361"/>
      <c r="CE174" s="361"/>
      <c r="CF174" s="371"/>
      <c r="CG174" s="364"/>
      <c r="CH174" s="366"/>
      <c r="CI174" s="367"/>
      <c r="CJ174" s="373"/>
      <c r="CK174" s="373"/>
      <c r="CL174" s="361"/>
      <c r="CM174" s="361"/>
      <c r="CN174" s="361"/>
      <c r="CO174" s="361"/>
      <c r="CP174" s="361"/>
      <c r="CQ174" s="96"/>
      <c r="CR174" s="96"/>
      <c r="CS174" s="96"/>
      <c r="CT174" s="361"/>
      <c r="CU174" s="361"/>
      <c r="CV174" s="361"/>
      <c r="CW174" s="371"/>
      <c r="CX174" s="364"/>
      <c r="CY174" s="366"/>
      <c r="CZ174" s="367"/>
      <c r="DA174" s="373"/>
      <c r="DB174" s="373"/>
      <c r="DC174" s="361"/>
      <c r="DD174" s="361"/>
      <c r="DE174" s="361"/>
      <c r="DF174" s="361"/>
      <c r="DG174" s="361"/>
      <c r="DH174" s="96"/>
      <c r="DI174" s="96"/>
      <c r="DJ174" s="96"/>
      <c r="DK174" s="361"/>
      <c r="DL174" s="361"/>
      <c r="DM174" s="361"/>
      <c r="DN174" s="371"/>
      <c r="DO174" s="364"/>
      <c r="DP174" s="366"/>
      <c r="DQ174" s="367"/>
      <c r="DR174" s="373"/>
      <c r="DS174" s="373"/>
      <c r="DT174" s="361"/>
      <c r="DU174" s="361"/>
      <c r="DV174" s="361"/>
      <c r="DW174" s="361"/>
      <c r="DX174" s="361"/>
      <c r="DY174" s="96"/>
      <c r="DZ174" s="96"/>
      <c r="EA174" s="96"/>
      <c r="EB174" s="361"/>
      <c r="EC174" s="361"/>
      <c r="ED174" s="361"/>
      <c r="EE174" s="371"/>
      <c r="EF174" s="364"/>
      <c r="EG174" s="366"/>
      <c r="EH174" s="367"/>
      <c r="EI174" s="373"/>
      <c r="EJ174" s="373"/>
      <c r="EK174" s="361"/>
      <c r="EL174" s="361"/>
      <c r="EM174" s="361"/>
      <c r="EN174" s="361"/>
      <c r="EO174" s="361"/>
      <c r="EP174" s="96"/>
      <c r="EQ174" s="96"/>
      <c r="ER174" s="96"/>
      <c r="ES174" s="361"/>
      <c r="ET174" s="361"/>
      <c r="EU174" s="361"/>
      <c r="EV174" s="371"/>
      <c r="EW174" s="364"/>
      <c r="EX174" s="366"/>
      <c r="EY174" s="367"/>
      <c r="EZ174" s="373"/>
      <c r="FA174" s="373"/>
      <c r="FB174" s="361"/>
      <c r="FC174" s="361"/>
      <c r="FD174" s="361"/>
      <c r="FE174" s="361"/>
      <c r="FF174" s="361"/>
      <c r="FG174" s="96"/>
      <c r="FH174" s="96"/>
      <c r="FI174" s="96"/>
      <c r="FJ174" s="361"/>
      <c r="FK174" s="361"/>
      <c r="FL174" s="361"/>
      <c r="FM174" s="371"/>
      <c r="FN174" s="364"/>
      <c r="FO174" s="366"/>
      <c r="FP174" s="367"/>
      <c r="FQ174" s="373"/>
      <c r="FR174" s="373"/>
      <c r="FS174" s="361"/>
      <c r="FT174" s="361"/>
      <c r="FU174" s="361"/>
      <c r="FV174" s="361"/>
      <c r="FW174" s="361"/>
      <c r="FX174" s="96"/>
      <c r="FY174" s="96"/>
      <c r="FZ174" s="96"/>
      <c r="GA174" s="361"/>
      <c r="GB174" s="361"/>
      <c r="GC174" s="361"/>
      <c r="GD174" s="371"/>
      <c r="GE174" s="364"/>
      <c r="GF174" s="366"/>
      <c r="GG174" s="367"/>
      <c r="GH174" s="373"/>
      <c r="GI174" s="373"/>
      <c r="GJ174" s="361"/>
      <c r="GK174" s="361"/>
      <c r="GL174" s="361"/>
      <c r="GM174" s="361"/>
      <c r="GN174" s="361"/>
      <c r="GO174" s="96"/>
      <c r="GP174" s="96"/>
      <c r="GQ174" s="96"/>
      <c r="GR174" s="361"/>
      <c r="GS174" s="361"/>
      <c r="GT174" s="361"/>
      <c r="GU174" s="371"/>
      <c r="GV174" s="364"/>
      <c r="GW174" s="366"/>
      <c r="GX174" s="367"/>
      <c r="GY174" s="373"/>
      <c r="GZ174" s="373"/>
      <c r="HA174" s="361"/>
      <c r="HB174" s="361"/>
      <c r="HC174" s="361"/>
      <c r="HD174" s="361"/>
      <c r="HE174" s="361"/>
      <c r="HF174" s="96"/>
      <c r="HG174" s="96"/>
      <c r="HH174" s="96"/>
      <c r="HI174" s="361"/>
      <c r="HJ174" s="361"/>
      <c r="HK174" s="361"/>
      <c r="HL174" s="371"/>
      <c r="HM174" s="364"/>
      <c r="HN174" s="366"/>
      <c r="HO174" s="367"/>
      <c r="HP174" s="373"/>
      <c r="HQ174" s="373"/>
      <c r="HR174" s="361"/>
      <c r="HS174" s="361"/>
      <c r="HT174" s="361"/>
      <c r="HU174" s="361"/>
      <c r="HV174" s="361"/>
      <c r="HW174" s="96"/>
      <c r="HX174" s="96"/>
      <c r="HY174" s="96"/>
      <c r="HZ174" s="361"/>
      <c r="IA174" s="361"/>
      <c r="IB174" s="361"/>
      <c r="IC174" s="371"/>
      <c r="ID174" s="364"/>
      <c r="IE174" s="366"/>
      <c r="IF174" s="367"/>
      <c r="IG174" s="373"/>
      <c r="IH174" s="373"/>
      <c r="II174" s="361"/>
      <c r="IJ174" s="361"/>
      <c r="IK174" s="361"/>
      <c r="IL174" s="361"/>
      <c r="IM174" s="361"/>
      <c r="IN174" s="96"/>
      <c r="IO174" s="96"/>
      <c r="IP174" s="96"/>
      <c r="IQ174" s="361"/>
      <c r="IR174" s="361"/>
      <c r="IS174" s="361"/>
      <c r="IT174" s="371"/>
      <c r="IU174" s="364"/>
      <c r="IV174" s="366"/>
      <c r="IW174" s="367"/>
      <c r="IX174" s="373"/>
      <c r="IY174" s="373"/>
      <c r="IZ174" s="361"/>
      <c r="JA174" s="361"/>
      <c r="JB174" s="361"/>
      <c r="JC174" s="361"/>
      <c r="JD174" s="361"/>
      <c r="JE174" s="96"/>
      <c r="JF174" s="96"/>
      <c r="JG174" s="96"/>
      <c r="JH174" s="361"/>
      <c r="JI174" s="361"/>
      <c r="JJ174" s="361"/>
      <c r="JK174" s="371"/>
      <c r="JL174" s="364"/>
      <c r="JM174" s="366"/>
      <c r="JN174" s="367"/>
      <c r="JO174" s="373"/>
      <c r="JP174" s="373"/>
      <c r="JQ174" s="361"/>
      <c r="JR174" s="361"/>
      <c r="JS174" s="361"/>
      <c r="JT174" s="361"/>
      <c r="JU174" s="361"/>
      <c r="JV174" s="96"/>
      <c r="JW174" s="96"/>
      <c r="JX174" s="96"/>
      <c r="JY174" s="361"/>
      <c r="JZ174" s="361"/>
      <c r="KA174" s="361"/>
      <c r="KB174" s="371"/>
      <c r="KC174" s="364"/>
      <c r="KD174" s="366"/>
      <c r="KE174" s="367"/>
      <c r="KF174" s="373"/>
      <c r="KG174" s="373"/>
      <c r="KH174" s="361"/>
      <c r="KI174" s="361"/>
      <c r="KJ174" s="361"/>
      <c r="KK174" s="361"/>
      <c r="KL174" s="361"/>
      <c r="KM174" s="96"/>
      <c r="KN174" s="96"/>
      <c r="KO174" s="96"/>
      <c r="KP174" s="361"/>
      <c r="KQ174" s="361"/>
      <c r="KR174" s="361"/>
      <c r="KS174" s="371"/>
      <c r="KT174" s="364"/>
      <c r="KU174" s="365"/>
    </row>
    <row r="175" ht="15.75" customHeight="1">
      <c r="A175" s="374" t="s">
        <v>51</v>
      </c>
      <c r="B175" s="102"/>
      <c r="C175" s="375"/>
      <c r="D175" s="375"/>
      <c r="E175" s="376"/>
      <c r="F175" s="376"/>
      <c r="G175" s="377">
        <f>SUM(G157:G174)</f>
        <v>0</v>
      </c>
      <c r="H175" s="376"/>
      <c r="I175" s="377">
        <f>SUM(I157:I174)</f>
        <v>0</v>
      </c>
      <c r="J175" s="104"/>
      <c r="K175" s="104"/>
      <c r="L175" s="104"/>
      <c r="M175" s="377">
        <f>SUM(M157:M174)</f>
        <v>0</v>
      </c>
      <c r="N175" s="376"/>
      <c r="O175" s="377">
        <f t="shared" ref="O175:P175" si="2503">SUM(O157:O174)</f>
        <v>0</v>
      </c>
      <c r="P175" s="377">
        <f t="shared" si="2503"/>
        <v>0</v>
      </c>
      <c r="Q175" s="378"/>
      <c r="R175" s="374" t="s">
        <v>51</v>
      </c>
      <c r="S175" s="102"/>
      <c r="T175" s="375"/>
      <c r="U175" s="375"/>
      <c r="V175" s="376"/>
      <c r="W175" s="376"/>
      <c r="X175" s="377">
        <f>SUM(X157:X174)</f>
        <v>0</v>
      </c>
      <c r="Y175" s="376"/>
      <c r="Z175" s="377">
        <f>SUM(Z157:Z174)</f>
        <v>0</v>
      </c>
      <c r="AA175" s="104"/>
      <c r="AB175" s="104"/>
      <c r="AC175" s="104"/>
      <c r="AD175" s="377">
        <f>SUM(AD157:AD174)</f>
        <v>0</v>
      </c>
      <c r="AE175" s="376"/>
      <c r="AF175" s="377">
        <f t="shared" ref="AF175:AG175" si="2504">SUM(AF157:AF174)</f>
        <v>0</v>
      </c>
      <c r="AG175" s="377">
        <f t="shared" si="2504"/>
        <v>0</v>
      </c>
      <c r="AH175" s="378"/>
      <c r="AI175" s="374" t="s">
        <v>51</v>
      </c>
      <c r="AJ175" s="102"/>
      <c r="AK175" s="375"/>
      <c r="AL175" s="375"/>
      <c r="AM175" s="376"/>
      <c r="AN175" s="376"/>
      <c r="AO175" s="377">
        <f>SUM(AO157:AO174)</f>
        <v>0</v>
      </c>
      <c r="AP175" s="376"/>
      <c r="AQ175" s="377">
        <f>SUM(AQ157:AQ174)</f>
        <v>0</v>
      </c>
      <c r="AR175" s="104"/>
      <c r="AS175" s="104"/>
      <c r="AT175" s="104"/>
      <c r="AU175" s="377">
        <f>SUM(AU157:AU174)</f>
        <v>0</v>
      </c>
      <c r="AV175" s="376"/>
      <c r="AW175" s="377">
        <f t="shared" ref="AW175:AX175" si="2505">SUM(AW157:AW174)</f>
        <v>0</v>
      </c>
      <c r="AX175" s="377">
        <f t="shared" si="2505"/>
        <v>0</v>
      </c>
      <c r="AY175" s="378"/>
      <c r="AZ175" s="374" t="s">
        <v>51</v>
      </c>
      <c r="BA175" s="102"/>
      <c r="BB175" s="375"/>
      <c r="BC175" s="375"/>
      <c r="BD175" s="376"/>
      <c r="BE175" s="376"/>
      <c r="BF175" s="377">
        <f>SUM(BF157:BF174)</f>
        <v>0</v>
      </c>
      <c r="BG175" s="376"/>
      <c r="BH175" s="377">
        <f>SUM(BH157:BH174)</f>
        <v>0</v>
      </c>
      <c r="BI175" s="104"/>
      <c r="BJ175" s="104"/>
      <c r="BK175" s="104"/>
      <c r="BL175" s="377">
        <f>SUM(BL157:BL174)</f>
        <v>0</v>
      </c>
      <c r="BM175" s="376"/>
      <c r="BN175" s="377">
        <f t="shared" ref="BN175:BO175" si="2506">SUM(BN157:BN174)</f>
        <v>0</v>
      </c>
      <c r="BO175" s="377">
        <f t="shared" si="2506"/>
        <v>0</v>
      </c>
      <c r="BP175" s="378"/>
      <c r="BQ175" s="374" t="s">
        <v>51</v>
      </c>
      <c r="BR175" s="102"/>
      <c r="BS175" s="375"/>
      <c r="BT175" s="375"/>
      <c r="BU175" s="376"/>
      <c r="BV175" s="376"/>
      <c r="BW175" s="377">
        <f>SUM(BW157:BW174)</f>
        <v>0</v>
      </c>
      <c r="BX175" s="376"/>
      <c r="BY175" s="377">
        <f>SUM(BY157:BY174)</f>
        <v>0</v>
      </c>
      <c r="BZ175" s="104"/>
      <c r="CA175" s="104"/>
      <c r="CB175" s="104"/>
      <c r="CC175" s="377">
        <f>SUM(CC157:CC174)</f>
        <v>0</v>
      </c>
      <c r="CD175" s="376"/>
      <c r="CE175" s="377">
        <f t="shared" ref="CE175:CF175" si="2507">SUM(CE157:CE174)</f>
        <v>0</v>
      </c>
      <c r="CF175" s="377">
        <f t="shared" si="2507"/>
        <v>0</v>
      </c>
      <c r="CG175" s="378"/>
      <c r="CH175" s="374" t="s">
        <v>51</v>
      </c>
      <c r="CI175" s="102"/>
      <c r="CJ175" s="375"/>
      <c r="CK175" s="375"/>
      <c r="CL175" s="376"/>
      <c r="CM175" s="376"/>
      <c r="CN175" s="377">
        <f>SUM(CN157:CN174)</f>
        <v>0</v>
      </c>
      <c r="CO175" s="376"/>
      <c r="CP175" s="377">
        <f>SUM(CP157:CP174)</f>
        <v>0</v>
      </c>
      <c r="CQ175" s="104"/>
      <c r="CR175" s="104"/>
      <c r="CS175" s="104"/>
      <c r="CT175" s="377">
        <f>SUM(CT157:CT174)</f>
        <v>0</v>
      </c>
      <c r="CU175" s="376"/>
      <c r="CV175" s="377">
        <f t="shared" ref="CV175:CW175" si="2508">SUM(CV157:CV174)</f>
        <v>0</v>
      </c>
      <c r="CW175" s="377">
        <f t="shared" si="2508"/>
        <v>0</v>
      </c>
      <c r="CX175" s="378"/>
      <c r="CY175" s="374" t="s">
        <v>51</v>
      </c>
      <c r="CZ175" s="102"/>
      <c r="DA175" s="375"/>
      <c r="DB175" s="375"/>
      <c r="DC175" s="376"/>
      <c r="DD175" s="376"/>
      <c r="DE175" s="377">
        <f>SUM(DE157:DE174)</f>
        <v>0</v>
      </c>
      <c r="DF175" s="376"/>
      <c r="DG175" s="377">
        <f>SUM(DG157:DG174)</f>
        <v>0</v>
      </c>
      <c r="DH175" s="104"/>
      <c r="DI175" s="104"/>
      <c r="DJ175" s="104"/>
      <c r="DK175" s="377">
        <f>SUM(DK157:DK174)</f>
        <v>0</v>
      </c>
      <c r="DL175" s="376"/>
      <c r="DM175" s="377">
        <f t="shared" ref="DM175:DN175" si="2509">SUM(DM157:DM174)</f>
        <v>0</v>
      </c>
      <c r="DN175" s="377">
        <f t="shared" si="2509"/>
        <v>0</v>
      </c>
      <c r="DO175" s="378"/>
      <c r="DP175" s="374" t="s">
        <v>51</v>
      </c>
      <c r="DQ175" s="102"/>
      <c r="DR175" s="375"/>
      <c r="DS175" s="375"/>
      <c r="DT175" s="376"/>
      <c r="DU175" s="376"/>
      <c r="DV175" s="377">
        <f>SUM(DV157:DV174)</f>
        <v>0</v>
      </c>
      <c r="DW175" s="376"/>
      <c r="DX175" s="377">
        <f>SUM(DX157:DX174)</f>
        <v>0</v>
      </c>
      <c r="DY175" s="104"/>
      <c r="DZ175" s="104"/>
      <c r="EA175" s="104"/>
      <c r="EB175" s="377">
        <f>SUM(EB157:EB174)</f>
        <v>0</v>
      </c>
      <c r="EC175" s="376"/>
      <c r="ED175" s="377">
        <f t="shared" ref="ED175:EE175" si="2510">SUM(ED157:ED174)</f>
        <v>0</v>
      </c>
      <c r="EE175" s="377">
        <f t="shared" si="2510"/>
        <v>0</v>
      </c>
      <c r="EF175" s="378"/>
      <c r="EG175" s="374" t="s">
        <v>51</v>
      </c>
      <c r="EH175" s="102"/>
      <c r="EI175" s="375"/>
      <c r="EJ175" s="375"/>
      <c r="EK175" s="376"/>
      <c r="EL175" s="376"/>
      <c r="EM175" s="377">
        <f>SUM(EM157:EM174)</f>
        <v>0</v>
      </c>
      <c r="EN175" s="376"/>
      <c r="EO175" s="377">
        <f>SUM(EO157:EO174)</f>
        <v>0</v>
      </c>
      <c r="EP175" s="104"/>
      <c r="EQ175" s="104"/>
      <c r="ER175" s="104"/>
      <c r="ES175" s="377">
        <f>SUM(ES157:ES174)</f>
        <v>0</v>
      </c>
      <c r="ET175" s="376"/>
      <c r="EU175" s="377">
        <f t="shared" ref="EU175:EV175" si="2511">SUM(EU157:EU174)</f>
        <v>0</v>
      </c>
      <c r="EV175" s="377">
        <f t="shared" si="2511"/>
        <v>0</v>
      </c>
      <c r="EW175" s="378"/>
      <c r="EX175" s="374" t="s">
        <v>51</v>
      </c>
      <c r="EY175" s="102"/>
      <c r="EZ175" s="375"/>
      <c r="FA175" s="375"/>
      <c r="FB175" s="376"/>
      <c r="FC175" s="376"/>
      <c r="FD175" s="377">
        <f>SUM(FD157:FD174)</f>
        <v>0</v>
      </c>
      <c r="FE175" s="376"/>
      <c r="FF175" s="377">
        <f>SUM(FF157:FF174)</f>
        <v>0</v>
      </c>
      <c r="FG175" s="104"/>
      <c r="FH175" s="104"/>
      <c r="FI175" s="104"/>
      <c r="FJ175" s="377">
        <f>SUM(FJ157:FJ174)</f>
        <v>0</v>
      </c>
      <c r="FK175" s="376"/>
      <c r="FL175" s="377">
        <f t="shared" ref="FL175:FM175" si="2512">SUM(FL157:FL174)</f>
        <v>0</v>
      </c>
      <c r="FM175" s="377">
        <f t="shared" si="2512"/>
        <v>0</v>
      </c>
      <c r="FN175" s="378"/>
      <c r="FO175" s="374" t="s">
        <v>51</v>
      </c>
      <c r="FP175" s="102"/>
      <c r="FQ175" s="375"/>
      <c r="FR175" s="375"/>
      <c r="FS175" s="376"/>
      <c r="FT175" s="376"/>
      <c r="FU175" s="377">
        <f>SUM(FU157:FU174)</f>
        <v>2148565.435</v>
      </c>
      <c r="FV175" s="376"/>
      <c r="FW175" s="377">
        <f>SUM(FW157:FW174)</f>
        <v>0</v>
      </c>
      <c r="FX175" s="104"/>
      <c r="FY175" s="104"/>
      <c r="FZ175" s="104"/>
      <c r="GA175" s="377">
        <f>SUM(GA157:GA174)</f>
        <v>2148565.435</v>
      </c>
      <c r="GB175" s="376"/>
      <c r="GC175" s="377">
        <f t="shared" ref="GC175:GD175" si="2513">SUM(GC157:GC174)</f>
        <v>989300.7815</v>
      </c>
      <c r="GD175" s="377">
        <f t="shared" si="2513"/>
        <v>1159264.654</v>
      </c>
      <c r="GE175" s="378"/>
      <c r="GF175" s="374" t="s">
        <v>51</v>
      </c>
      <c r="GG175" s="102"/>
      <c r="GH175" s="375"/>
      <c r="GI175" s="375"/>
      <c r="GJ175" s="376"/>
      <c r="GK175" s="376"/>
      <c r="GL175" s="377">
        <f>SUM(GL157:GL174)</f>
        <v>3599111.652</v>
      </c>
      <c r="GM175" s="376"/>
      <c r="GN175" s="377">
        <f>SUM(GN157:GN174)</f>
        <v>0</v>
      </c>
      <c r="GO175" s="104"/>
      <c r="GP175" s="104"/>
      <c r="GQ175" s="104"/>
      <c r="GR175" s="377">
        <f>SUM(GR157:GR174)</f>
        <v>3599111.652</v>
      </c>
      <c r="GS175" s="376"/>
      <c r="GT175" s="377">
        <f t="shared" ref="GT175:GU175" si="2514">SUM(GT157:GT174)</f>
        <v>1657200.62</v>
      </c>
      <c r="GU175" s="377">
        <f t="shared" si="2514"/>
        <v>1941911.033</v>
      </c>
      <c r="GV175" s="378"/>
      <c r="GW175" s="374" t="s">
        <v>51</v>
      </c>
      <c r="GX175" s="102"/>
      <c r="GY175" s="375"/>
      <c r="GZ175" s="375"/>
      <c r="HA175" s="376"/>
      <c r="HB175" s="376"/>
      <c r="HC175" s="377">
        <f>SUM(HC157:HC174)</f>
        <v>1626101.998</v>
      </c>
      <c r="HD175" s="376"/>
      <c r="HE175" s="377">
        <f>SUM(HE157:HE174)</f>
        <v>0</v>
      </c>
      <c r="HF175" s="104"/>
      <c r="HG175" s="104"/>
      <c r="HH175" s="104"/>
      <c r="HI175" s="377">
        <f>SUM(HI157:HI174)</f>
        <v>1626101.998</v>
      </c>
      <c r="HJ175" s="376"/>
      <c r="HK175" s="377">
        <f t="shared" ref="HK175:HL175" si="2515">SUM(HK157:HK174)</f>
        <v>748733.9931</v>
      </c>
      <c r="HL175" s="377">
        <f t="shared" si="2515"/>
        <v>877368.005</v>
      </c>
      <c r="HM175" s="378"/>
      <c r="HN175" s="374" t="s">
        <v>51</v>
      </c>
      <c r="HO175" s="102"/>
      <c r="HP175" s="375"/>
      <c r="HQ175" s="375"/>
      <c r="HR175" s="376"/>
      <c r="HS175" s="376"/>
      <c r="HT175" s="377">
        <f>SUM(HT157:HT174)</f>
        <v>2627267.835</v>
      </c>
      <c r="HU175" s="376"/>
      <c r="HV175" s="377">
        <f>SUM(HV157:HV174)</f>
        <v>0</v>
      </c>
      <c r="HW175" s="104"/>
      <c r="HX175" s="104"/>
      <c r="HY175" s="104"/>
      <c r="HZ175" s="377">
        <f>SUM(HZ157:HZ174)</f>
        <v>2627267.835</v>
      </c>
      <c r="IA175" s="376"/>
      <c r="IB175" s="377">
        <f t="shared" ref="IB175:IC175" si="2516">SUM(IB157:IB174)</f>
        <v>1209717.926</v>
      </c>
      <c r="IC175" s="377">
        <f t="shared" si="2516"/>
        <v>1417549.909</v>
      </c>
      <c r="ID175" s="378"/>
      <c r="IE175" s="374" t="s">
        <v>51</v>
      </c>
      <c r="IF175" s="102"/>
      <c r="IG175" s="375"/>
      <c r="IH175" s="375"/>
      <c r="II175" s="376"/>
      <c r="IJ175" s="376"/>
      <c r="IK175" s="377">
        <f>SUM(IK157:IK174)</f>
        <v>4552154.937</v>
      </c>
      <c r="IL175" s="376"/>
      <c r="IM175" s="377">
        <f>SUM(IM157:IM174)</f>
        <v>0</v>
      </c>
      <c r="IN175" s="104"/>
      <c r="IO175" s="104"/>
      <c r="IP175" s="104"/>
      <c r="IQ175" s="377">
        <f>SUM(IQ157:IQ174)</f>
        <v>4552154.937</v>
      </c>
      <c r="IR175" s="376"/>
      <c r="IS175" s="377">
        <f t="shared" ref="IS175:IT175" si="2517">SUM(IS157:IS174)</f>
        <v>2096026.662</v>
      </c>
      <c r="IT175" s="377">
        <f t="shared" si="2517"/>
        <v>2456128.275</v>
      </c>
      <c r="IU175" s="378"/>
      <c r="IV175" s="374" t="s">
        <v>51</v>
      </c>
      <c r="IW175" s="102"/>
      <c r="IX175" s="375"/>
      <c r="IY175" s="375"/>
      <c r="IZ175" s="376"/>
      <c r="JA175" s="376"/>
      <c r="JB175" s="377">
        <f>SUM(JB157:JB174)</f>
        <v>4979612.763</v>
      </c>
      <c r="JC175" s="376"/>
      <c r="JD175" s="377">
        <f>SUM(JD157:JD174)</f>
        <v>0</v>
      </c>
      <c r="JE175" s="104"/>
      <c r="JF175" s="104"/>
      <c r="JG175" s="104"/>
      <c r="JH175" s="377">
        <f>SUM(JH157:JH174)</f>
        <v>4979612.763</v>
      </c>
      <c r="JI175" s="376"/>
      <c r="JJ175" s="377">
        <f t="shared" ref="JJ175:JK175" si="2518">SUM(JJ157:JJ174)</f>
        <v>2292848.39</v>
      </c>
      <c r="JK175" s="377">
        <f t="shared" si="2518"/>
        <v>2686764.373</v>
      </c>
      <c r="JL175" s="378"/>
      <c r="JM175" s="374" t="s">
        <v>51</v>
      </c>
      <c r="JN175" s="102"/>
      <c r="JO175" s="375"/>
      <c r="JP175" s="375"/>
      <c r="JQ175" s="376"/>
      <c r="JR175" s="376"/>
      <c r="JS175" s="377">
        <f>SUM(JS157:JS174)</f>
        <v>0</v>
      </c>
      <c r="JT175" s="376"/>
      <c r="JU175" s="377">
        <f>SUM(JU157:JU174)</f>
        <v>0</v>
      </c>
      <c r="JV175" s="104"/>
      <c r="JW175" s="104"/>
      <c r="JX175" s="104"/>
      <c r="JY175" s="377">
        <f>SUM(JY157:JY174)</f>
        <v>0</v>
      </c>
      <c r="JZ175" s="376"/>
      <c r="KA175" s="377">
        <f t="shared" ref="KA175:KB175" si="2519">SUM(KA157:KA174)</f>
        <v>0</v>
      </c>
      <c r="KB175" s="377">
        <f t="shared" si="2519"/>
        <v>0</v>
      </c>
      <c r="KC175" s="378"/>
      <c r="KD175" s="374" t="s">
        <v>51</v>
      </c>
      <c r="KE175" s="102"/>
      <c r="KF175" s="375"/>
      <c r="KG175" s="375"/>
      <c r="KH175" s="376"/>
      <c r="KI175" s="376"/>
      <c r="KJ175" s="377">
        <f>SUM(KJ157:KJ174)</f>
        <v>0</v>
      </c>
      <c r="KK175" s="376"/>
      <c r="KL175" s="377">
        <f>SUM(KL157:KL174)</f>
        <v>0</v>
      </c>
      <c r="KM175" s="104"/>
      <c r="KN175" s="104"/>
      <c r="KO175" s="104"/>
      <c r="KP175" s="377">
        <f>SUM(KP157:KP174)</f>
        <v>0</v>
      </c>
      <c r="KQ175" s="376"/>
      <c r="KR175" s="377">
        <f t="shared" ref="KR175:KS175" si="2520">SUM(KR157:KR174)</f>
        <v>0</v>
      </c>
      <c r="KS175" s="377">
        <f t="shared" si="2520"/>
        <v>0</v>
      </c>
      <c r="KT175" s="378"/>
      <c r="KU175" s="379"/>
    </row>
    <row r="176" ht="15.75" customHeight="1">
      <c r="A176" s="366"/>
      <c r="B176" s="373"/>
      <c r="C176" s="373"/>
      <c r="D176" s="373"/>
      <c r="E176" s="361"/>
      <c r="F176" s="361"/>
      <c r="G176" s="361"/>
      <c r="H176" s="361"/>
      <c r="I176" s="361"/>
      <c r="J176" s="87"/>
      <c r="K176" s="87"/>
      <c r="L176" s="87"/>
      <c r="M176" s="361"/>
      <c r="N176" s="361"/>
      <c r="O176" s="370"/>
      <c r="P176" s="371"/>
      <c r="Q176" s="364"/>
      <c r="R176" s="366"/>
      <c r="S176" s="373"/>
      <c r="T176" s="373"/>
      <c r="U176" s="373"/>
      <c r="V176" s="361"/>
      <c r="W176" s="361"/>
      <c r="X176" s="361"/>
      <c r="Y176" s="361"/>
      <c r="Z176" s="361"/>
      <c r="AA176" s="87"/>
      <c r="AB176" s="87"/>
      <c r="AC176" s="87"/>
      <c r="AD176" s="361"/>
      <c r="AE176" s="361"/>
      <c r="AF176" s="370"/>
      <c r="AG176" s="371"/>
      <c r="AH176" s="364"/>
      <c r="AI176" s="366"/>
      <c r="AJ176" s="373"/>
      <c r="AK176" s="373"/>
      <c r="AL176" s="373"/>
      <c r="AM176" s="361"/>
      <c r="AN176" s="361"/>
      <c r="AO176" s="361"/>
      <c r="AP176" s="361"/>
      <c r="AQ176" s="361"/>
      <c r="AR176" s="87"/>
      <c r="AS176" s="87"/>
      <c r="AT176" s="87"/>
      <c r="AU176" s="361"/>
      <c r="AV176" s="361"/>
      <c r="AW176" s="370"/>
      <c r="AX176" s="371"/>
      <c r="AY176" s="364"/>
      <c r="AZ176" s="366"/>
      <c r="BA176" s="373"/>
      <c r="BB176" s="373"/>
      <c r="BC176" s="373"/>
      <c r="BD176" s="361"/>
      <c r="BE176" s="361"/>
      <c r="BF176" s="361"/>
      <c r="BG176" s="361"/>
      <c r="BH176" s="361"/>
      <c r="BI176" s="87"/>
      <c r="BJ176" s="87"/>
      <c r="BK176" s="87"/>
      <c r="BL176" s="361"/>
      <c r="BM176" s="361"/>
      <c r="BN176" s="370"/>
      <c r="BO176" s="371"/>
      <c r="BP176" s="364"/>
      <c r="BQ176" s="366"/>
      <c r="BR176" s="373"/>
      <c r="BS176" s="373"/>
      <c r="BT176" s="373"/>
      <c r="BU176" s="361"/>
      <c r="BV176" s="361"/>
      <c r="BW176" s="361"/>
      <c r="BX176" s="361"/>
      <c r="BY176" s="361"/>
      <c r="BZ176" s="87"/>
      <c r="CA176" s="87"/>
      <c r="CB176" s="87"/>
      <c r="CC176" s="361"/>
      <c r="CD176" s="361"/>
      <c r="CE176" s="370"/>
      <c r="CF176" s="371"/>
      <c r="CG176" s="364"/>
      <c r="CH176" s="366"/>
      <c r="CI176" s="373"/>
      <c r="CJ176" s="373"/>
      <c r="CK176" s="373"/>
      <c r="CL176" s="361"/>
      <c r="CM176" s="361"/>
      <c r="CN176" s="361"/>
      <c r="CO176" s="361"/>
      <c r="CP176" s="361"/>
      <c r="CQ176" s="87"/>
      <c r="CR176" s="87"/>
      <c r="CS176" s="87"/>
      <c r="CT176" s="361"/>
      <c r="CU176" s="361"/>
      <c r="CV176" s="370"/>
      <c r="CW176" s="371"/>
      <c r="CX176" s="364"/>
      <c r="CY176" s="366"/>
      <c r="CZ176" s="373"/>
      <c r="DA176" s="373"/>
      <c r="DB176" s="373"/>
      <c r="DC176" s="361"/>
      <c r="DD176" s="361"/>
      <c r="DE176" s="361"/>
      <c r="DF176" s="361"/>
      <c r="DG176" s="361"/>
      <c r="DH176" s="87"/>
      <c r="DI176" s="87"/>
      <c r="DJ176" s="87"/>
      <c r="DK176" s="361"/>
      <c r="DL176" s="361"/>
      <c r="DM176" s="370"/>
      <c r="DN176" s="371"/>
      <c r="DO176" s="364"/>
      <c r="DP176" s="366"/>
      <c r="DQ176" s="373"/>
      <c r="DR176" s="373"/>
      <c r="DS176" s="373"/>
      <c r="DT176" s="361"/>
      <c r="DU176" s="361"/>
      <c r="DV176" s="361"/>
      <c r="DW176" s="361"/>
      <c r="DX176" s="361"/>
      <c r="DY176" s="87"/>
      <c r="DZ176" s="87"/>
      <c r="EA176" s="87"/>
      <c r="EB176" s="361"/>
      <c r="EC176" s="361"/>
      <c r="ED176" s="370"/>
      <c r="EE176" s="371"/>
      <c r="EF176" s="364"/>
      <c r="EG176" s="366"/>
      <c r="EH176" s="373"/>
      <c r="EI176" s="373"/>
      <c r="EJ176" s="373"/>
      <c r="EK176" s="361"/>
      <c r="EL176" s="361"/>
      <c r="EM176" s="361"/>
      <c r="EN176" s="361"/>
      <c r="EO176" s="361"/>
      <c r="EP176" s="87"/>
      <c r="EQ176" s="87"/>
      <c r="ER176" s="87"/>
      <c r="ES176" s="361"/>
      <c r="ET176" s="361"/>
      <c r="EU176" s="370"/>
      <c r="EV176" s="371"/>
      <c r="EW176" s="364"/>
      <c r="EX176" s="366"/>
      <c r="EY176" s="373"/>
      <c r="EZ176" s="373"/>
      <c r="FA176" s="373"/>
      <c r="FB176" s="361"/>
      <c r="FC176" s="361"/>
      <c r="FD176" s="361"/>
      <c r="FE176" s="361"/>
      <c r="FF176" s="361"/>
      <c r="FG176" s="87"/>
      <c r="FH176" s="87"/>
      <c r="FI176" s="87"/>
      <c r="FJ176" s="361"/>
      <c r="FK176" s="361"/>
      <c r="FL176" s="370"/>
      <c r="FM176" s="371"/>
      <c r="FN176" s="364"/>
      <c r="FO176" s="366"/>
      <c r="FP176" s="373"/>
      <c r="FQ176" s="373"/>
      <c r="FR176" s="373"/>
      <c r="FS176" s="361"/>
      <c r="FT176" s="361"/>
      <c r="FU176" s="361"/>
      <c r="FV176" s="361"/>
      <c r="FW176" s="361"/>
      <c r="FX176" s="87"/>
      <c r="FY176" s="87"/>
      <c r="FZ176" s="87"/>
      <c r="GA176" s="361"/>
      <c r="GB176" s="361"/>
      <c r="GC176" s="370"/>
      <c r="GD176" s="371"/>
      <c r="GE176" s="364"/>
      <c r="GF176" s="366"/>
      <c r="GG176" s="373"/>
      <c r="GH176" s="373"/>
      <c r="GI176" s="373"/>
      <c r="GJ176" s="361"/>
      <c r="GK176" s="361"/>
      <c r="GL176" s="361"/>
      <c r="GM176" s="361"/>
      <c r="GN176" s="361"/>
      <c r="GO176" s="87"/>
      <c r="GP176" s="87"/>
      <c r="GQ176" s="87"/>
      <c r="GR176" s="361"/>
      <c r="GS176" s="361"/>
      <c r="GT176" s="370"/>
      <c r="GU176" s="371"/>
      <c r="GV176" s="364"/>
      <c r="GW176" s="366"/>
      <c r="GX176" s="373"/>
      <c r="GY176" s="373"/>
      <c r="GZ176" s="373"/>
      <c r="HA176" s="361"/>
      <c r="HB176" s="361"/>
      <c r="HC176" s="361"/>
      <c r="HD176" s="361"/>
      <c r="HE176" s="361"/>
      <c r="HF176" s="87"/>
      <c r="HG176" s="87"/>
      <c r="HH176" s="87"/>
      <c r="HI176" s="361"/>
      <c r="HJ176" s="361"/>
      <c r="HK176" s="370"/>
      <c r="HL176" s="371"/>
      <c r="HM176" s="364"/>
      <c r="HN176" s="366"/>
      <c r="HO176" s="373"/>
      <c r="HP176" s="373"/>
      <c r="HQ176" s="373"/>
      <c r="HR176" s="361"/>
      <c r="HS176" s="361"/>
      <c r="HT176" s="361"/>
      <c r="HU176" s="361"/>
      <c r="HV176" s="361"/>
      <c r="HW176" s="87"/>
      <c r="HX176" s="87"/>
      <c r="HY176" s="87"/>
      <c r="HZ176" s="361"/>
      <c r="IA176" s="361"/>
      <c r="IB176" s="370"/>
      <c r="IC176" s="371"/>
      <c r="ID176" s="364"/>
      <c r="IE176" s="366"/>
      <c r="IF176" s="373"/>
      <c r="IG176" s="373"/>
      <c r="IH176" s="373"/>
      <c r="II176" s="361"/>
      <c r="IJ176" s="361"/>
      <c r="IK176" s="361"/>
      <c r="IL176" s="361"/>
      <c r="IM176" s="361"/>
      <c r="IN176" s="87"/>
      <c r="IO176" s="87"/>
      <c r="IP176" s="87"/>
      <c r="IQ176" s="361"/>
      <c r="IR176" s="361"/>
      <c r="IS176" s="370"/>
      <c r="IT176" s="371"/>
      <c r="IU176" s="364"/>
      <c r="IV176" s="366"/>
      <c r="IW176" s="373"/>
      <c r="IX176" s="373"/>
      <c r="IY176" s="373"/>
      <c r="IZ176" s="361"/>
      <c r="JA176" s="361"/>
      <c r="JB176" s="361"/>
      <c r="JC176" s="361"/>
      <c r="JD176" s="361"/>
      <c r="JE176" s="87"/>
      <c r="JF176" s="87"/>
      <c r="JG176" s="87"/>
      <c r="JH176" s="361"/>
      <c r="JI176" s="361"/>
      <c r="JJ176" s="370"/>
      <c r="JK176" s="371"/>
      <c r="JL176" s="364"/>
      <c r="JM176" s="366"/>
      <c r="JN176" s="373"/>
      <c r="JO176" s="373"/>
      <c r="JP176" s="373"/>
      <c r="JQ176" s="361"/>
      <c r="JR176" s="361"/>
      <c r="JS176" s="361"/>
      <c r="JT176" s="361"/>
      <c r="JU176" s="361"/>
      <c r="JV176" s="87"/>
      <c r="JW176" s="87"/>
      <c r="JX176" s="87"/>
      <c r="JY176" s="361"/>
      <c r="JZ176" s="361"/>
      <c r="KA176" s="370"/>
      <c r="KB176" s="371"/>
      <c r="KC176" s="364"/>
      <c r="KD176" s="366"/>
      <c r="KE176" s="373"/>
      <c r="KF176" s="373"/>
      <c r="KG176" s="373"/>
      <c r="KH176" s="361"/>
      <c r="KI176" s="361"/>
      <c r="KJ176" s="361"/>
      <c r="KK176" s="361"/>
      <c r="KL176" s="361"/>
      <c r="KM176" s="87"/>
      <c r="KN176" s="87"/>
      <c r="KO176" s="87"/>
      <c r="KP176" s="361"/>
      <c r="KQ176" s="361"/>
      <c r="KR176" s="370"/>
      <c r="KS176" s="371"/>
      <c r="KT176" s="364"/>
      <c r="KU176" s="365"/>
    </row>
    <row r="177" ht="15.75" customHeight="1">
      <c r="A177" s="366"/>
      <c r="B177" s="380" t="str">
        <f>"Output Sekunder "&amp;" %"</f>
        <v>Output Sekunder  %</v>
      </c>
      <c r="C177" s="381"/>
      <c r="D177" s="381"/>
      <c r="E177" s="361"/>
      <c r="F177" s="382"/>
      <c r="G177" s="382"/>
      <c r="H177" s="382"/>
      <c r="I177" s="382"/>
      <c r="J177" s="110"/>
      <c r="K177" s="110"/>
      <c r="L177" s="110"/>
      <c r="M177" s="383">
        <f>E177/100*M175</f>
        <v>0</v>
      </c>
      <c r="N177" s="382"/>
      <c r="O177" s="382"/>
      <c r="P177" s="384">
        <f t="shared" ref="P177:P178" si="2521">M177</f>
        <v>0</v>
      </c>
      <c r="Q177" s="364"/>
      <c r="R177" s="366"/>
      <c r="S177" s="380" t="str">
        <f>"Output Sekunder "&amp;" %"</f>
        <v>Output Sekunder  %</v>
      </c>
      <c r="T177" s="381"/>
      <c r="U177" s="381"/>
      <c r="V177" s="361"/>
      <c r="W177" s="382"/>
      <c r="X177" s="382"/>
      <c r="Y177" s="382"/>
      <c r="Z177" s="382"/>
      <c r="AA177" s="110"/>
      <c r="AB177" s="110"/>
      <c r="AC177" s="110"/>
      <c r="AD177" s="383">
        <f>V177/100*AD175</f>
        <v>0</v>
      </c>
      <c r="AE177" s="382"/>
      <c r="AF177" s="382"/>
      <c r="AG177" s="384">
        <f t="shared" ref="AG177:AG178" si="2522">AD177</f>
        <v>0</v>
      </c>
      <c r="AH177" s="364"/>
      <c r="AI177" s="366"/>
      <c r="AJ177" s="380" t="str">
        <f>"Output Sekunder "&amp;" %"</f>
        <v>Output Sekunder  %</v>
      </c>
      <c r="AK177" s="381"/>
      <c r="AL177" s="381"/>
      <c r="AM177" s="361"/>
      <c r="AN177" s="382"/>
      <c r="AO177" s="382"/>
      <c r="AP177" s="382"/>
      <c r="AQ177" s="382"/>
      <c r="AR177" s="110"/>
      <c r="AS177" s="110"/>
      <c r="AT177" s="110"/>
      <c r="AU177" s="383">
        <f>AM177/100*AU175</f>
        <v>0</v>
      </c>
      <c r="AV177" s="382"/>
      <c r="AW177" s="382"/>
      <c r="AX177" s="384">
        <f t="shared" ref="AX177:AX178" si="2523">AU177</f>
        <v>0</v>
      </c>
      <c r="AY177" s="364"/>
      <c r="AZ177" s="366"/>
      <c r="BA177" s="380" t="str">
        <f>"Output Sekunder "&amp;" %"</f>
        <v>Output Sekunder  %</v>
      </c>
      <c r="BB177" s="381"/>
      <c r="BC177" s="381"/>
      <c r="BD177" s="361"/>
      <c r="BE177" s="382"/>
      <c r="BF177" s="382"/>
      <c r="BG177" s="382"/>
      <c r="BH177" s="382"/>
      <c r="BI177" s="110"/>
      <c r="BJ177" s="110"/>
      <c r="BK177" s="110"/>
      <c r="BL177" s="383">
        <f>BD177/100*BL175</f>
        <v>0</v>
      </c>
      <c r="BM177" s="382"/>
      <c r="BN177" s="382"/>
      <c r="BO177" s="384">
        <f t="shared" ref="BO177:BO178" si="2524">BL177</f>
        <v>0</v>
      </c>
      <c r="BP177" s="364"/>
      <c r="BQ177" s="366"/>
      <c r="BR177" s="380" t="str">
        <f>"Output Sekunder "&amp;" %"</f>
        <v>Output Sekunder  %</v>
      </c>
      <c r="BS177" s="381"/>
      <c r="BT177" s="381"/>
      <c r="BU177" s="361"/>
      <c r="BV177" s="382"/>
      <c r="BW177" s="382"/>
      <c r="BX177" s="382"/>
      <c r="BY177" s="382"/>
      <c r="BZ177" s="110"/>
      <c r="CA177" s="110"/>
      <c r="CB177" s="110"/>
      <c r="CC177" s="383">
        <f>BU177/100*CC175</f>
        <v>0</v>
      </c>
      <c r="CD177" s="382"/>
      <c r="CE177" s="382"/>
      <c r="CF177" s="384">
        <f t="shared" ref="CF177:CF178" si="2525">CC177</f>
        <v>0</v>
      </c>
      <c r="CG177" s="364"/>
      <c r="CH177" s="366"/>
      <c r="CI177" s="380" t="str">
        <f>"Output Sekunder "&amp;" %"</f>
        <v>Output Sekunder  %</v>
      </c>
      <c r="CJ177" s="381"/>
      <c r="CK177" s="381"/>
      <c r="CL177" s="361"/>
      <c r="CM177" s="382"/>
      <c r="CN177" s="382"/>
      <c r="CO177" s="382"/>
      <c r="CP177" s="382"/>
      <c r="CQ177" s="110"/>
      <c r="CR177" s="110"/>
      <c r="CS177" s="110"/>
      <c r="CT177" s="383">
        <f>CL177/100*CT175</f>
        <v>0</v>
      </c>
      <c r="CU177" s="382"/>
      <c r="CV177" s="382"/>
      <c r="CW177" s="384">
        <f t="shared" ref="CW177:CW178" si="2526">CT177</f>
        <v>0</v>
      </c>
      <c r="CX177" s="364"/>
      <c r="CY177" s="366"/>
      <c r="CZ177" s="380" t="str">
        <f>"Output Sekunder "&amp;" %"</f>
        <v>Output Sekunder  %</v>
      </c>
      <c r="DA177" s="381"/>
      <c r="DB177" s="381"/>
      <c r="DC177" s="361"/>
      <c r="DD177" s="382"/>
      <c r="DE177" s="382"/>
      <c r="DF177" s="382"/>
      <c r="DG177" s="382"/>
      <c r="DH177" s="110"/>
      <c r="DI177" s="110"/>
      <c r="DJ177" s="110"/>
      <c r="DK177" s="383">
        <f>DC177/100*DK175</f>
        <v>0</v>
      </c>
      <c r="DL177" s="382"/>
      <c r="DM177" s="382"/>
      <c r="DN177" s="384">
        <f t="shared" ref="DN177:DN178" si="2527">DK177</f>
        <v>0</v>
      </c>
      <c r="DO177" s="364"/>
      <c r="DP177" s="366"/>
      <c r="DQ177" s="380" t="str">
        <f>"Output Sekunder "&amp;" %"</f>
        <v>Output Sekunder  %</v>
      </c>
      <c r="DR177" s="381"/>
      <c r="DS177" s="381"/>
      <c r="DT177" s="361"/>
      <c r="DU177" s="382"/>
      <c r="DV177" s="382"/>
      <c r="DW177" s="382"/>
      <c r="DX177" s="382"/>
      <c r="DY177" s="110"/>
      <c r="DZ177" s="110"/>
      <c r="EA177" s="110"/>
      <c r="EB177" s="383">
        <f>DT177/100*EB175</f>
        <v>0</v>
      </c>
      <c r="EC177" s="382"/>
      <c r="ED177" s="382"/>
      <c r="EE177" s="384">
        <f t="shared" ref="EE177:EE178" si="2528">EB177</f>
        <v>0</v>
      </c>
      <c r="EF177" s="364"/>
      <c r="EG177" s="366"/>
      <c r="EH177" s="380" t="str">
        <f>"Output Sekunder "&amp;" %"</f>
        <v>Output Sekunder  %</v>
      </c>
      <c r="EI177" s="381"/>
      <c r="EJ177" s="381"/>
      <c r="EK177" s="361"/>
      <c r="EL177" s="382"/>
      <c r="EM177" s="382"/>
      <c r="EN177" s="382"/>
      <c r="EO177" s="382"/>
      <c r="EP177" s="110"/>
      <c r="EQ177" s="110"/>
      <c r="ER177" s="110"/>
      <c r="ES177" s="383">
        <f>EK177/100*ES175</f>
        <v>0</v>
      </c>
      <c r="ET177" s="382"/>
      <c r="EU177" s="382"/>
      <c r="EV177" s="384">
        <f t="shared" ref="EV177:EV178" si="2529">ES177</f>
        <v>0</v>
      </c>
      <c r="EW177" s="364"/>
      <c r="EX177" s="366"/>
      <c r="EY177" s="380" t="str">
        <f>"Output Sekunder "&amp;" %"</f>
        <v>Output Sekunder  %</v>
      </c>
      <c r="EZ177" s="381"/>
      <c r="FA177" s="381"/>
      <c r="FB177" s="361"/>
      <c r="FC177" s="382"/>
      <c r="FD177" s="382"/>
      <c r="FE177" s="382"/>
      <c r="FF177" s="382"/>
      <c r="FG177" s="110"/>
      <c r="FH177" s="110"/>
      <c r="FI177" s="110"/>
      <c r="FJ177" s="383">
        <f>FB177/100*FJ175</f>
        <v>0</v>
      </c>
      <c r="FK177" s="382"/>
      <c r="FL177" s="382"/>
      <c r="FM177" s="384">
        <f t="shared" ref="FM177:FM178" si="2530">FJ177</f>
        <v>0</v>
      </c>
      <c r="FN177" s="364"/>
      <c r="FO177" s="366"/>
      <c r="FP177" s="380" t="str">
        <f>"Output Sekunder "&amp;" %"</f>
        <v>Output Sekunder  %</v>
      </c>
      <c r="FQ177" s="381"/>
      <c r="FR177" s="381"/>
      <c r="FS177" s="361"/>
      <c r="FT177" s="382"/>
      <c r="FU177" s="382"/>
      <c r="FV177" s="382"/>
      <c r="FW177" s="382"/>
      <c r="FX177" s="110"/>
      <c r="FY177" s="110"/>
      <c r="FZ177" s="110"/>
      <c r="GA177" s="383">
        <f>FS177/100*GA175</f>
        <v>0</v>
      </c>
      <c r="GB177" s="382"/>
      <c r="GC177" s="382"/>
      <c r="GD177" s="384">
        <f t="shared" ref="GD177:GD178" si="2531">GA177</f>
        <v>0</v>
      </c>
      <c r="GE177" s="364"/>
      <c r="GF177" s="366"/>
      <c r="GG177" s="380" t="str">
        <f>"Output Sekunder "&amp;" %"</f>
        <v>Output Sekunder  %</v>
      </c>
      <c r="GH177" s="381"/>
      <c r="GI177" s="381"/>
      <c r="GJ177" s="361"/>
      <c r="GK177" s="382"/>
      <c r="GL177" s="382"/>
      <c r="GM177" s="382"/>
      <c r="GN177" s="382"/>
      <c r="GO177" s="110"/>
      <c r="GP177" s="110"/>
      <c r="GQ177" s="110"/>
      <c r="GR177" s="383">
        <f>GJ177/100*GR175</f>
        <v>0</v>
      </c>
      <c r="GS177" s="382"/>
      <c r="GT177" s="382"/>
      <c r="GU177" s="384">
        <f t="shared" ref="GU177:GU178" si="2532">GR177</f>
        <v>0</v>
      </c>
      <c r="GV177" s="364"/>
      <c r="GW177" s="366"/>
      <c r="GX177" s="380" t="str">
        <f>"Output Sekunder "&amp;" %"</f>
        <v>Output Sekunder  %</v>
      </c>
      <c r="GY177" s="381"/>
      <c r="GZ177" s="381"/>
      <c r="HA177" s="361"/>
      <c r="HB177" s="382"/>
      <c r="HC177" s="382"/>
      <c r="HD177" s="382"/>
      <c r="HE177" s="382"/>
      <c r="HF177" s="110"/>
      <c r="HG177" s="110"/>
      <c r="HH177" s="110"/>
      <c r="HI177" s="383">
        <f>HA177/100*HI175</f>
        <v>0</v>
      </c>
      <c r="HJ177" s="382"/>
      <c r="HK177" s="382"/>
      <c r="HL177" s="384">
        <f t="shared" ref="HL177:HL178" si="2533">HI177</f>
        <v>0</v>
      </c>
      <c r="HM177" s="364"/>
      <c r="HN177" s="366"/>
      <c r="HO177" s="380" t="str">
        <f>"Output Sekunder "&amp;" %"</f>
        <v>Output Sekunder  %</v>
      </c>
      <c r="HP177" s="381"/>
      <c r="HQ177" s="381"/>
      <c r="HR177" s="361"/>
      <c r="HS177" s="382"/>
      <c r="HT177" s="382"/>
      <c r="HU177" s="382"/>
      <c r="HV177" s="382"/>
      <c r="HW177" s="110"/>
      <c r="HX177" s="110"/>
      <c r="HY177" s="110"/>
      <c r="HZ177" s="383">
        <f>HR177/100*HZ175</f>
        <v>0</v>
      </c>
      <c r="IA177" s="382"/>
      <c r="IB177" s="382"/>
      <c r="IC177" s="384">
        <f t="shared" ref="IC177:IC178" si="2534">HZ177</f>
        <v>0</v>
      </c>
      <c r="ID177" s="364"/>
      <c r="IE177" s="366"/>
      <c r="IF177" s="380" t="str">
        <f>"Output Sekunder "&amp;" %"</f>
        <v>Output Sekunder  %</v>
      </c>
      <c r="IG177" s="381"/>
      <c r="IH177" s="381"/>
      <c r="II177" s="361"/>
      <c r="IJ177" s="382"/>
      <c r="IK177" s="382"/>
      <c r="IL177" s="382"/>
      <c r="IM177" s="382"/>
      <c r="IN177" s="110"/>
      <c r="IO177" s="110"/>
      <c r="IP177" s="110"/>
      <c r="IQ177" s="383">
        <f>II177/100*IQ175</f>
        <v>0</v>
      </c>
      <c r="IR177" s="382"/>
      <c r="IS177" s="382"/>
      <c r="IT177" s="384">
        <f t="shared" ref="IT177:IT178" si="2535">IQ177</f>
        <v>0</v>
      </c>
      <c r="IU177" s="364"/>
      <c r="IV177" s="366"/>
      <c r="IW177" s="380" t="str">
        <f>"Output Sekunder "&amp;" %"</f>
        <v>Output Sekunder  %</v>
      </c>
      <c r="IX177" s="381"/>
      <c r="IY177" s="381"/>
      <c r="IZ177" s="361"/>
      <c r="JA177" s="382"/>
      <c r="JB177" s="382"/>
      <c r="JC177" s="382"/>
      <c r="JD177" s="382"/>
      <c r="JE177" s="110"/>
      <c r="JF177" s="110"/>
      <c r="JG177" s="110"/>
      <c r="JH177" s="383">
        <f>IZ177/100*JH175</f>
        <v>0</v>
      </c>
      <c r="JI177" s="382"/>
      <c r="JJ177" s="382"/>
      <c r="JK177" s="384">
        <f t="shared" ref="JK177:JK178" si="2536">JH177</f>
        <v>0</v>
      </c>
      <c r="JL177" s="364"/>
      <c r="JM177" s="366"/>
      <c r="JN177" s="380" t="str">
        <f>"Output Sekunder "&amp;" %"</f>
        <v>Output Sekunder  %</v>
      </c>
      <c r="JO177" s="381"/>
      <c r="JP177" s="381"/>
      <c r="JQ177" s="361"/>
      <c r="JR177" s="382"/>
      <c r="JS177" s="382"/>
      <c r="JT177" s="382"/>
      <c r="JU177" s="382"/>
      <c r="JV177" s="110"/>
      <c r="JW177" s="110"/>
      <c r="JX177" s="110"/>
      <c r="JY177" s="383">
        <f>JQ177/100*JY175</f>
        <v>0</v>
      </c>
      <c r="JZ177" s="382"/>
      <c r="KA177" s="382"/>
      <c r="KB177" s="384">
        <f t="shared" ref="KB177:KB178" si="2537">JY177</f>
        <v>0</v>
      </c>
      <c r="KC177" s="364"/>
      <c r="KD177" s="366"/>
      <c r="KE177" s="380" t="str">
        <f>"Output Sekunder "&amp;" %"</f>
        <v>Output Sekunder  %</v>
      </c>
      <c r="KF177" s="381"/>
      <c r="KG177" s="381"/>
      <c r="KH177" s="361"/>
      <c r="KI177" s="382"/>
      <c r="KJ177" s="382"/>
      <c r="KK177" s="382"/>
      <c r="KL177" s="382"/>
      <c r="KM177" s="110"/>
      <c r="KN177" s="110"/>
      <c r="KO177" s="110"/>
      <c r="KP177" s="383">
        <f>KH177/100*KP175</f>
        <v>0</v>
      </c>
      <c r="KQ177" s="382"/>
      <c r="KR177" s="382"/>
      <c r="KS177" s="384">
        <f t="shared" ref="KS177:KS178" si="2538">KP177</f>
        <v>0</v>
      </c>
      <c r="KT177" s="364"/>
      <c r="KU177" s="365"/>
    </row>
    <row r="178" ht="15.75" customHeight="1">
      <c r="A178" s="366"/>
      <c r="B178" s="385" t="str">
        <f>"Adjusment "&amp;" %"</f>
        <v>Adjusment  %</v>
      </c>
      <c r="C178" s="386"/>
      <c r="D178" s="386"/>
      <c r="E178" s="361"/>
      <c r="F178" s="382"/>
      <c r="G178" s="382"/>
      <c r="H178" s="382"/>
      <c r="I178" s="382"/>
      <c r="J178" s="110"/>
      <c r="K178" s="110"/>
      <c r="L178" s="110"/>
      <c r="M178" s="387">
        <f>E178/100*(M175+M177)</f>
        <v>0</v>
      </c>
      <c r="N178" s="382"/>
      <c r="O178" s="382"/>
      <c r="P178" s="388">
        <f t="shared" si="2521"/>
        <v>0</v>
      </c>
      <c r="Q178" s="364"/>
      <c r="R178" s="366"/>
      <c r="S178" s="385" t="str">
        <f>"Adjusment "&amp;" %"</f>
        <v>Adjusment  %</v>
      </c>
      <c r="T178" s="386"/>
      <c r="U178" s="386"/>
      <c r="V178" s="361"/>
      <c r="W178" s="382"/>
      <c r="X178" s="382"/>
      <c r="Y178" s="382"/>
      <c r="Z178" s="382"/>
      <c r="AA178" s="110"/>
      <c r="AB178" s="110"/>
      <c r="AC178" s="110"/>
      <c r="AD178" s="387">
        <f>V178/100*(AD175+AD177)</f>
        <v>0</v>
      </c>
      <c r="AE178" s="382"/>
      <c r="AF178" s="382"/>
      <c r="AG178" s="388">
        <f t="shared" si="2522"/>
        <v>0</v>
      </c>
      <c r="AH178" s="364"/>
      <c r="AI178" s="366"/>
      <c r="AJ178" s="385" t="str">
        <f>"Adjusment "&amp;" %"</f>
        <v>Adjusment  %</v>
      </c>
      <c r="AK178" s="386"/>
      <c r="AL178" s="386"/>
      <c r="AM178" s="361"/>
      <c r="AN178" s="382"/>
      <c r="AO178" s="382"/>
      <c r="AP178" s="382"/>
      <c r="AQ178" s="382"/>
      <c r="AR178" s="110"/>
      <c r="AS178" s="110"/>
      <c r="AT178" s="110"/>
      <c r="AU178" s="387">
        <f>AM178/100*(AU175+AU177)</f>
        <v>0</v>
      </c>
      <c r="AV178" s="382"/>
      <c r="AW178" s="382"/>
      <c r="AX178" s="388">
        <f t="shared" si="2523"/>
        <v>0</v>
      </c>
      <c r="AY178" s="364"/>
      <c r="AZ178" s="366"/>
      <c r="BA178" s="385" t="str">
        <f>"Adjusment "&amp;" %"</f>
        <v>Adjusment  %</v>
      </c>
      <c r="BB178" s="386"/>
      <c r="BC178" s="386"/>
      <c r="BD178" s="361"/>
      <c r="BE178" s="382"/>
      <c r="BF178" s="382"/>
      <c r="BG178" s="382"/>
      <c r="BH178" s="382"/>
      <c r="BI178" s="110"/>
      <c r="BJ178" s="110"/>
      <c r="BK178" s="110"/>
      <c r="BL178" s="387">
        <f>BD178/100*(BL175+BL177)</f>
        <v>0</v>
      </c>
      <c r="BM178" s="382"/>
      <c r="BN178" s="382"/>
      <c r="BO178" s="388">
        <f t="shared" si="2524"/>
        <v>0</v>
      </c>
      <c r="BP178" s="364"/>
      <c r="BQ178" s="366"/>
      <c r="BR178" s="385" t="str">
        <f>"Adjusment "&amp;" %"</f>
        <v>Adjusment  %</v>
      </c>
      <c r="BS178" s="386"/>
      <c r="BT178" s="386"/>
      <c r="BU178" s="361"/>
      <c r="BV178" s="382"/>
      <c r="BW178" s="382"/>
      <c r="BX178" s="382"/>
      <c r="BY178" s="382"/>
      <c r="BZ178" s="110"/>
      <c r="CA178" s="110"/>
      <c r="CB178" s="110"/>
      <c r="CC178" s="387">
        <f>BU178/100*(CC175+CC177)</f>
        <v>0</v>
      </c>
      <c r="CD178" s="382"/>
      <c r="CE178" s="382"/>
      <c r="CF178" s="388">
        <f t="shared" si="2525"/>
        <v>0</v>
      </c>
      <c r="CG178" s="364"/>
      <c r="CH178" s="366"/>
      <c r="CI178" s="385" t="str">
        <f>"Adjusment "&amp;" %"</f>
        <v>Adjusment  %</v>
      </c>
      <c r="CJ178" s="386"/>
      <c r="CK178" s="386"/>
      <c r="CL178" s="361"/>
      <c r="CM178" s="382"/>
      <c r="CN178" s="382"/>
      <c r="CO178" s="382"/>
      <c r="CP178" s="382"/>
      <c r="CQ178" s="110"/>
      <c r="CR178" s="110"/>
      <c r="CS178" s="110"/>
      <c r="CT178" s="387">
        <f>CL178/100*(CT175+CT177)</f>
        <v>0</v>
      </c>
      <c r="CU178" s="382"/>
      <c r="CV178" s="382"/>
      <c r="CW178" s="388">
        <f t="shared" si="2526"/>
        <v>0</v>
      </c>
      <c r="CX178" s="364"/>
      <c r="CY178" s="366"/>
      <c r="CZ178" s="385" t="str">
        <f>"Adjusment "&amp;" %"</f>
        <v>Adjusment  %</v>
      </c>
      <c r="DA178" s="386"/>
      <c r="DB178" s="386"/>
      <c r="DC178" s="361"/>
      <c r="DD178" s="382"/>
      <c r="DE178" s="382"/>
      <c r="DF178" s="382"/>
      <c r="DG178" s="382"/>
      <c r="DH178" s="110"/>
      <c r="DI178" s="110"/>
      <c r="DJ178" s="110"/>
      <c r="DK178" s="387">
        <f>DC178/100*(DK175+DK177)</f>
        <v>0</v>
      </c>
      <c r="DL178" s="382"/>
      <c r="DM178" s="382"/>
      <c r="DN178" s="388">
        <f t="shared" si="2527"/>
        <v>0</v>
      </c>
      <c r="DO178" s="364"/>
      <c r="DP178" s="366"/>
      <c r="DQ178" s="385" t="str">
        <f>"Adjusment "&amp;" %"</f>
        <v>Adjusment  %</v>
      </c>
      <c r="DR178" s="386"/>
      <c r="DS178" s="386"/>
      <c r="DT178" s="361"/>
      <c r="DU178" s="382"/>
      <c r="DV178" s="382"/>
      <c r="DW178" s="382"/>
      <c r="DX178" s="382"/>
      <c r="DY178" s="110"/>
      <c r="DZ178" s="110"/>
      <c r="EA178" s="110"/>
      <c r="EB178" s="387">
        <f>DT178/100*(EB175+EB177)</f>
        <v>0</v>
      </c>
      <c r="EC178" s="382"/>
      <c r="ED178" s="382"/>
      <c r="EE178" s="388">
        <f t="shared" si="2528"/>
        <v>0</v>
      </c>
      <c r="EF178" s="364"/>
      <c r="EG178" s="366"/>
      <c r="EH178" s="385" t="str">
        <f>"Adjusment "&amp;" %"</f>
        <v>Adjusment  %</v>
      </c>
      <c r="EI178" s="386"/>
      <c r="EJ178" s="386"/>
      <c r="EK178" s="361"/>
      <c r="EL178" s="382"/>
      <c r="EM178" s="382"/>
      <c r="EN178" s="382"/>
      <c r="EO178" s="382"/>
      <c r="EP178" s="110"/>
      <c r="EQ178" s="110"/>
      <c r="ER178" s="110"/>
      <c r="ES178" s="387">
        <f>EK178/100*(ES175+ES177)</f>
        <v>0</v>
      </c>
      <c r="ET178" s="382"/>
      <c r="EU178" s="382"/>
      <c r="EV178" s="388">
        <f t="shared" si="2529"/>
        <v>0</v>
      </c>
      <c r="EW178" s="364"/>
      <c r="EX178" s="366"/>
      <c r="EY178" s="385" t="str">
        <f>"Adjusment "&amp;" %"</f>
        <v>Adjusment  %</v>
      </c>
      <c r="EZ178" s="386"/>
      <c r="FA178" s="386"/>
      <c r="FB178" s="361"/>
      <c r="FC178" s="382"/>
      <c r="FD178" s="382"/>
      <c r="FE178" s="382"/>
      <c r="FF178" s="382"/>
      <c r="FG178" s="110"/>
      <c r="FH178" s="110"/>
      <c r="FI178" s="110"/>
      <c r="FJ178" s="387">
        <f>FB178/100*(FJ175+FJ177)</f>
        <v>0</v>
      </c>
      <c r="FK178" s="382"/>
      <c r="FL178" s="382"/>
      <c r="FM178" s="388">
        <f t="shared" si="2530"/>
        <v>0</v>
      </c>
      <c r="FN178" s="364"/>
      <c r="FO178" s="366"/>
      <c r="FP178" s="385" t="str">
        <f>"Adjusment "&amp;" %"</f>
        <v>Adjusment  %</v>
      </c>
      <c r="FQ178" s="386"/>
      <c r="FR178" s="386"/>
      <c r="FS178" s="361"/>
      <c r="FT178" s="382"/>
      <c r="FU178" s="382"/>
      <c r="FV178" s="382"/>
      <c r="FW178" s="382"/>
      <c r="FX178" s="110"/>
      <c r="FY178" s="110"/>
      <c r="FZ178" s="110"/>
      <c r="GA178" s="387">
        <f>FS178/100*(GA175+GA177)</f>
        <v>0</v>
      </c>
      <c r="GB178" s="382"/>
      <c r="GC178" s="382"/>
      <c r="GD178" s="388">
        <f t="shared" si="2531"/>
        <v>0</v>
      </c>
      <c r="GE178" s="364"/>
      <c r="GF178" s="366"/>
      <c r="GG178" s="385" t="str">
        <f>"Adjusment "&amp;" %"</f>
        <v>Adjusment  %</v>
      </c>
      <c r="GH178" s="386"/>
      <c r="GI178" s="386"/>
      <c r="GJ178" s="361"/>
      <c r="GK178" s="382"/>
      <c r="GL178" s="382"/>
      <c r="GM178" s="382"/>
      <c r="GN178" s="382"/>
      <c r="GO178" s="110"/>
      <c r="GP178" s="110"/>
      <c r="GQ178" s="110"/>
      <c r="GR178" s="387">
        <f>GJ178/100*(GR175+GR177)</f>
        <v>0</v>
      </c>
      <c r="GS178" s="382"/>
      <c r="GT178" s="382"/>
      <c r="GU178" s="388">
        <f t="shared" si="2532"/>
        <v>0</v>
      </c>
      <c r="GV178" s="364"/>
      <c r="GW178" s="366"/>
      <c r="GX178" s="385" t="str">
        <f>"Adjusment "&amp;" %"</f>
        <v>Adjusment  %</v>
      </c>
      <c r="GY178" s="386"/>
      <c r="GZ178" s="386"/>
      <c r="HA178" s="361"/>
      <c r="HB178" s="382"/>
      <c r="HC178" s="382"/>
      <c r="HD178" s="382"/>
      <c r="HE178" s="382"/>
      <c r="HF178" s="110"/>
      <c r="HG178" s="110"/>
      <c r="HH178" s="110"/>
      <c r="HI178" s="387">
        <f>HA178/100*(HI175+HI177)</f>
        <v>0</v>
      </c>
      <c r="HJ178" s="382"/>
      <c r="HK178" s="382"/>
      <c r="HL178" s="388">
        <f t="shared" si="2533"/>
        <v>0</v>
      </c>
      <c r="HM178" s="364"/>
      <c r="HN178" s="366"/>
      <c r="HO178" s="385" t="str">
        <f>"Adjusment "&amp;" %"</f>
        <v>Adjusment  %</v>
      </c>
      <c r="HP178" s="386"/>
      <c r="HQ178" s="386"/>
      <c r="HR178" s="361"/>
      <c r="HS178" s="382"/>
      <c r="HT178" s="382"/>
      <c r="HU178" s="382"/>
      <c r="HV178" s="382"/>
      <c r="HW178" s="110"/>
      <c r="HX178" s="110"/>
      <c r="HY178" s="110"/>
      <c r="HZ178" s="387">
        <f>HR178/100*(HZ175+HZ177)</f>
        <v>0</v>
      </c>
      <c r="IA178" s="382"/>
      <c r="IB178" s="382"/>
      <c r="IC178" s="388">
        <f t="shared" si="2534"/>
        <v>0</v>
      </c>
      <c r="ID178" s="364"/>
      <c r="IE178" s="366"/>
      <c r="IF178" s="385" t="str">
        <f>"Adjusment "&amp;" %"</f>
        <v>Adjusment  %</v>
      </c>
      <c r="IG178" s="386"/>
      <c r="IH178" s="386"/>
      <c r="II178" s="361"/>
      <c r="IJ178" s="382"/>
      <c r="IK178" s="382"/>
      <c r="IL178" s="382"/>
      <c r="IM178" s="382"/>
      <c r="IN178" s="110"/>
      <c r="IO178" s="110"/>
      <c r="IP178" s="110"/>
      <c r="IQ178" s="387">
        <f>II178/100*(IQ175+IQ177)</f>
        <v>0</v>
      </c>
      <c r="IR178" s="382"/>
      <c r="IS178" s="382"/>
      <c r="IT178" s="388">
        <f t="shared" si="2535"/>
        <v>0</v>
      </c>
      <c r="IU178" s="364"/>
      <c r="IV178" s="366"/>
      <c r="IW178" s="385" t="str">
        <f>"Adjusment "&amp;" %"</f>
        <v>Adjusment  %</v>
      </c>
      <c r="IX178" s="386"/>
      <c r="IY178" s="386"/>
      <c r="IZ178" s="361"/>
      <c r="JA178" s="382"/>
      <c r="JB178" s="382"/>
      <c r="JC178" s="382"/>
      <c r="JD178" s="382"/>
      <c r="JE178" s="110"/>
      <c r="JF178" s="110"/>
      <c r="JG178" s="110"/>
      <c r="JH178" s="387">
        <f>IZ178/100*(JH175+JH177)</f>
        <v>0</v>
      </c>
      <c r="JI178" s="382"/>
      <c r="JJ178" s="382"/>
      <c r="JK178" s="388">
        <f t="shared" si="2536"/>
        <v>0</v>
      </c>
      <c r="JL178" s="364"/>
      <c r="JM178" s="366"/>
      <c r="JN178" s="385" t="str">
        <f>"Adjusment "&amp;" %"</f>
        <v>Adjusment  %</v>
      </c>
      <c r="JO178" s="386"/>
      <c r="JP178" s="386"/>
      <c r="JQ178" s="361"/>
      <c r="JR178" s="382"/>
      <c r="JS178" s="382"/>
      <c r="JT178" s="382"/>
      <c r="JU178" s="382"/>
      <c r="JV178" s="110"/>
      <c r="JW178" s="110"/>
      <c r="JX178" s="110"/>
      <c r="JY178" s="387">
        <f>JQ178/100*(JY175+JY177)</f>
        <v>0</v>
      </c>
      <c r="JZ178" s="382"/>
      <c r="KA178" s="382"/>
      <c r="KB178" s="388">
        <f t="shared" si="2537"/>
        <v>0</v>
      </c>
      <c r="KC178" s="364"/>
      <c r="KD178" s="366"/>
      <c r="KE178" s="385" t="str">
        <f>"Adjusment "&amp;" %"</f>
        <v>Adjusment  %</v>
      </c>
      <c r="KF178" s="386"/>
      <c r="KG178" s="386"/>
      <c r="KH178" s="361"/>
      <c r="KI178" s="382"/>
      <c r="KJ178" s="382"/>
      <c r="KK178" s="382"/>
      <c r="KL178" s="382"/>
      <c r="KM178" s="110"/>
      <c r="KN178" s="110"/>
      <c r="KO178" s="110"/>
      <c r="KP178" s="387">
        <f>KH178/100*(KP175+KP177)</f>
        <v>0</v>
      </c>
      <c r="KQ178" s="382"/>
      <c r="KR178" s="382"/>
      <c r="KS178" s="388">
        <f t="shared" si="2538"/>
        <v>0</v>
      </c>
      <c r="KT178" s="364"/>
      <c r="KU178" s="365"/>
    </row>
    <row r="179" ht="15.75" customHeight="1">
      <c r="A179" s="366"/>
      <c r="B179" s="367"/>
      <c r="C179" s="368"/>
      <c r="D179" s="368"/>
      <c r="E179" s="361"/>
      <c r="F179" s="361"/>
      <c r="G179" s="361"/>
      <c r="H179" s="361"/>
      <c r="I179" s="361"/>
      <c r="J179" s="87"/>
      <c r="K179" s="87"/>
      <c r="L179" s="87"/>
      <c r="M179" s="361"/>
      <c r="N179" s="361"/>
      <c r="O179" s="361"/>
      <c r="P179" s="371"/>
      <c r="Q179" s="364"/>
      <c r="R179" s="366"/>
      <c r="S179" s="367"/>
      <c r="T179" s="368"/>
      <c r="U179" s="368"/>
      <c r="V179" s="361"/>
      <c r="W179" s="361"/>
      <c r="X179" s="361"/>
      <c r="Y179" s="361"/>
      <c r="Z179" s="361"/>
      <c r="AA179" s="87"/>
      <c r="AB179" s="87"/>
      <c r="AC179" s="87"/>
      <c r="AD179" s="361"/>
      <c r="AE179" s="361"/>
      <c r="AF179" s="361"/>
      <c r="AG179" s="371"/>
      <c r="AH179" s="364"/>
      <c r="AI179" s="366"/>
      <c r="AJ179" s="367"/>
      <c r="AK179" s="368"/>
      <c r="AL179" s="368"/>
      <c r="AM179" s="361"/>
      <c r="AN179" s="361"/>
      <c r="AO179" s="361"/>
      <c r="AP179" s="361"/>
      <c r="AQ179" s="361"/>
      <c r="AR179" s="87"/>
      <c r="AS179" s="87"/>
      <c r="AT179" s="87"/>
      <c r="AU179" s="361"/>
      <c r="AV179" s="361"/>
      <c r="AW179" s="361"/>
      <c r="AX179" s="371"/>
      <c r="AY179" s="364"/>
      <c r="AZ179" s="366"/>
      <c r="BA179" s="367"/>
      <c r="BB179" s="368"/>
      <c r="BC179" s="368"/>
      <c r="BD179" s="361"/>
      <c r="BE179" s="361"/>
      <c r="BF179" s="361"/>
      <c r="BG179" s="361"/>
      <c r="BH179" s="361"/>
      <c r="BI179" s="87"/>
      <c r="BJ179" s="87"/>
      <c r="BK179" s="87"/>
      <c r="BL179" s="361"/>
      <c r="BM179" s="361"/>
      <c r="BN179" s="361"/>
      <c r="BO179" s="371"/>
      <c r="BP179" s="364"/>
      <c r="BQ179" s="366"/>
      <c r="BR179" s="367"/>
      <c r="BS179" s="368"/>
      <c r="BT179" s="368"/>
      <c r="BU179" s="361"/>
      <c r="BV179" s="361"/>
      <c r="BW179" s="361"/>
      <c r="BX179" s="361"/>
      <c r="BY179" s="361"/>
      <c r="BZ179" s="87"/>
      <c r="CA179" s="87"/>
      <c r="CB179" s="87"/>
      <c r="CC179" s="361"/>
      <c r="CD179" s="361"/>
      <c r="CE179" s="361"/>
      <c r="CF179" s="371"/>
      <c r="CG179" s="364"/>
      <c r="CH179" s="366"/>
      <c r="CI179" s="367"/>
      <c r="CJ179" s="368"/>
      <c r="CK179" s="368"/>
      <c r="CL179" s="361"/>
      <c r="CM179" s="361"/>
      <c r="CN179" s="361"/>
      <c r="CO179" s="361"/>
      <c r="CP179" s="361"/>
      <c r="CQ179" s="87"/>
      <c r="CR179" s="87"/>
      <c r="CS179" s="87"/>
      <c r="CT179" s="361"/>
      <c r="CU179" s="361"/>
      <c r="CV179" s="361"/>
      <c r="CW179" s="371"/>
      <c r="CX179" s="364"/>
      <c r="CY179" s="366"/>
      <c r="CZ179" s="367"/>
      <c r="DA179" s="368"/>
      <c r="DB179" s="368"/>
      <c r="DC179" s="361"/>
      <c r="DD179" s="361"/>
      <c r="DE179" s="361"/>
      <c r="DF179" s="361"/>
      <c r="DG179" s="361"/>
      <c r="DH179" s="87"/>
      <c r="DI179" s="87"/>
      <c r="DJ179" s="87"/>
      <c r="DK179" s="361"/>
      <c r="DL179" s="361"/>
      <c r="DM179" s="361"/>
      <c r="DN179" s="371"/>
      <c r="DO179" s="364"/>
      <c r="DP179" s="366"/>
      <c r="DQ179" s="367"/>
      <c r="DR179" s="368"/>
      <c r="DS179" s="368"/>
      <c r="DT179" s="361"/>
      <c r="DU179" s="361"/>
      <c r="DV179" s="361"/>
      <c r="DW179" s="361"/>
      <c r="DX179" s="361"/>
      <c r="DY179" s="87"/>
      <c r="DZ179" s="87"/>
      <c r="EA179" s="87"/>
      <c r="EB179" s="361"/>
      <c r="EC179" s="361"/>
      <c r="ED179" s="361"/>
      <c r="EE179" s="371"/>
      <c r="EF179" s="364"/>
      <c r="EG179" s="366"/>
      <c r="EH179" s="367"/>
      <c r="EI179" s="368"/>
      <c r="EJ179" s="368"/>
      <c r="EK179" s="361"/>
      <c r="EL179" s="361"/>
      <c r="EM179" s="361"/>
      <c r="EN179" s="361"/>
      <c r="EO179" s="361"/>
      <c r="EP179" s="87"/>
      <c r="EQ179" s="87"/>
      <c r="ER179" s="87"/>
      <c r="ES179" s="361"/>
      <c r="ET179" s="361"/>
      <c r="EU179" s="361"/>
      <c r="EV179" s="371"/>
      <c r="EW179" s="364"/>
      <c r="EX179" s="366"/>
      <c r="EY179" s="367"/>
      <c r="EZ179" s="368"/>
      <c r="FA179" s="368"/>
      <c r="FB179" s="361"/>
      <c r="FC179" s="361"/>
      <c r="FD179" s="361"/>
      <c r="FE179" s="361"/>
      <c r="FF179" s="361"/>
      <c r="FG179" s="87"/>
      <c r="FH179" s="87"/>
      <c r="FI179" s="87"/>
      <c r="FJ179" s="361"/>
      <c r="FK179" s="361"/>
      <c r="FL179" s="361"/>
      <c r="FM179" s="371"/>
      <c r="FN179" s="364"/>
      <c r="FO179" s="366"/>
      <c r="FP179" s="367"/>
      <c r="FQ179" s="368"/>
      <c r="FR179" s="368"/>
      <c r="FS179" s="361"/>
      <c r="FT179" s="361"/>
      <c r="FU179" s="361"/>
      <c r="FV179" s="361"/>
      <c r="FW179" s="361"/>
      <c r="FX179" s="87"/>
      <c r="FY179" s="87"/>
      <c r="FZ179" s="87"/>
      <c r="GA179" s="361"/>
      <c r="GB179" s="361"/>
      <c r="GC179" s="361"/>
      <c r="GD179" s="371"/>
      <c r="GE179" s="364"/>
      <c r="GF179" s="366"/>
      <c r="GG179" s="367"/>
      <c r="GH179" s="368"/>
      <c r="GI179" s="368"/>
      <c r="GJ179" s="361"/>
      <c r="GK179" s="361"/>
      <c r="GL179" s="361"/>
      <c r="GM179" s="361"/>
      <c r="GN179" s="361"/>
      <c r="GO179" s="87"/>
      <c r="GP179" s="87"/>
      <c r="GQ179" s="87"/>
      <c r="GR179" s="361"/>
      <c r="GS179" s="361"/>
      <c r="GT179" s="361"/>
      <c r="GU179" s="371"/>
      <c r="GV179" s="364"/>
      <c r="GW179" s="366"/>
      <c r="GX179" s="367"/>
      <c r="GY179" s="368"/>
      <c r="GZ179" s="368"/>
      <c r="HA179" s="361"/>
      <c r="HB179" s="361"/>
      <c r="HC179" s="361"/>
      <c r="HD179" s="361"/>
      <c r="HE179" s="361"/>
      <c r="HF179" s="87"/>
      <c r="HG179" s="87"/>
      <c r="HH179" s="87"/>
      <c r="HI179" s="361"/>
      <c r="HJ179" s="361"/>
      <c r="HK179" s="361"/>
      <c r="HL179" s="371"/>
      <c r="HM179" s="364"/>
      <c r="HN179" s="366"/>
      <c r="HO179" s="367"/>
      <c r="HP179" s="368"/>
      <c r="HQ179" s="368"/>
      <c r="HR179" s="361"/>
      <c r="HS179" s="361"/>
      <c r="HT179" s="361"/>
      <c r="HU179" s="361"/>
      <c r="HV179" s="361"/>
      <c r="HW179" s="87"/>
      <c r="HX179" s="87"/>
      <c r="HY179" s="87"/>
      <c r="HZ179" s="361"/>
      <c r="IA179" s="361"/>
      <c r="IB179" s="361"/>
      <c r="IC179" s="371"/>
      <c r="ID179" s="364"/>
      <c r="IE179" s="366"/>
      <c r="IF179" s="367"/>
      <c r="IG179" s="368"/>
      <c r="IH179" s="368"/>
      <c r="II179" s="361"/>
      <c r="IJ179" s="361"/>
      <c r="IK179" s="361"/>
      <c r="IL179" s="361"/>
      <c r="IM179" s="361"/>
      <c r="IN179" s="87"/>
      <c r="IO179" s="87"/>
      <c r="IP179" s="87"/>
      <c r="IQ179" s="361"/>
      <c r="IR179" s="361"/>
      <c r="IS179" s="361"/>
      <c r="IT179" s="371"/>
      <c r="IU179" s="364"/>
      <c r="IV179" s="366"/>
      <c r="IW179" s="367"/>
      <c r="IX179" s="368"/>
      <c r="IY179" s="368"/>
      <c r="IZ179" s="361"/>
      <c r="JA179" s="361"/>
      <c r="JB179" s="361"/>
      <c r="JC179" s="361"/>
      <c r="JD179" s="361"/>
      <c r="JE179" s="87"/>
      <c r="JF179" s="87"/>
      <c r="JG179" s="87"/>
      <c r="JH179" s="361"/>
      <c r="JI179" s="361"/>
      <c r="JJ179" s="361"/>
      <c r="JK179" s="371"/>
      <c r="JL179" s="364"/>
      <c r="JM179" s="366"/>
      <c r="JN179" s="367"/>
      <c r="JO179" s="368"/>
      <c r="JP179" s="368"/>
      <c r="JQ179" s="361"/>
      <c r="JR179" s="361"/>
      <c r="JS179" s="361"/>
      <c r="JT179" s="361"/>
      <c r="JU179" s="361"/>
      <c r="JV179" s="87"/>
      <c r="JW179" s="87"/>
      <c r="JX179" s="87"/>
      <c r="JY179" s="361"/>
      <c r="JZ179" s="361"/>
      <c r="KA179" s="361"/>
      <c r="KB179" s="371"/>
      <c r="KC179" s="364"/>
      <c r="KD179" s="366"/>
      <c r="KE179" s="367"/>
      <c r="KF179" s="368"/>
      <c r="KG179" s="368"/>
      <c r="KH179" s="361"/>
      <c r="KI179" s="361"/>
      <c r="KJ179" s="361"/>
      <c r="KK179" s="361"/>
      <c r="KL179" s="361"/>
      <c r="KM179" s="87"/>
      <c r="KN179" s="87"/>
      <c r="KO179" s="87"/>
      <c r="KP179" s="361"/>
      <c r="KQ179" s="361"/>
      <c r="KR179" s="361"/>
      <c r="KS179" s="371"/>
      <c r="KT179" s="364"/>
      <c r="KU179" s="365"/>
    </row>
    <row r="180" ht="24.0" customHeight="1">
      <c r="A180" s="389" t="s">
        <v>52</v>
      </c>
      <c r="B180" s="118"/>
      <c r="C180" s="390"/>
      <c r="D180" s="390"/>
      <c r="E180" s="391"/>
      <c r="F180" s="391"/>
      <c r="G180" s="392">
        <f>SUM(G175:G179)</f>
        <v>0</v>
      </c>
      <c r="H180" s="391"/>
      <c r="I180" s="392">
        <f>SUM(I175:I179)</f>
        <v>0</v>
      </c>
      <c r="J180" s="120"/>
      <c r="K180" s="120"/>
      <c r="L180" s="120"/>
      <c r="M180" s="392">
        <f>SUM(M175:M179)</f>
        <v>0</v>
      </c>
      <c r="N180" s="391"/>
      <c r="O180" s="392">
        <f t="shared" ref="O180:P180" si="2539">SUM(O175:O179)</f>
        <v>0</v>
      </c>
      <c r="P180" s="392">
        <f t="shared" si="2539"/>
        <v>0</v>
      </c>
      <c r="Q180" s="378"/>
      <c r="R180" s="389" t="s">
        <v>52</v>
      </c>
      <c r="S180" s="118"/>
      <c r="T180" s="390"/>
      <c r="U180" s="390"/>
      <c r="V180" s="391"/>
      <c r="W180" s="391"/>
      <c r="X180" s="392">
        <f>SUM(X175:X179)</f>
        <v>0</v>
      </c>
      <c r="Y180" s="391"/>
      <c r="Z180" s="392">
        <f>SUM(Z175:Z179)</f>
        <v>0</v>
      </c>
      <c r="AA180" s="120"/>
      <c r="AB180" s="120"/>
      <c r="AC180" s="120"/>
      <c r="AD180" s="392">
        <f>SUM(AD175:AD179)</f>
        <v>0</v>
      </c>
      <c r="AE180" s="391"/>
      <c r="AF180" s="392">
        <f t="shared" ref="AF180:AG180" si="2540">SUM(AF175:AF179)</f>
        <v>0</v>
      </c>
      <c r="AG180" s="392">
        <f t="shared" si="2540"/>
        <v>0</v>
      </c>
      <c r="AH180" s="378"/>
      <c r="AI180" s="389" t="s">
        <v>52</v>
      </c>
      <c r="AJ180" s="118"/>
      <c r="AK180" s="390"/>
      <c r="AL180" s="390"/>
      <c r="AM180" s="391"/>
      <c r="AN180" s="391"/>
      <c r="AO180" s="392">
        <f>SUM(AO175:AO179)</f>
        <v>0</v>
      </c>
      <c r="AP180" s="391"/>
      <c r="AQ180" s="392">
        <f>SUM(AQ175:AQ179)</f>
        <v>0</v>
      </c>
      <c r="AR180" s="120"/>
      <c r="AS180" s="120"/>
      <c r="AT180" s="120"/>
      <c r="AU180" s="392">
        <f>SUM(AU175:AU179)</f>
        <v>0</v>
      </c>
      <c r="AV180" s="391"/>
      <c r="AW180" s="392">
        <f t="shared" ref="AW180:AX180" si="2541">SUM(AW175:AW179)</f>
        <v>0</v>
      </c>
      <c r="AX180" s="392">
        <f t="shared" si="2541"/>
        <v>0</v>
      </c>
      <c r="AY180" s="378"/>
      <c r="AZ180" s="389" t="s">
        <v>52</v>
      </c>
      <c r="BA180" s="118"/>
      <c r="BB180" s="390"/>
      <c r="BC180" s="390"/>
      <c r="BD180" s="391"/>
      <c r="BE180" s="391"/>
      <c r="BF180" s="392">
        <f>SUM(BF175:BF179)</f>
        <v>0</v>
      </c>
      <c r="BG180" s="391"/>
      <c r="BH180" s="392">
        <f>SUM(BH175:BH179)</f>
        <v>0</v>
      </c>
      <c r="BI180" s="120"/>
      <c r="BJ180" s="120"/>
      <c r="BK180" s="120"/>
      <c r="BL180" s="392">
        <f>SUM(BL175:BL179)</f>
        <v>0</v>
      </c>
      <c r="BM180" s="391"/>
      <c r="BN180" s="392">
        <f t="shared" ref="BN180:BO180" si="2542">SUM(BN175:BN179)</f>
        <v>0</v>
      </c>
      <c r="BO180" s="392">
        <f t="shared" si="2542"/>
        <v>0</v>
      </c>
      <c r="BP180" s="378"/>
      <c r="BQ180" s="389" t="s">
        <v>52</v>
      </c>
      <c r="BR180" s="118"/>
      <c r="BS180" s="390"/>
      <c r="BT180" s="390"/>
      <c r="BU180" s="391"/>
      <c r="BV180" s="391"/>
      <c r="BW180" s="392">
        <f>SUM(BW175:BW179)</f>
        <v>0</v>
      </c>
      <c r="BX180" s="391"/>
      <c r="BY180" s="392">
        <f>SUM(BY175:BY179)</f>
        <v>0</v>
      </c>
      <c r="BZ180" s="120"/>
      <c r="CA180" s="120"/>
      <c r="CB180" s="120"/>
      <c r="CC180" s="392">
        <f>SUM(CC175:CC179)</f>
        <v>0</v>
      </c>
      <c r="CD180" s="391"/>
      <c r="CE180" s="392">
        <f t="shared" ref="CE180:CF180" si="2543">SUM(CE175:CE179)</f>
        <v>0</v>
      </c>
      <c r="CF180" s="392">
        <f t="shared" si="2543"/>
        <v>0</v>
      </c>
      <c r="CG180" s="378"/>
      <c r="CH180" s="389" t="s">
        <v>52</v>
      </c>
      <c r="CI180" s="118"/>
      <c r="CJ180" s="390"/>
      <c r="CK180" s="390"/>
      <c r="CL180" s="391"/>
      <c r="CM180" s="391"/>
      <c r="CN180" s="392">
        <f>SUM(CN175:CN179)</f>
        <v>0</v>
      </c>
      <c r="CO180" s="391"/>
      <c r="CP180" s="392">
        <f>SUM(CP175:CP179)</f>
        <v>0</v>
      </c>
      <c r="CQ180" s="120"/>
      <c r="CR180" s="120"/>
      <c r="CS180" s="120"/>
      <c r="CT180" s="392">
        <f>SUM(CT175:CT179)</f>
        <v>0</v>
      </c>
      <c r="CU180" s="391"/>
      <c r="CV180" s="392">
        <f t="shared" ref="CV180:CW180" si="2544">SUM(CV175:CV179)</f>
        <v>0</v>
      </c>
      <c r="CW180" s="392">
        <f t="shared" si="2544"/>
        <v>0</v>
      </c>
      <c r="CX180" s="378"/>
      <c r="CY180" s="389" t="s">
        <v>52</v>
      </c>
      <c r="CZ180" s="118"/>
      <c r="DA180" s="390"/>
      <c r="DB180" s="390"/>
      <c r="DC180" s="391"/>
      <c r="DD180" s="391"/>
      <c r="DE180" s="392">
        <f>SUM(DE175:DE179)</f>
        <v>0</v>
      </c>
      <c r="DF180" s="391"/>
      <c r="DG180" s="392">
        <f>SUM(DG175:DG179)</f>
        <v>0</v>
      </c>
      <c r="DH180" s="120"/>
      <c r="DI180" s="120"/>
      <c r="DJ180" s="120"/>
      <c r="DK180" s="392">
        <f>SUM(DK175:DK179)</f>
        <v>0</v>
      </c>
      <c r="DL180" s="391"/>
      <c r="DM180" s="392">
        <f t="shared" ref="DM180:DN180" si="2545">SUM(DM175:DM179)</f>
        <v>0</v>
      </c>
      <c r="DN180" s="392">
        <f t="shared" si="2545"/>
        <v>0</v>
      </c>
      <c r="DO180" s="378"/>
      <c r="DP180" s="389" t="s">
        <v>52</v>
      </c>
      <c r="DQ180" s="118"/>
      <c r="DR180" s="390"/>
      <c r="DS180" s="390"/>
      <c r="DT180" s="391"/>
      <c r="DU180" s="391"/>
      <c r="DV180" s="392">
        <f>SUM(DV175:DV179)</f>
        <v>0</v>
      </c>
      <c r="DW180" s="391"/>
      <c r="DX180" s="392">
        <f>SUM(DX175:DX179)</f>
        <v>0</v>
      </c>
      <c r="DY180" s="120"/>
      <c r="DZ180" s="120"/>
      <c r="EA180" s="120"/>
      <c r="EB180" s="392">
        <f>SUM(EB175:EB179)</f>
        <v>0</v>
      </c>
      <c r="EC180" s="391"/>
      <c r="ED180" s="392">
        <f t="shared" ref="ED180:EE180" si="2546">SUM(ED175:ED179)</f>
        <v>0</v>
      </c>
      <c r="EE180" s="392">
        <f t="shared" si="2546"/>
        <v>0</v>
      </c>
      <c r="EF180" s="378"/>
      <c r="EG180" s="389" t="s">
        <v>52</v>
      </c>
      <c r="EH180" s="118"/>
      <c r="EI180" s="390"/>
      <c r="EJ180" s="390"/>
      <c r="EK180" s="391"/>
      <c r="EL180" s="391"/>
      <c r="EM180" s="392">
        <f>SUM(EM175:EM179)</f>
        <v>0</v>
      </c>
      <c r="EN180" s="391"/>
      <c r="EO180" s="392">
        <f>SUM(EO175:EO179)</f>
        <v>0</v>
      </c>
      <c r="EP180" s="120"/>
      <c r="EQ180" s="120"/>
      <c r="ER180" s="120"/>
      <c r="ES180" s="392">
        <f>SUM(ES175:ES179)</f>
        <v>0</v>
      </c>
      <c r="ET180" s="391"/>
      <c r="EU180" s="392">
        <f t="shared" ref="EU180:EV180" si="2547">SUM(EU175:EU179)</f>
        <v>0</v>
      </c>
      <c r="EV180" s="392">
        <f t="shared" si="2547"/>
        <v>0</v>
      </c>
      <c r="EW180" s="378"/>
      <c r="EX180" s="389" t="s">
        <v>52</v>
      </c>
      <c r="EY180" s="118"/>
      <c r="EZ180" s="390"/>
      <c r="FA180" s="390"/>
      <c r="FB180" s="391"/>
      <c r="FC180" s="391"/>
      <c r="FD180" s="392">
        <f>SUM(FD175:FD179)</f>
        <v>0</v>
      </c>
      <c r="FE180" s="391"/>
      <c r="FF180" s="392">
        <f>SUM(FF175:FF179)</f>
        <v>0</v>
      </c>
      <c r="FG180" s="120"/>
      <c r="FH180" s="120"/>
      <c r="FI180" s="120"/>
      <c r="FJ180" s="392">
        <f>SUM(FJ175:FJ179)</f>
        <v>0</v>
      </c>
      <c r="FK180" s="391"/>
      <c r="FL180" s="392">
        <f t="shared" ref="FL180:FM180" si="2548">SUM(FL175:FL179)</f>
        <v>0</v>
      </c>
      <c r="FM180" s="392">
        <f t="shared" si="2548"/>
        <v>0</v>
      </c>
      <c r="FN180" s="378"/>
      <c r="FO180" s="389" t="s">
        <v>52</v>
      </c>
      <c r="FP180" s="118"/>
      <c r="FQ180" s="390"/>
      <c r="FR180" s="390"/>
      <c r="FS180" s="391"/>
      <c r="FT180" s="391"/>
      <c r="FU180" s="392">
        <f>SUM(FU175:FU179)</f>
        <v>2148565.435</v>
      </c>
      <c r="FV180" s="391"/>
      <c r="FW180" s="392">
        <f>SUM(FW175:FW179)</f>
        <v>0</v>
      </c>
      <c r="FX180" s="120"/>
      <c r="FY180" s="120"/>
      <c r="FZ180" s="120"/>
      <c r="GA180" s="392">
        <f>SUM(GA175:GA179)</f>
        <v>2148565.435</v>
      </c>
      <c r="GB180" s="391"/>
      <c r="GC180" s="392">
        <f t="shared" ref="GC180:GD180" si="2549">SUM(GC175:GC179)</f>
        <v>989300.7815</v>
      </c>
      <c r="GD180" s="392">
        <f t="shared" si="2549"/>
        <v>1159264.654</v>
      </c>
      <c r="GE180" s="378"/>
      <c r="GF180" s="389" t="s">
        <v>52</v>
      </c>
      <c r="GG180" s="118"/>
      <c r="GH180" s="390"/>
      <c r="GI180" s="390"/>
      <c r="GJ180" s="391"/>
      <c r="GK180" s="391"/>
      <c r="GL180" s="392">
        <f>SUM(GL175:GL179)</f>
        <v>3599111.652</v>
      </c>
      <c r="GM180" s="391"/>
      <c r="GN180" s="392">
        <f>SUM(GN175:GN179)</f>
        <v>0</v>
      </c>
      <c r="GO180" s="120"/>
      <c r="GP180" s="120"/>
      <c r="GQ180" s="120"/>
      <c r="GR180" s="392">
        <f>SUM(GR175:GR179)</f>
        <v>3599111.652</v>
      </c>
      <c r="GS180" s="391"/>
      <c r="GT180" s="392">
        <f t="shared" ref="GT180:GU180" si="2550">SUM(GT175:GT179)</f>
        <v>1657200.62</v>
      </c>
      <c r="GU180" s="392">
        <f t="shared" si="2550"/>
        <v>1941911.033</v>
      </c>
      <c r="GV180" s="378"/>
      <c r="GW180" s="389" t="s">
        <v>52</v>
      </c>
      <c r="GX180" s="118"/>
      <c r="GY180" s="390"/>
      <c r="GZ180" s="390"/>
      <c r="HA180" s="391"/>
      <c r="HB180" s="391"/>
      <c r="HC180" s="392">
        <f>SUM(HC175:HC179)</f>
        <v>1626101.998</v>
      </c>
      <c r="HD180" s="391"/>
      <c r="HE180" s="392">
        <f>SUM(HE175:HE179)</f>
        <v>0</v>
      </c>
      <c r="HF180" s="120"/>
      <c r="HG180" s="120"/>
      <c r="HH180" s="120"/>
      <c r="HI180" s="392">
        <f>SUM(HI175:HI179)</f>
        <v>1626101.998</v>
      </c>
      <c r="HJ180" s="391"/>
      <c r="HK180" s="392">
        <f t="shared" ref="HK180:HL180" si="2551">SUM(HK175:HK179)</f>
        <v>748733.9931</v>
      </c>
      <c r="HL180" s="392">
        <f t="shared" si="2551"/>
        <v>877368.005</v>
      </c>
      <c r="HM180" s="378"/>
      <c r="HN180" s="389" t="s">
        <v>52</v>
      </c>
      <c r="HO180" s="118"/>
      <c r="HP180" s="390"/>
      <c r="HQ180" s="390"/>
      <c r="HR180" s="391"/>
      <c r="HS180" s="391"/>
      <c r="HT180" s="392">
        <f>SUM(HT175:HT179)</f>
        <v>2627267.835</v>
      </c>
      <c r="HU180" s="391"/>
      <c r="HV180" s="392">
        <f>SUM(HV175:HV179)</f>
        <v>0</v>
      </c>
      <c r="HW180" s="120"/>
      <c r="HX180" s="120"/>
      <c r="HY180" s="120"/>
      <c r="HZ180" s="392">
        <f>SUM(HZ175:HZ179)</f>
        <v>2627267.835</v>
      </c>
      <c r="IA180" s="391"/>
      <c r="IB180" s="392">
        <f t="shared" ref="IB180:IC180" si="2552">SUM(IB175:IB179)</f>
        <v>1209717.926</v>
      </c>
      <c r="IC180" s="392">
        <f t="shared" si="2552"/>
        <v>1417549.909</v>
      </c>
      <c r="ID180" s="378"/>
      <c r="IE180" s="389" t="s">
        <v>52</v>
      </c>
      <c r="IF180" s="118"/>
      <c r="IG180" s="390"/>
      <c r="IH180" s="390"/>
      <c r="II180" s="391"/>
      <c r="IJ180" s="391"/>
      <c r="IK180" s="392">
        <f>SUM(IK175:IK179)</f>
        <v>4552154.937</v>
      </c>
      <c r="IL180" s="391"/>
      <c r="IM180" s="392">
        <f>SUM(IM175:IM179)</f>
        <v>0</v>
      </c>
      <c r="IN180" s="120"/>
      <c r="IO180" s="120"/>
      <c r="IP180" s="120"/>
      <c r="IQ180" s="392">
        <f>SUM(IQ175:IQ179)</f>
        <v>4552154.937</v>
      </c>
      <c r="IR180" s="391"/>
      <c r="IS180" s="392">
        <f t="shared" ref="IS180:IT180" si="2553">SUM(IS175:IS179)</f>
        <v>2096026.662</v>
      </c>
      <c r="IT180" s="392">
        <f t="shared" si="2553"/>
        <v>2456128.275</v>
      </c>
      <c r="IU180" s="378"/>
      <c r="IV180" s="389" t="s">
        <v>52</v>
      </c>
      <c r="IW180" s="118"/>
      <c r="IX180" s="390"/>
      <c r="IY180" s="390"/>
      <c r="IZ180" s="391"/>
      <c r="JA180" s="391"/>
      <c r="JB180" s="392">
        <f>SUM(JB175:JB179)</f>
        <v>4979612.763</v>
      </c>
      <c r="JC180" s="391"/>
      <c r="JD180" s="392">
        <f>SUM(JD175:JD179)</f>
        <v>0</v>
      </c>
      <c r="JE180" s="120"/>
      <c r="JF180" s="120"/>
      <c r="JG180" s="120"/>
      <c r="JH180" s="392">
        <f>SUM(JH175:JH179)</f>
        <v>4979612.763</v>
      </c>
      <c r="JI180" s="391"/>
      <c r="JJ180" s="392">
        <f t="shared" ref="JJ180:JK180" si="2554">SUM(JJ175:JJ179)</f>
        <v>2292848.39</v>
      </c>
      <c r="JK180" s="392">
        <f t="shared" si="2554"/>
        <v>2686764.373</v>
      </c>
      <c r="JL180" s="378"/>
      <c r="JM180" s="389" t="s">
        <v>52</v>
      </c>
      <c r="JN180" s="118"/>
      <c r="JO180" s="390"/>
      <c r="JP180" s="390"/>
      <c r="JQ180" s="391"/>
      <c r="JR180" s="391"/>
      <c r="JS180" s="392">
        <f>SUM(JS175:JS179)</f>
        <v>0</v>
      </c>
      <c r="JT180" s="391"/>
      <c r="JU180" s="392">
        <f>SUM(JU175:JU179)</f>
        <v>0</v>
      </c>
      <c r="JV180" s="120"/>
      <c r="JW180" s="120"/>
      <c r="JX180" s="120"/>
      <c r="JY180" s="392">
        <f>SUM(JY175:JY179)</f>
        <v>0</v>
      </c>
      <c r="JZ180" s="391"/>
      <c r="KA180" s="392">
        <f t="shared" ref="KA180:KB180" si="2555">SUM(KA175:KA179)</f>
        <v>0</v>
      </c>
      <c r="KB180" s="392">
        <f t="shared" si="2555"/>
        <v>0</v>
      </c>
      <c r="KC180" s="378"/>
      <c r="KD180" s="389" t="s">
        <v>52</v>
      </c>
      <c r="KE180" s="118"/>
      <c r="KF180" s="390"/>
      <c r="KG180" s="390"/>
      <c r="KH180" s="391"/>
      <c r="KI180" s="391"/>
      <c r="KJ180" s="392">
        <f>SUM(KJ175:KJ179)</f>
        <v>0</v>
      </c>
      <c r="KK180" s="391"/>
      <c r="KL180" s="392">
        <f>SUM(KL175:KL179)</f>
        <v>0</v>
      </c>
      <c r="KM180" s="120"/>
      <c r="KN180" s="120"/>
      <c r="KO180" s="120"/>
      <c r="KP180" s="392">
        <f>SUM(KP175:KP179)</f>
        <v>0</v>
      </c>
      <c r="KQ180" s="391"/>
      <c r="KR180" s="392">
        <f t="shared" ref="KR180:KS180" si="2556">SUM(KR175:KR179)</f>
        <v>0</v>
      </c>
      <c r="KS180" s="392">
        <f t="shared" si="2556"/>
        <v>0</v>
      </c>
      <c r="KT180" s="378"/>
      <c r="KU180" s="379"/>
    </row>
    <row r="181" ht="15.0" customHeight="1">
      <c r="A181" s="44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7"/>
      <c r="R181" s="44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7"/>
      <c r="AI181" s="44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  <c r="AU181" s="36"/>
      <c r="AV181" s="36"/>
      <c r="AW181" s="36"/>
      <c r="AX181" s="36"/>
      <c r="AY181" s="37"/>
      <c r="AZ181" s="44"/>
      <c r="BA181" s="36"/>
      <c r="BB181" s="36"/>
      <c r="BC181" s="36"/>
      <c r="BD181" s="36"/>
      <c r="BE181" s="36"/>
      <c r="BF181" s="36"/>
      <c r="BG181" s="36"/>
      <c r="BH181" s="36"/>
      <c r="BI181" s="36"/>
      <c r="BJ181" s="36"/>
      <c r="BK181" s="36"/>
      <c r="BL181" s="36"/>
      <c r="BM181" s="36"/>
      <c r="BN181" s="36"/>
      <c r="BO181" s="36"/>
      <c r="BP181" s="37"/>
      <c r="BQ181" s="44"/>
      <c r="BR181" s="36"/>
      <c r="BS181" s="36"/>
      <c r="BT181" s="36"/>
      <c r="BU181" s="36"/>
      <c r="BV181" s="36"/>
      <c r="BW181" s="36"/>
      <c r="BX181" s="36"/>
      <c r="BY181" s="36"/>
      <c r="BZ181" s="36"/>
      <c r="CA181" s="36"/>
      <c r="CB181" s="36"/>
      <c r="CC181" s="36"/>
      <c r="CD181" s="36"/>
      <c r="CE181" s="36"/>
      <c r="CF181" s="36"/>
      <c r="CG181" s="37"/>
      <c r="CH181" s="44"/>
      <c r="CI181" s="36"/>
      <c r="CJ181" s="36"/>
      <c r="CK181" s="36"/>
      <c r="CL181" s="36"/>
      <c r="CM181" s="36"/>
      <c r="CN181" s="36"/>
      <c r="CO181" s="36"/>
      <c r="CP181" s="36"/>
      <c r="CQ181" s="36"/>
      <c r="CR181" s="36"/>
      <c r="CS181" s="36"/>
      <c r="CT181" s="36"/>
      <c r="CU181" s="36"/>
      <c r="CV181" s="36"/>
      <c r="CW181" s="36"/>
      <c r="CX181" s="37"/>
      <c r="CY181" s="44"/>
      <c r="CZ181" s="36"/>
      <c r="DA181" s="36"/>
      <c r="DB181" s="36"/>
      <c r="DC181" s="36"/>
      <c r="DD181" s="36"/>
      <c r="DE181" s="36"/>
      <c r="DF181" s="36"/>
      <c r="DG181" s="36"/>
      <c r="DH181" s="36"/>
      <c r="DI181" s="36"/>
      <c r="DJ181" s="36"/>
      <c r="DK181" s="36"/>
      <c r="DL181" s="36"/>
      <c r="DM181" s="36"/>
      <c r="DN181" s="36"/>
      <c r="DO181" s="37"/>
      <c r="DP181" s="44"/>
      <c r="DQ181" s="36"/>
      <c r="DR181" s="36"/>
      <c r="DS181" s="36"/>
      <c r="DT181" s="36"/>
      <c r="DU181" s="36"/>
      <c r="DV181" s="36"/>
      <c r="DW181" s="36"/>
      <c r="DX181" s="36"/>
      <c r="DY181" s="36"/>
      <c r="DZ181" s="36"/>
      <c r="EA181" s="36"/>
      <c r="EB181" s="36"/>
      <c r="EC181" s="36"/>
      <c r="ED181" s="36"/>
      <c r="EE181" s="36"/>
      <c r="EF181" s="37"/>
      <c r="EG181" s="44"/>
      <c r="EH181" s="36"/>
      <c r="EI181" s="36"/>
      <c r="EJ181" s="36"/>
      <c r="EK181" s="36"/>
      <c r="EL181" s="36"/>
      <c r="EM181" s="36"/>
      <c r="EN181" s="36"/>
      <c r="EO181" s="36"/>
      <c r="EP181" s="36"/>
      <c r="EQ181" s="36"/>
      <c r="ER181" s="36"/>
      <c r="ES181" s="36"/>
      <c r="ET181" s="36"/>
      <c r="EU181" s="36"/>
      <c r="EV181" s="36"/>
      <c r="EW181" s="37"/>
      <c r="EX181" s="44"/>
      <c r="EY181" s="36"/>
      <c r="EZ181" s="36"/>
      <c r="FA181" s="36"/>
      <c r="FB181" s="36"/>
      <c r="FC181" s="36"/>
      <c r="FD181" s="36"/>
      <c r="FE181" s="36"/>
      <c r="FF181" s="36"/>
      <c r="FG181" s="36"/>
      <c r="FH181" s="36"/>
      <c r="FI181" s="36"/>
      <c r="FJ181" s="36"/>
      <c r="FK181" s="36"/>
      <c r="FL181" s="36"/>
      <c r="FM181" s="36"/>
      <c r="FN181" s="37"/>
      <c r="FO181" s="44"/>
      <c r="FP181" s="36"/>
      <c r="FQ181" s="36"/>
      <c r="FR181" s="36"/>
      <c r="FS181" s="36"/>
      <c r="FT181" s="36"/>
      <c r="FU181" s="36"/>
      <c r="FV181" s="36"/>
      <c r="FW181" s="36"/>
      <c r="FX181" s="36"/>
      <c r="FY181" s="36"/>
      <c r="FZ181" s="36"/>
      <c r="GA181" s="36"/>
      <c r="GB181" s="36"/>
      <c r="GC181" s="36"/>
      <c r="GD181" s="36"/>
      <c r="GE181" s="37"/>
      <c r="GF181" s="44"/>
      <c r="GG181" s="36"/>
      <c r="GH181" s="36"/>
      <c r="GI181" s="36"/>
      <c r="GJ181" s="36"/>
      <c r="GK181" s="36"/>
      <c r="GL181" s="36"/>
      <c r="GM181" s="36"/>
      <c r="GN181" s="36"/>
      <c r="GO181" s="36"/>
      <c r="GP181" s="36"/>
      <c r="GQ181" s="36"/>
      <c r="GR181" s="36"/>
      <c r="GS181" s="36"/>
      <c r="GT181" s="36"/>
      <c r="GU181" s="36"/>
      <c r="GV181" s="37"/>
      <c r="GW181" s="44"/>
      <c r="GX181" s="36"/>
      <c r="GY181" s="36"/>
      <c r="GZ181" s="36"/>
      <c r="HA181" s="36"/>
      <c r="HB181" s="36"/>
      <c r="HC181" s="36"/>
      <c r="HD181" s="36"/>
      <c r="HE181" s="36"/>
      <c r="HF181" s="36"/>
      <c r="HG181" s="36"/>
      <c r="HH181" s="36"/>
      <c r="HI181" s="36"/>
      <c r="HJ181" s="36"/>
      <c r="HK181" s="36"/>
      <c r="HL181" s="36"/>
      <c r="HM181" s="37"/>
      <c r="HN181" s="44"/>
      <c r="HO181" s="36"/>
      <c r="HP181" s="36"/>
      <c r="HQ181" s="36"/>
      <c r="HR181" s="36"/>
      <c r="HS181" s="36"/>
      <c r="HT181" s="36"/>
      <c r="HU181" s="36"/>
      <c r="HV181" s="36"/>
      <c r="HW181" s="36"/>
      <c r="HX181" s="36"/>
      <c r="HY181" s="36"/>
      <c r="HZ181" s="36"/>
      <c r="IA181" s="36"/>
      <c r="IB181" s="36"/>
      <c r="IC181" s="36"/>
      <c r="ID181" s="37"/>
      <c r="IE181" s="44"/>
      <c r="IF181" s="36"/>
      <c r="IG181" s="36"/>
      <c r="IH181" s="36"/>
      <c r="II181" s="36"/>
      <c r="IJ181" s="36"/>
      <c r="IK181" s="36"/>
      <c r="IL181" s="36"/>
      <c r="IM181" s="36"/>
      <c r="IN181" s="36"/>
      <c r="IO181" s="36"/>
      <c r="IP181" s="36"/>
      <c r="IQ181" s="36"/>
      <c r="IR181" s="36"/>
      <c r="IS181" s="36"/>
      <c r="IT181" s="36"/>
      <c r="IU181" s="37"/>
      <c r="IV181" s="44"/>
      <c r="IW181" s="36"/>
      <c r="IX181" s="36"/>
      <c r="IY181" s="36"/>
      <c r="IZ181" s="36"/>
      <c r="JA181" s="36"/>
      <c r="JB181" s="36"/>
      <c r="JC181" s="36"/>
      <c r="JD181" s="36"/>
      <c r="JE181" s="36"/>
      <c r="JF181" s="36"/>
      <c r="JG181" s="36"/>
      <c r="JH181" s="36"/>
      <c r="JI181" s="36"/>
      <c r="JJ181" s="36"/>
      <c r="JK181" s="36"/>
      <c r="JL181" s="37"/>
      <c r="JM181" s="44"/>
      <c r="JN181" s="36"/>
      <c r="JO181" s="36"/>
      <c r="JP181" s="36"/>
      <c r="JQ181" s="36"/>
      <c r="JR181" s="36"/>
      <c r="JS181" s="36"/>
      <c r="JT181" s="36"/>
      <c r="JU181" s="36"/>
      <c r="JV181" s="36"/>
      <c r="JW181" s="36"/>
      <c r="JX181" s="36"/>
      <c r="JY181" s="36"/>
      <c r="JZ181" s="36"/>
      <c r="KA181" s="36"/>
      <c r="KB181" s="36"/>
      <c r="KC181" s="37"/>
      <c r="KD181" s="44"/>
      <c r="KE181" s="36"/>
      <c r="KF181" s="36"/>
      <c r="KG181" s="36"/>
      <c r="KH181" s="36"/>
      <c r="KI181" s="36"/>
      <c r="KJ181" s="36"/>
      <c r="KK181" s="36"/>
      <c r="KL181" s="36"/>
      <c r="KM181" s="36"/>
      <c r="KN181" s="36"/>
      <c r="KO181" s="36"/>
      <c r="KP181" s="36"/>
      <c r="KQ181" s="36"/>
      <c r="KR181" s="36"/>
      <c r="KS181" s="36"/>
      <c r="KT181" s="37"/>
      <c r="KU181" s="36"/>
    </row>
    <row r="182" ht="15.0" customHeight="1">
      <c r="A182" s="44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7"/>
      <c r="R182" s="44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7"/>
      <c r="AI182" s="44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  <c r="AU182" s="36"/>
      <c r="AV182" s="36"/>
      <c r="AW182" s="36"/>
      <c r="AX182" s="36"/>
      <c r="AY182" s="37"/>
      <c r="AZ182" s="44"/>
      <c r="BA182" s="36"/>
      <c r="BB182" s="36"/>
      <c r="BC182" s="36"/>
      <c r="BD182" s="36"/>
      <c r="BE182" s="36"/>
      <c r="BF182" s="36"/>
      <c r="BG182" s="36"/>
      <c r="BH182" s="36"/>
      <c r="BI182" s="36"/>
      <c r="BJ182" s="36"/>
      <c r="BK182" s="36"/>
      <c r="BL182" s="36"/>
      <c r="BM182" s="36"/>
      <c r="BN182" s="36"/>
      <c r="BO182" s="36"/>
      <c r="BP182" s="37"/>
      <c r="BQ182" s="44"/>
      <c r="BR182" s="36"/>
      <c r="BS182" s="36"/>
      <c r="BT182" s="36"/>
      <c r="BU182" s="36"/>
      <c r="BV182" s="36"/>
      <c r="BW182" s="36"/>
      <c r="BX182" s="36"/>
      <c r="BY182" s="36"/>
      <c r="BZ182" s="36"/>
      <c r="CA182" s="36"/>
      <c r="CB182" s="36"/>
      <c r="CC182" s="36"/>
      <c r="CD182" s="36"/>
      <c r="CE182" s="36"/>
      <c r="CF182" s="36"/>
      <c r="CG182" s="37"/>
      <c r="CH182" s="44"/>
      <c r="CI182" s="36"/>
      <c r="CJ182" s="36"/>
      <c r="CK182" s="36"/>
      <c r="CL182" s="36"/>
      <c r="CM182" s="36"/>
      <c r="CN182" s="36"/>
      <c r="CO182" s="36"/>
      <c r="CP182" s="36"/>
      <c r="CQ182" s="36"/>
      <c r="CR182" s="36"/>
      <c r="CS182" s="36"/>
      <c r="CT182" s="36"/>
      <c r="CU182" s="36"/>
      <c r="CV182" s="36"/>
      <c r="CW182" s="36"/>
      <c r="CX182" s="37"/>
      <c r="CY182" s="44"/>
      <c r="CZ182" s="36"/>
      <c r="DA182" s="36"/>
      <c r="DB182" s="36"/>
      <c r="DC182" s="36"/>
      <c r="DD182" s="36"/>
      <c r="DE182" s="36"/>
      <c r="DF182" s="36"/>
      <c r="DG182" s="36"/>
      <c r="DH182" s="36"/>
      <c r="DI182" s="36"/>
      <c r="DJ182" s="36"/>
      <c r="DK182" s="36"/>
      <c r="DL182" s="36"/>
      <c r="DM182" s="36"/>
      <c r="DN182" s="36"/>
      <c r="DO182" s="37"/>
      <c r="DP182" s="44"/>
      <c r="DQ182" s="36"/>
      <c r="DR182" s="36"/>
      <c r="DS182" s="36"/>
      <c r="DT182" s="36"/>
      <c r="DU182" s="36"/>
      <c r="DV182" s="36"/>
      <c r="DW182" s="36"/>
      <c r="DX182" s="36"/>
      <c r="DY182" s="36"/>
      <c r="DZ182" s="36"/>
      <c r="EA182" s="36"/>
      <c r="EB182" s="36"/>
      <c r="EC182" s="36"/>
      <c r="ED182" s="36"/>
      <c r="EE182" s="36"/>
      <c r="EF182" s="37"/>
      <c r="EG182" s="44"/>
      <c r="EH182" s="36"/>
      <c r="EI182" s="36"/>
      <c r="EJ182" s="36"/>
      <c r="EK182" s="36"/>
      <c r="EL182" s="36"/>
      <c r="EM182" s="36"/>
      <c r="EN182" s="36"/>
      <c r="EO182" s="36"/>
      <c r="EP182" s="36"/>
      <c r="EQ182" s="36"/>
      <c r="ER182" s="36"/>
      <c r="ES182" s="36"/>
      <c r="ET182" s="36"/>
      <c r="EU182" s="36"/>
      <c r="EV182" s="36"/>
      <c r="EW182" s="37"/>
      <c r="EX182" s="44"/>
      <c r="EY182" s="36"/>
      <c r="EZ182" s="36"/>
      <c r="FA182" s="36"/>
      <c r="FB182" s="36"/>
      <c r="FC182" s="36"/>
      <c r="FD182" s="36"/>
      <c r="FE182" s="36"/>
      <c r="FF182" s="36"/>
      <c r="FG182" s="36"/>
      <c r="FH182" s="36"/>
      <c r="FI182" s="36"/>
      <c r="FJ182" s="36"/>
      <c r="FK182" s="36"/>
      <c r="FL182" s="36"/>
      <c r="FM182" s="36"/>
      <c r="FN182" s="37"/>
      <c r="FO182" s="44"/>
      <c r="FP182" s="36"/>
      <c r="FQ182" s="36"/>
      <c r="FR182" s="36"/>
      <c r="FS182" s="36"/>
      <c r="FT182" s="36"/>
      <c r="FU182" s="36"/>
      <c r="FV182" s="36"/>
      <c r="FW182" s="36"/>
      <c r="FX182" s="36"/>
      <c r="FY182" s="36"/>
      <c r="FZ182" s="36"/>
      <c r="GA182" s="36"/>
      <c r="GB182" s="36"/>
      <c r="GC182" s="36"/>
      <c r="GD182" s="36"/>
      <c r="GE182" s="37"/>
      <c r="GF182" s="44"/>
      <c r="GG182" s="36"/>
      <c r="GH182" s="36"/>
      <c r="GI182" s="36"/>
      <c r="GJ182" s="36"/>
      <c r="GK182" s="36"/>
      <c r="GL182" s="36"/>
      <c r="GM182" s="36"/>
      <c r="GN182" s="36"/>
      <c r="GO182" s="36"/>
      <c r="GP182" s="36"/>
      <c r="GQ182" s="36"/>
      <c r="GR182" s="36"/>
      <c r="GS182" s="36"/>
      <c r="GT182" s="36"/>
      <c r="GU182" s="36"/>
      <c r="GV182" s="37"/>
      <c r="GW182" s="44"/>
      <c r="GX182" s="36"/>
      <c r="GY182" s="36"/>
      <c r="GZ182" s="36"/>
      <c r="HA182" s="36"/>
      <c r="HB182" s="36"/>
      <c r="HC182" s="36"/>
      <c r="HD182" s="36"/>
      <c r="HE182" s="36"/>
      <c r="HF182" s="36"/>
      <c r="HG182" s="36"/>
      <c r="HH182" s="36"/>
      <c r="HI182" s="36"/>
      <c r="HJ182" s="36"/>
      <c r="HK182" s="36"/>
      <c r="HL182" s="36"/>
      <c r="HM182" s="37"/>
      <c r="HN182" s="44"/>
      <c r="HO182" s="36"/>
      <c r="HP182" s="36"/>
      <c r="HQ182" s="36"/>
      <c r="HR182" s="36"/>
      <c r="HS182" s="36"/>
      <c r="HT182" s="36"/>
      <c r="HU182" s="36"/>
      <c r="HV182" s="36"/>
      <c r="HW182" s="36"/>
      <c r="HX182" s="36"/>
      <c r="HY182" s="36"/>
      <c r="HZ182" s="36"/>
      <c r="IA182" s="36"/>
      <c r="IB182" s="36"/>
      <c r="IC182" s="36"/>
      <c r="ID182" s="37"/>
      <c r="IE182" s="44"/>
      <c r="IF182" s="36"/>
      <c r="IG182" s="36"/>
      <c r="IH182" s="36"/>
      <c r="II182" s="36"/>
      <c r="IJ182" s="36"/>
      <c r="IK182" s="36"/>
      <c r="IL182" s="36"/>
      <c r="IM182" s="36"/>
      <c r="IN182" s="36"/>
      <c r="IO182" s="36"/>
      <c r="IP182" s="36"/>
      <c r="IQ182" s="36"/>
      <c r="IR182" s="36"/>
      <c r="IS182" s="36"/>
      <c r="IT182" s="36"/>
      <c r="IU182" s="37"/>
      <c r="IV182" s="44"/>
      <c r="IW182" s="36"/>
      <c r="IX182" s="36"/>
      <c r="IY182" s="36"/>
      <c r="IZ182" s="36"/>
      <c r="JA182" s="36"/>
      <c r="JB182" s="36"/>
      <c r="JC182" s="36"/>
      <c r="JD182" s="36"/>
      <c r="JE182" s="36"/>
      <c r="JF182" s="36"/>
      <c r="JG182" s="36"/>
      <c r="JH182" s="36"/>
      <c r="JI182" s="36"/>
      <c r="JJ182" s="36"/>
      <c r="JK182" s="36"/>
      <c r="JL182" s="37"/>
      <c r="JM182" s="44"/>
      <c r="JN182" s="36"/>
      <c r="JO182" s="36"/>
      <c r="JP182" s="36"/>
      <c r="JQ182" s="36"/>
      <c r="JR182" s="36"/>
      <c r="JS182" s="36"/>
      <c r="JT182" s="36"/>
      <c r="JU182" s="36"/>
      <c r="JV182" s="36"/>
      <c r="JW182" s="36"/>
      <c r="JX182" s="36"/>
      <c r="JY182" s="36"/>
      <c r="JZ182" s="36"/>
      <c r="KA182" s="36"/>
      <c r="KB182" s="36"/>
      <c r="KC182" s="37"/>
      <c r="KD182" s="44"/>
      <c r="KE182" s="36"/>
      <c r="KF182" s="36"/>
      <c r="KG182" s="36"/>
      <c r="KH182" s="36"/>
      <c r="KI182" s="36"/>
      <c r="KJ182" s="36"/>
      <c r="KK182" s="36"/>
      <c r="KL182" s="36"/>
      <c r="KM182" s="36"/>
      <c r="KN182" s="36"/>
      <c r="KO182" s="36"/>
      <c r="KP182" s="36"/>
      <c r="KQ182" s="36"/>
      <c r="KR182" s="36"/>
      <c r="KS182" s="36"/>
      <c r="KT182" s="37"/>
      <c r="KU182" s="36"/>
    </row>
    <row r="183" ht="15.0" customHeight="1">
      <c r="A183" s="44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7"/>
      <c r="R183" s="44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7"/>
      <c r="AI183" s="44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  <c r="AU183" s="36"/>
      <c r="AV183" s="36"/>
      <c r="AW183" s="36"/>
      <c r="AX183" s="36"/>
      <c r="AY183" s="37"/>
      <c r="AZ183" s="44"/>
      <c r="BA183" s="36"/>
      <c r="BB183" s="36"/>
      <c r="BC183" s="36"/>
      <c r="BD183" s="36"/>
      <c r="BE183" s="36"/>
      <c r="BF183" s="36"/>
      <c r="BG183" s="36"/>
      <c r="BH183" s="36"/>
      <c r="BI183" s="36"/>
      <c r="BJ183" s="36"/>
      <c r="BK183" s="36"/>
      <c r="BL183" s="36"/>
      <c r="BM183" s="36"/>
      <c r="BN183" s="36"/>
      <c r="BO183" s="36"/>
      <c r="BP183" s="37"/>
      <c r="BQ183" s="44"/>
      <c r="BR183" s="36"/>
      <c r="BS183" s="36"/>
      <c r="BT183" s="36"/>
      <c r="BU183" s="36"/>
      <c r="BV183" s="36"/>
      <c r="BW183" s="36"/>
      <c r="BX183" s="36"/>
      <c r="BY183" s="36"/>
      <c r="BZ183" s="36"/>
      <c r="CA183" s="36"/>
      <c r="CB183" s="36"/>
      <c r="CC183" s="36"/>
      <c r="CD183" s="36"/>
      <c r="CE183" s="36"/>
      <c r="CF183" s="36"/>
      <c r="CG183" s="37"/>
      <c r="CH183" s="44"/>
      <c r="CI183" s="36"/>
      <c r="CJ183" s="36"/>
      <c r="CK183" s="36"/>
      <c r="CL183" s="36"/>
      <c r="CM183" s="36"/>
      <c r="CN183" s="36"/>
      <c r="CO183" s="36"/>
      <c r="CP183" s="36"/>
      <c r="CQ183" s="36"/>
      <c r="CR183" s="36"/>
      <c r="CS183" s="36"/>
      <c r="CT183" s="36"/>
      <c r="CU183" s="36"/>
      <c r="CV183" s="36"/>
      <c r="CW183" s="36"/>
      <c r="CX183" s="37"/>
      <c r="CY183" s="44"/>
      <c r="CZ183" s="36"/>
      <c r="DA183" s="36"/>
      <c r="DB183" s="36"/>
      <c r="DC183" s="36"/>
      <c r="DD183" s="36"/>
      <c r="DE183" s="36"/>
      <c r="DF183" s="36"/>
      <c r="DG183" s="36"/>
      <c r="DH183" s="36"/>
      <c r="DI183" s="36"/>
      <c r="DJ183" s="36"/>
      <c r="DK183" s="36"/>
      <c r="DL183" s="36"/>
      <c r="DM183" s="36"/>
      <c r="DN183" s="36"/>
      <c r="DO183" s="37"/>
      <c r="DP183" s="44"/>
      <c r="DQ183" s="36"/>
      <c r="DR183" s="36"/>
      <c r="DS183" s="36"/>
      <c r="DT183" s="36"/>
      <c r="DU183" s="36"/>
      <c r="DV183" s="36"/>
      <c r="DW183" s="36"/>
      <c r="DX183" s="36"/>
      <c r="DY183" s="36"/>
      <c r="DZ183" s="36"/>
      <c r="EA183" s="36"/>
      <c r="EB183" s="36"/>
      <c r="EC183" s="36"/>
      <c r="ED183" s="36"/>
      <c r="EE183" s="36"/>
      <c r="EF183" s="37"/>
      <c r="EG183" s="44"/>
      <c r="EH183" s="36"/>
      <c r="EI183" s="36"/>
      <c r="EJ183" s="36"/>
      <c r="EK183" s="36"/>
      <c r="EL183" s="36"/>
      <c r="EM183" s="36"/>
      <c r="EN183" s="36"/>
      <c r="EO183" s="36"/>
      <c r="EP183" s="36"/>
      <c r="EQ183" s="36"/>
      <c r="ER183" s="36"/>
      <c r="ES183" s="36"/>
      <c r="ET183" s="36"/>
      <c r="EU183" s="36"/>
      <c r="EV183" s="36"/>
      <c r="EW183" s="37"/>
      <c r="EX183" s="44"/>
      <c r="EY183" s="36"/>
      <c r="EZ183" s="36"/>
      <c r="FA183" s="36"/>
      <c r="FB183" s="36"/>
      <c r="FC183" s="36"/>
      <c r="FD183" s="36"/>
      <c r="FE183" s="36"/>
      <c r="FF183" s="36"/>
      <c r="FG183" s="36"/>
      <c r="FH183" s="36"/>
      <c r="FI183" s="36"/>
      <c r="FJ183" s="36"/>
      <c r="FK183" s="36"/>
      <c r="FL183" s="36"/>
      <c r="FM183" s="36"/>
      <c r="FN183" s="37"/>
      <c r="FO183" s="44"/>
      <c r="FP183" s="36"/>
      <c r="FQ183" s="36"/>
      <c r="FR183" s="36"/>
      <c r="FS183" s="36"/>
      <c r="FT183" s="36"/>
      <c r="FU183" s="36"/>
      <c r="FV183" s="36"/>
      <c r="FW183" s="36"/>
      <c r="FX183" s="36"/>
      <c r="FY183" s="36"/>
      <c r="FZ183" s="36"/>
      <c r="GA183" s="36"/>
      <c r="GB183" s="36"/>
      <c r="GC183" s="36"/>
      <c r="GD183" s="36"/>
      <c r="GE183" s="37"/>
      <c r="GF183" s="44"/>
      <c r="GG183" s="36"/>
      <c r="GH183" s="36"/>
      <c r="GI183" s="36"/>
      <c r="GJ183" s="36"/>
      <c r="GK183" s="36"/>
      <c r="GL183" s="36"/>
      <c r="GM183" s="36"/>
      <c r="GN183" s="36"/>
      <c r="GO183" s="36"/>
      <c r="GP183" s="36"/>
      <c r="GQ183" s="36"/>
      <c r="GR183" s="36"/>
      <c r="GS183" s="36"/>
      <c r="GT183" s="36"/>
      <c r="GU183" s="36"/>
      <c r="GV183" s="37"/>
      <c r="GW183" s="44"/>
      <c r="GX183" s="36"/>
      <c r="GY183" s="36"/>
      <c r="GZ183" s="36"/>
      <c r="HA183" s="36"/>
      <c r="HB183" s="36"/>
      <c r="HC183" s="36"/>
      <c r="HD183" s="36"/>
      <c r="HE183" s="36"/>
      <c r="HF183" s="36"/>
      <c r="HG183" s="36"/>
      <c r="HH183" s="36"/>
      <c r="HI183" s="36"/>
      <c r="HJ183" s="36"/>
      <c r="HK183" s="36"/>
      <c r="HL183" s="36"/>
      <c r="HM183" s="37"/>
      <c r="HN183" s="44"/>
      <c r="HO183" s="36"/>
      <c r="HP183" s="36"/>
      <c r="HQ183" s="36"/>
      <c r="HR183" s="36"/>
      <c r="HS183" s="36"/>
      <c r="HT183" s="36"/>
      <c r="HU183" s="36"/>
      <c r="HV183" s="36"/>
      <c r="HW183" s="36"/>
      <c r="HX183" s="36"/>
      <c r="HY183" s="36"/>
      <c r="HZ183" s="36"/>
      <c r="IA183" s="36"/>
      <c r="IB183" s="36"/>
      <c r="IC183" s="36"/>
      <c r="ID183" s="37"/>
      <c r="IE183" s="44"/>
      <c r="IF183" s="36"/>
      <c r="IG183" s="36"/>
      <c r="IH183" s="36"/>
      <c r="II183" s="36"/>
      <c r="IJ183" s="36"/>
      <c r="IK183" s="36"/>
      <c r="IL183" s="36"/>
      <c r="IM183" s="36"/>
      <c r="IN183" s="36"/>
      <c r="IO183" s="36"/>
      <c r="IP183" s="36"/>
      <c r="IQ183" s="36"/>
      <c r="IR183" s="36"/>
      <c r="IS183" s="36"/>
      <c r="IT183" s="36"/>
      <c r="IU183" s="37"/>
      <c r="IV183" s="44"/>
      <c r="IW183" s="36"/>
      <c r="IX183" s="36"/>
      <c r="IY183" s="36"/>
      <c r="IZ183" s="36"/>
      <c r="JA183" s="36"/>
      <c r="JB183" s="36"/>
      <c r="JC183" s="36"/>
      <c r="JD183" s="36"/>
      <c r="JE183" s="36"/>
      <c r="JF183" s="36"/>
      <c r="JG183" s="36"/>
      <c r="JH183" s="36"/>
      <c r="JI183" s="36"/>
      <c r="JJ183" s="36"/>
      <c r="JK183" s="36"/>
      <c r="JL183" s="37"/>
      <c r="JM183" s="44"/>
      <c r="JN183" s="36"/>
      <c r="JO183" s="36"/>
      <c r="JP183" s="36"/>
      <c r="JQ183" s="36"/>
      <c r="JR183" s="36"/>
      <c r="JS183" s="36"/>
      <c r="JT183" s="36"/>
      <c r="JU183" s="36"/>
      <c r="JV183" s="36"/>
      <c r="JW183" s="36"/>
      <c r="JX183" s="36"/>
      <c r="JY183" s="36"/>
      <c r="JZ183" s="36"/>
      <c r="KA183" s="36"/>
      <c r="KB183" s="36"/>
      <c r="KC183" s="37"/>
      <c r="KD183" s="44"/>
      <c r="KE183" s="36"/>
      <c r="KF183" s="36"/>
      <c r="KG183" s="36"/>
      <c r="KH183" s="36"/>
      <c r="KI183" s="36"/>
      <c r="KJ183" s="36"/>
      <c r="KK183" s="36"/>
      <c r="KL183" s="36"/>
      <c r="KM183" s="36"/>
      <c r="KN183" s="36"/>
      <c r="KO183" s="36"/>
      <c r="KP183" s="36"/>
      <c r="KQ183" s="36"/>
      <c r="KR183" s="36"/>
      <c r="KS183" s="36"/>
      <c r="KT183" s="37"/>
      <c r="KU183" s="36"/>
    </row>
    <row r="184" ht="15.0" customHeight="1">
      <c r="A184" s="44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7"/>
      <c r="R184" s="44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7"/>
      <c r="AI184" s="44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  <c r="AU184" s="36"/>
      <c r="AV184" s="36"/>
      <c r="AW184" s="36"/>
      <c r="AX184" s="36"/>
      <c r="AY184" s="37"/>
      <c r="AZ184" s="44"/>
      <c r="BA184" s="36"/>
      <c r="BB184" s="36"/>
      <c r="BC184" s="36"/>
      <c r="BD184" s="36"/>
      <c r="BE184" s="36"/>
      <c r="BF184" s="36"/>
      <c r="BG184" s="36"/>
      <c r="BH184" s="36"/>
      <c r="BI184" s="36"/>
      <c r="BJ184" s="36"/>
      <c r="BK184" s="36"/>
      <c r="BL184" s="36"/>
      <c r="BM184" s="36"/>
      <c r="BN184" s="36"/>
      <c r="BO184" s="36"/>
      <c r="BP184" s="37"/>
      <c r="BQ184" s="44"/>
      <c r="BR184" s="36"/>
      <c r="BS184" s="36"/>
      <c r="BT184" s="36"/>
      <c r="BU184" s="36"/>
      <c r="BV184" s="36"/>
      <c r="BW184" s="36"/>
      <c r="BX184" s="36"/>
      <c r="BY184" s="36"/>
      <c r="BZ184" s="36"/>
      <c r="CA184" s="36"/>
      <c r="CB184" s="36"/>
      <c r="CC184" s="36"/>
      <c r="CD184" s="36"/>
      <c r="CE184" s="36"/>
      <c r="CF184" s="36"/>
      <c r="CG184" s="37"/>
      <c r="CH184" s="44"/>
      <c r="CI184" s="36"/>
      <c r="CJ184" s="36"/>
      <c r="CK184" s="36"/>
      <c r="CL184" s="36"/>
      <c r="CM184" s="36"/>
      <c r="CN184" s="36"/>
      <c r="CO184" s="36"/>
      <c r="CP184" s="36"/>
      <c r="CQ184" s="36"/>
      <c r="CR184" s="36"/>
      <c r="CS184" s="36"/>
      <c r="CT184" s="36"/>
      <c r="CU184" s="36"/>
      <c r="CV184" s="36"/>
      <c r="CW184" s="36"/>
      <c r="CX184" s="37"/>
      <c r="CY184" s="44"/>
      <c r="CZ184" s="36"/>
      <c r="DA184" s="36"/>
      <c r="DB184" s="36"/>
      <c r="DC184" s="36"/>
      <c r="DD184" s="36"/>
      <c r="DE184" s="36"/>
      <c r="DF184" s="36"/>
      <c r="DG184" s="36"/>
      <c r="DH184" s="36"/>
      <c r="DI184" s="36"/>
      <c r="DJ184" s="36"/>
      <c r="DK184" s="36"/>
      <c r="DL184" s="36"/>
      <c r="DM184" s="36"/>
      <c r="DN184" s="36"/>
      <c r="DO184" s="37"/>
      <c r="DP184" s="44"/>
      <c r="DQ184" s="36"/>
      <c r="DR184" s="36"/>
      <c r="DS184" s="36"/>
      <c r="DT184" s="36"/>
      <c r="DU184" s="36"/>
      <c r="DV184" s="36"/>
      <c r="DW184" s="36"/>
      <c r="DX184" s="36"/>
      <c r="DY184" s="36"/>
      <c r="DZ184" s="36"/>
      <c r="EA184" s="36"/>
      <c r="EB184" s="36"/>
      <c r="EC184" s="36"/>
      <c r="ED184" s="36"/>
      <c r="EE184" s="36"/>
      <c r="EF184" s="37"/>
      <c r="EG184" s="44"/>
      <c r="EH184" s="36"/>
      <c r="EI184" s="36"/>
      <c r="EJ184" s="36"/>
      <c r="EK184" s="36"/>
      <c r="EL184" s="36"/>
      <c r="EM184" s="36"/>
      <c r="EN184" s="36"/>
      <c r="EO184" s="36"/>
      <c r="EP184" s="36"/>
      <c r="EQ184" s="36"/>
      <c r="ER184" s="36"/>
      <c r="ES184" s="36"/>
      <c r="ET184" s="36"/>
      <c r="EU184" s="36"/>
      <c r="EV184" s="36"/>
      <c r="EW184" s="37"/>
      <c r="EX184" s="44"/>
      <c r="EY184" s="36"/>
      <c r="EZ184" s="36"/>
      <c r="FA184" s="36"/>
      <c r="FB184" s="36"/>
      <c r="FC184" s="36"/>
      <c r="FD184" s="36"/>
      <c r="FE184" s="36"/>
      <c r="FF184" s="36"/>
      <c r="FG184" s="36"/>
      <c r="FH184" s="36"/>
      <c r="FI184" s="36"/>
      <c r="FJ184" s="36"/>
      <c r="FK184" s="36"/>
      <c r="FL184" s="36"/>
      <c r="FM184" s="36"/>
      <c r="FN184" s="37"/>
      <c r="FO184" s="44"/>
      <c r="FP184" s="36"/>
      <c r="FQ184" s="36"/>
      <c r="FR184" s="36"/>
      <c r="FS184" s="36"/>
      <c r="FT184" s="36"/>
      <c r="FU184" s="36"/>
      <c r="FV184" s="36"/>
      <c r="FW184" s="36"/>
      <c r="FX184" s="36"/>
      <c r="FY184" s="36"/>
      <c r="FZ184" s="36"/>
      <c r="GA184" s="36"/>
      <c r="GB184" s="36"/>
      <c r="GC184" s="36"/>
      <c r="GD184" s="36"/>
      <c r="GE184" s="37"/>
      <c r="GF184" s="44"/>
      <c r="GG184" s="36"/>
      <c r="GH184" s="36"/>
      <c r="GI184" s="36"/>
      <c r="GJ184" s="36"/>
      <c r="GK184" s="36"/>
      <c r="GL184" s="36"/>
      <c r="GM184" s="36"/>
      <c r="GN184" s="36"/>
      <c r="GO184" s="36"/>
      <c r="GP184" s="36"/>
      <c r="GQ184" s="36"/>
      <c r="GR184" s="36"/>
      <c r="GS184" s="36"/>
      <c r="GT184" s="36"/>
      <c r="GU184" s="36"/>
      <c r="GV184" s="37"/>
      <c r="GW184" s="44"/>
      <c r="GX184" s="36"/>
      <c r="GY184" s="36"/>
      <c r="GZ184" s="36"/>
      <c r="HA184" s="36"/>
      <c r="HB184" s="36"/>
      <c r="HC184" s="36"/>
      <c r="HD184" s="36"/>
      <c r="HE184" s="36"/>
      <c r="HF184" s="36"/>
      <c r="HG184" s="36"/>
      <c r="HH184" s="36"/>
      <c r="HI184" s="36"/>
      <c r="HJ184" s="36"/>
      <c r="HK184" s="36"/>
      <c r="HL184" s="36"/>
      <c r="HM184" s="37"/>
      <c r="HN184" s="44"/>
      <c r="HO184" s="36"/>
      <c r="HP184" s="36"/>
      <c r="HQ184" s="36"/>
      <c r="HR184" s="36"/>
      <c r="HS184" s="36"/>
      <c r="HT184" s="36"/>
      <c r="HU184" s="36"/>
      <c r="HV184" s="36"/>
      <c r="HW184" s="36"/>
      <c r="HX184" s="36"/>
      <c r="HY184" s="36"/>
      <c r="HZ184" s="36"/>
      <c r="IA184" s="36"/>
      <c r="IB184" s="36"/>
      <c r="IC184" s="36"/>
      <c r="ID184" s="37"/>
      <c r="IE184" s="44"/>
      <c r="IF184" s="36"/>
      <c r="IG184" s="36"/>
      <c r="IH184" s="36"/>
      <c r="II184" s="36"/>
      <c r="IJ184" s="36"/>
      <c r="IK184" s="36"/>
      <c r="IL184" s="36"/>
      <c r="IM184" s="36"/>
      <c r="IN184" s="36"/>
      <c r="IO184" s="36"/>
      <c r="IP184" s="36"/>
      <c r="IQ184" s="36"/>
      <c r="IR184" s="36"/>
      <c r="IS184" s="36"/>
      <c r="IT184" s="36"/>
      <c r="IU184" s="37"/>
      <c r="IV184" s="44"/>
      <c r="IW184" s="36"/>
      <c r="IX184" s="36"/>
      <c r="IY184" s="36"/>
      <c r="IZ184" s="36"/>
      <c r="JA184" s="36"/>
      <c r="JB184" s="36"/>
      <c r="JC184" s="36"/>
      <c r="JD184" s="36"/>
      <c r="JE184" s="36"/>
      <c r="JF184" s="36"/>
      <c r="JG184" s="36"/>
      <c r="JH184" s="36"/>
      <c r="JI184" s="36"/>
      <c r="JJ184" s="36"/>
      <c r="JK184" s="36"/>
      <c r="JL184" s="37"/>
      <c r="JM184" s="44"/>
      <c r="JN184" s="36"/>
      <c r="JO184" s="36"/>
      <c r="JP184" s="36"/>
      <c r="JQ184" s="36"/>
      <c r="JR184" s="36"/>
      <c r="JS184" s="36"/>
      <c r="JT184" s="36"/>
      <c r="JU184" s="36"/>
      <c r="JV184" s="36"/>
      <c r="JW184" s="36"/>
      <c r="JX184" s="36"/>
      <c r="JY184" s="36"/>
      <c r="JZ184" s="36"/>
      <c r="KA184" s="36"/>
      <c r="KB184" s="36"/>
      <c r="KC184" s="37"/>
      <c r="KD184" s="44"/>
      <c r="KE184" s="36"/>
      <c r="KF184" s="36"/>
      <c r="KG184" s="36"/>
      <c r="KH184" s="36"/>
      <c r="KI184" s="36"/>
      <c r="KJ184" s="36"/>
      <c r="KK184" s="36"/>
      <c r="KL184" s="36"/>
      <c r="KM184" s="36"/>
      <c r="KN184" s="36"/>
      <c r="KO184" s="36"/>
      <c r="KP184" s="36"/>
      <c r="KQ184" s="36"/>
      <c r="KR184" s="36"/>
      <c r="KS184" s="36"/>
      <c r="KT184" s="37"/>
      <c r="KU184" s="36"/>
    </row>
    <row r="185" ht="15.0" customHeight="1">
      <c r="A185" s="44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7"/>
      <c r="R185" s="44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7"/>
      <c r="AI185" s="44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  <c r="AU185" s="36"/>
      <c r="AV185" s="36"/>
      <c r="AW185" s="36"/>
      <c r="AX185" s="36"/>
      <c r="AY185" s="37"/>
      <c r="AZ185" s="44"/>
      <c r="BA185" s="36"/>
      <c r="BB185" s="36"/>
      <c r="BC185" s="36"/>
      <c r="BD185" s="36"/>
      <c r="BE185" s="36"/>
      <c r="BF185" s="36"/>
      <c r="BG185" s="36"/>
      <c r="BH185" s="36"/>
      <c r="BI185" s="36"/>
      <c r="BJ185" s="36"/>
      <c r="BK185" s="36"/>
      <c r="BL185" s="36"/>
      <c r="BM185" s="36"/>
      <c r="BN185" s="36"/>
      <c r="BO185" s="36"/>
      <c r="BP185" s="37"/>
      <c r="BQ185" s="44"/>
      <c r="BR185" s="36"/>
      <c r="BS185" s="36"/>
      <c r="BT185" s="36"/>
      <c r="BU185" s="36"/>
      <c r="BV185" s="36"/>
      <c r="BW185" s="36"/>
      <c r="BX185" s="36"/>
      <c r="BY185" s="36"/>
      <c r="BZ185" s="36"/>
      <c r="CA185" s="36"/>
      <c r="CB185" s="36"/>
      <c r="CC185" s="36"/>
      <c r="CD185" s="36"/>
      <c r="CE185" s="36"/>
      <c r="CF185" s="36"/>
      <c r="CG185" s="37"/>
      <c r="CH185" s="44"/>
      <c r="CI185" s="36"/>
      <c r="CJ185" s="36"/>
      <c r="CK185" s="36"/>
      <c r="CL185" s="36"/>
      <c r="CM185" s="36"/>
      <c r="CN185" s="36"/>
      <c r="CO185" s="36"/>
      <c r="CP185" s="36"/>
      <c r="CQ185" s="36"/>
      <c r="CR185" s="36"/>
      <c r="CS185" s="36"/>
      <c r="CT185" s="36"/>
      <c r="CU185" s="36"/>
      <c r="CV185" s="36"/>
      <c r="CW185" s="36"/>
      <c r="CX185" s="37"/>
      <c r="CY185" s="44"/>
      <c r="CZ185" s="36"/>
      <c r="DA185" s="36"/>
      <c r="DB185" s="36"/>
      <c r="DC185" s="36"/>
      <c r="DD185" s="36"/>
      <c r="DE185" s="36"/>
      <c r="DF185" s="36"/>
      <c r="DG185" s="36"/>
      <c r="DH185" s="36"/>
      <c r="DI185" s="36"/>
      <c r="DJ185" s="36"/>
      <c r="DK185" s="36"/>
      <c r="DL185" s="36"/>
      <c r="DM185" s="36"/>
      <c r="DN185" s="36"/>
      <c r="DO185" s="37"/>
      <c r="DP185" s="44"/>
      <c r="DQ185" s="36"/>
      <c r="DR185" s="36"/>
      <c r="DS185" s="36"/>
      <c r="DT185" s="36"/>
      <c r="DU185" s="36"/>
      <c r="DV185" s="36"/>
      <c r="DW185" s="36"/>
      <c r="DX185" s="36"/>
      <c r="DY185" s="36"/>
      <c r="DZ185" s="36"/>
      <c r="EA185" s="36"/>
      <c r="EB185" s="36"/>
      <c r="EC185" s="36"/>
      <c r="ED185" s="36"/>
      <c r="EE185" s="36"/>
      <c r="EF185" s="37"/>
      <c r="EG185" s="44"/>
      <c r="EH185" s="36"/>
      <c r="EI185" s="36"/>
      <c r="EJ185" s="36"/>
      <c r="EK185" s="36"/>
      <c r="EL185" s="36"/>
      <c r="EM185" s="36"/>
      <c r="EN185" s="36"/>
      <c r="EO185" s="36"/>
      <c r="EP185" s="36"/>
      <c r="EQ185" s="36"/>
      <c r="ER185" s="36"/>
      <c r="ES185" s="36"/>
      <c r="ET185" s="36"/>
      <c r="EU185" s="36"/>
      <c r="EV185" s="36"/>
      <c r="EW185" s="37"/>
      <c r="EX185" s="44"/>
      <c r="EY185" s="36"/>
      <c r="EZ185" s="36"/>
      <c r="FA185" s="36"/>
      <c r="FB185" s="36"/>
      <c r="FC185" s="36"/>
      <c r="FD185" s="36"/>
      <c r="FE185" s="36"/>
      <c r="FF185" s="36"/>
      <c r="FG185" s="36"/>
      <c r="FH185" s="36"/>
      <c r="FI185" s="36"/>
      <c r="FJ185" s="36"/>
      <c r="FK185" s="36"/>
      <c r="FL185" s="36"/>
      <c r="FM185" s="36"/>
      <c r="FN185" s="37"/>
      <c r="FO185" s="44"/>
      <c r="FP185" s="36"/>
      <c r="FQ185" s="36"/>
      <c r="FR185" s="36"/>
      <c r="FS185" s="36"/>
      <c r="FT185" s="36"/>
      <c r="FU185" s="36"/>
      <c r="FV185" s="36"/>
      <c r="FW185" s="36"/>
      <c r="FX185" s="36"/>
      <c r="FY185" s="36"/>
      <c r="FZ185" s="36"/>
      <c r="GA185" s="36"/>
      <c r="GB185" s="36"/>
      <c r="GC185" s="36"/>
      <c r="GD185" s="36"/>
      <c r="GE185" s="37"/>
      <c r="GF185" s="44"/>
      <c r="GG185" s="36"/>
      <c r="GH185" s="36"/>
      <c r="GI185" s="36"/>
      <c r="GJ185" s="36"/>
      <c r="GK185" s="36"/>
      <c r="GL185" s="36"/>
      <c r="GM185" s="36"/>
      <c r="GN185" s="36"/>
      <c r="GO185" s="36"/>
      <c r="GP185" s="36"/>
      <c r="GQ185" s="36"/>
      <c r="GR185" s="36"/>
      <c r="GS185" s="36"/>
      <c r="GT185" s="36"/>
      <c r="GU185" s="36"/>
      <c r="GV185" s="37"/>
      <c r="GW185" s="44"/>
      <c r="GX185" s="36"/>
      <c r="GY185" s="36"/>
      <c r="GZ185" s="36"/>
      <c r="HA185" s="36"/>
      <c r="HB185" s="36"/>
      <c r="HC185" s="36"/>
      <c r="HD185" s="36"/>
      <c r="HE185" s="36"/>
      <c r="HF185" s="36"/>
      <c r="HG185" s="36"/>
      <c r="HH185" s="36"/>
      <c r="HI185" s="36"/>
      <c r="HJ185" s="36"/>
      <c r="HK185" s="36"/>
      <c r="HL185" s="36"/>
      <c r="HM185" s="37"/>
      <c r="HN185" s="44"/>
      <c r="HO185" s="36"/>
      <c r="HP185" s="36"/>
      <c r="HQ185" s="36"/>
      <c r="HR185" s="36"/>
      <c r="HS185" s="36"/>
      <c r="HT185" s="36"/>
      <c r="HU185" s="36"/>
      <c r="HV185" s="36"/>
      <c r="HW185" s="36"/>
      <c r="HX185" s="36"/>
      <c r="HY185" s="36"/>
      <c r="HZ185" s="36"/>
      <c r="IA185" s="36"/>
      <c r="IB185" s="36"/>
      <c r="IC185" s="36"/>
      <c r="ID185" s="37"/>
      <c r="IE185" s="44"/>
      <c r="IF185" s="36"/>
      <c r="IG185" s="36"/>
      <c r="IH185" s="36"/>
      <c r="II185" s="36"/>
      <c r="IJ185" s="36"/>
      <c r="IK185" s="36"/>
      <c r="IL185" s="36"/>
      <c r="IM185" s="36"/>
      <c r="IN185" s="36"/>
      <c r="IO185" s="36"/>
      <c r="IP185" s="36"/>
      <c r="IQ185" s="36"/>
      <c r="IR185" s="36"/>
      <c r="IS185" s="36"/>
      <c r="IT185" s="36"/>
      <c r="IU185" s="37"/>
      <c r="IV185" s="44"/>
      <c r="IW185" s="36"/>
      <c r="IX185" s="36"/>
      <c r="IY185" s="36"/>
      <c r="IZ185" s="36"/>
      <c r="JA185" s="36"/>
      <c r="JB185" s="36"/>
      <c r="JC185" s="36"/>
      <c r="JD185" s="36"/>
      <c r="JE185" s="36"/>
      <c r="JF185" s="36"/>
      <c r="JG185" s="36"/>
      <c r="JH185" s="36"/>
      <c r="JI185" s="36"/>
      <c r="JJ185" s="36"/>
      <c r="JK185" s="36"/>
      <c r="JL185" s="37"/>
      <c r="JM185" s="44"/>
      <c r="JN185" s="36"/>
      <c r="JO185" s="36"/>
      <c r="JP185" s="36"/>
      <c r="JQ185" s="36"/>
      <c r="JR185" s="36"/>
      <c r="JS185" s="36"/>
      <c r="JT185" s="36"/>
      <c r="JU185" s="36"/>
      <c r="JV185" s="36"/>
      <c r="JW185" s="36"/>
      <c r="JX185" s="36"/>
      <c r="JY185" s="36"/>
      <c r="JZ185" s="36"/>
      <c r="KA185" s="36"/>
      <c r="KB185" s="36"/>
      <c r="KC185" s="37"/>
      <c r="KD185" s="44"/>
      <c r="KE185" s="36"/>
      <c r="KF185" s="36"/>
      <c r="KG185" s="36"/>
      <c r="KH185" s="36"/>
      <c r="KI185" s="36"/>
      <c r="KJ185" s="36"/>
      <c r="KK185" s="36"/>
      <c r="KL185" s="36"/>
      <c r="KM185" s="36"/>
      <c r="KN185" s="36"/>
      <c r="KO185" s="36"/>
      <c r="KP185" s="36"/>
      <c r="KQ185" s="36"/>
      <c r="KR185" s="36"/>
      <c r="KS185" s="36"/>
      <c r="KT185" s="37"/>
      <c r="KU185" s="36"/>
    </row>
    <row r="186" ht="15.0" customHeight="1">
      <c r="A186" s="44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7"/>
      <c r="R186" s="44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7"/>
      <c r="AI186" s="44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  <c r="AU186" s="36"/>
      <c r="AV186" s="36"/>
      <c r="AW186" s="36"/>
      <c r="AX186" s="36"/>
      <c r="AY186" s="37"/>
      <c r="AZ186" s="44"/>
      <c r="BA186" s="36"/>
      <c r="BB186" s="36"/>
      <c r="BC186" s="36"/>
      <c r="BD186" s="36"/>
      <c r="BE186" s="36"/>
      <c r="BF186" s="36"/>
      <c r="BG186" s="36"/>
      <c r="BH186" s="36"/>
      <c r="BI186" s="36"/>
      <c r="BJ186" s="36"/>
      <c r="BK186" s="36"/>
      <c r="BL186" s="36"/>
      <c r="BM186" s="36"/>
      <c r="BN186" s="36"/>
      <c r="BO186" s="36"/>
      <c r="BP186" s="37"/>
      <c r="BQ186" s="44"/>
      <c r="BR186" s="36"/>
      <c r="BS186" s="36"/>
      <c r="BT186" s="36"/>
      <c r="BU186" s="36"/>
      <c r="BV186" s="36"/>
      <c r="BW186" s="36"/>
      <c r="BX186" s="36"/>
      <c r="BY186" s="36"/>
      <c r="BZ186" s="36"/>
      <c r="CA186" s="36"/>
      <c r="CB186" s="36"/>
      <c r="CC186" s="36"/>
      <c r="CD186" s="36"/>
      <c r="CE186" s="36"/>
      <c r="CF186" s="36"/>
      <c r="CG186" s="37"/>
      <c r="CH186" s="44"/>
      <c r="CI186" s="36"/>
      <c r="CJ186" s="36"/>
      <c r="CK186" s="36"/>
      <c r="CL186" s="36"/>
      <c r="CM186" s="36"/>
      <c r="CN186" s="36"/>
      <c r="CO186" s="36"/>
      <c r="CP186" s="36"/>
      <c r="CQ186" s="36"/>
      <c r="CR186" s="36"/>
      <c r="CS186" s="36"/>
      <c r="CT186" s="36"/>
      <c r="CU186" s="36"/>
      <c r="CV186" s="36"/>
      <c r="CW186" s="36"/>
      <c r="CX186" s="37"/>
      <c r="CY186" s="44"/>
      <c r="CZ186" s="36"/>
      <c r="DA186" s="36"/>
      <c r="DB186" s="36"/>
      <c r="DC186" s="36"/>
      <c r="DD186" s="36"/>
      <c r="DE186" s="36"/>
      <c r="DF186" s="36"/>
      <c r="DG186" s="36"/>
      <c r="DH186" s="36"/>
      <c r="DI186" s="36"/>
      <c r="DJ186" s="36"/>
      <c r="DK186" s="36"/>
      <c r="DL186" s="36"/>
      <c r="DM186" s="36"/>
      <c r="DN186" s="36"/>
      <c r="DO186" s="37"/>
      <c r="DP186" s="44"/>
      <c r="DQ186" s="36"/>
      <c r="DR186" s="36"/>
      <c r="DS186" s="36"/>
      <c r="DT186" s="36"/>
      <c r="DU186" s="36"/>
      <c r="DV186" s="36"/>
      <c r="DW186" s="36"/>
      <c r="DX186" s="36"/>
      <c r="DY186" s="36"/>
      <c r="DZ186" s="36"/>
      <c r="EA186" s="36"/>
      <c r="EB186" s="36"/>
      <c r="EC186" s="36"/>
      <c r="ED186" s="36"/>
      <c r="EE186" s="36"/>
      <c r="EF186" s="37"/>
      <c r="EG186" s="44"/>
      <c r="EH186" s="36"/>
      <c r="EI186" s="36"/>
      <c r="EJ186" s="36"/>
      <c r="EK186" s="36"/>
      <c r="EL186" s="36"/>
      <c r="EM186" s="36"/>
      <c r="EN186" s="36"/>
      <c r="EO186" s="36"/>
      <c r="EP186" s="36"/>
      <c r="EQ186" s="36"/>
      <c r="ER186" s="36"/>
      <c r="ES186" s="36"/>
      <c r="ET186" s="36"/>
      <c r="EU186" s="36"/>
      <c r="EV186" s="36"/>
      <c r="EW186" s="37"/>
      <c r="EX186" s="44"/>
      <c r="EY186" s="36"/>
      <c r="EZ186" s="36"/>
      <c r="FA186" s="36"/>
      <c r="FB186" s="36"/>
      <c r="FC186" s="36"/>
      <c r="FD186" s="36"/>
      <c r="FE186" s="36"/>
      <c r="FF186" s="36"/>
      <c r="FG186" s="36"/>
      <c r="FH186" s="36"/>
      <c r="FI186" s="36"/>
      <c r="FJ186" s="36"/>
      <c r="FK186" s="36"/>
      <c r="FL186" s="36"/>
      <c r="FM186" s="36"/>
      <c r="FN186" s="37"/>
      <c r="FO186" s="44"/>
      <c r="FP186" s="36"/>
      <c r="FQ186" s="36"/>
      <c r="FR186" s="36"/>
      <c r="FS186" s="36"/>
      <c r="FT186" s="36"/>
      <c r="FU186" s="36"/>
      <c r="FV186" s="36"/>
      <c r="FW186" s="36"/>
      <c r="FX186" s="36"/>
      <c r="FY186" s="36"/>
      <c r="FZ186" s="36"/>
      <c r="GA186" s="36"/>
      <c r="GB186" s="36"/>
      <c r="GC186" s="36"/>
      <c r="GD186" s="36"/>
      <c r="GE186" s="37"/>
      <c r="GF186" s="44"/>
      <c r="GG186" s="36"/>
      <c r="GH186" s="36"/>
      <c r="GI186" s="36"/>
      <c r="GJ186" s="36"/>
      <c r="GK186" s="36"/>
      <c r="GL186" s="36"/>
      <c r="GM186" s="36"/>
      <c r="GN186" s="36"/>
      <c r="GO186" s="36"/>
      <c r="GP186" s="36"/>
      <c r="GQ186" s="36"/>
      <c r="GR186" s="36"/>
      <c r="GS186" s="36"/>
      <c r="GT186" s="36"/>
      <c r="GU186" s="36"/>
      <c r="GV186" s="37"/>
      <c r="GW186" s="44"/>
      <c r="GX186" s="36"/>
      <c r="GY186" s="36"/>
      <c r="GZ186" s="36"/>
      <c r="HA186" s="36"/>
      <c r="HB186" s="36"/>
      <c r="HC186" s="36"/>
      <c r="HD186" s="36"/>
      <c r="HE186" s="36"/>
      <c r="HF186" s="36"/>
      <c r="HG186" s="36"/>
      <c r="HH186" s="36"/>
      <c r="HI186" s="36"/>
      <c r="HJ186" s="36"/>
      <c r="HK186" s="36"/>
      <c r="HL186" s="36"/>
      <c r="HM186" s="37"/>
      <c r="HN186" s="44"/>
      <c r="HO186" s="36"/>
      <c r="HP186" s="36"/>
      <c r="HQ186" s="36"/>
      <c r="HR186" s="36"/>
      <c r="HS186" s="36"/>
      <c r="HT186" s="36"/>
      <c r="HU186" s="36"/>
      <c r="HV186" s="36"/>
      <c r="HW186" s="36"/>
      <c r="HX186" s="36"/>
      <c r="HY186" s="36"/>
      <c r="HZ186" s="36"/>
      <c r="IA186" s="36"/>
      <c r="IB186" s="36"/>
      <c r="IC186" s="36"/>
      <c r="ID186" s="37"/>
      <c r="IE186" s="44"/>
      <c r="IF186" s="36"/>
      <c r="IG186" s="36"/>
      <c r="IH186" s="36"/>
      <c r="II186" s="36"/>
      <c r="IJ186" s="36"/>
      <c r="IK186" s="36"/>
      <c r="IL186" s="36"/>
      <c r="IM186" s="36"/>
      <c r="IN186" s="36"/>
      <c r="IO186" s="36"/>
      <c r="IP186" s="36"/>
      <c r="IQ186" s="36"/>
      <c r="IR186" s="36"/>
      <c r="IS186" s="36"/>
      <c r="IT186" s="36"/>
      <c r="IU186" s="37"/>
      <c r="IV186" s="44"/>
      <c r="IW186" s="36"/>
      <c r="IX186" s="36"/>
      <c r="IY186" s="36"/>
      <c r="IZ186" s="36"/>
      <c r="JA186" s="36"/>
      <c r="JB186" s="36"/>
      <c r="JC186" s="36"/>
      <c r="JD186" s="36"/>
      <c r="JE186" s="36"/>
      <c r="JF186" s="36"/>
      <c r="JG186" s="36"/>
      <c r="JH186" s="36"/>
      <c r="JI186" s="36"/>
      <c r="JJ186" s="36"/>
      <c r="JK186" s="36"/>
      <c r="JL186" s="37"/>
      <c r="JM186" s="44"/>
      <c r="JN186" s="36"/>
      <c r="JO186" s="36"/>
      <c r="JP186" s="36"/>
      <c r="JQ186" s="36"/>
      <c r="JR186" s="36"/>
      <c r="JS186" s="36"/>
      <c r="JT186" s="36"/>
      <c r="JU186" s="36"/>
      <c r="JV186" s="36"/>
      <c r="JW186" s="36"/>
      <c r="JX186" s="36"/>
      <c r="JY186" s="36"/>
      <c r="JZ186" s="36"/>
      <c r="KA186" s="36"/>
      <c r="KB186" s="36"/>
      <c r="KC186" s="37"/>
      <c r="KD186" s="44"/>
      <c r="KE186" s="36"/>
      <c r="KF186" s="36"/>
      <c r="KG186" s="36"/>
      <c r="KH186" s="36"/>
      <c r="KI186" s="36"/>
      <c r="KJ186" s="36"/>
      <c r="KK186" s="36"/>
      <c r="KL186" s="36"/>
      <c r="KM186" s="36"/>
      <c r="KN186" s="36"/>
      <c r="KO186" s="36"/>
      <c r="KP186" s="36"/>
      <c r="KQ186" s="36"/>
      <c r="KR186" s="36"/>
      <c r="KS186" s="36"/>
      <c r="KT186" s="37"/>
      <c r="KU186" s="36"/>
    </row>
    <row r="187" ht="15.0" customHeight="1">
      <c r="A187" s="44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7"/>
      <c r="R187" s="44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7"/>
      <c r="AI187" s="44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  <c r="AU187" s="36"/>
      <c r="AV187" s="36"/>
      <c r="AW187" s="36"/>
      <c r="AX187" s="36"/>
      <c r="AY187" s="37"/>
      <c r="AZ187" s="44"/>
      <c r="BA187" s="36"/>
      <c r="BB187" s="36"/>
      <c r="BC187" s="36"/>
      <c r="BD187" s="36"/>
      <c r="BE187" s="36"/>
      <c r="BF187" s="36"/>
      <c r="BG187" s="36"/>
      <c r="BH187" s="36"/>
      <c r="BI187" s="36"/>
      <c r="BJ187" s="36"/>
      <c r="BK187" s="36"/>
      <c r="BL187" s="36"/>
      <c r="BM187" s="36"/>
      <c r="BN187" s="36"/>
      <c r="BO187" s="36"/>
      <c r="BP187" s="37"/>
      <c r="BQ187" s="44"/>
      <c r="BR187" s="36"/>
      <c r="BS187" s="36"/>
      <c r="BT187" s="36"/>
      <c r="BU187" s="36"/>
      <c r="BV187" s="36"/>
      <c r="BW187" s="36"/>
      <c r="BX187" s="36"/>
      <c r="BY187" s="36"/>
      <c r="BZ187" s="36"/>
      <c r="CA187" s="36"/>
      <c r="CB187" s="36"/>
      <c r="CC187" s="36"/>
      <c r="CD187" s="36"/>
      <c r="CE187" s="36"/>
      <c r="CF187" s="36"/>
      <c r="CG187" s="37"/>
      <c r="CH187" s="44"/>
      <c r="CI187" s="36"/>
      <c r="CJ187" s="36"/>
      <c r="CK187" s="36"/>
      <c r="CL187" s="36"/>
      <c r="CM187" s="36"/>
      <c r="CN187" s="36"/>
      <c r="CO187" s="36"/>
      <c r="CP187" s="36"/>
      <c r="CQ187" s="36"/>
      <c r="CR187" s="36"/>
      <c r="CS187" s="36"/>
      <c r="CT187" s="36"/>
      <c r="CU187" s="36"/>
      <c r="CV187" s="36"/>
      <c r="CW187" s="36"/>
      <c r="CX187" s="37"/>
      <c r="CY187" s="44"/>
      <c r="CZ187" s="36"/>
      <c r="DA187" s="36"/>
      <c r="DB187" s="36"/>
      <c r="DC187" s="36"/>
      <c r="DD187" s="36"/>
      <c r="DE187" s="36"/>
      <c r="DF187" s="36"/>
      <c r="DG187" s="36"/>
      <c r="DH187" s="36"/>
      <c r="DI187" s="36"/>
      <c r="DJ187" s="36"/>
      <c r="DK187" s="36"/>
      <c r="DL187" s="36"/>
      <c r="DM187" s="36"/>
      <c r="DN187" s="36"/>
      <c r="DO187" s="37"/>
      <c r="DP187" s="44"/>
      <c r="DQ187" s="36"/>
      <c r="DR187" s="36"/>
      <c r="DS187" s="36"/>
      <c r="DT187" s="36"/>
      <c r="DU187" s="36"/>
      <c r="DV187" s="36"/>
      <c r="DW187" s="36"/>
      <c r="DX187" s="36"/>
      <c r="DY187" s="36"/>
      <c r="DZ187" s="36"/>
      <c r="EA187" s="36"/>
      <c r="EB187" s="36"/>
      <c r="EC187" s="36"/>
      <c r="ED187" s="36"/>
      <c r="EE187" s="36"/>
      <c r="EF187" s="37"/>
      <c r="EG187" s="44"/>
      <c r="EH187" s="36"/>
      <c r="EI187" s="36"/>
      <c r="EJ187" s="36"/>
      <c r="EK187" s="36"/>
      <c r="EL187" s="36"/>
      <c r="EM187" s="36"/>
      <c r="EN187" s="36"/>
      <c r="EO187" s="36"/>
      <c r="EP187" s="36"/>
      <c r="EQ187" s="36"/>
      <c r="ER187" s="36"/>
      <c r="ES187" s="36"/>
      <c r="ET187" s="36"/>
      <c r="EU187" s="36"/>
      <c r="EV187" s="36"/>
      <c r="EW187" s="37"/>
      <c r="EX187" s="44"/>
      <c r="EY187" s="36"/>
      <c r="EZ187" s="36"/>
      <c r="FA187" s="36"/>
      <c r="FB187" s="36"/>
      <c r="FC187" s="36"/>
      <c r="FD187" s="36"/>
      <c r="FE187" s="36"/>
      <c r="FF187" s="36"/>
      <c r="FG187" s="36"/>
      <c r="FH187" s="36"/>
      <c r="FI187" s="36"/>
      <c r="FJ187" s="36"/>
      <c r="FK187" s="36"/>
      <c r="FL187" s="36"/>
      <c r="FM187" s="36"/>
      <c r="FN187" s="37"/>
      <c r="FO187" s="44"/>
      <c r="FP187" s="36"/>
      <c r="FQ187" s="36"/>
      <c r="FR187" s="36"/>
      <c r="FS187" s="36"/>
      <c r="FT187" s="36"/>
      <c r="FU187" s="36"/>
      <c r="FV187" s="36"/>
      <c r="FW187" s="36"/>
      <c r="FX187" s="36"/>
      <c r="FY187" s="36"/>
      <c r="FZ187" s="36"/>
      <c r="GA187" s="36"/>
      <c r="GB187" s="36"/>
      <c r="GC187" s="36"/>
      <c r="GD187" s="36"/>
      <c r="GE187" s="37"/>
      <c r="GF187" s="44"/>
      <c r="GG187" s="36"/>
      <c r="GH187" s="36"/>
      <c r="GI187" s="36"/>
      <c r="GJ187" s="36"/>
      <c r="GK187" s="36"/>
      <c r="GL187" s="36"/>
      <c r="GM187" s="36"/>
      <c r="GN187" s="36"/>
      <c r="GO187" s="36"/>
      <c r="GP187" s="36"/>
      <c r="GQ187" s="36"/>
      <c r="GR187" s="36"/>
      <c r="GS187" s="36"/>
      <c r="GT187" s="36"/>
      <c r="GU187" s="36"/>
      <c r="GV187" s="37"/>
      <c r="GW187" s="44"/>
      <c r="GX187" s="36"/>
      <c r="GY187" s="36"/>
      <c r="GZ187" s="36"/>
      <c r="HA187" s="36"/>
      <c r="HB187" s="36"/>
      <c r="HC187" s="36"/>
      <c r="HD187" s="36"/>
      <c r="HE187" s="36"/>
      <c r="HF187" s="36"/>
      <c r="HG187" s="36"/>
      <c r="HH187" s="36"/>
      <c r="HI187" s="36"/>
      <c r="HJ187" s="36"/>
      <c r="HK187" s="36"/>
      <c r="HL187" s="36"/>
      <c r="HM187" s="37"/>
      <c r="HN187" s="44"/>
      <c r="HO187" s="36"/>
      <c r="HP187" s="36"/>
      <c r="HQ187" s="36"/>
      <c r="HR187" s="36"/>
      <c r="HS187" s="36"/>
      <c r="HT187" s="36"/>
      <c r="HU187" s="36"/>
      <c r="HV187" s="36"/>
      <c r="HW187" s="36"/>
      <c r="HX187" s="36"/>
      <c r="HY187" s="36"/>
      <c r="HZ187" s="36"/>
      <c r="IA187" s="36"/>
      <c r="IB187" s="36"/>
      <c r="IC187" s="36"/>
      <c r="ID187" s="37"/>
      <c r="IE187" s="44"/>
      <c r="IF187" s="36"/>
      <c r="IG187" s="36"/>
      <c r="IH187" s="36"/>
      <c r="II187" s="36"/>
      <c r="IJ187" s="36"/>
      <c r="IK187" s="36"/>
      <c r="IL187" s="36"/>
      <c r="IM187" s="36"/>
      <c r="IN187" s="36"/>
      <c r="IO187" s="36"/>
      <c r="IP187" s="36"/>
      <c r="IQ187" s="36"/>
      <c r="IR187" s="36"/>
      <c r="IS187" s="36"/>
      <c r="IT187" s="36"/>
      <c r="IU187" s="37"/>
      <c r="IV187" s="44"/>
      <c r="IW187" s="36"/>
      <c r="IX187" s="36"/>
      <c r="IY187" s="36"/>
      <c r="IZ187" s="36"/>
      <c r="JA187" s="36"/>
      <c r="JB187" s="36"/>
      <c r="JC187" s="36"/>
      <c r="JD187" s="36"/>
      <c r="JE187" s="36"/>
      <c r="JF187" s="36"/>
      <c r="JG187" s="36"/>
      <c r="JH187" s="36"/>
      <c r="JI187" s="36"/>
      <c r="JJ187" s="36"/>
      <c r="JK187" s="36"/>
      <c r="JL187" s="37"/>
      <c r="JM187" s="44"/>
      <c r="JN187" s="36"/>
      <c r="JO187" s="36"/>
      <c r="JP187" s="36"/>
      <c r="JQ187" s="36"/>
      <c r="JR187" s="36"/>
      <c r="JS187" s="36"/>
      <c r="JT187" s="36"/>
      <c r="JU187" s="36"/>
      <c r="JV187" s="36"/>
      <c r="JW187" s="36"/>
      <c r="JX187" s="36"/>
      <c r="JY187" s="36"/>
      <c r="JZ187" s="36"/>
      <c r="KA187" s="36"/>
      <c r="KB187" s="36"/>
      <c r="KC187" s="37"/>
      <c r="KD187" s="44"/>
      <c r="KE187" s="36"/>
      <c r="KF187" s="36"/>
      <c r="KG187" s="36"/>
      <c r="KH187" s="36"/>
      <c r="KI187" s="36"/>
      <c r="KJ187" s="36"/>
      <c r="KK187" s="36"/>
      <c r="KL187" s="36"/>
      <c r="KM187" s="36"/>
      <c r="KN187" s="36"/>
      <c r="KO187" s="36"/>
      <c r="KP187" s="36"/>
      <c r="KQ187" s="36"/>
      <c r="KR187" s="36"/>
      <c r="KS187" s="36"/>
      <c r="KT187" s="37"/>
      <c r="KU187" s="36"/>
    </row>
    <row r="188" ht="15.0" customHeight="1">
      <c r="A188" s="44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7"/>
      <c r="R188" s="44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7"/>
      <c r="AI188" s="44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  <c r="AU188" s="36"/>
      <c r="AV188" s="36"/>
      <c r="AW188" s="36"/>
      <c r="AX188" s="36"/>
      <c r="AY188" s="37"/>
      <c r="AZ188" s="44"/>
      <c r="BA188" s="36"/>
      <c r="BB188" s="36"/>
      <c r="BC188" s="36"/>
      <c r="BD188" s="36"/>
      <c r="BE188" s="36"/>
      <c r="BF188" s="36"/>
      <c r="BG188" s="36"/>
      <c r="BH188" s="36"/>
      <c r="BI188" s="36"/>
      <c r="BJ188" s="36"/>
      <c r="BK188" s="36"/>
      <c r="BL188" s="36"/>
      <c r="BM188" s="36"/>
      <c r="BN188" s="36"/>
      <c r="BO188" s="36"/>
      <c r="BP188" s="37"/>
      <c r="BQ188" s="44"/>
      <c r="BR188" s="36"/>
      <c r="BS188" s="36"/>
      <c r="BT188" s="36"/>
      <c r="BU188" s="36"/>
      <c r="BV188" s="36"/>
      <c r="BW188" s="36"/>
      <c r="BX188" s="36"/>
      <c r="BY188" s="36"/>
      <c r="BZ188" s="36"/>
      <c r="CA188" s="36"/>
      <c r="CB188" s="36"/>
      <c r="CC188" s="36"/>
      <c r="CD188" s="36"/>
      <c r="CE188" s="36"/>
      <c r="CF188" s="36"/>
      <c r="CG188" s="37"/>
      <c r="CH188" s="44"/>
      <c r="CI188" s="36"/>
      <c r="CJ188" s="36"/>
      <c r="CK188" s="36"/>
      <c r="CL188" s="36"/>
      <c r="CM188" s="36"/>
      <c r="CN188" s="36"/>
      <c r="CO188" s="36"/>
      <c r="CP188" s="36"/>
      <c r="CQ188" s="36"/>
      <c r="CR188" s="36"/>
      <c r="CS188" s="36"/>
      <c r="CT188" s="36"/>
      <c r="CU188" s="36"/>
      <c r="CV188" s="36"/>
      <c r="CW188" s="36"/>
      <c r="CX188" s="37"/>
      <c r="CY188" s="44"/>
      <c r="CZ188" s="36"/>
      <c r="DA188" s="36"/>
      <c r="DB188" s="36"/>
      <c r="DC188" s="36"/>
      <c r="DD188" s="36"/>
      <c r="DE188" s="36"/>
      <c r="DF188" s="36"/>
      <c r="DG188" s="36"/>
      <c r="DH188" s="36"/>
      <c r="DI188" s="36"/>
      <c r="DJ188" s="36"/>
      <c r="DK188" s="36"/>
      <c r="DL188" s="36"/>
      <c r="DM188" s="36"/>
      <c r="DN188" s="36"/>
      <c r="DO188" s="37"/>
      <c r="DP188" s="44"/>
      <c r="DQ188" s="36"/>
      <c r="DR188" s="36"/>
      <c r="DS188" s="36"/>
      <c r="DT188" s="36"/>
      <c r="DU188" s="36"/>
      <c r="DV188" s="36"/>
      <c r="DW188" s="36"/>
      <c r="DX188" s="36"/>
      <c r="DY188" s="36"/>
      <c r="DZ188" s="36"/>
      <c r="EA188" s="36"/>
      <c r="EB188" s="36"/>
      <c r="EC188" s="36"/>
      <c r="ED188" s="36"/>
      <c r="EE188" s="36"/>
      <c r="EF188" s="37"/>
      <c r="EG188" s="44"/>
      <c r="EH188" s="36"/>
      <c r="EI188" s="36"/>
      <c r="EJ188" s="36"/>
      <c r="EK188" s="36"/>
      <c r="EL188" s="36"/>
      <c r="EM188" s="36"/>
      <c r="EN188" s="36"/>
      <c r="EO188" s="36"/>
      <c r="EP188" s="36"/>
      <c r="EQ188" s="36"/>
      <c r="ER188" s="36"/>
      <c r="ES188" s="36"/>
      <c r="ET188" s="36"/>
      <c r="EU188" s="36"/>
      <c r="EV188" s="36"/>
      <c r="EW188" s="37"/>
      <c r="EX188" s="44"/>
      <c r="EY188" s="36"/>
      <c r="EZ188" s="36"/>
      <c r="FA188" s="36"/>
      <c r="FB188" s="36"/>
      <c r="FC188" s="36"/>
      <c r="FD188" s="36"/>
      <c r="FE188" s="36"/>
      <c r="FF188" s="36"/>
      <c r="FG188" s="36"/>
      <c r="FH188" s="36"/>
      <c r="FI188" s="36"/>
      <c r="FJ188" s="36"/>
      <c r="FK188" s="36"/>
      <c r="FL188" s="36"/>
      <c r="FM188" s="36"/>
      <c r="FN188" s="37"/>
      <c r="FO188" s="44"/>
      <c r="FP188" s="36"/>
      <c r="FQ188" s="36"/>
      <c r="FR188" s="36"/>
      <c r="FS188" s="36"/>
      <c r="FT188" s="36"/>
      <c r="FU188" s="36"/>
      <c r="FV188" s="36"/>
      <c r="FW188" s="36"/>
      <c r="FX188" s="36"/>
      <c r="FY188" s="36"/>
      <c r="FZ188" s="36"/>
      <c r="GA188" s="36"/>
      <c r="GB188" s="36"/>
      <c r="GC188" s="36"/>
      <c r="GD188" s="36"/>
      <c r="GE188" s="37"/>
      <c r="GF188" s="44"/>
      <c r="GG188" s="36"/>
      <c r="GH188" s="36"/>
      <c r="GI188" s="36"/>
      <c r="GJ188" s="36"/>
      <c r="GK188" s="36"/>
      <c r="GL188" s="36"/>
      <c r="GM188" s="36"/>
      <c r="GN188" s="36"/>
      <c r="GO188" s="36"/>
      <c r="GP188" s="36"/>
      <c r="GQ188" s="36"/>
      <c r="GR188" s="36"/>
      <c r="GS188" s="36"/>
      <c r="GT188" s="36"/>
      <c r="GU188" s="36"/>
      <c r="GV188" s="37"/>
      <c r="GW188" s="44"/>
      <c r="GX188" s="36"/>
      <c r="GY188" s="36"/>
      <c r="GZ188" s="36"/>
      <c r="HA188" s="36"/>
      <c r="HB188" s="36"/>
      <c r="HC188" s="36"/>
      <c r="HD188" s="36"/>
      <c r="HE188" s="36"/>
      <c r="HF188" s="36"/>
      <c r="HG188" s="36"/>
      <c r="HH188" s="36"/>
      <c r="HI188" s="36"/>
      <c r="HJ188" s="36"/>
      <c r="HK188" s="36"/>
      <c r="HL188" s="36"/>
      <c r="HM188" s="37"/>
      <c r="HN188" s="44"/>
      <c r="HO188" s="36"/>
      <c r="HP188" s="36"/>
      <c r="HQ188" s="36"/>
      <c r="HR188" s="36"/>
      <c r="HS188" s="36"/>
      <c r="HT188" s="36"/>
      <c r="HU188" s="36"/>
      <c r="HV188" s="36"/>
      <c r="HW188" s="36"/>
      <c r="HX188" s="36"/>
      <c r="HY188" s="36"/>
      <c r="HZ188" s="36"/>
      <c r="IA188" s="36"/>
      <c r="IB188" s="36"/>
      <c r="IC188" s="36"/>
      <c r="ID188" s="37"/>
      <c r="IE188" s="44"/>
      <c r="IF188" s="36"/>
      <c r="IG188" s="36"/>
      <c r="IH188" s="36"/>
      <c r="II188" s="36"/>
      <c r="IJ188" s="36"/>
      <c r="IK188" s="36"/>
      <c r="IL188" s="36"/>
      <c r="IM188" s="36"/>
      <c r="IN188" s="36"/>
      <c r="IO188" s="36"/>
      <c r="IP188" s="36"/>
      <c r="IQ188" s="36"/>
      <c r="IR188" s="36"/>
      <c r="IS188" s="36"/>
      <c r="IT188" s="36"/>
      <c r="IU188" s="37"/>
      <c r="IV188" s="44"/>
      <c r="IW188" s="36"/>
      <c r="IX188" s="36"/>
      <c r="IY188" s="36"/>
      <c r="IZ188" s="36"/>
      <c r="JA188" s="36"/>
      <c r="JB188" s="36"/>
      <c r="JC188" s="36"/>
      <c r="JD188" s="36"/>
      <c r="JE188" s="36"/>
      <c r="JF188" s="36"/>
      <c r="JG188" s="36"/>
      <c r="JH188" s="36"/>
      <c r="JI188" s="36"/>
      <c r="JJ188" s="36"/>
      <c r="JK188" s="36"/>
      <c r="JL188" s="37"/>
      <c r="JM188" s="44"/>
      <c r="JN188" s="36"/>
      <c r="JO188" s="36"/>
      <c r="JP188" s="36"/>
      <c r="JQ188" s="36"/>
      <c r="JR188" s="36"/>
      <c r="JS188" s="36"/>
      <c r="JT188" s="36"/>
      <c r="JU188" s="36"/>
      <c r="JV188" s="36"/>
      <c r="JW188" s="36"/>
      <c r="JX188" s="36"/>
      <c r="JY188" s="36"/>
      <c r="JZ188" s="36"/>
      <c r="KA188" s="36"/>
      <c r="KB188" s="36"/>
      <c r="KC188" s="37"/>
      <c r="KD188" s="44"/>
      <c r="KE188" s="36"/>
      <c r="KF188" s="36"/>
      <c r="KG188" s="36"/>
      <c r="KH188" s="36"/>
      <c r="KI188" s="36"/>
      <c r="KJ188" s="36"/>
      <c r="KK188" s="36"/>
      <c r="KL188" s="36"/>
      <c r="KM188" s="36"/>
      <c r="KN188" s="36"/>
      <c r="KO188" s="36"/>
      <c r="KP188" s="36"/>
      <c r="KQ188" s="36"/>
      <c r="KR188" s="36"/>
      <c r="KS188" s="36"/>
      <c r="KT188" s="37"/>
      <c r="KU188" s="36"/>
    </row>
    <row r="189" ht="15.0" customHeight="1">
      <c r="A189" s="44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7"/>
      <c r="R189" s="44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7"/>
      <c r="AI189" s="44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  <c r="AU189" s="36"/>
      <c r="AV189" s="36"/>
      <c r="AW189" s="36"/>
      <c r="AX189" s="36"/>
      <c r="AY189" s="37"/>
      <c r="AZ189" s="44"/>
      <c r="BA189" s="36"/>
      <c r="BB189" s="36"/>
      <c r="BC189" s="36"/>
      <c r="BD189" s="36"/>
      <c r="BE189" s="36"/>
      <c r="BF189" s="36"/>
      <c r="BG189" s="36"/>
      <c r="BH189" s="36"/>
      <c r="BI189" s="36"/>
      <c r="BJ189" s="36"/>
      <c r="BK189" s="36"/>
      <c r="BL189" s="36"/>
      <c r="BM189" s="36"/>
      <c r="BN189" s="36"/>
      <c r="BO189" s="36"/>
      <c r="BP189" s="37"/>
      <c r="BQ189" s="44"/>
      <c r="BR189" s="36"/>
      <c r="BS189" s="36"/>
      <c r="BT189" s="36"/>
      <c r="BU189" s="36"/>
      <c r="BV189" s="36"/>
      <c r="BW189" s="36"/>
      <c r="BX189" s="36"/>
      <c r="BY189" s="36"/>
      <c r="BZ189" s="36"/>
      <c r="CA189" s="36"/>
      <c r="CB189" s="36"/>
      <c r="CC189" s="36"/>
      <c r="CD189" s="36"/>
      <c r="CE189" s="36"/>
      <c r="CF189" s="36"/>
      <c r="CG189" s="37"/>
      <c r="CH189" s="44"/>
      <c r="CI189" s="36"/>
      <c r="CJ189" s="36"/>
      <c r="CK189" s="36"/>
      <c r="CL189" s="36"/>
      <c r="CM189" s="36"/>
      <c r="CN189" s="36"/>
      <c r="CO189" s="36"/>
      <c r="CP189" s="36"/>
      <c r="CQ189" s="36"/>
      <c r="CR189" s="36"/>
      <c r="CS189" s="36"/>
      <c r="CT189" s="36"/>
      <c r="CU189" s="36"/>
      <c r="CV189" s="36"/>
      <c r="CW189" s="36"/>
      <c r="CX189" s="37"/>
      <c r="CY189" s="44"/>
      <c r="CZ189" s="36"/>
      <c r="DA189" s="36"/>
      <c r="DB189" s="36"/>
      <c r="DC189" s="36"/>
      <c r="DD189" s="36"/>
      <c r="DE189" s="36"/>
      <c r="DF189" s="36"/>
      <c r="DG189" s="36"/>
      <c r="DH189" s="36"/>
      <c r="DI189" s="36"/>
      <c r="DJ189" s="36"/>
      <c r="DK189" s="36"/>
      <c r="DL189" s="36"/>
      <c r="DM189" s="36"/>
      <c r="DN189" s="36"/>
      <c r="DO189" s="37"/>
      <c r="DP189" s="44"/>
      <c r="DQ189" s="36"/>
      <c r="DR189" s="36"/>
      <c r="DS189" s="36"/>
      <c r="DT189" s="36"/>
      <c r="DU189" s="36"/>
      <c r="DV189" s="36"/>
      <c r="DW189" s="36"/>
      <c r="DX189" s="36"/>
      <c r="DY189" s="36"/>
      <c r="DZ189" s="36"/>
      <c r="EA189" s="36"/>
      <c r="EB189" s="36"/>
      <c r="EC189" s="36"/>
      <c r="ED189" s="36"/>
      <c r="EE189" s="36"/>
      <c r="EF189" s="37"/>
      <c r="EG189" s="44"/>
      <c r="EH189" s="36"/>
      <c r="EI189" s="36"/>
      <c r="EJ189" s="36"/>
      <c r="EK189" s="36"/>
      <c r="EL189" s="36"/>
      <c r="EM189" s="36"/>
      <c r="EN189" s="36"/>
      <c r="EO189" s="36"/>
      <c r="EP189" s="36"/>
      <c r="EQ189" s="36"/>
      <c r="ER189" s="36"/>
      <c r="ES189" s="36"/>
      <c r="ET189" s="36"/>
      <c r="EU189" s="36"/>
      <c r="EV189" s="36"/>
      <c r="EW189" s="37"/>
      <c r="EX189" s="44"/>
      <c r="EY189" s="36"/>
      <c r="EZ189" s="36"/>
      <c r="FA189" s="36"/>
      <c r="FB189" s="36"/>
      <c r="FC189" s="36"/>
      <c r="FD189" s="36"/>
      <c r="FE189" s="36"/>
      <c r="FF189" s="36"/>
      <c r="FG189" s="36"/>
      <c r="FH189" s="36"/>
      <c r="FI189" s="36"/>
      <c r="FJ189" s="36"/>
      <c r="FK189" s="36"/>
      <c r="FL189" s="36"/>
      <c r="FM189" s="36"/>
      <c r="FN189" s="37"/>
      <c r="FO189" s="44"/>
      <c r="FP189" s="36"/>
      <c r="FQ189" s="36"/>
      <c r="FR189" s="36"/>
      <c r="FS189" s="36"/>
      <c r="FT189" s="36"/>
      <c r="FU189" s="36"/>
      <c r="FV189" s="36"/>
      <c r="FW189" s="36"/>
      <c r="FX189" s="36"/>
      <c r="FY189" s="36"/>
      <c r="FZ189" s="36"/>
      <c r="GA189" s="36"/>
      <c r="GB189" s="36"/>
      <c r="GC189" s="36"/>
      <c r="GD189" s="36"/>
      <c r="GE189" s="37"/>
      <c r="GF189" s="44"/>
      <c r="GG189" s="36"/>
      <c r="GH189" s="36"/>
      <c r="GI189" s="36"/>
      <c r="GJ189" s="36"/>
      <c r="GK189" s="36"/>
      <c r="GL189" s="36"/>
      <c r="GM189" s="36"/>
      <c r="GN189" s="36"/>
      <c r="GO189" s="36"/>
      <c r="GP189" s="36"/>
      <c r="GQ189" s="36"/>
      <c r="GR189" s="36"/>
      <c r="GS189" s="36"/>
      <c r="GT189" s="36"/>
      <c r="GU189" s="36"/>
      <c r="GV189" s="37"/>
      <c r="GW189" s="44"/>
      <c r="GX189" s="36"/>
      <c r="GY189" s="36"/>
      <c r="GZ189" s="36"/>
      <c r="HA189" s="36"/>
      <c r="HB189" s="36"/>
      <c r="HC189" s="36"/>
      <c r="HD189" s="36"/>
      <c r="HE189" s="36"/>
      <c r="HF189" s="36"/>
      <c r="HG189" s="36"/>
      <c r="HH189" s="36"/>
      <c r="HI189" s="36"/>
      <c r="HJ189" s="36"/>
      <c r="HK189" s="36"/>
      <c r="HL189" s="36"/>
      <c r="HM189" s="37"/>
      <c r="HN189" s="44"/>
      <c r="HO189" s="36"/>
      <c r="HP189" s="36"/>
      <c r="HQ189" s="36"/>
      <c r="HR189" s="36"/>
      <c r="HS189" s="36"/>
      <c r="HT189" s="36"/>
      <c r="HU189" s="36"/>
      <c r="HV189" s="36"/>
      <c r="HW189" s="36"/>
      <c r="HX189" s="36"/>
      <c r="HY189" s="36"/>
      <c r="HZ189" s="36"/>
      <c r="IA189" s="36"/>
      <c r="IB189" s="36"/>
      <c r="IC189" s="36"/>
      <c r="ID189" s="37"/>
      <c r="IE189" s="44"/>
      <c r="IF189" s="36"/>
      <c r="IG189" s="36"/>
      <c r="IH189" s="36"/>
      <c r="II189" s="36"/>
      <c r="IJ189" s="36"/>
      <c r="IK189" s="36"/>
      <c r="IL189" s="36"/>
      <c r="IM189" s="36"/>
      <c r="IN189" s="36"/>
      <c r="IO189" s="36"/>
      <c r="IP189" s="36"/>
      <c r="IQ189" s="36"/>
      <c r="IR189" s="36"/>
      <c r="IS189" s="36"/>
      <c r="IT189" s="36"/>
      <c r="IU189" s="37"/>
      <c r="IV189" s="44"/>
      <c r="IW189" s="36"/>
      <c r="IX189" s="36"/>
      <c r="IY189" s="36"/>
      <c r="IZ189" s="36"/>
      <c r="JA189" s="36"/>
      <c r="JB189" s="36"/>
      <c r="JC189" s="36"/>
      <c r="JD189" s="36"/>
      <c r="JE189" s="36"/>
      <c r="JF189" s="36"/>
      <c r="JG189" s="36"/>
      <c r="JH189" s="36"/>
      <c r="JI189" s="36"/>
      <c r="JJ189" s="36"/>
      <c r="JK189" s="36"/>
      <c r="JL189" s="37"/>
      <c r="JM189" s="44"/>
      <c r="JN189" s="36"/>
      <c r="JO189" s="36"/>
      <c r="JP189" s="36"/>
      <c r="JQ189" s="36"/>
      <c r="JR189" s="36"/>
      <c r="JS189" s="36"/>
      <c r="JT189" s="36"/>
      <c r="JU189" s="36"/>
      <c r="JV189" s="36"/>
      <c r="JW189" s="36"/>
      <c r="JX189" s="36"/>
      <c r="JY189" s="36"/>
      <c r="JZ189" s="36"/>
      <c r="KA189" s="36"/>
      <c r="KB189" s="36"/>
      <c r="KC189" s="37"/>
      <c r="KD189" s="44"/>
      <c r="KE189" s="36"/>
      <c r="KF189" s="36"/>
      <c r="KG189" s="36"/>
      <c r="KH189" s="36"/>
      <c r="KI189" s="36"/>
      <c r="KJ189" s="36"/>
      <c r="KK189" s="36"/>
      <c r="KL189" s="36"/>
      <c r="KM189" s="36"/>
      <c r="KN189" s="36"/>
      <c r="KO189" s="36"/>
      <c r="KP189" s="36"/>
      <c r="KQ189" s="36"/>
      <c r="KR189" s="36"/>
      <c r="KS189" s="36"/>
      <c r="KT189" s="37"/>
      <c r="KU189" s="36"/>
    </row>
    <row r="190" ht="15.0" customHeight="1">
      <c r="A190" s="44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7"/>
      <c r="R190" s="44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7"/>
      <c r="AI190" s="44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  <c r="AU190" s="36"/>
      <c r="AV190" s="36"/>
      <c r="AW190" s="36"/>
      <c r="AX190" s="36"/>
      <c r="AY190" s="37"/>
      <c r="AZ190" s="44"/>
      <c r="BA190" s="36"/>
      <c r="BB190" s="36"/>
      <c r="BC190" s="36"/>
      <c r="BD190" s="36"/>
      <c r="BE190" s="36"/>
      <c r="BF190" s="36"/>
      <c r="BG190" s="36"/>
      <c r="BH190" s="36"/>
      <c r="BI190" s="36"/>
      <c r="BJ190" s="36"/>
      <c r="BK190" s="36"/>
      <c r="BL190" s="36"/>
      <c r="BM190" s="36"/>
      <c r="BN190" s="36"/>
      <c r="BO190" s="36"/>
      <c r="BP190" s="37"/>
      <c r="BQ190" s="44"/>
      <c r="BR190" s="36"/>
      <c r="BS190" s="36"/>
      <c r="BT190" s="36"/>
      <c r="BU190" s="36"/>
      <c r="BV190" s="36"/>
      <c r="BW190" s="36"/>
      <c r="BX190" s="36"/>
      <c r="BY190" s="36"/>
      <c r="BZ190" s="36"/>
      <c r="CA190" s="36"/>
      <c r="CB190" s="36"/>
      <c r="CC190" s="36"/>
      <c r="CD190" s="36"/>
      <c r="CE190" s="36"/>
      <c r="CF190" s="36"/>
      <c r="CG190" s="37"/>
      <c r="CH190" s="44"/>
      <c r="CI190" s="36"/>
      <c r="CJ190" s="36"/>
      <c r="CK190" s="36"/>
      <c r="CL190" s="36"/>
      <c r="CM190" s="36"/>
      <c r="CN190" s="36"/>
      <c r="CO190" s="36"/>
      <c r="CP190" s="36"/>
      <c r="CQ190" s="36"/>
      <c r="CR190" s="36"/>
      <c r="CS190" s="36"/>
      <c r="CT190" s="36"/>
      <c r="CU190" s="36"/>
      <c r="CV190" s="36"/>
      <c r="CW190" s="36"/>
      <c r="CX190" s="37"/>
      <c r="CY190" s="44"/>
      <c r="CZ190" s="36"/>
      <c r="DA190" s="36"/>
      <c r="DB190" s="36"/>
      <c r="DC190" s="36"/>
      <c r="DD190" s="36"/>
      <c r="DE190" s="36"/>
      <c r="DF190" s="36"/>
      <c r="DG190" s="36"/>
      <c r="DH190" s="36"/>
      <c r="DI190" s="36"/>
      <c r="DJ190" s="36"/>
      <c r="DK190" s="36"/>
      <c r="DL190" s="36"/>
      <c r="DM190" s="36"/>
      <c r="DN190" s="36"/>
      <c r="DO190" s="37"/>
      <c r="DP190" s="44"/>
      <c r="DQ190" s="36"/>
      <c r="DR190" s="36"/>
      <c r="DS190" s="36"/>
      <c r="DT190" s="36"/>
      <c r="DU190" s="36"/>
      <c r="DV190" s="36"/>
      <c r="DW190" s="36"/>
      <c r="DX190" s="36"/>
      <c r="DY190" s="36"/>
      <c r="DZ190" s="36"/>
      <c r="EA190" s="36"/>
      <c r="EB190" s="36"/>
      <c r="EC190" s="36"/>
      <c r="ED190" s="36"/>
      <c r="EE190" s="36"/>
      <c r="EF190" s="37"/>
      <c r="EG190" s="44"/>
      <c r="EH190" s="36"/>
      <c r="EI190" s="36"/>
      <c r="EJ190" s="36"/>
      <c r="EK190" s="36"/>
      <c r="EL190" s="36"/>
      <c r="EM190" s="36"/>
      <c r="EN190" s="36"/>
      <c r="EO190" s="36"/>
      <c r="EP190" s="36"/>
      <c r="EQ190" s="36"/>
      <c r="ER190" s="36"/>
      <c r="ES190" s="36"/>
      <c r="ET190" s="36"/>
      <c r="EU190" s="36"/>
      <c r="EV190" s="36"/>
      <c r="EW190" s="37"/>
      <c r="EX190" s="44"/>
      <c r="EY190" s="36"/>
      <c r="EZ190" s="36"/>
      <c r="FA190" s="36"/>
      <c r="FB190" s="36"/>
      <c r="FC190" s="36"/>
      <c r="FD190" s="36"/>
      <c r="FE190" s="36"/>
      <c r="FF190" s="36"/>
      <c r="FG190" s="36"/>
      <c r="FH190" s="36"/>
      <c r="FI190" s="36"/>
      <c r="FJ190" s="36"/>
      <c r="FK190" s="36"/>
      <c r="FL190" s="36"/>
      <c r="FM190" s="36"/>
      <c r="FN190" s="37"/>
      <c r="FO190" s="44"/>
      <c r="FP190" s="36"/>
      <c r="FQ190" s="36"/>
      <c r="FR190" s="36"/>
      <c r="FS190" s="36"/>
      <c r="FT190" s="36"/>
      <c r="FU190" s="36"/>
      <c r="FV190" s="36"/>
      <c r="FW190" s="36"/>
      <c r="FX190" s="36"/>
      <c r="FY190" s="36"/>
      <c r="FZ190" s="36"/>
      <c r="GA190" s="36"/>
      <c r="GB190" s="36"/>
      <c r="GC190" s="36"/>
      <c r="GD190" s="36"/>
      <c r="GE190" s="37"/>
      <c r="GF190" s="44"/>
      <c r="GG190" s="36"/>
      <c r="GH190" s="36"/>
      <c r="GI190" s="36"/>
      <c r="GJ190" s="36"/>
      <c r="GK190" s="36"/>
      <c r="GL190" s="36"/>
      <c r="GM190" s="36"/>
      <c r="GN190" s="36"/>
      <c r="GO190" s="36"/>
      <c r="GP190" s="36"/>
      <c r="GQ190" s="36"/>
      <c r="GR190" s="36"/>
      <c r="GS190" s="36"/>
      <c r="GT190" s="36"/>
      <c r="GU190" s="36"/>
      <c r="GV190" s="37"/>
      <c r="GW190" s="44"/>
      <c r="GX190" s="36"/>
      <c r="GY190" s="36"/>
      <c r="GZ190" s="36"/>
      <c r="HA190" s="36"/>
      <c r="HB190" s="36"/>
      <c r="HC190" s="36"/>
      <c r="HD190" s="36"/>
      <c r="HE190" s="36"/>
      <c r="HF190" s="36"/>
      <c r="HG190" s="36"/>
      <c r="HH190" s="36"/>
      <c r="HI190" s="36"/>
      <c r="HJ190" s="36"/>
      <c r="HK190" s="36"/>
      <c r="HL190" s="36"/>
      <c r="HM190" s="37"/>
      <c r="HN190" s="44"/>
      <c r="HO190" s="36"/>
      <c r="HP190" s="36"/>
      <c r="HQ190" s="36"/>
      <c r="HR190" s="36"/>
      <c r="HS190" s="36"/>
      <c r="HT190" s="36"/>
      <c r="HU190" s="36"/>
      <c r="HV190" s="36"/>
      <c r="HW190" s="36"/>
      <c r="HX190" s="36"/>
      <c r="HY190" s="36"/>
      <c r="HZ190" s="36"/>
      <c r="IA190" s="36"/>
      <c r="IB190" s="36"/>
      <c r="IC190" s="36"/>
      <c r="ID190" s="37"/>
      <c r="IE190" s="44"/>
      <c r="IF190" s="36"/>
      <c r="IG190" s="36"/>
      <c r="IH190" s="36"/>
      <c r="II190" s="36"/>
      <c r="IJ190" s="36"/>
      <c r="IK190" s="36"/>
      <c r="IL190" s="36"/>
      <c r="IM190" s="36"/>
      <c r="IN190" s="36"/>
      <c r="IO190" s="36"/>
      <c r="IP190" s="36"/>
      <c r="IQ190" s="36"/>
      <c r="IR190" s="36"/>
      <c r="IS190" s="36"/>
      <c r="IT190" s="36"/>
      <c r="IU190" s="37"/>
      <c r="IV190" s="44"/>
      <c r="IW190" s="36"/>
      <c r="IX190" s="36"/>
      <c r="IY190" s="36"/>
      <c r="IZ190" s="36"/>
      <c r="JA190" s="36"/>
      <c r="JB190" s="36"/>
      <c r="JC190" s="36"/>
      <c r="JD190" s="36"/>
      <c r="JE190" s="36"/>
      <c r="JF190" s="36"/>
      <c r="JG190" s="36"/>
      <c r="JH190" s="36"/>
      <c r="JI190" s="36"/>
      <c r="JJ190" s="36"/>
      <c r="JK190" s="36"/>
      <c r="JL190" s="37"/>
      <c r="JM190" s="44"/>
      <c r="JN190" s="36"/>
      <c r="JO190" s="36"/>
      <c r="JP190" s="36"/>
      <c r="JQ190" s="36"/>
      <c r="JR190" s="36"/>
      <c r="JS190" s="36"/>
      <c r="JT190" s="36"/>
      <c r="JU190" s="36"/>
      <c r="JV190" s="36"/>
      <c r="JW190" s="36"/>
      <c r="JX190" s="36"/>
      <c r="JY190" s="36"/>
      <c r="JZ190" s="36"/>
      <c r="KA190" s="36"/>
      <c r="KB190" s="36"/>
      <c r="KC190" s="37"/>
      <c r="KD190" s="44"/>
      <c r="KE190" s="36"/>
      <c r="KF190" s="36"/>
      <c r="KG190" s="36"/>
      <c r="KH190" s="36"/>
      <c r="KI190" s="36"/>
      <c r="KJ190" s="36"/>
      <c r="KK190" s="36"/>
      <c r="KL190" s="36"/>
      <c r="KM190" s="36"/>
      <c r="KN190" s="36"/>
      <c r="KO190" s="36"/>
      <c r="KP190" s="36"/>
      <c r="KQ190" s="36"/>
      <c r="KR190" s="36"/>
      <c r="KS190" s="36"/>
      <c r="KT190" s="37"/>
      <c r="KU190" s="36"/>
    </row>
    <row r="191" ht="15.0" customHeight="1">
      <c r="A191" s="44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7"/>
      <c r="R191" s="44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7"/>
      <c r="AI191" s="44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  <c r="AU191" s="36"/>
      <c r="AV191" s="36"/>
      <c r="AW191" s="36"/>
      <c r="AX191" s="36"/>
      <c r="AY191" s="37"/>
      <c r="AZ191" s="44"/>
      <c r="BA191" s="36"/>
      <c r="BB191" s="36"/>
      <c r="BC191" s="36"/>
      <c r="BD191" s="36"/>
      <c r="BE191" s="36"/>
      <c r="BF191" s="36"/>
      <c r="BG191" s="36"/>
      <c r="BH191" s="36"/>
      <c r="BI191" s="36"/>
      <c r="BJ191" s="36"/>
      <c r="BK191" s="36"/>
      <c r="BL191" s="36"/>
      <c r="BM191" s="36"/>
      <c r="BN191" s="36"/>
      <c r="BO191" s="36"/>
      <c r="BP191" s="37"/>
      <c r="BQ191" s="44"/>
      <c r="BR191" s="36"/>
      <c r="BS191" s="36"/>
      <c r="BT191" s="36"/>
      <c r="BU191" s="36"/>
      <c r="BV191" s="36"/>
      <c r="BW191" s="36"/>
      <c r="BX191" s="36"/>
      <c r="BY191" s="36"/>
      <c r="BZ191" s="36"/>
      <c r="CA191" s="36"/>
      <c r="CB191" s="36"/>
      <c r="CC191" s="36"/>
      <c r="CD191" s="36"/>
      <c r="CE191" s="36"/>
      <c r="CF191" s="36"/>
      <c r="CG191" s="37"/>
      <c r="CH191" s="44"/>
      <c r="CI191" s="36"/>
      <c r="CJ191" s="36"/>
      <c r="CK191" s="36"/>
      <c r="CL191" s="36"/>
      <c r="CM191" s="36"/>
      <c r="CN191" s="36"/>
      <c r="CO191" s="36"/>
      <c r="CP191" s="36"/>
      <c r="CQ191" s="36"/>
      <c r="CR191" s="36"/>
      <c r="CS191" s="36"/>
      <c r="CT191" s="36"/>
      <c r="CU191" s="36"/>
      <c r="CV191" s="36"/>
      <c r="CW191" s="36"/>
      <c r="CX191" s="37"/>
      <c r="CY191" s="44"/>
      <c r="CZ191" s="36"/>
      <c r="DA191" s="36"/>
      <c r="DB191" s="36"/>
      <c r="DC191" s="36"/>
      <c r="DD191" s="36"/>
      <c r="DE191" s="36"/>
      <c r="DF191" s="36"/>
      <c r="DG191" s="36"/>
      <c r="DH191" s="36"/>
      <c r="DI191" s="36"/>
      <c r="DJ191" s="36"/>
      <c r="DK191" s="36"/>
      <c r="DL191" s="36"/>
      <c r="DM191" s="36"/>
      <c r="DN191" s="36"/>
      <c r="DO191" s="37"/>
      <c r="DP191" s="44"/>
      <c r="DQ191" s="36"/>
      <c r="DR191" s="36"/>
      <c r="DS191" s="36"/>
      <c r="DT191" s="36"/>
      <c r="DU191" s="36"/>
      <c r="DV191" s="36"/>
      <c r="DW191" s="36"/>
      <c r="DX191" s="36"/>
      <c r="DY191" s="36"/>
      <c r="DZ191" s="36"/>
      <c r="EA191" s="36"/>
      <c r="EB191" s="36"/>
      <c r="EC191" s="36"/>
      <c r="ED191" s="36"/>
      <c r="EE191" s="36"/>
      <c r="EF191" s="37"/>
      <c r="EG191" s="44"/>
      <c r="EH191" s="36"/>
      <c r="EI191" s="36"/>
      <c r="EJ191" s="36"/>
      <c r="EK191" s="36"/>
      <c r="EL191" s="36"/>
      <c r="EM191" s="36"/>
      <c r="EN191" s="36"/>
      <c r="EO191" s="36"/>
      <c r="EP191" s="36"/>
      <c r="EQ191" s="36"/>
      <c r="ER191" s="36"/>
      <c r="ES191" s="36"/>
      <c r="ET191" s="36"/>
      <c r="EU191" s="36"/>
      <c r="EV191" s="36"/>
      <c r="EW191" s="37"/>
      <c r="EX191" s="44"/>
      <c r="EY191" s="36"/>
      <c r="EZ191" s="36"/>
      <c r="FA191" s="36"/>
      <c r="FB191" s="36"/>
      <c r="FC191" s="36"/>
      <c r="FD191" s="36"/>
      <c r="FE191" s="36"/>
      <c r="FF191" s="36"/>
      <c r="FG191" s="36"/>
      <c r="FH191" s="36"/>
      <c r="FI191" s="36"/>
      <c r="FJ191" s="36"/>
      <c r="FK191" s="36"/>
      <c r="FL191" s="36"/>
      <c r="FM191" s="36"/>
      <c r="FN191" s="37"/>
      <c r="FO191" s="44"/>
      <c r="FP191" s="36"/>
      <c r="FQ191" s="36"/>
      <c r="FR191" s="36"/>
      <c r="FS191" s="36"/>
      <c r="FT191" s="36"/>
      <c r="FU191" s="36"/>
      <c r="FV191" s="36"/>
      <c r="FW191" s="36"/>
      <c r="FX191" s="36"/>
      <c r="FY191" s="36"/>
      <c r="FZ191" s="36"/>
      <c r="GA191" s="36"/>
      <c r="GB191" s="36"/>
      <c r="GC191" s="36"/>
      <c r="GD191" s="36"/>
      <c r="GE191" s="37"/>
      <c r="GF191" s="44"/>
      <c r="GG191" s="36"/>
      <c r="GH191" s="36"/>
      <c r="GI191" s="36"/>
      <c r="GJ191" s="36"/>
      <c r="GK191" s="36"/>
      <c r="GL191" s="36"/>
      <c r="GM191" s="36"/>
      <c r="GN191" s="36"/>
      <c r="GO191" s="36"/>
      <c r="GP191" s="36"/>
      <c r="GQ191" s="36"/>
      <c r="GR191" s="36"/>
      <c r="GS191" s="36"/>
      <c r="GT191" s="36"/>
      <c r="GU191" s="36"/>
      <c r="GV191" s="37"/>
      <c r="GW191" s="44"/>
      <c r="GX191" s="36"/>
      <c r="GY191" s="36"/>
      <c r="GZ191" s="36"/>
      <c r="HA191" s="36"/>
      <c r="HB191" s="36"/>
      <c r="HC191" s="36"/>
      <c r="HD191" s="36"/>
      <c r="HE191" s="36"/>
      <c r="HF191" s="36"/>
      <c r="HG191" s="36"/>
      <c r="HH191" s="36"/>
      <c r="HI191" s="36"/>
      <c r="HJ191" s="36"/>
      <c r="HK191" s="36"/>
      <c r="HL191" s="36"/>
      <c r="HM191" s="37"/>
      <c r="HN191" s="44"/>
      <c r="HO191" s="36"/>
      <c r="HP191" s="36"/>
      <c r="HQ191" s="36"/>
      <c r="HR191" s="36"/>
      <c r="HS191" s="36"/>
      <c r="HT191" s="36"/>
      <c r="HU191" s="36"/>
      <c r="HV191" s="36"/>
      <c r="HW191" s="36"/>
      <c r="HX191" s="36"/>
      <c r="HY191" s="36"/>
      <c r="HZ191" s="36"/>
      <c r="IA191" s="36"/>
      <c r="IB191" s="36"/>
      <c r="IC191" s="36"/>
      <c r="ID191" s="37"/>
      <c r="IE191" s="44"/>
      <c r="IF191" s="36"/>
      <c r="IG191" s="36"/>
      <c r="IH191" s="36"/>
      <c r="II191" s="36"/>
      <c r="IJ191" s="36"/>
      <c r="IK191" s="36"/>
      <c r="IL191" s="36"/>
      <c r="IM191" s="36"/>
      <c r="IN191" s="36"/>
      <c r="IO191" s="36"/>
      <c r="IP191" s="36"/>
      <c r="IQ191" s="36"/>
      <c r="IR191" s="36"/>
      <c r="IS191" s="36"/>
      <c r="IT191" s="36"/>
      <c r="IU191" s="37"/>
      <c r="IV191" s="44"/>
      <c r="IW191" s="36"/>
      <c r="IX191" s="36"/>
      <c r="IY191" s="36"/>
      <c r="IZ191" s="36"/>
      <c r="JA191" s="36"/>
      <c r="JB191" s="36"/>
      <c r="JC191" s="36"/>
      <c r="JD191" s="36"/>
      <c r="JE191" s="36"/>
      <c r="JF191" s="36"/>
      <c r="JG191" s="36"/>
      <c r="JH191" s="36"/>
      <c r="JI191" s="36"/>
      <c r="JJ191" s="36"/>
      <c r="JK191" s="36"/>
      <c r="JL191" s="37"/>
      <c r="JM191" s="44"/>
      <c r="JN191" s="36"/>
      <c r="JO191" s="36"/>
      <c r="JP191" s="36"/>
      <c r="JQ191" s="36"/>
      <c r="JR191" s="36"/>
      <c r="JS191" s="36"/>
      <c r="JT191" s="36"/>
      <c r="JU191" s="36"/>
      <c r="JV191" s="36"/>
      <c r="JW191" s="36"/>
      <c r="JX191" s="36"/>
      <c r="JY191" s="36"/>
      <c r="JZ191" s="36"/>
      <c r="KA191" s="36"/>
      <c r="KB191" s="36"/>
      <c r="KC191" s="37"/>
      <c r="KD191" s="44"/>
      <c r="KE191" s="36"/>
      <c r="KF191" s="36"/>
      <c r="KG191" s="36"/>
      <c r="KH191" s="36"/>
      <c r="KI191" s="36"/>
      <c r="KJ191" s="36"/>
      <c r="KK191" s="36"/>
      <c r="KL191" s="36"/>
      <c r="KM191" s="36"/>
      <c r="KN191" s="36"/>
      <c r="KO191" s="36"/>
      <c r="KP191" s="36"/>
      <c r="KQ191" s="36"/>
      <c r="KR191" s="36"/>
      <c r="KS191" s="36"/>
      <c r="KT191" s="37"/>
      <c r="KU191" s="36"/>
    </row>
    <row r="192" ht="15.0" customHeight="1">
      <c r="A192" s="44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7"/>
      <c r="R192" s="44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7"/>
      <c r="AI192" s="44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  <c r="AU192" s="36"/>
      <c r="AV192" s="36"/>
      <c r="AW192" s="36"/>
      <c r="AX192" s="36"/>
      <c r="AY192" s="37"/>
      <c r="AZ192" s="44"/>
      <c r="BA192" s="36"/>
      <c r="BB192" s="36"/>
      <c r="BC192" s="36"/>
      <c r="BD192" s="36"/>
      <c r="BE192" s="36"/>
      <c r="BF192" s="36"/>
      <c r="BG192" s="36"/>
      <c r="BH192" s="36"/>
      <c r="BI192" s="36"/>
      <c r="BJ192" s="36"/>
      <c r="BK192" s="36"/>
      <c r="BL192" s="36"/>
      <c r="BM192" s="36"/>
      <c r="BN192" s="36"/>
      <c r="BO192" s="36"/>
      <c r="BP192" s="37"/>
      <c r="BQ192" s="44"/>
      <c r="BR192" s="36"/>
      <c r="BS192" s="36"/>
      <c r="BT192" s="36"/>
      <c r="BU192" s="36"/>
      <c r="BV192" s="36"/>
      <c r="BW192" s="36"/>
      <c r="BX192" s="36"/>
      <c r="BY192" s="36"/>
      <c r="BZ192" s="36"/>
      <c r="CA192" s="36"/>
      <c r="CB192" s="36"/>
      <c r="CC192" s="36"/>
      <c r="CD192" s="36"/>
      <c r="CE192" s="36"/>
      <c r="CF192" s="36"/>
      <c r="CG192" s="37"/>
      <c r="CH192" s="44"/>
      <c r="CI192" s="36"/>
      <c r="CJ192" s="36"/>
      <c r="CK192" s="36"/>
      <c r="CL192" s="36"/>
      <c r="CM192" s="36"/>
      <c r="CN192" s="36"/>
      <c r="CO192" s="36"/>
      <c r="CP192" s="36"/>
      <c r="CQ192" s="36"/>
      <c r="CR192" s="36"/>
      <c r="CS192" s="36"/>
      <c r="CT192" s="36"/>
      <c r="CU192" s="36"/>
      <c r="CV192" s="36"/>
      <c r="CW192" s="36"/>
      <c r="CX192" s="37"/>
      <c r="CY192" s="44"/>
      <c r="CZ192" s="36"/>
      <c r="DA192" s="36"/>
      <c r="DB192" s="36"/>
      <c r="DC192" s="36"/>
      <c r="DD192" s="36"/>
      <c r="DE192" s="36"/>
      <c r="DF192" s="36"/>
      <c r="DG192" s="36"/>
      <c r="DH192" s="36"/>
      <c r="DI192" s="36"/>
      <c r="DJ192" s="36"/>
      <c r="DK192" s="36"/>
      <c r="DL192" s="36"/>
      <c r="DM192" s="36"/>
      <c r="DN192" s="36"/>
      <c r="DO192" s="37"/>
      <c r="DP192" s="44"/>
      <c r="DQ192" s="36"/>
      <c r="DR192" s="36"/>
      <c r="DS192" s="36"/>
      <c r="DT192" s="36"/>
      <c r="DU192" s="36"/>
      <c r="DV192" s="36"/>
      <c r="DW192" s="36"/>
      <c r="DX192" s="36"/>
      <c r="DY192" s="36"/>
      <c r="DZ192" s="36"/>
      <c r="EA192" s="36"/>
      <c r="EB192" s="36"/>
      <c r="EC192" s="36"/>
      <c r="ED192" s="36"/>
      <c r="EE192" s="36"/>
      <c r="EF192" s="37"/>
      <c r="EG192" s="44"/>
      <c r="EH192" s="36"/>
      <c r="EI192" s="36"/>
      <c r="EJ192" s="36"/>
      <c r="EK192" s="36"/>
      <c r="EL192" s="36"/>
      <c r="EM192" s="36"/>
      <c r="EN192" s="36"/>
      <c r="EO192" s="36"/>
      <c r="EP192" s="36"/>
      <c r="EQ192" s="36"/>
      <c r="ER192" s="36"/>
      <c r="ES192" s="36"/>
      <c r="ET192" s="36"/>
      <c r="EU192" s="36"/>
      <c r="EV192" s="36"/>
      <c r="EW192" s="37"/>
      <c r="EX192" s="44"/>
      <c r="EY192" s="36"/>
      <c r="EZ192" s="36"/>
      <c r="FA192" s="36"/>
      <c r="FB192" s="36"/>
      <c r="FC192" s="36"/>
      <c r="FD192" s="36"/>
      <c r="FE192" s="36"/>
      <c r="FF192" s="36"/>
      <c r="FG192" s="36"/>
      <c r="FH192" s="36"/>
      <c r="FI192" s="36"/>
      <c r="FJ192" s="36"/>
      <c r="FK192" s="36"/>
      <c r="FL192" s="36"/>
      <c r="FM192" s="36"/>
      <c r="FN192" s="37"/>
      <c r="FO192" s="44"/>
      <c r="FP192" s="36"/>
      <c r="FQ192" s="36"/>
      <c r="FR192" s="36"/>
      <c r="FS192" s="36"/>
      <c r="FT192" s="36"/>
      <c r="FU192" s="36"/>
      <c r="FV192" s="36"/>
      <c r="FW192" s="36"/>
      <c r="FX192" s="36"/>
      <c r="FY192" s="36"/>
      <c r="FZ192" s="36"/>
      <c r="GA192" s="36"/>
      <c r="GB192" s="36"/>
      <c r="GC192" s="36"/>
      <c r="GD192" s="36"/>
      <c r="GE192" s="37"/>
      <c r="GF192" s="44"/>
      <c r="GG192" s="36"/>
      <c r="GH192" s="36"/>
      <c r="GI192" s="36"/>
      <c r="GJ192" s="36"/>
      <c r="GK192" s="36"/>
      <c r="GL192" s="36"/>
      <c r="GM192" s="36"/>
      <c r="GN192" s="36"/>
      <c r="GO192" s="36"/>
      <c r="GP192" s="36"/>
      <c r="GQ192" s="36"/>
      <c r="GR192" s="36"/>
      <c r="GS192" s="36"/>
      <c r="GT192" s="36"/>
      <c r="GU192" s="36"/>
      <c r="GV192" s="37"/>
      <c r="GW192" s="44"/>
      <c r="GX192" s="36"/>
      <c r="GY192" s="36"/>
      <c r="GZ192" s="36"/>
      <c r="HA192" s="36"/>
      <c r="HB192" s="36"/>
      <c r="HC192" s="36"/>
      <c r="HD192" s="36"/>
      <c r="HE192" s="36"/>
      <c r="HF192" s="36"/>
      <c r="HG192" s="36"/>
      <c r="HH192" s="36"/>
      <c r="HI192" s="36"/>
      <c r="HJ192" s="36"/>
      <c r="HK192" s="36"/>
      <c r="HL192" s="36"/>
      <c r="HM192" s="37"/>
      <c r="HN192" s="44"/>
      <c r="HO192" s="36"/>
      <c r="HP192" s="36"/>
      <c r="HQ192" s="36"/>
      <c r="HR192" s="36"/>
      <c r="HS192" s="36"/>
      <c r="HT192" s="36"/>
      <c r="HU192" s="36"/>
      <c r="HV192" s="36"/>
      <c r="HW192" s="36"/>
      <c r="HX192" s="36"/>
      <c r="HY192" s="36"/>
      <c r="HZ192" s="36"/>
      <c r="IA192" s="36"/>
      <c r="IB192" s="36"/>
      <c r="IC192" s="36"/>
      <c r="ID192" s="37"/>
      <c r="IE192" s="44"/>
      <c r="IF192" s="36"/>
      <c r="IG192" s="36"/>
      <c r="IH192" s="36"/>
      <c r="II192" s="36"/>
      <c r="IJ192" s="36"/>
      <c r="IK192" s="36"/>
      <c r="IL192" s="36"/>
      <c r="IM192" s="36"/>
      <c r="IN192" s="36"/>
      <c r="IO192" s="36"/>
      <c r="IP192" s="36"/>
      <c r="IQ192" s="36"/>
      <c r="IR192" s="36"/>
      <c r="IS192" s="36"/>
      <c r="IT192" s="36"/>
      <c r="IU192" s="37"/>
      <c r="IV192" s="44"/>
      <c r="IW192" s="36"/>
      <c r="IX192" s="36"/>
      <c r="IY192" s="36"/>
      <c r="IZ192" s="36"/>
      <c r="JA192" s="36"/>
      <c r="JB192" s="36"/>
      <c r="JC192" s="36"/>
      <c r="JD192" s="36"/>
      <c r="JE192" s="36"/>
      <c r="JF192" s="36"/>
      <c r="JG192" s="36"/>
      <c r="JH192" s="36"/>
      <c r="JI192" s="36"/>
      <c r="JJ192" s="36"/>
      <c r="JK192" s="36"/>
      <c r="JL192" s="37"/>
      <c r="JM192" s="44"/>
      <c r="JN192" s="36"/>
      <c r="JO192" s="36"/>
      <c r="JP192" s="36"/>
      <c r="JQ192" s="36"/>
      <c r="JR192" s="36"/>
      <c r="JS192" s="36"/>
      <c r="JT192" s="36"/>
      <c r="JU192" s="36"/>
      <c r="JV192" s="36"/>
      <c r="JW192" s="36"/>
      <c r="JX192" s="36"/>
      <c r="JY192" s="36"/>
      <c r="JZ192" s="36"/>
      <c r="KA192" s="36"/>
      <c r="KB192" s="36"/>
      <c r="KC192" s="37"/>
      <c r="KD192" s="44"/>
      <c r="KE192" s="36"/>
      <c r="KF192" s="36"/>
      <c r="KG192" s="36"/>
      <c r="KH192" s="36"/>
      <c r="KI192" s="36"/>
      <c r="KJ192" s="36"/>
      <c r="KK192" s="36"/>
      <c r="KL192" s="36"/>
      <c r="KM192" s="36"/>
      <c r="KN192" s="36"/>
      <c r="KO192" s="36"/>
      <c r="KP192" s="36"/>
      <c r="KQ192" s="36"/>
      <c r="KR192" s="36"/>
      <c r="KS192" s="36"/>
      <c r="KT192" s="37"/>
      <c r="KU192" s="36"/>
    </row>
    <row r="193" ht="15.0" customHeight="1">
      <c r="A193" s="44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7"/>
      <c r="R193" s="44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7"/>
      <c r="AI193" s="44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  <c r="AU193" s="36"/>
      <c r="AV193" s="36"/>
      <c r="AW193" s="36"/>
      <c r="AX193" s="36"/>
      <c r="AY193" s="37"/>
      <c r="AZ193" s="44"/>
      <c r="BA193" s="36"/>
      <c r="BB193" s="36"/>
      <c r="BC193" s="36"/>
      <c r="BD193" s="36"/>
      <c r="BE193" s="36"/>
      <c r="BF193" s="36"/>
      <c r="BG193" s="36"/>
      <c r="BH193" s="36"/>
      <c r="BI193" s="36"/>
      <c r="BJ193" s="36"/>
      <c r="BK193" s="36"/>
      <c r="BL193" s="36"/>
      <c r="BM193" s="36"/>
      <c r="BN193" s="36"/>
      <c r="BO193" s="36"/>
      <c r="BP193" s="37"/>
      <c r="BQ193" s="44"/>
      <c r="BR193" s="36"/>
      <c r="BS193" s="36"/>
      <c r="BT193" s="36"/>
      <c r="BU193" s="36"/>
      <c r="BV193" s="36"/>
      <c r="BW193" s="36"/>
      <c r="BX193" s="36"/>
      <c r="BY193" s="36"/>
      <c r="BZ193" s="36"/>
      <c r="CA193" s="36"/>
      <c r="CB193" s="36"/>
      <c r="CC193" s="36"/>
      <c r="CD193" s="36"/>
      <c r="CE193" s="36"/>
      <c r="CF193" s="36"/>
      <c r="CG193" s="37"/>
      <c r="CH193" s="44"/>
      <c r="CI193" s="36"/>
      <c r="CJ193" s="36"/>
      <c r="CK193" s="36"/>
      <c r="CL193" s="36"/>
      <c r="CM193" s="36"/>
      <c r="CN193" s="36"/>
      <c r="CO193" s="36"/>
      <c r="CP193" s="36"/>
      <c r="CQ193" s="36"/>
      <c r="CR193" s="36"/>
      <c r="CS193" s="36"/>
      <c r="CT193" s="36"/>
      <c r="CU193" s="36"/>
      <c r="CV193" s="36"/>
      <c r="CW193" s="36"/>
      <c r="CX193" s="37"/>
      <c r="CY193" s="44"/>
      <c r="CZ193" s="36"/>
      <c r="DA193" s="36"/>
      <c r="DB193" s="36"/>
      <c r="DC193" s="36"/>
      <c r="DD193" s="36"/>
      <c r="DE193" s="36"/>
      <c r="DF193" s="36"/>
      <c r="DG193" s="36"/>
      <c r="DH193" s="36"/>
      <c r="DI193" s="36"/>
      <c r="DJ193" s="36"/>
      <c r="DK193" s="36"/>
      <c r="DL193" s="36"/>
      <c r="DM193" s="36"/>
      <c r="DN193" s="36"/>
      <c r="DO193" s="37"/>
      <c r="DP193" s="44"/>
      <c r="DQ193" s="36"/>
      <c r="DR193" s="36"/>
      <c r="DS193" s="36"/>
      <c r="DT193" s="36"/>
      <c r="DU193" s="36"/>
      <c r="DV193" s="36"/>
      <c r="DW193" s="36"/>
      <c r="DX193" s="36"/>
      <c r="DY193" s="36"/>
      <c r="DZ193" s="36"/>
      <c r="EA193" s="36"/>
      <c r="EB193" s="36"/>
      <c r="EC193" s="36"/>
      <c r="ED193" s="36"/>
      <c r="EE193" s="36"/>
      <c r="EF193" s="37"/>
      <c r="EG193" s="44"/>
      <c r="EH193" s="36"/>
      <c r="EI193" s="36"/>
      <c r="EJ193" s="36"/>
      <c r="EK193" s="36"/>
      <c r="EL193" s="36"/>
      <c r="EM193" s="36"/>
      <c r="EN193" s="36"/>
      <c r="EO193" s="36"/>
      <c r="EP193" s="36"/>
      <c r="EQ193" s="36"/>
      <c r="ER193" s="36"/>
      <c r="ES193" s="36"/>
      <c r="ET193" s="36"/>
      <c r="EU193" s="36"/>
      <c r="EV193" s="36"/>
      <c r="EW193" s="37"/>
      <c r="EX193" s="44"/>
      <c r="EY193" s="36"/>
      <c r="EZ193" s="36"/>
      <c r="FA193" s="36"/>
      <c r="FB193" s="36"/>
      <c r="FC193" s="36"/>
      <c r="FD193" s="36"/>
      <c r="FE193" s="36"/>
      <c r="FF193" s="36"/>
      <c r="FG193" s="36"/>
      <c r="FH193" s="36"/>
      <c r="FI193" s="36"/>
      <c r="FJ193" s="36"/>
      <c r="FK193" s="36"/>
      <c r="FL193" s="36"/>
      <c r="FM193" s="36"/>
      <c r="FN193" s="37"/>
      <c r="FO193" s="44"/>
      <c r="FP193" s="36"/>
      <c r="FQ193" s="36"/>
      <c r="FR193" s="36"/>
      <c r="FS193" s="36"/>
      <c r="FT193" s="36"/>
      <c r="FU193" s="36"/>
      <c r="FV193" s="36"/>
      <c r="FW193" s="36"/>
      <c r="FX193" s="36"/>
      <c r="FY193" s="36"/>
      <c r="FZ193" s="36"/>
      <c r="GA193" s="36"/>
      <c r="GB193" s="36"/>
      <c r="GC193" s="36"/>
      <c r="GD193" s="36"/>
      <c r="GE193" s="37"/>
      <c r="GF193" s="44"/>
      <c r="GG193" s="36"/>
      <c r="GH193" s="36"/>
      <c r="GI193" s="36"/>
      <c r="GJ193" s="36"/>
      <c r="GK193" s="36"/>
      <c r="GL193" s="36"/>
      <c r="GM193" s="36"/>
      <c r="GN193" s="36"/>
      <c r="GO193" s="36"/>
      <c r="GP193" s="36"/>
      <c r="GQ193" s="36"/>
      <c r="GR193" s="36"/>
      <c r="GS193" s="36"/>
      <c r="GT193" s="36"/>
      <c r="GU193" s="36"/>
      <c r="GV193" s="37"/>
      <c r="GW193" s="44"/>
      <c r="GX193" s="36"/>
      <c r="GY193" s="36"/>
      <c r="GZ193" s="36"/>
      <c r="HA193" s="36"/>
      <c r="HB193" s="36"/>
      <c r="HC193" s="36"/>
      <c r="HD193" s="36"/>
      <c r="HE193" s="36"/>
      <c r="HF193" s="36"/>
      <c r="HG193" s="36"/>
      <c r="HH193" s="36"/>
      <c r="HI193" s="36"/>
      <c r="HJ193" s="36"/>
      <c r="HK193" s="36"/>
      <c r="HL193" s="36"/>
      <c r="HM193" s="37"/>
      <c r="HN193" s="44"/>
      <c r="HO193" s="36"/>
      <c r="HP193" s="36"/>
      <c r="HQ193" s="36"/>
      <c r="HR193" s="36"/>
      <c r="HS193" s="36"/>
      <c r="HT193" s="36"/>
      <c r="HU193" s="36"/>
      <c r="HV193" s="36"/>
      <c r="HW193" s="36"/>
      <c r="HX193" s="36"/>
      <c r="HY193" s="36"/>
      <c r="HZ193" s="36"/>
      <c r="IA193" s="36"/>
      <c r="IB193" s="36"/>
      <c r="IC193" s="36"/>
      <c r="ID193" s="37"/>
      <c r="IE193" s="44"/>
      <c r="IF193" s="36"/>
      <c r="IG193" s="36"/>
      <c r="IH193" s="36"/>
      <c r="II193" s="36"/>
      <c r="IJ193" s="36"/>
      <c r="IK193" s="36"/>
      <c r="IL193" s="36"/>
      <c r="IM193" s="36"/>
      <c r="IN193" s="36"/>
      <c r="IO193" s="36"/>
      <c r="IP193" s="36"/>
      <c r="IQ193" s="36"/>
      <c r="IR193" s="36"/>
      <c r="IS193" s="36"/>
      <c r="IT193" s="36"/>
      <c r="IU193" s="37"/>
      <c r="IV193" s="44"/>
      <c r="IW193" s="36"/>
      <c r="IX193" s="36"/>
      <c r="IY193" s="36"/>
      <c r="IZ193" s="36"/>
      <c r="JA193" s="36"/>
      <c r="JB193" s="36"/>
      <c r="JC193" s="36"/>
      <c r="JD193" s="36"/>
      <c r="JE193" s="36"/>
      <c r="JF193" s="36"/>
      <c r="JG193" s="36"/>
      <c r="JH193" s="36"/>
      <c r="JI193" s="36"/>
      <c r="JJ193" s="36"/>
      <c r="JK193" s="36"/>
      <c r="JL193" s="37"/>
      <c r="JM193" s="44"/>
      <c r="JN193" s="36"/>
      <c r="JO193" s="36"/>
      <c r="JP193" s="36"/>
      <c r="JQ193" s="36"/>
      <c r="JR193" s="36"/>
      <c r="JS193" s="36"/>
      <c r="JT193" s="36"/>
      <c r="JU193" s="36"/>
      <c r="JV193" s="36"/>
      <c r="JW193" s="36"/>
      <c r="JX193" s="36"/>
      <c r="JY193" s="36"/>
      <c r="JZ193" s="36"/>
      <c r="KA193" s="36"/>
      <c r="KB193" s="36"/>
      <c r="KC193" s="37"/>
      <c r="KD193" s="44"/>
      <c r="KE193" s="36"/>
      <c r="KF193" s="36"/>
      <c r="KG193" s="36"/>
      <c r="KH193" s="36"/>
      <c r="KI193" s="36"/>
      <c r="KJ193" s="36"/>
      <c r="KK193" s="36"/>
      <c r="KL193" s="36"/>
      <c r="KM193" s="36"/>
      <c r="KN193" s="36"/>
      <c r="KO193" s="36"/>
      <c r="KP193" s="36"/>
      <c r="KQ193" s="36"/>
      <c r="KR193" s="36"/>
      <c r="KS193" s="36"/>
      <c r="KT193" s="37"/>
      <c r="KU193" s="36"/>
    </row>
    <row r="194" ht="15.0" customHeight="1">
      <c r="A194" s="44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7"/>
      <c r="R194" s="44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7"/>
      <c r="AI194" s="44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  <c r="AU194" s="36"/>
      <c r="AV194" s="36"/>
      <c r="AW194" s="36"/>
      <c r="AX194" s="36"/>
      <c r="AY194" s="37"/>
      <c r="AZ194" s="44"/>
      <c r="BA194" s="36"/>
      <c r="BB194" s="36"/>
      <c r="BC194" s="36"/>
      <c r="BD194" s="36"/>
      <c r="BE194" s="36"/>
      <c r="BF194" s="36"/>
      <c r="BG194" s="36"/>
      <c r="BH194" s="36"/>
      <c r="BI194" s="36"/>
      <c r="BJ194" s="36"/>
      <c r="BK194" s="36"/>
      <c r="BL194" s="36"/>
      <c r="BM194" s="36"/>
      <c r="BN194" s="36"/>
      <c r="BO194" s="36"/>
      <c r="BP194" s="37"/>
      <c r="BQ194" s="44"/>
      <c r="BR194" s="36"/>
      <c r="BS194" s="36"/>
      <c r="BT194" s="36"/>
      <c r="BU194" s="36"/>
      <c r="BV194" s="36"/>
      <c r="BW194" s="36"/>
      <c r="BX194" s="36"/>
      <c r="BY194" s="36"/>
      <c r="BZ194" s="36"/>
      <c r="CA194" s="36"/>
      <c r="CB194" s="36"/>
      <c r="CC194" s="36"/>
      <c r="CD194" s="36"/>
      <c r="CE194" s="36"/>
      <c r="CF194" s="36"/>
      <c r="CG194" s="37"/>
      <c r="CH194" s="44"/>
      <c r="CI194" s="36"/>
      <c r="CJ194" s="36"/>
      <c r="CK194" s="36"/>
      <c r="CL194" s="36"/>
      <c r="CM194" s="36"/>
      <c r="CN194" s="36"/>
      <c r="CO194" s="36"/>
      <c r="CP194" s="36"/>
      <c r="CQ194" s="36"/>
      <c r="CR194" s="36"/>
      <c r="CS194" s="36"/>
      <c r="CT194" s="36"/>
      <c r="CU194" s="36"/>
      <c r="CV194" s="36"/>
      <c r="CW194" s="36"/>
      <c r="CX194" s="37"/>
      <c r="CY194" s="44"/>
      <c r="CZ194" s="36"/>
      <c r="DA194" s="36"/>
      <c r="DB194" s="36"/>
      <c r="DC194" s="36"/>
      <c r="DD194" s="36"/>
      <c r="DE194" s="36"/>
      <c r="DF194" s="36"/>
      <c r="DG194" s="36"/>
      <c r="DH194" s="36"/>
      <c r="DI194" s="36"/>
      <c r="DJ194" s="36"/>
      <c r="DK194" s="36"/>
      <c r="DL194" s="36"/>
      <c r="DM194" s="36"/>
      <c r="DN194" s="36"/>
      <c r="DO194" s="37"/>
      <c r="DP194" s="44"/>
      <c r="DQ194" s="36"/>
      <c r="DR194" s="36"/>
      <c r="DS194" s="36"/>
      <c r="DT194" s="36"/>
      <c r="DU194" s="36"/>
      <c r="DV194" s="36"/>
      <c r="DW194" s="36"/>
      <c r="DX194" s="36"/>
      <c r="DY194" s="36"/>
      <c r="DZ194" s="36"/>
      <c r="EA194" s="36"/>
      <c r="EB194" s="36"/>
      <c r="EC194" s="36"/>
      <c r="ED194" s="36"/>
      <c r="EE194" s="36"/>
      <c r="EF194" s="37"/>
      <c r="EG194" s="44"/>
      <c r="EH194" s="36"/>
      <c r="EI194" s="36"/>
      <c r="EJ194" s="36"/>
      <c r="EK194" s="36"/>
      <c r="EL194" s="36"/>
      <c r="EM194" s="36"/>
      <c r="EN194" s="36"/>
      <c r="EO194" s="36"/>
      <c r="EP194" s="36"/>
      <c r="EQ194" s="36"/>
      <c r="ER194" s="36"/>
      <c r="ES194" s="36"/>
      <c r="ET194" s="36"/>
      <c r="EU194" s="36"/>
      <c r="EV194" s="36"/>
      <c r="EW194" s="37"/>
      <c r="EX194" s="44"/>
      <c r="EY194" s="36"/>
      <c r="EZ194" s="36"/>
      <c r="FA194" s="36"/>
      <c r="FB194" s="36"/>
      <c r="FC194" s="36"/>
      <c r="FD194" s="36"/>
      <c r="FE194" s="36"/>
      <c r="FF194" s="36"/>
      <c r="FG194" s="36"/>
      <c r="FH194" s="36"/>
      <c r="FI194" s="36"/>
      <c r="FJ194" s="36"/>
      <c r="FK194" s="36"/>
      <c r="FL194" s="36"/>
      <c r="FM194" s="36"/>
      <c r="FN194" s="37"/>
      <c r="FO194" s="44"/>
      <c r="FP194" s="36"/>
      <c r="FQ194" s="36"/>
      <c r="FR194" s="36"/>
      <c r="FS194" s="36"/>
      <c r="FT194" s="36"/>
      <c r="FU194" s="36"/>
      <c r="FV194" s="36"/>
      <c r="FW194" s="36"/>
      <c r="FX194" s="36"/>
      <c r="FY194" s="36"/>
      <c r="FZ194" s="36"/>
      <c r="GA194" s="36"/>
      <c r="GB194" s="36"/>
      <c r="GC194" s="36"/>
      <c r="GD194" s="36"/>
      <c r="GE194" s="37"/>
      <c r="GF194" s="44"/>
      <c r="GG194" s="36"/>
      <c r="GH194" s="36"/>
      <c r="GI194" s="36"/>
      <c r="GJ194" s="36"/>
      <c r="GK194" s="36"/>
      <c r="GL194" s="36"/>
      <c r="GM194" s="36"/>
      <c r="GN194" s="36"/>
      <c r="GO194" s="36"/>
      <c r="GP194" s="36"/>
      <c r="GQ194" s="36"/>
      <c r="GR194" s="36"/>
      <c r="GS194" s="36"/>
      <c r="GT194" s="36"/>
      <c r="GU194" s="36"/>
      <c r="GV194" s="37"/>
      <c r="GW194" s="44"/>
      <c r="GX194" s="36"/>
      <c r="GY194" s="36"/>
      <c r="GZ194" s="36"/>
      <c r="HA194" s="36"/>
      <c r="HB194" s="36"/>
      <c r="HC194" s="36"/>
      <c r="HD194" s="36"/>
      <c r="HE194" s="36"/>
      <c r="HF194" s="36"/>
      <c r="HG194" s="36"/>
      <c r="HH194" s="36"/>
      <c r="HI194" s="36"/>
      <c r="HJ194" s="36"/>
      <c r="HK194" s="36"/>
      <c r="HL194" s="36"/>
      <c r="HM194" s="37"/>
      <c r="HN194" s="44"/>
      <c r="HO194" s="36"/>
      <c r="HP194" s="36"/>
      <c r="HQ194" s="36"/>
      <c r="HR194" s="36"/>
      <c r="HS194" s="36"/>
      <c r="HT194" s="36"/>
      <c r="HU194" s="36"/>
      <c r="HV194" s="36"/>
      <c r="HW194" s="36"/>
      <c r="HX194" s="36"/>
      <c r="HY194" s="36"/>
      <c r="HZ194" s="36"/>
      <c r="IA194" s="36"/>
      <c r="IB194" s="36"/>
      <c r="IC194" s="36"/>
      <c r="ID194" s="37"/>
      <c r="IE194" s="44"/>
      <c r="IF194" s="36"/>
      <c r="IG194" s="36"/>
      <c r="IH194" s="36"/>
      <c r="II194" s="36"/>
      <c r="IJ194" s="36"/>
      <c r="IK194" s="36"/>
      <c r="IL194" s="36"/>
      <c r="IM194" s="36"/>
      <c r="IN194" s="36"/>
      <c r="IO194" s="36"/>
      <c r="IP194" s="36"/>
      <c r="IQ194" s="36"/>
      <c r="IR194" s="36"/>
      <c r="IS194" s="36"/>
      <c r="IT194" s="36"/>
      <c r="IU194" s="37"/>
      <c r="IV194" s="44"/>
      <c r="IW194" s="36"/>
      <c r="IX194" s="36"/>
      <c r="IY194" s="36"/>
      <c r="IZ194" s="36"/>
      <c r="JA194" s="36"/>
      <c r="JB194" s="36"/>
      <c r="JC194" s="36"/>
      <c r="JD194" s="36"/>
      <c r="JE194" s="36"/>
      <c r="JF194" s="36"/>
      <c r="JG194" s="36"/>
      <c r="JH194" s="36"/>
      <c r="JI194" s="36"/>
      <c r="JJ194" s="36"/>
      <c r="JK194" s="36"/>
      <c r="JL194" s="37"/>
      <c r="JM194" s="44"/>
      <c r="JN194" s="36"/>
      <c r="JO194" s="36"/>
      <c r="JP194" s="36"/>
      <c r="JQ194" s="36"/>
      <c r="JR194" s="36"/>
      <c r="JS194" s="36"/>
      <c r="JT194" s="36"/>
      <c r="JU194" s="36"/>
      <c r="JV194" s="36"/>
      <c r="JW194" s="36"/>
      <c r="JX194" s="36"/>
      <c r="JY194" s="36"/>
      <c r="JZ194" s="36"/>
      <c r="KA194" s="36"/>
      <c r="KB194" s="36"/>
      <c r="KC194" s="37"/>
      <c r="KD194" s="44"/>
      <c r="KE194" s="36"/>
      <c r="KF194" s="36"/>
      <c r="KG194" s="36"/>
      <c r="KH194" s="36"/>
      <c r="KI194" s="36"/>
      <c r="KJ194" s="36"/>
      <c r="KK194" s="36"/>
      <c r="KL194" s="36"/>
      <c r="KM194" s="36"/>
      <c r="KN194" s="36"/>
      <c r="KO194" s="36"/>
      <c r="KP194" s="36"/>
      <c r="KQ194" s="36"/>
      <c r="KR194" s="36"/>
      <c r="KS194" s="36"/>
      <c r="KT194" s="37"/>
      <c r="KU194" s="36"/>
    </row>
    <row r="195" ht="15.0" customHeight="1">
      <c r="A195" s="44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7"/>
      <c r="R195" s="44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7"/>
      <c r="AI195" s="44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  <c r="AU195" s="36"/>
      <c r="AV195" s="36"/>
      <c r="AW195" s="36"/>
      <c r="AX195" s="36"/>
      <c r="AY195" s="37"/>
      <c r="AZ195" s="44"/>
      <c r="BA195" s="36"/>
      <c r="BB195" s="36"/>
      <c r="BC195" s="36"/>
      <c r="BD195" s="36"/>
      <c r="BE195" s="36"/>
      <c r="BF195" s="36"/>
      <c r="BG195" s="36"/>
      <c r="BH195" s="36"/>
      <c r="BI195" s="36"/>
      <c r="BJ195" s="36"/>
      <c r="BK195" s="36"/>
      <c r="BL195" s="36"/>
      <c r="BM195" s="36"/>
      <c r="BN195" s="36"/>
      <c r="BO195" s="36"/>
      <c r="BP195" s="37"/>
      <c r="BQ195" s="44"/>
      <c r="BR195" s="36"/>
      <c r="BS195" s="36"/>
      <c r="BT195" s="36"/>
      <c r="BU195" s="36"/>
      <c r="BV195" s="36"/>
      <c r="BW195" s="36"/>
      <c r="BX195" s="36"/>
      <c r="BY195" s="36"/>
      <c r="BZ195" s="36"/>
      <c r="CA195" s="36"/>
      <c r="CB195" s="36"/>
      <c r="CC195" s="36"/>
      <c r="CD195" s="36"/>
      <c r="CE195" s="36"/>
      <c r="CF195" s="36"/>
      <c r="CG195" s="37"/>
      <c r="CH195" s="44"/>
      <c r="CI195" s="36"/>
      <c r="CJ195" s="36"/>
      <c r="CK195" s="36"/>
      <c r="CL195" s="36"/>
      <c r="CM195" s="36"/>
      <c r="CN195" s="36"/>
      <c r="CO195" s="36"/>
      <c r="CP195" s="36"/>
      <c r="CQ195" s="36"/>
      <c r="CR195" s="36"/>
      <c r="CS195" s="36"/>
      <c r="CT195" s="36"/>
      <c r="CU195" s="36"/>
      <c r="CV195" s="36"/>
      <c r="CW195" s="36"/>
      <c r="CX195" s="37"/>
      <c r="CY195" s="44"/>
      <c r="CZ195" s="36"/>
      <c r="DA195" s="36"/>
      <c r="DB195" s="36"/>
      <c r="DC195" s="36"/>
      <c r="DD195" s="36"/>
      <c r="DE195" s="36"/>
      <c r="DF195" s="36"/>
      <c r="DG195" s="36"/>
      <c r="DH195" s="36"/>
      <c r="DI195" s="36"/>
      <c r="DJ195" s="36"/>
      <c r="DK195" s="36"/>
      <c r="DL195" s="36"/>
      <c r="DM195" s="36"/>
      <c r="DN195" s="36"/>
      <c r="DO195" s="37"/>
      <c r="DP195" s="44"/>
      <c r="DQ195" s="36"/>
      <c r="DR195" s="36"/>
      <c r="DS195" s="36"/>
      <c r="DT195" s="36"/>
      <c r="DU195" s="36"/>
      <c r="DV195" s="36"/>
      <c r="DW195" s="36"/>
      <c r="DX195" s="36"/>
      <c r="DY195" s="36"/>
      <c r="DZ195" s="36"/>
      <c r="EA195" s="36"/>
      <c r="EB195" s="36"/>
      <c r="EC195" s="36"/>
      <c r="ED195" s="36"/>
      <c r="EE195" s="36"/>
      <c r="EF195" s="37"/>
      <c r="EG195" s="44"/>
      <c r="EH195" s="36"/>
      <c r="EI195" s="36"/>
      <c r="EJ195" s="36"/>
      <c r="EK195" s="36"/>
      <c r="EL195" s="36"/>
      <c r="EM195" s="36"/>
      <c r="EN195" s="36"/>
      <c r="EO195" s="36"/>
      <c r="EP195" s="36"/>
      <c r="EQ195" s="36"/>
      <c r="ER195" s="36"/>
      <c r="ES195" s="36"/>
      <c r="ET195" s="36"/>
      <c r="EU195" s="36"/>
      <c r="EV195" s="36"/>
      <c r="EW195" s="37"/>
      <c r="EX195" s="44"/>
      <c r="EY195" s="36"/>
      <c r="EZ195" s="36"/>
      <c r="FA195" s="36"/>
      <c r="FB195" s="36"/>
      <c r="FC195" s="36"/>
      <c r="FD195" s="36"/>
      <c r="FE195" s="36"/>
      <c r="FF195" s="36"/>
      <c r="FG195" s="36"/>
      <c r="FH195" s="36"/>
      <c r="FI195" s="36"/>
      <c r="FJ195" s="36"/>
      <c r="FK195" s="36"/>
      <c r="FL195" s="36"/>
      <c r="FM195" s="36"/>
      <c r="FN195" s="37"/>
      <c r="FO195" s="44"/>
      <c r="FP195" s="36"/>
      <c r="FQ195" s="36"/>
      <c r="FR195" s="36"/>
      <c r="FS195" s="36"/>
      <c r="FT195" s="36"/>
      <c r="FU195" s="36"/>
      <c r="FV195" s="36"/>
      <c r="FW195" s="36"/>
      <c r="FX195" s="36"/>
      <c r="FY195" s="36"/>
      <c r="FZ195" s="36"/>
      <c r="GA195" s="36"/>
      <c r="GB195" s="36"/>
      <c r="GC195" s="36"/>
      <c r="GD195" s="36"/>
      <c r="GE195" s="37"/>
      <c r="GF195" s="44"/>
      <c r="GG195" s="36"/>
      <c r="GH195" s="36"/>
      <c r="GI195" s="36"/>
      <c r="GJ195" s="36"/>
      <c r="GK195" s="36"/>
      <c r="GL195" s="36"/>
      <c r="GM195" s="36"/>
      <c r="GN195" s="36"/>
      <c r="GO195" s="36"/>
      <c r="GP195" s="36"/>
      <c r="GQ195" s="36"/>
      <c r="GR195" s="36"/>
      <c r="GS195" s="36"/>
      <c r="GT195" s="36"/>
      <c r="GU195" s="36"/>
      <c r="GV195" s="37"/>
      <c r="GW195" s="44"/>
      <c r="GX195" s="36"/>
      <c r="GY195" s="36"/>
      <c r="GZ195" s="36"/>
      <c r="HA195" s="36"/>
      <c r="HB195" s="36"/>
      <c r="HC195" s="36"/>
      <c r="HD195" s="36"/>
      <c r="HE195" s="36"/>
      <c r="HF195" s="36"/>
      <c r="HG195" s="36"/>
      <c r="HH195" s="36"/>
      <c r="HI195" s="36"/>
      <c r="HJ195" s="36"/>
      <c r="HK195" s="36"/>
      <c r="HL195" s="36"/>
      <c r="HM195" s="37"/>
      <c r="HN195" s="44"/>
      <c r="HO195" s="36"/>
      <c r="HP195" s="36"/>
      <c r="HQ195" s="36"/>
      <c r="HR195" s="36"/>
      <c r="HS195" s="36"/>
      <c r="HT195" s="36"/>
      <c r="HU195" s="36"/>
      <c r="HV195" s="36"/>
      <c r="HW195" s="36"/>
      <c r="HX195" s="36"/>
      <c r="HY195" s="36"/>
      <c r="HZ195" s="36"/>
      <c r="IA195" s="36"/>
      <c r="IB195" s="36"/>
      <c r="IC195" s="36"/>
      <c r="ID195" s="37"/>
      <c r="IE195" s="44"/>
      <c r="IF195" s="36"/>
      <c r="IG195" s="36"/>
      <c r="IH195" s="36"/>
      <c r="II195" s="36"/>
      <c r="IJ195" s="36"/>
      <c r="IK195" s="36"/>
      <c r="IL195" s="36"/>
      <c r="IM195" s="36"/>
      <c r="IN195" s="36"/>
      <c r="IO195" s="36"/>
      <c r="IP195" s="36"/>
      <c r="IQ195" s="36"/>
      <c r="IR195" s="36"/>
      <c r="IS195" s="36"/>
      <c r="IT195" s="36"/>
      <c r="IU195" s="37"/>
      <c r="IV195" s="44"/>
      <c r="IW195" s="36"/>
      <c r="IX195" s="36"/>
      <c r="IY195" s="36"/>
      <c r="IZ195" s="36"/>
      <c r="JA195" s="36"/>
      <c r="JB195" s="36"/>
      <c r="JC195" s="36"/>
      <c r="JD195" s="36"/>
      <c r="JE195" s="36"/>
      <c r="JF195" s="36"/>
      <c r="JG195" s="36"/>
      <c r="JH195" s="36"/>
      <c r="JI195" s="36"/>
      <c r="JJ195" s="36"/>
      <c r="JK195" s="36"/>
      <c r="JL195" s="37"/>
      <c r="JM195" s="44"/>
      <c r="JN195" s="36"/>
      <c r="JO195" s="36"/>
      <c r="JP195" s="36"/>
      <c r="JQ195" s="36"/>
      <c r="JR195" s="36"/>
      <c r="JS195" s="36"/>
      <c r="JT195" s="36"/>
      <c r="JU195" s="36"/>
      <c r="JV195" s="36"/>
      <c r="JW195" s="36"/>
      <c r="JX195" s="36"/>
      <c r="JY195" s="36"/>
      <c r="JZ195" s="36"/>
      <c r="KA195" s="36"/>
      <c r="KB195" s="36"/>
      <c r="KC195" s="37"/>
      <c r="KD195" s="44"/>
      <c r="KE195" s="36"/>
      <c r="KF195" s="36"/>
      <c r="KG195" s="36"/>
      <c r="KH195" s="36"/>
      <c r="KI195" s="36"/>
      <c r="KJ195" s="36"/>
      <c r="KK195" s="36"/>
      <c r="KL195" s="36"/>
      <c r="KM195" s="36"/>
      <c r="KN195" s="36"/>
      <c r="KO195" s="36"/>
      <c r="KP195" s="36"/>
      <c r="KQ195" s="36"/>
      <c r="KR195" s="36"/>
      <c r="KS195" s="36"/>
      <c r="KT195" s="37"/>
      <c r="KU195" s="36"/>
    </row>
    <row r="196" ht="15.0" customHeight="1">
      <c r="A196" s="44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7"/>
      <c r="R196" s="44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7"/>
      <c r="AI196" s="44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  <c r="AU196" s="36"/>
      <c r="AV196" s="36"/>
      <c r="AW196" s="36"/>
      <c r="AX196" s="36"/>
      <c r="AY196" s="37"/>
      <c r="AZ196" s="44"/>
      <c r="BA196" s="36"/>
      <c r="BB196" s="36"/>
      <c r="BC196" s="36"/>
      <c r="BD196" s="36"/>
      <c r="BE196" s="36"/>
      <c r="BF196" s="36"/>
      <c r="BG196" s="36"/>
      <c r="BH196" s="36"/>
      <c r="BI196" s="36"/>
      <c r="BJ196" s="36"/>
      <c r="BK196" s="36"/>
      <c r="BL196" s="36"/>
      <c r="BM196" s="36"/>
      <c r="BN196" s="36"/>
      <c r="BO196" s="36"/>
      <c r="BP196" s="37"/>
      <c r="BQ196" s="44"/>
      <c r="BR196" s="36"/>
      <c r="BS196" s="36"/>
      <c r="BT196" s="36"/>
      <c r="BU196" s="36"/>
      <c r="BV196" s="36"/>
      <c r="BW196" s="36"/>
      <c r="BX196" s="36"/>
      <c r="BY196" s="36"/>
      <c r="BZ196" s="36"/>
      <c r="CA196" s="36"/>
      <c r="CB196" s="36"/>
      <c r="CC196" s="36"/>
      <c r="CD196" s="36"/>
      <c r="CE196" s="36"/>
      <c r="CF196" s="36"/>
      <c r="CG196" s="37"/>
      <c r="CH196" s="44"/>
      <c r="CI196" s="36"/>
      <c r="CJ196" s="36"/>
      <c r="CK196" s="36"/>
      <c r="CL196" s="36"/>
      <c r="CM196" s="36"/>
      <c r="CN196" s="36"/>
      <c r="CO196" s="36"/>
      <c r="CP196" s="36"/>
      <c r="CQ196" s="36"/>
      <c r="CR196" s="36"/>
      <c r="CS196" s="36"/>
      <c r="CT196" s="36"/>
      <c r="CU196" s="36"/>
      <c r="CV196" s="36"/>
      <c r="CW196" s="36"/>
      <c r="CX196" s="37"/>
      <c r="CY196" s="44"/>
      <c r="CZ196" s="36"/>
      <c r="DA196" s="36"/>
      <c r="DB196" s="36"/>
      <c r="DC196" s="36"/>
      <c r="DD196" s="36"/>
      <c r="DE196" s="36"/>
      <c r="DF196" s="36"/>
      <c r="DG196" s="36"/>
      <c r="DH196" s="36"/>
      <c r="DI196" s="36"/>
      <c r="DJ196" s="36"/>
      <c r="DK196" s="36"/>
      <c r="DL196" s="36"/>
      <c r="DM196" s="36"/>
      <c r="DN196" s="36"/>
      <c r="DO196" s="37"/>
      <c r="DP196" s="44"/>
      <c r="DQ196" s="36"/>
      <c r="DR196" s="36"/>
      <c r="DS196" s="36"/>
      <c r="DT196" s="36"/>
      <c r="DU196" s="36"/>
      <c r="DV196" s="36"/>
      <c r="DW196" s="36"/>
      <c r="DX196" s="36"/>
      <c r="DY196" s="36"/>
      <c r="DZ196" s="36"/>
      <c r="EA196" s="36"/>
      <c r="EB196" s="36"/>
      <c r="EC196" s="36"/>
      <c r="ED196" s="36"/>
      <c r="EE196" s="36"/>
      <c r="EF196" s="37"/>
      <c r="EG196" s="44"/>
      <c r="EH196" s="36"/>
      <c r="EI196" s="36"/>
      <c r="EJ196" s="36"/>
      <c r="EK196" s="36"/>
      <c r="EL196" s="36"/>
      <c r="EM196" s="36"/>
      <c r="EN196" s="36"/>
      <c r="EO196" s="36"/>
      <c r="EP196" s="36"/>
      <c r="EQ196" s="36"/>
      <c r="ER196" s="36"/>
      <c r="ES196" s="36"/>
      <c r="ET196" s="36"/>
      <c r="EU196" s="36"/>
      <c r="EV196" s="36"/>
      <c r="EW196" s="37"/>
      <c r="EX196" s="44"/>
      <c r="EY196" s="36"/>
      <c r="EZ196" s="36"/>
      <c r="FA196" s="36"/>
      <c r="FB196" s="36"/>
      <c r="FC196" s="36"/>
      <c r="FD196" s="36"/>
      <c r="FE196" s="36"/>
      <c r="FF196" s="36"/>
      <c r="FG196" s="36"/>
      <c r="FH196" s="36"/>
      <c r="FI196" s="36"/>
      <c r="FJ196" s="36"/>
      <c r="FK196" s="36"/>
      <c r="FL196" s="36"/>
      <c r="FM196" s="36"/>
      <c r="FN196" s="37"/>
      <c r="FO196" s="44"/>
      <c r="FP196" s="36"/>
      <c r="FQ196" s="36"/>
      <c r="FR196" s="36"/>
      <c r="FS196" s="36"/>
      <c r="FT196" s="36"/>
      <c r="FU196" s="36"/>
      <c r="FV196" s="36"/>
      <c r="FW196" s="36"/>
      <c r="FX196" s="36"/>
      <c r="FY196" s="36"/>
      <c r="FZ196" s="36"/>
      <c r="GA196" s="36"/>
      <c r="GB196" s="36"/>
      <c r="GC196" s="36"/>
      <c r="GD196" s="36"/>
      <c r="GE196" s="37"/>
      <c r="GF196" s="44"/>
      <c r="GG196" s="36"/>
      <c r="GH196" s="36"/>
      <c r="GI196" s="36"/>
      <c r="GJ196" s="36"/>
      <c r="GK196" s="36"/>
      <c r="GL196" s="36"/>
      <c r="GM196" s="36"/>
      <c r="GN196" s="36"/>
      <c r="GO196" s="36"/>
      <c r="GP196" s="36"/>
      <c r="GQ196" s="36"/>
      <c r="GR196" s="36"/>
      <c r="GS196" s="36"/>
      <c r="GT196" s="36"/>
      <c r="GU196" s="36"/>
      <c r="GV196" s="37"/>
      <c r="GW196" s="44"/>
      <c r="GX196" s="36"/>
      <c r="GY196" s="36"/>
      <c r="GZ196" s="36"/>
      <c r="HA196" s="36"/>
      <c r="HB196" s="36"/>
      <c r="HC196" s="36"/>
      <c r="HD196" s="36"/>
      <c r="HE196" s="36"/>
      <c r="HF196" s="36"/>
      <c r="HG196" s="36"/>
      <c r="HH196" s="36"/>
      <c r="HI196" s="36"/>
      <c r="HJ196" s="36"/>
      <c r="HK196" s="36"/>
      <c r="HL196" s="36"/>
      <c r="HM196" s="37"/>
      <c r="HN196" s="44"/>
      <c r="HO196" s="36"/>
      <c r="HP196" s="36"/>
      <c r="HQ196" s="36"/>
      <c r="HR196" s="36"/>
      <c r="HS196" s="36"/>
      <c r="HT196" s="36"/>
      <c r="HU196" s="36"/>
      <c r="HV196" s="36"/>
      <c r="HW196" s="36"/>
      <c r="HX196" s="36"/>
      <c r="HY196" s="36"/>
      <c r="HZ196" s="36"/>
      <c r="IA196" s="36"/>
      <c r="IB196" s="36"/>
      <c r="IC196" s="36"/>
      <c r="ID196" s="37"/>
      <c r="IE196" s="44"/>
      <c r="IF196" s="36"/>
      <c r="IG196" s="36"/>
      <c r="IH196" s="36"/>
      <c r="II196" s="36"/>
      <c r="IJ196" s="36"/>
      <c r="IK196" s="36"/>
      <c r="IL196" s="36"/>
      <c r="IM196" s="36"/>
      <c r="IN196" s="36"/>
      <c r="IO196" s="36"/>
      <c r="IP196" s="36"/>
      <c r="IQ196" s="36"/>
      <c r="IR196" s="36"/>
      <c r="IS196" s="36"/>
      <c r="IT196" s="36"/>
      <c r="IU196" s="37"/>
      <c r="IV196" s="44"/>
      <c r="IW196" s="36"/>
      <c r="IX196" s="36"/>
      <c r="IY196" s="36"/>
      <c r="IZ196" s="36"/>
      <c r="JA196" s="36"/>
      <c r="JB196" s="36"/>
      <c r="JC196" s="36"/>
      <c r="JD196" s="36"/>
      <c r="JE196" s="36"/>
      <c r="JF196" s="36"/>
      <c r="JG196" s="36"/>
      <c r="JH196" s="36"/>
      <c r="JI196" s="36"/>
      <c r="JJ196" s="36"/>
      <c r="JK196" s="36"/>
      <c r="JL196" s="37"/>
      <c r="JM196" s="44"/>
      <c r="JN196" s="36"/>
      <c r="JO196" s="36"/>
      <c r="JP196" s="36"/>
      <c r="JQ196" s="36"/>
      <c r="JR196" s="36"/>
      <c r="JS196" s="36"/>
      <c r="JT196" s="36"/>
      <c r="JU196" s="36"/>
      <c r="JV196" s="36"/>
      <c r="JW196" s="36"/>
      <c r="JX196" s="36"/>
      <c r="JY196" s="36"/>
      <c r="JZ196" s="36"/>
      <c r="KA196" s="36"/>
      <c r="KB196" s="36"/>
      <c r="KC196" s="37"/>
      <c r="KD196" s="44"/>
      <c r="KE196" s="36"/>
      <c r="KF196" s="36"/>
      <c r="KG196" s="36"/>
      <c r="KH196" s="36"/>
      <c r="KI196" s="36"/>
      <c r="KJ196" s="36"/>
      <c r="KK196" s="36"/>
      <c r="KL196" s="36"/>
      <c r="KM196" s="36"/>
      <c r="KN196" s="36"/>
      <c r="KO196" s="36"/>
      <c r="KP196" s="36"/>
      <c r="KQ196" s="36"/>
      <c r="KR196" s="36"/>
      <c r="KS196" s="36"/>
      <c r="KT196" s="37"/>
      <c r="KU196" s="36"/>
    </row>
    <row r="197" ht="15.0" customHeight="1">
      <c r="A197" s="44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7"/>
      <c r="R197" s="44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7"/>
      <c r="AI197" s="44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  <c r="AU197" s="36"/>
      <c r="AV197" s="36"/>
      <c r="AW197" s="36"/>
      <c r="AX197" s="36"/>
      <c r="AY197" s="37"/>
      <c r="AZ197" s="44"/>
      <c r="BA197" s="36"/>
      <c r="BB197" s="36"/>
      <c r="BC197" s="36"/>
      <c r="BD197" s="36"/>
      <c r="BE197" s="36"/>
      <c r="BF197" s="36"/>
      <c r="BG197" s="36"/>
      <c r="BH197" s="36"/>
      <c r="BI197" s="36"/>
      <c r="BJ197" s="36"/>
      <c r="BK197" s="36"/>
      <c r="BL197" s="36"/>
      <c r="BM197" s="36"/>
      <c r="BN197" s="36"/>
      <c r="BO197" s="36"/>
      <c r="BP197" s="37"/>
      <c r="BQ197" s="44"/>
      <c r="BR197" s="36"/>
      <c r="BS197" s="36"/>
      <c r="BT197" s="36"/>
      <c r="BU197" s="36"/>
      <c r="BV197" s="36"/>
      <c r="BW197" s="36"/>
      <c r="BX197" s="36"/>
      <c r="BY197" s="36"/>
      <c r="BZ197" s="36"/>
      <c r="CA197" s="36"/>
      <c r="CB197" s="36"/>
      <c r="CC197" s="36"/>
      <c r="CD197" s="36"/>
      <c r="CE197" s="36"/>
      <c r="CF197" s="36"/>
      <c r="CG197" s="37"/>
      <c r="CH197" s="44"/>
      <c r="CI197" s="36"/>
      <c r="CJ197" s="36"/>
      <c r="CK197" s="36"/>
      <c r="CL197" s="36"/>
      <c r="CM197" s="36"/>
      <c r="CN197" s="36"/>
      <c r="CO197" s="36"/>
      <c r="CP197" s="36"/>
      <c r="CQ197" s="36"/>
      <c r="CR197" s="36"/>
      <c r="CS197" s="36"/>
      <c r="CT197" s="36"/>
      <c r="CU197" s="36"/>
      <c r="CV197" s="36"/>
      <c r="CW197" s="36"/>
      <c r="CX197" s="37"/>
      <c r="CY197" s="44"/>
      <c r="CZ197" s="36"/>
      <c r="DA197" s="36"/>
      <c r="DB197" s="36"/>
      <c r="DC197" s="36"/>
      <c r="DD197" s="36"/>
      <c r="DE197" s="36"/>
      <c r="DF197" s="36"/>
      <c r="DG197" s="36"/>
      <c r="DH197" s="36"/>
      <c r="DI197" s="36"/>
      <c r="DJ197" s="36"/>
      <c r="DK197" s="36"/>
      <c r="DL197" s="36"/>
      <c r="DM197" s="36"/>
      <c r="DN197" s="36"/>
      <c r="DO197" s="37"/>
      <c r="DP197" s="44"/>
      <c r="DQ197" s="36"/>
      <c r="DR197" s="36"/>
      <c r="DS197" s="36"/>
      <c r="DT197" s="36"/>
      <c r="DU197" s="36"/>
      <c r="DV197" s="36"/>
      <c r="DW197" s="36"/>
      <c r="DX197" s="36"/>
      <c r="DY197" s="36"/>
      <c r="DZ197" s="36"/>
      <c r="EA197" s="36"/>
      <c r="EB197" s="36"/>
      <c r="EC197" s="36"/>
      <c r="ED197" s="36"/>
      <c r="EE197" s="36"/>
      <c r="EF197" s="37"/>
      <c r="EG197" s="44"/>
      <c r="EH197" s="36"/>
      <c r="EI197" s="36"/>
      <c r="EJ197" s="36"/>
      <c r="EK197" s="36"/>
      <c r="EL197" s="36"/>
      <c r="EM197" s="36"/>
      <c r="EN197" s="36"/>
      <c r="EO197" s="36"/>
      <c r="EP197" s="36"/>
      <c r="EQ197" s="36"/>
      <c r="ER197" s="36"/>
      <c r="ES197" s="36"/>
      <c r="ET197" s="36"/>
      <c r="EU197" s="36"/>
      <c r="EV197" s="36"/>
      <c r="EW197" s="37"/>
      <c r="EX197" s="44"/>
      <c r="EY197" s="36"/>
      <c r="EZ197" s="36"/>
      <c r="FA197" s="36"/>
      <c r="FB197" s="36"/>
      <c r="FC197" s="36"/>
      <c r="FD197" s="36"/>
      <c r="FE197" s="36"/>
      <c r="FF197" s="36"/>
      <c r="FG197" s="36"/>
      <c r="FH197" s="36"/>
      <c r="FI197" s="36"/>
      <c r="FJ197" s="36"/>
      <c r="FK197" s="36"/>
      <c r="FL197" s="36"/>
      <c r="FM197" s="36"/>
      <c r="FN197" s="37"/>
      <c r="FO197" s="44"/>
      <c r="FP197" s="36"/>
      <c r="FQ197" s="36"/>
      <c r="FR197" s="36"/>
      <c r="FS197" s="36"/>
      <c r="FT197" s="36"/>
      <c r="FU197" s="36"/>
      <c r="FV197" s="36"/>
      <c r="FW197" s="36"/>
      <c r="FX197" s="36"/>
      <c r="FY197" s="36"/>
      <c r="FZ197" s="36"/>
      <c r="GA197" s="36"/>
      <c r="GB197" s="36"/>
      <c r="GC197" s="36"/>
      <c r="GD197" s="36"/>
      <c r="GE197" s="37"/>
      <c r="GF197" s="44"/>
      <c r="GG197" s="36"/>
      <c r="GH197" s="36"/>
      <c r="GI197" s="36"/>
      <c r="GJ197" s="36"/>
      <c r="GK197" s="36"/>
      <c r="GL197" s="36"/>
      <c r="GM197" s="36"/>
      <c r="GN197" s="36"/>
      <c r="GO197" s="36"/>
      <c r="GP197" s="36"/>
      <c r="GQ197" s="36"/>
      <c r="GR197" s="36"/>
      <c r="GS197" s="36"/>
      <c r="GT197" s="36"/>
      <c r="GU197" s="36"/>
      <c r="GV197" s="37"/>
      <c r="GW197" s="44"/>
      <c r="GX197" s="36"/>
      <c r="GY197" s="36"/>
      <c r="GZ197" s="36"/>
      <c r="HA197" s="36"/>
      <c r="HB197" s="36"/>
      <c r="HC197" s="36"/>
      <c r="HD197" s="36"/>
      <c r="HE197" s="36"/>
      <c r="HF197" s="36"/>
      <c r="HG197" s="36"/>
      <c r="HH197" s="36"/>
      <c r="HI197" s="36"/>
      <c r="HJ197" s="36"/>
      <c r="HK197" s="36"/>
      <c r="HL197" s="36"/>
      <c r="HM197" s="37"/>
      <c r="HN197" s="44"/>
      <c r="HO197" s="36"/>
      <c r="HP197" s="36"/>
      <c r="HQ197" s="36"/>
      <c r="HR197" s="36"/>
      <c r="HS197" s="36"/>
      <c r="HT197" s="36"/>
      <c r="HU197" s="36"/>
      <c r="HV197" s="36"/>
      <c r="HW197" s="36"/>
      <c r="HX197" s="36"/>
      <c r="HY197" s="36"/>
      <c r="HZ197" s="36"/>
      <c r="IA197" s="36"/>
      <c r="IB197" s="36"/>
      <c r="IC197" s="36"/>
      <c r="ID197" s="37"/>
      <c r="IE197" s="44"/>
      <c r="IF197" s="36"/>
      <c r="IG197" s="36"/>
      <c r="IH197" s="36"/>
      <c r="II197" s="36"/>
      <c r="IJ197" s="36"/>
      <c r="IK197" s="36"/>
      <c r="IL197" s="36"/>
      <c r="IM197" s="36"/>
      <c r="IN197" s="36"/>
      <c r="IO197" s="36"/>
      <c r="IP197" s="36"/>
      <c r="IQ197" s="36"/>
      <c r="IR197" s="36"/>
      <c r="IS197" s="36"/>
      <c r="IT197" s="36"/>
      <c r="IU197" s="37"/>
      <c r="IV197" s="44"/>
      <c r="IW197" s="36"/>
      <c r="IX197" s="36"/>
      <c r="IY197" s="36"/>
      <c r="IZ197" s="36"/>
      <c r="JA197" s="36"/>
      <c r="JB197" s="36"/>
      <c r="JC197" s="36"/>
      <c r="JD197" s="36"/>
      <c r="JE197" s="36"/>
      <c r="JF197" s="36"/>
      <c r="JG197" s="36"/>
      <c r="JH197" s="36"/>
      <c r="JI197" s="36"/>
      <c r="JJ197" s="36"/>
      <c r="JK197" s="36"/>
      <c r="JL197" s="37"/>
      <c r="JM197" s="44"/>
      <c r="JN197" s="36"/>
      <c r="JO197" s="36"/>
      <c r="JP197" s="36"/>
      <c r="JQ197" s="36"/>
      <c r="JR197" s="36"/>
      <c r="JS197" s="36"/>
      <c r="JT197" s="36"/>
      <c r="JU197" s="36"/>
      <c r="JV197" s="36"/>
      <c r="JW197" s="36"/>
      <c r="JX197" s="36"/>
      <c r="JY197" s="36"/>
      <c r="JZ197" s="36"/>
      <c r="KA197" s="36"/>
      <c r="KB197" s="36"/>
      <c r="KC197" s="37"/>
      <c r="KD197" s="44"/>
      <c r="KE197" s="36"/>
      <c r="KF197" s="36"/>
      <c r="KG197" s="36"/>
      <c r="KH197" s="36"/>
      <c r="KI197" s="36"/>
      <c r="KJ197" s="36"/>
      <c r="KK197" s="36"/>
      <c r="KL197" s="36"/>
      <c r="KM197" s="36"/>
      <c r="KN197" s="36"/>
      <c r="KO197" s="36"/>
      <c r="KP197" s="36"/>
      <c r="KQ197" s="36"/>
      <c r="KR197" s="36"/>
      <c r="KS197" s="36"/>
      <c r="KT197" s="37"/>
      <c r="KU197" s="36"/>
    </row>
    <row r="198" ht="15.0" customHeight="1">
      <c r="A198" s="44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7"/>
      <c r="R198" s="44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7"/>
      <c r="AI198" s="44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  <c r="AU198" s="36"/>
      <c r="AV198" s="36"/>
      <c r="AW198" s="36"/>
      <c r="AX198" s="36"/>
      <c r="AY198" s="37"/>
      <c r="AZ198" s="44"/>
      <c r="BA198" s="36"/>
      <c r="BB198" s="36"/>
      <c r="BC198" s="36"/>
      <c r="BD198" s="36"/>
      <c r="BE198" s="36"/>
      <c r="BF198" s="36"/>
      <c r="BG198" s="36"/>
      <c r="BH198" s="36"/>
      <c r="BI198" s="36"/>
      <c r="BJ198" s="36"/>
      <c r="BK198" s="36"/>
      <c r="BL198" s="36"/>
      <c r="BM198" s="36"/>
      <c r="BN198" s="36"/>
      <c r="BO198" s="36"/>
      <c r="BP198" s="37"/>
      <c r="BQ198" s="44"/>
      <c r="BR198" s="36"/>
      <c r="BS198" s="36"/>
      <c r="BT198" s="36"/>
      <c r="BU198" s="36"/>
      <c r="BV198" s="36"/>
      <c r="BW198" s="36"/>
      <c r="BX198" s="36"/>
      <c r="BY198" s="36"/>
      <c r="BZ198" s="36"/>
      <c r="CA198" s="36"/>
      <c r="CB198" s="36"/>
      <c r="CC198" s="36"/>
      <c r="CD198" s="36"/>
      <c r="CE198" s="36"/>
      <c r="CF198" s="36"/>
      <c r="CG198" s="37"/>
      <c r="CH198" s="44"/>
      <c r="CI198" s="36"/>
      <c r="CJ198" s="36"/>
      <c r="CK198" s="36"/>
      <c r="CL198" s="36"/>
      <c r="CM198" s="36"/>
      <c r="CN198" s="36"/>
      <c r="CO198" s="36"/>
      <c r="CP198" s="36"/>
      <c r="CQ198" s="36"/>
      <c r="CR198" s="36"/>
      <c r="CS198" s="36"/>
      <c r="CT198" s="36"/>
      <c r="CU198" s="36"/>
      <c r="CV198" s="36"/>
      <c r="CW198" s="36"/>
      <c r="CX198" s="37"/>
      <c r="CY198" s="44"/>
      <c r="CZ198" s="36"/>
      <c r="DA198" s="36"/>
      <c r="DB198" s="36"/>
      <c r="DC198" s="36"/>
      <c r="DD198" s="36"/>
      <c r="DE198" s="36"/>
      <c r="DF198" s="36"/>
      <c r="DG198" s="36"/>
      <c r="DH198" s="36"/>
      <c r="DI198" s="36"/>
      <c r="DJ198" s="36"/>
      <c r="DK198" s="36"/>
      <c r="DL198" s="36"/>
      <c r="DM198" s="36"/>
      <c r="DN198" s="36"/>
      <c r="DO198" s="37"/>
      <c r="DP198" s="44"/>
      <c r="DQ198" s="36"/>
      <c r="DR198" s="36"/>
      <c r="DS198" s="36"/>
      <c r="DT198" s="36"/>
      <c r="DU198" s="36"/>
      <c r="DV198" s="36"/>
      <c r="DW198" s="36"/>
      <c r="DX198" s="36"/>
      <c r="DY198" s="36"/>
      <c r="DZ198" s="36"/>
      <c r="EA198" s="36"/>
      <c r="EB198" s="36"/>
      <c r="EC198" s="36"/>
      <c r="ED198" s="36"/>
      <c r="EE198" s="36"/>
      <c r="EF198" s="37"/>
      <c r="EG198" s="44"/>
      <c r="EH198" s="36"/>
      <c r="EI198" s="36"/>
      <c r="EJ198" s="36"/>
      <c r="EK198" s="36"/>
      <c r="EL198" s="36"/>
      <c r="EM198" s="36"/>
      <c r="EN198" s="36"/>
      <c r="EO198" s="36"/>
      <c r="EP198" s="36"/>
      <c r="EQ198" s="36"/>
      <c r="ER198" s="36"/>
      <c r="ES198" s="36"/>
      <c r="ET198" s="36"/>
      <c r="EU198" s="36"/>
      <c r="EV198" s="36"/>
      <c r="EW198" s="37"/>
      <c r="EX198" s="44"/>
      <c r="EY198" s="36"/>
      <c r="EZ198" s="36"/>
      <c r="FA198" s="36"/>
      <c r="FB198" s="36"/>
      <c r="FC198" s="36"/>
      <c r="FD198" s="36"/>
      <c r="FE198" s="36"/>
      <c r="FF198" s="36"/>
      <c r="FG198" s="36"/>
      <c r="FH198" s="36"/>
      <c r="FI198" s="36"/>
      <c r="FJ198" s="36"/>
      <c r="FK198" s="36"/>
      <c r="FL198" s="36"/>
      <c r="FM198" s="36"/>
      <c r="FN198" s="37"/>
      <c r="FO198" s="44"/>
      <c r="FP198" s="36"/>
      <c r="FQ198" s="36"/>
      <c r="FR198" s="36"/>
      <c r="FS198" s="36"/>
      <c r="FT198" s="36"/>
      <c r="FU198" s="36"/>
      <c r="FV198" s="36"/>
      <c r="FW198" s="36"/>
      <c r="FX198" s="36"/>
      <c r="FY198" s="36"/>
      <c r="FZ198" s="36"/>
      <c r="GA198" s="36"/>
      <c r="GB198" s="36"/>
      <c r="GC198" s="36"/>
      <c r="GD198" s="36"/>
      <c r="GE198" s="37"/>
      <c r="GF198" s="44"/>
      <c r="GG198" s="36"/>
      <c r="GH198" s="36"/>
      <c r="GI198" s="36"/>
      <c r="GJ198" s="36"/>
      <c r="GK198" s="36"/>
      <c r="GL198" s="36"/>
      <c r="GM198" s="36"/>
      <c r="GN198" s="36"/>
      <c r="GO198" s="36"/>
      <c r="GP198" s="36"/>
      <c r="GQ198" s="36"/>
      <c r="GR198" s="36"/>
      <c r="GS198" s="36"/>
      <c r="GT198" s="36"/>
      <c r="GU198" s="36"/>
      <c r="GV198" s="37"/>
      <c r="GW198" s="44"/>
      <c r="GX198" s="36"/>
      <c r="GY198" s="36"/>
      <c r="GZ198" s="36"/>
      <c r="HA198" s="36"/>
      <c r="HB198" s="36"/>
      <c r="HC198" s="36"/>
      <c r="HD198" s="36"/>
      <c r="HE198" s="36"/>
      <c r="HF198" s="36"/>
      <c r="HG198" s="36"/>
      <c r="HH198" s="36"/>
      <c r="HI198" s="36"/>
      <c r="HJ198" s="36"/>
      <c r="HK198" s="36"/>
      <c r="HL198" s="36"/>
      <c r="HM198" s="37"/>
      <c r="HN198" s="44"/>
      <c r="HO198" s="36"/>
      <c r="HP198" s="36"/>
      <c r="HQ198" s="36"/>
      <c r="HR198" s="36"/>
      <c r="HS198" s="36"/>
      <c r="HT198" s="36"/>
      <c r="HU198" s="36"/>
      <c r="HV198" s="36"/>
      <c r="HW198" s="36"/>
      <c r="HX198" s="36"/>
      <c r="HY198" s="36"/>
      <c r="HZ198" s="36"/>
      <c r="IA198" s="36"/>
      <c r="IB198" s="36"/>
      <c r="IC198" s="36"/>
      <c r="ID198" s="37"/>
      <c r="IE198" s="44"/>
      <c r="IF198" s="36"/>
      <c r="IG198" s="36"/>
      <c r="IH198" s="36"/>
      <c r="II198" s="36"/>
      <c r="IJ198" s="36"/>
      <c r="IK198" s="36"/>
      <c r="IL198" s="36"/>
      <c r="IM198" s="36"/>
      <c r="IN198" s="36"/>
      <c r="IO198" s="36"/>
      <c r="IP198" s="36"/>
      <c r="IQ198" s="36"/>
      <c r="IR198" s="36"/>
      <c r="IS198" s="36"/>
      <c r="IT198" s="36"/>
      <c r="IU198" s="37"/>
      <c r="IV198" s="44"/>
      <c r="IW198" s="36"/>
      <c r="IX198" s="36"/>
      <c r="IY198" s="36"/>
      <c r="IZ198" s="36"/>
      <c r="JA198" s="36"/>
      <c r="JB198" s="36"/>
      <c r="JC198" s="36"/>
      <c r="JD198" s="36"/>
      <c r="JE198" s="36"/>
      <c r="JF198" s="36"/>
      <c r="JG198" s="36"/>
      <c r="JH198" s="36"/>
      <c r="JI198" s="36"/>
      <c r="JJ198" s="36"/>
      <c r="JK198" s="36"/>
      <c r="JL198" s="37"/>
      <c r="JM198" s="44"/>
      <c r="JN198" s="36"/>
      <c r="JO198" s="36"/>
      <c r="JP198" s="36"/>
      <c r="JQ198" s="36"/>
      <c r="JR198" s="36"/>
      <c r="JS198" s="36"/>
      <c r="JT198" s="36"/>
      <c r="JU198" s="36"/>
      <c r="JV198" s="36"/>
      <c r="JW198" s="36"/>
      <c r="JX198" s="36"/>
      <c r="JY198" s="36"/>
      <c r="JZ198" s="36"/>
      <c r="KA198" s="36"/>
      <c r="KB198" s="36"/>
      <c r="KC198" s="37"/>
      <c r="KD198" s="44"/>
      <c r="KE198" s="36"/>
      <c r="KF198" s="36"/>
      <c r="KG198" s="36"/>
      <c r="KH198" s="36"/>
      <c r="KI198" s="36"/>
      <c r="KJ198" s="36"/>
      <c r="KK198" s="36"/>
      <c r="KL198" s="36"/>
      <c r="KM198" s="36"/>
      <c r="KN198" s="36"/>
      <c r="KO198" s="36"/>
      <c r="KP198" s="36"/>
      <c r="KQ198" s="36"/>
      <c r="KR198" s="36"/>
      <c r="KS198" s="36"/>
      <c r="KT198" s="37"/>
      <c r="KU198" s="36"/>
    </row>
    <row r="199" ht="15.0" customHeight="1">
      <c r="A199" s="44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7"/>
      <c r="R199" s="44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7"/>
      <c r="AI199" s="44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  <c r="AU199" s="36"/>
      <c r="AV199" s="36"/>
      <c r="AW199" s="36"/>
      <c r="AX199" s="36"/>
      <c r="AY199" s="37"/>
      <c r="AZ199" s="44"/>
      <c r="BA199" s="36"/>
      <c r="BB199" s="36"/>
      <c r="BC199" s="36"/>
      <c r="BD199" s="36"/>
      <c r="BE199" s="36"/>
      <c r="BF199" s="36"/>
      <c r="BG199" s="36"/>
      <c r="BH199" s="36"/>
      <c r="BI199" s="36"/>
      <c r="BJ199" s="36"/>
      <c r="BK199" s="36"/>
      <c r="BL199" s="36"/>
      <c r="BM199" s="36"/>
      <c r="BN199" s="36"/>
      <c r="BO199" s="36"/>
      <c r="BP199" s="37"/>
      <c r="BQ199" s="44"/>
      <c r="BR199" s="36"/>
      <c r="BS199" s="36"/>
      <c r="BT199" s="36"/>
      <c r="BU199" s="36"/>
      <c r="BV199" s="36"/>
      <c r="BW199" s="36"/>
      <c r="BX199" s="36"/>
      <c r="BY199" s="36"/>
      <c r="BZ199" s="36"/>
      <c r="CA199" s="36"/>
      <c r="CB199" s="36"/>
      <c r="CC199" s="36"/>
      <c r="CD199" s="36"/>
      <c r="CE199" s="36"/>
      <c r="CF199" s="36"/>
      <c r="CG199" s="37"/>
      <c r="CH199" s="44"/>
      <c r="CI199" s="36"/>
      <c r="CJ199" s="36"/>
      <c r="CK199" s="36"/>
      <c r="CL199" s="36"/>
      <c r="CM199" s="36"/>
      <c r="CN199" s="36"/>
      <c r="CO199" s="36"/>
      <c r="CP199" s="36"/>
      <c r="CQ199" s="36"/>
      <c r="CR199" s="36"/>
      <c r="CS199" s="36"/>
      <c r="CT199" s="36"/>
      <c r="CU199" s="36"/>
      <c r="CV199" s="36"/>
      <c r="CW199" s="36"/>
      <c r="CX199" s="37"/>
      <c r="CY199" s="44"/>
      <c r="CZ199" s="36"/>
      <c r="DA199" s="36"/>
      <c r="DB199" s="36"/>
      <c r="DC199" s="36"/>
      <c r="DD199" s="36"/>
      <c r="DE199" s="36"/>
      <c r="DF199" s="36"/>
      <c r="DG199" s="36"/>
      <c r="DH199" s="36"/>
      <c r="DI199" s="36"/>
      <c r="DJ199" s="36"/>
      <c r="DK199" s="36"/>
      <c r="DL199" s="36"/>
      <c r="DM199" s="36"/>
      <c r="DN199" s="36"/>
      <c r="DO199" s="37"/>
      <c r="DP199" s="44"/>
      <c r="DQ199" s="36"/>
      <c r="DR199" s="36"/>
      <c r="DS199" s="36"/>
      <c r="DT199" s="36"/>
      <c r="DU199" s="36"/>
      <c r="DV199" s="36"/>
      <c r="DW199" s="36"/>
      <c r="DX199" s="36"/>
      <c r="DY199" s="36"/>
      <c r="DZ199" s="36"/>
      <c r="EA199" s="36"/>
      <c r="EB199" s="36"/>
      <c r="EC199" s="36"/>
      <c r="ED199" s="36"/>
      <c r="EE199" s="36"/>
      <c r="EF199" s="37"/>
      <c r="EG199" s="44"/>
      <c r="EH199" s="36"/>
      <c r="EI199" s="36"/>
      <c r="EJ199" s="36"/>
      <c r="EK199" s="36"/>
      <c r="EL199" s="36"/>
      <c r="EM199" s="36"/>
      <c r="EN199" s="36"/>
      <c r="EO199" s="36"/>
      <c r="EP199" s="36"/>
      <c r="EQ199" s="36"/>
      <c r="ER199" s="36"/>
      <c r="ES199" s="36"/>
      <c r="ET199" s="36"/>
      <c r="EU199" s="36"/>
      <c r="EV199" s="36"/>
      <c r="EW199" s="37"/>
      <c r="EX199" s="44"/>
      <c r="EY199" s="36"/>
      <c r="EZ199" s="36"/>
      <c r="FA199" s="36"/>
      <c r="FB199" s="36"/>
      <c r="FC199" s="36"/>
      <c r="FD199" s="36"/>
      <c r="FE199" s="36"/>
      <c r="FF199" s="36"/>
      <c r="FG199" s="36"/>
      <c r="FH199" s="36"/>
      <c r="FI199" s="36"/>
      <c r="FJ199" s="36"/>
      <c r="FK199" s="36"/>
      <c r="FL199" s="36"/>
      <c r="FM199" s="36"/>
      <c r="FN199" s="37"/>
      <c r="FO199" s="44"/>
      <c r="FP199" s="36"/>
      <c r="FQ199" s="36"/>
      <c r="FR199" s="36"/>
      <c r="FS199" s="36"/>
      <c r="FT199" s="36"/>
      <c r="FU199" s="36"/>
      <c r="FV199" s="36"/>
      <c r="FW199" s="36"/>
      <c r="FX199" s="36"/>
      <c r="FY199" s="36"/>
      <c r="FZ199" s="36"/>
      <c r="GA199" s="36"/>
      <c r="GB199" s="36"/>
      <c r="GC199" s="36"/>
      <c r="GD199" s="36"/>
      <c r="GE199" s="37"/>
      <c r="GF199" s="44"/>
      <c r="GG199" s="36"/>
      <c r="GH199" s="36"/>
      <c r="GI199" s="36"/>
      <c r="GJ199" s="36"/>
      <c r="GK199" s="36"/>
      <c r="GL199" s="36"/>
      <c r="GM199" s="36"/>
      <c r="GN199" s="36"/>
      <c r="GO199" s="36"/>
      <c r="GP199" s="36"/>
      <c r="GQ199" s="36"/>
      <c r="GR199" s="36"/>
      <c r="GS199" s="36"/>
      <c r="GT199" s="36"/>
      <c r="GU199" s="36"/>
      <c r="GV199" s="37"/>
      <c r="GW199" s="44"/>
      <c r="GX199" s="36"/>
      <c r="GY199" s="36"/>
      <c r="GZ199" s="36"/>
      <c r="HA199" s="36"/>
      <c r="HB199" s="36"/>
      <c r="HC199" s="36"/>
      <c r="HD199" s="36"/>
      <c r="HE199" s="36"/>
      <c r="HF199" s="36"/>
      <c r="HG199" s="36"/>
      <c r="HH199" s="36"/>
      <c r="HI199" s="36"/>
      <c r="HJ199" s="36"/>
      <c r="HK199" s="36"/>
      <c r="HL199" s="36"/>
      <c r="HM199" s="37"/>
      <c r="HN199" s="44"/>
      <c r="HO199" s="36"/>
      <c r="HP199" s="36"/>
      <c r="HQ199" s="36"/>
      <c r="HR199" s="36"/>
      <c r="HS199" s="36"/>
      <c r="HT199" s="36"/>
      <c r="HU199" s="36"/>
      <c r="HV199" s="36"/>
      <c r="HW199" s="36"/>
      <c r="HX199" s="36"/>
      <c r="HY199" s="36"/>
      <c r="HZ199" s="36"/>
      <c r="IA199" s="36"/>
      <c r="IB199" s="36"/>
      <c r="IC199" s="36"/>
      <c r="ID199" s="37"/>
      <c r="IE199" s="44"/>
      <c r="IF199" s="36"/>
      <c r="IG199" s="36"/>
      <c r="IH199" s="36"/>
      <c r="II199" s="36"/>
      <c r="IJ199" s="36"/>
      <c r="IK199" s="36"/>
      <c r="IL199" s="36"/>
      <c r="IM199" s="36"/>
      <c r="IN199" s="36"/>
      <c r="IO199" s="36"/>
      <c r="IP199" s="36"/>
      <c r="IQ199" s="36"/>
      <c r="IR199" s="36"/>
      <c r="IS199" s="36"/>
      <c r="IT199" s="36"/>
      <c r="IU199" s="37"/>
      <c r="IV199" s="44"/>
      <c r="IW199" s="36"/>
      <c r="IX199" s="36"/>
      <c r="IY199" s="36"/>
      <c r="IZ199" s="36"/>
      <c r="JA199" s="36"/>
      <c r="JB199" s="36"/>
      <c r="JC199" s="36"/>
      <c r="JD199" s="36"/>
      <c r="JE199" s="36"/>
      <c r="JF199" s="36"/>
      <c r="JG199" s="36"/>
      <c r="JH199" s="36"/>
      <c r="JI199" s="36"/>
      <c r="JJ199" s="36"/>
      <c r="JK199" s="36"/>
      <c r="JL199" s="37"/>
      <c r="JM199" s="44"/>
      <c r="JN199" s="36"/>
      <c r="JO199" s="36"/>
      <c r="JP199" s="36"/>
      <c r="JQ199" s="36"/>
      <c r="JR199" s="36"/>
      <c r="JS199" s="36"/>
      <c r="JT199" s="36"/>
      <c r="JU199" s="36"/>
      <c r="JV199" s="36"/>
      <c r="JW199" s="36"/>
      <c r="JX199" s="36"/>
      <c r="JY199" s="36"/>
      <c r="JZ199" s="36"/>
      <c r="KA199" s="36"/>
      <c r="KB199" s="36"/>
      <c r="KC199" s="37"/>
      <c r="KD199" s="44"/>
      <c r="KE199" s="36"/>
      <c r="KF199" s="36"/>
      <c r="KG199" s="36"/>
      <c r="KH199" s="36"/>
      <c r="KI199" s="36"/>
      <c r="KJ199" s="36"/>
      <c r="KK199" s="36"/>
      <c r="KL199" s="36"/>
      <c r="KM199" s="36"/>
      <c r="KN199" s="36"/>
      <c r="KO199" s="36"/>
      <c r="KP199" s="36"/>
      <c r="KQ199" s="36"/>
      <c r="KR199" s="36"/>
      <c r="KS199" s="36"/>
      <c r="KT199" s="37"/>
      <c r="KU199" s="36"/>
    </row>
    <row r="200" ht="15.0" customHeight="1">
      <c r="A200" s="44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7"/>
      <c r="R200" s="44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7"/>
      <c r="AI200" s="44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  <c r="AU200" s="36"/>
      <c r="AV200" s="36"/>
      <c r="AW200" s="36"/>
      <c r="AX200" s="36"/>
      <c r="AY200" s="37"/>
      <c r="AZ200" s="44"/>
      <c r="BA200" s="36"/>
      <c r="BB200" s="36"/>
      <c r="BC200" s="36"/>
      <c r="BD200" s="36"/>
      <c r="BE200" s="36"/>
      <c r="BF200" s="36"/>
      <c r="BG200" s="36"/>
      <c r="BH200" s="36"/>
      <c r="BI200" s="36"/>
      <c r="BJ200" s="36"/>
      <c r="BK200" s="36"/>
      <c r="BL200" s="36"/>
      <c r="BM200" s="36"/>
      <c r="BN200" s="36"/>
      <c r="BO200" s="36"/>
      <c r="BP200" s="37"/>
      <c r="BQ200" s="44"/>
      <c r="BR200" s="36"/>
      <c r="BS200" s="36"/>
      <c r="BT200" s="36"/>
      <c r="BU200" s="36"/>
      <c r="BV200" s="36"/>
      <c r="BW200" s="36"/>
      <c r="BX200" s="36"/>
      <c r="BY200" s="36"/>
      <c r="BZ200" s="36"/>
      <c r="CA200" s="36"/>
      <c r="CB200" s="36"/>
      <c r="CC200" s="36"/>
      <c r="CD200" s="36"/>
      <c r="CE200" s="36"/>
      <c r="CF200" s="36"/>
      <c r="CG200" s="37"/>
      <c r="CH200" s="44"/>
      <c r="CI200" s="36"/>
      <c r="CJ200" s="36"/>
      <c r="CK200" s="36"/>
      <c r="CL200" s="36"/>
      <c r="CM200" s="36"/>
      <c r="CN200" s="36"/>
      <c r="CO200" s="36"/>
      <c r="CP200" s="36"/>
      <c r="CQ200" s="36"/>
      <c r="CR200" s="36"/>
      <c r="CS200" s="36"/>
      <c r="CT200" s="36"/>
      <c r="CU200" s="36"/>
      <c r="CV200" s="36"/>
      <c r="CW200" s="36"/>
      <c r="CX200" s="37"/>
      <c r="CY200" s="44"/>
      <c r="CZ200" s="36"/>
      <c r="DA200" s="36"/>
      <c r="DB200" s="36"/>
      <c r="DC200" s="36"/>
      <c r="DD200" s="36"/>
      <c r="DE200" s="36"/>
      <c r="DF200" s="36"/>
      <c r="DG200" s="36"/>
      <c r="DH200" s="36"/>
      <c r="DI200" s="36"/>
      <c r="DJ200" s="36"/>
      <c r="DK200" s="36"/>
      <c r="DL200" s="36"/>
      <c r="DM200" s="36"/>
      <c r="DN200" s="36"/>
      <c r="DO200" s="37"/>
      <c r="DP200" s="44"/>
      <c r="DQ200" s="36"/>
      <c r="DR200" s="36"/>
      <c r="DS200" s="36"/>
      <c r="DT200" s="36"/>
      <c r="DU200" s="36"/>
      <c r="DV200" s="36"/>
      <c r="DW200" s="36"/>
      <c r="DX200" s="36"/>
      <c r="DY200" s="36"/>
      <c r="DZ200" s="36"/>
      <c r="EA200" s="36"/>
      <c r="EB200" s="36"/>
      <c r="EC200" s="36"/>
      <c r="ED200" s="36"/>
      <c r="EE200" s="36"/>
      <c r="EF200" s="37"/>
      <c r="EG200" s="44"/>
      <c r="EH200" s="36"/>
      <c r="EI200" s="36"/>
      <c r="EJ200" s="36"/>
      <c r="EK200" s="36"/>
      <c r="EL200" s="36"/>
      <c r="EM200" s="36"/>
      <c r="EN200" s="36"/>
      <c r="EO200" s="36"/>
      <c r="EP200" s="36"/>
      <c r="EQ200" s="36"/>
      <c r="ER200" s="36"/>
      <c r="ES200" s="36"/>
      <c r="ET200" s="36"/>
      <c r="EU200" s="36"/>
      <c r="EV200" s="36"/>
      <c r="EW200" s="37"/>
      <c r="EX200" s="44"/>
      <c r="EY200" s="36"/>
      <c r="EZ200" s="36"/>
      <c r="FA200" s="36"/>
      <c r="FB200" s="36"/>
      <c r="FC200" s="36"/>
      <c r="FD200" s="36"/>
      <c r="FE200" s="36"/>
      <c r="FF200" s="36"/>
      <c r="FG200" s="36"/>
      <c r="FH200" s="36"/>
      <c r="FI200" s="36"/>
      <c r="FJ200" s="36"/>
      <c r="FK200" s="36"/>
      <c r="FL200" s="36"/>
      <c r="FM200" s="36"/>
      <c r="FN200" s="37"/>
      <c r="FO200" s="44"/>
      <c r="FP200" s="36"/>
      <c r="FQ200" s="36"/>
      <c r="FR200" s="36"/>
      <c r="FS200" s="36"/>
      <c r="FT200" s="36"/>
      <c r="FU200" s="36"/>
      <c r="FV200" s="36"/>
      <c r="FW200" s="36"/>
      <c r="FX200" s="36"/>
      <c r="FY200" s="36"/>
      <c r="FZ200" s="36"/>
      <c r="GA200" s="36"/>
      <c r="GB200" s="36"/>
      <c r="GC200" s="36"/>
      <c r="GD200" s="36"/>
      <c r="GE200" s="37"/>
      <c r="GF200" s="44"/>
      <c r="GG200" s="36"/>
      <c r="GH200" s="36"/>
      <c r="GI200" s="36"/>
      <c r="GJ200" s="36"/>
      <c r="GK200" s="36"/>
      <c r="GL200" s="36"/>
      <c r="GM200" s="36"/>
      <c r="GN200" s="36"/>
      <c r="GO200" s="36"/>
      <c r="GP200" s="36"/>
      <c r="GQ200" s="36"/>
      <c r="GR200" s="36"/>
      <c r="GS200" s="36"/>
      <c r="GT200" s="36"/>
      <c r="GU200" s="36"/>
      <c r="GV200" s="37"/>
      <c r="GW200" s="44"/>
      <c r="GX200" s="36"/>
      <c r="GY200" s="36"/>
      <c r="GZ200" s="36"/>
      <c r="HA200" s="36"/>
      <c r="HB200" s="36"/>
      <c r="HC200" s="36"/>
      <c r="HD200" s="36"/>
      <c r="HE200" s="36"/>
      <c r="HF200" s="36"/>
      <c r="HG200" s="36"/>
      <c r="HH200" s="36"/>
      <c r="HI200" s="36"/>
      <c r="HJ200" s="36"/>
      <c r="HK200" s="36"/>
      <c r="HL200" s="36"/>
      <c r="HM200" s="37"/>
      <c r="HN200" s="44"/>
      <c r="HO200" s="36"/>
      <c r="HP200" s="36"/>
      <c r="HQ200" s="36"/>
      <c r="HR200" s="36"/>
      <c r="HS200" s="36"/>
      <c r="HT200" s="36"/>
      <c r="HU200" s="36"/>
      <c r="HV200" s="36"/>
      <c r="HW200" s="36"/>
      <c r="HX200" s="36"/>
      <c r="HY200" s="36"/>
      <c r="HZ200" s="36"/>
      <c r="IA200" s="36"/>
      <c r="IB200" s="36"/>
      <c r="IC200" s="36"/>
      <c r="ID200" s="37"/>
      <c r="IE200" s="44"/>
      <c r="IF200" s="36"/>
      <c r="IG200" s="36"/>
      <c r="IH200" s="36"/>
      <c r="II200" s="36"/>
      <c r="IJ200" s="36"/>
      <c r="IK200" s="36"/>
      <c r="IL200" s="36"/>
      <c r="IM200" s="36"/>
      <c r="IN200" s="36"/>
      <c r="IO200" s="36"/>
      <c r="IP200" s="36"/>
      <c r="IQ200" s="36"/>
      <c r="IR200" s="36"/>
      <c r="IS200" s="36"/>
      <c r="IT200" s="36"/>
      <c r="IU200" s="37"/>
      <c r="IV200" s="44"/>
      <c r="IW200" s="36"/>
      <c r="IX200" s="36"/>
      <c r="IY200" s="36"/>
      <c r="IZ200" s="36"/>
      <c r="JA200" s="36"/>
      <c r="JB200" s="36"/>
      <c r="JC200" s="36"/>
      <c r="JD200" s="36"/>
      <c r="JE200" s="36"/>
      <c r="JF200" s="36"/>
      <c r="JG200" s="36"/>
      <c r="JH200" s="36"/>
      <c r="JI200" s="36"/>
      <c r="JJ200" s="36"/>
      <c r="JK200" s="36"/>
      <c r="JL200" s="37"/>
      <c r="JM200" s="44"/>
      <c r="JN200" s="36"/>
      <c r="JO200" s="36"/>
      <c r="JP200" s="36"/>
      <c r="JQ200" s="36"/>
      <c r="JR200" s="36"/>
      <c r="JS200" s="36"/>
      <c r="JT200" s="36"/>
      <c r="JU200" s="36"/>
      <c r="JV200" s="36"/>
      <c r="JW200" s="36"/>
      <c r="JX200" s="36"/>
      <c r="JY200" s="36"/>
      <c r="JZ200" s="36"/>
      <c r="KA200" s="36"/>
      <c r="KB200" s="36"/>
      <c r="KC200" s="37"/>
      <c r="KD200" s="44"/>
      <c r="KE200" s="36"/>
      <c r="KF200" s="36"/>
      <c r="KG200" s="36"/>
      <c r="KH200" s="36"/>
      <c r="KI200" s="36"/>
      <c r="KJ200" s="36"/>
      <c r="KK200" s="36"/>
      <c r="KL200" s="36"/>
      <c r="KM200" s="36"/>
      <c r="KN200" s="36"/>
      <c r="KO200" s="36"/>
      <c r="KP200" s="36"/>
      <c r="KQ200" s="36"/>
      <c r="KR200" s="36"/>
      <c r="KS200" s="36"/>
      <c r="KT200" s="37"/>
      <c r="KU200" s="36"/>
    </row>
    <row r="201" ht="15.0" customHeight="1">
      <c r="A201" s="44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7"/>
      <c r="R201" s="44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7"/>
      <c r="AI201" s="44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  <c r="AU201" s="36"/>
      <c r="AV201" s="36"/>
      <c r="AW201" s="36"/>
      <c r="AX201" s="36"/>
      <c r="AY201" s="37"/>
      <c r="AZ201" s="44"/>
      <c r="BA201" s="36"/>
      <c r="BB201" s="36"/>
      <c r="BC201" s="36"/>
      <c r="BD201" s="36"/>
      <c r="BE201" s="36"/>
      <c r="BF201" s="36"/>
      <c r="BG201" s="36"/>
      <c r="BH201" s="36"/>
      <c r="BI201" s="36"/>
      <c r="BJ201" s="36"/>
      <c r="BK201" s="36"/>
      <c r="BL201" s="36"/>
      <c r="BM201" s="36"/>
      <c r="BN201" s="36"/>
      <c r="BO201" s="36"/>
      <c r="BP201" s="37"/>
      <c r="BQ201" s="44"/>
      <c r="BR201" s="36"/>
      <c r="BS201" s="36"/>
      <c r="BT201" s="36"/>
      <c r="BU201" s="36"/>
      <c r="BV201" s="36"/>
      <c r="BW201" s="36"/>
      <c r="BX201" s="36"/>
      <c r="BY201" s="36"/>
      <c r="BZ201" s="36"/>
      <c r="CA201" s="36"/>
      <c r="CB201" s="36"/>
      <c r="CC201" s="36"/>
      <c r="CD201" s="36"/>
      <c r="CE201" s="36"/>
      <c r="CF201" s="36"/>
      <c r="CG201" s="37"/>
      <c r="CH201" s="44"/>
      <c r="CI201" s="36"/>
      <c r="CJ201" s="36"/>
      <c r="CK201" s="36"/>
      <c r="CL201" s="36"/>
      <c r="CM201" s="36"/>
      <c r="CN201" s="36"/>
      <c r="CO201" s="36"/>
      <c r="CP201" s="36"/>
      <c r="CQ201" s="36"/>
      <c r="CR201" s="36"/>
      <c r="CS201" s="36"/>
      <c r="CT201" s="36"/>
      <c r="CU201" s="36"/>
      <c r="CV201" s="36"/>
      <c r="CW201" s="36"/>
      <c r="CX201" s="37"/>
      <c r="CY201" s="44"/>
      <c r="CZ201" s="36"/>
      <c r="DA201" s="36"/>
      <c r="DB201" s="36"/>
      <c r="DC201" s="36"/>
      <c r="DD201" s="36"/>
      <c r="DE201" s="36"/>
      <c r="DF201" s="36"/>
      <c r="DG201" s="36"/>
      <c r="DH201" s="36"/>
      <c r="DI201" s="36"/>
      <c r="DJ201" s="36"/>
      <c r="DK201" s="36"/>
      <c r="DL201" s="36"/>
      <c r="DM201" s="36"/>
      <c r="DN201" s="36"/>
      <c r="DO201" s="37"/>
      <c r="DP201" s="44"/>
      <c r="DQ201" s="36"/>
      <c r="DR201" s="36"/>
      <c r="DS201" s="36"/>
      <c r="DT201" s="36"/>
      <c r="DU201" s="36"/>
      <c r="DV201" s="36"/>
      <c r="DW201" s="36"/>
      <c r="DX201" s="36"/>
      <c r="DY201" s="36"/>
      <c r="DZ201" s="36"/>
      <c r="EA201" s="36"/>
      <c r="EB201" s="36"/>
      <c r="EC201" s="36"/>
      <c r="ED201" s="36"/>
      <c r="EE201" s="36"/>
      <c r="EF201" s="37"/>
      <c r="EG201" s="44"/>
      <c r="EH201" s="36"/>
      <c r="EI201" s="36"/>
      <c r="EJ201" s="36"/>
      <c r="EK201" s="36"/>
      <c r="EL201" s="36"/>
      <c r="EM201" s="36"/>
      <c r="EN201" s="36"/>
      <c r="EO201" s="36"/>
      <c r="EP201" s="36"/>
      <c r="EQ201" s="36"/>
      <c r="ER201" s="36"/>
      <c r="ES201" s="36"/>
      <c r="ET201" s="36"/>
      <c r="EU201" s="36"/>
      <c r="EV201" s="36"/>
      <c r="EW201" s="37"/>
      <c r="EX201" s="44"/>
      <c r="EY201" s="36"/>
      <c r="EZ201" s="36"/>
      <c r="FA201" s="36"/>
      <c r="FB201" s="36"/>
      <c r="FC201" s="36"/>
      <c r="FD201" s="36"/>
      <c r="FE201" s="36"/>
      <c r="FF201" s="36"/>
      <c r="FG201" s="36"/>
      <c r="FH201" s="36"/>
      <c r="FI201" s="36"/>
      <c r="FJ201" s="36"/>
      <c r="FK201" s="36"/>
      <c r="FL201" s="36"/>
      <c r="FM201" s="36"/>
      <c r="FN201" s="37"/>
      <c r="FO201" s="44"/>
      <c r="FP201" s="36"/>
      <c r="FQ201" s="36"/>
      <c r="FR201" s="36"/>
      <c r="FS201" s="36"/>
      <c r="FT201" s="36"/>
      <c r="FU201" s="36"/>
      <c r="FV201" s="36"/>
      <c r="FW201" s="36"/>
      <c r="FX201" s="36"/>
      <c r="FY201" s="36"/>
      <c r="FZ201" s="36"/>
      <c r="GA201" s="36"/>
      <c r="GB201" s="36"/>
      <c r="GC201" s="36"/>
      <c r="GD201" s="36"/>
      <c r="GE201" s="37"/>
      <c r="GF201" s="44"/>
      <c r="GG201" s="36"/>
      <c r="GH201" s="36"/>
      <c r="GI201" s="36"/>
      <c r="GJ201" s="36"/>
      <c r="GK201" s="36"/>
      <c r="GL201" s="36"/>
      <c r="GM201" s="36"/>
      <c r="GN201" s="36"/>
      <c r="GO201" s="36"/>
      <c r="GP201" s="36"/>
      <c r="GQ201" s="36"/>
      <c r="GR201" s="36"/>
      <c r="GS201" s="36"/>
      <c r="GT201" s="36"/>
      <c r="GU201" s="36"/>
      <c r="GV201" s="37"/>
      <c r="GW201" s="44"/>
      <c r="GX201" s="36"/>
      <c r="GY201" s="36"/>
      <c r="GZ201" s="36"/>
      <c r="HA201" s="36"/>
      <c r="HB201" s="36"/>
      <c r="HC201" s="36"/>
      <c r="HD201" s="36"/>
      <c r="HE201" s="36"/>
      <c r="HF201" s="36"/>
      <c r="HG201" s="36"/>
      <c r="HH201" s="36"/>
      <c r="HI201" s="36"/>
      <c r="HJ201" s="36"/>
      <c r="HK201" s="36"/>
      <c r="HL201" s="36"/>
      <c r="HM201" s="37"/>
      <c r="HN201" s="44"/>
      <c r="HO201" s="36"/>
      <c r="HP201" s="36"/>
      <c r="HQ201" s="36"/>
      <c r="HR201" s="36"/>
      <c r="HS201" s="36"/>
      <c r="HT201" s="36"/>
      <c r="HU201" s="36"/>
      <c r="HV201" s="36"/>
      <c r="HW201" s="36"/>
      <c r="HX201" s="36"/>
      <c r="HY201" s="36"/>
      <c r="HZ201" s="36"/>
      <c r="IA201" s="36"/>
      <c r="IB201" s="36"/>
      <c r="IC201" s="36"/>
      <c r="ID201" s="37"/>
      <c r="IE201" s="44"/>
      <c r="IF201" s="36"/>
      <c r="IG201" s="36"/>
      <c r="IH201" s="36"/>
      <c r="II201" s="36"/>
      <c r="IJ201" s="36"/>
      <c r="IK201" s="36"/>
      <c r="IL201" s="36"/>
      <c r="IM201" s="36"/>
      <c r="IN201" s="36"/>
      <c r="IO201" s="36"/>
      <c r="IP201" s="36"/>
      <c r="IQ201" s="36"/>
      <c r="IR201" s="36"/>
      <c r="IS201" s="36"/>
      <c r="IT201" s="36"/>
      <c r="IU201" s="37"/>
      <c r="IV201" s="44"/>
      <c r="IW201" s="36"/>
      <c r="IX201" s="36"/>
      <c r="IY201" s="36"/>
      <c r="IZ201" s="36"/>
      <c r="JA201" s="36"/>
      <c r="JB201" s="36"/>
      <c r="JC201" s="36"/>
      <c r="JD201" s="36"/>
      <c r="JE201" s="36"/>
      <c r="JF201" s="36"/>
      <c r="JG201" s="36"/>
      <c r="JH201" s="36"/>
      <c r="JI201" s="36"/>
      <c r="JJ201" s="36"/>
      <c r="JK201" s="36"/>
      <c r="JL201" s="37"/>
      <c r="JM201" s="44"/>
      <c r="JN201" s="36"/>
      <c r="JO201" s="36"/>
      <c r="JP201" s="36"/>
      <c r="JQ201" s="36"/>
      <c r="JR201" s="36"/>
      <c r="JS201" s="36"/>
      <c r="JT201" s="36"/>
      <c r="JU201" s="36"/>
      <c r="JV201" s="36"/>
      <c r="JW201" s="36"/>
      <c r="JX201" s="36"/>
      <c r="JY201" s="36"/>
      <c r="JZ201" s="36"/>
      <c r="KA201" s="36"/>
      <c r="KB201" s="36"/>
      <c r="KC201" s="37"/>
      <c r="KD201" s="44"/>
      <c r="KE201" s="36"/>
      <c r="KF201" s="36"/>
      <c r="KG201" s="36"/>
      <c r="KH201" s="36"/>
      <c r="KI201" s="36"/>
      <c r="KJ201" s="36"/>
      <c r="KK201" s="36"/>
      <c r="KL201" s="36"/>
      <c r="KM201" s="36"/>
      <c r="KN201" s="36"/>
      <c r="KO201" s="36"/>
      <c r="KP201" s="36"/>
      <c r="KQ201" s="36"/>
      <c r="KR201" s="36"/>
      <c r="KS201" s="36"/>
      <c r="KT201" s="37"/>
      <c r="KU201" s="36"/>
    </row>
    <row r="202" ht="15.0" customHeight="1">
      <c r="A202" s="44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7"/>
      <c r="R202" s="44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7"/>
      <c r="AI202" s="44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  <c r="AU202" s="36"/>
      <c r="AV202" s="36"/>
      <c r="AW202" s="36"/>
      <c r="AX202" s="36"/>
      <c r="AY202" s="37"/>
      <c r="AZ202" s="44"/>
      <c r="BA202" s="36"/>
      <c r="BB202" s="36"/>
      <c r="BC202" s="36"/>
      <c r="BD202" s="36"/>
      <c r="BE202" s="36"/>
      <c r="BF202" s="36"/>
      <c r="BG202" s="36"/>
      <c r="BH202" s="36"/>
      <c r="BI202" s="36"/>
      <c r="BJ202" s="36"/>
      <c r="BK202" s="36"/>
      <c r="BL202" s="36"/>
      <c r="BM202" s="36"/>
      <c r="BN202" s="36"/>
      <c r="BO202" s="36"/>
      <c r="BP202" s="37"/>
      <c r="BQ202" s="44"/>
      <c r="BR202" s="36"/>
      <c r="BS202" s="36"/>
      <c r="BT202" s="36"/>
      <c r="BU202" s="36"/>
      <c r="BV202" s="36"/>
      <c r="BW202" s="36"/>
      <c r="BX202" s="36"/>
      <c r="BY202" s="36"/>
      <c r="BZ202" s="36"/>
      <c r="CA202" s="36"/>
      <c r="CB202" s="36"/>
      <c r="CC202" s="36"/>
      <c r="CD202" s="36"/>
      <c r="CE202" s="36"/>
      <c r="CF202" s="36"/>
      <c r="CG202" s="37"/>
      <c r="CH202" s="44"/>
      <c r="CI202" s="36"/>
      <c r="CJ202" s="36"/>
      <c r="CK202" s="36"/>
      <c r="CL202" s="36"/>
      <c r="CM202" s="36"/>
      <c r="CN202" s="36"/>
      <c r="CO202" s="36"/>
      <c r="CP202" s="36"/>
      <c r="CQ202" s="36"/>
      <c r="CR202" s="36"/>
      <c r="CS202" s="36"/>
      <c r="CT202" s="36"/>
      <c r="CU202" s="36"/>
      <c r="CV202" s="36"/>
      <c r="CW202" s="36"/>
      <c r="CX202" s="37"/>
      <c r="CY202" s="44"/>
      <c r="CZ202" s="36"/>
      <c r="DA202" s="36"/>
      <c r="DB202" s="36"/>
      <c r="DC202" s="36"/>
      <c r="DD202" s="36"/>
      <c r="DE202" s="36"/>
      <c r="DF202" s="36"/>
      <c r="DG202" s="36"/>
      <c r="DH202" s="36"/>
      <c r="DI202" s="36"/>
      <c r="DJ202" s="36"/>
      <c r="DK202" s="36"/>
      <c r="DL202" s="36"/>
      <c r="DM202" s="36"/>
      <c r="DN202" s="36"/>
      <c r="DO202" s="37"/>
      <c r="DP202" s="44"/>
      <c r="DQ202" s="36"/>
      <c r="DR202" s="36"/>
      <c r="DS202" s="36"/>
      <c r="DT202" s="36"/>
      <c r="DU202" s="36"/>
      <c r="DV202" s="36"/>
      <c r="DW202" s="36"/>
      <c r="DX202" s="36"/>
      <c r="DY202" s="36"/>
      <c r="DZ202" s="36"/>
      <c r="EA202" s="36"/>
      <c r="EB202" s="36"/>
      <c r="EC202" s="36"/>
      <c r="ED202" s="36"/>
      <c r="EE202" s="36"/>
      <c r="EF202" s="37"/>
      <c r="EG202" s="44"/>
      <c r="EH202" s="36"/>
      <c r="EI202" s="36"/>
      <c r="EJ202" s="36"/>
      <c r="EK202" s="36"/>
      <c r="EL202" s="36"/>
      <c r="EM202" s="36"/>
      <c r="EN202" s="36"/>
      <c r="EO202" s="36"/>
      <c r="EP202" s="36"/>
      <c r="EQ202" s="36"/>
      <c r="ER202" s="36"/>
      <c r="ES202" s="36"/>
      <c r="ET202" s="36"/>
      <c r="EU202" s="36"/>
      <c r="EV202" s="36"/>
      <c r="EW202" s="37"/>
      <c r="EX202" s="44"/>
      <c r="EY202" s="36"/>
      <c r="EZ202" s="36"/>
      <c r="FA202" s="36"/>
      <c r="FB202" s="36"/>
      <c r="FC202" s="36"/>
      <c r="FD202" s="36"/>
      <c r="FE202" s="36"/>
      <c r="FF202" s="36"/>
      <c r="FG202" s="36"/>
      <c r="FH202" s="36"/>
      <c r="FI202" s="36"/>
      <c r="FJ202" s="36"/>
      <c r="FK202" s="36"/>
      <c r="FL202" s="36"/>
      <c r="FM202" s="36"/>
      <c r="FN202" s="37"/>
      <c r="FO202" s="44"/>
      <c r="FP202" s="36"/>
      <c r="FQ202" s="36"/>
      <c r="FR202" s="36"/>
      <c r="FS202" s="36"/>
      <c r="FT202" s="36"/>
      <c r="FU202" s="36"/>
      <c r="FV202" s="36"/>
      <c r="FW202" s="36"/>
      <c r="FX202" s="36"/>
      <c r="FY202" s="36"/>
      <c r="FZ202" s="36"/>
      <c r="GA202" s="36"/>
      <c r="GB202" s="36"/>
      <c r="GC202" s="36"/>
      <c r="GD202" s="36"/>
      <c r="GE202" s="37"/>
      <c r="GF202" s="44"/>
      <c r="GG202" s="36"/>
      <c r="GH202" s="36"/>
      <c r="GI202" s="36"/>
      <c r="GJ202" s="36"/>
      <c r="GK202" s="36"/>
      <c r="GL202" s="36"/>
      <c r="GM202" s="36"/>
      <c r="GN202" s="36"/>
      <c r="GO202" s="36"/>
      <c r="GP202" s="36"/>
      <c r="GQ202" s="36"/>
      <c r="GR202" s="36"/>
      <c r="GS202" s="36"/>
      <c r="GT202" s="36"/>
      <c r="GU202" s="36"/>
      <c r="GV202" s="37"/>
      <c r="GW202" s="44"/>
      <c r="GX202" s="36"/>
      <c r="GY202" s="36"/>
      <c r="GZ202" s="36"/>
      <c r="HA202" s="36"/>
      <c r="HB202" s="36"/>
      <c r="HC202" s="36"/>
      <c r="HD202" s="36"/>
      <c r="HE202" s="36"/>
      <c r="HF202" s="36"/>
      <c r="HG202" s="36"/>
      <c r="HH202" s="36"/>
      <c r="HI202" s="36"/>
      <c r="HJ202" s="36"/>
      <c r="HK202" s="36"/>
      <c r="HL202" s="36"/>
      <c r="HM202" s="37"/>
      <c r="HN202" s="44"/>
      <c r="HO202" s="36"/>
      <c r="HP202" s="36"/>
      <c r="HQ202" s="36"/>
      <c r="HR202" s="36"/>
      <c r="HS202" s="36"/>
      <c r="HT202" s="36"/>
      <c r="HU202" s="36"/>
      <c r="HV202" s="36"/>
      <c r="HW202" s="36"/>
      <c r="HX202" s="36"/>
      <c r="HY202" s="36"/>
      <c r="HZ202" s="36"/>
      <c r="IA202" s="36"/>
      <c r="IB202" s="36"/>
      <c r="IC202" s="36"/>
      <c r="ID202" s="37"/>
      <c r="IE202" s="44"/>
      <c r="IF202" s="36"/>
      <c r="IG202" s="36"/>
      <c r="IH202" s="36"/>
      <c r="II202" s="36"/>
      <c r="IJ202" s="36"/>
      <c r="IK202" s="36"/>
      <c r="IL202" s="36"/>
      <c r="IM202" s="36"/>
      <c r="IN202" s="36"/>
      <c r="IO202" s="36"/>
      <c r="IP202" s="36"/>
      <c r="IQ202" s="36"/>
      <c r="IR202" s="36"/>
      <c r="IS202" s="36"/>
      <c r="IT202" s="36"/>
      <c r="IU202" s="37"/>
      <c r="IV202" s="44"/>
      <c r="IW202" s="36"/>
      <c r="IX202" s="36"/>
      <c r="IY202" s="36"/>
      <c r="IZ202" s="36"/>
      <c r="JA202" s="36"/>
      <c r="JB202" s="36"/>
      <c r="JC202" s="36"/>
      <c r="JD202" s="36"/>
      <c r="JE202" s="36"/>
      <c r="JF202" s="36"/>
      <c r="JG202" s="36"/>
      <c r="JH202" s="36"/>
      <c r="JI202" s="36"/>
      <c r="JJ202" s="36"/>
      <c r="JK202" s="36"/>
      <c r="JL202" s="37"/>
      <c r="JM202" s="44"/>
      <c r="JN202" s="36"/>
      <c r="JO202" s="36"/>
      <c r="JP202" s="36"/>
      <c r="JQ202" s="36"/>
      <c r="JR202" s="36"/>
      <c r="JS202" s="36"/>
      <c r="JT202" s="36"/>
      <c r="JU202" s="36"/>
      <c r="JV202" s="36"/>
      <c r="JW202" s="36"/>
      <c r="JX202" s="36"/>
      <c r="JY202" s="36"/>
      <c r="JZ202" s="36"/>
      <c r="KA202" s="36"/>
      <c r="KB202" s="36"/>
      <c r="KC202" s="37"/>
      <c r="KD202" s="44"/>
      <c r="KE202" s="36"/>
      <c r="KF202" s="36"/>
      <c r="KG202" s="36"/>
      <c r="KH202" s="36"/>
      <c r="KI202" s="36"/>
      <c r="KJ202" s="36"/>
      <c r="KK202" s="36"/>
      <c r="KL202" s="36"/>
      <c r="KM202" s="36"/>
      <c r="KN202" s="36"/>
      <c r="KO202" s="36"/>
      <c r="KP202" s="36"/>
      <c r="KQ202" s="36"/>
      <c r="KR202" s="36"/>
      <c r="KS202" s="36"/>
      <c r="KT202" s="37"/>
      <c r="KU202" s="36"/>
    </row>
    <row r="203" ht="15.0" customHeight="1">
      <c r="A203" s="44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7"/>
      <c r="R203" s="44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7"/>
      <c r="AI203" s="44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  <c r="AU203" s="36"/>
      <c r="AV203" s="36"/>
      <c r="AW203" s="36"/>
      <c r="AX203" s="36"/>
      <c r="AY203" s="37"/>
      <c r="AZ203" s="44"/>
      <c r="BA203" s="36"/>
      <c r="BB203" s="36"/>
      <c r="BC203" s="36"/>
      <c r="BD203" s="36"/>
      <c r="BE203" s="36"/>
      <c r="BF203" s="36"/>
      <c r="BG203" s="36"/>
      <c r="BH203" s="36"/>
      <c r="BI203" s="36"/>
      <c r="BJ203" s="36"/>
      <c r="BK203" s="36"/>
      <c r="BL203" s="36"/>
      <c r="BM203" s="36"/>
      <c r="BN203" s="36"/>
      <c r="BO203" s="36"/>
      <c r="BP203" s="37"/>
      <c r="BQ203" s="44"/>
      <c r="BR203" s="36"/>
      <c r="BS203" s="36"/>
      <c r="BT203" s="36"/>
      <c r="BU203" s="36"/>
      <c r="BV203" s="36"/>
      <c r="BW203" s="36"/>
      <c r="BX203" s="36"/>
      <c r="BY203" s="36"/>
      <c r="BZ203" s="36"/>
      <c r="CA203" s="36"/>
      <c r="CB203" s="36"/>
      <c r="CC203" s="36"/>
      <c r="CD203" s="36"/>
      <c r="CE203" s="36"/>
      <c r="CF203" s="36"/>
      <c r="CG203" s="37"/>
      <c r="CH203" s="44"/>
      <c r="CI203" s="36"/>
      <c r="CJ203" s="36"/>
      <c r="CK203" s="36"/>
      <c r="CL203" s="36"/>
      <c r="CM203" s="36"/>
      <c r="CN203" s="36"/>
      <c r="CO203" s="36"/>
      <c r="CP203" s="36"/>
      <c r="CQ203" s="36"/>
      <c r="CR203" s="36"/>
      <c r="CS203" s="36"/>
      <c r="CT203" s="36"/>
      <c r="CU203" s="36"/>
      <c r="CV203" s="36"/>
      <c r="CW203" s="36"/>
      <c r="CX203" s="37"/>
      <c r="CY203" s="44"/>
      <c r="CZ203" s="36"/>
      <c r="DA203" s="36"/>
      <c r="DB203" s="36"/>
      <c r="DC203" s="36"/>
      <c r="DD203" s="36"/>
      <c r="DE203" s="36"/>
      <c r="DF203" s="36"/>
      <c r="DG203" s="36"/>
      <c r="DH203" s="36"/>
      <c r="DI203" s="36"/>
      <c r="DJ203" s="36"/>
      <c r="DK203" s="36"/>
      <c r="DL203" s="36"/>
      <c r="DM203" s="36"/>
      <c r="DN203" s="36"/>
      <c r="DO203" s="37"/>
      <c r="DP203" s="44"/>
      <c r="DQ203" s="36"/>
      <c r="DR203" s="36"/>
      <c r="DS203" s="36"/>
      <c r="DT203" s="36"/>
      <c r="DU203" s="36"/>
      <c r="DV203" s="36"/>
      <c r="DW203" s="36"/>
      <c r="DX203" s="36"/>
      <c r="DY203" s="36"/>
      <c r="DZ203" s="36"/>
      <c r="EA203" s="36"/>
      <c r="EB203" s="36"/>
      <c r="EC203" s="36"/>
      <c r="ED203" s="36"/>
      <c r="EE203" s="36"/>
      <c r="EF203" s="37"/>
      <c r="EG203" s="44"/>
      <c r="EH203" s="36"/>
      <c r="EI203" s="36"/>
      <c r="EJ203" s="36"/>
      <c r="EK203" s="36"/>
      <c r="EL203" s="36"/>
      <c r="EM203" s="36"/>
      <c r="EN203" s="36"/>
      <c r="EO203" s="36"/>
      <c r="EP203" s="36"/>
      <c r="EQ203" s="36"/>
      <c r="ER203" s="36"/>
      <c r="ES203" s="36"/>
      <c r="ET203" s="36"/>
      <c r="EU203" s="36"/>
      <c r="EV203" s="36"/>
      <c r="EW203" s="37"/>
      <c r="EX203" s="44"/>
      <c r="EY203" s="36"/>
      <c r="EZ203" s="36"/>
      <c r="FA203" s="36"/>
      <c r="FB203" s="36"/>
      <c r="FC203" s="36"/>
      <c r="FD203" s="36"/>
      <c r="FE203" s="36"/>
      <c r="FF203" s="36"/>
      <c r="FG203" s="36"/>
      <c r="FH203" s="36"/>
      <c r="FI203" s="36"/>
      <c r="FJ203" s="36"/>
      <c r="FK203" s="36"/>
      <c r="FL203" s="36"/>
      <c r="FM203" s="36"/>
      <c r="FN203" s="37"/>
      <c r="FO203" s="44"/>
      <c r="FP203" s="36"/>
      <c r="FQ203" s="36"/>
      <c r="FR203" s="36"/>
      <c r="FS203" s="36"/>
      <c r="FT203" s="36"/>
      <c r="FU203" s="36"/>
      <c r="FV203" s="36"/>
      <c r="FW203" s="36"/>
      <c r="FX203" s="36"/>
      <c r="FY203" s="36"/>
      <c r="FZ203" s="36"/>
      <c r="GA203" s="36"/>
      <c r="GB203" s="36"/>
      <c r="GC203" s="36"/>
      <c r="GD203" s="36"/>
      <c r="GE203" s="37"/>
      <c r="GF203" s="44"/>
      <c r="GG203" s="36"/>
      <c r="GH203" s="36"/>
      <c r="GI203" s="36"/>
      <c r="GJ203" s="36"/>
      <c r="GK203" s="36"/>
      <c r="GL203" s="36"/>
      <c r="GM203" s="36"/>
      <c r="GN203" s="36"/>
      <c r="GO203" s="36"/>
      <c r="GP203" s="36"/>
      <c r="GQ203" s="36"/>
      <c r="GR203" s="36"/>
      <c r="GS203" s="36"/>
      <c r="GT203" s="36"/>
      <c r="GU203" s="36"/>
      <c r="GV203" s="37"/>
      <c r="GW203" s="44"/>
      <c r="GX203" s="36"/>
      <c r="GY203" s="36"/>
      <c r="GZ203" s="36"/>
      <c r="HA203" s="36"/>
      <c r="HB203" s="36"/>
      <c r="HC203" s="36"/>
      <c r="HD203" s="36"/>
      <c r="HE203" s="36"/>
      <c r="HF203" s="36"/>
      <c r="HG203" s="36"/>
      <c r="HH203" s="36"/>
      <c r="HI203" s="36"/>
      <c r="HJ203" s="36"/>
      <c r="HK203" s="36"/>
      <c r="HL203" s="36"/>
      <c r="HM203" s="37"/>
      <c r="HN203" s="44"/>
      <c r="HO203" s="36"/>
      <c r="HP203" s="36"/>
      <c r="HQ203" s="36"/>
      <c r="HR203" s="36"/>
      <c r="HS203" s="36"/>
      <c r="HT203" s="36"/>
      <c r="HU203" s="36"/>
      <c r="HV203" s="36"/>
      <c r="HW203" s="36"/>
      <c r="HX203" s="36"/>
      <c r="HY203" s="36"/>
      <c r="HZ203" s="36"/>
      <c r="IA203" s="36"/>
      <c r="IB203" s="36"/>
      <c r="IC203" s="36"/>
      <c r="ID203" s="37"/>
      <c r="IE203" s="44"/>
      <c r="IF203" s="36"/>
      <c r="IG203" s="36"/>
      <c r="IH203" s="36"/>
      <c r="II203" s="36"/>
      <c r="IJ203" s="36"/>
      <c r="IK203" s="36"/>
      <c r="IL203" s="36"/>
      <c r="IM203" s="36"/>
      <c r="IN203" s="36"/>
      <c r="IO203" s="36"/>
      <c r="IP203" s="36"/>
      <c r="IQ203" s="36"/>
      <c r="IR203" s="36"/>
      <c r="IS203" s="36"/>
      <c r="IT203" s="36"/>
      <c r="IU203" s="37"/>
      <c r="IV203" s="44"/>
      <c r="IW203" s="36"/>
      <c r="IX203" s="36"/>
      <c r="IY203" s="36"/>
      <c r="IZ203" s="36"/>
      <c r="JA203" s="36"/>
      <c r="JB203" s="36"/>
      <c r="JC203" s="36"/>
      <c r="JD203" s="36"/>
      <c r="JE203" s="36"/>
      <c r="JF203" s="36"/>
      <c r="JG203" s="36"/>
      <c r="JH203" s="36"/>
      <c r="JI203" s="36"/>
      <c r="JJ203" s="36"/>
      <c r="JK203" s="36"/>
      <c r="JL203" s="37"/>
      <c r="JM203" s="44"/>
      <c r="JN203" s="36"/>
      <c r="JO203" s="36"/>
      <c r="JP203" s="36"/>
      <c r="JQ203" s="36"/>
      <c r="JR203" s="36"/>
      <c r="JS203" s="36"/>
      <c r="JT203" s="36"/>
      <c r="JU203" s="36"/>
      <c r="JV203" s="36"/>
      <c r="JW203" s="36"/>
      <c r="JX203" s="36"/>
      <c r="JY203" s="36"/>
      <c r="JZ203" s="36"/>
      <c r="KA203" s="36"/>
      <c r="KB203" s="36"/>
      <c r="KC203" s="37"/>
      <c r="KD203" s="44"/>
      <c r="KE203" s="36"/>
      <c r="KF203" s="36"/>
      <c r="KG203" s="36"/>
      <c r="KH203" s="36"/>
      <c r="KI203" s="36"/>
      <c r="KJ203" s="36"/>
      <c r="KK203" s="36"/>
      <c r="KL203" s="36"/>
      <c r="KM203" s="36"/>
      <c r="KN203" s="36"/>
      <c r="KO203" s="36"/>
      <c r="KP203" s="36"/>
      <c r="KQ203" s="36"/>
      <c r="KR203" s="36"/>
      <c r="KS203" s="36"/>
      <c r="KT203" s="37"/>
      <c r="KU203" s="36"/>
    </row>
    <row r="204" ht="15.0" customHeight="1">
      <c r="A204" s="44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7"/>
      <c r="R204" s="44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7"/>
      <c r="AI204" s="44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  <c r="AU204" s="36"/>
      <c r="AV204" s="36"/>
      <c r="AW204" s="36"/>
      <c r="AX204" s="36"/>
      <c r="AY204" s="37"/>
      <c r="AZ204" s="44"/>
      <c r="BA204" s="36"/>
      <c r="BB204" s="36"/>
      <c r="BC204" s="36"/>
      <c r="BD204" s="36"/>
      <c r="BE204" s="36"/>
      <c r="BF204" s="36"/>
      <c r="BG204" s="36"/>
      <c r="BH204" s="36"/>
      <c r="BI204" s="36"/>
      <c r="BJ204" s="36"/>
      <c r="BK204" s="36"/>
      <c r="BL204" s="36"/>
      <c r="BM204" s="36"/>
      <c r="BN204" s="36"/>
      <c r="BO204" s="36"/>
      <c r="BP204" s="37"/>
      <c r="BQ204" s="44"/>
      <c r="BR204" s="36"/>
      <c r="BS204" s="36"/>
      <c r="BT204" s="36"/>
      <c r="BU204" s="36"/>
      <c r="BV204" s="36"/>
      <c r="BW204" s="36"/>
      <c r="BX204" s="36"/>
      <c r="BY204" s="36"/>
      <c r="BZ204" s="36"/>
      <c r="CA204" s="36"/>
      <c r="CB204" s="36"/>
      <c r="CC204" s="36"/>
      <c r="CD204" s="36"/>
      <c r="CE204" s="36"/>
      <c r="CF204" s="36"/>
      <c r="CG204" s="37"/>
      <c r="CH204" s="44"/>
      <c r="CI204" s="36"/>
      <c r="CJ204" s="36"/>
      <c r="CK204" s="36"/>
      <c r="CL204" s="36"/>
      <c r="CM204" s="36"/>
      <c r="CN204" s="36"/>
      <c r="CO204" s="36"/>
      <c r="CP204" s="36"/>
      <c r="CQ204" s="36"/>
      <c r="CR204" s="36"/>
      <c r="CS204" s="36"/>
      <c r="CT204" s="36"/>
      <c r="CU204" s="36"/>
      <c r="CV204" s="36"/>
      <c r="CW204" s="36"/>
      <c r="CX204" s="37"/>
      <c r="CY204" s="44"/>
      <c r="CZ204" s="36"/>
      <c r="DA204" s="36"/>
      <c r="DB204" s="36"/>
      <c r="DC204" s="36"/>
      <c r="DD204" s="36"/>
      <c r="DE204" s="36"/>
      <c r="DF204" s="36"/>
      <c r="DG204" s="36"/>
      <c r="DH204" s="36"/>
      <c r="DI204" s="36"/>
      <c r="DJ204" s="36"/>
      <c r="DK204" s="36"/>
      <c r="DL204" s="36"/>
      <c r="DM204" s="36"/>
      <c r="DN204" s="36"/>
      <c r="DO204" s="37"/>
      <c r="DP204" s="44"/>
      <c r="DQ204" s="36"/>
      <c r="DR204" s="36"/>
      <c r="DS204" s="36"/>
      <c r="DT204" s="36"/>
      <c r="DU204" s="36"/>
      <c r="DV204" s="36"/>
      <c r="DW204" s="36"/>
      <c r="DX204" s="36"/>
      <c r="DY204" s="36"/>
      <c r="DZ204" s="36"/>
      <c r="EA204" s="36"/>
      <c r="EB204" s="36"/>
      <c r="EC204" s="36"/>
      <c r="ED204" s="36"/>
      <c r="EE204" s="36"/>
      <c r="EF204" s="37"/>
      <c r="EG204" s="44"/>
      <c r="EH204" s="36"/>
      <c r="EI204" s="36"/>
      <c r="EJ204" s="36"/>
      <c r="EK204" s="36"/>
      <c r="EL204" s="36"/>
      <c r="EM204" s="36"/>
      <c r="EN204" s="36"/>
      <c r="EO204" s="36"/>
      <c r="EP204" s="36"/>
      <c r="EQ204" s="36"/>
      <c r="ER204" s="36"/>
      <c r="ES204" s="36"/>
      <c r="ET204" s="36"/>
      <c r="EU204" s="36"/>
      <c r="EV204" s="36"/>
      <c r="EW204" s="37"/>
      <c r="EX204" s="44"/>
      <c r="EY204" s="36"/>
      <c r="EZ204" s="36"/>
      <c r="FA204" s="36"/>
      <c r="FB204" s="36"/>
      <c r="FC204" s="36"/>
      <c r="FD204" s="36"/>
      <c r="FE204" s="36"/>
      <c r="FF204" s="36"/>
      <c r="FG204" s="36"/>
      <c r="FH204" s="36"/>
      <c r="FI204" s="36"/>
      <c r="FJ204" s="36"/>
      <c r="FK204" s="36"/>
      <c r="FL204" s="36"/>
      <c r="FM204" s="36"/>
      <c r="FN204" s="37"/>
      <c r="FO204" s="44"/>
      <c r="FP204" s="36"/>
      <c r="FQ204" s="36"/>
      <c r="FR204" s="36"/>
      <c r="FS204" s="36"/>
      <c r="FT204" s="36"/>
      <c r="FU204" s="36"/>
      <c r="FV204" s="36"/>
      <c r="FW204" s="36"/>
      <c r="FX204" s="36"/>
      <c r="FY204" s="36"/>
      <c r="FZ204" s="36"/>
      <c r="GA204" s="36"/>
      <c r="GB204" s="36"/>
      <c r="GC204" s="36"/>
      <c r="GD204" s="36"/>
      <c r="GE204" s="37"/>
      <c r="GF204" s="44"/>
      <c r="GG204" s="36"/>
      <c r="GH204" s="36"/>
      <c r="GI204" s="36"/>
      <c r="GJ204" s="36"/>
      <c r="GK204" s="36"/>
      <c r="GL204" s="36"/>
      <c r="GM204" s="36"/>
      <c r="GN204" s="36"/>
      <c r="GO204" s="36"/>
      <c r="GP204" s="36"/>
      <c r="GQ204" s="36"/>
      <c r="GR204" s="36"/>
      <c r="GS204" s="36"/>
      <c r="GT204" s="36"/>
      <c r="GU204" s="36"/>
      <c r="GV204" s="37"/>
      <c r="GW204" s="44"/>
      <c r="GX204" s="36"/>
      <c r="GY204" s="36"/>
      <c r="GZ204" s="36"/>
      <c r="HA204" s="36"/>
      <c r="HB204" s="36"/>
      <c r="HC204" s="36"/>
      <c r="HD204" s="36"/>
      <c r="HE204" s="36"/>
      <c r="HF204" s="36"/>
      <c r="HG204" s="36"/>
      <c r="HH204" s="36"/>
      <c r="HI204" s="36"/>
      <c r="HJ204" s="36"/>
      <c r="HK204" s="36"/>
      <c r="HL204" s="36"/>
      <c r="HM204" s="37"/>
      <c r="HN204" s="44"/>
      <c r="HO204" s="36"/>
      <c r="HP204" s="36"/>
      <c r="HQ204" s="36"/>
      <c r="HR204" s="36"/>
      <c r="HS204" s="36"/>
      <c r="HT204" s="36"/>
      <c r="HU204" s="36"/>
      <c r="HV204" s="36"/>
      <c r="HW204" s="36"/>
      <c r="HX204" s="36"/>
      <c r="HY204" s="36"/>
      <c r="HZ204" s="36"/>
      <c r="IA204" s="36"/>
      <c r="IB204" s="36"/>
      <c r="IC204" s="36"/>
      <c r="ID204" s="37"/>
      <c r="IE204" s="44"/>
      <c r="IF204" s="36"/>
      <c r="IG204" s="36"/>
      <c r="IH204" s="36"/>
      <c r="II204" s="36"/>
      <c r="IJ204" s="36"/>
      <c r="IK204" s="36"/>
      <c r="IL204" s="36"/>
      <c r="IM204" s="36"/>
      <c r="IN204" s="36"/>
      <c r="IO204" s="36"/>
      <c r="IP204" s="36"/>
      <c r="IQ204" s="36"/>
      <c r="IR204" s="36"/>
      <c r="IS204" s="36"/>
      <c r="IT204" s="36"/>
      <c r="IU204" s="37"/>
      <c r="IV204" s="44"/>
      <c r="IW204" s="36"/>
      <c r="IX204" s="36"/>
      <c r="IY204" s="36"/>
      <c r="IZ204" s="36"/>
      <c r="JA204" s="36"/>
      <c r="JB204" s="36"/>
      <c r="JC204" s="36"/>
      <c r="JD204" s="36"/>
      <c r="JE204" s="36"/>
      <c r="JF204" s="36"/>
      <c r="JG204" s="36"/>
      <c r="JH204" s="36"/>
      <c r="JI204" s="36"/>
      <c r="JJ204" s="36"/>
      <c r="JK204" s="36"/>
      <c r="JL204" s="37"/>
      <c r="JM204" s="44"/>
      <c r="JN204" s="36"/>
      <c r="JO204" s="36"/>
      <c r="JP204" s="36"/>
      <c r="JQ204" s="36"/>
      <c r="JR204" s="36"/>
      <c r="JS204" s="36"/>
      <c r="JT204" s="36"/>
      <c r="JU204" s="36"/>
      <c r="JV204" s="36"/>
      <c r="JW204" s="36"/>
      <c r="JX204" s="36"/>
      <c r="JY204" s="36"/>
      <c r="JZ204" s="36"/>
      <c r="KA204" s="36"/>
      <c r="KB204" s="36"/>
      <c r="KC204" s="37"/>
      <c r="KD204" s="44"/>
      <c r="KE204" s="36"/>
      <c r="KF204" s="36"/>
      <c r="KG204" s="36"/>
      <c r="KH204" s="36"/>
      <c r="KI204" s="36"/>
      <c r="KJ204" s="36"/>
      <c r="KK204" s="36"/>
      <c r="KL204" s="36"/>
      <c r="KM204" s="36"/>
      <c r="KN204" s="36"/>
      <c r="KO204" s="36"/>
      <c r="KP204" s="36"/>
      <c r="KQ204" s="36"/>
      <c r="KR204" s="36"/>
      <c r="KS204" s="36"/>
      <c r="KT204" s="37"/>
      <c r="KU204" s="36"/>
    </row>
    <row r="205" ht="15.0" customHeight="1">
      <c r="A205" s="44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7"/>
      <c r="R205" s="44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7"/>
      <c r="AI205" s="44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  <c r="AU205" s="36"/>
      <c r="AV205" s="36"/>
      <c r="AW205" s="36"/>
      <c r="AX205" s="36"/>
      <c r="AY205" s="37"/>
      <c r="AZ205" s="44"/>
      <c r="BA205" s="36"/>
      <c r="BB205" s="36"/>
      <c r="BC205" s="36"/>
      <c r="BD205" s="36"/>
      <c r="BE205" s="36"/>
      <c r="BF205" s="36"/>
      <c r="BG205" s="36"/>
      <c r="BH205" s="36"/>
      <c r="BI205" s="36"/>
      <c r="BJ205" s="36"/>
      <c r="BK205" s="36"/>
      <c r="BL205" s="36"/>
      <c r="BM205" s="36"/>
      <c r="BN205" s="36"/>
      <c r="BO205" s="36"/>
      <c r="BP205" s="37"/>
      <c r="BQ205" s="44"/>
      <c r="BR205" s="36"/>
      <c r="BS205" s="36"/>
      <c r="BT205" s="36"/>
      <c r="BU205" s="36"/>
      <c r="BV205" s="36"/>
      <c r="BW205" s="36"/>
      <c r="BX205" s="36"/>
      <c r="BY205" s="36"/>
      <c r="BZ205" s="36"/>
      <c r="CA205" s="36"/>
      <c r="CB205" s="36"/>
      <c r="CC205" s="36"/>
      <c r="CD205" s="36"/>
      <c r="CE205" s="36"/>
      <c r="CF205" s="36"/>
      <c r="CG205" s="37"/>
      <c r="CH205" s="44"/>
      <c r="CI205" s="36"/>
      <c r="CJ205" s="36"/>
      <c r="CK205" s="36"/>
      <c r="CL205" s="36"/>
      <c r="CM205" s="36"/>
      <c r="CN205" s="36"/>
      <c r="CO205" s="36"/>
      <c r="CP205" s="36"/>
      <c r="CQ205" s="36"/>
      <c r="CR205" s="36"/>
      <c r="CS205" s="36"/>
      <c r="CT205" s="36"/>
      <c r="CU205" s="36"/>
      <c r="CV205" s="36"/>
      <c r="CW205" s="36"/>
      <c r="CX205" s="37"/>
      <c r="CY205" s="44"/>
      <c r="CZ205" s="36"/>
      <c r="DA205" s="36"/>
      <c r="DB205" s="36"/>
      <c r="DC205" s="36"/>
      <c r="DD205" s="36"/>
      <c r="DE205" s="36"/>
      <c r="DF205" s="36"/>
      <c r="DG205" s="36"/>
      <c r="DH205" s="36"/>
      <c r="DI205" s="36"/>
      <c r="DJ205" s="36"/>
      <c r="DK205" s="36"/>
      <c r="DL205" s="36"/>
      <c r="DM205" s="36"/>
      <c r="DN205" s="36"/>
      <c r="DO205" s="37"/>
      <c r="DP205" s="44"/>
      <c r="DQ205" s="36"/>
      <c r="DR205" s="36"/>
      <c r="DS205" s="36"/>
      <c r="DT205" s="36"/>
      <c r="DU205" s="36"/>
      <c r="DV205" s="36"/>
      <c r="DW205" s="36"/>
      <c r="DX205" s="36"/>
      <c r="DY205" s="36"/>
      <c r="DZ205" s="36"/>
      <c r="EA205" s="36"/>
      <c r="EB205" s="36"/>
      <c r="EC205" s="36"/>
      <c r="ED205" s="36"/>
      <c r="EE205" s="36"/>
      <c r="EF205" s="37"/>
      <c r="EG205" s="44"/>
      <c r="EH205" s="36"/>
      <c r="EI205" s="36"/>
      <c r="EJ205" s="36"/>
      <c r="EK205" s="36"/>
      <c r="EL205" s="36"/>
      <c r="EM205" s="36"/>
      <c r="EN205" s="36"/>
      <c r="EO205" s="36"/>
      <c r="EP205" s="36"/>
      <c r="EQ205" s="36"/>
      <c r="ER205" s="36"/>
      <c r="ES205" s="36"/>
      <c r="ET205" s="36"/>
      <c r="EU205" s="36"/>
      <c r="EV205" s="36"/>
      <c r="EW205" s="37"/>
      <c r="EX205" s="44"/>
      <c r="EY205" s="36"/>
      <c r="EZ205" s="36"/>
      <c r="FA205" s="36"/>
      <c r="FB205" s="36"/>
      <c r="FC205" s="36"/>
      <c r="FD205" s="36"/>
      <c r="FE205" s="36"/>
      <c r="FF205" s="36"/>
      <c r="FG205" s="36"/>
      <c r="FH205" s="36"/>
      <c r="FI205" s="36"/>
      <c r="FJ205" s="36"/>
      <c r="FK205" s="36"/>
      <c r="FL205" s="36"/>
      <c r="FM205" s="36"/>
      <c r="FN205" s="37"/>
      <c r="FO205" s="44"/>
      <c r="FP205" s="36"/>
      <c r="FQ205" s="36"/>
      <c r="FR205" s="36"/>
      <c r="FS205" s="36"/>
      <c r="FT205" s="36"/>
      <c r="FU205" s="36"/>
      <c r="FV205" s="36"/>
      <c r="FW205" s="36"/>
      <c r="FX205" s="36"/>
      <c r="FY205" s="36"/>
      <c r="FZ205" s="36"/>
      <c r="GA205" s="36"/>
      <c r="GB205" s="36"/>
      <c r="GC205" s="36"/>
      <c r="GD205" s="36"/>
      <c r="GE205" s="37"/>
      <c r="GF205" s="44"/>
      <c r="GG205" s="36"/>
      <c r="GH205" s="36"/>
      <c r="GI205" s="36"/>
      <c r="GJ205" s="36"/>
      <c r="GK205" s="36"/>
      <c r="GL205" s="36"/>
      <c r="GM205" s="36"/>
      <c r="GN205" s="36"/>
      <c r="GO205" s="36"/>
      <c r="GP205" s="36"/>
      <c r="GQ205" s="36"/>
      <c r="GR205" s="36"/>
      <c r="GS205" s="36"/>
      <c r="GT205" s="36"/>
      <c r="GU205" s="36"/>
      <c r="GV205" s="37"/>
      <c r="GW205" s="44"/>
      <c r="GX205" s="36"/>
      <c r="GY205" s="36"/>
      <c r="GZ205" s="36"/>
      <c r="HA205" s="36"/>
      <c r="HB205" s="36"/>
      <c r="HC205" s="36"/>
      <c r="HD205" s="36"/>
      <c r="HE205" s="36"/>
      <c r="HF205" s="36"/>
      <c r="HG205" s="36"/>
      <c r="HH205" s="36"/>
      <c r="HI205" s="36"/>
      <c r="HJ205" s="36"/>
      <c r="HK205" s="36"/>
      <c r="HL205" s="36"/>
      <c r="HM205" s="37"/>
      <c r="HN205" s="44"/>
      <c r="HO205" s="36"/>
      <c r="HP205" s="36"/>
      <c r="HQ205" s="36"/>
      <c r="HR205" s="36"/>
      <c r="HS205" s="36"/>
      <c r="HT205" s="36"/>
      <c r="HU205" s="36"/>
      <c r="HV205" s="36"/>
      <c r="HW205" s="36"/>
      <c r="HX205" s="36"/>
      <c r="HY205" s="36"/>
      <c r="HZ205" s="36"/>
      <c r="IA205" s="36"/>
      <c r="IB205" s="36"/>
      <c r="IC205" s="36"/>
      <c r="ID205" s="37"/>
      <c r="IE205" s="44"/>
      <c r="IF205" s="36"/>
      <c r="IG205" s="36"/>
      <c r="IH205" s="36"/>
      <c r="II205" s="36"/>
      <c r="IJ205" s="36"/>
      <c r="IK205" s="36"/>
      <c r="IL205" s="36"/>
      <c r="IM205" s="36"/>
      <c r="IN205" s="36"/>
      <c r="IO205" s="36"/>
      <c r="IP205" s="36"/>
      <c r="IQ205" s="36"/>
      <c r="IR205" s="36"/>
      <c r="IS205" s="36"/>
      <c r="IT205" s="36"/>
      <c r="IU205" s="37"/>
      <c r="IV205" s="44"/>
      <c r="IW205" s="36"/>
      <c r="IX205" s="36"/>
      <c r="IY205" s="36"/>
      <c r="IZ205" s="36"/>
      <c r="JA205" s="36"/>
      <c r="JB205" s="36"/>
      <c r="JC205" s="36"/>
      <c r="JD205" s="36"/>
      <c r="JE205" s="36"/>
      <c r="JF205" s="36"/>
      <c r="JG205" s="36"/>
      <c r="JH205" s="36"/>
      <c r="JI205" s="36"/>
      <c r="JJ205" s="36"/>
      <c r="JK205" s="36"/>
      <c r="JL205" s="37"/>
      <c r="JM205" s="44"/>
      <c r="JN205" s="36"/>
      <c r="JO205" s="36"/>
      <c r="JP205" s="36"/>
      <c r="JQ205" s="36"/>
      <c r="JR205" s="36"/>
      <c r="JS205" s="36"/>
      <c r="JT205" s="36"/>
      <c r="JU205" s="36"/>
      <c r="JV205" s="36"/>
      <c r="JW205" s="36"/>
      <c r="JX205" s="36"/>
      <c r="JY205" s="36"/>
      <c r="JZ205" s="36"/>
      <c r="KA205" s="36"/>
      <c r="KB205" s="36"/>
      <c r="KC205" s="37"/>
      <c r="KD205" s="44"/>
      <c r="KE205" s="36"/>
      <c r="KF205" s="36"/>
      <c r="KG205" s="36"/>
      <c r="KH205" s="36"/>
      <c r="KI205" s="36"/>
      <c r="KJ205" s="36"/>
      <c r="KK205" s="36"/>
      <c r="KL205" s="36"/>
      <c r="KM205" s="36"/>
      <c r="KN205" s="36"/>
      <c r="KO205" s="36"/>
      <c r="KP205" s="36"/>
      <c r="KQ205" s="36"/>
      <c r="KR205" s="36"/>
      <c r="KS205" s="36"/>
      <c r="KT205" s="37"/>
      <c r="KU205" s="36"/>
    </row>
    <row r="206" ht="15.0" customHeight="1">
      <c r="A206" s="44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7"/>
      <c r="R206" s="44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7"/>
      <c r="AI206" s="44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  <c r="AU206" s="36"/>
      <c r="AV206" s="36"/>
      <c r="AW206" s="36"/>
      <c r="AX206" s="36"/>
      <c r="AY206" s="37"/>
      <c r="AZ206" s="44"/>
      <c r="BA206" s="36"/>
      <c r="BB206" s="36"/>
      <c r="BC206" s="36"/>
      <c r="BD206" s="36"/>
      <c r="BE206" s="36"/>
      <c r="BF206" s="36"/>
      <c r="BG206" s="36"/>
      <c r="BH206" s="36"/>
      <c r="BI206" s="36"/>
      <c r="BJ206" s="36"/>
      <c r="BK206" s="36"/>
      <c r="BL206" s="36"/>
      <c r="BM206" s="36"/>
      <c r="BN206" s="36"/>
      <c r="BO206" s="36"/>
      <c r="BP206" s="37"/>
      <c r="BQ206" s="44"/>
      <c r="BR206" s="36"/>
      <c r="BS206" s="36"/>
      <c r="BT206" s="36"/>
      <c r="BU206" s="36"/>
      <c r="BV206" s="36"/>
      <c r="BW206" s="36"/>
      <c r="BX206" s="36"/>
      <c r="BY206" s="36"/>
      <c r="BZ206" s="36"/>
      <c r="CA206" s="36"/>
      <c r="CB206" s="36"/>
      <c r="CC206" s="36"/>
      <c r="CD206" s="36"/>
      <c r="CE206" s="36"/>
      <c r="CF206" s="36"/>
      <c r="CG206" s="37"/>
      <c r="CH206" s="44"/>
      <c r="CI206" s="36"/>
      <c r="CJ206" s="36"/>
      <c r="CK206" s="36"/>
      <c r="CL206" s="36"/>
      <c r="CM206" s="36"/>
      <c r="CN206" s="36"/>
      <c r="CO206" s="36"/>
      <c r="CP206" s="36"/>
      <c r="CQ206" s="36"/>
      <c r="CR206" s="36"/>
      <c r="CS206" s="36"/>
      <c r="CT206" s="36"/>
      <c r="CU206" s="36"/>
      <c r="CV206" s="36"/>
      <c r="CW206" s="36"/>
      <c r="CX206" s="37"/>
      <c r="CY206" s="44"/>
      <c r="CZ206" s="36"/>
      <c r="DA206" s="36"/>
      <c r="DB206" s="36"/>
      <c r="DC206" s="36"/>
      <c r="DD206" s="36"/>
      <c r="DE206" s="36"/>
      <c r="DF206" s="36"/>
      <c r="DG206" s="36"/>
      <c r="DH206" s="36"/>
      <c r="DI206" s="36"/>
      <c r="DJ206" s="36"/>
      <c r="DK206" s="36"/>
      <c r="DL206" s="36"/>
      <c r="DM206" s="36"/>
      <c r="DN206" s="36"/>
      <c r="DO206" s="37"/>
      <c r="DP206" s="44"/>
      <c r="DQ206" s="36"/>
      <c r="DR206" s="36"/>
      <c r="DS206" s="36"/>
      <c r="DT206" s="36"/>
      <c r="DU206" s="36"/>
      <c r="DV206" s="36"/>
      <c r="DW206" s="36"/>
      <c r="DX206" s="36"/>
      <c r="DY206" s="36"/>
      <c r="DZ206" s="36"/>
      <c r="EA206" s="36"/>
      <c r="EB206" s="36"/>
      <c r="EC206" s="36"/>
      <c r="ED206" s="36"/>
      <c r="EE206" s="36"/>
      <c r="EF206" s="37"/>
      <c r="EG206" s="44"/>
      <c r="EH206" s="36"/>
      <c r="EI206" s="36"/>
      <c r="EJ206" s="36"/>
      <c r="EK206" s="36"/>
      <c r="EL206" s="36"/>
      <c r="EM206" s="36"/>
      <c r="EN206" s="36"/>
      <c r="EO206" s="36"/>
      <c r="EP206" s="36"/>
      <c r="EQ206" s="36"/>
      <c r="ER206" s="36"/>
      <c r="ES206" s="36"/>
      <c r="ET206" s="36"/>
      <c r="EU206" s="36"/>
      <c r="EV206" s="36"/>
      <c r="EW206" s="37"/>
      <c r="EX206" s="44"/>
      <c r="EY206" s="36"/>
      <c r="EZ206" s="36"/>
      <c r="FA206" s="36"/>
      <c r="FB206" s="36"/>
      <c r="FC206" s="36"/>
      <c r="FD206" s="36"/>
      <c r="FE206" s="36"/>
      <c r="FF206" s="36"/>
      <c r="FG206" s="36"/>
      <c r="FH206" s="36"/>
      <c r="FI206" s="36"/>
      <c r="FJ206" s="36"/>
      <c r="FK206" s="36"/>
      <c r="FL206" s="36"/>
      <c r="FM206" s="36"/>
      <c r="FN206" s="37"/>
      <c r="FO206" s="44"/>
      <c r="FP206" s="36"/>
      <c r="FQ206" s="36"/>
      <c r="FR206" s="36"/>
      <c r="FS206" s="36"/>
      <c r="FT206" s="36"/>
      <c r="FU206" s="36"/>
      <c r="FV206" s="36"/>
      <c r="FW206" s="36"/>
      <c r="FX206" s="36"/>
      <c r="FY206" s="36"/>
      <c r="FZ206" s="36"/>
      <c r="GA206" s="36"/>
      <c r="GB206" s="36"/>
      <c r="GC206" s="36"/>
      <c r="GD206" s="36"/>
      <c r="GE206" s="37"/>
      <c r="GF206" s="44"/>
      <c r="GG206" s="36"/>
      <c r="GH206" s="36"/>
      <c r="GI206" s="36"/>
      <c r="GJ206" s="36"/>
      <c r="GK206" s="36"/>
      <c r="GL206" s="36"/>
      <c r="GM206" s="36"/>
      <c r="GN206" s="36"/>
      <c r="GO206" s="36"/>
      <c r="GP206" s="36"/>
      <c r="GQ206" s="36"/>
      <c r="GR206" s="36"/>
      <c r="GS206" s="36"/>
      <c r="GT206" s="36"/>
      <c r="GU206" s="36"/>
      <c r="GV206" s="37"/>
      <c r="GW206" s="44"/>
      <c r="GX206" s="36"/>
      <c r="GY206" s="36"/>
      <c r="GZ206" s="36"/>
      <c r="HA206" s="36"/>
      <c r="HB206" s="36"/>
      <c r="HC206" s="36"/>
      <c r="HD206" s="36"/>
      <c r="HE206" s="36"/>
      <c r="HF206" s="36"/>
      <c r="HG206" s="36"/>
      <c r="HH206" s="36"/>
      <c r="HI206" s="36"/>
      <c r="HJ206" s="36"/>
      <c r="HK206" s="36"/>
      <c r="HL206" s="36"/>
      <c r="HM206" s="37"/>
      <c r="HN206" s="44"/>
      <c r="HO206" s="36"/>
      <c r="HP206" s="36"/>
      <c r="HQ206" s="36"/>
      <c r="HR206" s="36"/>
      <c r="HS206" s="36"/>
      <c r="HT206" s="36"/>
      <c r="HU206" s="36"/>
      <c r="HV206" s="36"/>
      <c r="HW206" s="36"/>
      <c r="HX206" s="36"/>
      <c r="HY206" s="36"/>
      <c r="HZ206" s="36"/>
      <c r="IA206" s="36"/>
      <c r="IB206" s="36"/>
      <c r="IC206" s="36"/>
      <c r="ID206" s="37"/>
      <c r="IE206" s="44"/>
      <c r="IF206" s="36"/>
      <c r="IG206" s="36"/>
      <c r="IH206" s="36"/>
      <c r="II206" s="36"/>
      <c r="IJ206" s="36"/>
      <c r="IK206" s="36"/>
      <c r="IL206" s="36"/>
      <c r="IM206" s="36"/>
      <c r="IN206" s="36"/>
      <c r="IO206" s="36"/>
      <c r="IP206" s="36"/>
      <c r="IQ206" s="36"/>
      <c r="IR206" s="36"/>
      <c r="IS206" s="36"/>
      <c r="IT206" s="36"/>
      <c r="IU206" s="37"/>
      <c r="IV206" s="44"/>
      <c r="IW206" s="36"/>
      <c r="IX206" s="36"/>
      <c r="IY206" s="36"/>
      <c r="IZ206" s="36"/>
      <c r="JA206" s="36"/>
      <c r="JB206" s="36"/>
      <c r="JC206" s="36"/>
      <c r="JD206" s="36"/>
      <c r="JE206" s="36"/>
      <c r="JF206" s="36"/>
      <c r="JG206" s="36"/>
      <c r="JH206" s="36"/>
      <c r="JI206" s="36"/>
      <c r="JJ206" s="36"/>
      <c r="JK206" s="36"/>
      <c r="JL206" s="37"/>
      <c r="JM206" s="44"/>
      <c r="JN206" s="36"/>
      <c r="JO206" s="36"/>
      <c r="JP206" s="36"/>
      <c r="JQ206" s="36"/>
      <c r="JR206" s="36"/>
      <c r="JS206" s="36"/>
      <c r="JT206" s="36"/>
      <c r="JU206" s="36"/>
      <c r="JV206" s="36"/>
      <c r="JW206" s="36"/>
      <c r="JX206" s="36"/>
      <c r="JY206" s="36"/>
      <c r="JZ206" s="36"/>
      <c r="KA206" s="36"/>
      <c r="KB206" s="36"/>
      <c r="KC206" s="37"/>
      <c r="KD206" s="44"/>
      <c r="KE206" s="36"/>
      <c r="KF206" s="36"/>
      <c r="KG206" s="36"/>
      <c r="KH206" s="36"/>
      <c r="KI206" s="36"/>
      <c r="KJ206" s="36"/>
      <c r="KK206" s="36"/>
      <c r="KL206" s="36"/>
      <c r="KM206" s="36"/>
      <c r="KN206" s="36"/>
      <c r="KO206" s="36"/>
      <c r="KP206" s="36"/>
      <c r="KQ206" s="36"/>
      <c r="KR206" s="36"/>
      <c r="KS206" s="36"/>
      <c r="KT206" s="37"/>
      <c r="KU206" s="36"/>
    </row>
    <row r="207" ht="15.0" customHeight="1">
      <c r="A207" s="44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7"/>
      <c r="R207" s="44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7"/>
      <c r="AI207" s="44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  <c r="AU207" s="36"/>
      <c r="AV207" s="36"/>
      <c r="AW207" s="36"/>
      <c r="AX207" s="36"/>
      <c r="AY207" s="37"/>
      <c r="AZ207" s="44"/>
      <c r="BA207" s="36"/>
      <c r="BB207" s="36"/>
      <c r="BC207" s="36"/>
      <c r="BD207" s="36"/>
      <c r="BE207" s="36"/>
      <c r="BF207" s="36"/>
      <c r="BG207" s="36"/>
      <c r="BH207" s="36"/>
      <c r="BI207" s="36"/>
      <c r="BJ207" s="36"/>
      <c r="BK207" s="36"/>
      <c r="BL207" s="36"/>
      <c r="BM207" s="36"/>
      <c r="BN207" s="36"/>
      <c r="BO207" s="36"/>
      <c r="BP207" s="37"/>
      <c r="BQ207" s="44"/>
      <c r="BR207" s="36"/>
      <c r="BS207" s="36"/>
      <c r="BT207" s="36"/>
      <c r="BU207" s="36"/>
      <c r="BV207" s="36"/>
      <c r="BW207" s="36"/>
      <c r="BX207" s="36"/>
      <c r="BY207" s="36"/>
      <c r="BZ207" s="36"/>
      <c r="CA207" s="36"/>
      <c r="CB207" s="36"/>
      <c r="CC207" s="36"/>
      <c r="CD207" s="36"/>
      <c r="CE207" s="36"/>
      <c r="CF207" s="36"/>
      <c r="CG207" s="37"/>
      <c r="CH207" s="44"/>
      <c r="CI207" s="36"/>
      <c r="CJ207" s="36"/>
      <c r="CK207" s="36"/>
      <c r="CL207" s="36"/>
      <c r="CM207" s="36"/>
      <c r="CN207" s="36"/>
      <c r="CO207" s="36"/>
      <c r="CP207" s="36"/>
      <c r="CQ207" s="36"/>
      <c r="CR207" s="36"/>
      <c r="CS207" s="36"/>
      <c r="CT207" s="36"/>
      <c r="CU207" s="36"/>
      <c r="CV207" s="36"/>
      <c r="CW207" s="36"/>
      <c r="CX207" s="37"/>
      <c r="CY207" s="44"/>
      <c r="CZ207" s="36"/>
      <c r="DA207" s="36"/>
      <c r="DB207" s="36"/>
      <c r="DC207" s="36"/>
      <c r="DD207" s="36"/>
      <c r="DE207" s="36"/>
      <c r="DF207" s="36"/>
      <c r="DG207" s="36"/>
      <c r="DH207" s="36"/>
      <c r="DI207" s="36"/>
      <c r="DJ207" s="36"/>
      <c r="DK207" s="36"/>
      <c r="DL207" s="36"/>
      <c r="DM207" s="36"/>
      <c r="DN207" s="36"/>
      <c r="DO207" s="37"/>
      <c r="DP207" s="44"/>
      <c r="DQ207" s="36"/>
      <c r="DR207" s="36"/>
      <c r="DS207" s="36"/>
      <c r="DT207" s="36"/>
      <c r="DU207" s="36"/>
      <c r="DV207" s="36"/>
      <c r="DW207" s="36"/>
      <c r="DX207" s="36"/>
      <c r="DY207" s="36"/>
      <c r="DZ207" s="36"/>
      <c r="EA207" s="36"/>
      <c r="EB207" s="36"/>
      <c r="EC207" s="36"/>
      <c r="ED207" s="36"/>
      <c r="EE207" s="36"/>
      <c r="EF207" s="37"/>
      <c r="EG207" s="44"/>
      <c r="EH207" s="36"/>
      <c r="EI207" s="36"/>
      <c r="EJ207" s="36"/>
      <c r="EK207" s="36"/>
      <c r="EL207" s="36"/>
      <c r="EM207" s="36"/>
      <c r="EN207" s="36"/>
      <c r="EO207" s="36"/>
      <c r="EP207" s="36"/>
      <c r="EQ207" s="36"/>
      <c r="ER207" s="36"/>
      <c r="ES207" s="36"/>
      <c r="ET207" s="36"/>
      <c r="EU207" s="36"/>
      <c r="EV207" s="36"/>
      <c r="EW207" s="37"/>
      <c r="EX207" s="44"/>
      <c r="EY207" s="36"/>
      <c r="EZ207" s="36"/>
      <c r="FA207" s="36"/>
      <c r="FB207" s="36"/>
      <c r="FC207" s="36"/>
      <c r="FD207" s="36"/>
      <c r="FE207" s="36"/>
      <c r="FF207" s="36"/>
      <c r="FG207" s="36"/>
      <c r="FH207" s="36"/>
      <c r="FI207" s="36"/>
      <c r="FJ207" s="36"/>
      <c r="FK207" s="36"/>
      <c r="FL207" s="36"/>
      <c r="FM207" s="36"/>
      <c r="FN207" s="37"/>
      <c r="FO207" s="44"/>
      <c r="FP207" s="36"/>
      <c r="FQ207" s="36"/>
      <c r="FR207" s="36"/>
      <c r="FS207" s="36"/>
      <c r="FT207" s="36"/>
      <c r="FU207" s="36"/>
      <c r="FV207" s="36"/>
      <c r="FW207" s="36"/>
      <c r="FX207" s="36"/>
      <c r="FY207" s="36"/>
      <c r="FZ207" s="36"/>
      <c r="GA207" s="36"/>
      <c r="GB207" s="36"/>
      <c r="GC207" s="36"/>
      <c r="GD207" s="36"/>
      <c r="GE207" s="37"/>
      <c r="GF207" s="44"/>
      <c r="GG207" s="36"/>
      <c r="GH207" s="36"/>
      <c r="GI207" s="36"/>
      <c r="GJ207" s="36"/>
      <c r="GK207" s="36"/>
      <c r="GL207" s="36"/>
      <c r="GM207" s="36"/>
      <c r="GN207" s="36"/>
      <c r="GO207" s="36"/>
      <c r="GP207" s="36"/>
      <c r="GQ207" s="36"/>
      <c r="GR207" s="36"/>
      <c r="GS207" s="36"/>
      <c r="GT207" s="36"/>
      <c r="GU207" s="36"/>
      <c r="GV207" s="37"/>
      <c r="GW207" s="44"/>
      <c r="GX207" s="36"/>
      <c r="GY207" s="36"/>
      <c r="GZ207" s="36"/>
      <c r="HA207" s="36"/>
      <c r="HB207" s="36"/>
      <c r="HC207" s="36"/>
      <c r="HD207" s="36"/>
      <c r="HE207" s="36"/>
      <c r="HF207" s="36"/>
      <c r="HG207" s="36"/>
      <c r="HH207" s="36"/>
      <c r="HI207" s="36"/>
      <c r="HJ207" s="36"/>
      <c r="HK207" s="36"/>
      <c r="HL207" s="36"/>
      <c r="HM207" s="37"/>
      <c r="HN207" s="44"/>
      <c r="HO207" s="36"/>
      <c r="HP207" s="36"/>
      <c r="HQ207" s="36"/>
      <c r="HR207" s="36"/>
      <c r="HS207" s="36"/>
      <c r="HT207" s="36"/>
      <c r="HU207" s="36"/>
      <c r="HV207" s="36"/>
      <c r="HW207" s="36"/>
      <c r="HX207" s="36"/>
      <c r="HY207" s="36"/>
      <c r="HZ207" s="36"/>
      <c r="IA207" s="36"/>
      <c r="IB207" s="36"/>
      <c r="IC207" s="36"/>
      <c r="ID207" s="37"/>
      <c r="IE207" s="44"/>
      <c r="IF207" s="36"/>
      <c r="IG207" s="36"/>
      <c r="IH207" s="36"/>
      <c r="II207" s="36"/>
      <c r="IJ207" s="36"/>
      <c r="IK207" s="36"/>
      <c r="IL207" s="36"/>
      <c r="IM207" s="36"/>
      <c r="IN207" s="36"/>
      <c r="IO207" s="36"/>
      <c r="IP207" s="36"/>
      <c r="IQ207" s="36"/>
      <c r="IR207" s="36"/>
      <c r="IS207" s="36"/>
      <c r="IT207" s="36"/>
      <c r="IU207" s="37"/>
      <c r="IV207" s="44"/>
      <c r="IW207" s="36"/>
      <c r="IX207" s="36"/>
      <c r="IY207" s="36"/>
      <c r="IZ207" s="36"/>
      <c r="JA207" s="36"/>
      <c r="JB207" s="36"/>
      <c r="JC207" s="36"/>
      <c r="JD207" s="36"/>
      <c r="JE207" s="36"/>
      <c r="JF207" s="36"/>
      <c r="JG207" s="36"/>
      <c r="JH207" s="36"/>
      <c r="JI207" s="36"/>
      <c r="JJ207" s="36"/>
      <c r="JK207" s="36"/>
      <c r="JL207" s="37"/>
      <c r="JM207" s="44"/>
      <c r="JN207" s="36"/>
      <c r="JO207" s="36"/>
      <c r="JP207" s="36"/>
      <c r="JQ207" s="36"/>
      <c r="JR207" s="36"/>
      <c r="JS207" s="36"/>
      <c r="JT207" s="36"/>
      <c r="JU207" s="36"/>
      <c r="JV207" s="36"/>
      <c r="JW207" s="36"/>
      <c r="JX207" s="36"/>
      <c r="JY207" s="36"/>
      <c r="JZ207" s="36"/>
      <c r="KA207" s="36"/>
      <c r="KB207" s="36"/>
      <c r="KC207" s="37"/>
      <c r="KD207" s="44"/>
      <c r="KE207" s="36"/>
      <c r="KF207" s="36"/>
      <c r="KG207" s="36"/>
      <c r="KH207" s="36"/>
      <c r="KI207" s="36"/>
      <c r="KJ207" s="36"/>
      <c r="KK207" s="36"/>
      <c r="KL207" s="36"/>
      <c r="KM207" s="36"/>
      <c r="KN207" s="36"/>
      <c r="KO207" s="36"/>
      <c r="KP207" s="36"/>
      <c r="KQ207" s="36"/>
      <c r="KR207" s="36"/>
      <c r="KS207" s="36"/>
      <c r="KT207" s="37"/>
      <c r="KU207" s="36"/>
    </row>
    <row r="208" ht="15.0" customHeight="1">
      <c r="A208" s="44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7"/>
      <c r="R208" s="44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7"/>
      <c r="AI208" s="44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  <c r="AU208" s="36"/>
      <c r="AV208" s="36"/>
      <c r="AW208" s="36"/>
      <c r="AX208" s="36"/>
      <c r="AY208" s="37"/>
      <c r="AZ208" s="44"/>
      <c r="BA208" s="36"/>
      <c r="BB208" s="36"/>
      <c r="BC208" s="36"/>
      <c r="BD208" s="36"/>
      <c r="BE208" s="36"/>
      <c r="BF208" s="36"/>
      <c r="BG208" s="36"/>
      <c r="BH208" s="36"/>
      <c r="BI208" s="36"/>
      <c r="BJ208" s="36"/>
      <c r="BK208" s="36"/>
      <c r="BL208" s="36"/>
      <c r="BM208" s="36"/>
      <c r="BN208" s="36"/>
      <c r="BO208" s="36"/>
      <c r="BP208" s="37"/>
      <c r="BQ208" s="44"/>
      <c r="BR208" s="36"/>
      <c r="BS208" s="36"/>
      <c r="BT208" s="36"/>
      <c r="BU208" s="36"/>
      <c r="BV208" s="36"/>
      <c r="BW208" s="36"/>
      <c r="BX208" s="36"/>
      <c r="BY208" s="36"/>
      <c r="BZ208" s="36"/>
      <c r="CA208" s="36"/>
      <c r="CB208" s="36"/>
      <c r="CC208" s="36"/>
      <c r="CD208" s="36"/>
      <c r="CE208" s="36"/>
      <c r="CF208" s="36"/>
      <c r="CG208" s="37"/>
      <c r="CH208" s="44"/>
      <c r="CI208" s="36"/>
      <c r="CJ208" s="36"/>
      <c r="CK208" s="36"/>
      <c r="CL208" s="36"/>
      <c r="CM208" s="36"/>
      <c r="CN208" s="36"/>
      <c r="CO208" s="36"/>
      <c r="CP208" s="36"/>
      <c r="CQ208" s="36"/>
      <c r="CR208" s="36"/>
      <c r="CS208" s="36"/>
      <c r="CT208" s="36"/>
      <c r="CU208" s="36"/>
      <c r="CV208" s="36"/>
      <c r="CW208" s="36"/>
      <c r="CX208" s="37"/>
      <c r="CY208" s="44"/>
      <c r="CZ208" s="36"/>
      <c r="DA208" s="36"/>
      <c r="DB208" s="36"/>
      <c r="DC208" s="36"/>
      <c r="DD208" s="36"/>
      <c r="DE208" s="36"/>
      <c r="DF208" s="36"/>
      <c r="DG208" s="36"/>
      <c r="DH208" s="36"/>
      <c r="DI208" s="36"/>
      <c r="DJ208" s="36"/>
      <c r="DK208" s="36"/>
      <c r="DL208" s="36"/>
      <c r="DM208" s="36"/>
      <c r="DN208" s="36"/>
      <c r="DO208" s="37"/>
      <c r="DP208" s="44"/>
      <c r="DQ208" s="36"/>
      <c r="DR208" s="36"/>
      <c r="DS208" s="36"/>
      <c r="DT208" s="36"/>
      <c r="DU208" s="36"/>
      <c r="DV208" s="36"/>
      <c r="DW208" s="36"/>
      <c r="DX208" s="36"/>
      <c r="DY208" s="36"/>
      <c r="DZ208" s="36"/>
      <c r="EA208" s="36"/>
      <c r="EB208" s="36"/>
      <c r="EC208" s="36"/>
      <c r="ED208" s="36"/>
      <c r="EE208" s="36"/>
      <c r="EF208" s="37"/>
      <c r="EG208" s="44"/>
      <c r="EH208" s="36"/>
      <c r="EI208" s="36"/>
      <c r="EJ208" s="36"/>
      <c r="EK208" s="36"/>
      <c r="EL208" s="36"/>
      <c r="EM208" s="36"/>
      <c r="EN208" s="36"/>
      <c r="EO208" s="36"/>
      <c r="EP208" s="36"/>
      <c r="EQ208" s="36"/>
      <c r="ER208" s="36"/>
      <c r="ES208" s="36"/>
      <c r="ET208" s="36"/>
      <c r="EU208" s="36"/>
      <c r="EV208" s="36"/>
      <c r="EW208" s="37"/>
      <c r="EX208" s="44"/>
      <c r="EY208" s="36"/>
      <c r="EZ208" s="36"/>
      <c r="FA208" s="36"/>
      <c r="FB208" s="36"/>
      <c r="FC208" s="36"/>
      <c r="FD208" s="36"/>
      <c r="FE208" s="36"/>
      <c r="FF208" s="36"/>
      <c r="FG208" s="36"/>
      <c r="FH208" s="36"/>
      <c r="FI208" s="36"/>
      <c r="FJ208" s="36"/>
      <c r="FK208" s="36"/>
      <c r="FL208" s="36"/>
      <c r="FM208" s="36"/>
      <c r="FN208" s="37"/>
      <c r="FO208" s="44"/>
      <c r="FP208" s="36"/>
      <c r="FQ208" s="36"/>
      <c r="FR208" s="36"/>
      <c r="FS208" s="36"/>
      <c r="FT208" s="36"/>
      <c r="FU208" s="36"/>
      <c r="FV208" s="36"/>
      <c r="FW208" s="36"/>
      <c r="FX208" s="36"/>
      <c r="FY208" s="36"/>
      <c r="FZ208" s="36"/>
      <c r="GA208" s="36"/>
      <c r="GB208" s="36"/>
      <c r="GC208" s="36"/>
      <c r="GD208" s="36"/>
      <c r="GE208" s="37"/>
      <c r="GF208" s="44"/>
      <c r="GG208" s="36"/>
      <c r="GH208" s="36"/>
      <c r="GI208" s="36"/>
      <c r="GJ208" s="36"/>
      <c r="GK208" s="36"/>
      <c r="GL208" s="36"/>
      <c r="GM208" s="36"/>
      <c r="GN208" s="36"/>
      <c r="GO208" s="36"/>
      <c r="GP208" s="36"/>
      <c r="GQ208" s="36"/>
      <c r="GR208" s="36"/>
      <c r="GS208" s="36"/>
      <c r="GT208" s="36"/>
      <c r="GU208" s="36"/>
      <c r="GV208" s="37"/>
      <c r="GW208" s="44"/>
      <c r="GX208" s="36"/>
      <c r="GY208" s="36"/>
      <c r="GZ208" s="36"/>
      <c r="HA208" s="36"/>
      <c r="HB208" s="36"/>
      <c r="HC208" s="36"/>
      <c r="HD208" s="36"/>
      <c r="HE208" s="36"/>
      <c r="HF208" s="36"/>
      <c r="HG208" s="36"/>
      <c r="HH208" s="36"/>
      <c r="HI208" s="36"/>
      <c r="HJ208" s="36"/>
      <c r="HK208" s="36"/>
      <c r="HL208" s="36"/>
      <c r="HM208" s="37"/>
      <c r="HN208" s="44"/>
      <c r="HO208" s="36"/>
      <c r="HP208" s="36"/>
      <c r="HQ208" s="36"/>
      <c r="HR208" s="36"/>
      <c r="HS208" s="36"/>
      <c r="HT208" s="36"/>
      <c r="HU208" s="36"/>
      <c r="HV208" s="36"/>
      <c r="HW208" s="36"/>
      <c r="HX208" s="36"/>
      <c r="HY208" s="36"/>
      <c r="HZ208" s="36"/>
      <c r="IA208" s="36"/>
      <c r="IB208" s="36"/>
      <c r="IC208" s="36"/>
      <c r="ID208" s="37"/>
      <c r="IE208" s="44"/>
      <c r="IF208" s="36"/>
      <c r="IG208" s="36"/>
      <c r="IH208" s="36"/>
      <c r="II208" s="36"/>
      <c r="IJ208" s="36"/>
      <c r="IK208" s="36"/>
      <c r="IL208" s="36"/>
      <c r="IM208" s="36"/>
      <c r="IN208" s="36"/>
      <c r="IO208" s="36"/>
      <c r="IP208" s="36"/>
      <c r="IQ208" s="36"/>
      <c r="IR208" s="36"/>
      <c r="IS208" s="36"/>
      <c r="IT208" s="36"/>
      <c r="IU208" s="37"/>
      <c r="IV208" s="44"/>
      <c r="IW208" s="36"/>
      <c r="IX208" s="36"/>
      <c r="IY208" s="36"/>
      <c r="IZ208" s="36"/>
      <c r="JA208" s="36"/>
      <c r="JB208" s="36"/>
      <c r="JC208" s="36"/>
      <c r="JD208" s="36"/>
      <c r="JE208" s="36"/>
      <c r="JF208" s="36"/>
      <c r="JG208" s="36"/>
      <c r="JH208" s="36"/>
      <c r="JI208" s="36"/>
      <c r="JJ208" s="36"/>
      <c r="JK208" s="36"/>
      <c r="JL208" s="37"/>
      <c r="JM208" s="44"/>
      <c r="JN208" s="36"/>
      <c r="JO208" s="36"/>
      <c r="JP208" s="36"/>
      <c r="JQ208" s="36"/>
      <c r="JR208" s="36"/>
      <c r="JS208" s="36"/>
      <c r="JT208" s="36"/>
      <c r="JU208" s="36"/>
      <c r="JV208" s="36"/>
      <c r="JW208" s="36"/>
      <c r="JX208" s="36"/>
      <c r="JY208" s="36"/>
      <c r="JZ208" s="36"/>
      <c r="KA208" s="36"/>
      <c r="KB208" s="36"/>
      <c r="KC208" s="37"/>
      <c r="KD208" s="44"/>
      <c r="KE208" s="36"/>
      <c r="KF208" s="36"/>
      <c r="KG208" s="36"/>
      <c r="KH208" s="36"/>
      <c r="KI208" s="36"/>
      <c r="KJ208" s="36"/>
      <c r="KK208" s="36"/>
      <c r="KL208" s="36"/>
      <c r="KM208" s="36"/>
      <c r="KN208" s="36"/>
      <c r="KO208" s="36"/>
      <c r="KP208" s="36"/>
      <c r="KQ208" s="36"/>
      <c r="KR208" s="36"/>
      <c r="KS208" s="36"/>
      <c r="KT208" s="37"/>
      <c r="KU208" s="36"/>
    </row>
    <row r="209" ht="15.0" customHeight="1">
      <c r="A209" s="44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7"/>
      <c r="R209" s="44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7"/>
      <c r="AI209" s="44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  <c r="AU209" s="36"/>
      <c r="AV209" s="36"/>
      <c r="AW209" s="36"/>
      <c r="AX209" s="36"/>
      <c r="AY209" s="37"/>
      <c r="AZ209" s="44"/>
      <c r="BA209" s="36"/>
      <c r="BB209" s="36"/>
      <c r="BC209" s="36"/>
      <c r="BD209" s="36"/>
      <c r="BE209" s="36"/>
      <c r="BF209" s="36"/>
      <c r="BG209" s="36"/>
      <c r="BH209" s="36"/>
      <c r="BI209" s="36"/>
      <c r="BJ209" s="36"/>
      <c r="BK209" s="36"/>
      <c r="BL209" s="36"/>
      <c r="BM209" s="36"/>
      <c r="BN209" s="36"/>
      <c r="BO209" s="36"/>
      <c r="BP209" s="37"/>
      <c r="BQ209" s="44"/>
      <c r="BR209" s="36"/>
      <c r="BS209" s="36"/>
      <c r="BT209" s="36"/>
      <c r="BU209" s="36"/>
      <c r="BV209" s="36"/>
      <c r="BW209" s="36"/>
      <c r="BX209" s="36"/>
      <c r="BY209" s="36"/>
      <c r="BZ209" s="36"/>
      <c r="CA209" s="36"/>
      <c r="CB209" s="36"/>
      <c r="CC209" s="36"/>
      <c r="CD209" s="36"/>
      <c r="CE209" s="36"/>
      <c r="CF209" s="36"/>
      <c r="CG209" s="37"/>
      <c r="CH209" s="44"/>
      <c r="CI209" s="36"/>
      <c r="CJ209" s="36"/>
      <c r="CK209" s="36"/>
      <c r="CL209" s="36"/>
      <c r="CM209" s="36"/>
      <c r="CN209" s="36"/>
      <c r="CO209" s="36"/>
      <c r="CP209" s="36"/>
      <c r="CQ209" s="36"/>
      <c r="CR209" s="36"/>
      <c r="CS209" s="36"/>
      <c r="CT209" s="36"/>
      <c r="CU209" s="36"/>
      <c r="CV209" s="36"/>
      <c r="CW209" s="36"/>
      <c r="CX209" s="37"/>
      <c r="CY209" s="44"/>
      <c r="CZ209" s="36"/>
      <c r="DA209" s="36"/>
      <c r="DB209" s="36"/>
      <c r="DC209" s="36"/>
      <c r="DD209" s="36"/>
      <c r="DE209" s="36"/>
      <c r="DF209" s="36"/>
      <c r="DG209" s="36"/>
      <c r="DH209" s="36"/>
      <c r="DI209" s="36"/>
      <c r="DJ209" s="36"/>
      <c r="DK209" s="36"/>
      <c r="DL209" s="36"/>
      <c r="DM209" s="36"/>
      <c r="DN209" s="36"/>
      <c r="DO209" s="37"/>
      <c r="DP209" s="44"/>
      <c r="DQ209" s="36"/>
      <c r="DR209" s="36"/>
      <c r="DS209" s="36"/>
      <c r="DT209" s="36"/>
      <c r="DU209" s="36"/>
      <c r="DV209" s="36"/>
      <c r="DW209" s="36"/>
      <c r="DX209" s="36"/>
      <c r="DY209" s="36"/>
      <c r="DZ209" s="36"/>
      <c r="EA209" s="36"/>
      <c r="EB209" s="36"/>
      <c r="EC209" s="36"/>
      <c r="ED209" s="36"/>
      <c r="EE209" s="36"/>
      <c r="EF209" s="37"/>
      <c r="EG209" s="44"/>
      <c r="EH209" s="36"/>
      <c r="EI209" s="36"/>
      <c r="EJ209" s="36"/>
      <c r="EK209" s="36"/>
      <c r="EL209" s="36"/>
      <c r="EM209" s="36"/>
      <c r="EN209" s="36"/>
      <c r="EO209" s="36"/>
      <c r="EP209" s="36"/>
      <c r="EQ209" s="36"/>
      <c r="ER209" s="36"/>
      <c r="ES209" s="36"/>
      <c r="ET209" s="36"/>
      <c r="EU209" s="36"/>
      <c r="EV209" s="36"/>
      <c r="EW209" s="37"/>
      <c r="EX209" s="44"/>
      <c r="EY209" s="36"/>
      <c r="EZ209" s="36"/>
      <c r="FA209" s="36"/>
      <c r="FB209" s="36"/>
      <c r="FC209" s="36"/>
      <c r="FD209" s="36"/>
      <c r="FE209" s="36"/>
      <c r="FF209" s="36"/>
      <c r="FG209" s="36"/>
      <c r="FH209" s="36"/>
      <c r="FI209" s="36"/>
      <c r="FJ209" s="36"/>
      <c r="FK209" s="36"/>
      <c r="FL209" s="36"/>
      <c r="FM209" s="36"/>
      <c r="FN209" s="37"/>
      <c r="FO209" s="44"/>
      <c r="FP209" s="36"/>
      <c r="FQ209" s="36"/>
      <c r="FR209" s="36"/>
      <c r="FS209" s="36"/>
      <c r="FT209" s="36"/>
      <c r="FU209" s="36"/>
      <c r="FV209" s="36"/>
      <c r="FW209" s="36"/>
      <c r="FX209" s="36"/>
      <c r="FY209" s="36"/>
      <c r="FZ209" s="36"/>
      <c r="GA209" s="36"/>
      <c r="GB209" s="36"/>
      <c r="GC209" s="36"/>
      <c r="GD209" s="36"/>
      <c r="GE209" s="37"/>
      <c r="GF209" s="44"/>
      <c r="GG209" s="36"/>
      <c r="GH209" s="36"/>
      <c r="GI209" s="36"/>
      <c r="GJ209" s="36"/>
      <c r="GK209" s="36"/>
      <c r="GL209" s="36"/>
      <c r="GM209" s="36"/>
      <c r="GN209" s="36"/>
      <c r="GO209" s="36"/>
      <c r="GP209" s="36"/>
      <c r="GQ209" s="36"/>
      <c r="GR209" s="36"/>
      <c r="GS209" s="36"/>
      <c r="GT209" s="36"/>
      <c r="GU209" s="36"/>
      <c r="GV209" s="37"/>
      <c r="GW209" s="44"/>
      <c r="GX209" s="36"/>
      <c r="GY209" s="36"/>
      <c r="GZ209" s="36"/>
      <c r="HA209" s="36"/>
      <c r="HB209" s="36"/>
      <c r="HC209" s="36"/>
      <c r="HD209" s="36"/>
      <c r="HE209" s="36"/>
      <c r="HF209" s="36"/>
      <c r="HG209" s="36"/>
      <c r="HH209" s="36"/>
      <c r="HI209" s="36"/>
      <c r="HJ209" s="36"/>
      <c r="HK209" s="36"/>
      <c r="HL209" s="36"/>
      <c r="HM209" s="37"/>
      <c r="HN209" s="44"/>
      <c r="HO209" s="36"/>
      <c r="HP209" s="36"/>
      <c r="HQ209" s="36"/>
      <c r="HR209" s="36"/>
      <c r="HS209" s="36"/>
      <c r="HT209" s="36"/>
      <c r="HU209" s="36"/>
      <c r="HV209" s="36"/>
      <c r="HW209" s="36"/>
      <c r="HX209" s="36"/>
      <c r="HY209" s="36"/>
      <c r="HZ209" s="36"/>
      <c r="IA209" s="36"/>
      <c r="IB209" s="36"/>
      <c r="IC209" s="36"/>
      <c r="ID209" s="37"/>
      <c r="IE209" s="44"/>
      <c r="IF209" s="36"/>
      <c r="IG209" s="36"/>
      <c r="IH209" s="36"/>
      <c r="II209" s="36"/>
      <c r="IJ209" s="36"/>
      <c r="IK209" s="36"/>
      <c r="IL209" s="36"/>
      <c r="IM209" s="36"/>
      <c r="IN209" s="36"/>
      <c r="IO209" s="36"/>
      <c r="IP209" s="36"/>
      <c r="IQ209" s="36"/>
      <c r="IR209" s="36"/>
      <c r="IS209" s="36"/>
      <c r="IT209" s="36"/>
      <c r="IU209" s="37"/>
      <c r="IV209" s="44"/>
      <c r="IW209" s="36"/>
      <c r="IX209" s="36"/>
      <c r="IY209" s="36"/>
      <c r="IZ209" s="36"/>
      <c r="JA209" s="36"/>
      <c r="JB209" s="36"/>
      <c r="JC209" s="36"/>
      <c r="JD209" s="36"/>
      <c r="JE209" s="36"/>
      <c r="JF209" s="36"/>
      <c r="JG209" s="36"/>
      <c r="JH209" s="36"/>
      <c r="JI209" s="36"/>
      <c r="JJ209" s="36"/>
      <c r="JK209" s="36"/>
      <c r="JL209" s="37"/>
      <c r="JM209" s="44"/>
      <c r="JN209" s="36"/>
      <c r="JO209" s="36"/>
      <c r="JP209" s="36"/>
      <c r="JQ209" s="36"/>
      <c r="JR209" s="36"/>
      <c r="JS209" s="36"/>
      <c r="JT209" s="36"/>
      <c r="JU209" s="36"/>
      <c r="JV209" s="36"/>
      <c r="JW209" s="36"/>
      <c r="JX209" s="36"/>
      <c r="JY209" s="36"/>
      <c r="JZ209" s="36"/>
      <c r="KA209" s="36"/>
      <c r="KB209" s="36"/>
      <c r="KC209" s="37"/>
      <c r="KD209" s="44"/>
      <c r="KE209" s="36"/>
      <c r="KF209" s="36"/>
      <c r="KG209" s="36"/>
      <c r="KH209" s="36"/>
      <c r="KI209" s="36"/>
      <c r="KJ209" s="36"/>
      <c r="KK209" s="36"/>
      <c r="KL209" s="36"/>
      <c r="KM209" s="36"/>
      <c r="KN209" s="36"/>
      <c r="KO209" s="36"/>
      <c r="KP209" s="36"/>
      <c r="KQ209" s="36"/>
      <c r="KR209" s="36"/>
      <c r="KS209" s="36"/>
      <c r="KT209" s="37"/>
      <c r="KU209" s="36"/>
    </row>
    <row r="210" ht="15.0" customHeight="1">
      <c r="A210" s="44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7"/>
      <c r="R210" s="44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7"/>
      <c r="AI210" s="44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  <c r="AU210" s="36"/>
      <c r="AV210" s="36"/>
      <c r="AW210" s="36"/>
      <c r="AX210" s="36"/>
      <c r="AY210" s="37"/>
      <c r="AZ210" s="44"/>
      <c r="BA210" s="36"/>
      <c r="BB210" s="36"/>
      <c r="BC210" s="36"/>
      <c r="BD210" s="36"/>
      <c r="BE210" s="36"/>
      <c r="BF210" s="36"/>
      <c r="BG210" s="36"/>
      <c r="BH210" s="36"/>
      <c r="BI210" s="36"/>
      <c r="BJ210" s="36"/>
      <c r="BK210" s="36"/>
      <c r="BL210" s="36"/>
      <c r="BM210" s="36"/>
      <c r="BN210" s="36"/>
      <c r="BO210" s="36"/>
      <c r="BP210" s="37"/>
      <c r="BQ210" s="44"/>
      <c r="BR210" s="36"/>
      <c r="BS210" s="36"/>
      <c r="BT210" s="36"/>
      <c r="BU210" s="36"/>
      <c r="BV210" s="36"/>
      <c r="BW210" s="36"/>
      <c r="BX210" s="36"/>
      <c r="BY210" s="36"/>
      <c r="BZ210" s="36"/>
      <c r="CA210" s="36"/>
      <c r="CB210" s="36"/>
      <c r="CC210" s="36"/>
      <c r="CD210" s="36"/>
      <c r="CE210" s="36"/>
      <c r="CF210" s="36"/>
      <c r="CG210" s="37"/>
      <c r="CH210" s="44"/>
      <c r="CI210" s="36"/>
      <c r="CJ210" s="36"/>
      <c r="CK210" s="36"/>
      <c r="CL210" s="36"/>
      <c r="CM210" s="36"/>
      <c r="CN210" s="36"/>
      <c r="CO210" s="36"/>
      <c r="CP210" s="36"/>
      <c r="CQ210" s="36"/>
      <c r="CR210" s="36"/>
      <c r="CS210" s="36"/>
      <c r="CT210" s="36"/>
      <c r="CU210" s="36"/>
      <c r="CV210" s="36"/>
      <c r="CW210" s="36"/>
      <c r="CX210" s="37"/>
      <c r="CY210" s="44"/>
      <c r="CZ210" s="36"/>
      <c r="DA210" s="36"/>
      <c r="DB210" s="36"/>
      <c r="DC210" s="36"/>
      <c r="DD210" s="36"/>
      <c r="DE210" s="36"/>
      <c r="DF210" s="36"/>
      <c r="DG210" s="36"/>
      <c r="DH210" s="36"/>
      <c r="DI210" s="36"/>
      <c r="DJ210" s="36"/>
      <c r="DK210" s="36"/>
      <c r="DL210" s="36"/>
      <c r="DM210" s="36"/>
      <c r="DN210" s="36"/>
      <c r="DO210" s="37"/>
      <c r="DP210" s="44"/>
      <c r="DQ210" s="36"/>
      <c r="DR210" s="36"/>
      <c r="DS210" s="36"/>
      <c r="DT210" s="36"/>
      <c r="DU210" s="36"/>
      <c r="DV210" s="36"/>
      <c r="DW210" s="36"/>
      <c r="DX210" s="36"/>
      <c r="DY210" s="36"/>
      <c r="DZ210" s="36"/>
      <c r="EA210" s="36"/>
      <c r="EB210" s="36"/>
      <c r="EC210" s="36"/>
      <c r="ED210" s="36"/>
      <c r="EE210" s="36"/>
      <c r="EF210" s="37"/>
      <c r="EG210" s="44"/>
      <c r="EH210" s="36"/>
      <c r="EI210" s="36"/>
      <c r="EJ210" s="36"/>
      <c r="EK210" s="36"/>
      <c r="EL210" s="36"/>
      <c r="EM210" s="36"/>
      <c r="EN210" s="36"/>
      <c r="EO210" s="36"/>
      <c r="EP210" s="36"/>
      <c r="EQ210" s="36"/>
      <c r="ER210" s="36"/>
      <c r="ES210" s="36"/>
      <c r="ET210" s="36"/>
      <c r="EU210" s="36"/>
      <c r="EV210" s="36"/>
      <c r="EW210" s="37"/>
      <c r="EX210" s="44"/>
      <c r="EY210" s="36"/>
      <c r="EZ210" s="36"/>
      <c r="FA210" s="36"/>
      <c r="FB210" s="36"/>
      <c r="FC210" s="36"/>
      <c r="FD210" s="36"/>
      <c r="FE210" s="36"/>
      <c r="FF210" s="36"/>
      <c r="FG210" s="36"/>
      <c r="FH210" s="36"/>
      <c r="FI210" s="36"/>
      <c r="FJ210" s="36"/>
      <c r="FK210" s="36"/>
      <c r="FL210" s="36"/>
      <c r="FM210" s="36"/>
      <c r="FN210" s="37"/>
      <c r="FO210" s="44"/>
      <c r="FP210" s="36"/>
      <c r="FQ210" s="36"/>
      <c r="FR210" s="36"/>
      <c r="FS210" s="36"/>
      <c r="FT210" s="36"/>
      <c r="FU210" s="36"/>
      <c r="FV210" s="36"/>
      <c r="FW210" s="36"/>
      <c r="FX210" s="36"/>
      <c r="FY210" s="36"/>
      <c r="FZ210" s="36"/>
      <c r="GA210" s="36"/>
      <c r="GB210" s="36"/>
      <c r="GC210" s="36"/>
      <c r="GD210" s="36"/>
      <c r="GE210" s="37"/>
      <c r="GF210" s="44"/>
      <c r="GG210" s="36"/>
      <c r="GH210" s="36"/>
      <c r="GI210" s="36"/>
      <c r="GJ210" s="36"/>
      <c r="GK210" s="36"/>
      <c r="GL210" s="36"/>
      <c r="GM210" s="36"/>
      <c r="GN210" s="36"/>
      <c r="GO210" s="36"/>
      <c r="GP210" s="36"/>
      <c r="GQ210" s="36"/>
      <c r="GR210" s="36"/>
      <c r="GS210" s="36"/>
      <c r="GT210" s="36"/>
      <c r="GU210" s="36"/>
      <c r="GV210" s="37"/>
      <c r="GW210" s="44"/>
      <c r="GX210" s="36"/>
      <c r="GY210" s="36"/>
      <c r="GZ210" s="36"/>
      <c r="HA210" s="36"/>
      <c r="HB210" s="36"/>
      <c r="HC210" s="36"/>
      <c r="HD210" s="36"/>
      <c r="HE210" s="36"/>
      <c r="HF210" s="36"/>
      <c r="HG210" s="36"/>
      <c r="HH210" s="36"/>
      <c r="HI210" s="36"/>
      <c r="HJ210" s="36"/>
      <c r="HK210" s="36"/>
      <c r="HL210" s="36"/>
      <c r="HM210" s="37"/>
      <c r="HN210" s="44"/>
      <c r="HO210" s="36"/>
      <c r="HP210" s="36"/>
      <c r="HQ210" s="36"/>
      <c r="HR210" s="36"/>
      <c r="HS210" s="36"/>
      <c r="HT210" s="36"/>
      <c r="HU210" s="36"/>
      <c r="HV210" s="36"/>
      <c r="HW210" s="36"/>
      <c r="HX210" s="36"/>
      <c r="HY210" s="36"/>
      <c r="HZ210" s="36"/>
      <c r="IA210" s="36"/>
      <c r="IB210" s="36"/>
      <c r="IC210" s="36"/>
      <c r="ID210" s="37"/>
      <c r="IE210" s="44"/>
      <c r="IF210" s="36"/>
      <c r="IG210" s="36"/>
      <c r="IH210" s="36"/>
      <c r="II210" s="36"/>
      <c r="IJ210" s="36"/>
      <c r="IK210" s="36"/>
      <c r="IL210" s="36"/>
      <c r="IM210" s="36"/>
      <c r="IN210" s="36"/>
      <c r="IO210" s="36"/>
      <c r="IP210" s="36"/>
      <c r="IQ210" s="36"/>
      <c r="IR210" s="36"/>
      <c r="IS210" s="36"/>
      <c r="IT210" s="36"/>
      <c r="IU210" s="37"/>
      <c r="IV210" s="44"/>
      <c r="IW210" s="36"/>
      <c r="IX210" s="36"/>
      <c r="IY210" s="36"/>
      <c r="IZ210" s="36"/>
      <c r="JA210" s="36"/>
      <c r="JB210" s="36"/>
      <c r="JC210" s="36"/>
      <c r="JD210" s="36"/>
      <c r="JE210" s="36"/>
      <c r="JF210" s="36"/>
      <c r="JG210" s="36"/>
      <c r="JH210" s="36"/>
      <c r="JI210" s="36"/>
      <c r="JJ210" s="36"/>
      <c r="JK210" s="36"/>
      <c r="JL210" s="37"/>
      <c r="JM210" s="44"/>
      <c r="JN210" s="36"/>
      <c r="JO210" s="36"/>
      <c r="JP210" s="36"/>
      <c r="JQ210" s="36"/>
      <c r="JR210" s="36"/>
      <c r="JS210" s="36"/>
      <c r="JT210" s="36"/>
      <c r="JU210" s="36"/>
      <c r="JV210" s="36"/>
      <c r="JW210" s="36"/>
      <c r="JX210" s="36"/>
      <c r="JY210" s="36"/>
      <c r="JZ210" s="36"/>
      <c r="KA210" s="36"/>
      <c r="KB210" s="36"/>
      <c r="KC210" s="37"/>
      <c r="KD210" s="44"/>
      <c r="KE210" s="36"/>
      <c r="KF210" s="36"/>
      <c r="KG210" s="36"/>
      <c r="KH210" s="36"/>
      <c r="KI210" s="36"/>
      <c r="KJ210" s="36"/>
      <c r="KK210" s="36"/>
      <c r="KL210" s="36"/>
      <c r="KM210" s="36"/>
      <c r="KN210" s="36"/>
      <c r="KO210" s="36"/>
      <c r="KP210" s="36"/>
      <c r="KQ210" s="36"/>
      <c r="KR210" s="36"/>
      <c r="KS210" s="36"/>
      <c r="KT210" s="37"/>
      <c r="KU210" s="36"/>
    </row>
    <row r="211" ht="15.0" customHeight="1">
      <c r="A211" s="44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7"/>
      <c r="R211" s="44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7"/>
      <c r="AI211" s="44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  <c r="AU211" s="36"/>
      <c r="AV211" s="36"/>
      <c r="AW211" s="36"/>
      <c r="AX211" s="36"/>
      <c r="AY211" s="37"/>
      <c r="AZ211" s="44"/>
      <c r="BA211" s="36"/>
      <c r="BB211" s="36"/>
      <c r="BC211" s="36"/>
      <c r="BD211" s="36"/>
      <c r="BE211" s="36"/>
      <c r="BF211" s="36"/>
      <c r="BG211" s="36"/>
      <c r="BH211" s="36"/>
      <c r="BI211" s="36"/>
      <c r="BJ211" s="36"/>
      <c r="BK211" s="36"/>
      <c r="BL211" s="36"/>
      <c r="BM211" s="36"/>
      <c r="BN211" s="36"/>
      <c r="BO211" s="36"/>
      <c r="BP211" s="37"/>
      <c r="BQ211" s="44"/>
      <c r="BR211" s="36"/>
      <c r="BS211" s="36"/>
      <c r="BT211" s="36"/>
      <c r="BU211" s="36"/>
      <c r="BV211" s="36"/>
      <c r="BW211" s="36"/>
      <c r="BX211" s="36"/>
      <c r="BY211" s="36"/>
      <c r="BZ211" s="36"/>
      <c r="CA211" s="36"/>
      <c r="CB211" s="36"/>
      <c r="CC211" s="36"/>
      <c r="CD211" s="36"/>
      <c r="CE211" s="36"/>
      <c r="CF211" s="36"/>
      <c r="CG211" s="37"/>
      <c r="CH211" s="44"/>
      <c r="CI211" s="36"/>
      <c r="CJ211" s="36"/>
      <c r="CK211" s="36"/>
      <c r="CL211" s="36"/>
      <c r="CM211" s="36"/>
      <c r="CN211" s="36"/>
      <c r="CO211" s="36"/>
      <c r="CP211" s="36"/>
      <c r="CQ211" s="36"/>
      <c r="CR211" s="36"/>
      <c r="CS211" s="36"/>
      <c r="CT211" s="36"/>
      <c r="CU211" s="36"/>
      <c r="CV211" s="36"/>
      <c r="CW211" s="36"/>
      <c r="CX211" s="37"/>
      <c r="CY211" s="44"/>
      <c r="CZ211" s="36"/>
      <c r="DA211" s="36"/>
      <c r="DB211" s="36"/>
      <c r="DC211" s="36"/>
      <c r="DD211" s="36"/>
      <c r="DE211" s="36"/>
      <c r="DF211" s="36"/>
      <c r="DG211" s="36"/>
      <c r="DH211" s="36"/>
      <c r="DI211" s="36"/>
      <c r="DJ211" s="36"/>
      <c r="DK211" s="36"/>
      <c r="DL211" s="36"/>
      <c r="DM211" s="36"/>
      <c r="DN211" s="36"/>
      <c r="DO211" s="37"/>
      <c r="DP211" s="44"/>
      <c r="DQ211" s="36"/>
      <c r="DR211" s="36"/>
      <c r="DS211" s="36"/>
      <c r="DT211" s="36"/>
      <c r="DU211" s="36"/>
      <c r="DV211" s="36"/>
      <c r="DW211" s="36"/>
      <c r="DX211" s="36"/>
      <c r="DY211" s="36"/>
      <c r="DZ211" s="36"/>
      <c r="EA211" s="36"/>
      <c r="EB211" s="36"/>
      <c r="EC211" s="36"/>
      <c r="ED211" s="36"/>
      <c r="EE211" s="36"/>
      <c r="EF211" s="37"/>
      <c r="EG211" s="44"/>
      <c r="EH211" s="36"/>
      <c r="EI211" s="36"/>
      <c r="EJ211" s="36"/>
      <c r="EK211" s="36"/>
      <c r="EL211" s="36"/>
      <c r="EM211" s="36"/>
      <c r="EN211" s="36"/>
      <c r="EO211" s="36"/>
      <c r="EP211" s="36"/>
      <c r="EQ211" s="36"/>
      <c r="ER211" s="36"/>
      <c r="ES211" s="36"/>
      <c r="ET211" s="36"/>
      <c r="EU211" s="36"/>
      <c r="EV211" s="36"/>
      <c r="EW211" s="37"/>
      <c r="EX211" s="44"/>
      <c r="EY211" s="36"/>
      <c r="EZ211" s="36"/>
      <c r="FA211" s="36"/>
      <c r="FB211" s="36"/>
      <c r="FC211" s="36"/>
      <c r="FD211" s="36"/>
      <c r="FE211" s="36"/>
      <c r="FF211" s="36"/>
      <c r="FG211" s="36"/>
      <c r="FH211" s="36"/>
      <c r="FI211" s="36"/>
      <c r="FJ211" s="36"/>
      <c r="FK211" s="36"/>
      <c r="FL211" s="36"/>
      <c r="FM211" s="36"/>
      <c r="FN211" s="37"/>
      <c r="FO211" s="44"/>
      <c r="FP211" s="36"/>
      <c r="FQ211" s="36"/>
      <c r="FR211" s="36"/>
      <c r="FS211" s="36"/>
      <c r="FT211" s="36"/>
      <c r="FU211" s="36"/>
      <c r="FV211" s="36"/>
      <c r="FW211" s="36"/>
      <c r="FX211" s="36"/>
      <c r="FY211" s="36"/>
      <c r="FZ211" s="36"/>
      <c r="GA211" s="36"/>
      <c r="GB211" s="36"/>
      <c r="GC211" s="36"/>
      <c r="GD211" s="36"/>
      <c r="GE211" s="37"/>
      <c r="GF211" s="44"/>
      <c r="GG211" s="36"/>
      <c r="GH211" s="36"/>
      <c r="GI211" s="36"/>
      <c r="GJ211" s="36"/>
      <c r="GK211" s="36"/>
      <c r="GL211" s="36"/>
      <c r="GM211" s="36"/>
      <c r="GN211" s="36"/>
      <c r="GO211" s="36"/>
      <c r="GP211" s="36"/>
      <c r="GQ211" s="36"/>
      <c r="GR211" s="36"/>
      <c r="GS211" s="36"/>
      <c r="GT211" s="36"/>
      <c r="GU211" s="36"/>
      <c r="GV211" s="37"/>
      <c r="GW211" s="44"/>
      <c r="GX211" s="36"/>
      <c r="GY211" s="36"/>
      <c r="GZ211" s="36"/>
      <c r="HA211" s="36"/>
      <c r="HB211" s="36"/>
      <c r="HC211" s="36"/>
      <c r="HD211" s="36"/>
      <c r="HE211" s="36"/>
      <c r="HF211" s="36"/>
      <c r="HG211" s="36"/>
      <c r="HH211" s="36"/>
      <c r="HI211" s="36"/>
      <c r="HJ211" s="36"/>
      <c r="HK211" s="36"/>
      <c r="HL211" s="36"/>
      <c r="HM211" s="37"/>
      <c r="HN211" s="44"/>
      <c r="HO211" s="36"/>
      <c r="HP211" s="36"/>
      <c r="HQ211" s="36"/>
      <c r="HR211" s="36"/>
      <c r="HS211" s="36"/>
      <c r="HT211" s="36"/>
      <c r="HU211" s="36"/>
      <c r="HV211" s="36"/>
      <c r="HW211" s="36"/>
      <c r="HX211" s="36"/>
      <c r="HY211" s="36"/>
      <c r="HZ211" s="36"/>
      <c r="IA211" s="36"/>
      <c r="IB211" s="36"/>
      <c r="IC211" s="36"/>
      <c r="ID211" s="37"/>
      <c r="IE211" s="44"/>
      <c r="IF211" s="36"/>
      <c r="IG211" s="36"/>
      <c r="IH211" s="36"/>
      <c r="II211" s="36"/>
      <c r="IJ211" s="36"/>
      <c r="IK211" s="36"/>
      <c r="IL211" s="36"/>
      <c r="IM211" s="36"/>
      <c r="IN211" s="36"/>
      <c r="IO211" s="36"/>
      <c r="IP211" s="36"/>
      <c r="IQ211" s="36"/>
      <c r="IR211" s="36"/>
      <c r="IS211" s="36"/>
      <c r="IT211" s="36"/>
      <c r="IU211" s="37"/>
      <c r="IV211" s="44"/>
      <c r="IW211" s="36"/>
      <c r="IX211" s="36"/>
      <c r="IY211" s="36"/>
      <c r="IZ211" s="36"/>
      <c r="JA211" s="36"/>
      <c r="JB211" s="36"/>
      <c r="JC211" s="36"/>
      <c r="JD211" s="36"/>
      <c r="JE211" s="36"/>
      <c r="JF211" s="36"/>
      <c r="JG211" s="36"/>
      <c r="JH211" s="36"/>
      <c r="JI211" s="36"/>
      <c r="JJ211" s="36"/>
      <c r="JK211" s="36"/>
      <c r="JL211" s="37"/>
      <c r="JM211" s="44"/>
      <c r="JN211" s="36"/>
      <c r="JO211" s="36"/>
      <c r="JP211" s="36"/>
      <c r="JQ211" s="36"/>
      <c r="JR211" s="36"/>
      <c r="JS211" s="36"/>
      <c r="JT211" s="36"/>
      <c r="JU211" s="36"/>
      <c r="JV211" s="36"/>
      <c r="JW211" s="36"/>
      <c r="JX211" s="36"/>
      <c r="JY211" s="36"/>
      <c r="JZ211" s="36"/>
      <c r="KA211" s="36"/>
      <c r="KB211" s="36"/>
      <c r="KC211" s="37"/>
      <c r="KD211" s="44"/>
      <c r="KE211" s="36"/>
      <c r="KF211" s="36"/>
      <c r="KG211" s="36"/>
      <c r="KH211" s="36"/>
      <c r="KI211" s="36"/>
      <c r="KJ211" s="36"/>
      <c r="KK211" s="36"/>
      <c r="KL211" s="36"/>
      <c r="KM211" s="36"/>
      <c r="KN211" s="36"/>
      <c r="KO211" s="36"/>
      <c r="KP211" s="36"/>
      <c r="KQ211" s="36"/>
      <c r="KR211" s="36"/>
      <c r="KS211" s="36"/>
      <c r="KT211" s="37"/>
      <c r="KU211" s="36"/>
    </row>
    <row r="212" ht="15.0" customHeight="1">
      <c r="A212" s="44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7"/>
      <c r="R212" s="44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7"/>
      <c r="AI212" s="44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  <c r="AU212" s="36"/>
      <c r="AV212" s="36"/>
      <c r="AW212" s="36"/>
      <c r="AX212" s="36"/>
      <c r="AY212" s="37"/>
      <c r="AZ212" s="44"/>
      <c r="BA212" s="36"/>
      <c r="BB212" s="36"/>
      <c r="BC212" s="36"/>
      <c r="BD212" s="36"/>
      <c r="BE212" s="36"/>
      <c r="BF212" s="36"/>
      <c r="BG212" s="36"/>
      <c r="BH212" s="36"/>
      <c r="BI212" s="36"/>
      <c r="BJ212" s="36"/>
      <c r="BK212" s="36"/>
      <c r="BL212" s="36"/>
      <c r="BM212" s="36"/>
      <c r="BN212" s="36"/>
      <c r="BO212" s="36"/>
      <c r="BP212" s="37"/>
      <c r="BQ212" s="44"/>
      <c r="BR212" s="36"/>
      <c r="BS212" s="36"/>
      <c r="BT212" s="36"/>
      <c r="BU212" s="36"/>
      <c r="BV212" s="36"/>
      <c r="BW212" s="36"/>
      <c r="BX212" s="36"/>
      <c r="BY212" s="36"/>
      <c r="BZ212" s="36"/>
      <c r="CA212" s="36"/>
      <c r="CB212" s="36"/>
      <c r="CC212" s="36"/>
      <c r="CD212" s="36"/>
      <c r="CE212" s="36"/>
      <c r="CF212" s="36"/>
      <c r="CG212" s="37"/>
      <c r="CH212" s="44"/>
      <c r="CI212" s="36"/>
      <c r="CJ212" s="36"/>
      <c r="CK212" s="36"/>
      <c r="CL212" s="36"/>
      <c r="CM212" s="36"/>
      <c r="CN212" s="36"/>
      <c r="CO212" s="36"/>
      <c r="CP212" s="36"/>
      <c r="CQ212" s="36"/>
      <c r="CR212" s="36"/>
      <c r="CS212" s="36"/>
      <c r="CT212" s="36"/>
      <c r="CU212" s="36"/>
      <c r="CV212" s="36"/>
      <c r="CW212" s="36"/>
      <c r="CX212" s="37"/>
      <c r="CY212" s="44"/>
      <c r="CZ212" s="36"/>
      <c r="DA212" s="36"/>
      <c r="DB212" s="36"/>
      <c r="DC212" s="36"/>
      <c r="DD212" s="36"/>
      <c r="DE212" s="36"/>
      <c r="DF212" s="36"/>
      <c r="DG212" s="36"/>
      <c r="DH212" s="36"/>
      <c r="DI212" s="36"/>
      <c r="DJ212" s="36"/>
      <c r="DK212" s="36"/>
      <c r="DL212" s="36"/>
      <c r="DM212" s="36"/>
      <c r="DN212" s="36"/>
      <c r="DO212" s="37"/>
      <c r="DP212" s="44"/>
      <c r="DQ212" s="36"/>
      <c r="DR212" s="36"/>
      <c r="DS212" s="36"/>
      <c r="DT212" s="36"/>
      <c r="DU212" s="36"/>
      <c r="DV212" s="36"/>
      <c r="DW212" s="36"/>
      <c r="DX212" s="36"/>
      <c r="DY212" s="36"/>
      <c r="DZ212" s="36"/>
      <c r="EA212" s="36"/>
      <c r="EB212" s="36"/>
      <c r="EC212" s="36"/>
      <c r="ED212" s="36"/>
      <c r="EE212" s="36"/>
      <c r="EF212" s="37"/>
      <c r="EG212" s="44"/>
      <c r="EH212" s="36"/>
      <c r="EI212" s="36"/>
      <c r="EJ212" s="36"/>
      <c r="EK212" s="36"/>
      <c r="EL212" s="36"/>
      <c r="EM212" s="36"/>
      <c r="EN212" s="36"/>
      <c r="EO212" s="36"/>
      <c r="EP212" s="36"/>
      <c r="EQ212" s="36"/>
      <c r="ER212" s="36"/>
      <c r="ES212" s="36"/>
      <c r="ET212" s="36"/>
      <c r="EU212" s="36"/>
      <c r="EV212" s="36"/>
      <c r="EW212" s="37"/>
      <c r="EX212" s="44"/>
      <c r="EY212" s="36"/>
      <c r="EZ212" s="36"/>
      <c r="FA212" s="36"/>
      <c r="FB212" s="36"/>
      <c r="FC212" s="36"/>
      <c r="FD212" s="36"/>
      <c r="FE212" s="36"/>
      <c r="FF212" s="36"/>
      <c r="FG212" s="36"/>
      <c r="FH212" s="36"/>
      <c r="FI212" s="36"/>
      <c r="FJ212" s="36"/>
      <c r="FK212" s="36"/>
      <c r="FL212" s="36"/>
      <c r="FM212" s="36"/>
      <c r="FN212" s="37"/>
      <c r="FO212" s="44"/>
      <c r="FP212" s="36"/>
      <c r="FQ212" s="36"/>
      <c r="FR212" s="36"/>
      <c r="FS212" s="36"/>
      <c r="FT212" s="36"/>
      <c r="FU212" s="36"/>
      <c r="FV212" s="36"/>
      <c r="FW212" s="36"/>
      <c r="FX212" s="36"/>
      <c r="FY212" s="36"/>
      <c r="FZ212" s="36"/>
      <c r="GA212" s="36"/>
      <c r="GB212" s="36"/>
      <c r="GC212" s="36"/>
      <c r="GD212" s="36"/>
      <c r="GE212" s="37"/>
      <c r="GF212" s="44"/>
      <c r="GG212" s="36"/>
      <c r="GH212" s="36"/>
      <c r="GI212" s="36"/>
      <c r="GJ212" s="36"/>
      <c r="GK212" s="36"/>
      <c r="GL212" s="36"/>
      <c r="GM212" s="36"/>
      <c r="GN212" s="36"/>
      <c r="GO212" s="36"/>
      <c r="GP212" s="36"/>
      <c r="GQ212" s="36"/>
      <c r="GR212" s="36"/>
      <c r="GS212" s="36"/>
      <c r="GT212" s="36"/>
      <c r="GU212" s="36"/>
      <c r="GV212" s="37"/>
      <c r="GW212" s="44"/>
      <c r="GX212" s="36"/>
      <c r="GY212" s="36"/>
      <c r="GZ212" s="36"/>
      <c r="HA212" s="36"/>
      <c r="HB212" s="36"/>
      <c r="HC212" s="36"/>
      <c r="HD212" s="36"/>
      <c r="HE212" s="36"/>
      <c r="HF212" s="36"/>
      <c r="HG212" s="36"/>
      <c r="HH212" s="36"/>
      <c r="HI212" s="36"/>
      <c r="HJ212" s="36"/>
      <c r="HK212" s="36"/>
      <c r="HL212" s="36"/>
      <c r="HM212" s="37"/>
      <c r="HN212" s="44"/>
      <c r="HO212" s="36"/>
      <c r="HP212" s="36"/>
      <c r="HQ212" s="36"/>
      <c r="HR212" s="36"/>
      <c r="HS212" s="36"/>
      <c r="HT212" s="36"/>
      <c r="HU212" s="36"/>
      <c r="HV212" s="36"/>
      <c r="HW212" s="36"/>
      <c r="HX212" s="36"/>
      <c r="HY212" s="36"/>
      <c r="HZ212" s="36"/>
      <c r="IA212" s="36"/>
      <c r="IB212" s="36"/>
      <c r="IC212" s="36"/>
      <c r="ID212" s="37"/>
      <c r="IE212" s="44"/>
      <c r="IF212" s="36"/>
      <c r="IG212" s="36"/>
      <c r="IH212" s="36"/>
      <c r="II212" s="36"/>
      <c r="IJ212" s="36"/>
      <c r="IK212" s="36"/>
      <c r="IL212" s="36"/>
      <c r="IM212" s="36"/>
      <c r="IN212" s="36"/>
      <c r="IO212" s="36"/>
      <c r="IP212" s="36"/>
      <c r="IQ212" s="36"/>
      <c r="IR212" s="36"/>
      <c r="IS212" s="36"/>
      <c r="IT212" s="36"/>
      <c r="IU212" s="37"/>
      <c r="IV212" s="44"/>
      <c r="IW212" s="36"/>
      <c r="IX212" s="36"/>
      <c r="IY212" s="36"/>
      <c r="IZ212" s="36"/>
      <c r="JA212" s="36"/>
      <c r="JB212" s="36"/>
      <c r="JC212" s="36"/>
      <c r="JD212" s="36"/>
      <c r="JE212" s="36"/>
      <c r="JF212" s="36"/>
      <c r="JG212" s="36"/>
      <c r="JH212" s="36"/>
      <c r="JI212" s="36"/>
      <c r="JJ212" s="36"/>
      <c r="JK212" s="36"/>
      <c r="JL212" s="37"/>
      <c r="JM212" s="44"/>
      <c r="JN212" s="36"/>
      <c r="JO212" s="36"/>
      <c r="JP212" s="36"/>
      <c r="JQ212" s="36"/>
      <c r="JR212" s="36"/>
      <c r="JS212" s="36"/>
      <c r="JT212" s="36"/>
      <c r="JU212" s="36"/>
      <c r="JV212" s="36"/>
      <c r="JW212" s="36"/>
      <c r="JX212" s="36"/>
      <c r="JY212" s="36"/>
      <c r="JZ212" s="36"/>
      <c r="KA212" s="36"/>
      <c r="KB212" s="36"/>
      <c r="KC212" s="37"/>
      <c r="KD212" s="44"/>
      <c r="KE212" s="36"/>
      <c r="KF212" s="36"/>
      <c r="KG212" s="36"/>
      <c r="KH212" s="36"/>
      <c r="KI212" s="36"/>
      <c r="KJ212" s="36"/>
      <c r="KK212" s="36"/>
      <c r="KL212" s="36"/>
      <c r="KM212" s="36"/>
      <c r="KN212" s="36"/>
      <c r="KO212" s="36"/>
      <c r="KP212" s="36"/>
      <c r="KQ212" s="36"/>
      <c r="KR212" s="36"/>
      <c r="KS212" s="36"/>
      <c r="KT212" s="37"/>
      <c r="KU212" s="36"/>
    </row>
    <row r="213" ht="15.0" customHeight="1">
      <c r="A213" s="44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7"/>
      <c r="R213" s="44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7"/>
      <c r="AI213" s="44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  <c r="AU213" s="36"/>
      <c r="AV213" s="36"/>
      <c r="AW213" s="36"/>
      <c r="AX213" s="36"/>
      <c r="AY213" s="37"/>
      <c r="AZ213" s="44"/>
      <c r="BA213" s="36"/>
      <c r="BB213" s="36"/>
      <c r="BC213" s="36"/>
      <c r="BD213" s="36"/>
      <c r="BE213" s="36"/>
      <c r="BF213" s="36"/>
      <c r="BG213" s="36"/>
      <c r="BH213" s="36"/>
      <c r="BI213" s="36"/>
      <c r="BJ213" s="36"/>
      <c r="BK213" s="36"/>
      <c r="BL213" s="36"/>
      <c r="BM213" s="36"/>
      <c r="BN213" s="36"/>
      <c r="BO213" s="36"/>
      <c r="BP213" s="37"/>
      <c r="BQ213" s="44"/>
      <c r="BR213" s="36"/>
      <c r="BS213" s="36"/>
      <c r="BT213" s="36"/>
      <c r="BU213" s="36"/>
      <c r="BV213" s="36"/>
      <c r="BW213" s="36"/>
      <c r="BX213" s="36"/>
      <c r="BY213" s="36"/>
      <c r="BZ213" s="36"/>
      <c r="CA213" s="36"/>
      <c r="CB213" s="36"/>
      <c r="CC213" s="36"/>
      <c r="CD213" s="36"/>
      <c r="CE213" s="36"/>
      <c r="CF213" s="36"/>
      <c r="CG213" s="37"/>
      <c r="CH213" s="44"/>
      <c r="CI213" s="36"/>
      <c r="CJ213" s="36"/>
      <c r="CK213" s="36"/>
      <c r="CL213" s="36"/>
      <c r="CM213" s="36"/>
      <c r="CN213" s="36"/>
      <c r="CO213" s="36"/>
      <c r="CP213" s="36"/>
      <c r="CQ213" s="36"/>
      <c r="CR213" s="36"/>
      <c r="CS213" s="36"/>
      <c r="CT213" s="36"/>
      <c r="CU213" s="36"/>
      <c r="CV213" s="36"/>
      <c r="CW213" s="36"/>
      <c r="CX213" s="37"/>
      <c r="CY213" s="44"/>
      <c r="CZ213" s="36"/>
      <c r="DA213" s="36"/>
      <c r="DB213" s="36"/>
      <c r="DC213" s="36"/>
      <c r="DD213" s="36"/>
      <c r="DE213" s="36"/>
      <c r="DF213" s="36"/>
      <c r="DG213" s="36"/>
      <c r="DH213" s="36"/>
      <c r="DI213" s="36"/>
      <c r="DJ213" s="36"/>
      <c r="DK213" s="36"/>
      <c r="DL213" s="36"/>
      <c r="DM213" s="36"/>
      <c r="DN213" s="36"/>
      <c r="DO213" s="37"/>
      <c r="DP213" s="44"/>
      <c r="DQ213" s="36"/>
      <c r="DR213" s="36"/>
      <c r="DS213" s="36"/>
      <c r="DT213" s="36"/>
      <c r="DU213" s="36"/>
      <c r="DV213" s="36"/>
      <c r="DW213" s="36"/>
      <c r="DX213" s="36"/>
      <c r="DY213" s="36"/>
      <c r="DZ213" s="36"/>
      <c r="EA213" s="36"/>
      <c r="EB213" s="36"/>
      <c r="EC213" s="36"/>
      <c r="ED213" s="36"/>
      <c r="EE213" s="36"/>
      <c r="EF213" s="37"/>
      <c r="EG213" s="44"/>
      <c r="EH213" s="36"/>
      <c r="EI213" s="36"/>
      <c r="EJ213" s="36"/>
      <c r="EK213" s="36"/>
      <c r="EL213" s="36"/>
      <c r="EM213" s="36"/>
      <c r="EN213" s="36"/>
      <c r="EO213" s="36"/>
      <c r="EP213" s="36"/>
      <c r="EQ213" s="36"/>
      <c r="ER213" s="36"/>
      <c r="ES213" s="36"/>
      <c r="ET213" s="36"/>
      <c r="EU213" s="36"/>
      <c r="EV213" s="36"/>
      <c r="EW213" s="37"/>
      <c r="EX213" s="44"/>
      <c r="EY213" s="36"/>
      <c r="EZ213" s="36"/>
      <c r="FA213" s="36"/>
      <c r="FB213" s="36"/>
      <c r="FC213" s="36"/>
      <c r="FD213" s="36"/>
      <c r="FE213" s="36"/>
      <c r="FF213" s="36"/>
      <c r="FG213" s="36"/>
      <c r="FH213" s="36"/>
      <c r="FI213" s="36"/>
      <c r="FJ213" s="36"/>
      <c r="FK213" s="36"/>
      <c r="FL213" s="36"/>
      <c r="FM213" s="36"/>
      <c r="FN213" s="37"/>
      <c r="FO213" s="44"/>
      <c r="FP213" s="36"/>
      <c r="FQ213" s="36"/>
      <c r="FR213" s="36"/>
      <c r="FS213" s="36"/>
      <c r="FT213" s="36"/>
      <c r="FU213" s="36"/>
      <c r="FV213" s="36"/>
      <c r="FW213" s="36"/>
      <c r="FX213" s="36"/>
      <c r="FY213" s="36"/>
      <c r="FZ213" s="36"/>
      <c r="GA213" s="36"/>
      <c r="GB213" s="36"/>
      <c r="GC213" s="36"/>
      <c r="GD213" s="36"/>
      <c r="GE213" s="37"/>
      <c r="GF213" s="44"/>
      <c r="GG213" s="36"/>
      <c r="GH213" s="36"/>
      <c r="GI213" s="36"/>
      <c r="GJ213" s="36"/>
      <c r="GK213" s="36"/>
      <c r="GL213" s="36"/>
      <c r="GM213" s="36"/>
      <c r="GN213" s="36"/>
      <c r="GO213" s="36"/>
      <c r="GP213" s="36"/>
      <c r="GQ213" s="36"/>
      <c r="GR213" s="36"/>
      <c r="GS213" s="36"/>
      <c r="GT213" s="36"/>
      <c r="GU213" s="36"/>
      <c r="GV213" s="37"/>
      <c r="GW213" s="44"/>
      <c r="GX213" s="36"/>
      <c r="GY213" s="36"/>
      <c r="GZ213" s="36"/>
      <c r="HA213" s="36"/>
      <c r="HB213" s="36"/>
      <c r="HC213" s="36"/>
      <c r="HD213" s="36"/>
      <c r="HE213" s="36"/>
      <c r="HF213" s="36"/>
      <c r="HG213" s="36"/>
      <c r="HH213" s="36"/>
      <c r="HI213" s="36"/>
      <c r="HJ213" s="36"/>
      <c r="HK213" s="36"/>
      <c r="HL213" s="36"/>
      <c r="HM213" s="37"/>
      <c r="HN213" s="44"/>
      <c r="HO213" s="36"/>
      <c r="HP213" s="36"/>
      <c r="HQ213" s="36"/>
      <c r="HR213" s="36"/>
      <c r="HS213" s="36"/>
      <c r="HT213" s="36"/>
      <c r="HU213" s="36"/>
      <c r="HV213" s="36"/>
      <c r="HW213" s="36"/>
      <c r="HX213" s="36"/>
      <c r="HY213" s="36"/>
      <c r="HZ213" s="36"/>
      <c r="IA213" s="36"/>
      <c r="IB213" s="36"/>
      <c r="IC213" s="36"/>
      <c r="ID213" s="37"/>
      <c r="IE213" s="44"/>
      <c r="IF213" s="36"/>
      <c r="IG213" s="36"/>
      <c r="IH213" s="36"/>
      <c r="II213" s="36"/>
      <c r="IJ213" s="36"/>
      <c r="IK213" s="36"/>
      <c r="IL213" s="36"/>
      <c r="IM213" s="36"/>
      <c r="IN213" s="36"/>
      <c r="IO213" s="36"/>
      <c r="IP213" s="36"/>
      <c r="IQ213" s="36"/>
      <c r="IR213" s="36"/>
      <c r="IS213" s="36"/>
      <c r="IT213" s="36"/>
      <c r="IU213" s="37"/>
      <c r="IV213" s="44"/>
      <c r="IW213" s="36"/>
      <c r="IX213" s="36"/>
      <c r="IY213" s="36"/>
      <c r="IZ213" s="36"/>
      <c r="JA213" s="36"/>
      <c r="JB213" s="36"/>
      <c r="JC213" s="36"/>
      <c r="JD213" s="36"/>
      <c r="JE213" s="36"/>
      <c r="JF213" s="36"/>
      <c r="JG213" s="36"/>
      <c r="JH213" s="36"/>
      <c r="JI213" s="36"/>
      <c r="JJ213" s="36"/>
      <c r="JK213" s="36"/>
      <c r="JL213" s="37"/>
      <c r="JM213" s="44"/>
      <c r="JN213" s="36"/>
      <c r="JO213" s="36"/>
      <c r="JP213" s="36"/>
      <c r="JQ213" s="36"/>
      <c r="JR213" s="36"/>
      <c r="JS213" s="36"/>
      <c r="JT213" s="36"/>
      <c r="JU213" s="36"/>
      <c r="JV213" s="36"/>
      <c r="JW213" s="36"/>
      <c r="JX213" s="36"/>
      <c r="JY213" s="36"/>
      <c r="JZ213" s="36"/>
      <c r="KA213" s="36"/>
      <c r="KB213" s="36"/>
      <c r="KC213" s="37"/>
      <c r="KD213" s="44"/>
      <c r="KE213" s="36"/>
      <c r="KF213" s="36"/>
      <c r="KG213" s="36"/>
      <c r="KH213" s="36"/>
      <c r="KI213" s="36"/>
      <c r="KJ213" s="36"/>
      <c r="KK213" s="36"/>
      <c r="KL213" s="36"/>
      <c r="KM213" s="36"/>
      <c r="KN213" s="36"/>
      <c r="KO213" s="36"/>
      <c r="KP213" s="36"/>
      <c r="KQ213" s="36"/>
      <c r="KR213" s="36"/>
      <c r="KS213" s="36"/>
      <c r="KT213" s="37"/>
      <c r="KU213" s="36"/>
    </row>
    <row r="214" ht="15.0" customHeight="1">
      <c r="A214" s="44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7"/>
      <c r="R214" s="44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7"/>
      <c r="AI214" s="44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  <c r="AU214" s="36"/>
      <c r="AV214" s="36"/>
      <c r="AW214" s="36"/>
      <c r="AX214" s="36"/>
      <c r="AY214" s="37"/>
      <c r="AZ214" s="44"/>
      <c r="BA214" s="36"/>
      <c r="BB214" s="36"/>
      <c r="BC214" s="36"/>
      <c r="BD214" s="36"/>
      <c r="BE214" s="36"/>
      <c r="BF214" s="36"/>
      <c r="BG214" s="36"/>
      <c r="BH214" s="36"/>
      <c r="BI214" s="36"/>
      <c r="BJ214" s="36"/>
      <c r="BK214" s="36"/>
      <c r="BL214" s="36"/>
      <c r="BM214" s="36"/>
      <c r="BN214" s="36"/>
      <c r="BO214" s="36"/>
      <c r="BP214" s="37"/>
      <c r="BQ214" s="44"/>
      <c r="BR214" s="36"/>
      <c r="BS214" s="36"/>
      <c r="BT214" s="36"/>
      <c r="BU214" s="36"/>
      <c r="BV214" s="36"/>
      <c r="BW214" s="36"/>
      <c r="BX214" s="36"/>
      <c r="BY214" s="36"/>
      <c r="BZ214" s="36"/>
      <c r="CA214" s="36"/>
      <c r="CB214" s="36"/>
      <c r="CC214" s="36"/>
      <c r="CD214" s="36"/>
      <c r="CE214" s="36"/>
      <c r="CF214" s="36"/>
      <c r="CG214" s="37"/>
      <c r="CH214" s="44"/>
      <c r="CI214" s="36"/>
      <c r="CJ214" s="36"/>
      <c r="CK214" s="36"/>
      <c r="CL214" s="36"/>
      <c r="CM214" s="36"/>
      <c r="CN214" s="36"/>
      <c r="CO214" s="36"/>
      <c r="CP214" s="36"/>
      <c r="CQ214" s="36"/>
      <c r="CR214" s="36"/>
      <c r="CS214" s="36"/>
      <c r="CT214" s="36"/>
      <c r="CU214" s="36"/>
      <c r="CV214" s="36"/>
      <c r="CW214" s="36"/>
      <c r="CX214" s="37"/>
      <c r="CY214" s="44"/>
      <c r="CZ214" s="36"/>
      <c r="DA214" s="36"/>
      <c r="DB214" s="36"/>
      <c r="DC214" s="36"/>
      <c r="DD214" s="36"/>
      <c r="DE214" s="36"/>
      <c r="DF214" s="36"/>
      <c r="DG214" s="36"/>
      <c r="DH214" s="36"/>
      <c r="DI214" s="36"/>
      <c r="DJ214" s="36"/>
      <c r="DK214" s="36"/>
      <c r="DL214" s="36"/>
      <c r="DM214" s="36"/>
      <c r="DN214" s="36"/>
      <c r="DO214" s="37"/>
      <c r="DP214" s="44"/>
      <c r="DQ214" s="36"/>
      <c r="DR214" s="36"/>
      <c r="DS214" s="36"/>
      <c r="DT214" s="36"/>
      <c r="DU214" s="36"/>
      <c r="DV214" s="36"/>
      <c r="DW214" s="36"/>
      <c r="DX214" s="36"/>
      <c r="DY214" s="36"/>
      <c r="DZ214" s="36"/>
      <c r="EA214" s="36"/>
      <c r="EB214" s="36"/>
      <c r="EC214" s="36"/>
      <c r="ED214" s="36"/>
      <c r="EE214" s="36"/>
      <c r="EF214" s="37"/>
      <c r="EG214" s="44"/>
      <c r="EH214" s="36"/>
      <c r="EI214" s="36"/>
      <c r="EJ214" s="36"/>
      <c r="EK214" s="36"/>
      <c r="EL214" s="36"/>
      <c r="EM214" s="36"/>
      <c r="EN214" s="36"/>
      <c r="EO214" s="36"/>
      <c r="EP214" s="36"/>
      <c r="EQ214" s="36"/>
      <c r="ER214" s="36"/>
      <c r="ES214" s="36"/>
      <c r="ET214" s="36"/>
      <c r="EU214" s="36"/>
      <c r="EV214" s="36"/>
      <c r="EW214" s="37"/>
      <c r="EX214" s="44"/>
      <c r="EY214" s="36"/>
      <c r="EZ214" s="36"/>
      <c r="FA214" s="36"/>
      <c r="FB214" s="36"/>
      <c r="FC214" s="36"/>
      <c r="FD214" s="36"/>
      <c r="FE214" s="36"/>
      <c r="FF214" s="36"/>
      <c r="FG214" s="36"/>
      <c r="FH214" s="36"/>
      <c r="FI214" s="36"/>
      <c r="FJ214" s="36"/>
      <c r="FK214" s="36"/>
      <c r="FL214" s="36"/>
      <c r="FM214" s="36"/>
      <c r="FN214" s="37"/>
      <c r="FO214" s="44"/>
      <c r="FP214" s="36"/>
      <c r="FQ214" s="36"/>
      <c r="FR214" s="36"/>
      <c r="FS214" s="36"/>
      <c r="FT214" s="36"/>
      <c r="FU214" s="36"/>
      <c r="FV214" s="36"/>
      <c r="FW214" s="36"/>
      <c r="FX214" s="36"/>
      <c r="FY214" s="36"/>
      <c r="FZ214" s="36"/>
      <c r="GA214" s="36"/>
      <c r="GB214" s="36"/>
      <c r="GC214" s="36"/>
      <c r="GD214" s="36"/>
      <c r="GE214" s="37"/>
      <c r="GF214" s="44"/>
      <c r="GG214" s="36"/>
      <c r="GH214" s="36"/>
      <c r="GI214" s="36"/>
      <c r="GJ214" s="36"/>
      <c r="GK214" s="36"/>
      <c r="GL214" s="36"/>
      <c r="GM214" s="36"/>
      <c r="GN214" s="36"/>
      <c r="GO214" s="36"/>
      <c r="GP214" s="36"/>
      <c r="GQ214" s="36"/>
      <c r="GR214" s="36"/>
      <c r="GS214" s="36"/>
      <c r="GT214" s="36"/>
      <c r="GU214" s="36"/>
      <c r="GV214" s="37"/>
      <c r="GW214" s="44"/>
      <c r="GX214" s="36"/>
      <c r="GY214" s="36"/>
      <c r="GZ214" s="36"/>
      <c r="HA214" s="36"/>
      <c r="HB214" s="36"/>
      <c r="HC214" s="36"/>
      <c r="HD214" s="36"/>
      <c r="HE214" s="36"/>
      <c r="HF214" s="36"/>
      <c r="HG214" s="36"/>
      <c r="HH214" s="36"/>
      <c r="HI214" s="36"/>
      <c r="HJ214" s="36"/>
      <c r="HK214" s="36"/>
      <c r="HL214" s="36"/>
      <c r="HM214" s="37"/>
      <c r="HN214" s="44"/>
      <c r="HO214" s="36"/>
      <c r="HP214" s="36"/>
      <c r="HQ214" s="36"/>
      <c r="HR214" s="36"/>
      <c r="HS214" s="36"/>
      <c r="HT214" s="36"/>
      <c r="HU214" s="36"/>
      <c r="HV214" s="36"/>
      <c r="HW214" s="36"/>
      <c r="HX214" s="36"/>
      <c r="HY214" s="36"/>
      <c r="HZ214" s="36"/>
      <c r="IA214" s="36"/>
      <c r="IB214" s="36"/>
      <c r="IC214" s="36"/>
      <c r="ID214" s="37"/>
      <c r="IE214" s="44"/>
      <c r="IF214" s="36"/>
      <c r="IG214" s="36"/>
      <c r="IH214" s="36"/>
      <c r="II214" s="36"/>
      <c r="IJ214" s="36"/>
      <c r="IK214" s="36"/>
      <c r="IL214" s="36"/>
      <c r="IM214" s="36"/>
      <c r="IN214" s="36"/>
      <c r="IO214" s="36"/>
      <c r="IP214" s="36"/>
      <c r="IQ214" s="36"/>
      <c r="IR214" s="36"/>
      <c r="IS214" s="36"/>
      <c r="IT214" s="36"/>
      <c r="IU214" s="37"/>
      <c r="IV214" s="44"/>
      <c r="IW214" s="36"/>
      <c r="IX214" s="36"/>
      <c r="IY214" s="36"/>
      <c r="IZ214" s="36"/>
      <c r="JA214" s="36"/>
      <c r="JB214" s="36"/>
      <c r="JC214" s="36"/>
      <c r="JD214" s="36"/>
      <c r="JE214" s="36"/>
      <c r="JF214" s="36"/>
      <c r="JG214" s="36"/>
      <c r="JH214" s="36"/>
      <c r="JI214" s="36"/>
      <c r="JJ214" s="36"/>
      <c r="JK214" s="36"/>
      <c r="JL214" s="37"/>
      <c r="JM214" s="44"/>
      <c r="JN214" s="36"/>
      <c r="JO214" s="36"/>
      <c r="JP214" s="36"/>
      <c r="JQ214" s="36"/>
      <c r="JR214" s="36"/>
      <c r="JS214" s="36"/>
      <c r="JT214" s="36"/>
      <c r="JU214" s="36"/>
      <c r="JV214" s="36"/>
      <c r="JW214" s="36"/>
      <c r="JX214" s="36"/>
      <c r="JY214" s="36"/>
      <c r="JZ214" s="36"/>
      <c r="KA214" s="36"/>
      <c r="KB214" s="36"/>
      <c r="KC214" s="37"/>
      <c r="KD214" s="44"/>
      <c r="KE214" s="36"/>
      <c r="KF214" s="36"/>
      <c r="KG214" s="36"/>
      <c r="KH214" s="36"/>
      <c r="KI214" s="36"/>
      <c r="KJ214" s="36"/>
      <c r="KK214" s="36"/>
      <c r="KL214" s="36"/>
      <c r="KM214" s="36"/>
      <c r="KN214" s="36"/>
      <c r="KO214" s="36"/>
      <c r="KP214" s="36"/>
      <c r="KQ214" s="36"/>
      <c r="KR214" s="36"/>
      <c r="KS214" s="36"/>
      <c r="KT214" s="37"/>
      <c r="KU214" s="36"/>
    </row>
    <row r="215" ht="15.0" customHeight="1">
      <c r="A215" s="44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7"/>
      <c r="R215" s="44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7"/>
      <c r="AI215" s="44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  <c r="AU215" s="36"/>
      <c r="AV215" s="36"/>
      <c r="AW215" s="36"/>
      <c r="AX215" s="36"/>
      <c r="AY215" s="37"/>
      <c r="AZ215" s="44"/>
      <c r="BA215" s="36"/>
      <c r="BB215" s="36"/>
      <c r="BC215" s="36"/>
      <c r="BD215" s="36"/>
      <c r="BE215" s="36"/>
      <c r="BF215" s="36"/>
      <c r="BG215" s="36"/>
      <c r="BH215" s="36"/>
      <c r="BI215" s="36"/>
      <c r="BJ215" s="36"/>
      <c r="BK215" s="36"/>
      <c r="BL215" s="36"/>
      <c r="BM215" s="36"/>
      <c r="BN215" s="36"/>
      <c r="BO215" s="36"/>
      <c r="BP215" s="37"/>
      <c r="BQ215" s="44"/>
      <c r="BR215" s="36"/>
      <c r="BS215" s="36"/>
      <c r="BT215" s="36"/>
      <c r="BU215" s="36"/>
      <c r="BV215" s="36"/>
      <c r="BW215" s="36"/>
      <c r="BX215" s="36"/>
      <c r="BY215" s="36"/>
      <c r="BZ215" s="36"/>
      <c r="CA215" s="36"/>
      <c r="CB215" s="36"/>
      <c r="CC215" s="36"/>
      <c r="CD215" s="36"/>
      <c r="CE215" s="36"/>
      <c r="CF215" s="36"/>
      <c r="CG215" s="37"/>
      <c r="CH215" s="44"/>
      <c r="CI215" s="36"/>
      <c r="CJ215" s="36"/>
      <c r="CK215" s="36"/>
      <c r="CL215" s="36"/>
      <c r="CM215" s="36"/>
      <c r="CN215" s="36"/>
      <c r="CO215" s="36"/>
      <c r="CP215" s="36"/>
      <c r="CQ215" s="36"/>
      <c r="CR215" s="36"/>
      <c r="CS215" s="36"/>
      <c r="CT215" s="36"/>
      <c r="CU215" s="36"/>
      <c r="CV215" s="36"/>
      <c r="CW215" s="36"/>
      <c r="CX215" s="37"/>
      <c r="CY215" s="44"/>
      <c r="CZ215" s="36"/>
      <c r="DA215" s="36"/>
      <c r="DB215" s="36"/>
      <c r="DC215" s="36"/>
      <c r="DD215" s="36"/>
      <c r="DE215" s="36"/>
      <c r="DF215" s="36"/>
      <c r="DG215" s="36"/>
      <c r="DH215" s="36"/>
      <c r="DI215" s="36"/>
      <c r="DJ215" s="36"/>
      <c r="DK215" s="36"/>
      <c r="DL215" s="36"/>
      <c r="DM215" s="36"/>
      <c r="DN215" s="36"/>
      <c r="DO215" s="37"/>
      <c r="DP215" s="44"/>
      <c r="DQ215" s="36"/>
      <c r="DR215" s="36"/>
      <c r="DS215" s="36"/>
      <c r="DT215" s="36"/>
      <c r="DU215" s="36"/>
      <c r="DV215" s="36"/>
      <c r="DW215" s="36"/>
      <c r="DX215" s="36"/>
      <c r="DY215" s="36"/>
      <c r="DZ215" s="36"/>
      <c r="EA215" s="36"/>
      <c r="EB215" s="36"/>
      <c r="EC215" s="36"/>
      <c r="ED215" s="36"/>
      <c r="EE215" s="36"/>
      <c r="EF215" s="37"/>
      <c r="EG215" s="44"/>
      <c r="EH215" s="36"/>
      <c r="EI215" s="36"/>
      <c r="EJ215" s="36"/>
      <c r="EK215" s="36"/>
      <c r="EL215" s="36"/>
      <c r="EM215" s="36"/>
      <c r="EN215" s="36"/>
      <c r="EO215" s="36"/>
      <c r="EP215" s="36"/>
      <c r="EQ215" s="36"/>
      <c r="ER215" s="36"/>
      <c r="ES215" s="36"/>
      <c r="ET215" s="36"/>
      <c r="EU215" s="36"/>
      <c r="EV215" s="36"/>
      <c r="EW215" s="37"/>
      <c r="EX215" s="44"/>
      <c r="EY215" s="36"/>
      <c r="EZ215" s="36"/>
      <c r="FA215" s="36"/>
      <c r="FB215" s="36"/>
      <c r="FC215" s="36"/>
      <c r="FD215" s="36"/>
      <c r="FE215" s="36"/>
      <c r="FF215" s="36"/>
      <c r="FG215" s="36"/>
      <c r="FH215" s="36"/>
      <c r="FI215" s="36"/>
      <c r="FJ215" s="36"/>
      <c r="FK215" s="36"/>
      <c r="FL215" s="36"/>
      <c r="FM215" s="36"/>
      <c r="FN215" s="37"/>
      <c r="FO215" s="44"/>
      <c r="FP215" s="36"/>
      <c r="FQ215" s="36"/>
      <c r="FR215" s="36"/>
      <c r="FS215" s="36"/>
      <c r="FT215" s="36"/>
      <c r="FU215" s="36"/>
      <c r="FV215" s="36"/>
      <c r="FW215" s="36"/>
      <c r="FX215" s="36"/>
      <c r="FY215" s="36"/>
      <c r="FZ215" s="36"/>
      <c r="GA215" s="36"/>
      <c r="GB215" s="36"/>
      <c r="GC215" s="36"/>
      <c r="GD215" s="36"/>
      <c r="GE215" s="37"/>
      <c r="GF215" s="44"/>
      <c r="GG215" s="36"/>
      <c r="GH215" s="36"/>
      <c r="GI215" s="36"/>
      <c r="GJ215" s="36"/>
      <c r="GK215" s="36"/>
      <c r="GL215" s="36"/>
      <c r="GM215" s="36"/>
      <c r="GN215" s="36"/>
      <c r="GO215" s="36"/>
      <c r="GP215" s="36"/>
      <c r="GQ215" s="36"/>
      <c r="GR215" s="36"/>
      <c r="GS215" s="36"/>
      <c r="GT215" s="36"/>
      <c r="GU215" s="36"/>
      <c r="GV215" s="37"/>
      <c r="GW215" s="44"/>
      <c r="GX215" s="36"/>
      <c r="GY215" s="36"/>
      <c r="GZ215" s="36"/>
      <c r="HA215" s="36"/>
      <c r="HB215" s="36"/>
      <c r="HC215" s="36"/>
      <c r="HD215" s="36"/>
      <c r="HE215" s="36"/>
      <c r="HF215" s="36"/>
      <c r="HG215" s="36"/>
      <c r="HH215" s="36"/>
      <c r="HI215" s="36"/>
      <c r="HJ215" s="36"/>
      <c r="HK215" s="36"/>
      <c r="HL215" s="36"/>
      <c r="HM215" s="37"/>
      <c r="HN215" s="44"/>
      <c r="HO215" s="36"/>
      <c r="HP215" s="36"/>
      <c r="HQ215" s="36"/>
      <c r="HR215" s="36"/>
      <c r="HS215" s="36"/>
      <c r="HT215" s="36"/>
      <c r="HU215" s="36"/>
      <c r="HV215" s="36"/>
      <c r="HW215" s="36"/>
      <c r="HX215" s="36"/>
      <c r="HY215" s="36"/>
      <c r="HZ215" s="36"/>
      <c r="IA215" s="36"/>
      <c r="IB215" s="36"/>
      <c r="IC215" s="36"/>
      <c r="ID215" s="37"/>
      <c r="IE215" s="44"/>
      <c r="IF215" s="36"/>
      <c r="IG215" s="36"/>
      <c r="IH215" s="36"/>
      <c r="II215" s="36"/>
      <c r="IJ215" s="36"/>
      <c r="IK215" s="36"/>
      <c r="IL215" s="36"/>
      <c r="IM215" s="36"/>
      <c r="IN215" s="36"/>
      <c r="IO215" s="36"/>
      <c r="IP215" s="36"/>
      <c r="IQ215" s="36"/>
      <c r="IR215" s="36"/>
      <c r="IS215" s="36"/>
      <c r="IT215" s="36"/>
      <c r="IU215" s="37"/>
      <c r="IV215" s="44"/>
      <c r="IW215" s="36"/>
      <c r="IX215" s="36"/>
      <c r="IY215" s="36"/>
      <c r="IZ215" s="36"/>
      <c r="JA215" s="36"/>
      <c r="JB215" s="36"/>
      <c r="JC215" s="36"/>
      <c r="JD215" s="36"/>
      <c r="JE215" s="36"/>
      <c r="JF215" s="36"/>
      <c r="JG215" s="36"/>
      <c r="JH215" s="36"/>
      <c r="JI215" s="36"/>
      <c r="JJ215" s="36"/>
      <c r="JK215" s="36"/>
      <c r="JL215" s="37"/>
      <c r="JM215" s="44"/>
      <c r="JN215" s="36"/>
      <c r="JO215" s="36"/>
      <c r="JP215" s="36"/>
      <c r="JQ215" s="36"/>
      <c r="JR215" s="36"/>
      <c r="JS215" s="36"/>
      <c r="JT215" s="36"/>
      <c r="JU215" s="36"/>
      <c r="JV215" s="36"/>
      <c r="JW215" s="36"/>
      <c r="JX215" s="36"/>
      <c r="JY215" s="36"/>
      <c r="JZ215" s="36"/>
      <c r="KA215" s="36"/>
      <c r="KB215" s="36"/>
      <c r="KC215" s="37"/>
      <c r="KD215" s="44"/>
      <c r="KE215" s="36"/>
      <c r="KF215" s="36"/>
      <c r="KG215" s="36"/>
      <c r="KH215" s="36"/>
      <c r="KI215" s="36"/>
      <c r="KJ215" s="36"/>
      <c r="KK215" s="36"/>
      <c r="KL215" s="36"/>
      <c r="KM215" s="36"/>
      <c r="KN215" s="36"/>
      <c r="KO215" s="36"/>
      <c r="KP215" s="36"/>
      <c r="KQ215" s="36"/>
      <c r="KR215" s="36"/>
      <c r="KS215" s="36"/>
      <c r="KT215" s="37"/>
      <c r="KU215" s="36"/>
    </row>
    <row r="216" ht="15.0" customHeight="1">
      <c r="A216" s="44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7"/>
      <c r="R216" s="44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7"/>
      <c r="AI216" s="44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  <c r="AU216" s="36"/>
      <c r="AV216" s="36"/>
      <c r="AW216" s="36"/>
      <c r="AX216" s="36"/>
      <c r="AY216" s="37"/>
      <c r="AZ216" s="44"/>
      <c r="BA216" s="36"/>
      <c r="BB216" s="36"/>
      <c r="BC216" s="36"/>
      <c r="BD216" s="36"/>
      <c r="BE216" s="36"/>
      <c r="BF216" s="36"/>
      <c r="BG216" s="36"/>
      <c r="BH216" s="36"/>
      <c r="BI216" s="36"/>
      <c r="BJ216" s="36"/>
      <c r="BK216" s="36"/>
      <c r="BL216" s="36"/>
      <c r="BM216" s="36"/>
      <c r="BN216" s="36"/>
      <c r="BO216" s="36"/>
      <c r="BP216" s="37"/>
      <c r="BQ216" s="44"/>
      <c r="BR216" s="36"/>
      <c r="BS216" s="36"/>
      <c r="BT216" s="36"/>
      <c r="BU216" s="36"/>
      <c r="BV216" s="36"/>
      <c r="BW216" s="36"/>
      <c r="BX216" s="36"/>
      <c r="BY216" s="36"/>
      <c r="BZ216" s="36"/>
      <c r="CA216" s="36"/>
      <c r="CB216" s="36"/>
      <c r="CC216" s="36"/>
      <c r="CD216" s="36"/>
      <c r="CE216" s="36"/>
      <c r="CF216" s="36"/>
      <c r="CG216" s="37"/>
      <c r="CH216" s="44"/>
      <c r="CI216" s="36"/>
      <c r="CJ216" s="36"/>
      <c r="CK216" s="36"/>
      <c r="CL216" s="36"/>
      <c r="CM216" s="36"/>
      <c r="CN216" s="36"/>
      <c r="CO216" s="36"/>
      <c r="CP216" s="36"/>
      <c r="CQ216" s="36"/>
      <c r="CR216" s="36"/>
      <c r="CS216" s="36"/>
      <c r="CT216" s="36"/>
      <c r="CU216" s="36"/>
      <c r="CV216" s="36"/>
      <c r="CW216" s="36"/>
      <c r="CX216" s="37"/>
      <c r="CY216" s="44"/>
      <c r="CZ216" s="36"/>
      <c r="DA216" s="36"/>
      <c r="DB216" s="36"/>
      <c r="DC216" s="36"/>
      <c r="DD216" s="36"/>
      <c r="DE216" s="36"/>
      <c r="DF216" s="36"/>
      <c r="DG216" s="36"/>
      <c r="DH216" s="36"/>
      <c r="DI216" s="36"/>
      <c r="DJ216" s="36"/>
      <c r="DK216" s="36"/>
      <c r="DL216" s="36"/>
      <c r="DM216" s="36"/>
      <c r="DN216" s="36"/>
      <c r="DO216" s="37"/>
      <c r="DP216" s="44"/>
      <c r="DQ216" s="36"/>
      <c r="DR216" s="36"/>
      <c r="DS216" s="36"/>
      <c r="DT216" s="36"/>
      <c r="DU216" s="36"/>
      <c r="DV216" s="36"/>
      <c r="DW216" s="36"/>
      <c r="DX216" s="36"/>
      <c r="DY216" s="36"/>
      <c r="DZ216" s="36"/>
      <c r="EA216" s="36"/>
      <c r="EB216" s="36"/>
      <c r="EC216" s="36"/>
      <c r="ED216" s="36"/>
      <c r="EE216" s="36"/>
      <c r="EF216" s="37"/>
      <c r="EG216" s="44"/>
      <c r="EH216" s="36"/>
      <c r="EI216" s="36"/>
      <c r="EJ216" s="36"/>
      <c r="EK216" s="36"/>
      <c r="EL216" s="36"/>
      <c r="EM216" s="36"/>
      <c r="EN216" s="36"/>
      <c r="EO216" s="36"/>
      <c r="EP216" s="36"/>
      <c r="EQ216" s="36"/>
      <c r="ER216" s="36"/>
      <c r="ES216" s="36"/>
      <c r="ET216" s="36"/>
      <c r="EU216" s="36"/>
      <c r="EV216" s="36"/>
      <c r="EW216" s="37"/>
      <c r="EX216" s="44"/>
      <c r="EY216" s="36"/>
      <c r="EZ216" s="36"/>
      <c r="FA216" s="36"/>
      <c r="FB216" s="36"/>
      <c r="FC216" s="36"/>
      <c r="FD216" s="36"/>
      <c r="FE216" s="36"/>
      <c r="FF216" s="36"/>
      <c r="FG216" s="36"/>
      <c r="FH216" s="36"/>
      <c r="FI216" s="36"/>
      <c r="FJ216" s="36"/>
      <c r="FK216" s="36"/>
      <c r="FL216" s="36"/>
      <c r="FM216" s="36"/>
      <c r="FN216" s="37"/>
      <c r="FO216" s="44"/>
      <c r="FP216" s="36"/>
      <c r="FQ216" s="36"/>
      <c r="FR216" s="36"/>
      <c r="FS216" s="36"/>
      <c r="FT216" s="36"/>
      <c r="FU216" s="36"/>
      <c r="FV216" s="36"/>
      <c r="FW216" s="36"/>
      <c r="FX216" s="36"/>
      <c r="FY216" s="36"/>
      <c r="FZ216" s="36"/>
      <c r="GA216" s="36"/>
      <c r="GB216" s="36"/>
      <c r="GC216" s="36"/>
      <c r="GD216" s="36"/>
      <c r="GE216" s="37"/>
      <c r="GF216" s="44"/>
      <c r="GG216" s="36"/>
      <c r="GH216" s="36"/>
      <c r="GI216" s="36"/>
      <c r="GJ216" s="36"/>
      <c r="GK216" s="36"/>
      <c r="GL216" s="36"/>
      <c r="GM216" s="36"/>
      <c r="GN216" s="36"/>
      <c r="GO216" s="36"/>
      <c r="GP216" s="36"/>
      <c r="GQ216" s="36"/>
      <c r="GR216" s="36"/>
      <c r="GS216" s="36"/>
      <c r="GT216" s="36"/>
      <c r="GU216" s="36"/>
      <c r="GV216" s="37"/>
      <c r="GW216" s="44"/>
      <c r="GX216" s="36"/>
      <c r="GY216" s="36"/>
      <c r="GZ216" s="36"/>
      <c r="HA216" s="36"/>
      <c r="HB216" s="36"/>
      <c r="HC216" s="36"/>
      <c r="HD216" s="36"/>
      <c r="HE216" s="36"/>
      <c r="HF216" s="36"/>
      <c r="HG216" s="36"/>
      <c r="HH216" s="36"/>
      <c r="HI216" s="36"/>
      <c r="HJ216" s="36"/>
      <c r="HK216" s="36"/>
      <c r="HL216" s="36"/>
      <c r="HM216" s="37"/>
      <c r="HN216" s="44"/>
      <c r="HO216" s="36"/>
      <c r="HP216" s="36"/>
      <c r="HQ216" s="36"/>
      <c r="HR216" s="36"/>
      <c r="HS216" s="36"/>
      <c r="HT216" s="36"/>
      <c r="HU216" s="36"/>
      <c r="HV216" s="36"/>
      <c r="HW216" s="36"/>
      <c r="HX216" s="36"/>
      <c r="HY216" s="36"/>
      <c r="HZ216" s="36"/>
      <c r="IA216" s="36"/>
      <c r="IB216" s="36"/>
      <c r="IC216" s="36"/>
      <c r="ID216" s="37"/>
      <c r="IE216" s="44"/>
      <c r="IF216" s="36"/>
      <c r="IG216" s="36"/>
      <c r="IH216" s="36"/>
      <c r="II216" s="36"/>
      <c r="IJ216" s="36"/>
      <c r="IK216" s="36"/>
      <c r="IL216" s="36"/>
      <c r="IM216" s="36"/>
      <c r="IN216" s="36"/>
      <c r="IO216" s="36"/>
      <c r="IP216" s="36"/>
      <c r="IQ216" s="36"/>
      <c r="IR216" s="36"/>
      <c r="IS216" s="36"/>
      <c r="IT216" s="36"/>
      <c r="IU216" s="37"/>
      <c r="IV216" s="44"/>
      <c r="IW216" s="36"/>
      <c r="IX216" s="36"/>
      <c r="IY216" s="36"/>
      <c r="IZ216" s="36"/>
      <c r="JA216" s="36"/>
      <c r="JB216" s="36"/>
      <c r="JC216" s="36"/>
      <c r="JD216" s="36"/>
      <c r="JE216" s="36"/>
      <c r="JF216" s="36"/>
      <c r="JG216" s="36"/>
      <c r="JH216" s="36"/>
      <c r="JI216" s="36"/>
      <c r="JJ216" s="36"/>
      <c r="JK216" s="36"/>
      <c r="JL216" s="37"/>
      <c r="JM216" s="44"/>
      <c r="JN216" s="36"/>
      <c r="JO216" s="36"/>
      <c r="JP216" s="36"/>
      <c r="JQ216" s="36"/>
      <c r="JR216" s="36"/>
      <c r="JS216" s="36"/>
      <c r="JT216" s="36"/>
      <c r="JU216" s="36"/>
      <c r="JV216" s="36"/>
      <c r="JW216" s="36"/>
      <c r="JX216" s="36"/>
      <c r="JY216" s="36"/>
      <c r="JZ216" s="36"/>
      <c r="KA216" s="36"/>
      <c r="KB216" s="36"/>
      <c r="KC216" s="37"/>
      <c r="KD216" s="44"/>
      <c r="KE216" s="36"/>
      <c r="KF216" s="36"/>
      <c r="KG216" s="36"/>
      <c r="KH216" s="36"/>
      <c r="KI216" s="36"/>
      <c r="KJ216" s="36"/>
      <c r="KK216" s="36"/>
      <c r="KL216" s="36"/>
      <c r="KM216" s="36"/>
      <c r="KN216" s="36"/>
      <c r="KO216" s="36"/>
      <c r="KP216" s="36"/>
      <c r="KQ216" s="36"/>
      <c r="KR216" s="36"/>
      <c r="KS216" s="36"/>
      <c r="KT216" s="37"/>
      <c r="KU216" s="36"/>
    </row>
    <row r="217" ht="15.0" customHeight="1">
      <c r="A217" s="44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7"/>
      <c r="R217" s="44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7"/>
      <c r="AI217" s="44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  <c r="AU217" s="36"/>
      <c r="AV217" s="36"/>
      <c r="AW217" s="36"/>
      <c r="AX217" s="36"/>
      <c r="AY217" s="37"/>
      <c r="AZ217" s="44"/>
      <c r="BA217" s="36"/>
      <c r="BB217" s="36"/>
      <c r="BC217" s="36"/>
      <c r="BD217" s="36"/>
      <c r="BE217" s="36"/>
      <c r="BF217" s="36"/>
      <c r="BG217" s="36"/>
      <c r="BH217" s="36"/>
      <c r="BI217" s="36"/>
      <c r="BJ217" s="36"/>
      <c r="BK217" s="36"/>
      <c r="BL217" s="36"/>
      <c r="BM217" s="36"/>
      <c r="BN217" s="36"/>
      <c r="BO217" s="36"/>
      <c r="BP217" s="37"/>
      <c r="BQ217" s="44"/>
      <c r="BR217" s="36"/>
      <c r="BS217" s="36"/>
      <c r="BT217" s="36"/>
      <c r="BU217" s="36"/>
      <c r="BV217" s="36"/>
      <c r="BW217" s="36"/>
      <c r="BX217" s="36"/>
      <c r="BY217" s="36"/>
      <c r="BZ217" s="36"/>
      <c r="CA217" s="36"/>
      <c r="CB217" s="36"/>
      <c r="CC217" s="36"/>
      <c r="CD217" s="36"/>
      <c r="CE217" s="36"/>
      <c r="CF217" s="36"/>
      <c r="CG217" s="37"/>
      <c r="CH217" s="44"/>
      <c r="CI217" s="36"/>
      <c r="CJ217" s="36"/>
      <c r="CK217" s="36"/>
      <c r="CL217" s="36"/>
      <c r="CM217" s="36"/>
      <c r="CN217" s="36"/>
      <c r="CO217" s="36"/>
      <c r="CP217" s="36"/>
      <c r="CQ217" s="36"/>
      <c r="CR217" s="36"/>
      <c r="CS217" s="36"/>
      <c r="CT217" s="36"/>
      <c r="CU217" s="36"/>
      <c r="CV217" s="36"/>
      <c r="CW217" s="36"/>
      <c r="CX217" s="37"/>
      <c r="CY217" s="44"/>
      <c r="CZ217" s="36"/>
      <c r="DA217" s="36"/>
      <c r="DB217" s="36"/>
      <c r="DC217" s="36"/>
      <c r="DD217" s="36"/>
      <c r="DE217" s="36"/>
      <c r="DF217" s="36"/>
      <c r="DG217" s="36"/>
      <c r="DH217" s="36"/>
      <c r="DI217" s="36"/>
      <c r="DJ217" s="36"/>
      <c r="DK217" s="36"/>
      <c r="DL217" s="36"/>
      <c r="DM217" s="36"/>
      <c r="DN217" s="36"/>
      <c r="DO217" s="37"/>
      <c r="DP217" s="44"/>
      <c r="DQ217" s="36"/>
      <c r="DR217" s="36"/>
      <c r="DS217" s="36"/>
      <c r="DT217" s="36"/>
      <c r="DU217" s="36"/>
      <c r="DV217" s="36"/>
      <c r="DW217" s="36"/>
      <c r="DX217" s="36"/>
      <c r="DY217" s="36"/>
      <c r="DZ217" s="36"/>
      <c r="EA217" s="36"/>
      <c r="EB217" s="36"/>
      <c r="EC217" s="36"/>
      <c r="ED217" s="36"/>
      <c r="EE217" s="36"/>
      <c r="EF217" s="37"/>
      <c r="EG217" s="44"/>
      <c r="EH217" s="36"/>
      <c r="EI217" s="36"/>
      <c r="EJ217" s="36"/>
      <c r="EK217" s="36"/>
      <c r="EL217" s="36"/>
      <c r="EM217" s="36"/>
      <c r="EN217" s="36"/>
      <c r="EO217" s="36"/>
      <c r="EP217" s="36"/>
      <c r="EQ217" s="36"/>
      <c r="ER217" s="36"/>
      <c r="ES217" s="36"/>
      <c r="ET217" s="36"/>
      <c r="EU217" s="36"/>
      <c r="EV217" s="36"/>
      <c r="EW217" s="37"/>
      <c r="EX217" s="44"/>
      <c r="EY217" s="36"/>
      <c r="EZ217" s="36"/>
      <c r="FA217" s="36"/>
      <c r="FB217" s="36"/>
      <c r="FC217" s="36"/>
      <c r="FD217" s="36"/>
      <c r="FE217" s="36"/>
      <c r="FF217" s="36"/>
      <c r="FG217" s="36"/>
      <c r="FH217" s="36"/>
      <c r="FI217" s="36"/>
      <c r="FJ217" s="36"/>
      <c r="FK217" s="36"/>
      <c r="FL217" s="36"/>
      <c r="FM217" s="36"/>
      <c r="FN217" s="37"/>
      <c r="FO217" s="44"/>
      <c r="FP217" s="36"/>
      <c r="FQ217" s="36"/>
      <c r="FR217" s="36"/>
      <c r="FS217" s="36"/>
      <c r="FT217" s="36"/>
      <c r="FU217" s="36"/>
      <c r="FV217" s="36"/>
      <c r="FW217" s="36"/>
      <c r="FX217" s="36"/>
      <c r="FY217" s="36"/>
      <c r="FZ217" s="36"/>
      <c r="GA217" s="36"/>
      <c r="GB217" s="36"/>
      <c r="GC217" s="36"/>
      <c r="GD217" s="36"/>
      <c r="GE217" s="37"/>
      <c r="GF217" s="44"/>
      <c r="GG217" s="36"/>
      <c r="GH217" s="36"/>
      <c r="GI217" s="36"/>
      <c r="GJ217" s="36"/>
      <c r="GK217" s="36"/>
      <c r="GL217" s="36"/>
      <c r="GM217" s="36"/>
      <c r="GN217" s="36"/>
      <c r="GO217" s="36"/>
      <c r="GP217" s="36"/>
      <c r="GQ217" s="36"/>
      <c r="GR217" s="36"/>
      <c r="GS217" s="36"/>
      <c r="GT217" s="36"/>
      <c r="GU217" s="36"/>
      <c r="GV217" s="37"/>
      <c r="GW217" s="44"/>
      <c r="GX217" s="36"/>
      <c r="GY217" s="36"/>
      <c r="GZ217" s="36"/>
      <c r="HA217" s="36"/>
      <c r="HB217" s="36"/>
      <c r="HC217" s="36"/>
      <c r="HD217" s="36"/>
      <c r="HE217" s="36"/>
      <c r="HF217" s="36"/>
      <c r="HG217" s="36"/>
      <c r="HH217" s="36"/>
      <c r="HI217" s="36"/>
      <c r="HJ217" s="36"/>
      <c r="HK217" s="36"/>
      <c r="HL217" s="36"/>
      <c r="HM217" s="37"/>
      <c r="HN217" s="44"/>
      <c r="HO217" s="36"/>
      <c r="HP217" s="36"/>
      <c r="HQ217" s="36"/>
      <c r="HR217" s="36"/>
      <c r="HS217" s="36"/>
      <c r="HT217" s="36"/>
      <c r="HU217" s="36"/>
      <c r="HV217" s="36"/>
      <c r="HW217" s="36"/>
      <c r="HX217" s="36"/>
      <c r="HY217" s="36"/>
      <c r="HZ217" s="36"/>
      <c r="IA217" s="36"/>
      <c r="IB217" s="36"/>
      <c r="IC217" s="36"/>
      <c r="ID217" s="37"/>
      <c r="IE217" s="44"/>
      <c r="IF217" s="36"/>
      <c r="IG217" s="36"/>
      <c r="IH217" s="36"/>
      <c r="II217" s="36"/>
      <c r="IJ217" s="36"/>
      <c r="IK217" s="36"/>
      <c r="IL217" s="36"/>
      <c r="IM217" s="36"/>
      <c r="IN217" s="36"/>
      <c r="IO217" s="36"/>
      <c r="IP217" s="36"/>
      <c r="IQ217" s="36"/>
      <c r="IR217" s="36"/>
      <c r="IS217" s="36"/>
      <c r="IT217" s="36"/>
      <c r="IU217" s="37"/>
      <c r="IV217" s="44"/>
      <c r="IW217" s="36"/>
      <c r="IX217" s="36"/>
      <c r="IY217" s="36"/>
      <c r="IZ217" s="36"/>
      <c r="JA217" s="36"/>
      <c r="JB217" s="36"/>
      <c r="JC217" s="36"/>
      <c r="JD217" s="36"/>
      <c r="JE217" s="36"/>
      <c r="JF217" s="36"/>
      <c r="JG217" s="36"/>
      <c r="JH217" s="36"/>
      <c r="JI217" s="36"/>
      <c r="JJ217" s="36"/>
      <c r="JK217" s="36"/>
      <c r="JL217" s="37"/>
      <c r="JM217" s="44"/>
      <c r="JN217" s="36"/>
      <c r="JO217" s="36"/>
      <c r="JP217" s="36"/>
      <c r="JQ217" s="36"/>
      <c r="JR217" s="36"/>
      <c r="JS217" s="36"/>
      <c r="JT217" s="36"/>
      <c r="JU217" s="36"/>
      <c r="JV217" s="36"/>
      <c r="JW217" s="36"/>
      <c r="JX217" s="36"/>
      <c r="JY217" s="36"/>
      <c r="JZ217" s="36"/>
      <c r="KA217" s="36"/>
      <c r="KB217" s="36"/>
      <c r="KC217" s="37"/>
      <c r="KD217" s="44"/>
      <c r="KE217" s="36"/>
      <c r="KF217" s="36"/>
      <c r="KG217" s="36"/>
      <c r="KH217" s="36"/>
      <c r="KI217" s="36"/>
      <c r="KJ217" s="36"/>
      <c r="KK217" s="36"/>
      <c r="KL217" s="36"/>
      <c r="KM217" s="36"/>
      <c r="KN217" s="36"/>
      <c r="KO217" s="36"/>
      <c r="KP217" s="36"/>
      <c r="KQ217" s="36"/>
      <c r="KR217" s="36"/>
      <c r="KS217" s="36"/>
      <c r="KT217" s="37"/>
      <c r="KU217" s="36"/>
    </row>
    <row r="218" ht="15.0" customHeight="1">
      <c r="A218" s="44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7"/>
      <c r="R218" s="44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7"/>
      <c r="AI218" s="44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  <c r="AU218" s="36"/>
      <c r="AV218" s="36"/>
      <c r="AW218" s="36"/>
      <c r="AX218" s="36"/>
      <c r="AY218" s="37"/>
      <c r="AZ218" s="44"/>
      <c r="BA218" s="36"/>
      <c r="BB218" s="36"/>
      <c r="BC218" s="36"/>
      <c r="BD218" s="36"/>
      <c r="BE218" s="36"/>
      <c r="BF218" s="36"/>
      <c r="BG218" s="36"/>
      <c r="BH218" s="36"/>
      <c r="BI218" s="36"/>
      <c r="BJ218" s="36"/>
      <c r="BK218" s="36"/>
      <c r="BL218" s="36"/>
      <c r="BM218" s="36"/>
      <c r="BN218" s="36"/>
      <c r="BO218" s="36"/>
      <c r="BP218" s="37"/>
      <c r="BQ218" s="44"/>
      <c r="BR218" s="36"/>
      <c r="BS218" s="36"/>
      <c r="BT218" s="36"/>
      <c r="BU218" s="36"/>
      <c r="BV218" s="36"/>
      <c r="BW218" s="36"/>
      <c r="BX218" s="36"/>
      <c r="BY218" s="36"/>
      <c r="BZ218" s="36"/>
      <c r="CA218" s="36"/>
      <c r="CB218" s="36"/>
      <c r="CC218" s="36"/>
      <c r="CD218" s="36"/>
      <c r="CE218" s="36"/>
      <c r="CF218" s="36"/>
      <c r="CG218" s="37"/>
      <c r="CH218" s="44"/>
      <c r="CI218" s="36"/>
      <c r="CJ218" s="36"/>
      <c r="CK218" s="36"/>
      <c r="CL218" s="36"/>
      <c r="CM218" s="36"/>
      <c r="CN218" s="36"/>
      <c r="CO218" s="36"/>
      <c r="CP218" s="36"/>
      <c r="CQ218" s="36"/>
      <c r="CR218" s="36"/>
      <c r="CS218" s="36"/>
      <c r="CT218" s="36"/>
      <c r="CU218" s="36"/>
      <c r="CV218" s="36"/>
      <c r="CW218" s="36"/>
      <c r="CX218" s="37"/>
      <c r="CY218" s="44"/>
      <c r="CZ218" s="36"/>
      <c r="DA218" s="36"/>
      <c r="DB218" s="36"/>
      <c r="DC218" s="36"/>
      <c r="DD218" s="36"/>
      <c r="DE218" s="36"/>
      <c r="DF218" s="36"/>
      <c r="DG218" s="36"/>
      <c r="DH218" s="36"/>
      <c r="DI218" s="36"/>
      <c r="DJ218" s="36"/>
      <c r="DK218" s="36"/>
      <c r="DL218" s="36"/>
      <c r="DM218" s="36"/>
      <c r="DN218" s="36"/>
      <c r="DO218" s="37"/>
      <c r="DP218" s="44"/>
      <c r="DQ218" s="36"/>
      <c r="DR218" s="36"/>
      <c r="DS218" s="36"/>
      <c r="DT218" s="36"/>
      <c r="DU218" s="36"/>
      <c r="DV218" s="36"/>
      <c r="DW218" s="36"/>
      <c r="DX218" s="36"/>
      <c r="DY218" s="36"/>
      <c r="DZ218" s="36"/>
      <c r="EA218" s="36"/>
      <c r="EB218" s="36"/>
      <c r="EC218" s="36"/>
      <c r="ED218" s="36"/>
      <c r="EE218" s="36"/>
      <c r="EF218" s="37"/>
      <c r="EG218" s="44"/>
      <c r="EH218" s="36"/>
      <c r="EI218" s="36"/>
      <c r="EJ218" s="36"/>
      <c r="EK218" s="36"/>
      <c r="EL218" s="36"/>
      <c r="EM218" s="36"/>
      <c r="EN218" s="36"/>
      <c r="EO218" s="36"/>
      <c r="EP218" s="36"/>
      <c r="EQ218" s="36"/>
      <c r="ER218" s="36"/>
      <c r="ES218" s="36"/>
      <c r="ET218" s="36"/>
      <c r="EU218" s="36"/>
      <c r="EV218" s="36"/>
      <c r="EW218" s="37"/>
      <c r="EX218" s="44"/>
      <c r="EY218" s="36"/>
      <c r="EZ218" s="36"/>
      <c r="FA218" s="36"/>
      <c r="FB218" s="36"/>
      <c r="FC218" s="36"/>
      <c r="FD218" s="36"/>
      <c r="FE218" s="36"/>
      <c r="FF218" s="36"/>
      <c r="FG218" s="36"/>
      <c r="FH218" s="36"/>
      <c r="FI218" s="36"/>
      <c r="FJ218" s="36"/>
      <c r="FK218" s="36"/>
      <c r="FL218" s="36"/>
      <c r="FM218" s="36"/>
      <c r="FN218" s="37"/>
      <c r="FO218" s="44"/>
      <c r="FP218" s="36"/>
      <c r="FQ218" s="36"/>
      <c r="FR218" s="36"/>
      <c r="FS218" s="36"/>
      <c r="FT218" s="36"/>
      <c r="FU218" s="36"/>
      <c r="FV218" s="36"/>
      <c r="FW218" s="36"/>
      <c r="FX218" s="36"/>
      <c r="FY218" s="36"/>
      <c r="FZ218" s="36"/>
      <c r="GA218" s="36"/>
      <c r="GB218" s="36"/>
      <c r="GC218" s="36"/>
      <c r="GD218" s="36"/>
      <c r="GE218" s="37"/>
      <c r="GF218" s="44"/>
      <c r="GG218" s="36"/>
      <c r="GH218" s="36"/>
      <c r="GI218" s="36"/>
      <c r="GJ218" s="36"/>
      <c r="GK218" s="36"/>
      <c r="GL218" s="36"/>
      <c r="GM218" s="36"/>
      <c r="GN218" s="36"/>
      <c r="GO218" s="36"/>
      <c r="GP218" s="36"/>
      <c r="GQ218" s="36"/>
      <c r="GR218" s="36"/>
      <c r="GS218" s="36"/>
      <c r="GT218" s="36"/>
      <c r="GU218" s="36"/>
      <c r="GV218" s="37"/>
      <c r="GW218" s="44"/>
      <c r="GX218" s="36"/>
      <c r="GY218" s="36"/>
      <c r="GZ218" s="36"/>
      <c r="HA218" s="36"/>
      <c r="HB218" s="36"/>
      <c r="HC218" s="36"/>
      <c r="HD218" s="36"/>
      <c r="HE218" s="36"/>
      <c r="HF218" s="36"/>
      <c r="HG218" s="36"/>
      <c r="HH218" s="36"/>
      <c r="HI218" s="36"/>
      <c r="HJ218" s="36"/>
      <c r="HK218" s="36"/>
      <c r="HL218" s="36"/>
      <c r="HM218" s="37"/>
      <c r="HN218" s="44"/>
      <c r="HO218" s="36"/>
      <c r="HP218" s="36"/>
      <c r="HQ218" s="36"/>
      <c r="HR218" s="36"/>
      <c r="HS218" s="36"/>
      <c r="HT218" s="36"/>
      <c r="HU218" s="36"/>
      <c r="HV218" s="36"/>
      <c r="HW218" s="36"/>
      <c r="HX218" s="36"/>
      <c r="HY218" s="36"/>
      <c r="HZ218" s="36"/>
      <c r="IA218" s="36"/>
      <c r="IB218" s="36"/>
      <c r="IC218" s="36"/>
      <c r="ID218" s="37"/>
      <c r="IE218" s="44"/>
      <c r="IF218" s="36"/>
      <c r="IG218" s="36"/>
      <c r="IH218" s="36"/>
      <c r="II218" s="36"/>
      <c r="IJ218" s="36"/>
      <c r="IK218" s="36"/>
      <c r="IL218" s="36"/>
      <c r="IM218" s="36"/>
      <c r="IN218" s="36"/>
      <c r="IO218" s="36"/>
      <c r="IP218" s="36"/>
      <c r="IQ218" s="36"/>
      <c r="IR218" s="36"/>
      <c r="IS218" s="36"/>
      <c r="IT218" s="36"/>
      <c r="IU218" s="37"/>
      <c r="IV218" s="44"/>
      <c r="IW218" s="36"/>
      <c r="IX218" s="36"/>
      <c r="IY218" s="36"/>
      <c r="IZ218" s="36"/>
      <c r="JA218" s="36"/>
      <c r="JB218" s="36"/>
      <c r="JC218" s="36"/>
      <c r="JD218" s="36"/>
      <c r="JE218" s="36"/>
      <c r="JF218" s="36"/>
      <c r="JG218" s="36"/>
      <c r="JH218" s="36"/>
      <c r="JI218" s="36"/>
      <c r="JJ218" s="36"/>
      <c r="JK218" s="36"/>
      <c r="JL218" s="37"/>
      <c r="JM218" s="44"/>
      <c r="JN218" s="36"/>
      <c r="JO218" s="36"/>
      <c r="JP218" s="36"/>
      <c r="JQ218" s="36"/>
      <c r="JR218" s="36"/>
      <c r="JS218" s="36"/>
      <c r="JT218" s="36"/>
      <c r="JU218" s="36"/>
      <c r="JV218" s="36"/>
      <c r="JW218" s="36"/>
      <c r="JX218" s="36"/>
      <c r="JY218" s="36"/>
      <c r="JZ218" s="36"/>
      <c r="KA218" s="36"/>
      <c r="KB218" s="36"/>
      <c r="KC218" s="37"/>
      <c r="KD218" s="44"/>
      <c r="KE218" s="36"/>
      <c r="KF218" s="36"/>
      <c r="KG218" s="36"/>
      <c r="KH218" s="36"/>
      <c r="KI218" s="36"/>
      <c r="KJ218" s="36"/>
      <c r="KK218" s="36"/>
      <c r="KL218" s="36"/>
      <c r="KM218" s="36"/>
      <c r="KN218" s="36"/>
      <c r="KO218" s="36"/>
      <c r="KP218" s="36"/>
      <c r="KQ218" s="36"/>
      <c r="KR218" s="36"/>
      <c r="KS218" s="36"/>
      <c r="KT218" s="37"/>
      <c r="KU218" s="36"/>
    </row>
    <row r="219" ht="15.0" customHeight="1">
      <c r="A219" s="44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7"/>
      <c r="R219" s="44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7"/>
      <c r="AI219" s="44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  <c r="AU219" s="36"/>
      <c r="AV219" s="36"/>
      <c r="AW219" s="36"/>
      <c r="AX219" s="36"/>
      <c r="AY219" s="37"/>
      <c r="AZ219" s="44"/>
      <c r="BA219" s="36"/>
      <c r="BB219" s="36"/>
      <c r="BC219" s="36"/>
      <c r="BD219" s="36"/>
      <c r="BE219" s="36"/>
      <c r="BF219" s="36"/>
      <c r="BG219" s="36"/>
      <c r="BH219" s="36"/>
      <c r="BI219" s="36"/>
      <c r="BJ219" s="36"/>
      <c r="BK219" s="36"/>
      <c r="BL219" s="36"/>
      <c r="BM219" s="36"/>
      <c r="BN219" s="36"/>
      <c r="BO219" s="36"/>
      <c r="BP219" s="37"/>
      <c r="BQ219" s="44"/>
      <c r="BR219" s="36"/>
      <c r="BS219" s="36"/>
      <c r="BT219" s="36"/>
      <c r="BU219" s="36"/>
      <c r="BV219" s="36"/>
      <c r="BW219" s="36"/>
      <c r="BX219" s="36"/>
      <c r="BY219" s="36"/>
      <c r="BZ219" s="36"/>
      <c r="CA219" s="36"/>
      <c r="CB219" s="36"/>
      <c r="CC219" s="36"/>
      <c r="CD219" s="36"/>
      <c r="CE219" s="36"/>
      <c r="CF219" s="36"/>
      <c r="CG219" s="37"/>
      <c r="CH219" s="44"/>
      <c r="CI219" s="36"/>
      <c r="CJ219" s="36"/>
      <c r="CK219" s="36"/>
      <c r="CL219" s="36"/>
      <c r="CM219" s="36"/>
      <c r="CN219" s="36"/>
      <c r="CO219" s="36"/>
      <c r="CP219" s="36"/>
      <c r="CQ219" s="36"/>
      <c r="CR219" s="36"/>
      <c r="CS219" s="36"/>
      <c r="CT219" s="36"/>
      <c r="CU219" s="36"/>
      <c r="CV219" s="36"/>
      <c r="CW219" s="36"/>
      <c r="CX219" s="37"/>
      <c r="CY219" s="44"/>
      <c r="CZ219" s="36"/>
      <c r="DA219" s="36"/>
      <c r="DB219" s="36"/>
      <c r="DC219" s="36"/>
      <c r="DD219" s="36"/>
      <c r="DE219" s="36"/>
      <c r="DF219" s="36"/>
      <c r="DG219" s="36"/>
      <c r="DH219" s="36"/>
      <c r="DI219" s="36"/>
      <c r="DJ219" s="36"/>
      <c r="DK219" s="36"/>
      <c r="DL219" s="36"/>
      <c r="DM219" s="36"/>
      <c r="DN219" s="36"/>
      <c r="DO219" s="37"/>
      <c r="DP219" s="44"/>
      <c r="DQ219" s="36"/>
      <c r="DR219" s="36"/>
      <c r="DS219" s="36"/>
      <c r="DT219" s="36"/>
      <c r="DU219" s="36"/>
      <c r="DV219" s="36"/>
      <c r="DW219" s="36"/>
      <c r="DX219" s="36"/>
      <c r="DY219" s="36"/>
      <c r="DZ219" s="36"/>
      <c r="EA219" s="36"/>
      <c r="EB219" s="36"/>
      <c r="EC219" s="36"/>
      <c r="ED219" s="36"/>
      <c r="EE219" s="36"/>
      <c r="EF219" s="37"/>
      <c r="EG219" s="44"/>
      <c r="EH219" s="36"/>
      <c r="EI219" s="36"/>
      <c r="EJ219" s="36"/>
      <c r="EK219" s="36"/>
      <c r="EL219" s="36"/>
      <c r="EM219" s="36"/>
      <c r="EN219" s="36"/>
      <c r="EO219" s="36"/>
      <c r="EP219" s="36"/>
      <c r="EQ219" s="36"/>
      <c r="ER219" s="36"/>
      <c r="ES219" s="36"/>
      <c r="ET219" s="36"/>
      <c r="EU219" s="36"/>
      <c r="EV219" s="36"/>
      <c r="EW219" s="37"/>
      <c r="EX219" s="44"/>
      <c r="EY219" s="36"/>
      <c r="EZ219" s="36"/>
      <c r="FA219" s="36"/>
      <c r="FB219" s="36"/>
      <c r="FC219" s="36"/>
      <c r="FD219" s="36"/>
      <c r="FE219" s="36"/>
      <c r="FF219" s="36"/>
      <c r="FG219" s="36"/>
      <c r="FH219" s="36"/>
      <c r="FI219" s="36"/>
      <c r="FJ219" s="36"/>
      <c r="FK219" s="36"/>
      <c r="FL219" s="36"/>
      <c r="FM219" s="36"/>
      <c r="FN219" s="37"/>
      <c r="FO219" s="44"/>
      <c r="FP219" s="36"/>
      <c r="FQ219" s="36"/>
      <c r="FR219" s="36"/>
      <c r="FS219" s="36"/>
      <c r="FT219" s="36"/>
      <c r="FU219" s="36"/>
      <c r="FV219" s="36"/>
      <c r="FW219" s="36"/>
      <c r="FX219" s="36"/>
      <c r="FY219" s="36"/>
      <c r="FZ219" s="36"/>
      <c r="GA219" s="36"/>
      <c r="GB219" s="36"/>
      <c r="GC219" s="36"/>
      <c r="GD219" s="36"/>
      <c r="GE219" s="37"/>
      <c r="GF219" s="44"/>
      <c r="GG219" s="36"/>
      <c r="GH219" s="36"/>
      <c r="GI219" s="36"/>
      <c r="GJ219" s="36"/>
      <c r="GK219" s="36"/>
      <c r="GL219" s="36"/>
      <c r="GM219" s="36"/>
      <c r="GN219" s="36"/>
      <c r="GO219" s="36"/>
      <c r="GP219" s="36"/>
      <c r="GQ219" s="36"/>
      <c r="GR219" s="36"/>
      <c r="GS219" s="36"/>
      <c r="GT219" s="36"/>
      <c r="GU219" s="36"/>
      <c r="GV219" s="37"/>
      <c r="GW219" s="44"/>
      <c r="GX219" s="36"/>
      <c r="GY219" s="36"/>
      <c r="GZ219" s="36"/>
      <c r="HA219" s="36"/>
      <c r="HB219" s="36"/>
      <c r="HC219" s="36"/>
      <c r="HD219" s="36"/>
      <c r="HE219" s="36"/>
      <c r="HF219" s="36"/>
      <c r="HG219" s="36"/>
      <c r="HH219" s="36"/>
      <c r="HI219" s="36"/>
      <c r="HJ219" s="36"/>
      <c r="HK219" s="36"/>
      <c r="HL219" s="36"/>
      <c r="HM219" s="37"/>
      <c r="HN219" s="44"/>
      <c r="HO219" s="36"/>
      <c r="HP219" s="36"/>
      <c r="HQ219" s="36"/>
      <c r="HR219" s="36"/>
      <c r="HS219" s="36"/>
      <c r="HT219" s="36"/>
      <c r="HU219" s="36"/>
      <c r="HV219" s="36"/>
      <c r="HW219" s="36"/>
      <c r="HX219" s="36"/>
      <c r="HY219" s="36"/>
      <c r="HZ219" s="36"/>
      <c r="IA219" s="36"/>
      <c r="IB219" s="36"/>
      <c r="IC219" s="36"/>
      <c r="ID219" s="37"/>
      <c r="IE219" s="44"/>
      <c r="IF219" s="36"/>
      <c r="IG219" s="36"/>
      <c r="IH219" s="36"/>
      <c r="II219" s="36"/>
      <c r="IJ219" s="36"/>
      <c r="IK219" s="36"/>
      <c r="IL219" s="36"/>
      <c r="IM219" s="36"/>
      <c r="IN219" s="36"/>
      <c r="IO219" s="36"/>
      <c r="IP219" s="36"/>
      <c r="IQ219" s="36"/>
      <c r="IR219" s="36"/>
      <c r="IS219" s="36"/>
      <c r="IT219" s="36"/>
      <c r="IU219" s="37"/>
      <c r="IV219" s="44"/>
      <c r="IW219" s="36"/>
      <c r="IX219" s="36"/>
      <c r="IY219" s="36"/>
      <c r="IZ219" s="36"/>
      <c r="JA219" s="36"/>
      <c r="JB219" s="36"/>
      <c r="JC219" s="36"/>
      <c r="JD219" s="36"/>
      <c r="JE219" s="36"/>
      <c r="JF219" s="36"/>
      <c r="JG219" s="36"/>
      <c r="JH219" s="36"/>
      <c r="JI219" s="36"/>
      <c r="JJ219" s="36"/>
      <c r="JK219" s="36"/>
      <c r="JL219" s="37"/>
      <c r="JM219" s="44"/>
      <c r="JN219" s="36"/>
      <c r="JO219" s="36"/>
      <c r="JP219" s="36"/>
      <c r="JQ219" s="36"/>
      <c r="JR219" s="36"/>
      <c r="JS219" s="36"/>
      <c r="JT219" s="36"/>
      <c r="JU219" s="36"/>
      <c r="JV219" s="36"/>
      <c r="JW219" s="36"/>
      <c r="JX219" s="36"/>
      <c r="JY219" s="36"/>
      <c r="JZ219" s="36"/>
      <c r="KA219" s="36"/>
      <c r="KB219" s="36"/>
      <c r="KC219" s="37"/>
      <c r="KD219" s="44"/>
      <c r="KE219" s="36"/>
      <c r="KF219" s="36"/>
      <c r="KG219" s="36"/>
      <c r="KH219" s="36"/>
      <c r="KI219" s="36"/>
      <c r="KJ219" s="36"/>
      <c r="KK219" s="36"/>
      <c r="KL219" s="36"/>
      <c r="KM219" s="36"/>
      <c r="KN219" s="36"/>
      <c r="KO219" s="36"/>
      <c r="KP219" s="36"/>
      <c r="KQ219" s="36"/>
      <c r="KR219" s="36"/>
      <c r="KS219" s="36"/>
      <c r="KT219" s="37"/>
      <c r="KU219" s="36"/>
    </row>
    <row r="220" ht="15.0" customHeight="1">
      <c r="A220" s="44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7"/>
      <c r="R220" s="44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7"/>
      <c r="AI220" s="44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  <c r="AU220" s="36"/>
      <c r="AV220" s="36"/>
      <c r="AW220" s="36"/>
      <c r="AX220" s="36"/>
      <c r="AY220" s="37"/>
      <c r="AZ220" s="44"/>
      <c r="BA220" s="36"/>
      <c r="BB220" s="36"/>
      <c r="BC220" s="36"/>
      <c r="BD220" s="36"/>
      <c r="BE220" s="36"/>
      <c r="BF220" s="36"/>
      <c r="BG220" s="36"/>
      <c r="BH220" s="36"/>
      <c r="BI220" s="36"/>
      <c r="BJ220" s="36"/>
      <c r="BK220" s="36"/>
      <c r="BL220" s="36"/>
      <c r="BM220" s="36"/>
      <c r="BN220" s="36"/>
      <c r="BO220" s="36"/>
      <c r="BP220" s="37"/>
      <c r="BQ220" s="44"/>
      <c r="BR220" s="36"/>
      <c r="BS220" s="36"/>
      <c r="BT220" s="36"/>
      <c r="BU220" s="36"/>
      <c r="BV220" s="36"/>
      <c r="BW220" s="36"/>
      <c r="BX220" s="36"/>
      <c r="BY220" s="36"/>
      <c r="BZ220" s="36"/>
      <c r="CA220" s="36"/>
      <c r="CB220" s="36"/>
      <c r="CC220" s="36"/>
      <c r="CD220" s="36"/>
      <c r="CE220" s="36"/>
      <c r="CF220" s="36"/>
      <c r="CG220" s="37"/>
      <c r="CH220" s="44"/>
      <c r="CI220" s="36"/>
      <c r="CJ220" s="36"/>
      <c r="CK220" s="36"/>
      <c r="CL220" s="36"/>
      <c r="CM220" s="36"/>
      <c r="CN220" s="36"/>
      <c r="CO220" s="36"/>
      <c r="CP220" s="36"/>
      <c r="CQ220" s="36"/>
      <c r="CR220" s="36"/>
      <c r="CS220" s="36"/>
      <c r="CT220" s="36"/>
      <c r="CU220" s="36"/>
      <c r="CV220" s="36"/>
      <c r="CW220" s="36"/>
      <c r="CX220" s="37"/>
      <c r="CY220" s="44"/>
      <c r="CZ220" s="36"/>
      <c r="DA220" s="36"/>
      <c r="DB220" s="36"/>
      <c r="DC220" s="36"/>
      <c r="DD220" s="36"/>
      <c r="DE220" s="36"/>
      <c r="DF220" s="36"/>
      <c r="DG220" s="36"/>
      <c r="DH220" s="36"/>
      <c r="DI220" s="36"/>
      <c r="DJ220" s="36"/>
      <c r="DK220" s="36"/>
      <c r="DL220" s="36"/>
      <c r="DM220" s="36"/>
      <c r="DN220" s="36"/>
      <c r="DO220" s="37"/>
      <c r="DP220" s="44"/>
      <c r="DQ220" s="36"/>
      <c r="DR220" s="36"/>
      <c r="DS220" s="36"/>
      <c r="DT220" s="36"/>
      <c r="DU220" s="36"/>
      <c r="DV220" s="36"/>
      <c r="DW220" s="36"/>
      <c r="DX220" s="36"/>
      <c r="DY220" s="36"/>
      <c r="DZ220" s="36"/>
      <c r="EA220" s="36"/>
      <c r="EB220" s="36"/>
      <c r="EC220" s="36"/>
      <c r="ED220" s="36"/>
      <c r="EE220" s="36"/>
      <c r="EF220" s="37"/>
      <c r="EG220" s="44"/>
      <c r="EH220" s="36"/>
      <c r="EI220" s="36"/>
      <c r="EJ220" s="36"/>
      <c r="EK220" s="36"/>
      <c r="EL220" s="36"/>
      <c r="EM220" s="36"/>
      <c r="EN220" s="36"/>
      <c r="EO220" s="36"/>
      <c r="EP220" s="36"/>
      <c r="EQ220" s="36"/>
      <c r="ER220" s="36"/>
      <c r="ES220" s="36"/>
      <c r="ET220" s="36"/>
      <c r="EU220" s="36"/>
      <c r="EV220" s="36"/>
      <c r="EW220" s="37"/>
      <c r="EX220" s="44"/>
      <c r="EY220" s="36"/>
      <c r="EZ220" s="36"/>
      <c r="FA220" s="36"/>
      <c r="FB220" s="36"/>
      <c r="FC220" s="36"/>
      <c r="FD220" s="36"/>
      <c r="FE220" s="36"/>
      <c r="FF220" s="36"/>
      <c r="FG220" s="36"/>
      <c r="FH220" s="36"/>
      <c r="FI220" s="36"/>
      <c r="FJ220" s="36"/>
      <c r="FK220" s="36"/>
      <c r="FL220" s="36"/>
      <c r="FM220" s="36"/>
      <c r="FN220" s="37"/>
      <c r="FO220" s="44"/>
      <c r="FP220" s="36"/>
      <c r="FQ220" s="36"/>
      <c r="FR220" s="36"/>
      <c r="FS220" s="36"/>
      <c r="FT220" s="36"/>
      <c r="FU220" s="36"/>
      <c r="FV220" s="36"/>
      <c r="FW220" s="36"/>
      <c r="FX220" s="36"/>
      <c r="FY220" s="36"/>
      <c r="FZ220" s="36"/>
      <c r="GA220" s="36"/>
      <c r="GB220" s="36"/>
      <c r="GC220" s="36"/>
      <c r="GD220" s="36"/>
      <c r="GE220" s="37"/>
      <c r="GF220" s="44"/>
      <c r="GG220" s="36"/>
      <c r="GH220" s="36"/>
      <c r="GI220" s="36"/>
      <c r="GJ220" s="36"/>
      <c r="GK220" s="36"/>
      <c r="GL220" s="36"/>
      <c r="GM220" s="36"/>
      <c r="GN220" s="36"/>
      <c r="GO220" s="36"/>
      <c r="GP220" s="36"/>
      <c r="GQ220" s="36"/>
      <c r="GR220" s="36"/>
      <c r="GS220" s="36"/>
      <c r="GT220" s="36"/>
      <c r="GU220" s="36"/>
      <c r="GV220" s="37"/>
      <c r="GW220" s="44"/>
      <c r="GX220" s="36"/>
      <c r="GY220" s="36"/>
      <c r="GZ220" s="36"/>
      <c r="HA220" s="36"/>
      <c r="HB220" s="36"/>
      <c r="HC220" s="36"/>
      <c r="HD220" s="36"/>
      <c r="HE220" s="36"/>
      <c r="HF220" s="36"/>
      <c r="HG220" s="36"/>
      <c r="HH220" s="36"/>
      <c r="HI220" s="36"/>
      <c r="HJ220" s="36"/>
      <c r="HK220" s="36"/>
      <c r="HL220" s="36"/>
      <c r="HM220" s="37"/>
      <c r="HN220" s="44"/>
      <c r="HO220" s="36"/>
      <c r="HP220" s="36"/>
      <c r="HQ220" s="36"/>
      <c r="HR220" s="36"/>
      <c r="HS220" s="36"/>
      <c r="HT220" s="36"/>
      <c r="HU220" s="36"/>
      <c r="HV220" s="36"/>
      <c r="HW220" s="36"/>
      <c r="HX220" s="36"/>
      <c r="HY220" s="36"/>
      <c r="HZ220" s="36"/>
      <c r="IA220" s="36"/>
      <c r="IB220" s="36"/>
      <c r="IC220" s="36"/>
      <c r="ID220" s="37"/>
      <c r="IE220" s="44"/>
      <c r="IF220" s="36"/>
      <c r="IG220" s="36"/>
      <c r="IH220" s="36"/>
      <c r="II220" s="36"/>
      <c r="IJ220" s="36"/>
      <c r="IK220" s="36"/>
      <c r="IL220" s="36"/>
      <c r="IM220" s="36"/>
      <c r="IN220" s="36"/>
      <c r="IO220" s="36"/>
      <c r="IP220" s="36"/>
      <c r="IQ220" s="36"/>
      <c r="IR220" s="36"/>
      <c r="IS220" s="36"/>
      <c r="IT220" s="36"/>
      <c r="IU220" s="37"/>
      <c r="IV220" s="44"/>
      <c r="IW220" s="36"/>
      <c r="IX220" s="36"/>
      <c r="IY220" s="36"/>
      <c r="IZ220" s="36"/>
      <c r="JA220" s="36"/>
      <c r="JB220" s="36"/>
      <c r="JC220" s="36"/>
      <c r="JD220" s="36"/>
      <c r="JE220" s="36"/>
      <c r="JF220" s="36"/>
      <c r="JG220" s="36"/>
      <c r="JH220" s="36"/>
      <c r="JI220" s="36"/>
      <c r="JJ220" s="36"/>
      <c r="JK220" s="36"/>
      <c r="JL220" s="37"/>
      <c r="JM220" s="44"/>
      <c r="JN220" s="36"/>
      <c r="JO220" s="36"/>
      <c r="JP220" s="36"/>
      <c r="JQ220" s="36"/>
      <c r="JR220" s="36"/>
      <c r="JS220" s="36"/>
      <c r="JT220" s="36"/>
      <c r="JU220" s="36"/>
      <c r="JV220" s="36"/>
      <c r="JW220" s="36"/>
      <c r="JX220" s="36"/>
      <c r="JY220" s="36"/>
      <c r="JZ220" s="36"/>
      <c r="KA220" s="36"/>
      <c r="KB220" s="36"/>
      <c r="KC220" s="37"/>
      <c r="KD220" s="44"/>
      <c r="KE220" s="36"/>
      <c r="KF220" s="36"/>
      <c r="KG220" s="36"/>
      <c r="KH220" s="36"/>
      <c r="KI220" s="36"/>
      <c r="KJ220" s="36"/>
      <c r="KK220" s="36"/>
      <c r="KL220" s="36"/>
      <c r="KM220" s="36"/>
      <c r="KN220" s="36"/>
      <c r="KO220" s="36"/>
      <c r="KP220" s="36"/>
      <c r="KQ220" s="36"/>
      <c r="KR220" s="36"/>
      <c r="KS220" s="36"/>
      <c r="KT220" s="37"/>
      <c r="KU220" s="36"/>
    </row>
    <row r="221" ht="15.0" customHeight="1">
      <c r="A221" s="44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7"/>
      <c r="R221" s="44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7"/>
      <c r="AI221" s="44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  <c r="AU221" s="36"/>
      <c r="AV221" s="36"/>
      <c r="AW221" s="36"/>
      <c r="AX221" s="36"/>
      <c r="AY221" s="37"/>
      <c r="AZ221" s="44"/>
      <c r="BA221" s="36"/>
      <c r="BB221" s="36"/>
      <c r="BC221" s="36"/>
      <c r="BD221" s="36"/>
      <c r="BE221" s="36"/>
      <c r="BF221" s="36"/>
      <c r="BG221" s="36"/>
      <c r="BH221" s="36"/>
      <c r="BI221" s="36"/>
      <c r="BJ221" s="36"/>
      <c r="BK221" s="36"/>
      <c r="BL221" s="36"/>
      <c r="BM221" s="36"/>
      <c r="BN221" s="36"/>
      <c r="BO221" s="36"/>
      <c r="BP221" s="37"/>
      <c r="BQ221" s="44"/>
      <c r="BR221" s="36"/>
      <c r="BS221" s="36"/>
      <c r="BT221" s="36"/>
      <c r="BU221" s="36"/>
      <c r="BV221" s="36"/>
      <c r="BW221" s="36"/>
      <c r="BX221" s="36"/>
      <c r="BY221" s="36"/>
      <c r="BZ221" s="36"/>
      <c r="CA221" s="36"/>
      <c r="CB221" s="36"/>
      <c r="CC221" s="36"/>
      <c r="CD221" s="36"/>
      <c r="CE221" s="36"/>
      <c r="CF221" s="36"/>
      <c r="CG221" s="37"/>
      <c r="CH221" s="44"/>
      <c r="CI221" s="36"/>
      <c r="CJ221" s="36"/>
      <c r="CK221" s="36"/>
      <c r="CL221" s="36"/>
      <c r="CM221" s="36"/>
      <c r="CN221" s="36"/>
      <c r="CO221" s="36"/>
      <c r="CP221" s="36"/>
      <c r="CQ221" s="36"/>
      <c r="CR221" s="36"/>
      <c r="CS221" s="36"/>
      <c r="CT221" s="36"/>
      <c r="CU221" s="36"/>
      <c r="CV221" s="36"/>
      <c r="CW221" s="36"/>
      <c r="CX221" s="37"/>
      <c r="CY221" s="44"/>
      <c r="CZ221" s="36"/>
      <c r="DA221" s="36"/>
      <c r="DB221" s="36"/>
      <c r="DC221" s="36"/>
      <c r="DD221" s="36"/>
      <c r="DE221" s="36"/>
      <c r="DF221" s="36"/>
      <c r="DG221" s="36"/>
      <c r="DH221" s="36"/>
      <c r="DI221" s="36"/>
      <c r="DJ221" s="36"/>
      <c r="DK221" s="36"/>
      <c r="DL221" s="36"/>
      <c r="DM221" s="36"/>
      <c r="DN221" s="36"/>
      <c r="DO221" s="37"/>
      <c r="DP221" s="44"/>
      <c r="DQ221" s="36"/>
      <c r="DR221" s="36"/>
      <c r="DS221" s="36"/>
      <c r="DT221" s="36"/>
      <c r="DU221" s="36"/>
      <c r="DV221" s="36"/>
      <c r="DW221" s="36"/>
      <c r="DX221" s="36"/>
      <c r="DY221" s="36"/>
      <c r="DZ221" s="36"/>
      <c r="EA221" s="36"/>
      <c r="EB221" s="36"/>
      <c r="EC221" s="36"/>
      <c r="ED221" s="36"/>
      <c r="EE221" s="36"/>
      <c r="EF221" s="37"/>
      <c r="EG221" s="44"/>
      <c r="EH221" s="36"/>
      <c r="EI221" s="36"/>
      <c r="EJ221" s="36"/>
      <c r="EK221" s="36"/>
      <c r="EL221" s="36"/>
      <c r="EM221" s="36"/>
      <c r="EN221" s="36"/>
      <c r="EO221" s="36"/>
      <c r="EP221" s="36"/>
      <c r="EQ221" s="36"/>
      <c r="ER221" s="36"/>
      <c r="ES221" s="36"/>
      <c r="ET221" s="36"/>
      <c r="EU221" s="36"/>
      <c r="EV221" s="36"/>
      <c r="EW221" s="37"/>
      <c r="EX221" s="44"/>
      <c r="EY221" s="36"/>
      <c r="EZ221" s="36"/>
      <c r="FA221" s="36"/>
      <c r="FB221" s="36"/>
      <c r="FC221" s="36"/>
      <c r="FD221" s="36"/>
      <c r="FE221" s="36"/>
      <c r="FF221" s="36"/>
      <c r="FG221" s="36"/>
      <c r="FH221" s="36"/>
      <c r="FI221" s="36"/>
      <c r="FJ221" s="36"/>
      <c r="FK221" s="36"/>
      <c r="FL221" s="36"/>
      <c r="FM221" s="36"/>
      <c r="FN221" s="37"/>
      <c r="FO221" s="44"/>
      <c r="FP221" s="36"/>
      <c r="FQ221" s="36"/>
      <c r="FR221" s="36"/>
      <c r="FS221" s="36"/>
      <c r="FT221" s="36"/>
      <c r="FU221" s="36"/>
      <c r="FV221" s="36"/>
      <c r="FW221" s="36"/>
      <c r="FX221" s="36"/>
      <c r="FY221" s="36"/>
      <c r="FZ221" s="36"/>
      <c r="GA221" s="36"/>
      <c r="GB221" s="36"/>
      <c r="GC221" s="36"/>
      <c r="GD221" s="36"/>
      <c r="GE221" s="37"/>
      <c r="GF221" s="44"/>
      <c r="GG221" s="36"/>
      <c r="GH221" s="36"/>
      <c r="GI221" s="36"/>
      <c r="GJ221" s="36"/>
      <c r="GK221" s="36"/>
      <c r="GL221" s="36"/>
      <c r="GM221" s="36"/>
      <c r="GN221" s="36"/>
      <c r="GO221" s="36"/>
      <c r="GP221" s="36"/>
      <c r="GQ221" s="36"/>
      <c r="GR221" s="36"/>
      <c r="GS221" s="36"/>
      <c r="GT221" s="36"/>
      <c r="GU221" s="36"/>
      <c r="GV221" s="37"/>
      <c r="GW221" s="44"/>
      <c r="GX221" s="36"/>
      <c r="GY221" s="36"/>
      <c r="GZ221" s="36"/>
      <c r="HA221" s="36"/>
      <c r="HB221" s="36"/>
      <c r="HC221" s="36"/>
      <c r="HD221" s="36"/>
      <c r="HE221" s="36"/>
      <c r="HF221" s="36"/>
      <c r="HG221" s="36"/>
      <c r="HH221" s="36"/>
      <c r="HI221" s="36"/>
      <c r="HJ221" s="36"/>
      <c r="HK221" s="36"/>
      <c r="HL221" s="36"/>
      <c r="HM221" s="37"/>
      <c r="HN221" s="44"/>
      <c r="HO221" s="36"/>
      <c r="HP221" s="36"/>
      <c r="HQ221" s="36"/>
      <c r="HR221" s="36"/>
      <c r="HS221" s="36"/>
      <c r="HT221" s="36"/>
      <c r="HU221" s="36"/>
      <c r="HV221" s="36"/>
      <c r="HW221" s="36"/>
      <c r="HX221" s="36"/>
      <c r="HY221" s="36"/>
      <c r="HZ221" s="36"/>
      <c r="IA221" s="36"/>
      <c r="IB221" s="36"/>
      <c r="IC221" s="36"/>
      <c r="ID221" s="37"/>
      <c r="IE221" s="44"/>
      <c r="IF221" s="36"/>
      <c r="IG221" s="36"/>
      <c r="IH221" s="36"/>
      <c r="II221" s="36"/>
      <c r="IJ221" s="36"/>
      <c r="IK221" s="36"/>
      <c r="IL221" s="36"/>
      <c r="IM221" s="36"/>
      <c r="IN221" s="36"/>
      <c r="IO221" s="36"/>
      <c r="IP221" s="36"/>
      <c r="IQ221" s="36"/>
      <c r="IR221" s="36"/>
      <c r="IS221" s="36"/>
      <c r="IT221" s="36"/>
      <c r="IU221" s="37"/>
      <c r="IV221" s="44"/>
      <c r="IW221" s="36"/>
      <c r="IX221" s="36"/>
      <c r="IY221" s="36"/>
      <c r="IZ221" s="36"/>
      <c r="JA221" s="36"/>
      <c r="JB221" s="36"/>
      <c r="JC221" s="36"/>
      <c r="JD221" s="36"/>
      <c r="JE221" s="36"/>
      <c r="JF221" s="36"/>
      <c r="JG221" s="36"/>
      <c r="JH221" s="36"/>
      <c r="JI221" s="36"/>
      <c r="JJ221" s="36"/>
      <c r="JK221" s="36"/>
      <c r="JL221" s="37"/>
      <c r="JM221" s="44"/>
      <c r="JN221" s="36"/>
      <c r="JO221" s="36"/>
      <c r="JP221" s="36"/>
      <c r="JQ221" s="36"/>
      <c r="JR221" s="36"/>
      <c r="JS221" s="36"/>
      <c r="JT221" s="36"/>
      <c r="JU221" s="36"/>
      <c r="JV221" s="36"/>
      <c r="JW221" s="36"/>
      <c r="JX221" s="36"/>
      <c r="JY221" s="36"/>
      <c r="JZ221" s="36"/>
      <c r="KA221" s="36"/>
      <c r="KB221" s="36"/>
      <c r="KC221" s="37"/>
      <c r="KD221" s="44"/>
      <c r="KE221" s="36"/>
      <c r="KF221" s="36"/>
      <c r="KG221" s="36"/>
      <c r="KH221" s="36"/>
      <c r="KI221" s="36"/>
      <c r="KJ221" s="36"/>
      <c r="KK221" s="36"/>
      <c r="KL221" s="36"/>
      <c r="KM221" s="36"/>
      <c r="KN221" s="36"/>
      <c r="KO221" s="36"/>
      <c r="KP221" s="36"/>
      <c r="KQ221" s="36"/>
      <c r="KR221" s="36"/>
      <c r="KS221" s="36"/>
      <c r="KT221" s="37"/>
      <c r="KU221" s="36"/>
    </row>
    <row r="222" ht="15.0" customHeight="1">
      <c r="A222" s="44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7"/>
      <c r="R222" s="44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7"/>
      <c r="AI222" s="44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  <c r="AU222" s="36"/>
      <c r="AV222" s="36"/>
      <c r="AW222" s="36"/>
      <c r="AX222" s="36"/>
      <c r="AY222" s="37"/>
      <c r="AZ222" s="44"/>
      <c r="BA222" s="36"/>
      <c r="BB222" s="36"/>
      <c r="BC222" s="36"/>
      <c r="BD222" s="36"/>
      <c r="BE222" s="36"/>
      <c r="BF222" s="36"/>
      <c r="BG222" s="36"/>
      <c r="BH222" s="36"/>
      <c r="BI222" s="36"/>
      <c r="BJ222" s="36"/>
      <c r="BK222" s="36"/>
      <c r="BL222" s="36"/>
      <c r="BM222" s="36"/>
      <c r="BN222" s="36"/>
      <c r="BO222" s="36"/>
      <c r="BP222" s="37"/>
      <c r="BQ222" s="44"/>
      <c r="BR222" s="36"/>
      <c r="BS222" s="36"/>
      <c r="BT222" s="36"/>
      <c r="BU222" s="36"/>
      <c r="BV222" s="36"/>
      <c r="BW222" s="36"/>
      <c r="BX222" s="36"/>
      <c r="BY222" s="36"/>
      <c r="BZ222" s="36"/>
      <c r="CA222" s="36"/>
      <c r="CB222" s="36"/>
      <c r="CC222" s="36"/>
      <c r="CD222" s="36"/>
      <c r="CE222" s="36"/>
      <c r="CF222" s="36"/>
      <c r="CG222" s="37"/>
      <c r="CH222" s="44"/>
      <c r="CI222" s="36"/>
      <c r="CJ222" s="36"/>
      <c r="CK222" s="36"/>
      <c r="CL222" s="36"/>
      <c r="CM222" s="36"/>
      <c r="CN222" s="36"/>
      <c r="CO222" s="36"/>
      <c r="CP222" s="36"/>
      <c r="CQ222" s="36"/>
      <c r="CR222" s="36"/>
      <c r="CS222" s="36"/>
      <c r="CT222" s="36"/>
      <c r="CU222" s="36"/>
      <c r="CV222" s="36"/>
      <c r="CW222" s="36"/>
      <c r="CX222" s="37"/>
      <c r="CY222" s="44"/>
      <c r="CZ222" s="36"/>
      <c r="DA222" s="36"/>
      <c r="DB222" s="36"/>
      <c r="DC222" s="36"/>
      <c r="DD222" s="36"/>
      <c r="DE222" s="36"/>
      <c r="DF222" s="36"/>
      <c r="DG222" s="36"/>
      <c r="DH222" s="36"/>
      <c r="DI222" s="36"/>
      <c r="DJ222" s="36"/>
      <c r="DK222" s="36"/>
      <c r="DL222" s="36"/>
      <c r="DM222" s="36"/>
      <c r="DN222" s="36"/>
      <c r="DO222" s="37"/>
      <c r="DP222" s="44"/>
      <c r="DQ222" s="36"/>
      <c r="DR222" s="36"/>
      <c r="DS222" s="36"/>
      <c r="DT222" s="36"/>
      <c r="DU222" s="36"/>
      <c r="DV222" s="36"/>
      <c r="DW222" s="36"/>
      <c r="DX222" s="36"/>
      <c r="DY222" s="36"/>
      <c r="DZ222" s="36"/>
      <c r="EA222" s="36"/>
      <c r="EB222" s="36"/>
      <c r="EC222" s="36"/>
      <c r="ED222" s="36"/>
      <c r="EE222" s="36"/>
      <c r="EF222" s="37"/>
      <c r="EG222" s="44"/>
      <c r="EH222" s="36"/>
      <c r="EI222" s="36"/>
      <c r="EJ222" s="36"/>
      <c r="EK222" s="36"/>
      <c r="EL222" s="36"/>
      <c r="EM222" s="36"/>
      <c r="EN222" s="36"/>
      <c r="EO222" s="36"/>
      <c r="EP222" s="36"/>
      <c r="EQ222" s="36"/>
      <c r="ER222" s="36"/>
      <c r="ES222" s="36"/>
      <c r="ET222" s="36"/>
      <c r="EU222" s="36"/>
      <c r="EV222" s="36"/>
      <c r="EW222" s="37"/>
      <c r="EX222" s="44"/>
      <c r="EY222" s="36"/>
      <c r="EZ222" s="36"/>
      <c r="FA222" s="36"/>
      <c r="FB222" s="36"/>
      <c r="FC222" s="36"/>
      <c r="FD222" s="36"/>
      <c r="FE222" s="36"/>
      <c r="FF222" s="36"/>
      <c r="FG222" s="36"/>
      <c r="FH222" s="36"/>
      <c r="FI222" s="36"/>
      <c r="FJ222" s="36"/>
      <c r="FK222" s="36"/>
      <c r="FL222" s="36"/>
      <c r="FM222" s="36"/>
      <c r="FN222" s="37"/>
      <c r="FO222" s="44"/>
      <c r="FP222" s="36"/>
      <c r="FQ222" s="36"/>
      <c r="FR222" s="36"/>
      <c r="FS222" s="36"/>
      <c r="FT222" s="36"/>
      <c r="FU222" s="36"/>
      <c r="FV222" s="36"/>
      <c r="FW222" s="36"/>
      <c r="FX222" s="36"/>
      <c r="FY222" s="36"/>
      <c r="FZ222" s="36"/>
      <c r="GA222" s="36"/>
      <c r="GB222" s="36"/>
      <c r="GC222" s="36"/>
      <c r="GD222" s="36"/>
      <c r="GE222" s="37"/>
      <c r="GF222" s="44"/>
      <c r="GG222" s="36"/>
      <c r="GH222" s="36"/>
      <c r="GI222" s="36"/>
      <c r="GJ222" s="36"/>
      <c r="GK222" s="36"/>
      <c r="GL222" s="36"/>
      <c r="GM222" s="36"/>
      <c r="GN222" s="36"/>
      <c r="GO222" s="36"/>
      <c r="GP222" s="36"/>
      <c r="GQ222" s="36"/>
      <c r="GR222" s="36"/>
      <c r="GS222" s="36"/>
      <c r="GT222" s="36"/>
      <c r="GU222" s="36"/>
      <c r="GV222" s="37"/>
      <c r="GW222" s="44"/>
      <c r="GX222" s="36"/>
      <c r="GY222" s="36"/>
      <c r="GZ222" s="36"/>
      <c r="HA222" s="36"/>
      <c r="HB222" s="36"/>
      <c r="HC222" s="36"/>
      <c r="HD222" s="36"/>
      <c r="HE222" s="36"/>
      <c r="HF222" s="36"/>
      <c r="HG222" s="36"/>
      <c r="HH222" s="36"/>
      <c r="HI222" s="36"/>
      <c r="HJ222" s="36"/>
      <c r="HK222" s="36"/>
      <c r="HL222" s="36"/>
      <c r="HM222" s="37"/>
      <c r="HN222" s="44"/>
      <c r="HO222" s="36"/>
      <c r="HP222" s="36"/>
      <c r="HQ222" s="36"/>
      <c r="HR222" s="36"/>
      <c r="HS222" s="36"/>
      <c r="HT222" s="36"/>
      <c r="HU222" s="36"/>
      <c r="HV222" s="36"/>
      <c r="HW222" s="36"/>
      <c r="HX222" s="36"/>
      <c r="HY222" s="36"/>
      <c r="HZ222" s="36"/>
      <c r="IA222" s="36"/>
      <c r="IB222" s="36"/>
      <c r="IC222" s="36"/>
      <c r="ID222" s="37"/>
      <c r="IE222" s="44"/>
      <c r="IF222" s="36"/>
      <c r="IG222" s="36"/>
      <c r="IH222" s="36"/>
      <c r="II222" s="36"/>
      <c r="IJ222" s="36"/>
      <c r="IK222" s="36"/>
      <c r="IL222" s="36"/>
      <c r="IM222" s="36"/>
      <c r="IN222" s="36"/>
      <c r="IO222" s="36"/>
      <c r="IP222" s="36"/>
      <c r="IQ222" s="36"/>
      <c r="IR222" s="36"/>
      <c r="IS222" s="36"/>
      <c r="IT222" s="36"/>
      <c r="IU222" s="37"/>
      <c r="IV222" s="44"/>
      <c r="IW222" s="36"/>
      <c r="IX222" s="36"/>
      <c r="IY222" s="36"/>
      <c r="IZ222" s="36"/>
      <c r="JA222" s="36"/>
      <c r="JB222" s="36"/>
      <c r="JC222" s="36"/>
      <c r="JD222" s="36"/>
      <c r="JE222" s="36"/>
      <c r="JF222" s="36"/>
      <c r="JG222" s="36"/>
      <c r="JH222" s="36"/>
      <c r="JI222" s="36"/>
      <c r="JJ222" s="36"/>
      <c r="JK222" s="36"/>
      <c r="JL222" s="37"/>
      <c r="JM222" s="44"/>
      <c r="JN222" s="36"/>
      <c r="JO222" s="36"/>
      <c r="JP222" s="36"/>
      <c r="JQ222" s="36"/>
      <c r="JR222" s="36"/>
      <c r="JS222" s="36"/>
      <c r="JT222" s="36"/>
      <c r="JU222" s="36"/>
      <c r="JV222" s="36"/>
      <c r="JW222" s="36"/>
      <c r="JX222" s="36"/>
      <c r="JY222" s="36"/>
      <c r="JZ222" s="36"/>
      <c r="KA222" s="36"/>
      <c r="KB222" s="36"/>
      <c r="KC222" s="37"/>
      <c r="KD222" s="44"/>
      <c r="KE222" s="36"/>
      <c r="KF222" s="36"/>
      <c r="KG222" s="36"/>
      <c r="KH222" s="36"/>
      <c r="KI222" s="36"/>
      <c r="KJ222" s="36"/>
      <c r="KK222" s="36"/>
      <c r="KL222" s="36"/>
      <c r="KM222" s="36"/>
      <c r="KN222" s="36"/>
      <c r="KO222" s="36"/>
      <c r="KP222" s="36"/>
      <c r="KQ222" s="36"/>
      <c r="KR222" s="36"/>
      <c r="KS222" s="36"/>
      <c r="KT222" s="37"/>
      <c r="KU222" s="36"/>
    </row>
    <row r="223" ht="15.0" customHeight="1">
      <c r="A223" s="44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7"/>
      <c r="R223" s="44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7"/>
      <c r="AI223" s="44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  <c r="AU223" s="36"/>
      <c r="AV223" s="36"/>
      <c r="AW223" s="36"/>
      <c r="AX223" s="36"/>
      <c r="AY223" s="37"/>
      <c r="AZ223" s="44"/>
      <c r="BA223" s="36"/>
      <c r="BB223" s="36"/>
      <c r="BC223" s="36"/>
      <c r="BD223" s="36"/>
      <c r="BE223" s="36"/>
      <c r="BF223" s="36"/>
      <c r="BG223" s="36"/>
      <c r="BH223" s="36"/>
      <c r="BI223" s="36"/>
      <c r="BJ223" s="36"/>
      <c r="BK223" s="36"/>
      <c r="BL223" s="36"/>
      <c r="BM223" s="36"/>
      <c r="BN223" s="36"/>
      <c r="BO223" s="36"/>
      <c r="BP223" s="37"/>
      <c r="BQ223" s="44"/>
      <c r="BR223" s="36"/>
      <c r="BS223" s="36"/>
      <c r="BT223" s="36"/>
      <c r="BU223" s="36"/>
      <c r="BV223" s="36"/>
      <c r="BW223" s="36"/>
      <c r="BX223" s="36"/>
      <c r="BY223" s="36"/>
      <c r="BZ223" s="36"/>
      <c r="CA223" s="36"/>
      <c r="CB223" s="36"/>
      <c r="CC223" s="36"/>
      <c r="CD223" s="36"/>
      <c r="CE223" s="36"/>
      <c r="CF223" s="36"/>
      <c r="CG223" s="37"/>
      <c r="CH223" s="44"/>
      <c r="CI223" s="36"/>
      <c r="CJ223" s="36"/>
      <c r="CK223" s="36"/>
      <c r="CL223" s="36"/>
      <c r="CM223" s="36"/>
      <c r="CN223" s="36"/>
      <c r="CO223" s="36"/>
      <c r="CP223" s="36"/>
      <c r="CQ223" s="36"/>
      <c r="CR223" s="36"/>
      <c r="CS223" s="36"/>
      <c r="CT223" s="36"/>
      <c r="CU223" s="36"/>
      <c r="CV223" s="36"/>
      <c r="CW223" s="36"/>
      <c r="CX223" s="37"/>
      <c r="CY223" s="44"/>
      <c r="CZ223" s="36"/>
      <c r="DA223" s="36"/>
      <c r="DB223" s="36"/>
      <c r="DC223" s="36"/>
      <c r="DD223" s="36"/>
      <c r="DE223" s="36"/>
      <c r="DF223" s="36"/>
      <c r="DG223" s="36"/>
      <c r="DH223" s="36"/>
      <c r="DI223" s="36"/>
      <c r="DJ223" s="36"/>
      <c r="DK223" s="36"/>
      <c r="DL223" s="36"/>
      <c r="DM223" s="36"/>
      <c r="DN223" s="36"/>
      <c r="DO223" s="37"/>
      <c r="DP223" s="44"/>
      <c r="DQ223" s="36"/>
      <c r="DR223" s="36"/>
      <c r="DS223" s="36"/>
      <c r="DT223" s="36"/>
      <c r="DU223" s="36"/>
      <c r="DV223" s="36"/>
      <c r="DW223" s="36"/>
      <c r="DX223" s="36"/>
      <c r="DY223" s="36"/>
      <c r="DZ223" s="36"/>
      <c r="EA223" s="36"/>
      <c r="EB223" s="36"/>
      <c r="EC223" s="36"/>
      <c r="ED223" s="36"/>
      <c r="EE223" s="36"/>
      <c r="EF223" s="37"/>
      <c r="EG223" s="44"/>
      <c r="EH223" s="36"/>
      <c r="EI223" s="36"/>
      <c r="EJ223" s="36"/>
      <c r="EK223" s="36"/>
      <c r="EL223" s="36"/>
      <c r="EM223" s="36"/>
      <c r="EN223" s="36"/>
      <c r="EO223" s="36"/>
      <c r="EP223" s="36"/>
      <c r="EQ223" s="36"/>
      <c r="ER223" s="36"/>
      <c r="ES223" s="36"/>
      <c r="ET223" s="36"/>
      <c r="EU223" s="36"/>
      <c r="EV223" s="36"/>
      <c r="EW223" s="37"/>
      <c r="EX223" s="44"/>
      <c r="EY223" s="36"/>
      <c r="EZ223" s="36"/>
      <c r="FA223" s="36"/>
      <c r="FB223" s="36"/>
      <c r="FC223" s="36"/>
      <c r="FD223" s="36"/>
      <c r="FE223" s="36"/>
      <c r="FF223" s="36"/>
      <c r="FG223" s="36"/>
      <c r="FH223" s="36"/>
      <c r="FI223" s="36"/>
      <c r="FJ223" s="36"/>
      <c r="FK223" s="36"/>
      <c r="FL223" s="36"/>
      <c r="FM223" s="36"/>
      <c r="FN223" s="37"/>
      <c r="FO223" s="44"/>
      <c r="FP223" s="36"/>
      <c r="FQ223" s="36"/>
      <c r="FR223" s="36"/>
      <c r="FS223" s="36"/>
      <c r="FT223" s="36"/>
      <c r="FU223" s="36"/>
      <c r="FV223" s="36"/>
      <c r="FW223" s="36"/>
      <c r="FX223" s="36"/>
      <c r="FY223" s="36"/>
      <c r="FZ223" s="36"/>
      <c r="GA223" s="36"/>
      <c r="GB223" s="36"/>
      <c r="GC223" s="36"/>
      <c r="GD223" s="36"/>
      <c r="GE223" s="37"/>
      <c r="GF223" s="44"/>
      <c r="GG223" s="36"/>
      <c r="GH223" s="36"/>
      <c r="GI223" s="36"/>
      <c r="GJ223" s="36"/>
      <c r="GK223" s="36"/>
      <c r="GL223" s="36"/>
      <c r="GM223" s="36"/>
      <c r="GN223" s="36"/>
      <c r="GO223" s="36"/>
      <c r="GP223" s="36"/>
      <c r="GQ223" s="36"/>
      <c r="GR223" s="36"/>
      <c r="GS223" s="36"/>
      <c r="GT223" s="36"/>
      <c r="GU223" s="36"/>
      <c r="GV223" s="37"/>
      <c r="GW223" s="44"/>
      <c r="GX223" s="36"/>
      <c r="GY223" s="36"/>
      <c r="GZ223" s="36"/>
      <c r="HA223" s="36"/>
      <c r="HB223" s="36"/>
      <c r="HC223" s="36"/>
      <c r="HD223" s="36"/>
      <c r="HE223" s="36"/>
      <c r="HF223" s="36"/>
      <c r="HG223" s="36"/>
      <c r="HH223" s="36"/>
      <c r="HI223" s="36"/>
      <c r="HJ223" s="36"/>
      <c r="HK223" s="36"/>
      <c r="HL223" s="36"/>
      <c r="HM223" s="37"/>
      <c r="HN223" s="44"/>
      <c r="HO223" s="36"/>
      <c r="HP223" s="36"/>
      <c r="HQ223" s="36"/>
      <c r="HR223" s="36"/>
      <c r="HS223" s="36"/>
      <c r="HT223" s="36"/>
      <c r="HU223" s="36"/>
      <c r="HV223" s="36"/>
      <c r="HW223" s="36"/>
      <c r="HX223" s="36"/>
      <c r="HY223" s="36"/>
      <c r="HZ223" s="36"/>
      <c r="IA223" s="36"/>
      <c r="IB223" s="36"/>
      <c r="IC223" s="36"/>
      <c r="ID223" s="37"/>
      <c r="IE223" s="44"/>
      <c r="IF223" s="36"/>
      <c r="IG223" s="36"/>
      <c r="IH223" s="36"/>
      <c r="II223" s="36"/>
      <c r="IJ223" s="36"/>
      <c r="IK223" s="36"/>
      <c r="IL223" s="36"/>
      <c r="IM223" s="36"/>
      <c r="IN223" s="36"/>
      <c r="IO223" s="36"/>
      <c r="IP223" s="36"/>
      <c r="IQ223" s="36"/>
      <c r="IR223" s="36"/>
      <c r="IS223" s="36"/>
      <c r="IT223" s="36"/>
      <c r="IU223" s="37"/>
      <c r="IV223" s="44"/>
      <c r="IW223" s="36"/>
      <c r="IX223" s="36"/>
      <c r="IY223" s="36"/>
      <c r="IZ223" s="36"/>
      <c r="JA223" s="36"/>
      <c r="JB223" s="36"/>
      <c r="JC223" s="36"/>
      <c r="JD223" s="36"/>
      <c r="JE223" s="36"/>
      <c r="JF223" s="36"/>
      <c r="JG223" s="36"/>
      <c r="JH223" s="36"/>
      <c r="JI223" s="36"/>
      <c r="JJ223" s="36"/>
      <c r="JK223" s="36"/>
      <c r="JL223" s="37"/>
      <c r="JM223" s="44"/>
      <c r="JN223" s="36"/>
      <c r="JO223" s="36"/>
      <c r="JP223" s="36"/>
      <c r="JQ223" s="36"/>
      <c r="JR223" s="36"/>
      <c r="JS223" s="36"/>
      <c r="JT223" s="36"/>
      <c r="JU223" s="36"/>
      <c r="JV223" s="36"/>
      <c r="JW223" s="36"/>
      <c r="JX223" s="36"/>
      <c r="JY223" s="36"/>
      <c r="JZ223" s="36"/>
      <c r="KA223" s="36"/>
      <c r="KB223" s="36"/>
      <c r="KC223" s="37"/>
      <c r="KD223" s="44"/>
      <c r="KE223" s="36"/>
      <c r="KF223" s="36"/>
      <c r="KG223" s="36"/>
      <c r="KH223" s="36"/>
      <c r="KI223" s="36"/>
      <c r="KJ223" s="36"/>
      <c r="KK223" s="36"/>
      <c r="KL223" s="36"/>
      <c r="KM223" s="36"/>
      <c r="KN223" s="36"/>
      <c r="KO223" s="36"/>
      <c r="KP223" s="36"/>
      <c r="KQ223" s="36"/>
      <c r="KR223" s="36"/>
      <c r="KS223" s="36"/>
      <c r="KT223" s="37"/>
      <c r="KU223" s="36"/>
    </row>
    <row r="224" ht="15.0" customHeight="1">
      <c r="A224" s="44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7"/>
      <c r="R224" s="44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7"/>
      <c r="AI224" s="44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  <c r="AU224" s="36"/>
      <c r="AV224" s="36"/>
      <c r="AW224" s="36"/>
      <c r="AX224" s="36"/>
      <c r="AY224" s="37"/>
      <c r="AZ224" s="44"/>
      <c r="BA224" s="36"/>
      <c r="BB224" s="36"/>
      <c r="BC224" s="36"/>
      <c r="BD224" s="36"/>
      <c r="BE224" s="36"/>
      <c r="BF224" s="36"/>
      <c r="BG224" s="36"/>
      <c r="BH224" s="36"/>
      <c r="BI224" s="36"/>
      <c r="BJ224" s="36"/>
      <c r="BK224" s="36"/>
      <c r="BL224" s="36"/>
      <c r="BM224" s="36"/>
      <c r="BN224" s="36"/>
      <c r="BO224" s="36"/>
      <c r="BP224" s="37"/>
      <c r="BQ224" s="44"/>
      <c r="BR224" s="36"/>
      <c r="BS224" s="36"/>
      <c r="BT224" s="36"/>
      <c r="BU224" s="36"/>
      <c r="BV224" s="36"/>
      <c r="BW224" s="36"/>
      <c r="BX224" s="36"/>
      <c r="BY224" s="36"/>
      <c r="BZ224" s="36"/>
      <c r="CA224" s="36"/>
      <c r="CB224" s="36"/>
      <c r="CC224" s="36"/>
      <c r="CD224" s="36"/>
      <c r="CE224" s="36"/>
      <c r="CF224" s="36"/>
      <c r="CG224" s="37"/>
      <c r="CH224" s="44"/>
      <c r="CI224" s="36"/>
      <c r="CJ224" s="36"/>
      <c r="CK224" s="36"/>
      <c r="CL224" s="36"/>
      <c r="CM224" s="36"/>
      <c r="CN224" s="36"/>
      <c r="CO224" s="36"/>
      <c r="CP224" s="36"/>
      <c r="CQ224" s="36"/>
      <c r="CR224" s="36"/>
      <c r="CS224" s="36"/>
      <c r="CT224" s="36"/>
      <c r="CU224" s="36"/>
      <c r="CV224" s="36"/>
      <c r="CW224" s="36"/>
      <c r="CX224" s="37"/>
      <c r="CY224" s="44"/>
      <c r="CZ224" s="36"/>
      <c r="DA224" s="36"/>
      <c r="DB224" s="36"/>
      <c r="DC224" s="36"/>
      <c r="DD224" s="36"/>
      <c r="DE224" s="36"/>
      <c r="DF224" s="36"/>
      <c r="DG224" s="36"/>
      <c r="DH224" s="36"/>
      <c r="DI224" s="36"/>
      <c r="DJ224" s="36"/>
      <c r="DK224" s="36"/>
      <c r="DL224" s="36"/>
      <c r="DM224" s="36"/>
      <c r="DN224" s="36"/>
      <c r="DO224" s="37"/>
      <c r="DP224" s="44"/>
      <c r="DQ224" s="36"/>
      <c r="DR224" s="36"/>
      <c r="DS224" s="36"/>
      <c r="DT224" s="36"/>
      <c r="DU224" s="36"/>
      <c r="DV224" s="36"/>
      <c r="DW224" s="36"/>
      <c r="DX224" s="36"/>
      <c r="DY224" s="36"/>
      <c r="DZ224" s="36"/>
      <c r="EA224" s="36"/>
      <c r="EB224" s="36"/>
      <c r="EC224" s="36"/>
      <c r="ED224" s="36"/>
      <c r="EE224" s="36"/>
      <c r="EF224" s="37"/>
      <c r="EG224" s="44"/>
      <c r="EH224" s="36"/>
      <c r="EI224" s="36"/>
      <c r="EJ224" s="36"/>
      <c r="EK224" s="36"/>
      <c r="EL224" s="36"/>
      <c r="EM224" s="36"/>
      <c r="EN224" s="36"/>
      <c r="EO224" s="36"/>
      <c r="EP224" s="36"/>
      <c r="EQ224" s="36"/>
      <c r="ER224" s="36"/>
      <c r="ES224" s="36"/>
      <c r="ET224" s="36"/>
      <c r="EU224" s="36"/>
      <c r="EV224" s="36"/>
      <c r="EW224" s="37"/>
      <c r="EX224" s="44"/>
      <c r="EY224" s="36"/>
      <c r="EZ224" s="36"/>
      <c r="FA224" s="36"/>
      <c r="FB224" s="36"/>
      <c r="FC224" s="36"/>
      <c r="FD224" s="36"/>
      <c r="FE224" s="36"/>
      <c r="FF224" s="36"/>
      <c r="FG224" s="36"/>
      <c r="FH224" s="36"/>
      <c r="FI224" s="36"/>
      <c r="FJ224" s="36"/>
      <c r="FK224" s="36"/>
      <c r="FL224" s="36"/>
      <c r="FM224" s="36"/>
      <c r="FN224" s="37"/>
      <c r="FO224" s="44"/>
      <c r="FP224" s="36"/>
      <c r="FQ224" s="36"/>
      <c r="FR224" s="36"/>
      <c r="FS224" s="36"/>
      <c r="FT224" s="36"/>
      <c r="FU224" s="36"/>
      <c r="FV224" s="36"/>
      <c r="FW224" s="36"/>
      <c r="FX224" s="36"/>
      <c r="FY224" s="36"/>
      <c r="FZ224" s="36"/>
      <c r="GA224" s="36"/>
      <c r="GB224" s="36"/>
      <c r="GC224" s="36"/>
      <c r="GD224" s="36"/>
      <c r="GE224" s="37"/>
      <c r="GF224" s="44"/>
      <c r="GG224" s="36"/>
      <c r="GH224" s="36"/>
      <c r="GI224" s="36"/>
      <c r="GJ224" s="36"/>
      <c r="GK224" s="36"/>
      <c r="GL224" s="36"/>
      <c r="GM224" s="36"/>
      <c r="GN224" s="36"/>
      <c r="GO224" s="36"/>
      <c r="GP224" s="36"/>
      <c r="GQ224" s="36"/>
      <c r="GR224" s="36"/>
      <c r="GS224" s="36"/>
      <c r="GT224" s="36"/>
      <c r="GU224" s="36"/>
      <c r="GV224" s="37"/>
      <c r="GW224" s="44"/>
      <c r="GX224" s="36"/>
      <c r="GY224" s="36"/>
      <c r="GZ224" s="36"/>
      <c r="HA224" s="36"/>
      <c r="HB224" s="36"/>
      <c r="HC224" s="36"/>
      <c r="HD224" s="36"/>
      <c r="HE224" s="36"/>
      <c r="HF224" s="36"/>
      <c r="HG224" s="36"/>
      <c r="HH224" s="36"/>
      <c r="HI224" s="36"/>
      <c r="HJ224" s="36"/>
      <c r="HK224" s="36"/>
      <c r="HL224" s="36"/>
      <c r="HM224" s="37"/>
      <c r="HN224" s="44"/>
      <c r="HO224" s="36"/>
      <c r="HP224" s="36"/>
      <c r="HQ224" s="36"/>
      <c r="HR224" s="36"/>
      <c r="HS224" s="36"/>
      <c r="HT224" s="36"/>
      <c r="HU224" s="36"/>
      <c r="HV224" s="36"/>
      <c r="HW224" s="36"/>
      <c r="HX224" s="36"/>
      <c r="HY224" s="36"/>
      <c r="HZ224" s="36"/>
      <c r="IA224" s="36"/>
      <c r="IB224" s="36"/>
      <c r="IC224" s="36"/>
      <c r="ID224" s="37"/>
      <c r="IE224" s="44"/>
      <c r="IF224" s="36"/>
      <c r="IG224" s="36"/>
      <c r="IH224" s="36"/>
      <c r="II224" s="36"/>
      <c r="IJ224" s="36"/>
      <c r="IK224" s="36"/>
      <c r="IL224" s="36"/>
      <c r="IM224" s="36"/>
      <c r="IN224" s="36"/>
      <c r="IO224" s="36"/>
      <c r="IP224" s="36"/>
      <c r="IQ224" s="36"/>
      <c r="IR224" s="36"/>
      <c r="IS224" s="36"/>
      <c r="IT224" s="36"/>
      <c r="IU224" s="37"/>
      <c r="IV224" s="44"/>
      <c r="IW224" s="36"/>
      <c r="IX224" s="36"/>
      <c r="IY224" s="36"/>
      <c r="IZ224" s="36"/>
      <c r="JA224" s="36"/>
      <c r="JB224" s="36"/>
      <c r="JC224" s="36"/>
      <c r="JD224" s="36"/>
      <c r="JE224" s="36"/>
      <c r="JF224" s="36"/>
      <c r="JG224" s="36"/>
      <c r="JH224" s="36"/>
      <c r="JI224" s="36"/>
      <c r="JJ224" s="36"/>
      <c r="JK224" s="36"/>
      <c r="JL224" s="37"/>
      <c r="JM224" s="44"/>
      <c r="JN224" s="36"/>
      <c r="JO224" s="36"/>
      <c r="JP224" s="36"/>
      <c r="JQ224" s="36"/>
      <c r="JR224" s="36"/>
      <c r="JS224" s="36"/>
      <c r="JT224" s="36"/>
      <c r="JU224" s="36"/>
      <c r="JV224" s="36"/>
      <c r="JW224" s="36"/>
      <c r="JX224" s="36"/>
      <c r="JY224" s="36"/>
      <c r="JZ224" s="36"/>
      <c r="KA224" s="36"/>
      <c r="KB224" s="36"/>
      <c r="KC224" s="37"/>
      <c r="KD224" s="44"/>
      <c r="KE224" s="36"/>
      <c r="KF224" s="36"/>
      <c r="KG224" s="36"/>
      <c r="KH224" s="36"/>
      <c r="KI224" s="36"/>
      <c r="KJ224" s="36"/>
      <c r="KK224" s="36"/>
      <c r="KL224" s="36"/>
      <c r="KM224" s="36"/>
      <c r="KN224" s="36"/>
      <c r="KO224" s="36"/>
      <c r="KP224" s="36"/>
      <c r="KQ224" s="36"/>
      <c r="KR224" s="36"/>
      <c r="KS224" s="36"/>
      <c r="KT224" s="37"/>
      <c r="KU224" s="36"/>
    </row>
    <row r="225" ht="15.0" customHeight="1">
      <c r="A225" s="44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7"/>
      <c r="R225" s="44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7"/>
      <c r="AI225" s="44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  <c r="AU225" s="36"/>
      <c r="AV225" s="36"/>
      <c r="AW225" s="36"/>
      <c r="AX225" s="36"/>
      <c r="AY225" s="37"/>
      <c r="AZ225" s="44"/>
      <c r="BA225" s="36"/>
      <c r="BB225" s="36"/>
      <c r="BC225" s="36"/>
      <c r="BD225" s="36"/>
      <c r="BE225" s="36"/>
      <c r="BF225" s="36"/>
      <c r="BG225" s="36"/>
      <c r="BH225" s="36"/>
      <c r="BI225" s="36"/>
      <c r="BJ225" s="36"/>
      <c r="BK225" s="36"/>
      <c r="BL225" s="36"/>
      <c r="BM225" s="36"/>
      <c r="BN225" s="36"/>
      <c r="BO225" s="36"/>
      <c r="BP225" s="37"/>
      <c r="BQ225" s="44"/>
      <c r="BR225" s="36"/>
      <c r="BS225" s="36"/>
      <c r="BT225" s="36"/>
      <c r="BU225" s="36"/>
      <c r="BV225" s="36"/>
      <c r="BW225" s="36"/>
      <c r="BX225" s="36"/>
      <c r="BY225" s="36"/>
      <c r="BZ225" s="36"/>
      <c r="CA225" s="36"/>
      <c r="CB225" s="36"/>
      <c r="CC225" s="36"/>
      <c r="CD225" s="36"/>
      <c r="CE225" s="36"/>
      <c r="CF225" s="36"/>
      <c r="CG225" s="37"/>
      <c r="CH225" s="44"/>
      <c r="CI225" s="36"/>
      <c r="CJ225" s="36"/>
      <c r="CK225" s="36"/>
      <c r="CL225" s="36"/>
      <c r="CM225" s="36"/>
      <c r="CN225" s="36"/>
      <c r="CO225" s="36"/>
      <c r="CP225" s="36"/>
      <c r="CQ225" s="36"/>
      <c r="CR225" s="36"/>
      <c r="CS225" s="36"/>
      <c r="CT225" s="36"/>
      <c r="CU225" s="36"/>
      <c r="CV225" s="36"/>
      <c r="CW225" s="36"/>
      <c r="CX225" s="37"/>
      <c r="CY225" s="44"/>
      <c r="CZ225" s="36"/>
      <c r="DA225" s="36"/>
      <c r="DB225" s="36"/>
      <c r="DC225" s="36"/>
      <c r="DD225" s="36"/>
      <c r="DE225" s="36"/>
      <c r="DF225" s="36"/>
      <c r="DG225" s="36"/>
      <c r="DH225" s="36"/>
      <c r="DI225" s="36"/>
      <c r="DJ225" s="36"/>
      <c r="DK225" s="36"/>
      <c r="DL225" s="36"/>
      <c r="DM225" s="36"/>
      <c r="DN225" s="36"/>
      <c r="DO225" s="37"/>
      <c r="DP225" s="44"/>
      <c r="DQ225" s="36"/>
      <c r="DR225" s="36"/>
      <c r="DS225" s="36"/>
      <c r="DT225" s="36"/>
      <c r="DU225" s="36"/>
      <c r="DV225" s="36"/>
      <c r="DW225" s="36"/>
      <c r="DX225" s="36"/>
      <c r="DY225" s="36"/>
      <c r="DZ225" s="36"/>
      <c r="EA225" s="36"/>
      <c r="EB225" s="36"/>
      <c r="EC225" s="36"/>
      <c r="ED225" s="36"/>
      <c r="EE225" s="36"/>
      <c r="EF225" s="37"/>
      <c r="EG225" s="44"/>
      <c r="EH225" s="36"/>
      <c r="EI225" s="36"/>
      <c r="EJ225" s="36"/>
      <c r="EK225" s="36"/>
      <c r="EL225" s="36"/>
      <c r="EM225" s="36"/>
      <c r="EN225" s="36"/>
      <c r="EO225" s="36"/>
      <c r="EP225" s="36"/>
      <c r="EQ225" s="36"/>
      <c r="ER225" s="36"/>
      <c r="ES225" s="36"/>
      <c r="ET225" s="36"/>
      <c r="EU225" s="36"/>
      <c r="EV225" s="36"/>
      <c r="EW225" s="37"/>
      <c r="EX225" s="44"/>
      <c r="EY225" s="36"/>
      <c r="EZ225" s="36"/>
      <c r="FA225" s="36"/>
      <c r="FB225" s="36"/>
      <c r="FC225" s="36"/>
      <c r="FD225" s="36"/>
      <c r="FE225" s="36"/>
      <c r="FF225" s="36"/>
      <c r="FG225" s="36"/>
      <c r="FH225" s="36"/>
      <c r="FI225" s="36"/>
      <c r="FJ225" s="36"/>
      <c r="FK225" s="36"/>
      <c r="FL225" s="36"/>
      <c r="FM225" s="36"/>
      <c r="FN225" s="37"/>
      <c r="FO225" s="44"/>
      <c r="FP225" s="36"/>
      <c r="FQ225" s="36"/>
      <c r="FR225" s="36"/>
      <c r="FS225" s="36"/>
      <c r="FT225" s="36"/>
      <c r="FU225" s="36"/>
      <c r="FV225" s="36"/>
      <c r="FW225" s="36"/>
      <c r="FX225" s="36"/>
      <c r="FY225" s="36"/>
      <c r="FZ225" s="36"/>
      <c r="GA225" s="36"/>
      <c r="GB225" s="36"/>
      <c r="GC225" s="36"/>
      <c r="GD225" s="36"/>
      <c r="GE225" s="37"/>
      <c r="GF225" s="44"/>
      <c r="GG225" s="36"/>
      <c r="GH225" s="36"/>
      <c r="GI225" s="36"/>
      <c r="GJ225" s="36"/>
      <c r="GK225" s="36"/>
      <c r="GL225" s="36"/>
      <c r="GM225" s="36"/>
      <c r="GN225" s="36"/>
      <c r="GO225" s="36"/>
      <c r="GP225" s="36"/>
      <c r="GQ225" s="36"/>
      <c r="GR225" s="36"/>
      <c r="GS225" s="36"/>
      <c r="GT225" s="36"/>
      <c r="GU225" s="36"/>
      <c r="GV225" s="37"/>
      <c r="GW225" s="44"/>
      <c r="GX225" s="36"/>
      <c r="GY225" s="36"/>
      <c r="GZ225" s="36"/>
      <c r="HA225" s="36"/>
      <c r="HB225" s="36"/>
      <c r="HC225" s="36"/>
      <c r="HD225" s="36"/>
      <c r="HE225" s="36"/>
      <c r="HF225" s="36"/>
      <c r="HG225" s="36"/>
      <c r="HH225" s="36"/>
      <c r="HI225" s="36"/>
      <c r="HJ225" s="36"/>
      <c r="HK225" s="36"/>
      <c r="HL225" s="36"/>
      <c r="HM225" s="37"/>
      <c r="HN225" s="44"/>
      <c r="HO225" s="36"/>
      <c r="HP225" s="36"/>
      <c r="HQ225" s="36"/>
      <c r="HR225" s="36"/>
      <c r="HS225" s="36"/>
      <c r="HT225" s="36"/>
      <c r="HU225" s="36"/>
      <c r="HV225" s="36"/>
      <c r="HW225" s="36"/>
      <c r="HX225" s="36"/>
      <c r="HY225" s="36"/>
      <c r="HZ225" s="36"/>
      <c r="IA225" s="36"/>
      <c r="IB225" s="36"/>
      <c r="IC225" s="36"/>
      <c r="ID225" s="37"/>
      <c r="IE225" s="44"/>
      <c r="IF225" s="36"/>
      <c r="IG225" s="36"/>
      <c r="IH225" s="36"/>
      <c r="II225" s="36"/>
      <c r="IJ225" s="36"/>
      <c r="IK225" s="36"/>
      <c r="IL225" s="36"/>
      <c r="IM225" s="36"/>
      <c r="IN225" s="36"/>
      <c r="IO225" s="36"/>
      <c r="IP225" s="36"/>
      <c r="IQ225" s="36"/>
      <c r="IR225" s="36"/>
      <c r="IS225" s="36"/>
      <c r="IT225" s="36"/>
      <c r="IU225" s="37"/>
      <c r="IV225" s="44"/>
      <c r="IW225" s="36"/>
      <c r="IX225" s="36"/>
      <c r="IY225" s="36"/>
      <c r="IZ225" s="36"/>
      <c r="JA225" s="36"/>
      <c r="JB225" s="36"/>
      <c r="JC225" s="36"/>
      <c r="JD225" s="36"/>
      <c r="JE225" s="36"/>
      <c r="JF225" s="36"/>
      <c r="JG225" s="36"/>
      <c r="JH225" s="36"/>
      <c r="JI225" s="36"/>
      <c r="JJ225" s="36"/>
      <c r="JK225" s="36"/>
      <c r="JL225" s="37"/>
      <c r="JM225" s="44"/>
      <c r="JN225" s="36"/>
      <c r="JO225" s="36"/>
      <c r="JP225" s="36"/>
      <c r="JQ225" s="36"/>
      <c r="JR225" s="36"/>
      <c r="JS225" s="36"/>
      <c r="JT225" s="36"/>
      <c r="JU225" s="36"/>
      <c r="JV225" s="36"/>
      <c r="JW225" s="36"/>
      <c r="JX225" s="36"/>
      <c r="JY225" s="36"/>
      <c r="JZ225" s="36"/>
      <c r="KA225" s="36"/>
      <c r="KB225" s="36"/>
      <c r="KC225" s="37"/>
      <c r="KD225" s="44"/>
      <c r="KE225" s="36"/>
      <c r="KF225" s="36"/>
      <c r="KG225" s="36"/>
      <c r="KH225" s="36"/>
      <c r="KI225" s="36"/>
      <c r="KJ225" s="36"/>
      <c r="KK225" s="36"/>
      <c r="KL225" s="36"/>
      <c r="KM225" s="36"/>
      <c r="KN225" s="36"/>
      <c r="KO225" s="36"/>
      <c r="KP225" s="36"/>
      <c r="KQ225" s="36"/>
      <c r="KR225" s="36"/>
      <c r="KS225" s="36"/>
      <c r="KT225" s="37"/>
      <c r="KU225" s="36"/>
    </row>
    <row r="226" ht="15.0" customHeight="1">
      <c r="A226" s="44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7"/>
      <c r="R226" s="44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7"/>
      <c r="AI226" s="44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  <c r="AU226" s="36"/>
      <c r="AV226" s="36"/>
      <c r="AW226" s="36"/>
      <c r="AX226" s="36"/>
      <c r="AY226" s="37"/>
      <c r="AZ226" s="44"/>
      <c r="BA226" s="36"/>
      <c r="BB226" s="36"/>
      <c r="BC226" s="36"/>
      <c r="BD226" s="36"/>
      <c r="BE226" s="36"/>
      <c r="BF226" s="36"/>
      <c r="BG226" s="36"/>
      <c r="BH226" s="36"/>
      <c r="BI226" s="36"/>
      <c r="BJ226" s="36"/>
      <c r="BK226" s="36"/>
      <c r="BL226" s="36"/>
      <c r="BM226" s="36"/>
      <c r="BN226" s="36"/>
      <c r="BO226" s="36"/>
      <c r="BP226" s="37"/>
      <c r="BQ226" s="44"/>
      <c r="BR226" s="36"/>
      <c r="BS226" s="36"/>
      <c r="BT226" s="36"/>
      <c r="BU226" s="36"/>
      <c r="BV226" s="36"/>
      <c r="BW226" s="36"/>
      <c r="BX226" s="36"/>
      <c r="BY226" s="36"/>
      <c r="BZ226" s="36"/>
      <c r="CA226" s="36"/>
      <c r="CB226" s="36"/>
      <c r="CC226" s="36"/>
      <c r="CD226" s="36"/>
      <c r="CE226" s="36"/>
      <c r="CF226" s="36"/>
      <c r="CG226" s="37"/>
      <c r="CH226" s="44"/>
      <c r="CI226" s="36"/>
      <c r="CJ226" s="36"/>
      <c r="CK226" s="36"/>
      <c r="CL226" s="36"/>
      <c r="CM226" s="36"/>
      <c r="CN226" s="36"/>
      <c r="CO226" s="36"/>
      <c r="CP226" s="36"/>
      <c r="CQ226" s="36"/>
      <c r="CR226" s="36"/>
      <c r="CS226" s="36"/>
      <c r="CT226" s="36"/>
      <c r="CU226" s="36"/>
      <c r="CV226" s="36"/>
      <c r="CW226" s="36"/>
      <c r="CX226" s="37"/>
      <c r="CY226" s="44"/>
      <c r="CZ226" s="36"/>
      <c r="DA226" s="36"/>
      <c r="DB226" s="36"/>
      <c r="DC226" s="36"/>
      <c r="DD226" s="36"/>
      <c r="DE226" s="36"/>
      <c r="DF226" s="36"/>
      <c r="DG226" s="36"/>
      <c r="DH226" s="36"/>
      <c r="DI226" s="36"/>
      <c r="DJ226" s="36"/>
      <c r="DK226" s="36"/>
      <c r="DL226" s="36"/>
      <c r="DM226" s="36"/>
      <c r="DN226" s="36"/>
      <c r="DO226" s="37"/>
      <c r="DP226" s="44"/>
      <c r="DQ226" s="36"/>
      <c r="DR226" s="36"/>
      <c r="DS226" s="36"/>
      <c r="DT226" s="36"/>
      <c r="DU226" s="36"/>
      <c r="DV226" s="36"/>
      <c r="DW226" s="36"/>
      <c r="DX226" s="36"/>
      <c r="DY226" s="36"/>
      <c r="DZ226" s="36"/>
      <c r="EA226" s="36"/>
      <c r="EB226" s="36"/>
      <c r="EC226" s="36"/>
      <c r="ED226" s="36"/>
      <c r="EE226" s="36"/>
      <c r="EF226" s="37"/>
      <c r="EG226" s="44"/>
      <c r="EH226" s="36"/>
      <c r="EI226" s="36"/>
      <c r="EJ226" s="36"/>
      <c r="EK226" s="36"/>
      <c r="EL226" s="36"/>
      <c r="EM226" s="36"/>
      <c r="EN226" s="36"/>
      <c r="EO226" s="36"/>
      <c r="EP226" s="36"/>
      <c r="EQ226" s="36"/>
      <c r="ER226" s="36"/>
      <c r="ES226" s="36"/>
      <c r="ET226" s="36"/>
      <c r="EU226" s="36"/>
      <c r="EV226" s="36"/>
      <c r="EW226" s="37"/>
      <c r="EX226" s="44"/>
      <c r="EY226" s="36"/>
      <c r="EZ226" s="36"/>
      <c r="FA226" s="36"/>
      <c r="FB226" s="36"/>
      <c r="FC226" s="36"/>
      <c r="FD226" s="36"/>
      <c r="FE226" s="36"/>
      <c r="FF226" s="36"/>
      <c r="FG226" s="36"/>
      <c r="FH226" s="36"/>
      <c r="FI226" s="36"/>
      <c r="FJ226" s="36"/>
      <c r="FK226" s="36"/>
      <c r="FL226" s="36"/>
      <c r="FM226" s="36"/>
      <c r="FN226" s="37"/>
      <c r="FO226" s="44"/>
      <c r="FP226" s="36"/>
      <c r="FQ226" s="36"/>
      <c r="FR226" s="36"/>
      <c r="FS226" s="36"/>
      <c r="FT226" s="36"/>
      <c r="FU226" s="36"/>
      <c r="FV226" s="36"/>
      <c r="FW226" s="36"/>
      <c r="FX226" s="36"/>
      <c r="FY226" s="36"/>
      <c r="FZ226" s="36"/>
      <c r="GA226" s="36"/>
      <c r="GB226" s="36"/>
      <c r="GC226" s="36"/>
      <c r="GD226" s="36"/>
      <c r="GE226" s="37"/>
      <c r="GF226" s="44"/>
      <c r="GG226" s="36"/>
      <c r="GH226" s="36"/>
      <c r="GI226" s="36"/>
      <c r="GJ226" s="36"/>
      <c r="GK226" s="36"/>
      <c r="GL226" s="36"/>
      <c r="GM226" s="36"/>
      <c r="GN226" s="36"/>
      <c r="GO226" s="36"/>
      <c r="GP226" s="36"/>
      <c r="GQ226" s="36"/>
      <c r="GR226" s="36"/>
      <c r="GS226" s="36"/>
      <c r="GT226" s="36"/>
      <c r="GU226" s="36"/>
      <c r="GV226" s="37"/>
      <c r="GW226" s="44"/>
      <c r="GX226" s="36"/>
      <c r="GY226" s="36"/>
      <c r="GZ226" s="36"/>
      <c r="HA226" s="36"/>
      <c r="HB226" s="36"/>
      <c r="HC226" s="36"/>
      <c r="HD226" s="36"/>
      <c r="HE226" s="36"/>
      <c r="HF226" s="36"/>
      <c r="HG226" s="36"/>
      <c r="HH226" s="36"/>
      <c r="HI226" s="36"/>
      <c r="HJ226" s="36"/>
      <c r="HK226" s="36"/>
      <c r="HL226" s="36"/>
      <c r="HM226" s="37"/>
      <c r="HN226" s="44"/>
      <c r="HO226" s="36"/>
      <c r="HP226" s="36"/>
      <c r="HQ226" s="36"/>
      <c r="HR226" s="36"/>
      <c r="HS226" s="36"/>
      <c r="HT226" s="36"/>
      <c r="HU226" s="36"/>
      <c r="HV226" s="36"/>
      <c r="HW226" s="36"/>
      <c r="HX226" s="36"/>
      <c r="HY226" s="36"/>
      <c r="HZ226" s="36"/>
      <c r="IA226" s="36"/>
      <c r="IB226" s="36"/>
      <c r="IC226" s="36"/>
      <c r="ID226" s="37"/>
      <c r="IE226" s="44"/>
      <c r="IF226" s="36"/>
      <c r="IG226" s="36"/>
      <c r="IH226" s="36"/>
      <c r="II226" s="36"/>
      <c r="IJ226" s="36"/>
      <c r="IK226" s="36"/>
      <c r="IL226" s="36"/>
      <c r="IM226" s="36"/>
      <c r="IN226" s="36"/>
      <c r="IO226" s="36"/>
      <c r="IP226" s="36"/>
      <c r="IQ226" s="36"/>
      <c r="IR226" s="36"/>
      <c r="IS226" s="36"/>
      <c r="IT226" s="36"/>
      <c r="IU226" s="37"/>
      <c r="IV226" s="44"/>
      <c r="IW226" s="36"/>
      <c r="IX226" s="36"/>
      <c r="IY226" s="36"/>
      <c r="IZ226" s="36"/>
      <c r="JA226" s="36"/>
      <c r="JB226" s="36"/>
      <c r="JC226" s="36"/>
      <c r="JD226" s="36"/>
      <c r="JE226" s="36"/>
      <c r="JF226" s="36"/>
      <c r="JG226" s="36"/>
      <c r="JH226" s="36"/>
      <c r="JI226" s="36"/>
      <c r="JJ226" s="36"/>
      <c r="JK226" s="36"/>
      <c r="JL226" s="37"/>
      <c r="JM226" s="44"/>
      <c r="JN226" s="36"/>
      <c r="JO226" s="36"/>
      <c r="JP226" s="36"/>
      <c r="JQ226" s="36"/>
      <c r="JR226" s="36"/>
      <c r="JS226" s="36"/>
      <c r="JT226" s="36"/>
      <c r="JU226" s="36"/>
      <c r="JV226" s="36"/>
      <c r="JW226" s="36"/>
      <c r="JX226" s="36"/>
      <c r="JY226" s="36"/>
      <c r="JZ226" s="36"/>
      <c r="KA226" s="36"/>
      <c r="KB226" s="36"/>
      <c r="KC226" s="37"/>
      <c r="KD226" s="44"/>
      <c r="KE226" s="36"/>
      <c r="KF226" s="36"/>
      <c r="KG226" s="36"/>
      <c r="KH226" s="36"/>
      <c r="KI226" s="36"/>
      <c r="KJ226" s="36"/>
      <c r="KK226" s="36"/>
      <c r="KL226" s="36"/>
      <c r="KM226" s="36"/>
      <c r="KN226" s="36"/>
      <c r="KO226" s="36"/>
      <c r="KP226" s="36"/>
      <c r="KQ226" s="36"/>
      <c r="KR226" s="36"/>
      <c r="KS226" s="36"/>
      <c r="KT226" s="37"/>
      <c r="KU226" s="36"/>
    </row>
    <row r="227" ht="15.0" customHeight="1">
      <c r="A227" s="44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7"/>
      <c r="R227" s="44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7"/>
      <c r="AI227" s="44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  <c r="AU227" s="36"/>
      <c r="AV227" s="36"/>
      <c r="AW227" s="36"/>
      <c r="AX227" s="36"/>
      <c r="AY227" s="37"/>
      <c r="AZ227" s="44"/>
      <c r="BA227" s="36"/>
      <c r="BB227" s="36"/>
      <c r="BC227" s="36"/>
      <c r="BD227" s="36"/>
      <c r="BE227" s="36"/>
      <c r="BF227" s="36"/>
      <c r="BG227" s="36"/>
      <c r="BH227" s="36"/>
      <c r="BI227" s="36"/>
      <c r="BJ227" s="36"/>
      <c r="BK227" s="36"/>
      <c r="BL227" s="36"/>
      <c r="BM227" s="36"/>
      <c r="BN227" s="36"/>
      <c r="BO227" s="36"/>
      <c r="BP227" s="37"/>
      <c r="BQ227" s="44"/>
      <c r="BR227" s="36"/>
      <c r="BS227" s="36"/>
      <c r="BT227" s="36"/>
      <c r="BU227" s="36"/>
      <c r="BV227" s="36"/>
      <c r="BW227" s="36"/>
      <c r="BX227" s="36"/>
      <c r="BY227" s="36"/>
      <c r="BZ227" s="36"/>
      <c r="CA227" s="36"/>
      <c r="CB227" s="36"/>
      <c r="CC227" s="36"/>
      <c r="CD227" s="36"/>
      <c r="CE227" s="36"/>
      <c r="CF227" s="36"/>
      <c r="CG227" s="37"/>
      <c r="CH227" s="44"/>
      <c r="CI227" s="36"/>
      <c r="CJ227" s="36"/>
      <c r="CK227" s="36"/>
      <c r="CL227" s="36"/>
      <c r="CM227" s="36"/>
      <c r="CN227" s="36"/>
      <c r="CO227" s="36"/>
      <c r="CP227" s="36"/>
      <c r="CQ227" s="36"/>
      <c r="CR227" s="36"/>
      <c r="CS227" s="36"/>
      <c r="CT227" s="36"/>
      <c r="CU227" s="36"/>
      <c r="CV227" s="36"/>
      <c r="CW227" s="36"/>
      <c r="CX227" s="37"/>
      <c r="CY227" s="44"/>
      <c r="CZ227" s="36"/>
      <c r="DA227" s="36"/>
      <c r="DB227" s="36"/>
      <c r="DC227" s="36"/>
      <c r="DD227" s="36"/>
      <c r="DE227" s="36"/>
      <c r="DF227" s="36"/>
      <c r="DG227" s="36"/>
      <c r="DH227" s="36"/>
      <c r="DI227" s="36"/>
      <c r="DJ227" s="36"/>
      <c r="DK227" s="36"/>
      <c r="DL227" s="36"/>
      <c r="DM227" s="36"/>
      <c r="DN227" s="36"/>
      <c r="DO227" s="37"/>
      <c r="DP227" s="44"/>
      <c r="DQ227" s="36"/>
      <c r="DR227" s="36"/>
      <c r="DS227" s="36"/>
      <c r="DT227" s="36"/>
      <c r="DU227" s="36"/>
      <c r="DV227" s="36"/>
      <c r="DW227" s="36"/>
      <c r="DX227" s="36"/>
      <c r="DY227" s="36"/>
      <c r="DZ227" s="36"/>
      <c r="EA227" s="36"/>
      <c r="EB227" s="36"/>
      <c r="EC227" s="36"/>
      <c r="ED227" s="36"/>
      <c r="EE227" s="36"/>
      <c r="EF227" s="37"/>
      <c r="EG227" s="44"/>
      <c r="EH227" s="36"/>
      <c r="EI227" s="36"/>
      <c r="EJ227" s="36"/>
      <c r="EK227" s="36"/>
      <c r="EL227" s="36"/>
      <c r="EM227" s="36"/>
      <c r="EN227" s="36"/>
      <c r="EO227" s="36"/>
      <c r="EP227" s="36"/>
      <c r="EQ227" s="36"/>
      <c r="ER227" s="36"/>
      <c r="ES227" s="36"/>
      <c r="ET227" s="36"/>
      <c r="EU227" s="36"/>
      <c r="EV227" s="36"/>
      <c r="EW227" s="37"/>
      <c r="EX227" s="44"/>
      <c r="EY227" s="36"/>
      <c r="EZ227" s="36"/>
      <c r="FA227" s="36"/>
      <c r="FB227" s="36"/>
      <c r="FC227" s="36"/>
      <c r="FD227" s="36"/>
      <c r="FE227" s="36"/>
      <c r="FF227" s="36"/>
      <c r="FG227" s="36"/>
      <c r="FH227" s="36"/>
      <c r="FI227" s="36"/>
      <c r="FJ227" s="36"/>
      <c r="FK227" s="36"/>
      <c r="FL227" s="36"/>
      <c r="FM227" s="36"/>
      <c r="FN227" s="37"/>
      <c r="FO227" s="44"/>
      <c r="FP227" s="36"/>
      <c r="FQ227" s="36"/>
      <c r="FR227" s="36"/>
      <c r="FS227" s="36"/>
      <c r="FT227" s="36"/>
      <c r="FU227" s="36"/>
      <c r="FV227" s="36"/>
      <c r="FW227" s="36"/>
      <c r="FX227" s="36"/>
      <c r="FY227" s="36"/>
      <c r="FZ227" s="36"/>
      <c r="GA227" s="36"/>
      <c r="GB227" s="36"/>
      <c r="GC227" s="36"/>
      <c r="GD227" s="36"/>
      <c r="GE227" s="37"/>
      <c r="GF227" s="44"/>
      <c r="GG227" s="36"/>
      <c r="GH227" s="36"/>
      <c r="GI227" s="36"/>
      <c r="GJ227" s="36"/>
      <c r="GK227" s="36"/>
      <c r="GL227" s="36"/>
      <c r="GM227" s="36"/>
      <c r="GN227" s="36"/>
      <c r="GO227" s="36"/>
      <c r="GP227" s="36"/>
      <c r="GQ227" s="36"/>
      <c r="GR227" s="36"/>
      <c r="GS227" s="36"/>
      <c r="GT227" s="36"/>
      <c r="GU227" s="36"/>
      <c r="GV227" s="37"/>
      <c r="GW227" s="44"/>
      <c r="GX227" s="36"/>
      <c r="GY227" s="36"/>
      <c r="GZ227" s="36"/>
      <c r="HA227" s="36"/>
      <c r="HB227" s="36"/>
      <c r="HC227" s="36"/>
      <c r="HD227" s="36"/>
      <c r="HE227" s="36"/>
      <c r="HF227" s="36"/>
      <c r="HG227" s="36"/>
      <c r="HH227" s="36"/>
      <c r="HI227" s="36"/>
      <c r="HJ227" s="36"/>
      <c r="HK227" s="36"/>
      <c r="HL227" s="36"/>
      <c r="HM227" s="37"/>
      <c r="HN227" s="44"/>
      <c r="HO227" s="36"/>
      <c r="HP227" s="36"/>
      <c r="HQ227" s="36"/>
      <c r="HR227" s="36"/>
      <c r="HS227" s="36"/>
      <c r="HT227" s="36"/>
      <c r="HU227" s="36"/>
      <c r="HV227" s="36"/>
      <c r="HW227" s="36"/>
      <c r="HX227" s="36"/>
      <c r="HY227" s="36"/>
      <c r="HZ227" s="36"/>
      <c r="IA227" s="36"/>
      <c r="IB227" s="36"/>
      <c r="IC227" s="36"/>
      <c r="ID227" s="37"/>
      <c r="IE227" s="44"/>
      <c r="IF227" s="36"/>
      <c r="IG227" s="36"/>
      <c r="IH227" s="36"/>
      <c r="II227" s="36"/>
      <c r="IJ227" s="36"/>
      <c r="IK227" s="36"/>
      <c r="IL227" s="36"/>
      <c r="IM227" s="36"/>
      <c r="IN227" s="36"/>
      <c r="IO227" s="36"/>
      <c r="IP227" s="36"/>
      <c r="IQ227" s="36"/>
      <c r="IR227" s="36"/>
      <c r="IS227" s="36"/>
      <c r="IT227" s="36"/>
      <c r="IU227" s="37"/>
      <c r="IV227" s="44"/>
      <c r="IW227" s="36"/>
      <c r="IX227" s="36"/>
      <c r="IY227" s="36"/>
      <c r="IZ227" s="36"/>
      <c r="JA227" s="36"/>
      <c r="JB227" s="36"/>
      <c r="JC227" s="36"/>
      <c r="JD227" s="36"/>
      <c r="JE227" s="36"/>
      <c r="JF227" s="36"/>
      <c r="JG227" s="36"/>
      <c r="JH227" s="36"/>
      <c r="JI227" s="36"/>
      <c r="JJ227" s="36"/>
      <c r="JK227" s="36"/>
      <c r="JL227" s="37"/>
      <c r="JM227" s="44"/>
      <c r="JN227" s="36"/>
      <c r="JO227" s="36"/>
      <c r="JP227" s="36"/>
      <c r="JQ227" s="36"/>
      <c r="JR227" s="36"/>
      <c r="JS227" s="36"/>
      <c r="JT227" s="36"/>
      <c r="JU227" s="36"/>
      <c r="JV227" s="36"/>
      <c r="JW227" s="36"/>
      <c r="JX227" s="36"/>
      <c r="JY227" s="36"/>
      <c r="JZ227" s="36"/>
      <c r="KA227" s="36"/>
      <c r="KB227" s="36"/>
      <c r="KC227" s="37"/>
      <c r="KD227" s="44"/>
      <c r="KE227" s="36"/>
      <c r="KF227" s="36"/>
      <c r="KG227" s="36"/>
      <c r="KH227" s="36"/>
      <c r="KI227" s="36"/>
      <c r="KJ227" s="36"/>
      <c r="KK227" s="36"/>
      <c r="KL227" s="36"/>
      <c r="KM227" s="36"/>
      <c r="KN227" s="36"/>
      <c r="KO227" s="36"/>
      <c r="KP227" s="36"/>
      <c r="KQ227" s="36"/>
      <c r="KR227" s="36"/>
      <c r="KS227" s="36"/>
      <c r="KT227" s="37"/>
      <c r="KU227" s="36"/>
    </row>
    <row r="228" ht="15.0" customHeight="1">
      <c r="A228" s="44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7"/>
      <c r="R228" s="44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7"/>
      <c r="AI228" s="44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  <c r="AU228" s="36"/>
      <c r="AV228" s="36"/>
      <c r="AW228" s="36"/>
      <c r="AX228" s="36"/>
      <c r="AY228" s="37"/>
      <c r="AZ228" s="44"/>
      <c r="BA228" s="36"/>
      <c r="BB228" s="36"/>
      <c r="BC228" s="36"/>
      <c r="BD228" s="36"/>
      <c r="BE228" s="36"/>
      <c r="BF228" s="36"/>
      <c r="BG228" s="36"/>
      <c r="BH228" s="36"/>
      <c r="BI228" s="36"/>
      <c r="BJ228" s="36"/>
      <c r="BK228" s="36"/>
      <c r="BL228" s="36"/>
      <c r="BM228" s="36"/>
      <c r="BN228" s="36"/>
      <c r="BO228" s="36"/>
      <c r="BP228" s="37"/>
      <c r="BQ228" s="44"/>
      <c r="BR228" s="36"/>
      <c r="BS228" s="36"/>
      <c r="BT228" s="36"/>
      <c r="BU228" s="36"/>
      <c r="BV228" s="36"/>
      <c r="BW228" s="36"/>
      <c r="BX228" s="36"/>
      <c r="BY228" s="36"/>
      <c r="BZ228" s="36"/>
      <c r="CA228" s="36"/>
      <c r="CB228" s="36"/>
      <c r="CC228" s="36"/>
      <c r="CD228" s="36"/>
      <c r="CE228" s="36"/>
      <c r="CF228" s="36"/>
      <c r="CG228" s="37"/>
      <c r="CH228" s="44"/>
      <c r="CI228" s="36"/>
      <c r="CJ228" s="36"/>
      <c r="CK228" s="36"/>
      <c r="CL228" s="36"/>
      <c r="CM228" s="36"/>
      <c r="CN228" s="36"/>
      <c r="CO228" s="36"/>
      <c r="CP228" s="36"/>
      <c r="CQ228" s="36"/>
      <c r="CR228" s="36"/>
      <c r="CS228" s="36"/>
      <c r="CT228" s="36"/>
      <c r="CU228" s="36"/>
      <c r="CV228" s="36"/>
      <c r="CW228" s="36"/>
      <c r="CX228" s="37"/>
      <c r="CY228" s="44"/>
      <c r="CZ228" s="36"/>
      <c r="DA228" s="36"/>
      <c r="DB228" s="36"/>
      <c r="DC228" s="36"/>
      <c r="DD228" s="36"/>
      <c r="DE228" s="36"/>
      <c r="DF228" s="36"/>
      <c r="DG228" s="36"/>
      <c r="DH228" s="36"/>
      <c r="DI228" s="36"/>
      <c r="DJ228" s="36"/>
      <c r="DK228" s="36"/>
      <c r="DL228" s="36"/>
      <c r="DM228" s="36"/>
      <c r="DN228" s="36"/>
      <c r="DO228" s="37"/>
      <c r="DP228" s="44"/>
      <c r="DQ228" s="36"/>
      <c r="DR228" s="36"/>
      <c r="DS228" s="36"/>
      <c r="DT228" s="36"/>
      <c r="DU228" s="36"/>
      <c r="DV228" s="36"/>
      <c r="DW228" s="36"/>
      <c r="DX228" s="36"/>
      <c r="DY228" s="36"/>
      <c r="DZ228" s="36"/>
      <c r="EA228" s="36"/>
      <c r="EB228" s="36"/>
      <c r="EC228" s="36"/>
      <c r="ED228" s="36"/>
      <c r="EE228" s="36"/>
      <c r="EF228" s="37"/>
      <c r="EG228" s="44"/>
      <c r="EH228" s="36"/>
      <c r="EI228" s="36"/>
      <c r="EJ228" s="36"/>
      <c r="EK228" s="36"/>
      <c r="EL228" s="36"/>
      <c r="EM228" s="36"/>
      <c r="EN228" s="36"/>
      <c r="EO228" s="36"/>
      <c r="EP228" s="36"/>
      <c r="EQ228" s="36"/>
      <c r="ER228" s="36"/>
      <c r="ES228" s="36"/>
      <c r="ET228" s="36"/>
      <c r="EU228" s="36"/>
      <c r="EV228" s="36"/>
      <c r="EW228" s="37"/>
      <c r="EX228" s="44"/>
      <c r="EY228" s="36"/>
      <c r="EZ228" s="36"/>
      <c r="FA228" s="36"/>
      <c r="FB228" s="36"/>
      <c r="FC228" s="36"/>
      <c r="FD228" s="36"/>
      <c r="FE228" s="36"/>
      <c r="FF228" s="36"/>
      <c r="FG228" s="36"/>
      <c r="FH228" s="36"/>
      <c r="FI228" s="36"/>
      <c r="FJ228" s="36"/>
      <c r="FK228" s="36"/>
      <c r="FL228" s="36"/>
      <c r="FM228" s="36"/>
      <c r="FN228" s="37"/>
      <c r="FO228" s="44"/>
      <c r="FP228" s="36"/>
      <c r="FQ228" s="36"/>
      <c r="FR228" s="36"/>
      <c r="FS228" s="36"/>
      <c r="FT228" s="36"/>
      <c r="FU228" s="36"/>
      <c r="FV228" s="36"/>
      <c r="FW228" s="36"/>
      <c r="FX228" s="36"/>
      <c r="FY228" s="36"/>
      <c r="FZ228" s="36"/>
      <c r="GA228" s="36"/>
      <c r="GB228" s="36"/>
      <c r="GC228" s="36"/>
      <c r="GD228" s="36"/>
      <c r="GE228" s="37"/>
      <c r="GF228" s="44"/>
      <c r="GG228" s="36"/>
      <c r="GH228" s="36"/>
      <c r="GI228" s="36"/>
      <c r="GJ228" s="36"/>
      <c r="GK228" s="36"/>
      <c r="GL228" s="36"/>
      <c r="GM228" s="36"/>
      <c r="GN228" s="36"/>
      <c r="GO228" s="36"/>
      <c r="GP228" s="36"/>
      <c r="GQ228" s="36"/>
      <c r="GR228" s="36"/>
      <c r="GS228" s="36"/>
      <c r="GT228" s="36"/>
      <c r="GU228" s="36"/>
      <c r="GV228" s="37"/>
      <c r="GW228" s="44"/>
      <c r="GX228" s="36"/>
      <c r="GY228" s="36"/>
      <c r="GZ228" s="36"/>
      <c r="HA228" s="36"/>
      <c r="HB228" s="36"/>
      <c r="HC228" s="36"/>
      <c r="HD228" s="36"/>
      <c r="HE228" s="36"/>
      <c r="HF228" s="36"/>
      <c r="HG228" s="36"/>
      <c r="HH228" s="36"/>
      <c r="HI228" s="36"/>
      <c r="HJ228" s="36"/>
      <c r="HK228" s="36"/>
      <c r="HL228" s="36"/>
      <c r="HM228" s="37"/>
      <c r="HN228" s="44"/>
      <c r="HO228" s="36"/>
      <c r="HP228" s="36"/>
      <c r="HQ228" s="36"/>
      <c r="HR228" s="36"/>
      <c r="HS228" s="36"/>
      <c r="HT228" s="36"/>
      <c r="HU228" s="36"/>
      <c r="HV228" s="36"/>
      <c r="HW228" s="36"/>
      <c r="HX228" s="36"/>
      <c r="HY228" s="36"/>
      <c r="HZ228" s="36"/>
      <c r="IA228" s="36"/>
      <c r="IB228" s="36"/>
      <c r="IC228" s="36"/>
      <c r="ID228" s="37"/>
      <c r="IE228" s="44"/>
      <c r="IF228" s="36"/>
      <c r="IG228" s="36"/>
      <c r="IH228" s="36"/>
      <c r="II228" s="36"/>
      <c r="IJ228" s="36"/>
      <c r="IK228" s="36"/>
      <c r="IL228" s="36"/>
      <c r="IM228" s="36"/>
      <c r="IN228" s="36"/>
      <c r="IO228" s="36"/>
      <c r="IP228" s="36"/>
      <c r="IQ228" s="36"/>
      <c r="IR228" s="36"/>
      <c r="IS228" s="36"/>
      <c r="IT228" s="36"/>
      <c r="IU228" s="37"/>
      <c r="IV228" s="44"/>
      <c r="IW228" s="36"/>
      <c r="IX228" s="36"/>
      <c r="IY228" s="36"/>
      <c r="IZ228" s="36"/>
      <c r="JA228" s="36"/>
      <c r="JB228" s="36"/>
      <c r="JC228" s="36"/>
      <c r="JD228" s="36"/>
      <c r="JE228" s="36"/>
      <c r="JF228" s="36"/>
      <c r="JG228" s="36"/>
      <c r="JH228" s="36"/>
      <c r="JI228" s="36"/>
      <c r="JJ228" s="36"/>
      <c r="JK228" s="36"/>
      <c r="JL228" s="37"/>
      <c r="JM228" s="44"/>
      <c r="JN228" s="36"/>
      <c r="JO228" s="36"/>
      <c r="JP228" s="36"/>
      <c r="JQ228" s="36"/>
      <c r="JR228" s="36"/>
      <c r="JS228" s="36"/>
      <c r="JT228" s="36"/>
      <c r="JU228" s="36"/>
      <c r="JV228" s="36"/>
      <c r="JW228" s="36"/>
      <c r="JX228" s="36"/>
      <c r="JY228" s="36"/>
      <c r="JZ228" s="36"/>
      <c r="KA228" s="36"/>
      <c r="KB228" s="36"/>
      <c r="KC228" s="37"/>
      <c r="KD228" s="44"/>
      <c r="KE228" s="36"/>
      <c r="KF228" s="36"/>
      <c r="KG228" s="36"/>
      <c r="KH228" s="36"/>
      <c r="KI228" s="36"/>
      <c r="KJ228" s="36"/>
      <c r="KK228" s="36"/>
      <c r="KL228" s="36"/>
      <c r="KM228" s="36"/>
      <c r="KN228" s="36"/>
      <c r="KO228" s="36"/>
      <c r="KP228" s="36"/>
      <c r="KQ228" s="36"/>
      <c r="KR228" s="36"/>
      <c r="KS228" s="36"/>
      <c r="KT228" s="37"/>
      <c r="KU228" s="36"/>
    </row>
    <row r="229" ht="15.0" customHeight="1">
      <c r="A229" s="44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7"/>
      <c r="R229" s="44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7"/>
      <c r="AI229" s="44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  <c r="AU229" s="36"/>
      <c r="AV229" s="36"/>
      <c r="AW229" s="36"/>
      <c r="AX229" s="36"/>
      <c r="AY229" s="37"/>
      <c r="AZ229" s="44"/>
      <c r="BA229" s="36"/>
      <c r="BB229" s="36"/>
      <c r="BC229" s="36"/>
      <c r="BD229" s="36"/>
      <c r="BE229" s="36"/>
      <c r="BF229" s="36"/>
      <c r="BG229" s="36"/>
      <c r="BH229" s="36"/>
      <c r="BI229" s="36"/>
      <c r="BJ229" s="36"/>
      <c r="BK229" s="36"/>
      <c r="BL229" s="36"/>
      <c r="BM229" s="36"/>
      <c r="BN229" s="36"/>
      <c r="BO229" s="36"/>
      <c r="BP229" s="37"/>
      <c r="BQ229" s="44"/>
      <c r="BR229" s="36"/>
      <c r="BS229" s="36"/>
      <c r="BT229" s="36"/>
      <c r="BU229" s="36"/>
      <c r="BV229" s="36"/>
      <c r="BW229" s="36"/>
      <c r="BX229" s="36"/>
      <c r="BY229" s="36"/>
      <c r="BZ229" s="36"/>
      <c r="CA229" s="36"/>
      <c r="CB229" s="36"/>
      <c r="CC229" s="36"/>
      <c r="CD229" s="36"/>
      <c r="CE229" s="36"/>
      <c r="CF229" s="36"/>
      <c r="CG229" s="37"/>
      <c r="CH229" s="44"/>
      <c r="CI229" s="36"/>
      <c r="CJ229" s="36"/>
      <c r="CK229" s="36"/>
      <c r="CL229" s="36"/>
      <c r="CM229" s="36"/>
      <c r="CN229" s="36"/>
      <c r="CO229" s="36"/>
      <c r="CP229" s="36"/>
      <c r="CQ229" s="36"/>
      <c r="CR229" s="36"/>
      <c r="CS229" s="36"/>
      <c r="CT229" s="36"/>
      <c r="CU229" s="36"/>
      <c r="CV229" s="36"/>
      <c r="CW229" s="36"/>
      <c r="CX229" s="37"/>
      <c r="CY229" s="44"/>
      <c r="CZ229" s="36"/>
      <c r="DA229" s="36"/>
      <c r="DB229" s="36"/>
      <c r="DC229" s="36"/>
      <c r="DD229" s="36"/>
      <c r="DE229" s="36"/>
      <c r="DF229" s="36"/>
      <c r="DG229" s="36"/>
      <c r="DH229" s="36"/>
      <c r="DI229" s="36"/>
      <c r="DJ229" s="36"/>
      <c r="DK229" s="36"/>
      <c r="DL229" s="36"/>
      <c r="DM229" s="36"/>
      <c r="DN229" s="36"/>
      <c r="DO229" s="37"/>
      <c r="DP229" s="44"/>
      <c r="DQ229" s="36"/>
      <c r="DR229" s="36"/>
      <c r="DS229" s="36"/>
      <c r="DT229" s="36"/>
      <c r="DU229" s="36"/>
      <c r="DV229" s="36"/>
      <c r="DW229" s="36"/>
      <c r="DX229" s="36"/>
      <c r="DY229" s="36"/>
      <c r="DZ229" s="36"/>
      <c r="EA229" s="36"/>
      <c r="EB229" s="36"/>
      <c r="EC229" s="36"/>
      <c r="ED229" s="36"/>
      <c r="EE229" s="36"/>
      <c r="EF229" s="37"/>
      <c r="EG229" s="44"/>
      <c r="EH229" s="36"/>
      <c r="EI229" s="36"/>
      <c r="EJ229" s="36"/>
      <c r="EK229" s="36"/>
      <c r="EL229" s="36"/>
      <c r="EM229" s="36"/>
      <c r="EN229" s="36"/>
      <c r="EO229" s="36"/>
      <c r="EP229" s="36"/>
      <c r="EQ229" s="36"/>
      <c r="ER229" s="36"/>
      <c r="ES229" s="36"/>
      <c r="ET229" s="36"/>
      <c r="EU229" s="36"/>
      <c r="EV229" s="36"/>
      <c r="EW229" s="37"/>
      <c r="EX229" s="44"/>
      <c r="EY229" s="36"/>
      <c r="EZ229" s="36"/>
      <c r="FA229" s="36"/>
      <c r="FB229" s="36"/>
      <c r="FC229" s="36"/>
      <c r="FD229" s="36"/>
      <c r="FE229" s="36"/>
      <c r="FF229" s="36"/>
      <c r="FG229" s="36"/>
      <c r="FH229" s="36"/>
      <c r="FI229" s="36"/>
      <c r="FJ229" s="36"/>
      <c r="FK229" s="36"/>
      <c r="FL229" s="36"/>
      <c r="FM229" s="36"/>
      <c r="FN229" s="37"/>
      <c r="FO229" s="44"/>
      <c r="FP229" s="36"/>
      <c r="FQ229" s="36"/>
      <c r="FR229" s="36"/>
      <c r="FS229" s="36"/>
      <c r="FT229" s="36"/>
      <c r="FU229" s="36"/>
      <c r="FV229" s="36"/>
      <c r="FW229" s="36"/>
      <c r="FX229" s="36"/>
      <c r="FY229" s="36"/>
      <c r="FZ229" s="36"/>
      <c r="GA229" s="36"/>
      <c r="GB229" s="36"/>
      <c r="GC229" s="36"/>
      <c r="GD229" s="36"/>
      <c r="GE229" s="37"/>
      <c r="GF229" s="44"/>
      <c r="GG229" s="36"/>
      <c r="GH229" s="36"/>
      <c r="GI229" s="36"/>
      <c r="GJ229" s="36"/>
      <c r="GK229" s="36"/>
      <c r="GL229" s="36"/>
      <c r="GM229" s="36"/>
      <c r="GN229" s="36"/>
      <c r="GO229" s="36"/>
      <c r="GP229" s="36"/>
      <c r="GQ229" s="36"/>
      <c r="GR229" s="36"/>
      <c r="GS229" s="36"/>
      <c r="GT229" s="36"/>
      <c r="GU229" s="36"/>
      <c r="GV229" s="37"/>
      <c r="GW229" s="44"/>
      <c r="GX229" s="36"/>
      <c r="GY229" s="36"/>
      <c r="GZ229" s="36"/>
      <c r="HA229" s="36"/>
      <c r="HB229" s="36"/>
      <c r="HC229" s="36"/>
      <c r="HD229" s="36"/>
      <c r="HE229" s="36"/>
      <c r="HF229" s="36"/>
      <c r="HG229" s="36"/>
      <c r="HH229" s="36"/>
      <c r="HI229" s="36"/>
      <c r="HJ229" s="36"/>
      <c r="HK229" s="36"/>
      <c r="HL229" s="36"/>
      <c r="HM229" s="37"/>
      <c r="HN229" s="44"/>
      <c r="HO229" s="36"/>
      <c r="HP229" s="36"/>
      <c r="HQ229" s="36"/>
      <c r="HR229" s="36"/>
      <c r="HS229" s="36"/>
      <c r="HT229" s="36"/>
      <c r="HU229" s="36"/>
      <c r="HV229" s="36"/>
      <c r="HW229" s="36"/>
      <c r="HX229" s="36"/>
      <c r="HY229" s="36"/>
      <c r="HZ229" s="36"/>
      <c r="IA229" s="36"/>
      <c r="IB229" s="36"/>
      <c r="IC229" s="36"/>
      <c r="ID229" s="37"/>
      <c r="IE229" s="44"/>
      <c r="IF229" s="36"/>
      <c r="IG229" s="36"/>
      <c r="IH229" s="36"/>
      <c r="II229" s="36"/>
      <c r="IJ229" s="36"/>
      <c r="IK229" s="36"/>
      <c r="IL229" s="36"/>
      <c r="IM229" s="36"/>
      <c r="IN229" s="36"/>
      <c r="IO229" s="36"/>
      <c r="IP229" s="36"/>
      <c r="IQ229" s="36"/>
      <c r="IR229" s="36"/>
      <c r="IS229" s="36"/>
      <c r="IT229" s="36"/>
      <c r="IU229" s="37"/>
      <c r="IV229" s="44"/>
      <c r="IW229" s="36"/>
      <c r="IX229" s="36"/>
      <c r="IY229" s="36"/>
      <c r="IZ229" s="36"/>
      <c r="JA229" s="36"/>
      <c r="JB229" s="36"/>
      <c r="JC229" s="36"/>
      <c r="JD229" s="36"/>
      <c r="JE229" s="36"/>
      <c r="JF229" s="36"/>
      <c r="JG229" s="36"/>
      <c r="JH229" s="36"/>
      <c r="JI229" s="36"/>
      <c r="JJ229" s="36"/>
      <c r="JK229" s="36"/>
      <c r="JL229" s="37"/>
      <c r="JM229" s="44"/>
      <c r="JN229" s="36"/>
      <c r="JO229" s="36"/>
      <c r="JP229" s="36"/>
      <c r="JQ229" s="36"/>
      <c r="JR229" s="36"/>
      <c r="JS229" s="36"/>
      <c r="JT229" s="36"/>
      <c r="JU229" s="36"/>
      <c r="JV229" s="36"/>
      <c r="JW229" s="36"/>
      <c r="JX229" s="36"/>
      <c r="JY229" s="36"/>
      <c r="JZ229" s="36"/>
      <c r="KA229" s="36"/>
      <c r="KB229" s="36"/>
      <c r="KC229" s="37"/>
      <c r="KD229" s="44"/>
      <c r="KE229" s="36"/>
      <c r="KF229" s="36"/>
      <c r="KG229" s="36"/>
      <c r="KH229" s="36"/>
      <c r="KI229" s="36"/>
      <c r="KJ229" s="36"/>
      <c r="KK229" s="36"/>
      <c r="KL229" s="36"/>
      <c r="KM229" s="36"/>
      <c r="KN229" s="36"/>
      <c r="KO229" s="36"/>
      <c r="KP229" s="36"/>
      <c r="KQ229" s="36"/>
      <c r="KR229" s="36"/>
      <c r="KS229" s="36"/>
      <c r="KT229" s="37"/>
      <c r="KU229" s="36"/>
    </row>
    <row r="230" ht="15.0" customHeight="1">
      <c r="A230" s="44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7"/>
      <c r="R230" s="44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7"/>
      <c r="AI230" s="44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  <c r="AU230" s="36"/>
      <c r="AV230" s="36"/>
      <c r="AW230" s="36"/>
      <c r="AX230" s="36"/>
      <c r="AY230" s="37"/>
      <c r="AZ230" s="44"/>
      <c r="BA230" s="36"/>
      <c r="BB230" s="36"/>
      <c r="BC230" s="36"/>
      <c r="BD230" s="36"/>
      <c r="BE230" s="36"/>
      <c r="BF230" s="36"/>
      <c r="BG230" s="36"/>
      <c r="BH230" s="36"/>
      <c r="BI230" s="36"/>
      <c r="BJ230" s="36"/>
      <c r="BK230" s="36"/>
      <c r="BL230" s="36"/>
      <c r="BM230" s="36"/>
      <c r="BN230" s="36"/>
      <c r="BO230" s="36"/>
      <c r="BP230" s="37"/>
      <c r="BQ230" s="44"/>
      <c r="BR230" s="36"/>
      <c r="BS230" s="36"/>
      <c r="BT230" s="36"/>
      <c r="BU230" s="36"/>
      <c r="BV230" s="36"/>
      <c r="BW230" s="36"/>
      <c r="BX230" s="36"/>
      <c r="BY230" s="36"/>
      <c r="BZ230" s="36"/>
      <c r="CA230" s="36"/>
      <c r="CB230" s="36"/>
      <c r="CC230" s="36"/>
      <c r="CD230" s="36"/>
      <c r="CE230" s="36"/>
      <c r="CF230" s="36"/>
      <c r="CG230" s="37"/>
      <c r="CH230" s="44"/>
      <c r="CI230" s="36"/>
      <c r="CJ230" s="36"/>
      <c r="CK230" s="36"/>
      <c r="CL230" s="36"/>
      <c r="CM230" s="36"/>
      <c r="CN230" s="36"/>
      <c r="CO230" s="36"/>
      <c r="CP230" s="36"/>
      <c r="CQ230" s="36"/>
      <c r="CR230" s="36"/>
      <c r="CS230" s="36"/>
      <c r="CT230" s="36"/>
      <c r="CU230" s="36"/>
      <c r="CV230" s="36"/>
      <c r="CW230" s="36"/>
      <c r="CX230" s="37"/>
      <c r="CY230" s="44"/>
      <c r="CZ230" s="36"/>
      <c r="DA230" s="36"/>
      <c r="DB230" s="36"/>
      <c r="DC230" s="36"/>
      <c r="DD230" s="36"/>
      <c r="DE230" s="36"/>
      <c r="DF230" s="36"/>
      <c r="DG230" s="36"/>
      <c r="DH230" s="36"/>
      <c r="DI230" s="36"/>
      <c r="DJ230" s="36"/>
      <c r="DK230" s="36"/>
      <c r="DL230" s="36"/>
      <c r="DM230" s="36"/>
      <c r="DN230" s="36"/>
      <c r="DO230" s="37"/>
      <c r="DP230" s="44"/>
      <c r="DQ230" s="36"/>
      <c r="DR230" s="36"/>
      <c r="DS230" s="36"/>
      <c r="DT230" s="36"/>
      <c r="DU230" s="36"/>
      <c r="DV230" s="36"/>
      <c r="DW230" s="36"/>
      <c r="DX230" s="36"/>
      <c r="DY230" s="36"/>
      <c r="DZ230" s="36"/>
      <c r="EA230" s="36"/>
      <c r="EB230" s="36"/>
      <c r="EC230" s="36"/>
      <c r="ED230" s="36"/>
      <c r="EE230" s="36"/>
      <c r="EF230" s="37"/>
      <c r="EG230" s="44"/>
      <c r="EH230" s="36"/>
      <c r="EI230" s="36"/>
      <c r="EJ230" s="36"/>
      <c r="EK230" s="36"/>
      <c r="EL230" s="36"/>
      <c r="EM230" s="36"/>
      <c r="EN230" s="36"/>
      <c r="EO230" s="36"/>
      <c r="EP230" s="36"/>
      <c r="EQ230" s="36"/>
      <c r="ER230" s="36"/>
      <c r="ES230" s="36"/>
      <c r="ET230" s="36"/>
      <c r="EU230" s="36"/>
      <c r="EV230" s="36"/>
      <c r="EW230" s="37"/>
      <c r="EX230" s="44"/>
      <c r="EY230" s="36"/>
      <c r="EZ230" s="36"/>
      <c r="FA230" s="36"/>
      <c r="FB230" s="36"/>
      <c r="FC230" s="36"/>
      <c r="FD230" s="36"/>
      <c r="FE230" s="36"/>
      <c r="FF230" s="36"/>
      <c r="FG230" s="36"/>
      <c r="FH230" s="36"/>
      <c r="FI230" s="36"/>
      <c r="FJ230" s="36"/>
      <c r="FK230" s="36"/>
      <c r="FL230" s="36"/>
      <c r="FM230" s="36"/>
      <c r="FN230" s="37"/>
      <c r="FO230" s="44"/>
      <c r="FP230" s="36"/>
      <c r="FQ230" s="36"/>
      <c r="FR230" s="36"/>
      <c r="FS230" s="36"/>
      <c r="FT230" s="36"/>
      <c r="FU230" s="36"/>
      <c r="FV230" s="36"/>
      <c r="FW230" s="36"/>
      <c r="FX230" s="36"/>
      <c r="FY230" s="36"/>
      <c r="FZ230" s="36"/>
      <c r="GA230" s="36"/>
      <c r="GB230" s="36"/>
      <c r="GC230" s="36"/>
      <c r="GD230" s="36"/>
      <c r="GE230" s="37"/>
      <c r="GF230" s="44"/>
      <c r="GG230" s="36"/>
      <c r="GH230" s="36"/>
      <c r="GI230" s="36"/>
      <c r="GJ230" s="36"/>
      <c r="GK230" s="36"/>
      <c r="GL230" s="36"/>
      <c r="GM230" s="36"/>
      <c r="GN230" s="36"/>
      <c r="GO230" s="36"/>
      <c r="GP230" s="36"/>
      <c r="GQ230" s="36"/>
      <c r="GR230" s="36"/>
      <c r="GS230" s="36"/>
      <c r="GT230" s="36"/>
      <c r="GU230" s="36"/>
      <c r="GV230" s="37"/>
      <c r="GW230" s="44"/>
      <c r="GX230" s="36"/>
      <c r="GY230" s="36"/>
      <c r="GZ230" s="36"/>
      <c r="HA230" s="36"/>
      <c r="HB230" s="36"/>
      <c r="HC230" s="36"/>
      <c r="HD230" s="36"/>
      <c r="HE230" s="36"/>
      <c r="HF230" s="36"/>
      <c r="HG230" s="36"/>
      <c r="HH230" s="36"/>
      <c r="HI230" s="36"/>
      <c r="HJ230" s="36"/>
      <c r="HK230" s="36"/>
      <c r="HL230" s="36"/>
      <c r="HM230" s="37"/>
      <c r="HN230" s="44"/>
      <c r="HO230" s="36"/>
      <c r="HP230" s="36"/>
      <c r="HQ230" s="36"/>
      <c r="HR230" s="36"/>
      <c r="HS230" s="36"/>
      <c r="HT230" s="36"/>
      <c r="HU230" s="36"/>
      <c r="HV230" s="36"/>
      <c r="HW230" s="36"/>
      <c r="HX230" s="36"/>
      <c r="HY230" s="36"/>
      <c r="HZ230" s="36"/>
      <c r="IA230" s="36"/>
      <c r="IB230" s="36"/>
      <c r="IC230" s="36"/>
      <c r="ID230" s="37"/>
      <c r="IE230" s="44"/>
      <c r="IF230" s="36"/>
      <c r="IG230" s="36"/>
      <c r="IH230" s="36"/>
      <c r="II230" s="36"/>
      <c r="IJ230" s="36"/>
      <c r="IK230" s="36"/>
      <c r="IL230" s="36"/>
      <c r="IM230" s="36"/>
      <c r="IN230" s="36"/>
      <c r="IO230" s="36"/>
      <c r="IP230" s="36"/>
      <c r="IQ230" s="36"/>
      <c r="IR230" s="36"/>
      <c r="IS230" s="36"/>
      <c r="IT230" s="36"/>
      <c r="IU230" s="37"/>
      <c r="IV230" s="44"/>
      <c r="IW230" s="36"/>
      <c r="IX230" s="36"/>
      <c r="IY230" s="36"/>
      <c r="IZ230" s="36"/>
      <c r="JA230" s="36"/>
      <c r="JB230" s="36"/>
      <c r="JC230" s="36"/>
      <c r="JD230" s="36"/>
      <c r="JE230" s="36"/>
      <c r="JF230" s="36"/>
      <c r="JG230" s="36"/>
      <c r="JH230" s="36"/>
      <c r="JI230" s="36"/>
      <c r="JJ230" s="36"/>
      <c r="JK230" s="36"/>
      <c r="JL230" s="37"/>
      <c r="JM230" s="44"/>
      <c r="JN230" s="36"/>
      <c r="JO230" s="36"/>
      <c r="JP230" s="36"/>
      <c r="JQ230" s="36"/>
      <c r="JR230" s="36"/>
      <c r="JS230" s="36"/>
      <c r="JT230" s="36"/>
      <c r="JU230" s="36"/>
      <c r="JV230" s="36"/>
      <c r="JW230" s="36"/>
      <c r="JX230" s="36"/>
      <c r="JY230" s="36"/>
      <c r="JZ230" s="36"/>
      <c r="KA230" s="36"/>
      <c r="KB230" s="36"/>
      <c r="KC230" s="37"/>
      <c r="KD230" s="44"/>
      <c r="KE230" s="36"/>
      <c r="KF230" s="36"/>
      <c r="KG230" s="36"/>
      <c r="KH230" s="36"/>
      <c r="KI230" s="36"/>
      <c r="KJ230" s="36"/>
      <c r="KK230" s="36"/>
      <c r="KL230" s="36"/>
      <c r="KM230" s="36"/>
      <c r="KN230" s="36"/>
      <c r="KO230" s="36"/>
      <c r="KP230" s="36"/>
      <c r="KQ230" s="36"/>
      <c r="KR230" s="36"/>
      <c r="KS230" s="36"/>
      <c r="KT230" s="37"/>
      <c r="KU230" s="36"/>
    </row>
    <row r="231" ht="15.0" customHeight="1">
      <c r="A231" s="44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7"/>
      <c r="R231" s="44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7"/>
      <c r="AI231" s="44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  <c r="AU231" s="36"/>
      <c r="AV231" s="36"/>
      <c r="AW231" s="36"/>
      <c r="AX231" s="36"/>
      <c r="AY231" s="37"/>
      <c r="AZ231" s="44"/>
      <c r="BA231" s="36"/>
      <c r="BB231" s="36"/>
      <c r="BC231" s="36"/>
      <c r="BD231" s="36"/>
      <c r="BE231" s="36"/>
      <c r="BF231" s="36"/>
      <c r="BG231" s="36"/>
      <c r="BH231" s="36"/>
      <c r="BI231" s="36"/>
      <c r="BJ231" s="36"/>
      <c r="BK231" s="36"/>
      <c r="BL231" s="36"/>
      <c r="BM231" s="36"/>
      <c r="BN231" s="36"/>
      <c r="BO231" s="36"/>
      <c r="BP231" s="37"/>
      <c r="BQ231" s="44"/>
      <c r="BR231" s="36"/>
      <c r="BS231" s="36"/>
      <c r="BT231" s="36"/>
      <c r="BU231" s="36"/>
      <c r="BV231" s="36"/>
      <c r="BW231" s="36"/>
      <c r="BX231" s="36"/>
      <c r="BY231" s="36"/>
      <c r="BZ231" s="36"/>
      <c r="CA231" s="36"/>
      <c r="CB231" s="36"/>
      <c r="CC231" s="36"/>
      <c r="CD231" s="36"/>
      <c r="CE231" s="36"/>
      <c r="CF231" s="36"/>
      <c r="CG231" s="37"/>
      <c r="CH231" s="44"/>
      <c r="CI231" s="36"/>
      <c r="CJ231" s="36"/>
      <c r="CK231" s="36"/>
      <c r="CL231" s="36"/>
      <c r="CM231" s="36"/>
      <c r="CN231" s="36"/>
      <c r="CO231" s="36"/>
      <c r="CP231" s="36"/>
      <c r="CQ231" s="36"/>
      <c r="CR231" s="36"/>
      <c r="CS231" s="36"/>
      <c r="CT231" s="36"/>
      <c r="CU231" s="36"/>
      <c r="CV231" s="36"/>
      <c r="CW231" s="36"/>
      <c r="CX231" s="37"/>
      <c r="CY231" s="44"/>
      <c r="CZ231" s="36"/>
      <c r="DA231" s="36"/>
      <c r="DB231" s="36"/>
      <c r="DC231" s="36"/>
      <c r="DD231" s="36"/>
      <c r="DE231" s="36"/>
      <c r="DF231" s="36"/>
      <c r="DG231" s="36"/>
      <c r="DH231" s="36"/>
      <c r="DI231" s="36"/>
      <c r="DJ231" s="36"/>
      <c r="DK231" s="36"/>
      <c r="DL231" s="36"/>
      <c r="DM231" s="36"/>
      <c r="DN231" s="36"/>
      <c r="DO231" s="37"/>
      <c r="DP231" s="44"/>
      <c r="DQ231" s="36"/>
      <c r="DR231" s="36"/>
      <c r="DS231" s="36"/>
      <c r="DT231" s="36"/>
      <c r="DU231" s="36"/>
      <c r="DV231" s="36"/>
      <c r="DW231" s="36"/>
      <c r="DX231" s="36"/>
      <c r="DY231" s="36"/>
      <c r="DZ231" s="36"/>
      <c r="EA231" s="36"/>
      <c r="EB231" s="36"/>
      <c r="EC231" s="36"/>
      <c r="ED231" s="36"/>
      <c r="EE231" s="36"/>
      <c r="EF231" s="37"/>
      <c r="EG231" s="44"/>
      <c r="EH231" s="36"/>
      <c r="EI231" s="36"/>
      <c r="EJ231" s="36"/>
      <c r="EK231" s="36"/>
      <c r="EL231" s="36"/>
      <c r="EM231" s="36"/>
      <c r="EN231" s="36"/>
      <c r="EO231" s="36"/>
      <c r="EP231" s="36"/>
      <c r="EQ231" s="36"/>
      <c r="ER231" s="36"/>
      <c r="ES231" s="36"/>
      <c r="ET231" s="36"/>
      <c r="EU231" s="36"/>
      <c r="EV231" s="36"/>
      <c r="EW231" s="37"/>
      <c r="EX231" s="44"/>
      <c r="EY231" s="36"/>
      <c r="EZ231" s="36"/>
      <c r="FA231" s="36"/>
      <c r="FB231" s="36"/>
      <c r="FC231" s="36"/>
      <c r="FD231" s="36"/>
      <c r="FE231" s="36"/>
      <c r="FF231" s="36"/>
      <c r="FG231" s="36"/>
      <c r="FH231" s="36"/>
      <c r="FI231" s="36"/>
      <c r="FJ231" s="36"/>
      <c r="FK231" s="36"/>
      <c r="FL231" s="36"/>
      <c r="FM231" s="36"/>
      <c r="FN231" s="37"/>
      <c r="FO231" s="44"/>
      <c r="FP231" s="36"/>
      <c r="FQ231" s="36"/>
      <c r="FR231" s="36"/>
      <c r="FS231" s="36"/>
      <c r="FT231" s="36"/>
      <c r="FU231" s="36"/>
      <c r="FV231" s="36"/>
      <c r="FW231" s="36"/>
      <c r="FX231" s="36"/>
      <c r="FY231" s="36"/>
      <c r="FZ231" s="36"/>
      <c r="GA231" s="36"/>
      <c r="GB231" s="36"/>
      <c r="GC231" s="36"/>
      <c r="GD231" s="36"/>
      <c r="GE231" s="37"/>
      <c r="GF231" s="44"/>
      <c r="GG231" s="36"/>
      <c r="GH231" s="36"/>
      <c r="GI231" s="36"/>
      <c r="GJ231" s="36"/>
      <c r="GK231" s="36"/>
      <c r="GL231" s="36"/>
      <c r="GM231" s="36"/>
      <c r="GN231" s="36"/>
      <c r="GO231" s="36"/>
      <c r="GP231" s="36"/>
      <c r="GQ231" s="36"/>
      <c r="GR231" s="36"/>
      <c r="GS231" s="36"/>
      <c r="GT231" s="36"/>
      <c r="GU231" s="36"/>
      <c r="GV231" s="37"/>
      <c r="GW231" s="44"/>
      <c r="GX231" s="36"/>
      <c r="GY231" s="36"/>
      <c r="GZ231" s="36"/>
      <c r="HA231" s="36"/>
      <c r="HB231" s="36"/>
      <c r="HC231" s="36"/>
      <c r="HD231" s="36"/>
      <c r="HE231" s="36"/>
      <c r="HF231" s="36"/>
      <c r="HG231" s="36"/>
      <c r="HH231" s="36"/>
      <c r="HI231" s="36"/>
      <c r="HJ231" s="36"/>
      <c r="HK231" s="36"/>
      <c r="HL231" s="36"/>
      <c r="HM231" s="37"/>
      <c r="HN231" s="44"/>
      <c r="HO231" s="36"/>
      <c r="HP231" s="36"/>
      <c r="HQ231" s="36"/>
      <c r="HR231" s="36"/>
      <c r="HS231" s="36"/>
      <c r="HT231" s="36"/>
      <c r="HU231" s="36"/>
      <c r="HV231" s="36"/>
      <c r="HW231" s="36"/>
      <c r="HX231" s="36"/>
      <c r="HY231" s="36"/>
      <c r="HZ231" s="36"/>
      <c r="IA231" s="36"/>
      <c r="IB231" s="36"/>
      <c r="IC231" s="36"/>
      <c r="ID231" s="37"/>
      <c r="IE231" s="44"/>
      <c r="IF231" s="36"/>
      <c r="IG231" s="36"/>
      <c r="IH231" s="36"/>
      <c r="II231" s="36"/>
      <c r="IJ231" s="36"/>
      <c r="IK231" s="36"/>
      <c r="IL231" s="36"/>
      <c r="IM231" s="36"/>
      <c r="IN231" s="36"/>
      <c r="IO231" s="36"/>
      <c r="IP231" s="36"/>
      <c r="IQ231" s="36"/>
      <c r="IR231" s="36"/>
      <c r="IS231" s="36"/>
      <c r="IT231" s="36"/>
      <c r="IU231" s="37"/>
      <c r="IV231" s="44"/>
      <c r="IW231" s="36"/>
      <c r="IX231" s="36"/>
      <c r="IY231" s="36"/>
      <c r="IZ231" s="36"/>
      <c r="JA231" s="36"/>
      <c r="JB231" s="36"/>
      <c r="JC231" s="36"/>
      <c r="JD231" s="36"/>
      <c r="JE231" s="36"/>
      <c r="JF231" s="36"/>
      <c r="JG231" s="36"/>
      <c r="JH231" s="36"/>
      <c r="JI231" s="36"/>
      <c r="JJ231" s="36"/>
      <c r="JK231" s="36"/>
      <c r="JL231" s="37"/>
      <c r="JM231" s="44"/>
      <c r="JN231" s="36"/>
      <c r="JO231" s="36"/>
      <c r="JP231" s="36"/>
      <c r="JQ231" s="36"/>
      <c r="JR231" s="36"/>
      <c r="JS231" s="36"/>
      <c r="JT231" s="36"/>
      <c r="JU231" s="36"/>
      <c r="JV231" s="36"/>
      <c r="JW231" s="36"/>
      <c r="JX231" s="36"/>
      <c r="JY231" s="36"/>
      <c r="JZ231" s="36"/>
      <c r="KA231" s="36"/>
      <c r="KB231" s="36"/>
      <c r="KC231" s="37"/>
      <c r="KD231" s="44"/>
      <c r="KE231" s="36"/>
      <c r="KF231" s="36"/>
      <c r="KG231" s="36"/>
      <c r="KH231" s="36"/>
      <c r="KI231" s="36"/>
      <c r="KJ231" s="36"/>
      <c r="KK231" s="36"/>
      <c r="KL231" s="36"/>
      <c r="KM231" s="36"/>
      <c r="KN231" s="36"/>
      <c r="KO231" s="36"/>
      <c r="KP231" s="36"/>
      <c r="KQ231" s="36"/>
      <c r="KR231" s="36"/>
      <c r="KS231" s="36"/>
      <c r="KT231" s="37"/>
      <c r="KU231" s="36"/>
    </row>
    <row r="232" ht="15.0" customHeight="1">
      <c r="A232" s="44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7"/>
      <c r="R232" s="44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7"/>
      <c r="AI232" s="44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  <c r="AU232" s="36"/>
      <c r="AV232" s="36"/>
      <c r="AW232" s="36"/>
      <c r="AX232" s="36"/>
      <c r="AY232" s="37"/>
      <c r="AZ232" s="44"/>
      <c r="BA232" s="36"/>
      <c r="BB232" s="36"/>
      <c r="BC232" s="36"/>
      <c r="BD232" s="36"/>
      <c r="BE232" s="36"/>
      <c r="BF232" s="36"/>
      <c r="BG232" s="36"/>
      <c r="BH232" s="36"/>
      <c r="BI232" s="36"/>
      <c r="BJ232" s="36"/>
      <c r="BK232" s="36"/>
      <c r="BL232" s="36"/>
      <c r="BM232" s="36"/>
      <c r="BN232" s="36"/>
      <c r="BO232" s="36"/>
      <c r="BP232" s="37"/>
      <c r="BQ232" s="44"/>
      <c r="BR232" s="36"/>
      <c r="BS232" s="36"/>
      <c r="BT232" s="36"/>
      <c r="BU232" s="36"/>
      <c r="BV232" s="36"/>
      <c r="BW232" s="36"/>
      <c r="BX232" s="36"/>
      <c r="BY232" s="36"/>
      <c r="BZ232" s="36"/>
      <c r="CA232" s="36"/>
      <c r="CB232" s="36"/>
      <c r="CC232" s="36"/>
      <c r="CD232" s="36"/>
      <c r="CE232" s="36"/>
      <c r="CF232" s="36"/>
      <c r="CG232" s="37"/>
      <c r="CH232" s="44"/>
      <c r="CI232" s="36"/>
      <c r="CJ232" s="36"/>
      <c r="CK232" s="36"/>
      <c r="CL232" s="36"/>
      <c r="CM232" s="36"/>
      <c r="CN232" s="36"/>
      <c r="CO232" s="36"/>
      <c r="CP232" s="36"/>
      <c r="CQ232" s="36"/>
      <c r="CR232" s="36"/>
      <c r="CS232" s="36"/>
      <c r="CT232" s="36"/>
      <c r="CU232" s="36"/>
      <c r="CV232" s="36"/>
      <c r="CW232" s="36"/>
      <c r="CX232" s="37"/>
      <c r="CY232" s="44"/>
      <c r="CZ232" s="36"/>
      <c r="DA232" s="36"/>
      <c r="DB232" s="36"/>
      <c r="DC232" s="36"/>
      <c r="DD232" s="36"/>
      <c r="DE232" s="36"/>
      <c r="DF232" s="36"/>
      <c r="DG232" s="36"/>
      <c r="DH232" s="36"/>
      <c r="DI232" s="36"/>
      <c r="DJ232" s="36"/>
      <c r="DK232" s="36"/>
      <c r="DL232" s="36"/>
      <c r="DM232" s="36"/>
      <c r="DN232" s="36"/>
      <c r="DO232" s="37"/>
      <c r="DP232" s="44"/>
      <c r="DQ232" s="36"/>
      <c r="DR232" s="36"/>
      <c r="DS232" s="36"/>
      <c r="DT232" s="36"/>
      <c r="DU232" s="36"/>
      <c r="DV232" s="36"/>
      <c r="DW232" s="36"/>
      <c r="DX232" s="36"/>
      <c r="DY232" s="36"/>
      <c r="DZ232" s="36"/>
      <c r="EA232" s="36"/>
      <c r="EB232" s="36"/>
      <c r="EC232" s="36"/>
      <c r="ED232" s="36"/>
      <c r="EE232" s="36"/>
      <c r="EF232" s="37"/>
      <c r="EG232" s="44"/>
      <c r="EH232" s="36"/>
      <c r="EI232" s="36"/>
      <c r="EJ232" s="36"/>
      <c r="EK232" s="36"/>
      <c r="EL232" s="36"/>
      <c r="EM232" s="36"/>
      <c r="EN232" s="36"/>
      <c r="EO232" s="36"/>
      <c r="EP232" s="36"/>
      <c r="EQ232" s="36"/>
      <c r="ER232" s="36"/>
      <c r="ES232" s="36"/>
      <c r="ET232" s="36"/>
      <c r="EU232" s="36"/>
      <c r="EV232" s="36"/>
      <c r="EW232" s="37"/>
      <c r="EX232" s="44"/>
      <c r="EY232" s="36"/>
      <c r="EZ232" s="36"/>
      <c r="FA232" s="36"/>
      <c r="FB232" s="36"/>
      <c r="FC232" s="36"/>
      <c r="FD232" s="36"/>
      <c r="FE232" s="36"/>
      <c r="FF232" s="36"/>
      <c r="FG232" s="36"/>
      <c r="FH232" s="36"/>
      <c r="FI232" s="36"/>
      <c r="FJ232" s="36"/>
      <c r="FK232" s="36"/>
      <c r="FL232" s="36"/>
      <c r="FM232" s="36"/>
      <c r="FN232" s="37"/>
      <c r="FO232" s="44"/>
      <c r="FP232" s="36"/>
      <c r="FQ232" s="36"/>
      <c r="FR232" s="36"/>
      <c r="FS232" s="36"/>
      <c r="FT232" s="36"/>
      <c r="FU232" s="36"/>
      <c r="FV232" s="36"/>
      <c r="FW232" s="36"/>
      <c r="FX232" s="36"/>
      <c r="FY232" s="36"/>
      <c r="FZ232" s="36"/>
      <c r="GA232" s="36"/>
      <c r="GB232" s="36"/>
      <c r="GC232" s="36"/>
      <c r="GD232" s="36"/>
      <c r="GE232" s="37"/>
      <c r="GF232" s="44"/>
      <c r="GG232" s="36"/>
      <c r="GH232" s="36"/>
      <c r="GI232" s="36"/>
      <c r="GJ232" s="36"/>
      <c r="GK232" s="36"/>
      <c r="GL232" s="36"/>
      <c r="GM232" s="36"/>
      <c r="GN232" s="36"/>
      <c r="GO232" s="36"/>
      <c r="GP232" s="36"/>
      <c r="GQ232" s="36"/>
      <c r="GR232" s="36"/>
      <c r="GS232" s="36"/>
      <c r="GT232" s="36"/>
      <c r="GU232" s="36"/>
      <c r="GV232" s="37"/>
      <c r="GW232" s="44"/>
      <c r="GX232" s="36"/>
      <c r="GY232" s="36"/>
      <c r="GZ232" s="36"/>
      <c r="HA232" s="36"/>
      <c r="HB232" s="36"/>
      <c r="HC232" s="36"/>
      <c r="HD232" s="36"/>
      <c r="HE232" s="36"/>
      <c r="HF232" s="36"/>
      <c r="HG232" s="36"/>
      <c r="HH232" s="36"/>
      <c r="HI232" s="36"/>
      <c r="HJ232" s="36"/>
      <c r="HK232" s="36"/>
      <c r="HL232" s="36"/>
      <c r="HM232" s="37"/>
      <c r="HN232" s="44"/>
      <c r="HO232" s="36"/>
      <c r="HP232" s="36"/>
      <c r="HQ232" s="36"/>
      <c r="HR232" s="36"/>
      <c r="HS232" s="36"/>
      <c r="HT232" s="36"/>
      <c r="HU232" s="36"/>
      <c r="HV232" s="36"/>
      <c r="HW232" s="36"/>
      <c r="HX232" s="36"/>
      <c r="HY232" s="36"/>
      <c r="HZ232" s="36"/>
      <c r="IA232" s="36"/>
      <c r="IB232" s="36"/>
      <c r="IC232" s="36"/>
      <c r="ID232" s="37"/>
      <c r="IE232" s="44"/>
      <c r="IF232" s="36"/>
      <c r="IG232" s="36"/>
      <c r="IH232" s="36"/>
      <c r="II232" s="36"/>
      <c r="IJ232" s="36"/>
      <c r="IK232" s="36"/>
      <c r="IL232" s="36"/>
      <c r="IM232" s="36"/>
      <c r="IN232" s="36"/>
      <c r="IO232" s="36"/>
      <c r="IP232" s="36"/>
      <c r="IQ232" s="36"/>
      <c r="IR232" s="36"/>
      <c r="IS232" s="36"/>
      <c r="IT232" s="36"/>
      <c r="IU232" s="37"/>
      <c r="IV232" s="44"/>
      <c r="IW232" s="36"/>
      <c r="IX232" s="36"/>
      <c r="IY232" s="36"/>
      <c r="IZ232" s="36"/>
      <c r="JA232" s="36"/>
      <c r="JB232" s="36"/>
      <c r="JC232" s="36"/>
      <c r="JD232" s="36"/>
      <c r="JE232" s="36"/>
      <c r="JF232" s="36"/>
      <c r="JG232" s="36"/>
      <c r="JH232" s="36"/>
      <c r="JI232" s="36"/>
      <c r="JJ232" s="36"/>
      <c r="JK232" s="36"/>
      <c r="JL232" s="37"/>
      <c r="JM232" s="44"/>
      <c r="JN232" s="36"/>
      <c r="JO232" s="36"/>
      <c r="JP232" s="36"/>
      <c r="JQ232" s="36"/>
      <c r="JR232" s="36"/>
      <c r="JS232" s="36"/>
      <c r="JT232" s="36"/>
      <c r="JU232" s="36"/>
      <c r="JV232" s="36"/>
      <c r="JW232" s="36"/>
      <c r="JX232" s="36"/>
      <c r="JY232" s="36"/>
      <c r="JZ232" s="36"/>
      <c r="KA232" s="36"/>
      <c r="KB232" s="36"/>
      <c r="KC232" s="37"/>
      <c r="KD232" s="44"/>
      <c r="KE232" s="36"/>
      <c r="KF232" s="36"/>
      <c r="KG232" s="36"/>
      <c r="KH232" s="36"/>
      <c r="KI232" s="36"/>
      <c r="KJ232" s="36"/>
      <c r="KK232" s="36"/>
      <c r="KL232" s="36"/>
      <c r="KM232" s="36"/>
      <c r="KN232" s="36"/>
      <c r="KO232" s="36"/>
      <c r="KP232" s="36"/>
      <c r="KQ232" s="36"/>
      <c r="KR232" s="36"/>
      <c r="KS232" s="36"/>
      <c r="KT232" s="37"/>
      <c r="KU232" s="36"/>
    </row>
    <row r="233" ht="15.0" customHeight="1">
      <c r="A233" s="44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7"/>
      <c r="R233" s="44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7"/>
      <c r="AI233" s="44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  <c r="AU233" s="36"/>
      <c r="AV233" s="36"/>
      <c r="AW233" s="36"/>
      <c r="AX233" s="36"/>
      <c r="AY233" s="37"/>
      <c r="AZ233" s="44"/>
      <c r="BA233" s="36"/>
      <c r="BB233" s="36"/>
      <c r="BC233" s="36"/>
      <c r="BD233" s="36"/>
      <c r="BE233" s="36"/>
      <c r="BF233" s="36"/>
      <c r="BG233" s="36"/>
      <c r="BH233" s="36"/>
      <c r="BI233" s="36"/>
      <c r="BJ233" s="36"/>
      <c r="BK233" s="36"/>
      <c r="BL233" s="36"/>
      <c r="BM233" s="36"/>
      <c r="BN233" s="36"/>
      <c r="BO233" s="36"/>
      <c r="BP233" s="37"/>
      <c r="BQ233" s="44"/>
      <c r="BR233" s="36"/>
      <c r="BS233" s="36"/>
      <c r="BT233" s="36"/>
      <c r="BU233" s="36"/>
      <c r="BV233" s="36"/>
      <c r="BW233" s="36"/>
      <c r="BX233" s="36"/>
      <c r="BY233" s="36"/>
      <c r="BZ233" s="36"/>
      <c r="CA233" s="36"/>
      <c r="CB233" s="36"/>
      <c r="CC233" s="36"/>
      <c r="CD233" s="36"/>
      <c r="CE233" s="36"/>
      <c r="CF233" s="36"/>
      <c r="CG233" s="37"/>
      <c r="CH233" s="44"/>
      <c r="CI233" s="36"/>
      <c r="CJ233" s="36"/>
      <c r="CK233" s="36"/>
      <c r="CL233" s="36"/>
      <c r="CM233" s="36"/>
      <c r="CN233" s="36"/>
      <c r="CO233" s="36"/>
      <c r="CP233" s="36"/>
      <c r="CQ233" s="36"/>
      <c r="CR233" s="36"/>
      <c r="CS233" s="36"/>
      <c r="CT233" s="36"/>
      <c r="CU233" s="36"/>
      <c r="CV233" s="36"/>
      <c r="CW233" s="36"/>
      <c r="CX233" s="37"/>
      <c r="CY233" s="44"/>
      <c r="CZ233" s="36"/>
      <c r="DA233" s="36"/>
      <c r="DB233" s="36"/>
      <c r="DC233" s="36"/>
      <c r="DD233" s="36"/>
      <c r="DE233" s="36"/>
      <c r="DF233" s="36"/>
      <c r="DG233" s="36"/>
      <c r="DH233" s="36"/>
      <c r="DI233" s="36"/>
      <c r="DJ233" s="36"/>
      <c r="DK233" s="36"/>
      <c r="DL233" s="36"/>
      <c r="DM233" s="36"/>
      <c r="DN233" s="36"/>
      <c r="DO233" s="37"/>
      <c r="DP233" s="44"/>
      <c r="DQ233" s="36"/>
      <c r="DR233" s="36"/>
      <c r="DS233" s="36"/>
      <c r="DT233" s="36"/>
      <c r="DU233" s="36"/>
      <c r="DV233" s="36"/>
      <c r="DW233" s="36"/>
      <c r="DX233" s="36"/>
      <c r="DY233" s="36"/>
      <c r="DZ233" s="36"/>
      <c r="EA233" s="36"/>
      <c r="EB233" s="36"/>
      <c r="EC233" s="36"/>
      <c r="ED233" s="36"/>
      <c r="EE233" s="36"/>
      <c r="EF233" s="37"/>
      <c r="EG233" s="44"/>
      <c r="EH233" s="36"/>
      <c r="EI233" s="36"/>
      <c r="EJ233" s="36"/>
      <c r="EK233" s="36"/>
      <c r="EL233" s="36"/>
      <c r="EM233" s="36"/>
      <c r="EN233" s="36"/>
      <c r="EO233" s="36"/>
      <c r="EP233" s="36"/>
      <c r="EQ233" s="36"/>
      <c r="ER233" s="36"/>
      <c r="ES233" s="36"/>
      <c r="ET233" s="36"/>
      <c r="EU233" s="36"/>
      <c r="EV233" s="36"/>
      <c r="EW233" s="37"/>
      <c r="EX233" s="44"/>
      <c r="EY233" s="36"/>
      <c r="EZ233" s="36"/>
      <c r="FA233" s="36"/>
      <c r="FB233" s="36"/>
      <c r="FC233" s="36"/>
      <c r="FD233" s="36"/>
      <c r="FE233" s="36"/>
      <c r="FF233" s="36"/>
      <c r="FG233" s="36"/>
      <c r="FH233" s="36"/>
      <c r="FI233" s="36"/>
      <c r="FJ233" s="36"/>
      <c r="FK233" s="36"/>
      <c r="FL233" s="36"/>
      <c r="FM233" s="36"/>
      <c r="FN233" s="37"/>
      <c r="FO233" s="44"/>
      <c r="FP233" s="36"/>
      <c r="FQ233" s="36"/>
      <c r="FR233" s="36"/>
      <c r="FS233" s="36"/>
      <c r="FT233" s="36"/>
      <c r="FU233" s="36"/>
      <c r="FV233" s="36"/>
      <c r="FW233" s="36"/>
      <c r="FX233" s="36"/>
      <c r="FY233" s="36"/>
      <c r="FZ233" s="36"/>
      <c r="GA233" s="36"/>
      <c r="GB233" s="36"/>
      <c r="GC233" s="36"/>
      <c r="GD233" s="36"/>
      <c r="GE233" s="37"/>
      <c r="GF233" s="44"/>
      <c r="GG233" s="36"/>
      <c r="GH233" s="36"/>
      <c r="GI233" s="36"/>
      <c r="GJ233" s="36"/>
      <c r="GK233" s="36"/>
      <c r="GL233" s="36"/>
      <c r="GM233" s="36"/>
      <c r="GN233" s="36"/>
      <c r="GO233" s="36"/>
      <c r="GP233" s="36"/>
      <c r="GQ233" s="36"/>
      <c r="GR233" s="36"/>
      <c r="GS233" s="36"/>
      <c r="GT233" s="36"/>
      <c r="GU233" s="36"/>
      <c r="GV233" s="37"/>
      <c r="GW233" s="44"/>
      <c r="GX233" s="36"/>
      <c r="GY233" s="36"/>
      <c r="GZ233" s="36"/>
      <c r="HA233" s="36"/>
      <c r="HB233" s="36"/>
      <c r="HC233" s="36"/>
      <c r="HD233" s="36"/>
      <c r="HE233" s="36"/>
      <c r="HF233" s="36"/>
      <c r="HG233" s="36"/>
      <c r="HH233" s="36"/>
      <c r="HI233" s="36"/>
      <c r="HJ233" s="36"/>
      <c r="HK233" s="36"/>
      <c r="HL233" s="36"/>
      <c r="HM233" s="37"/>
      <c r="HN233" s="44"/>
      <c r="HO233" s="36"/>
      <c r="HP233" s="36"/>
      <c r="HQ233" s="36"/>
      <c r="HR233" s="36"/>
      <c r="HS233" s="36"/>
      <c r="HT233" s="36"/>
      <c r="HU233" s="36"/>
      <c r="HV233" s="36"/>
      <c r="HW233" s="36"/>
      <c r="HX233" s="36"/>
      <c r="HY233" s="36"/>
      <c r="HZ233" s="36"/>
      <c r="IA233" s="36"/>
      <c r="IB233" s="36"/>
      <c r="IC233" s="36"/>
      <c r="ID233" s="37"/>
      <c r="IE233" s="44"/>
      <c r="IF233" s="36"/>
      <c r="IG233" s="36"/>
      <c r="IH233" s="36"/>
      <c r="II233" s="36"/>
      <c r="IJ233" s="36"/>
      <c r="IK233" s="36"/>
      <c r="IL233" s="36"/>
      <c r="IM233" s="36"/>
      <c r="IN233" s="36"/>
      <c r="IO233" s="36"/>
      <c r="IP233" s="36"/>
      <c r="IQ233" s="36"/>
      <c r="IR233" s="36"/>
      <c r="IS233" s="36"/>
      <c r="IT233" s="36"/>
      <c r="IU233" s="37"/>
      <c r="IV233" s="44"/>
      <c r="IW233" s="36"/>
      <c r="IX233" s="36"/>
      <c r="IY233" s="36"/>
      <c r="IZ233" s="36"/>
      <c r="JA233" s="36"/>
      <c r="JB233" s="36"/>
      <c r="JC233" s="36"/>
      <c r="JD233" s="36"/>
      <c r="JE233" s="36"/>
      <c r="JF233" s="36"/>
      <c r="JG233" s="36"/>
      <c r="JH233" s="36"/>
      <c r="JI233" s="36"/>
      <c r="JJ233" s="36"/>
      <c r="JK233" s="36"/>
      <c r="JL233" s="37"/>
      <c r="JM233" s="44"/>
      <c r="JN233" s="36"/>
      <c r="JO233" s="36"/>
      <c r="JP233" s="36"/>
      <c r="JQ233" s="36"/>
      <c r="JR233" s="36"/>
      <c r="JS233" s="36"/>
      <c r="JT233" s="36"/>
      <c r="JU233" s="36"/>
      <c r="JV233" s="36"/>
      <c r="JW233" s="36"/>
      <c r="JX233" s="36"/>
      <c r="JY233" s="36"/>
      <c r="JZ233" s="36"/>
      <c r="KA233" s="36"/>
      <c r="KB233" s="36"/>
      <c r="KC233" s="37"/>
      <c r="KD233" s="44"/>
      <c r="KE233" s="36"/>
      <c r="KF233" s="36"/>
      <c r="KG233" s="36"/>
      <c r="KH233" s="36"/>
      <c r="KI233" s="36"/>
      <c r="KJ233" s="36"/>
      <c r="KK233" s="36"/>
      <c r="KL233" s="36"/>
      <c r="KM233" s="36"/>
      <c r="KN233" s="36"/>
      <c r="KO233" s="36"/>
      <c r="KP233" s="36"/>
      <c r="KQ233" s="36"/>
      <c r="KR233" s="36"/>
      <c r="KS233" s="36"/>
      <c r="KT233" s="37"/>
      <c r="KU233" s="36"/>
    </row>
    <row r="234" ht="15.0" customHeight="1">
      <c r="A234" s="44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7"/>
      <c r="R234" s="44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7"/>
      <c r="AI234" s="44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  <c r="AU234" s="36"/>
      <c r="AV234" s="36"/>
      <c r="AW234" s="36"/>
      <c r="AX234" s="36"/>
      <c r="AY234" s="37"/>
      <c r="AZ234" s="44"/>
      <c r="BA234" s="36"/>
      <c r="BB234" s="36"/>
      <c r="BC234" s="36"/>
      <c r="BD234" s="36"/>
      <c r="BE234" s="36"/>
      <c r="BF234" s="36"/>
      <c r="BG234" s="36"/>
      <c r="BH234" s="36"/>
      <c r="BI234" s="36"/>
      <c r="BJ234" s="36"/>
      <c r="BK234" s="36"/>
      <c r="BL234" s="36"/>
      <c r="BM234" s="36"/>
      <c r="BN234" s="36"/>
      <c r="BO234" s="36"/>
      <c r="BP234" s="37"/>
      <c r="BQ234" s="44"/>
      <c r="BR234" s="36"/>
      <c r="BS234" s="36"/>
      <c r="BT234" s="36"/>
      <c r="BU234" s="36"/>
      <c r="BV234" s="36"/>
      <c r="BW234" s="36"/>
      <c r="BX234" s="36"/>
      <c r="BY234" s="36"/>
      <c r="BZ234" s="36"/>
      <c r="CA234" s="36"/>
      <c r="CB234" s="36"/>
      <c r="CC234" s="36"/>
      <c r="CD234" s="36"/>
      <c r="CE234" s="36"/>
      <c r="CF234" s="36"/>
      <c r="CG234" s="37"/>
      <c r="CH234" s="44"/>
      <c r="CI234" s="36"/>
      <c r="CJ234" s="36"/>
      <c r="CK234" s="36"/>
      <c r="CL234" s="36"/>
      <c r="CM234" s="36"/>
      <c r="CN234" s="36"/>
      <c r="CO234" s="36"/>
      <c r="CP234" s="36"/>
      <c r="CQ234" s="36"/>
      <c r="CR234" s="36"/>
      <c r="CS234" s="36"/>
      <c r="CT234" s="36"/>
      <c r="CU234" s="36"/>
      <c r="CV234" s="36"/>
      <c r="CW234" s="36"/>
      <c r="CX234" s="37"/>
      <c r="CY234" s="44"/>
      <c r="CZ234" s="36"/>
      <c r="DA234" s="36"/>
      <c r="DB234" s="36"/>
      <c r="DC234" s="36"/>
      <c r="DD234" s="36"/>
      <c r="DE234" s="36"/>
      <c r="DF234" s="36"/>
      <c r="DG234" s="36"/>
      <c r="DH234" s="36"/>
      <c r="DI234" s="36"/>
      <c r="DJ234" s="36"/>
      <c r="DK234" s="36"/>
      <c r="DL234" s="36"/>
      <c r="DM234" s="36"/>
      <c r="DN234" s="36"/>
      <c r="DO234" s="37"/>
      <c r="DP234" s="44"/>
      <c r="DQ234" s="36"/>
      <c r="DR234" s="36"/>
      <c r="DS234" s="36"/>
      <c r="DT234" s="36"/>
      <c r="DU234" s="36"/>
      <c r="DV234" s="36"/>
      <c r="DW234" s="36"/>
      <c r="DX234" s="36"/>
      <c r="DY234" s="36"/>
      <c r="DZ234" s="36"/>
      <c r="EA234" s="36"/>
      <c r="EB234" s="36"/>
      <c r="EC234" s="36"/>
      <c r="ED234" s="36"/>
      <c r="EE234" s="36"/>
      <c r="EF234" s="37"/>
      <c r="EG234" s="44"/>
      <c r="EH234" s="36"/>
      <c r="EI234" s="36"/>
      <c r="EJ234" s="36"/>
      <c r="EK234" s="36"/>
      <c r="EL234" s="36"/>
      <c r="EM234" s="36"/>
      <c r="EN234" s="36"/>
      <c r="EO234" s="36"/>
      <c r="EP234" s="36"/>
      <c r="EQ234" s="36"/>
      <c r="ER234" s="36"/>
      <c r="ES234" s="36"/>
      <c r="ET234" s="36"/>
      <c r="EU234" s="36"/>
      <c r="EV234" s="36"/>
      <c r="EW234" s="37"/>
      <c r="EX234" s="44"/>
      <c r="EY234" s="36"/>
      <c r="EZ234" s="36"/>
      <c r="FA234" s="36"/>
      <c r="FB234" s="36"/>
      <c r="FC234" s="36"/>
      <c r="FD234" s="36"/>
      <c r="FE234" s="36"/>
      <c r="FF234" s="36"/>
      <c r="FG234" s="36"/>
      <c r="FH234" s="36"/>
      <c r="FI234" s="36"/>
      <c r="FJ234" s="36"/>
      <c r="FK234" s="36"/>
      <c r="FL234" s="36"/>
      <c r="FM234" s="36"/>
      <c r="FN234" s="37"/>
      <c r="FO234" s="44"/>
      <c r="FP234" s="36"/>
      <c r="FQ234" s="36"/>
      <c r="FR234" s="36"/>
      <c r="FS234" s="36"/>
      <c r="FT234" s="36"/>
      <c r="FU234" s="36"/>
      <c r="FV234" s="36"/>
      <c r="FW234" s="36"/>
      <c r="FX234" s="36"/>
      <c r="FY234" s="36"/>
      <c r="FZ234" s="36"/>
      <c r="GA234" s="36"/>
      <c r="GB234" s="36"/>
      <c r="GC234" s="36"/>
      <c r="GD234" s="36"/>
      <c r="GE234" s="37"/>
      <c r="GF234" s="44"/>
      <c r="GG234" s="36"/>
      <c r="GH234" s="36"/>
      <c r="GI234" s="36"/>
      <c r="GJ234" s="36"/>
      <c r="GK234" s="36"/>
      <c r="GL234" s="36"/>
      <c r="GM234" s="36"/>
      <c r="GN234" s="36"/>
      <c r="GO234" s="36"/>
      <c r="GP234" s="36"/>
      <c r="GQ234" s="36"/>
      <c r="GR234" s="36"/>
      <c r="GS234" s="36"/>
      <c r="GT234" s="36"/>
      <c r="GU234" s="36"/>
      <c r="GV234" s="37"/>
      <c r="GW234" s="44"/>
      <c r="GX234" s="36"/>
      <c r="GY234" s="36"/>
      <c r="GZ234" s="36"/>
      <c r="HA234" s="36"/>
      <c r="HB234" s="36"/>
      <c r="HC234" s="36"/>
      <c r="HD234" s="36"/>
      <c r="HE234" s="36"/>
      <c r="HF234" s="36"/>
      <c r="HG234" s="36"/>
      <c r="HH234" s="36"/>
      <c r="HI234" s="36"/>
      <c r="HJ234" s="36"/>
      <c r="HK234" s="36"/>
      <c r="HL234" s="36"/>
      <c r="HM234" s="37"/>
      <c r="HN234" s="44"/>
      <c r="HO234" s="36"/>
      <c r="HP234" s="36"/>
      <c r="HQ234" s="36"/>
      <c r="HR234" s="36"/>
      <c r="HS234" s="36"/>
      <c r="HT234" s="36"/>
      <c r="HU234" s="36"/>
      <c r="HV234" s="36"/>
      <c r="HW234" s="36"/>
      <c r="HX234" s="36"/>
      <c r="HY234" s="36"/>
      <c r="HZ234" s="36"/>
      <c r="IA234" s="36"/>
      <c r="IB234" s="36"/>
      <c r="IC234" s="36"/>
      <c r="ID234" s="37"/>
      <c r="IE234" s="44"/>
      <c r="IF234" s="36"/>
      <c r="IG234" s="36"/>
      <c r="IH234" s="36"/>
      <c r="II234" s="36"/>
      <c r="IJ234" s="36"/>
      <c r="IK234" s="36"/>
      <c r="IL234" s="36"/>
      <c r="IM234" s="36"/>
      <c r="IN234" s="36"/>
      <c r="IO234" s="36"/>
      <c r="IP234" s="36"/>
      <c r="IQ234" s="36"/>
      <c r="IR234" s="36"/>
      <c r="IS234" s="36"/>
      <c r="IT234" s="36"/>
      <c r="IU234" s="37"/>
      <c r="IV234" s="44"/>
      <c r="IW234" s="36"/>
      <c r="IX234" s="36"/>
      <c r="IY234" s="36"/>
      <c r="IZ234" s="36"/>
      <c r="JA234" s="36"/>
      <c r="JB234" s="36"/>
      <c r="JC234" s="36"/>
      <c r="JD234" s="36"/>
      <c r="JE234" s="36"/>
      <c r="JF234" s="36"/>
      <c r="JG234" s="36"/>
      <c r="JH234" s="36"/>
      <c r="JI234" s="36"/>
      <c r="JJ234" s="36"/>
      <c r="JK234" s="36"/>
      <c r="JL234" s="37"/>
      <c r="JM234" s="44"/>
      <c r="JN234" s="36"/>
      <c r="JO234" s="36"/>
      <c r="JP234" s="36"/>
      <c r="JQ234" s="36"/>
      <c r="JR234" s="36"/>
      <c r="JS234" s="36"/>
      <c r="JT234" s="36"/>
      <c r="JU234" s="36"/>
      <c r="JV234" s="36"/>
      <c r="JW234" s="36"/>
      <c r="JX234" s="36"/>
      <c r="JY234" s="36"/>
      <c r="JZ234" s="36"/>
      <c r="KA234" s="36"/>
      <c r="KB234" s="36"/>
      <c r="KC234" s="37"/>
      <c r="KD234" s="44"/>
      <c r="KE234" s="36"/>
      <c r="KF234" s="36"/>
      <c r="KG234" s="36"/>
      <c r="KH234" s="36"/>
      <c r="KI234" s="36"/>
      <c r="KJ234" s="36"/>
      <c r="KK234" s="36"/>
      <c r="KL234" s="36"/>
      <c r="KM234" s="36"/>
      <c r="KN234" s="36"/>
      <c r="KO234" s="36"/>
      <c r="KP234" s="36"/>
      <c r="KQ234" s="36"/>
      <c r="KR234" s="36"/>
      <c r="KS234" s="36"/>
      <c r="KT234" s="37"/>
      <c r="KU234" s="36"/>
    </row>
    <row r="235" ht="15.0" customHeight="1">
      <c r="A235" s="44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7"/>
      <c r="R235" s="44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7"/>
      <c r="AI235" s="44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  <c r="AU235" s="36"/>
      <c r="AV235" s="36"/>
      <c r="AW235" s="36"/>
      <c r="AX235" s="36"/>
      <c r="AY235" s="37"/>
      <c r="AZ235" s="44"/>
      <c r="BA235" s="36"/>
      <c r="BB235" s="36"/>
      <c r="BC235" s="36"/>
      <c r="BD235" s="36"/>
      <c r="BE235" s="36"/>
      <c r="BF235" s="36"/>
      <c r="BG235" s="36"/>
      <c r="BH235" s="36"/>
      <c r="BI235" s="36"/>
      <c r="BJ235" s="36"/>
      <c r="BK235" s="36"/>
      <c r="BL235" s="36"/>
      <c r="BM235" s="36"/>
      <c r="BN235" s="36"/>
      <c r="BO235" s="36"/>
      <c r="BP235" s="37"/>
      <c r="BQ235" s="44"/>
      <c r="BR235" s="36"/>
      <c r="BS235" s="36"/>
      <c r="BT235" s="36"/>
      <c r="BU235" s="36"/>
      <c r="BV235" s="36"/>
      <c r="BW235" s="36"/>
      <c r="BX235" s="36"/>
      <c r="BY235" s="36"/>
      <c r="BZ235" s="36"/>
      <c r="CA235" s="36"/>
      <c r="CB235" s="36"/>
      <c r="CC235" s="36"/>
      <c r="CD235" s="36"/>
      <c r="CE235" s="36"/>
      <c r="CF235" s="36"/>
      <c r="CG235" s="37"/>
      <c r="CH235" s="44"/>
      <c r="CI235" s="36"/>
      <c r="CJ235" s="36"/>
      <c r="CK235" s="36"/>
      <c r="CL235" s="36"/>
      <c r="CM235" s="36"/>
      <c r="CN235" s="36"/>
      <c r="CO235" s="36"/>
      <c r="CP235" s="36"/>
      <c r="CQ235" s="36"/>
      <c r="CR235" s="36"/>
      <c r="CS235" s="36"/>
      <c r="CT235" s="36"/>
      <c r="CU235" s="36"/>
      <c r="CV235" s="36"/>
      <c r="CW235" s="36"/>
      <c r="CX235" s="37"/>
      <c r="CY235" s="44"/>
      <c r="CZ235" s="36"/>
      <c r="DA235" s="36"/>
      <c r="DB235" s="36"/>
      <c r="DC235" s="36"/>
      <c r="DD235" s="36"/>
      <c r="DE235" s="36"/>
      <c r="DF235" s="36"/>
      <c r="DG235" s="36"/>
      <c r="DH235" s="36"/>
      <c r="DI235" s="36"/>
      <c r="DJ235" s="36"/>
      <c r="DK235" s="36"/>
      <c r="DL235" s="36"/>
      <c r="DM235" s="36"/>
      <c r="DN235" s="36"/>
      <c r="DO235" s="37"/>
      <c r="DP235" s="44"/>
      <c r="DQ235" s="36"/>
      <c r="DR235" s="36"/>
      <c r="DS235" s="36"/>
      <c r="DT235" s="36"/>
      <c r="DU235" s="36"/>
      <c r="DV235" s="36"/>
      <c r="DW235" s="36"/>
      <c r="DX235" s="36"/>
      <c r="DY235" s="36"/>
      <c r="DZ235" s="36"/>
      <c r="EA235" s="36"/>
      <c r="EB235" s="36"/>
      <c r="EC235" s="36"/>
      <c r="ED235" s="36"/>
      <c r="EE235" s="36"/>
      <c r="EF235" s="37"/>
      <c r="EG235" s="44"/>
      <c r="EH235" s="36"/>
      <c r="EI235" s="36"/>
      <c r="EJ235" s="36"/>
      <c r="EK235" s="36"/>
      <c r="EL235" s="36"/>
      <c r="EM235" s="36"/>
      <c r="EN235" s="36"/>
      <c r="EO235" s="36"/>
      <c r="EP235" s="36"/>
      <c r="EQ235" s="36"/>
      <c r="ER235" s="36"/>
      <c r="ES235" s="36"/>
      <c r="ET235" s="36"/>
      <c r="EU235" s="36"/>
      <c r="EV235" s="36"/>
      <c r="EW235" s="37"/>
      <c r="EX235" s="44"/>
      <c r="EY235" s="36"/>
      <c r="EZ235" s="36"/>
      <c r="FA235" s="36"/>
      <c r="FB235" s="36"/>
      <c r="FC235" s="36"/>
      <c r="FD235" s="36"/>
      <c r="FE235" s="36"/>
      <c r="FF235" s="36"/>
      <c r="FG235" s="36"/>
      <c r="FH235" s="36"/>
      <c r="FI235" s="36"/>
      <c r="FJ235" s="36"/>
      <c r="FK235" s="36"/>
      <c r="FL235" s="36"/>
      <c r="FM235" s="36"/>
      <c r="FN235" s="37"/>
      <c r="FO235" s="44"/>
      <c r="FP235" s="36"/>
      <c r="FQ235" s="36"/>
      <c r="FR235" s="36"/>
      <c r="FS235" s="36"/>
      <c r="FT235" s="36"/>
      <c r="FU235" s="36"/>
      <c r="FV235" s="36"/>
      <c r="FW235" s="36"/>
      <c r="FX235" s="36"/>
      <c r="FY235" s="36"/>
      <c r="FZ235" s="36"/>
      <c r="GA235" s="36"/>
      <c r="GB235" s="36"/>
      <c r="GC235" s="36"/>
      <c r="GD235" s="36"/>
      <c r="GE235" s="37"/>
      <c r="GF235" s="44"/>
      <c r="GG235" s="36"/>
      <c r="GH235" s="36"/>
      <c r="GI235" s="36"/>
      <c r="GJ235" s="36"/>
      <c r="GK235" s="36"/>
      <c r="GL235" s="36"/>
      <c r="GM235" s="36"/>
      <c r="GN235" s="36"/>
      <c r="GO235" s="36"/>
      <c r="GP235" s="36"/>
      <c r="GQ235" s="36"/>
      <c r="GR235" s="36"/>
      <c r="GS235" s="36"/>
      <c r="GT235" s="36"/>
      <c r="GU235" s="36"/>
      <c r="GV235" s="37"/>
      <c r="GW235" s="44"/>
      <c r="GX235" s="36"/>
      <c r="GY235" s="36"/>
      <c r="GZ235" s="36"/>
      <c r="HA235" s="36"/>
      <c r="HB235" s="36"/>
      <c r="HC235" s="36"/>
      <c r="HD235" s="36"/>
      <c r="HE235" s="36"/>
      <c r="HF235" s="36"/>
      <c r="HG235" s="36"/>
      <c r="HH235" s="36"/>
      <c r="HI235" s="36"/>
      <c r="HJ235" s="36"/>
      <c r="HK235" s="36"/>
      <c r="HL235" s="36"/>
      <c r="HM235" s="37"/>
      <c r="HN235" s="44"/>
      <c r="HO235" s="36"/>
      <c r="HP235" s="36"/>
      <c r="HQ235" s="36"/>
      <c r="HR235" s="36"/>
      <c r="HS235" s="36"/>
      <c r="HT235" s="36"/>
      <c r="HU235" s="36"/>
      <c r="HV235" s="36"/>
      <c r="HW235" s="36"/>
      <c r="HX235" s="36"/>
      <c r="HY235" s="36"/>
      <c r="HZ235" s="36"/>
      <c r="IA235" s="36"/>
      <c r="IB235" s="36"/>
      <c r="IC235" s="36"/>
      <c r="ID235" s="37"/>
      <c r="IE235" s="44"/>
      <c r="IF235" s="36"/>
      <c r="IG235" s="36"/>
      <c r="IH235" s="36"/>
      <c r="II235" s="36"/>
      <c r="IJ235" s="36"/>
      <c r="IK235" s="36"/>
      <c r="IL235" s="36"/>
      <c r="IM235" s="36"/>
      <c r="IN235" s="36"/>
      <c r="IO235" s="36"/>
      <c r="IP235" s="36"/>
      <c r="IQ235" s="36"/>
      <c r="IR235" s="36"/>
      <c r="IS235" s="36"/>
      <c r="IT235" s="36"/>
      <c r="IU235" s="37"/>
      <c r="IV235" s="44"/>
      <c r="IW235" s="36"/>
      <c r="IX235" s="36"/>
      <c r="IY235" s="36"/>
      <c r="IZ235" s="36"/>
      <c r="JA235" s="36"/>
      <c r="JB235" s="36"/>
      <c r="JC235" s="36"/>
      <c r="JD235" s="36"/>
      <c r="JE235" s="36"/>
      <c r="JF235" s="36"/>
      <c r="JG235" s="36"/>
      <c r="JH235" s="36"/>
      <c r="JI235" s="36"/>
      <c r="JJ235" s="36"/>
      <c r="JK235" s="36"/>
      <c r="JL235" s="37"/>
      <c r="JM235" s="44"/>
      <c r="JN235" s="36"/>
      <c r="JO235" s="36"/>
      <c r="JP235" s="36"/>
      <c r="JQ235" s="36"/>
      <c r="JR235" s="36"/>
      <c r="JS235" s="36"/>
      <c r="JT235" s="36"/>
      <c r="JU235" s="36"/>
      <c r="JV235" s="36"/>
      <c r="JW235" s="36"/>
      <c r="JX235" s="36"/>
      <c r="JY235" s="36"/>
      <c r="JZ235" s="36"/>
      <c r="KA235" s="36"/>
      <c r="KB235" s="36"/>
      <c r="KC235" s="37"/>
      <c r="KD235" s="44"/>
      <c r="KE235" s="36"/>
      <c r="KF235" s="36"/>
      <c r="KG235" s="36"/>
      <c r="KH235" s="36"/>
      <c r="KI235" s="36"/>
      <c r="KJ235" s="36"/>
      <c r="KK235" s="36"/>
      <c r="KL235" s="36"/>
      <c r="KM235" s="36"/>
      <c r="KN235" s="36"/>
      <c r="KO235" s="36"/>
      <c r="KP235" s="36"/>
      <c r="KQ235" s="36"/>
      <c r="KR235" s="36"/>
      <c r="KS235" s="36"/>
      <c r="KT235" s="37"/>
      <c r="KU235" s="36"/>
    </row>
    <row r="236" ht="15.0" customHeight="1">
      <c r="A236" s="44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7"/>
      <c r="R236" s="44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7"/>
      <c r="AI236" s="44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  <c r="AU236" s="36"/>
      <c r="AV236" s="36"/>
      <c r="AW236" s="36"/>
      <c r="AX236" s="36"/>
      <c r="AY236" s="37"/>
      <c r="AZ236" s="44"/>
      <c r="BA236" s="36"/>
      <c r="BB236" s="36"/>
      <c r="BC236" s="36"/>
      <c r="BD236" s="36"/>
      <c r="BE236" s="36"/>
      <c r="BF236" s="36"/>
      <c r="BG236" s="36"/>
      <c r="BH236" s="36"/>
      <c r="BI236" s="36"/>
      <c r="BJ236" s="36"/>
      <c r="BK236" s="36"/>
      <c r="BL236" s="36"/>
      <c r="BM236" s="36"/>
      <c r="BN236" s="36"/>
      <c r="BO236" s="36"/>
      <c r="BP236" s="37"/>
      <c r="BQ236" s="44"/>
      <c r="BR236" s="36"/>
      <c r="BS236" s="36"/>
      <c r="BT236" s="36"/>
      <c r="BU236" s="36"/>
      <c r="BV236" s="36"/>
      <c r="BW236" s="36"/>
      <c r="BX236" s="36"/>
      <c r="BY236" s="36"/>
      <c r="BZ236" s="36"/>
      <c r="CA236" s="36"/>
      <c r="CB236" s="36"/>
      <c r="CC236" s="36"/>
      <c r="CD236" s="36"/>
      <c r="CE236" s="36"/>
      <c r="CF236" s="36"/>
      <c r="CG236" s="37"/>
      <c r="CH236" s="44"/>
      <c r="CI236" s="36"/>
      <c r="CJ236" s="36"/>
      <c r="CK236" s="36"/>
      <c r="CL236" s="36"/>
      <c r="CM236" s="36"/>
      <c r="CN236" s="36"/>
      <c r="CO236" s="36"/>
      <c r="CP236" s="36"/>
      <c r="CQ236" s="36"/>
      <c r="CR236" s="36"/>
      <c r="CS236" s="36"/>
      <c r="CT236" s="36"/>
      <c r="CU236" s="36"/>
      <c r="CV236" s="36"/>
      <c r="CW236" s="36"/>
      <c r="CX236" s="37"/>
      <c r="CY236" s="44"/>
      <c r="CZ236" s="36"/>
      <c r="DA236" s="36"/>
      <c r="DB236" s="36"/>
      <c r="DC236" s="36"/>
      <c r="DD236" s="36"/>
      <c r="DE236" s="36"/>
      <c r="DF236" s="36"/>
      <c r="DG236" s="36"/>
      <c r="DH236" s="36"/>
      <c r="DI236" s="36"/>
      <c r="DJ236" s="36"/>
      <c r="DK236" s="36"/>
      <c r="DL236" s="36"/>
      <c r="DM236" s="36"/>
      <c r="DN236" s="36"/>
      <c r="DO236" s="37"/>
      <c r="DP236" s="44"/>
      <c r="DQ236" s="36"/>
      <c r="DR236" s="36"/>
      <c r="DS236" s="36"/>
      <c r="DT236" s="36"/>
      <c r="DU236" s="36"/>
      <c r="DV236" s="36"/>
      <c r="DW236" s="36"/>
      <c r="DX236" s="36"/>
      <c r="DY236" s="36"/>
      <c r="DZ236" s="36"/>
      <c r="EA236" s="36"/>
      <c r="EB236" s="36"/>
      <c r="EC236" s="36"/>
      <c r="ED236" s="36"/>
      <c r="EE236" s="36"/>
      <c r="EF236" s="37"/>
      <c r="EG236" s="44"/>
      <c r="EH236" s="36"/>
      <c r="EI236" s="36"/>
      <c r="EJ236" s="36"/>
      <c r="EK236" s="36"/>
      <c r="EL236" s="36"/>
      <c r="EM236" s="36"/>
      <c r="EN236" s="36"/>
      <c r="EO236" s="36"/>
      <c r="EP236" s="36"/>
      <c r="EQ236" s="36"/>
      <c r="ER236" s="36"/>
      <c r="ES236" s="36"/>
      <c r="ET236" s="36"/>
      <c r="EU236" s="36"/>
      <c r="EV236" s="36"/>
      <c r="EW236" s="37"/>
      <c r="EX236" s="44"/>
      <c r="EY236" s="36"/>
      <c r="EZ236" s="36"/>
      <c r="FA236" s="36"/>
      <c r="FB236" s="36"/>
      <c r="FC236" s="36"/>
      <c r="FD236" s="36"/>
      <c r="FE236" s="36"/>
      <c r="FF236" s="36"/>
      <c r="FG236" s="36"/>
      <c r="FH236" s="36"/>
      <c r="FI236" s="36"/>
      <c r="FJ236" s="36"/>
      <c r="FK236" s="36"/>
      <c r="FL236" s="36"/>
      <c r="FM236" s="36"/>
      <c r="FN236" s="37"/>
      <c r="FO236" s="44"/>
      <c r="FP236" s="36"/>
      <c r="FQ236" s="36"/>
      <c r="FR236" s="36"/>
      <c r="FS236" s="36"/>
      <c r="FT236" s="36"/>
      <c r="FU236" s="36"/>
      <c r="FV236" s="36"/>
      <c r="FW236" s="36"/>
      <c r="FX236" s="36"/>
      <c r="FY236" s="36"/>
      <c r="FZ236" s="36"/>
      <c r="GA236" s="36"/>
      <c r="GB236" s="36"/>
      <c r="GC236" s="36"/>
      <c r="GD236" s="36"/>
      <c r="GE236" s="37"/>
      <c r="GF236" s="44"/>
      <c r="GG236" s="36"/>
      <c r="GH236" s="36"/>
      <c r="GI236" s="36"/>
      <c r="GJ236" s="36"/>
      <c r="GK236" s="36"/>
      <c r="GL236" s="36"/>
      <c r="GM236" s="36"/>
      <c r="GN236" s="36"/>
      <c r="GO236" s="36"/>
      <c r="GP236" s="36"/>
      <c r="GQ236" s="36"/>
      <c r="GR236" s="36"/>
      <c r="GS236" s="36"/>
      <c r="GT236" s="36"/>
      <c r="GU236" s="36"/>
      <c r="GV236" s="37"/>
      <c r="GW236" s="44"/>
      <c r="GX236" s="36"/>
      <c r="GY236" s="36"/>
      <c r="GZ236" s="36"/>
      <c r="HA236" s="36"/>
      <c r="HB236" s="36"/>
      <c r="HC236" s="36"/>
      <c r="HD236" s="36"/>
      <c r="HE236" s="36"/>
      <c r="HF236" s="36"/>
      <c r="HG236" s="36"/>
      <c r="HH236" s="36"/>
      <c r="HI236" s="36"/>
      <c r="HJ236" s="36"/>
      <c r="HK236" s="36"/>
      <c r="HL236" s="36"/>
      <c r="HM236" s="37"/>
      <c r="HN236" s="44"/>
      <c r="HO236" s="36"/>
      <c r="HP236" s="36"/>
      <c r="HQ236" s="36"/>
      <c r="HR236" s="36"/>
      <c r="HS236" s="36"/>
      <c r="HT236" s="36"/>
      <c r="HU236" s="36"/>
      <c r="HV236" s="36"/>
      <c r="HW236" s="36"/>
      <c r="HX236" s="36"/>
      <c r="HY236" s="36"/>
      <c r="HZ236" s="36"/>
      <c r="IA236" s="36"/>
      <c r="IB236" s="36"/>
      <c r="IC236" s="36"/>
      <c r="ID236" s="37"/>
      <c r="IE236" s="44"/>
      <c r="IF236" s="36"/>
      <c r="IG236" s="36"/>
      <c r="IH236" s="36"/>
      <c r="II236" s="36"/>
      <c r="IJ236" s="36"/>
      <c r="IK236" s="36"/>
      <c r="IL236" s="36"/>
      <c r="IM236" s="36"/>
      <c r="IN236" s="36"/>
      <c r="IO236" s="36"/>
      <c r="IP236" s="36"/>
      <c r="IQ236" s="36"/>
      <c r="IR236" s="36"/>
      <c r="IS236" s="36"/>
      <c r="IT236" s="36"/>
      <c r="IU236" s="37"/>
      <c r="IV236" s="44"/>
      <c r="IW236" s="36"/>
      <c r="IX236" s="36"/>
      <c r="IY236" s="36"/>
      <c r="IZ236" s="36"/>
      <c r="JA236" s="36"/>
      <c r="JB236" s="36"/>
      <c r="JC236" s="36"/>
      <c r="JD236" s="36"/>
      <c r="JE236" s="36"/>
      <c r="JF236" s="36"/>
      <c r="JG236" s="36"/>
      <c r="JH236" s="36"/>
      <c r="JI236" s="36"/>
      <c r="JJ236" s="36"/>
      <c r="JK236" s="36"/>
      <c r="JL236" s="37"/>
      <c r="JM236" s="44"/>
      <c r="JN236" s="36"/>
      <c r="JO236" s="36"/>
      <c r="JP236" s="36"/>
      <c r="JQ236" s="36"/>
      <c r="JR236" s="36"/>
      <c r="JS236" s="36"/>
      <c r="JT236" s="36"/>
      <c r="JU236" s="36"/>
      <c r="JV236" s="36"/>
      <c r="JW236" s="36"/>
      <c r="JX236" s="36"/>
      <c r="JY236" s="36"/>
      <c r="JZ236" s="36"/>
      <c r="KA236" s="36"/>
      <c r="KB236" s="36"/>
      <c r="KC236" s="37"/>
      <c r="KD236" s="44"/>
      <c r="KE236" s="36"/>
      <c r="KF236" s="36"/>
      <c r="KG236" s="36"/>
      <c r="KH236" s="36"/>
      <c r="KI236" s="36"/>
      <c r="KJ236" s="36"/>
      <c r="KK236" s="36"/>
      <c r="KL236" s="36"/>
      <c r="KM236" s="36"/>
      <c r="KN236" s="36"/>
      <c r="KO236" s="36"/>
      <c r="KP236" s="36"/>
      <c r="KQ236" s="36"/>
      <c r="KR236" s="36"/>
      <c r="KS236" s="36"/>
      <c r="KT236" s="37"/>
      <c r="KU236" s="36"/>
    </row>
    <row r="237" ht="15.0" customHeight="1">
      <c r="A237" s="44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7"/>
      <c r="R237" s="44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7"/>
      <c r="AI237" s="44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  <c r="AU237" s="36"/>
      <c r="AV237" s="36"/>
      <c r="AW237" s="36"/>
      <c r="AX237" s="36"/>
      <c r="AY237" s="37"/>
      <c r="AZ237" s="44"/>
      <c r="BA237" s="36"/>
      <c r="BB237" s="36"/>
      <c r="BC237" s="36"/>
      <c r="BD237" s="36"/>
      <c r="BE237" s="36"/>
      <c r="BF237" s="36"/>
      <c r="BG237" s="36"/>
      <c r="BH237" s="36"/>
      <c r="BI237" s="36"/>
      <c r="BJ237" s="36"/>
      <c r="BK237" s="36"/>
      <c r="BL237" s="36"/>
      <c r="BM237" s="36"/>
      <c r="BN237" s="36"/>
      <c r="BO237" s="36"/>
      <c r="BP237" s="37"/>
      <c r="BQ237" s="44"/>
      <c r="BR237" s="36"/>
      <c r="BS237" s="36"/>
      <c r="BT237" s="36"/>
      <c r="BU237" s="36"/>
      <c r="BV237" s="36"/>
      <c r="BW237" s="36"/>
      <c r="BX237" s="36"/>
      <c r="BY237" s="36"/>
      <c r="BZ237" s="36"/>
      <c r="CA237" s="36"/>
      <c r="CB237" s="36"/>
      <c r="CC237" s="36"/>
      <c r="CD237" s="36"/>
      <c r="CE237" s="36"/>
      <c r="CF237" s="36"/>
      <c r="CG237" s="37"/>
      <c r="CH237" s="44"/>
      <c r="CI237" s="36"/>
      <c r="CJ237" s="36"/>
      <c r="CK237" s="36"/>
      <c r="CL237" s="36"/>
      <c r="CM237" s="36"/>
      <c r="CN237" s="36"/>
      <c r="CO237" s="36"/>
      <c r="CP237" s="36"/>
      <c r="CQ237" s="36"/>
      <c r="CR237" s="36"/>
      <c r="CS237" s="36"/>
      <c r="CT237" s="36"/>
      <c r="CU237" s="36"/>
      <c r="CV237" s="36"/>
      <c r="CW237" s="36"/>
      <c r="CX237" s="37"/>
      <c r="CY237" s="44"/>
      <c r="CZ237" s="36"/>
      <c r="DA237" s="36"/>
      <c r="DB237" s="36"/>
      <c r="DC237" s="36"/>
      <c r="DD237" s="36"/>
      <c r="DE237" s="36"/>
      <c r="DF237" s="36"/>
      <c r="DG237" s="36"/>
      <c r="DH237" s="36"/>
      <c r="DI237" s="36"/>
      <c r="DJ237" s="36"/>
      <c r="DK237" s="36"/>
      <c r="DL237" s="36"/>
      <c r="DM237" s="36"/>
      <c r="DN237" s="36"/>
      <c r="DO237" s="37"/>
      <c r="DP237" s="44"/>
      <c r="DQ237" s="36"/>
      <c r="DR237" s="36"/>
      <c r="DS237" s="36"/>
      <c r="DT237" s="36"/>
      <c r="DU237" s="36"/>
      <c r="DV237" s="36"/>
      <c r="DW237" s="36"/>
      <c r="DX237" s="36"/>
      <c r="DY237" s="36"/>
      <c r="DZ237" s="36"/>
      <c r="EA237" s="36"/>
      <c r="EB237" s="36"/>
      <c r="EC237" s="36"/>
      <c r="ED237" s="36"/>
      <c r="EE237" s="36"/>
      <c r="EF237" s="37"/>
      <c r="EG237" s="44"/>
      <c r="EH237" s="36"/>
      <c r="EI237" s="36"/>
      <c r="EJ237" s="36"/>
      <c r="EK237" s="36"/>
      <c r="EL237" s="36"/>
      <c r="EM237" s="36"/>
      <c r="EN237" s="36"/>
      <c r="EO237" s="36"/>
      <c r="EP237" s="36"/>
      <c r="EQ237" s="36"/>
      <c r="ER237" s="36"/>
      <c r="ES237" s="36"/>
      <c r="ET237" s="36"/>
      <c r="EU237" s="36"/>
      <c r="EV237" s="36"/>
      <c r="EW237" s="37"/>
      <c r="EX237" s="44"/>
      <c r="EY237" s="36"/>
      <c r="EZ237" s="36"/>
      <c r="FA237" s="36"/>
      <c r="FB237" s="36"/>
      <c r="FC237" s="36"/>
      <c r="FD237" s="36"/>
      <c r="FE237" s="36"/>
      <c r="FF237" s="36"/>
      <c r="FG237" s="36"/>
      <c r="FH237" s="36"/>
      <c r="FI237" s="36"/>
      <c r="FJ237" s="36"/>
      <c r="FK237" s="36"/>
      <c r="FL237" s="36"/>
      <c r="FM237" s="36"/>
      <c r="FN237" s="37"/>
      <c r="FO237" s="44"/>
      <c r="FP237" s="36"/>
      <c r="FQ237" s="36"/>
      <c r="FR237" s="36"/>
      <c r="FS237" s="36"/>
      <c r="FT237" s="36"/>
      <c r="FU237" s="36"/>
      <c r="FV237" s="36"/>
      <c r="FW237" s="36"/>
      <c r="FX237" s="36"/>
      <c r="FY237" s="36"/>
      <c r="FZ237" s="36"/>
      <c r="GA237" s="36"/>
      <c r="GB237" s="36"/>
      <c r="GC237" s="36"/>
      <c r="GD237" s="36"/>
      <c r="GE237" s="37"/>
      <c r="GF237" s="44"/>
      <c r="GG237" s="36"/>
      <c r="GH237" s="36"/>
      <c r="GI237" s="36"/>
      <c r="GJ237" s="36"/>
      <c r="GK237" s="36"/>
      <c r="GL237" s="36"/>
      <c r="GM237" s="36"/>
      <c r="GN237" s="36"/>
      <c r="GO237" s="36"/>
      <c r="GP237" s="36"/>
      <c r="GQ237" s="36"/>
      <c r="GR237" s="36"/>
      <c r="GS237" s="36"/>
      <c r="GT237" s="36"/>
      <c r="GU237" s="36"/>
      <c r="GV237" s="37"/>
      <c r="GW237" s="44"/>
      <c r="GX237" s="36"/>
      <c r="GY237" s="36"/>
      <c r="GZ237" s="36"/>
      <c r="HA237" s="36"/>
      <c r="HB237" s="36"/>
      <c r="HC237" s="36"/>
      <c r="HD237" s="36"/>
      <c r="HE237" s="36"/>
      <c r="HF237" s="36"/>
      <c r="HG237" s="36"/>
      <c r="HH237" s="36"/>
      <c r="HI237" s="36"/>
      <c r="HJ237" s="36"/>
      <c r="HK237" s="36"/>
      <c r="HL237" s="36"/>
      <c r="HM237" s="37"/>
      <c r="HN237" s="44"/>
      <c r="HO237" s="36"/>
      <c r="HP237" s="36"/>
      <c r="HQ237" s="36"/>
      <c r="HR237" s="36"/>
      <c r="HS237" s="36"/>
      <c r="HT237" s="36"/>
      <c r="HU237" s="36"/>
      <c r="HV237" s="36"/>
      <c r="HW237" s="36"/>
      <c r="HX237" s="36"/>
      <c r="HY237" s="36"/>
      <c r="HZ237" s="36"/>
      <c r="IA237" s="36"/>
      <c r="IB237" s="36"/>
      <c r="IC237" s="36"/>
      <c r="ID237" s="37"/>
      <c r="IE237" s="44"/>
      <c r="IF237" s="36"/>
      <c r="IG237" s="36"/>
      <c r="IH237" s="36"/>
      <c r="II237" s="36"/>
      <c r="IJ237" s="36"/>
      <c r="IK237" s="36"/>
      <c r="IL237" s="36"/>
      <c r="IM237" s="36"/>
      <c r="IN237" s="36"/>
      <c r="IO237" s="36"/>
      <c r="IP237" s="36"/>
      <c r="IQ237" s="36"/>
      <c r="IR237" s="36"/>
      <c r="IS237" s="36"/>
      <c r="IT237" s="36"/>
      <c r="IU237" s="37"/>
      <c r="IV237" s="44"/>
      <c r="IW237" s="36"/>
      <c r="IX237" s="36"/>
      <c r="IY237" s="36"/>
      <c r="IZ237" s="36"/>
      <c r="JA237" s="36"/>
      <c r="JB237" s="36"/>
      <c r="JC237" s="36"/>
      <c r="JD237" s="36"/>
      <c r="JE237" s="36"/>
      <c r="JF237" s="36"/>
      <c r="JG237" s="36"/>
      <c r="JH237" s="36"/>
      <c r="JI237" s="36"/>
      <c r="JJ237" s="36"/>
      <c r="JK237" s="36"/>
      <c r="JL237" s="37"/>
      <c r="JM237" s="44"/>
      <c r="JN237" s="36"/>
      <c r="JO237" s="36"/>
      <c r="JP237" s="36"/>
      <c r="JQ237" s="36"/>
      <c r="JR237" s="36"/>
      <c r="JS237" s="36"/>
      <c r="JT237" s="36"/>
      <c r="JU237" s="36"/>
      <c r="JV237" s="36"/>
      <c r="JW237" s="36"/>
      <c r="JX237" s="36"/>
      <c r="JY237" s="36"/>
      <c r="JZ237" s="36"/>
      <c r="KA237" s="36"/>
      <c r="KB237" s="36"/>
      <c r="KC237" s="37"/>
      <c r="KD237" s="44"/>
      <c r="KE237" s="36"/>
      <c r="KF237" s="36"/>
      <c r="KG237" s="36"/>
      <c r="KH237" s="36"/>
      <c r="KI237" s="36"/>
      <c r="KJ237" s="36"/>
      <c r="KK237" s="36"/>
      <c r="KL237" s="36"/>
      <c r="KM237" s="36"/>
      <c r="KN237" s="36"/>
      <c r="KO237" s="36"/>
      <c r="KP237" s="36"/>
      <c r="KQ237" s="36"/>
      <c r="KR237" s="36"/>
      <c r="KS237" s="36"/>
      <c r="KT237" s="37"/>
      <c r="KU237" s="36"/>
    </row>
    <row r="238" ht="15.0" customHeight="1">
      <c r="A238" s="44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7"/>
      <c r="R238" s="44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7"/>
      <c r="AI238" s="44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  <c r="AU238" s="36"/>
      <c r="AV238" s="36"/>
      <c r="AW238" s="36"/>
      <c r="AX238" s="36"/>
      <c r="AY238" s="37"/>
      <c r="AZ238" s="44"/>
      <c r="BA238" s="36"/>
      <c r="BB238" s="36"/>
      <c r="BC238" s="36"/>
      <c r="BD238" s="36"/>
      <c r="BE238" s="36"/>
      <c r="BF238" s="36"/>
      <c r="BG238" s="36"/>
      <c r="BH238" s="36"/>
      <c r="BI238" s="36"/>
      <c r="BJ238" s="36"/>
      <c r="BK238" s="36"/>
      <c r="BL238" s="36"/>
      <c r="BM238" s="36"/>
      <c r="BN238" s="36"/>
      <c r="BO238" s="36"/>
      <c r="BP238" s="37"/>
      <c r="BQ238" s="44"/>
      <c r="BR238" s="36"/>
      <c r="BS238" s="36"/>
      <c r="BT238" s="36"/>
      <c r="BU238" s="36"/>
      <c r="BV238" s="36"/>
      <c r="BW238" s="36"/>
      <c r="BX238" s="36"/>
      <c r="BY238" s="36"/>
      <c r="BZ238" s="36"/>
      <c r="CA238" s="36"/>
      <c r="CB238" s="36"/>
      <c r="CC238" s="36"/>
      <c r="CD238" s="36"/>
      <c r="CE238" s="36"/>
      <c r="CF238" s="36"/>
      <c r="CG238" s="37"/>
      <c r="CH238" s="44"/>
      <c r="CI238" s="36"/>
      <c r="CJ238" s="36"/>
      <c r="CK238" s="36"/>
      <c r="CL238" s="36"/>
      <c r="CM238" s="36"/>
      <c r="CN238" s="36"/>
      <c r="CO238" s="36"/>
      <c r="CP238" s="36"/>
      <c r="CQ238" s="36"/>
      <c r="CR238" s="36"/>
      <c r="CS238" s="36"/>
      <c r="CT238" s="36"/>
      <c r="CU238" s="36"/>
      <c r="CV238" s="36"/>
      <c r="CW238" s="36"/>
      <c r="CX238" s="37"/>
      <c r="CY238" s="44"/>
      <c r="CZ238" s="36"/>
      <c r="DA238" s="36"/>
      <c r="DB238" s="36"/>
      <c r="DC238" s="36"/>
      <c r="DD238" s="36"/>
      <c r="DE238" s="36"/>
      <c r="DF238" s="36"/>
      <c r="DG238" s="36"/>
      <c r="DH238" s="36"/>
      <c r="DI238" s="36"/>
      <c r="DJ238" s="36"/>
      <c r="DK238" s="36"/>
      <c r="DL238" s="36"/>
      <c r="DM238" s="36"/>
      <c r="DN238" s="36"/>
      <c r="DO238" s="37"/>
      <c r="DP238" s="44"/>
      <c r="DQ238" s="36"/>
      <c r="DR238" s="36"/>
      <c r="DS238" s="36"/>
      <c r="DT238" s="36"/>
      <c r="DU238" s="36"/>
      <c r="DV238" s="36"/>
      <c r="DW238" s="36"/>
      <c r="DX238" s="36"/>
      <c r="DY238" s="36"/>
      <c r="DZ238" s="36"/>
      <c r="EA238" s="36"/>
      <c r="EB238" s="36"/>
      <c r="EC238" s="36"/>
      <c r="ED238" s="36"/>
      <c r="EE238" s="36"/>
      <c r="EF238" s="37"/>
      <c r="EG238" s="44"/>
      <c r="EH238" s="36"/>
      <c r="EI238" s="36"/>
      <c r="EJ238" s="36"/>
      <c r="EK238" s="36"/>
      <c r="EL238" s="36"/>
      <c r="EM238" s="36"/>
      <c r="EN238" s="36"/>
      <c r="EO238" s="36"/>
      <c r="EP238" s="36"/>
      <c r="EQ238" s="36"/>
      <c r="ER238" s="36"/>
      <c r="ES238" s="36"/>
      <c r="ET238" s="36"/>
      <c r="EU238" s="36"/>
      <c r="EV238" s="36"/>
      <c r="EW238" s="37"/>
      <c r="EX238" s="44"/>
      <c r="EY238" s="36"/>
      <c r="EZ238" s="36"/>
      <c r="FA238" s="36"/>
      <c r="FB238" s="36"/>
      <c r="FC238" s="36"/>
      <c r="FD238" s="36"/>
      <c r="FE238" s="36"/>
      <c r="FF238" s="36"/>
      <c r="FG238" s="36"/>
      <c r="FH238" s="36"/>
      <c r="FI238" s="36"/>
      <c r="FJ238" s="36"/>
      <c r="FK238" s="36"/>
      <c r="FL238" s="36"/>
      <c r="FM238" s="36"/>
      <c r="FN238" s="37"/>
      <c r="FO238" s="44"/>
      <c r="FP238" s="36"/>
      <c r="FQ238" s="36"/>
      <c r="FR238" s="36"/>
      <c r="FS238" s="36"/>
      <c r="FT238" s="36"/>
      <c r="FU238" s="36"/>
      <c r="FV238" s="36"/>
      <c r="FW238" s="36"/>
      <c r="FX238" s="36"/>
      <c r="FY238" s="36"/>
      <c r="FZ238" s="36"/>
      <c r="GA238" s="36"/>
      <c r="GB238" s="36"/>
      <c r="GC238" s="36"/>
      <c r="GD238" s="36"/>
      <c r="GE238" s="37"/>
      <c r="GF238" s="44"/>
      <c r="GG238" s="36"/>
      <c r="GH238" s="36"/>
      <c r="GI238" s="36"/>
      <c r="GJ238" s="36"/>
      <c r="GK238" s="36"/>
      <c r="GL238" s="36"/>
      <c r="GM238" s="36"/>
      <c r="GN238" s="36"/>
      <c r="GO238" s="36"/>
      <c r="GP238" s="36"/>
      <c r="GQ238" s="36"/>
      <c r="GR238" s="36"/>
      <c r="GS238" s="36"/>
      <c r="GT238" s="36"/>
      <c r="GU238" s="36"/>
      <c r="GV238" s="37"/>
      <c r="GW238" s="44"/>
      <c r="GX238" s="36"/>
      <c r="GY238" s="36"/>
      <c r="GZ238" s="36"/>
      <c r="HA238" s="36"/>
      <c r="HB238" s="36"/>
      <c r="HC238" s="36"/>
      <c r="HD238" s="36"/>
      <c r="HE238" s="36"/>
      <c r="HF238" s="36"/>
      <c r="HG238" s="36"/>
      <c r="HH238" s="36"/>
      <c r="HI238" s="36"/>
      <c r="HJ238" s="36"/>
      <c r="HK238" s="36"/>
      <c r="HL238" s="36"/>
      <c r="HM238" s="37"/>
      <c r="HN238" s="44"/>
      <c r="HO238" s="36"/>
      <c r="HP238" s="36"/>
      <c r="HQ238" s="36"/>
      <c r="HR238" s="36"/>
      <c r="HS238" s="36"/>
      <c r="HT238" s="36"/>
      <c r="HU238" s="36"/>
      <c r="HV238" s="36"/>
      <c r="HW238" s="36"/>
      <c r="HX238" s="36"/>
      <c r="HY238" s="36"/>
      <c r="HZ238" s="36"/>
      <c r="IA238" s="36"/>
      <c r="IB238" s="36"/>
      <c r="IC238" s="36"/>
      <c r="ID238" s="37"/>
      <c r="IE238" s="44"/>
      <c r="IF238" s="36"/>
      <c r="IG238" s="36"/>
      <c r="IH238" s="36"/>
      <c r="II238" s="36"/>
      <c r="IJ238" s="36"/>
      <c r="IK238" s="36"/>
      <c r="IL238" s="36"/>
      <c r="IM238" s="36"/>
      <c r="IN238" s="36"/>
      <c r="IO238" s="36"/>
      <c r="IP238" s="36"/>
      <c r="IQ238" s="36"/>
      <c r="IR238" s="36"/>
      <c r="IS238" s="36"/>
      <c r="IT238" s="36"/>
      <c r="IU238" s="37"/>
      <c r="IV238" s="44"/>
      <c r="IW238" s="36"/>
      <c r="IX238" s="36"/>
      <c r="IY238" s="36"/>
      <c r="IZ238" s="36"/>
      <c r="JA238" s="36"/>
      <c r="JB238" s="36"/>
      <c r="JC238" s="36"/>
      <c r="JD238" s="36"/>
      <c r="JE238" s="36"/>
      <c r="JF238" s="36"/>
      <c r="JG238" s="36"/>
      <c r="JH238" s="36"/>
      <c r="JI238" s="36"/>
      <c r="JJ238" s="36"/>
      <c r="JK238" s="36"/>
      <c r="JL238" s="37"/>
      <c r="JM238" s="44"/>
      <c r="JN238" s="36"/>
      <c r="JO238" s="36"/>
      <c r="JP238" s="36"/>
      <c r="JQ238" s="36"/>
      <c r="JR238" s="36"/>
      <c r="JS238" s="36"/>
      <c r="JT238" s="36"/>
      <c r="JU238" s="36"/>
      <c r="JV238" s="36"/>
      <c r="JW238" s="36"/>
      <c r="JX238" s="36"/>
      <c r="JY238" s="36"/>
      <c r="JZ238" s="36"/>
      <c r="KA238" s="36"/>
      <c r="KB238" s="36"/>
      <c r="KC238" s="37"/>
      <c r="KD238" s="44"/>
      <c r="KE238" s="36"/>
      <c r="KF238" s="36"/>
      <c r="KG238" s="36"/>
      <c r="KH238" s="36"/>
      <c r="KI238" s="36"/>
      <c r="KJ238" s="36"/>
      <c r="KK238" s="36"/>
      <c r="KL238" s="36"/>
      <c r="KM238" s="36"/>
      <c r="KN238" s="36"/>
      <c r="KO238" s="36"/>
      <c r="KP238" s="36"/>
      <c r="KQ238" s="36"/>
      <c r="KR238" s="36"/>
      <c r="KS238" s="36"/>
      <c r="KT238" s="37"/>
      <c r="KU238" s="36"/>
    </row>
    <row r="239" ht="15.0" customHeight="1">
      <c r="A239" s="44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7"/>
      <c r="R239" s="44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7"/>
      <c r="AI239" s="44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  <c r="AU239" s="36"/>
      <c r="AV239" s="36"/>
      <c r="AW239" s="36"/>
      <c r="AX239" s="36"/>
      <c r="AY239" s="37"/>
      <c r="AZ239" s="44"/>
      <c r="BA239" s="36"/>
      <c r="BB239" s="36"/>
      <c r="BC239" s="36"/>
      <c r="BD239" s="36"/>
      <c r="BE239" s="36"/>
      <c r="BF239" s="36"/>
      <c r="BG239" s="36"/>
      <c r="BH239" s="36"/>
      <c r="BI239" s="36"/>
      <c r="BJ239" s="36"/>
      <c r="BK239" s="36"/>
      <c r="BL239" s="36"/>
      <c r="BM239" s="36"/>
      <c r="BN239" s="36"/>
      <c r="BO239" s="36"/>
      <c r="BP239" s="37"/>
      <c r="BQ239" s="44"/>
      <c r="BR239" s="36"/>
      <c r="BS239" s="36"/>
      <c r="BT239" s="36"/>
      <c r="BU239" s="36"/>
      <c r="BV239" s="36"/>
      <c r="BW239" s="36"/>
      <c r="BX239" s="36"/>
      <c r="BY239" s="36"/>
      <c r="BZ239" s="36"/>
      <c r="CA239" s="36"/>
      <c r="CB239" s="36"/>
      <c r="CC239" s="36"/>
      <c r="CD239" s="36"/>
      <c r="CE239" s="36"/>
      <c r="CF239" s="36"/>
      <c r="CG239" s="37"/>
      <c r="CH239" s="44"/>
      <c r="CI239" s="36"/>
      <c r="CJ239" s="36"/>
      <c r="CK239" s="36"/>
      <c r="CL239" s="36"/>
      <c r="CM239" s="36"/>
      <c r="CN239" s="36"/>
      <c r="CO239" s="36"/>
      <c r="CP239" s="36"/>
      <c r="CQ239" s="36"/>
      <c r="CR239" s="36"/>
      <c r="CS239" s="36"/>
      <c r="CT239" s="36"/>
      <c r="CU239" s="36"/>
      <c r="CV239" s="36"/>
      <c r="CW239" s="36"/>
      <c r="CX239" s="37"/>
      <c r="CY239" s="44"/>
      <c r="CZ239" s="36"/>
      <c r="DA239" s="36"/>
      <c r="DB239" s="36"/>
      <c r="DC239" s="36"/>
      <c r="DD239" s="36"/>
      <c r="DE239" s="36"/>
      <c r="DF239" s="36"/>
      <c r="DG239" s="36"/>
      <c r="DH239" s="36"/>
      <c r="DI239" s="36"/>
      <c r="DJ239" s="36"/>
      <c r="DK239" s="36"/>
      <c r="DL239" s="36"/>
      <c r="DM239" s="36"/>
      <c r="DN239" s="36"/>
      <c r="DO239" s="37"/>
      <c r="DP239" s="44"/>
      <c r="DQ239" s="36"/>
      <c r="DR239" s="36"/>
      <c r="DS239" s="36"/>
      <c r="DT239" s="36"/>
      <c r="DU239" s="36"/>
      <c r="DV239" s="36"/>
      <c r="DW239" s="36"/>
      <c r="DX239" s="36"/>
      <c r="DY239" s="36"/>
      <c r="DZ239" s="36"/>
      <c r="EA239" s="36"/>
      <c r="EB239" s="36"/>
      <c r="EC239" s="36"/>
      <c r="ED239" s="36"/>
      <c r="EE239" s="36"/>
      <c r="EF239" s="37"/>
      <c r="EG239" s="44"/>
      <c r="EH239" s="36"/>
      <c r="EI239" s="36"/>
      <c r="EJ239" s="36"/>
      <c r="EK239" s="36"/>
      <c r="EL239" s="36"/>
      <c r="EM239" s="36"/>
      <c r="EN239" s="36"/>
      <c r="EO239" s="36"/>
      <c r="EP239" s="36"/>
      <c r="EQ239" s="36"/>
      <c r="ER239" s="36"/>
      <c r="ES239" s="36"/>
      <c r="ET239" s="36"/>
      <c r="EU239" s="36"/>
      <c r="EV239" s="36"/>
      <c r="EW239" s="37"/>
      <c r="EX239" s="44"/>
      <c r="EY239" s="36"/>
      <c r="EZ239" s="36"/>
      <c r="FA239" s="36"/>
      <c r="FB239" s="36"/>
      <c r="FC239" s="36"/>
      <c r="FD239" s="36"/>
      <c r="FE239" s="36"/>
      <c r="FF239" s="36"/>
      <c r="FG239" s="36"/>
      <c r="FH239" s="36"/>
      <c r="FI239" s="36"/>
      <c r="FJ239" s="36"/>
      <c r="FK239" s="36"/>
      <c r="FL239" s="36"/>
      <c r="FM239" s="36"/>
      <c r="FN239" s="37"/>
      <c r="FO239" s="44"/>
      <c r="FP239" s="36"/>
      <c r="FQ239" s="36"/>
      <c r="FR239" s="36"/>
      <c r="FS239" s="36"/>
      <c r="FT239" s="36"/>
      <c r="FU239" s="36"/>
      <c r="FV239" s="36"/>
      <c r="FW239" s="36"/>
      <c r="FX239" s="36"/>
      <c r="FY239" s="36"/>
      <c r="FZ239" s="36"/>
      <c r="GA239" s="36"/>
      <c r="GB239" s="36"/>
      <c r="GC239" s="36"/>
      <c r="GD239" s="36"/>
      <c r="GE239" s="37"/>
      <c r="GF239" s="44"/>
      <c r="GG239" s="36"/>
      <c r="GH239" s="36"/>
      <c r="GI239" s="36"/>
      <c r="GJ239" s="36"/>
      <c r="GK239" s="36"/>
      <c r="GL239" s="36"/>
      <c r="GM239" s="36"/>
      <c r="GN239" s="36"/>
      <c r="GO239" s="36"/>
      <c r="GP239" s="36"/>
      <c r="GQ239" s="36"/>
      <c r="GR239" s="36"/>
      <c r="GS239" s="36"/>
      <c r="GT239" s="36"/>
      <c r="GU239" s="36"/>
      <c r="GV239" s="37"/>
      <c r="GW239" s="44"/>
      <c r="GX239" s="36"/>
      <c r="GY239" s="36"/>
      <c r="GZ239" s="36"/>
      <c r="HA239" s="36"/>
      <c r="HB239" s="36"/>
      <c r="HC239" s="36"/>
      <c r="HD239" s="36"/>
      <c r="HE239" s="36"/>
      <c r="HF239" s="36"/>
      <c r="HG239" s="36"/>
      <c r="HH239" s="36"/>
      <c r="HI239" s="36"/>
      <c r="HJ239" s="36"/>
      <c r="HK239" s="36"/>
      <c r="HL239" s="36"/>
      <c r="HM239" s="37"/>
      <c r="HN239" s="44"/>
      <c r="HO239" s="36"/>
      <c r="HP239" s="36"/>
      <c r="HQ239" s="36"/>
      <c r="HR239" s="36"/>
      <c r="HS239" s="36"/>
      <c r="HT239" s="36"/>
      <c r="HU239" s="36"/>
      <c r="HV239" s="36"/>
      <c r="HW239" s="36"/>
      <c r="HX239" s="36"/>
      <c r="HY239" s="36"/>
      <c r="HZ239" s="36"/>
      <c r="IA239" s="36"/>
      <c r="IB239" s="36"/>
      <c r="IC239" s="36"/>
      <c r="ID239" s="37"/>
      <c r="IE239" s="44"/>
      <c r="IF239" s="36"/>
      <c r="IG239" s="36"/>
      <c r="IH239" s="36"/>
      <c r="II239" s="36"/>
      <c r="IJ239" s="36"/>
      <c r="IK239" s="36"/>
      <c r="IL239" s="36"/>
      <c r="IM239" s="36"/>
      <c r="IN239" s="36"/>
      <c r="IO239" s="36"/>
      <c r="IP239" s="36"/>
      <c r="IQ239" s="36"/>
      <c r="IR239" s="36"/>
      <c r="IS239" s="36"/>
      <c r="IT239" s="36"/>
      <c r="IU239" s="37"/>
      <c r="IV239" s="44"/>
      <c r="IW239" s="36"/>
      <c r="IX239" s="36"/>
      <c r="IY239" s="36"/>
      <c r="IZ239" s="36"/>
      <c r="JA239" s="36"/>
      <c r="JB239" s="36"/>
      <c r="JC239" s="36"/>
      <c r="JD239" s="36"/>
      <c r="JE239" s="36"/>
      <c r="JF239" s="36"/>
      <c r="JG239" s="36"/>
      <c r="JH239" s="36"/>
      <c r="JI239" s="36"/>
      <c r="JJ239" s="36"/>
      <c r="JK239" s="36"/>
      <c r="JL239" s="37"/>
      <c r="JM239" s="44"/>
      <c r="JN239" s="36"/>
      <c r="JO239" s="36"/>
      <c r="JP239" s="36"/>
      <c r="JQ239" s="36"/>
      <c r="JR239" s="36"/>
      <c r="JS239" s="36"/>
      <c r="JT239" s="36"/>
      <c r="JU239" s="36"/>
      <c r="JV239" s="36"/>
      <c r="JW239" s="36"/>
      <c r="JX239" s="36"/>
      <c r="JY239" s="36"/>
      <c r="JZ239" s="36"/>
      <c r="KA239" s="36"/>
      <c r="KB239" s="36"/>
      <c r="KC239" s="37"/>
      <c r="KD239" s="44"/>
      <c r="KE239" s="36"/>
      <c r="KF239" s="36"/>
      <c r="KG239" s="36"/>
      <c r="KH239" s="36"/>
      <c r="KI239" s="36"/>
      <c r="KJ239" s="36"/>
      <c r="KK239" s="36"/>
      <c r="KL239" s="36"/>
      <c r="KM239" s="36"/>
      <c r="KN239" s="36"/>
      <c r="KO239" s="36"/>
      <c r="KP239" s="36"/>
      <c r="KQ239" s="36"/>
      <c r="KR239" s="36"/>
      <c r="KS239" s="36"/>
      <c r="KT239" s="37"/>
      <c r="KU239" s="36"/>
    </row>
    <row r="240" ht="15.0" customHeight="1">
      <c r="A240" s="44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7"/>
      <c r="R240" s="44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7"/>
      <c r="AI240" s="44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  <c r="AU240" s="36"/>
      <c r="AV240" s="36"/>
      <c r="AW240" s="36"/>
      <c r="AX240" s="36"/>
      <c r="AY240" s="37"/>
      <c r="AZ240" s="44"/>
      <c r="BA240" s="36"/>
      <c r="BB240" s="36"/>
      <c r="BC240" s="36"/>
      <c r="BD240" s="36"/>
      <c r="BE240" s="36"/>
      <c r="BF240" s="36"/>
      <c r="BG240" s="36"/>
      <c r="BH240" s="36"/>
      <c r="BI240" s="36"/>
      <c r="BJ240" s="36"/>
      <c r="BK240" s="36"/>
      <c r="BL240" s="36"/>
      <c r="BM240" s="36"/>
      <c r="BN240" s="36"/>
      <c r="BO240" s="36"/>
      <c r="BP240" s="37"/>
      <c r="BQ240" s="44"/>
      <c r="BR240" s="36"/>
      <c r="BS240" s="36"/>
      <c r="BT240" s="36"/>
      <c r="BU240" s="36"/>
      <c r="BV240" s="36"/>
      <c r="BW240" s="36"/>
      <c r="BX240" s="36"/>
      <c r="BY240" s="36"/>
      <c r="BZ240" s="36"/>
      <c r="CA240" s="36"/>
      <c r="CB240" s="36"/>
      <c r="CC240" s="36"/>
      <c r="CD240" s="36"/>
      <c r="CE240" s="36"/>
      <c r="CF240" s="36"/>
      <c r="CG240" s="37"/>
      <c r="CH240" s="44"/>
      <c r="CI240" s="36"/>
      <c r="CJ240" s="36"/>
      <c r="CK240" s="36"/>
      <c r="CL240" s="36"/>
      <c r="CM240" s="36"/>
      <c r="CN240" s="36"/>
      <c r="CO240" s="36"/>
      <c r="CP240" s="36"/>
      <c r="CQ240" s="36"/>
      <c r="CR240" s="36"/>
      <c r="CS240" s="36"/>
      <c r="CT240" s="36"/>
      <c r="CU240" s="36"/>
      <c r="CV240" s="36"/>
      <c r="CW240" s="36"/>
      <c r="CX240" s="37"/>
      <c r="CY240" s="44"/>
      <c r="CZ240" s="36"/>
      <c r="DA240" s="36"/>
      <c r="DB240" s="36"/>
      <c r="DC240" s="36"/>
      <c r="DD240" s="36"/>
      <c r="DE240" s="36"/>
      <c r="DF240" s="36"/>
      <c r="DG240" s="36"/>
      <c r="DH240" s="36"/>
      <c r="DI240" s="36"/>
      <c r="DJ240" s="36"/>
      <c r="DK240" s="36"/>
      <c r="DL240" s="36"/>
      <c r="DM240" s="36"/>
      <c r="DN240" s="36"/>
      <c r="DO240" s="37"/>
      <c r="DP240" s="44"/>
      <c r="DQ240" s="36"/>
      <c r="DR240" s="36"/>
      <c r="DS240" s="36"/>
      <c r="DT240" s="36"/>
      <c r="DU240" s="36"/>
      <c r="DV240" s="36"/>
      <c r="DW240" s="36"/>
      <c r="DX240" s="36"/>
      <c r="DY240" s="36"/>
      <c r="DZ240" s="36"/>
      <c r="EA240" s="36"/>
      <c r="EB240" s="36"/>
      <c r="EC240" s="36"/>
      <c r="ED240" s="36"/>
      <c r="EE240" s="36"/>
      <c r="EF240" s="37"/>
      <c r="EG240" s="44"/>
      <c r="EH240" s="36"/>
      <c r="EI240" s="36"/>
      <c r="EJ240" s="36"/>
      <c r="EK240" s="36"/>
      <c r="EL240" s="36"/>
      <c r="EM240" s="36"/>
      <c r="EN240" s="36"/>
      <c r="EO240" s="36"/>
      <c r="EP240" s="36"/>
      <c r="EQ240" s="36"/>
      <c r="ER240" s="36"/>
      <c r="ES240" s="36"/>
      <c r="ET240" s="36"/>
      <c r="EU240" s="36"/>
      <c r="EV240" s="36"/>
      <c r="EW240" s="37"/>
      <c r="EX240" s="44"/>
      <c r="EY240" s="36"/>
      <c r="EZ240" s="36"/>
      <c r="FA240" s="36"/>
      <c r="FB240" s="36"/>
      <c r="FC240" s="36"/>
      <c r="FD240" s="36"/>
      <c r="FE240" s="36"/>
      <c r="FF240" s="36"/>
      <c r="FG240" s="36"/>
      <c r="FH240" s="36"/>
      <c r="FI240" s="36"/>
      <c r="FJ240" s="36"/>
      <c r="FK240" s="36"/>
      <c r="FL240" s="36"/>
      <c r="FM240" s="36"/>
      <c r="FN240" s="37"/>
      <c r="FO240" s="44"/>
      <c r="FP240" s="36"/>
      <c r="FQ240" s="36"/>
      <c r="FR240" s="36"/>
      <c r="FS240" s="36"/>
      <c r="FT240" s="36"/>
      <c r="FU240" s="36"/>
      <c r="FV240" s="36"/>
      <c r="FW240" s="36"/>
      <c r="FX240" s="36"/>
      <c r="FY240" s="36"/>
      <c r="FZ240" s="36"/>
      <c r="GA240" s="36"/>
      <c r="GB240" s="36"/>
      <c r="GC240" s="36"/>
      <c r="GD240" s="36"/>
      <c r="GE240" s="37"/>
      <c r="GF240" s="44"/>
      <c r="GG240" s="36"/>
      <c r="GH240" s="36"/>
      <c r="GI240" s="36"/>
      <c r="GJ240" s="36"/>
      <c r="GK240" s="36"/>
      <c r="GL240" s="36"/>
      <c r="GM240" s="36"/>
      <c r="GN240" s="36"/>
      <c r="GO240" s="36"/>
      <c r="GP240" s="36"/>
      <c r="GQ240" s="36"/>
      <c r="GR240" s="36"/>
      <c r="GS240" s="36"/>
      <c r="GT240" s="36"/>
      <c r="GU240" s="36"/>
      <c r="GV240" s="37"/>
      <c r="GW240" s="44"/>
      <c r="GX240" s="36"/>
      <c r="GY240" s="36"/>
      <c r="GZ240" s="36"/>
      <c r="HA240" s="36"/>
      <c r="HB240" s="36"/>
      <c r="HC240" s="36"/>
      <c r="HD240" s="36"/>
      <c r="HE240" s="36"/>
      <c r="HF240" s="36"/>
      <c r="HG240" s="36"/>
      <c r="HH240" s="36"/>
      <c r="HI240" s="36"/>
      <c r="HJ240" s="36"/>
      <c r="HK240" s="36"/>
      <c r="HL240" s="36"/>
      <c r="HM240" s="37"/>
      <c r="HN240" s="44"/>
      <c r="HO240" s="36"/>
      <c r="HP240" s="36"/>
      <c r="HQ240" s="36"/>
      <c r="HR240" s="36"/>
      <c r="HS240" s="36"/>
      <c r="HT240" s="36"/>
      <c r="HU240" s="36"/>
      <c r="HV240" s="36"/>
      <c r="HW240" s="36"/>
      <c r="HX240" s="36"/>
      <c r="HY240" s="36"/>
      <c r="HZ240" s="36"/>
      <c r="IA240" s="36"/>
      <c r="IB240" s="36"/>
      <c r="IC240" s="36"/>
      <c r="ID240" s="37"/>
      <c r="IE240" s="44"/>
      <c r="IF240" s="36"/>
      <c r="IG240" s="36"/>
      <c r="IH240" s="36"/>
      <c r="II240" s="36"/>
      <c r="IJ240" s="36"/>
      <c r="IK240" s="36"/>
      <c r="IL240" s="36"/>
      <c r="IM240" s="36"/>
      <c r="IN240" s="36"/>
      <c r="IO240" s="36"/>
      <c r="IP240" s="36"/>
      <c r="IQ240" s="36"/>
      <c r="IR240" s="36"/>
      <c r="IS240" s="36"/>
      <c r="IT240" s="36"/>
      <c r="IU240" s="37"/>
      <c r="IV240" s="44"/>
      <c r="IW240" s="36"/>
      <c r="IX240" s="36"/>
      <c r="IY240" s="36"/>
      <c r="IZ240" s="36"/>
      <c r="JA240" s="36"/>
      <c r="JB240" s="36"/>
      <c r="JC240" s="36"/>
      <c r="JD240" s="36"/>
      <c r="JE240" s="36"/>
      <c r="JF240" s="36"/>
      <c r="JG240" s="36"/>
      <c r="JH240" s="36"/>
      <c r="JI240" s="36"/>
      <c r="JJ240" s="36"/>
      <c r="JK240" s="36"/>
      <c r="JL240" s="37"/>
      <c r="JM240" s="44"/>
      <c r="JN240" s="36"/>
      <c r="JO240" s="36"/>
      <c r="JP240" s="36"/>
      <c r="JQ240" s="36"/>
      <c r="JR240" s="36"/>
      <c r="JS240" s="36"/>
      <c r="JT240" s="36"/>
      <c r="JU240" s="36"/>
      <c r="JV240" s="36"/>
      <c r="JW240" s="36"/>
      <c r="JX240" s="36"/>
      <c r="JY240" s="36"/>
      <c r="JZ240" s="36"/>
      <c r="KA240" s="36"/>
      <c r="KB240" s="36"/>
      <c r="KC240" s="37"/>
      <c r="KD240" s="44"/>
      <c r="KE240" s="36"/>
      <c r="KF240" s="36"/>
      <c r="KG240" s="36"/>
      <c r="KH240" s="36"/>
      <c r="KI240" s="36"/>
      <c r="KJ240" s="36"/>
      <c r="KK240" s="36"/>
      <c r="KL240" s="36"/>
      <c r="KM240" s="36"/>
      <c r="KN240" s="36"/>
      <c r="KO240" s="36"/>
      <c r="KP240" s="36"/>
      <c r="KQ240" s="36"/>
      <c r="KR240" s="36"/>
      <c r="KS240" s="36"/>
      <c r="KT240" s="37"/>
      <c r="KU240" s="36"/>
    </row>
    <row r="241" ht="15.0" customHeight="1">
      <c r="A241" s="44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7"/>
      <c r="R241" s="44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7"/>
      <c r="AI241" s="44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  <c r="AU241" s="36"/>
      <c r="AV241" s="36"/>
      <c r="AW241" s="36"/>
      <c r="AX241" s="36"/>
      <c r="AY241" s="37"/>
      <c r="AZ241" s="44"/>
      <c r="BA241" s="36"/>
      <c r="BB241" s="36"/>
      <c r="BC241" s="36"/>
      <c r="BD241" s="36"/>
      <c r="BE241" s="36"/>
      <c r="BF241" s="36"/>
      <c r="BG241" s="36"/>
      <c r="BH241" s="36"/>
      <c r="BI241" s="36"/>
      <c r="BJ241" s="36"/>
      <c r="BK241" s="36"/>
      <c r="BL241" s="36"/>
      <c r="BM241" s="36"/>
      <c r="BN241" s="36"/>
      <c r="BO241" s="36"/>
      <c r="BP241" s="37"/>
      <c r="BQ241" s="44"/>
      <c r="BR241" s="36"/>
      <c r="BS241" s="36"/>
      <c r="BT241" s="36"/>
      <c r="BU241" s="36"/>
      <c r="BV241" s="36"/>
      <c r="BW241" s="36"/>
      <c r="BX241" s="36"/>
      <c r="BY241" s="36"/>
      <c r="BZ241" s="36"/>
      <c r="CA241" s="36"/>
      <c r="CB241" s="36"/>
      <c r="CC241" s="36"/>
      <c r="CD241" s="36"/>
      <c r="CE241" s="36"/>
      <c r="CF241" s="36"/>
      <c r="CG241" s="37"/>
      <c r="CH241" s="44"/>
      <c r="CI241" s="36"/>
      <c r="CJ241" s="36"/>
      <c r="CK241" s="36"/>
      <c r="CL241" s="36"/>
      <c r="CM241" s="36"/>
      <c r="CN241" s="36"/>
      <c r="CO241" s="36"/>
      <c r="CP241" s="36"/>
      <c r="CQ241" s="36"/>
      <c r="CR241" s="36"/>
      <c r="CS241" s="36"/>
      <c r="CT241" s="36"/>
      <c r="CU241" s="36"/>
      <c r="CV241" s="36"/>
      <c r="CW241" s="36"/>
      <c r="CX241" s="37"/>
      <c r="CY241" s="44"/>
      <c r="CZ241" s="36"/>
      <c r="DA241" s="36"/>
      <c r="DB241" s="36"/>
      <c r="DC241" s="36"/>
      <c r="DD241" s="36"/>
      <c r="DE241" s="36"/>
      <c r="DF241" s="36"/>
      <c r="DG241" s="36"/>
      <c r="DH241" s="36"/>
      <c r="DI241" s="36"/>
      <c r="DJ241" s="36"/>
      <c r="DK241" s="36"/>
      <c r="DL241" s="36"/>
      <c r="DM241" s="36"/>
      <c r="DN241" s="36"/>
      <c r="DO241" s="37"/>
      <c r="DP241" s="44"/>
      <c r="DQ241" s="36"/>
      <c r="DR241" s="36"/>
      <c r="DS241" s="36"/>
      <c r="DT241" s="36"/>
      <c r="DU241" s="36"/>
      <c r="DV241" s="36"/>
      <c r="DW241" s="36"/>
      <c r="DX241" s="36"/>
      <c r="DY241" s="36"/>
      <c r="DZ241" s="36"/>
      <c r="EA241" s="36"/>
      <c r="EB241" s="36"/>
      <c r="EC241" s="36"/>
      <c r="ED241" s="36"/>
      <c r="EE241" s="36"/>
      <c r="EF241" s="37"/>
      <c r="EG241" s="44"/>
      <c r="EH241" s="36"/>
      <c r="EI241" s="36"/>
      <c r="EJ241" s="36"/>
      <c r="EK241" s="36"/>
      <c r="EL241" s="36"/>
      <c r="EM241" s="36"/>
      <c r="EN241" s="36"/>
      <c r="EO241" s="36"/>
      <c r="EP241" s="36"/>
      <c r="EQ241" s="36"/>
      <c r="ER241" s="36"/>
      <c r="ES241" s="36"/>
      <c r="ET241" s="36"/>
      <c r="EU241" s="36"/>
      <c r="EV241" s="36"/>
      <c r="EW241" s="37"/>
      <c r="EX241" s="44"/>
      <c r="EY241" s="36"/>
      <c r="EZ241" s="36"/>
      <c r="FA241" s="36"/>
      <c r="FB241" s="36"/>
      <c r="FC241" s="36"/>
      <c r="FD241" s="36"/>
      <c r="FE241" s="36"/>
      <c r="FF241" s="36"/>
      <c r="FG241" s="36"/>
      <c r="FH241" s="36"/>
      <c r="FI241" s="36"/>
      <c r="FJ241" s="36"/>
      <c r="FK241" s="36"/>
      <c r="FL241" s="36"/>
      <c r="FM241" s="36"/>
      <c r="FN241" s="37"/>
      <c r="FO241" s="44"/>
      <c r="FP241" s="36"/>
      <c r="FQ241" s="36"/>
      <c r="FR241" s="36"/>
      <c r="FS241" s="36"/>
      <c r="FT241" s="36"/>
      <c r="FU241" s="36"/>
      <c r="FV241" s="36"/>
      <c r="FW241" s="36"/>
      <c r="FX241" s="36"/>
      <c r="FY241" s="36"/>
      <c r="FZ241" s="36"/>
      <c r="GA241" s="36"/>
      <c r="GB241" s="36"/>
      <c r="GC241" s="36"/>
      <c r="GD241" s="36"/>
      <c r="GE241" s="37"/>
      <c r="GF241" s="44"/>
      <c r="GG241" s="36"/>
      <c r="GH241" s="36"/>
      <c r="GI241" s="36"/>
      <c r="GJ241" s="36"/>
      <c r="GK241" s="36"/>
      <c r="GL241" s="36"/>
      <c r="GM241" s="36"/>
      <c r="GN241" s="36"/>
      <c r="GO241" s="36"/>
      <c r="GP241" s="36"/>
      <c r="GQ241" s="36"/>
      <c r="GR241" s="36"/>
      <c r="GS241" s="36"/>
      <c r="GT241" s="36"/>
      <c r="GU241" s="36"/>
      <c r="GV241" s="37"/>
      <c r="GW241" s="44"/>
      <c r="GX241" s="36"/>
      <c r="GY241" s="36"/>
      <c r="GZ241" s="36"/>
      <c r="HA241" s="36"/>
      <c r="HB241" s="36"/>
      <c r="HC241" s="36"/>
      <c r="HD241" s="36"/>
      <c r="HE241" s="36"/>
      <c r="HF241" s="36"/>
      <c r="HG241" s="36"/>
      <c r="HH241" s="36"/>
      <c r="HI241" s="36"/>
      <c r="HJ241" s="36"/>
      <c r="HK241" s="36"/>
      <c r="HL241" s="36"/>
      <c r="HM241" s="37"/>
      <c r="HN241" s="44"/>
      <c r="HO241" s="36"/>
      <c r="HP241" s="36"/>
      <c r="HQ241" s="36"/>
      <c r="HR241" s="36"/>
      <c r="HS241" s="36"/>
      <c r="HT241" s="36"/>
      <c r="HU241" s="36"/>
      <c r="HV241" s="36"/>
      <c r="HW241" s="36"/>
      <c r="HX241" s="36"/>
      <c r="HY241" s="36"/>
      <c r="HZ241" s="36"/>
      <c r="IA241" s="36"/>
      <c r="IB241" s="36"/>
      <c r="IC241" s="36"/>
      <c r="ID241" s="37"/>
      <c r="IE241" s="44"/>
      <c r="IF241" s="36"/>
      <c r="IG241" s="36"/>
      <c r="IH241" s="36"/>
      <c r="II241" s="36"/>
      <c r="IJ241" s="36"/>
      <c r="IK241" s="36"/>
      <c r="IL241" s="36"/>
      <c r="IM241" s="36"/>
      <c r="IN241" s="36"/>
      <c r="IO241" s="36"/>
      <c r="IP241" s="36"/>
      <c r="IQ241" s="36"/>
      <c r="IR241" s="36"/>
      <c r="IS241" s="36"/>
      <c r="IT241" s="36"/>
      <c r="IU241" s="37"/>
      <c r="IV241" s="44"/>
      <c r="IW241" s="36"/>
      <c r="IX241" s="36"/>
      <c r="IY241" s="36"/>
      <c r="IZ241" s="36"/>
      <c r="JA241" s="36"/>
      <c r="JB241" s="36"/>
      <c r="JC241" s="36"/>
      <c r="JD241" s="36"/>
      <c r="JE241" s="36"/>
      <c r="JF241" s="36"/>
      <c r="JG241" s="36"/>
      <c r="JH241" s="36"/>
      <c r="JI241" s="36"/>
      <c r="JJ241" s="36"/>
      <c r="JK241" s="36"/>
      <c r="JL241" s="37"/>
      <c r="JM241" s="44"/>
      <c r="JN241" s="36"/>
      <c r="JO241" s="36"/>
      <c r="JP241" s="36"/>
      <c r="JQ241" s="36"/>
      <c r="JR241" s="36"/>
      <c r="JS241" s="36"/>
      <c r="JT241" s="36"/>
      <c r="JU241" s="36"/>
      <c r="JV241" s="36"/>
      <c r="JW241" s="36"/>
      <c r="JX241" s="36"/>
      <c r="JY241" s="36"/>
      <c r="JZ241" s="36"/>
      <c r="KA241" s="36"/>
      <c r="KB241" s="36"/>
      <c r="KC241" s="37"/>
      <c r="KD241" s="44"/>
      <c r="KE241" s="36"/>
      <c r="KF241" s="36"/>
      <c r="KG241" s="36"/>
      <c r="KH241" s="36"/>
      <c r="KI241" s="36"/>
      <c r="KJ241" s="36"/>
      <c r="KK241" s="36"/>
      <c r="KL241" s="36"/>
      <c r="KM241" s="36"/>
      <c r="KN241" s="36"/>
      <c r="KO241" s="36"/>
      <c r="KP241" s="36"/>
      <c r="KQ241" s="36"/>
      <c r="KR241" s="36"/>
      <c r="KS241" s="36"/>
      <c r="KT241" s="37"/>
      <c r="KU241" s="36"/>
    </row>
    <row r="242" ht="15.0" customHeight="1">
      <c r="A242" s="44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7"/>
      <c r="R242" s="44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7"/>
      <c r="AI242" s="44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  <c r="AU242" s="36"/>
      <c r="AV242" s="36"/>
      <c r="AW242" s="36"/>
      <c r="AX242" s="36"/>
      <c r="AY242" s="37"/>
      <c r="AZ242" s="44"/>
      <c r="BA242" s="36"/>
      <c r="BB242" s="36"/>
      <c r="BC242" s="36"/>
      <c r="BD242" s="36"/>
      <c r="BE242" s="36"/>
      <c r="BF242" s="36"/>
      <c r="BG242" s="36"/>
      <c r="BH242" s="36"/>
      <c r="BI242" s="36"/>
      <c r="BJ242" s="36"/>
      <c r="BK242" s="36"/>
      <c r="BL242" s="36"/>
      <c r="BM242" s="36"/>
      <c r="BN242" s="36"/>
      <c r="BO242" s="36"/>
      <c r="BP242" s="37"/>
      <c r="BQ242" s="44"/>
      <c r="BR242" s="36"/>
      <c r="BS242" s="36"/>
      <c r="BT242" s="36"/>
      <c r="BU242" s="36"/>
      <c r="BV242" s="36"/>
      <c r="BW242" s="36"/>
      <c r="BX242" s="36"/>
      <c r="BY242" s="36"/>
      <c r="BZ242" s="36"/>
      <c r="CA242" s="36"/>
      <c r="CB242" s="36"/>
      <c r="CC242" s="36"/>
      <c r="CD242" s="36"/>
      <c r="CE242" s="36"/>
      <c r="CF242" s="36"/>
      <c r="CG242" s="37"/>
      <c r="CH242" s="44"/>
      <c r="CI242" s="36"/>
      <c r="CJ242" s="36"/>
      <c r="CK242" s="36"/>
      <c r="CL242" s="36"/>
      <c r="CM242" s="36"/>
      <c r="CN242" s="36"/>
      <c r="CO242" s="36"/>
      <c r="CP242" s="36"/>
      <c r="CQ242" s="36"/>
      <c r="CR242" s="36"/>
      <c r="CS242" s="36"/>
      <c r="CT242" s="36"/>
      <c r="CU242" s="36"/>
      <c r="CV242" s="36"/>
      <c r="CW242" s="36"/>
      <c r="CX242" s="37"/>
      <c r="CY242" s="44"/>
      <c r="CZ242" s="36"/>
      <c r="DA242" s="36"/>
      <c r="DB242" s="36"/>
      <c r="DC242" s="36"/>
      <c r="DD242" s="36"/>
      <c r="DE242" s="36"/>
      <c r="DF242" s="36"/>
      <c r="DG242" s="36"/>
      <c r="DH242" s="36"/>
      <c r="DI242" s="36"/>
      <c r="DJ242" s="36"/>
      <c r="DK242" s="36"/>
      <c r="DL242" s="36"/>
      <c r="DM242" s="36"/>
      <c r="DN242" s="36"/>
      <c r="DO242" s="37"/>
      <c r="DP242" s="44"/>
      <c r="DQ242" s="36"/>
      <c r="DR242" s="36"/>
      <c r="DS242" s="36"/>
      <c r="DT242" s="36"/>
      <c r="DU242" s="36"/>
      <c r="DV242" s="36"/>
      <c r="DW242" s="36"/>
      <c r="DX242" s="36"/>
      <c r="DY242" s="36"/>
      <c r="DZ242" s="36"/>
      <c r="EA242" s="36"/>
      <c r="EB242" s="36"/>
      <c r="EC242" s="36"/>
      <c r="ED242" s="36"/>
      <c r="EE242" s="36"/>
      <c r="EF242" s="37"/>
      <c r="EG242" s="44"/>
      <c r="EH242" s="36"/>
      <c r="EI242" s="36"/>
      <c r="EJ242" s="36"/>
      <c r="EK242" s="36"/>
      <c r="EL242" s="36"/>
      <c r="EM242" s="36"/>
      <c r="EN242" s="36"/>
      <c r="EO242" s="36"/>
      <c r="EP242" s="36"/>
      <c r="EQ242" s="36"/>
      <c r="ER242" s="36"/>
      <c r="ES242" s="36"/>
      <c r="ET242" s="36"/>
      <c r="EU242" s="36"/>
      <c r="EV242" s="36"/>
      <c r="EW242" s="37"/>
      <c r="EX242" s="44"/>
      <c r="EY242" s="36"/>
      <c r="EZ242" s="36"/>
      <c r="FA242" s="36"/>
      <c r="FB242" s="36"/>
      <c r="FC242" s="36"/>
      <c r="FD242" s="36"/>
      <c r="FE242" s="36"/>
      <c r="FF242" s="36"/>
      <c r="FG242" s="36"/>
      <c r="FH242" s="36"/>
      <c r="FI242" s="36"/>
      <c r="FJ242" s="36"/>
      <c r="FK242" s="36"/>
      <c r="FL242" s="36"/>
      <c r="FM242" s="36"/>
      <c r="FN242" s="37"/>
      <c r="FO242" s="44"/>
      <c r="FP242" s="36"/>
      <c r="FQ242" s="36"/>
      <c r="FR242" s="36"/>
      <c r="FS242" s="36"/>
      <c r="FT242" s="36"/>
      <c r="FU242" s="36"/>
      <c r="FV242" s="36"/>
      <c r="FW242" s="36"/>
      <c r="FX242" s="36"/>
      <c r="FY242" s="36"/>
      <c r="FZ242" s="36"/>
      <c r="GA242" s="36"/>
      <c r="GB242" s="36"/>
      <c r="GC242" s="36"/>
      <c r="GD242" s="36"/>
      <c r="GE242" s="37"/>
      <c r="GF242" s="44"/>
      <c r="GG242" s="36"/>
      <c r="GH242" s="36"/>
      <c r="GI242" s="36"/>
      <c r="GJ242" s="36"/>
      <c r="GK242" s="36"/>
      <c r="GL242" s="36"/>
      <c r="GM242" s="36"/>
      <c r="GN242" s="36"/>
      <c r="GO242" s="36"/>
      <c r="GP242" s="36"/>
      <c r="GQ242" s="36"/>
      <c r="GR242" s="36"/>
      <c r="GS242" s="36"/>
      <c r="GT242" s="36"/>
      <c r="GU242" s="36"/>
      <c r="GV242" s="37"/>
      <c r="GW242" s="44"/>
      <c r="GX242" s="36"/>
      <c r="GY242" s="36"/>
      <c r="GZ242" s="36"/>
      <c r="HA242" s="36"/>
      <c r="HB242" s="36"/>
      <c r="HC242" s="36"/>
      <c r="HD242" s="36"/>
      <c r="HE242" s="36"/>
      <c r="HF242" s="36"/>
      <c r="HG242" s="36"/>
      <c r="HH242" s="36"/>
      <c r="HI242" s="36"/>
      <c r="HJ242" s="36"/>
      <c r="HK242" s="36"/>
      <c r="HL242" s="36"/>
      <c r="HM242" s="37"/>
      <c r="HN242" s="44"/>
      <c r="HO242" s="36"/>
      <c r="HP242" s="36"/>
      <c r="HQ242" s="36"/>
      <c r="HR242" s="36"/>
      <c r="HS242" s="36"/>
      <c r="HT242" s="36"/>
      <c r="HU242" s="36"/>
      <c r="HV242" s="36"/>
      <c r="HW242" s="36"/>
      <c r="HX242" s="36"/>
      <c r="HY242" s="36"/>
      <c r="HZ242" s="36"/>
      <c r="IA242" s="36"/>
      <c r="IB242" s="36"/>
      <c r="IC242" s="36"/>
      <c r="ID242" s="37"/>
      <c r="IE242" s="44"/>
      <c r="IF242" s="36"/>
      <c r="IG242" s="36"/>
      <c r="IH242" s="36"/>
      <c r="II242" s="36"/>
      <c r="IJ242" s="36"/>
      <c r="IK242" s="36"/>
      <c r="IL242" s="36"/>
      <c r="IM242" s="36"/>
      <c r="IN242" s="36"/>
      <c r="IO242" s="36"/>
      <c r="IP242" s="36"/>
      <c r="IQ242" s="36"/>
      <c r="IR242" s="36"/>
      <c r="IS242" s="36"/>
      <c r="IT242" s="36"/>
      <c r="IU242" s="37"/>
      <c r="IV242" s="44"/>
      <c r="IW242" s="36"/>
      <c r="IX242" s="36"/>
      <c r="IY242" s="36"/>
      <c r="IZ242" s="36"/>
      <c r="JA242" s="36"/>
      <c r="JB242" s="36"/>
      <c r="JC242" s="36"/>
      <c r="JD242" s="36"/>
      <c r="JE242" s="36"/>
      <c r="JF242" s="36"/>
      <c r="JG242" s="36"/>
      <c r="JH242" s="36"/>
      <c r="JI242" s="36"/>
      <c r="JJ242" s="36"/>
      <c r="JK242" s="36"/>
      <c r="JL242" s="37"/>
      <c r="JM242" s="44"/>
      <c r="JN242" s="36"/>
      <c r="JO242" s="36"/>
      <c r="JP242" s="36"/>
      <c r="JQ242" s="36"/>
      <c r="JR242" s="36"/>
      <c r="JS242" s="36"/>
      <c r="JT242" s="36"/>
      <c r="JU242" s="36"/>
      <c r="JV242" s="36"/>
      <c r="JW242" s="36"/>
      <c r="JX242" s="36"/>
      <c r="JY242" s="36"/>
      <c r="JZ242" s="36"/>
      <c r="KA242" s="36"/>
      <c r="KB242" s="36"/>
      <c r="KC242" s="37"/>
      <c r="KD242" s="44"/>
      <c r="KE242" s="36"/>
      <c r="KF242" s="36"/>
      <c r="KG242" s="36"/>
      <c r="KH242" s="36"/>
      <c r="KI242" s="36"/>
      <c r="KJ242" s="36"/>
      <c r="KK242" s="36"/>
      <c r="KL242" s="36"/>
      <c r="KM242" s="36"/>
      <c r="KN242" s="36"/>
      <c r="KO242" s="36"/>
      <c r="KP242" s="36"/>
      <c r="KQ242" s="36"/>
      <c r="KR242" s="36"/>
      <c r="KS242" s="36"/>
      <c r="KT242" s="37"/>
      <c r="KU242" s="36"/>
    </row>
    <row r="243" ht="15.0" customHeight="1">
      <c r="A243" s="44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7"/>
      <c r="R243" s="44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7"/>
      <c r="AI243" s="44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  <c r="AU243" s="36"/>
      <c r="AV243" s="36"/>
      <c r="AW243" s="36"/>
      <c r="AX243" s="36"/>
      <c r="AY243" s="37"/>
      <c r="AZ243" s="44"/>
      <c r="BA243" s="36"/>
      <c r="BB243" s="36"/>
      <c r="BC243" s="36"/>
      <c r="BD243" s="36"/>
      <c r="BE243" s="36"/>
      <c r="BF243" s="36"/>
      <c r="BG243" s="36"/>
      <c r="BH243" s="36"/>
      <c r="BI243" s="36"/>
      <c r="BJ243" s="36"/>
      <c r="BK243" s="36"/>
      <c r="BL243" s="36"/>
      <c r="BM243" s="36"/>
      <c r="BN243" s="36"/>
      <c r="BO243" s="36"/>
      <c r="BP243" s="37"/>
      <c r="BQ243" s="44"/>
      <c r="BR243" s="36"/>
      <c r="BS243" s="36"/>
      <c r="BT243" s="36"/>
      <c r="BU243" s="36"/>
      <c r="BV243" s="36"/>
      <c r="BW243" s="36"/>
      <c r="BX243" s="36"/>
      <c r="BY243" s="36"/>
      <c r="BZ243" s="36"/>
      <c r="CA243" s="36"/>
      <c r="CB243" s="36"/>
      <c r="CC243" s="36"/>
      <c r="CD243" s="36"/>
      <c r="CE243" s="36"/>
      <c r="CF243" s="36"/>
      <c r="CG243" s="37"/>
      <c r="CH243" s="44"/>
      <c r="CI243" s="36"/>
      <c r="CJ243" s="36"/>
      <c r="CK243" s="36"/>
      <c r="CL243" s="36"/>
      <c r="CM243" s="36"/>
      <c r="CN243" s="36"/>
      <c r="CO243" s="36"/>
      <c r="CP243" s="36"/>
      <c r="CQ243" s="36"/>
      <c r="CR243" s="36"/>
      <c r="CS243" s="36"/>
      <c r="CT243" s="36"/>
      <c r="CU243" s="36"/>
      <c r="CV243" s="36"/>
      <c r="CW243" s="36"/>
      <c r="CX243" s="37"/>
      <c r="CY243" s="44"/>
      <c r="CZ243" s="36"/>
      <c r="DA243" s="36"/>
      <c r="DB243" s="36"/>
      <c r="DC243" s="36"/>
      <c r="DD243" s="36"/>
      <c r="DE243" s="36"/>
      <c r="DF243" s="36"/>
      <c r="DG243" s="36"/>
      <c r="DH243" s="36"/>
      <c r="DI243" s="36"/>
      <c r="DJ243" s="36"/>
      <c r="DK243" s="36"/>
      <c r="DL243" s="36"/>
      <c r="DM243" s="36"/>
      <c r="DN243" s="36"/>
      <c r="DO243" s="37"/>
      <c r="DP243" s="44"/>
      <c r="DQ243" s="36"/>
      <c r="DR243" s="36"/>
      <c r="DS243" s="36"/>
      <c r="DT243" s="36"/>
      <c r="DU243" s="36"/>
      <c r="DV243" s="36"/>
      <c r="DW243" s="36"/>
      <c r="DX243" s="36"/>
      <c r="DY243" s="36"/>
      <c r="DZ243" s="36"/>
      <c r="EA243" s="36"/>
      <c r="EB243" s="36"/>
      <c r="EC243" s="36"/>
      <c r="ED243" s="36"/>
      <c r="EE243" s="36"/>
      <c r="EF243" s="37"/>
      <c r="EG243" s="44"/>
      <c r="EH243" s="36"/>
      <c r="EI243" s="36"/>
      <c r="EJ243" s="36"/>
      <c r="EK243" s="36"/>
      <c r="EL243" s="36"/>
      <c r="EM243" s="36"/>
      <c r="EN243" s="36"/>
      <c r="EO243" s="36"/>
      <c r="EP243" s="36"/>
      <c r="EQ243" s="36"/>
      <c r="ER243" s="36"/>
      <c r="ES243" s="36"/>
      <c r="ET243" s="36"/>
      <c r="EU243" s="36"/>
      <c r="EV243" s="36"/>
      <c r="EW243" s="37"/>
      <c r="EX243" s="44"/>
      <c r="EY243" s="36"/>
      <c r="EZ243" s="36"/>
      <c r="FA243" s="36"/>
      <c r="FB243" s="36"/>
      <c r="FC243" s="36"/>
      <c r="FD243" s="36"/>
      <c r="FE243" s="36"/>
      <c r="FF243" s="36"/>
      <c r="FG243" s="36"/>
      <c r="FH243" s="36"/>
      <c r="FI243" s="36"/>
      <c r="FJ243" s="36"/>
      <c r="FK243" s="36"/>
      <c r="FL243" s="36"/>
      <c r="FM243" s="36"/>
      <c r="FN243" s="37"/>
      <c r="FO243" s="44"/>
      <c r="FP243" s="36"/>
      <c r="FQ243" s="36"/>
      <c r="FR243" s="36"/>
      <c r="FS243" s="36"/>
      <c r="FT243" s="36"/>
      <c r="FU243" s="36"/>
      <c r="FV243" s="36"/>
      <c r="FW243" s="36"/>
      <c r="FX243" s="36"/>
      <c r="FY243" s="36"/>
      <c r="FZ243" s="36"/>
      <c r="GA243" s="36"/>
      <c r="GB243" s="36"/>
      <c r="GC243" s="36"/>
      <c r="GD243" s="36"/>
      <c r="GE243" s="37"/>
      <c r="GF243" s="44"/>
      <c r="GG243" s="36"/>
      <c r="GH243" s="36"/>
      <c r="GI243" s="36"/>
      <c r="GJ243" s="36"/>
      <c r="GK243" s="36"/>
      <c r="GL243" s="36"/>
      <c r="GM243" s="36"/>
      <c r="GN243" s="36"/>
      <c r="GO243" s="36"/>
      <c r="GP243" s="36"/>
      <c r="GQ243" s="36"/>
      <c r="GR243" s="36"/>
      <c r="GS243" s="36"/>
      <c r="GT243" s="36"/>
      <c r="GU243" s="36"/>
      <c r="GV243" s="37"/>
      <c r="GW243" s="44"/>
      <c r="GX243" s="36"/>
      <c r="GY243" s="36"/>
      <c r="GZ243" s="36"/>
      <c r="HA243" s="36"/>
      <c r="HB243" s="36"/>
      <c r="HC243" s="36"/>
      <c r="HD243" s="36"/>
      <c r="HE243" s="36"/>
      <c r="HF243" s="36"/>
      <c r="HG243" s="36"/>
      <c r="HH243" s="36"/>
      <c r="HI243" s="36"/>
      <c r="HJ243" s="36"/>
      <c r="HK243" s="36"/>
      <c r="HL243" s="36"/>
      <c r="HM243" s="37"/>
      <c r="HN243" s="44"/>
      <c r="HO243" s="36"/>
      <c r="HP243" s="36"/>
      <c r="HQ243" s="36"/>
      <c r="HR243" s="36"/>
      <c r="HS243" s="36"/>
      <c r="HT243" s="36"/>
      <c r="HU243" s="36"/>
      <c r="HV243" s="36"/>
      <c r="HW243" s="36"/>
      <c r="HX243" s="36"/>
      <c r="HY243" s="36"/>
      <c r="HZ243" s="36"/>
      <c r="IA243" s="36"/>
      <c r="IB243" s="36"/>
      <c r="IC243" s="36"/>
      <c r="ID243" s="37"/>
      <c r="IE243" s="44"/>
      <c r="IF243" s="36"/>
      <c r="IG243" s="36"/>
      <c r="IH243" s="36"/>
      <c r="II243" s="36"/>
      <c r="IJ243" s="36"/>
      <c r="IK243" s="36"/>
      <c r="IL243" s="36"/>
      <c r="IM243" s="36"/>
      <c r="IN243" s="36"/>
      <c r="IO243" s="36"/>
      <c r="IP243" s="36"/>
      <c r="IQ243" s="36"/>
      <c r="IR243" s="36"/>
      <c r="IS243" s="36"/>
      <c r="IT243" s="36"/>
      <c r="IU243" s="37"/>
      <c r="IV243" s="44"/>
      <c r="IW243" s="36"/>
      <c r="IX243" s="36"/>
      <c r="IY243" s="36"/>
      <c r="IZ243" s="36"/>
      <c r="JA243" s="36"/>
      <c r="JB243" s="36"/>
      <c r="JC243" s="36"/>
      <c r="JD243" s="36"/>
      <c r="JE243" s="36"/>
      <c r="JF243" s="36"/>
      <c r="JG243" s="36"/>
      <c r="JH243" s="36"/>
      <c r="JI243" s="36"/>
      <c r="JJ243" s="36"/>
      <c r="JK243" s="36"/>
      <c r="JL243" s="37"/>
      <c r="JM243" s="44"/>
      <c r="JN243" s="36"/>
      <c r="JO243" s="36"/>
      <c r="JP243" s="36"/>
      <c r="JQ243" s="36"/>
      <c r="JR243" s="36"/>
      <c r="JS243" s="36"/>
      <c r="JT243" s="36"/>
      <c r="JU243" s="36"/>
      <c r="JV243" s="36"/>
      <c r="JW243" s="36"/>
      <c r="JX243" s="36"/>
      <c r="JY243" s="36"/>
      <c r="JZ243" s="36"/>
      <c r="KA243" s="36"/>
      <c r="KB243" s="36"/>
      <c r="KC243" s="37"/>
      <c r="KD243" s="44"/>
      <c r="KE243" s="36"/>
      <c r="KF243" s="36"/>
      <c r="KG243" s="36"/>
      <c r="KH243" s="36"/>
      <c r="KI243" s="36"/>
      <c r="KJ243" s="36"/>
      <c r="KK243" s="36"/>
      <c r="KL243" s="36"/>
      <c r="KM243" s="36"/>
      <c r="KN243" s="36"/>
      <c r="KO243" s="36"/>
      <c r="KP243" s="36"/>
      <c r="KQ243" s="36"/>
      <c r="KR243" s="36"/>
      <c r="KS243" s="36"/>
      <c r="KT243" s="37"/>
      <c r="KU243" s="36"/>
    </row>
    <row r="244" ht="15.0" customHeight="1">
      <c r="A244" s="44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7"/>
      <c r="R244" s="44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7"/>
      <c r="AI244" s="44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  <c r="AU244" s="36"/>
      <c r="AV244" s="36"/>
      <c r="AW244" s="36"/>
      <c r="AX244" s="36"/>
      <c r="AY244" s="37"/>
      <c r="AZ244" s="44"/>
      <c r="BA244" s="36"/>
      <c r="BB244" s="36"/>
      <c r="BC244" s="36"/>
      <c r="BD244" s="36"/>
      <c r="BE244" s="36"/>
      <c r="BF244" s="36"/>
      <c r="BG244" s="36"/>
      <c r="BH244" s="36"/>
      <c r="BI244" s="36"/>
      <c r="BJ244" s="36"/>
      <c r="BK244" s="36"/>
      <c r="BL244" s="36"/>
      <c r="BM244" s="36"/>
      <c r="BN244" s="36"/>
      <c r="BO244" s="36"/>
      <c r="BP244" s="37"/>
      <c r="BQ244" s="44"/>
      <c r="BR244" s="36"/>
      <c r="BS244" s="36"/>
      <c r="BT244" s="36"/>
      <c r="BU244" s="36"/>
      <c r="BV244" s="36"/>
      <c r="BW244" s="36"/>
      <c r="BX244" s="36"/>
      <c r="BY244" s="36"/>
      <c r="BZ244" s="36"/>
      <c r="CA244" s="36"/>
      <c r="CB244" s="36"/>
      <c r="CC244" s="36"/>
      <c r="CD244" s="36"/>
      <c r="CE244" s="36"/>
      <c r="CF244" s="36"/>
      <c r="CG244" s="37"/>
      <c r="CH244" s="44"/>
      <c r="CI244" s="36"/>
      <c r="CJ244" s="36"/>
      <c r="CK244" s="36"/>
      <c r="CL244" s="36"/>
      <c r="CM244" s="36"/>
      <c r="CN244" s="36"/>
      <c r="CO244" s="36"/>
      <c r="CP244" s="36"/>
      <c r="CQ244" s="36"/>
      <c r="CR244" s="36"/>
      <c r="CS244" s="36"/>
      <c r="CT244" s="36"/>
      <c r="CU244" s="36"/>
      <c r="CV244" s="36"/>
      <c r="CW244" s="36"/>
      <c r="CX244" s="37"/>
      <c r="CY244" s="44"/>
      <c r="CZ244" s="36"/>
      <c r="DA244" s="36"/>
      <c r="DB244" s="36"/>
      <c r="DC244" s="36"/>
      <c r="DD244" s="36"/>
      <c r="DE244" s="36"/>
      <c r="DF244" s="36"/>
      <c r="DG244" s="36"/>
      <c r="DH244" s="36"/>
      <c r="DI244" s="36"/>
      <c r="DJ244" s="36"/>
      <c r="DK244" s="36"/>
      <c r="DL244" s="36"/>
      <c r="DM244" s="36"/>
      <c r="DN244" s="36"/>
      <c r="DO244" s="37"/>
      <c r="DP244" s="44"/>
      <c r="DQ244" s="36"/>
      <c r="DR244" s="36"/>
      <c r="DS244" s="36"/>
      <c r="DT244" s="36"/>
      <c r="DU244" s="36"/>
      <c r="DV244" s="36"/>
      <c r="DW244" s="36"/>
      <c r="DX244" s="36"/>
      <c r="DY244" s="36"/>
      <c r="DZ244" s="36"/>
      <c r="EA244" s="36"/>
      <c r="EB244" s="36"/>
      <c r="EC244" s="36"/>
      <c r="ED244" s="36"/>
      <c r="EE244" s="36"/>
      <c r="EF244" s="37"/>
      <c r="EG244" s="44"/>
      <c r="EH244" s="36"/>
      <c r="EI244" s="36"/>
      <c r="EJ244" s="36"/>
      <c r="EK244" s="36"/>
      <c r="EL244" s="36"/>
      <c r="EM244" s="36"/>
      <c r="EN244" s="36"/>
      <c r="EO244" s="36"/>
      <c r="EP244" s="36"/>
      <c r="EQ244" s="36"/>
      <c r="ER244" s="36"/>
      <c r="ES244" s="36"/>
      <c r="ET244" s="36"/>
      <c r="EU244" s="36"/>
      <c r="EV244" s="36"/>
      <c r="EW244" s="37"/>
      <c r="EX244" s="44"/>
      <c r="EY244" s="36"/>
      <c r="EZ244" s="36"/>
      <c r="FA244" s="36"/>
      <c r="FB244" s="36"/>
      <c r="FC244" s="36"/>
      <c r="FD244" s="36"/>
      <c r="FE244" s="36"/>
      <c r="FF244" s="36"/>
      <c r="FG244" s="36"/>
      <c r="FH244" s="36"/>
      <c r="FI244" s="36"/>
      <c r="FJ244" s="36"/>
      <c r="FK244" s="36"/>
      <c r="FL244" s="36"/>
      <c r="FM244" s="36"/>
      <c r="FN244" s="37"/>
      <c r="FO244" s="44"/>
      <c r="FP244" s="36"/>
      <c r="FQ244" s="36"/>
      <c r="FR244" s="36"/>
      <c r="FS244" s="36"/>
      <c r="FT244" s="36"/>
      <c r="FU244" s="36"/>
      <c r="FV244" s="36"/>
      <c r="FW244" s="36"/>
      <c r="FX244" s="36"/>
      <c r="FY244" s="36"/>
      <c r="FZ244" s="36"/>
      <c r="GA244" s="36"/>
      <c r="GB244" s="36"/>
      <c r="GC244" s="36"/>
      <c r="GD244" s="36"/>
      <c r="GE244" s="37"/>
      <c r="GF244" s="44"/>
      <c r="GG244" s="36"/>
      <c r="GH244" s="36"/>
      <c r="GI244" s="36"/>
      <c r="GJ244" s="36"/>
      <c r="GK244" s="36"/>
      <c r="GL244" s="36"/>
      <c r="GM244" s="36"/>
      <c r="GN244" s="36"/>
      <c r="GO244" s="36"/>
      <c r="GP244" s="36"/>
      <c r="GQ244" s="36"/>
      <c r="GR244" s="36"/>
      <c r="GS244" s="36"/>
      <c r="GT244" s="36"/>
      <c r="GU244" s="36"/>
      <c r="GV244" s="37"/>
      <c r="GW244" s="44"/>
      <c r="GX244" s="36"/>
      <c r="GY244" s="36"/>
      <c r="GZ244" s="36"/>
      <c r="HA244" s="36"/>
      <c r="HB244" s="36"/>
      <c r="HC244" s="36"/>
      <c r="HD244" s="36"/>
      <c r="HE244" s="36"/>
      <c r="HF244" s="36"/>
      <c r="HG244" s="36"/>
      <c r="HH244" s="36"/>
      <c r="HI244" s="36"/>
      <c r="HJ244" s="36"/>
      <c r="HK244" s="36"/>
      <c r="HL244" s="36"/>
      <c r="HM244" s="37"/>
      <c r="HN244" s="44"/>
      <c r="HO244" s="36"/>
      <c r="HP244" s="36"/>
      <c r="HQ244" s="36"/>
      <c r="HR244" s="36"/>
      <c r="HS244" s="36"/>
      <c r="HT244" s="36"/>
      <c r="HU244" s="36"/>
      <c r="HV244" s="36"/>
      <c r="HW244" s="36"/>
      <c r="HX244" s="36"/>
      <c r="HY244" s="36"/>
      <c r="HZ244" s="36"/>
      <c r="IA244" s="36"/>
      <c r="IB244" s="36"/>
      <c r="IC244" s="36"/>
      <c r="ID244" s="37"/>
      <c r="IE244" s="44"/>
      <c r="IF244" s="36"/>
      <c r="IG244" s="36"/>
      <c r="IH244" s="36"/>
      <c r="II244" s="36"/>
      <c r="IJ244" s="36"/>
      <c r="IK244" s="36"/>
      <c r="IL244" s="36"/>
      <c r="IM244" s="36"/>
      <c r="IN244" s="36"/>
      <c r="IO244" s="36"/>
      <c r="IP244" s="36"/>
      <c r="IQ244" s="36"/>
      <c r="IR244" s="36"/>
      <c r="IS244" s="36"/>
      <c r="IT244" s="36"/>
      <c r="IU244" s="37"/>
      <c r="IV244" s="44"/>
      <c r="IW244" s="36"/>
      <c r="IX244" s="36"/>
      <c r="IY244" s="36"/>
      <c r="IZ244" s="36"/>
      <c r="JA244" s="36"/>
      <c r="JB244" s="36"/>
      <c r="JC244" s="36"/>
      <c r="JD244" s="36"/>
      <c r="JE244" s="36"/>
      <c r="JF244" s="36"/>
      <c r="JG244" s="36"/>
      <c r="JH244" s="36"/>
      <c r="JI244" s="36"/>
      <c r="JJ244" s="36"/>
      <c r="JK244" s="36"/>
      <c r="JL244" s="37"/>
      <c r="JM244" s="44"/>
      <c r="JN244" s="36"/>
      <c r="JO244" s="36"/>
      <c r="JP244" s="36"/>
      <c r="JQ244" s="36"/>
      <c r="JR244" s="36"/>
      <c r="JS244" s="36"/>
      <c r="JT244" s="36"/>
      <c r="JU244" s="36"/>
      <c r="JV244" s="36"/>
      <c r="JW244" s="36"/>
      <c r="JX244" s="36"/>
      <c r="JY244" s="36"/>
      <c r="JZ244" s="36"/>
      <c r="KA244" s="36"/>
      <c r="KB244" s="36"/>
      <c r="KC244" s="37"/>
      <c r="KD244" s="44"/>
      <c r="KE244" s="36"/>
      <c r="KF244" s="36"/>
      <c r="KG244" s="36"/>
      <c r="KH244" s="36"/>
      <c r="KI244" s="36"/>
      <c r="KJ244" s="36"/>
      <c r="KK244" s="36"/>
      <c r="KL244" s="36"/>
      <c r="KM244" s="36"/>
      <c r="KN244" s="36"/>
      <c r="KO244" s="36"/>
      <c r="KP244" s="36"/>
      <c r="KQ244" s="36"/>
      <c r="KR244" s="36"/>
      <c r="KS244" s="36"/>
      <c r="KT244" s="37"/>
      <c r="KU244" s="36"/>
    </row>
    <row r="245" ht="15.0" customHeight="1">
      <c r="A245" s="44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7"/>
      <c r="R245" s="44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7"/>
      <c r="AI245" s="44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  <c r="AU245" s="36"/>
      <c r="AV245" s="36"/>
      <c r="AW245" s="36"/>
      <c r="AX245" s="36"/>
      <c r="AY245" s="37"/>
      <c r="AZ245" s="44"/>
      <c r="BA245" s="36"/>
      <c r="BB245" s="36"/>
      <c r="BC245" s="36"/>
      <c r="BD245" s="36"/>
      <c r="BE245" s="36"/>
      <c r="BF245" s="36"/>
      <c r="BG245" s="36"/>
      <c r="BH245" s="36"/>
      <c r="BI245" s="36"/>
      <c r="BJ245" s="36"/>
      <c r="BK245" s="36"/>
      <c r="BL245" s="36"/>
      <c r="BM245" s="36"/>
      <c r="BN245" s="36"/>
      <c r="BO245" s="36"/>
      <c r="BP245" s="37"/>
      <c r="BQ245" s="44"/>
      <c r="BR245" s="36"/>
      <c r="BS245" s="36"/>
      <c r="BT245" s="36"/>
      <c r="BU245" s="36"/>
      <c r="BV245" s="36"/>
      <c r="BW245" s="36"/>
      <c r="BX245" s="36"/>
      <c r="BY245" s="36"/>
      <c r="BZ245" s="36"/>
      <c r="CA245" s="36"/>
      <c r="CB245" s="36"/>
      <c r="CC245" s="36"/>
      <c r="CD245" s="36"/>
      <c r="CE245" s="36"/>
      <c r="CF245" s="36"/>
      <c r="CG245" s="37"/>
      <c r="CH245" s="44"/>
      <c r="CI245" s="36"/>
      <c r="CJ245" s="36"/>
      <c r="CK245" s="36"/>
      <c r="CL245" s="36"/>
      <c r="CM245" s="36"/>
      <c r="CN245" s="36"/>
      <c r="CO245" s="36"/>
      <c r="CP245" s="36"/>
      <c r="CQ245" s="36"/>
      <c r="CR245" s="36"/>
      <c r="CS245" s="36"/>
      <c r="CT245" s="36"/>
      <c r="CU245" s="36"/>
      <c r="CV245" s="36"/>
      <c r="CW245" s="36"/>
      <c r="CX245" s="37"/>
      <c r="CY245" s="44"/>
      <c r="CZ245" s="36"/>
      <c r="DA245" s="36"/>
      <c r="DB245" s="36"/>
      <c r="DC245" s="36"/>
      <c r="DD245" s="36"/>
      <c r="DE245" s="36"/>
      <c r="DF245" s="36"/>
      <c r="DG245" s="36"/>
      <c r="DH245" s="36"/>
      <c r="DI245" s="36"/>
      <c r="DJ245" s="36"/>
      <c r="DK245" s="36"/>
      <c r="DL245" s="36"/>
      <c r="DM245" s="36"/>
      <c r="DN245" s="36"/>
      <c r="DO245" s="37"/>
      <c r="DP245" s="44"/>
      <c r="DQ245" s="36"/>
      <c r="DR245" s="36"/>
      <c r="DS245" s="36"/>
      <c r="DT245" s="36"/>
      <c r="DU245" s="36"/>
      <c r="DV245" s="36"/>
      <c r="DW245" s="36"/>
      <c r="DX245" s="36"/>
      <c r="DY245" s="36"/>
      <c r="DZ245" s="36"/>
      <c r="EA245" s="36"/>
      <c r="EB245" s="36"/>
      <c r="EC245" s="36"/>
      <c r="ED245" s="36"/>
      <c r="EE245" s="36"/>
      <c r="EF245" s="37"/>
      <c r="EG245" s="44"/>
      <c r="EH245" s="36"/>
      <c r="EI245" s="36"/>
      <c r="EJ245" s="36"/>
      <c r="EK245" s="36"/>
      <c r="EL245" s="36"/>
      <c r="EM245" s="36"/>
      <c r="EN245" s="36"/>
      <c r="EO245" s="36"/>
      <c r="EP245" s="36"/>
      <c r="EQ245" s="36"/>
      <c r="ER245" s="36"/>
      <c r="ES245" s="36"/>
      <c r="ET245" s="36"/>
      <c r="EU245" s="36"/>
      <c r="EV245" s="36"/>
      <c r="EW245" s="37"/>
      <c r="EX245" s="44"/>
      <c r="EY245" s="36"/>
      <c r="EZ245" s="36"/>
      <c r="FA245" s="36"/>
      <c r="FB245" s="36"/>
      <c r="FC245" s="36"/>
      <c r="FD245" s="36"/>
      <c r="FE245" s="36"/>
      <c r="FF245" s="36"/>
      <c r="FG245" s="36"/>
      <c r="FH245" s="36"/>
      <c r="FI245" s="36"/>
      <c r="FJ245" s="36"/>
      <c r="FK245" s="36"/>
      <c r="FL245" s="36"/>
      <c r="FM245" s="36"/>
      <c r="FN245" s="37"/>
      <c r="FO245" s="44"/>
      <c r="FP245" s="36"/>
      <c r="FQ245" s="36"/>
      <c r="FR245" s="36"/>
      <c r="FS245" s="36"/>
      <c r="FT245" s="36"/>
      <c r="FU245" s="36"/>
      <c r="FV245" s="36"/>
      <c r="FW245" s="36"/>
      <c r="FX245" s="36"/>
      <c r="FY245" s="36"/>
      <c r="FZ245" s="36"/>
      <c r="GA245" s="36"/>
      <c r="GB245" s="36"/>
      <c r="GC245" s="36"/>
      <c r="GD245" s="36"/>
      <c r="GE245" s="37"/>
      <c r="GF245" s="44"/>
      <c r="GG245" s="36"/>
      <c r="GH245" s="36"/>
      <c r="GI245" s="36"/>
      <c r="GJ245" s="36"/>
      <c r="GK245" s="36"/>
      <c r="GL245" s="36"/>
      <c r="GM245" s="36"/>
      <c r="GN245" s="36"/>
      <c r="GO245" s="36"/>
      <c r="GP245" s="36"/>
      <c r="GQ245" s="36"/>
      <c r="GR245" s="36"/>
      <c r="GS245" s="36"/>
      <c r="GT245" s="36"/>
      <c r="GU245" s="36"/>
      <c r="GV245" s="37"/>
      <c r="GW245" s="44"/>
      <c r="GX245" s="36"/>
      <c r="GY245" s="36"/>
      <c r="GZ245" s="36"/>
      <c r="HA245" s="36"/>
      <c r="HB245" s="36"/>
      <c r="HC245" s="36"/>
      <c r="HD245" s="36"/>
      <c r="HE245" s="36"/>
      <c r="HF245" s="36"/>
      <c r="HG245" s="36"/>
      <c r="HH245" s="36"/>
      <c r="HI245" s="36"/>
      <c r="HJ245" s="36"/>
      <c r="HK245" s="36"/>
      <c r="HL245" s="36"/>
      <c r="HM245" s="37"/>
      <c r="HN245" s="44"/>
      <c r="HO245" s="36"/>
      <c r="HP245" s="36"/>
      <c r="HQ245" s="36"/>
      <c r="HR245" s="36"/>
      <c r="HS245" s="36"/>
      <c r="HT245" s="36"/>
      <c r="HU245" s="36"/>
      <c r="HV245" s="36"/>
      <c r="HW245" s="36"/>
      <c r="HX245" s="36"/>
      <c r="HY245" s="36"/>
      <c r="HZ245" s="36"/>
      <c r="IA245" s="36"/>
      <c r="IB245" s="36"/>
      <c r="IC245" s="36"/>
      <c r="ID245" s="37"/>
      <c r="IE245" s="44"/>
      <c r="IF245" s="36"/>
      <c r="IG245" s="36"/>
      <c r="IH245" s="36"/>
      <c r="II245" s="36"/>
      <c r="IJ245" s="36"/>
      <c r="IK245" s="36"/>
      <c r="IL245" s="36"/>
      <c r="IM245" s="36"/>
      <c r="IN245" s="36"/>
      <c r="IO245" s="36"/>
      <c r="IP245" s="36"/>
      <c r="IQ245" s="36"/>
      <c r="IR245" s="36"/>
      <c r="IS245" s="36"/>
      <c r="IT245" s="36"/>
      <c r="IU245" s="37"/>
      <c r="IV245" s="44"/>
      <c r="IW245" s="36"/>
      <c r="IX245" s="36"/>
      <c r="IY245" s="36"/>
      <c r="IZ245" s="36"/>
      <c r="JA245" s="36"/>
      <c r="JB245" s="36"/>
      <c r="JC245" s="36"/>
      <c r="JD245" s="36"/>
      <c r="JE245" s="36"/>
      <c r="JF245" s="36"/>
      <c r="JG245" s="36"/>
      <c r="JH245" s="36"/>
      <c r="JI245" s="36"/>
      <c r="JJ245" s="36"/>
      <c r="JK245" s="36"/>
      <c r="JL245" s="37"/>
      <c r="JM245" s="44"/>
      <c r="JN245" s="36"/>
      <c r="JO245" s="36"/>
      <c r="JP245" s="36"/>
      <c r="JQ245" s="36"/>
      <c r="JR245" s="36"/>
      <c r="JS245" s="36"/>
      <c r="JT245" s="36"/>
      <c r="JU245" s="36"/>
      <c r="JV245" s="36"/>
      <c r="JW245" s="36"/>
      <c r="JX245" s="36"/>
      <c r="JY245" s="36"/>
      <c r="JZ245" s="36"/>
      <c r="KA245" s="36"/>
      <c r="KB245" s="36"/>
      <c r="KC245" s="37"/>
      <c r="KD245" s="44"/>
      <c r="KE245" s="36"/>
      <c r="KF245" s="36"/>
      <c r="KG245" s="36"/>
      <c r="KH245" s="36"/>
      <c r="KI245" s="36"/>
      <c r="KJ245" s="36"/>
      <c r="KK245" s="36"/>
      <c r="KL245" s="36"/>
      <c r="KM245" s="36"/>
      <c r="KN245" s="36"/>
      <c r="KO245" s="36"/>
      <c r="KP245" s="36"/>
      <c r="KQ245" s="36"/>
      <c r="KR245" s="36"/>
      <c r="KS245" s="36"/>
      <c r="KT245" s="37"/>
      <c r="KU245" s="36"/>
    </row>
    <row r="246" ht="15.0" customHeight="1">
      <c r="A246" s="44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7"/>
      <c r="R246" s="44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7"/>
      <c r="AI246" s="44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  <c r="AU246" s="36"/>
      <c r="AV246" s="36"/>
      <c r="AW246" s="36"/>
      <c r="AX246" s="36"/>
      <c r="AY246" s="37"/>
      <c r="AZ246" s="44"/>
      <c r="BA246" s="36"/>
      <c r="BB246" s="36"/>
      <c r="BC246" s="36"/>
      <c r="BD246" s="36"/>
      <c r="BE246" s="36"/>
      <c r="BF246" s="36"/>
      <c r="BG246" s="36"/>
      <c r="BH246" s="36"/>
      <c r="BI246" s="36"/>
      <c r="BJ246" s="36"/>
      <c r="BK246" s="36"/>
      <c r="BL246" s="36"/>
      <c r="BM246" s="36"/>
      <c r="BN246" s="36"/>
      <c r="BO246" s="36"/>
      <c r="BP246" s="37"/>
      <c r="BQ246" s="44"/>
      <c r="BR246" s="36"/>
      <c r="BS246" s="36"/>
      <c r="BT246" s="36"/>
      <c r="BU246" s="36"/>
      <c r="BV246" s="36"/>
      <c r="BW246" s="36"/>
      <c r="BX246" s="36"/>
      <c r="BY246" s="36"/>
      <c r="BZ246" s="36"/>
      <c r="CA246" s="36"/>
      <c r="CB246" s="36"/>
      <c r="CC246" s="36"/>
      <c r="CD246" s="36"/>
      <c r="CE246" s="36"/>
      <c r="CF246" s="36"/>
      <c r="CG246" s="37"/>
      <c r="CH246" s="44"/>
      <c r="CI246" s="36"/>
      <c r="CJ246" s="36"/>
      <c r="CK246" s="36"/>
      <c r="CL246" s="36"/>
      <c r="CM246" s="36"/>
      <c r="CN246" s="36"/>
      <c r="CO246" s="36"/>
      <c r="CP246" s="36"/>
      <c r="CQ246" s="36"/>
      <c r="CR246" s="36"/>
      <c r="CS246" s="36"/>
      <c r="CT246" s="36"/>
      <c r="CU246" s="36"/>
      <c r="CV246" s="36"/>
      <c r="CW246" s="36"/>
      <c r="CX246" s="37"/>
      <c r="CY246" s="44"/>
      <c r="CZ246" s="36"/>
      <c r="DA246" s="36"/>
      <c r="DB246" s="36"/>
      <c r="DC246" s="36"/>
      <c r="DD246" s="36"/>
      <c r="DE246" s="36"/>
      <c r="DF246" s="36"/>
      <c r="DG246" s="36"/>
      <c r="DH246" s="36"/>
      <c r="DI246" s="36"/>
      <c r="DJ246" s="36"/>
      <c r="DK246" s="36"/>
      <c r="DL246" s="36"/>
      <c r="DM246" s="36"/>
      <c r="DN246" s="36"/>
      <c r="DO246" s="37"/>
      <c r="DP246" s="44"/>
      <c r="DQ246" s="36"/>
      <c r="DR246" s="36"/>
      <c r="DS246" s="36"/>
      <c r="DT246" s="36"/>
      <c r="DU246" s="36"/>
      <c r="DV246" s="36"/>
      <c r="DW246" s="36"/>
      <c r="DX246" s="36"/>
      <c r="DY246" s="36"/>
      <c r="DZ246" s="36"/>
      <c r="EA246" s="36"/>
      <c r="EB246" s="36"/>
      <c r="EC246" s="36"/>
      <c r="ED246" s="36"/>
      <c r="EE246" s="36"/>
      <c r="EF246" s="37"/>
      <c r="EG246" s="44"/>
      <c r="EH246" s="36"/>
      <c r="EI246" s="36"/>
      <c r="EJ246" s="36"/>
      <c r="EK246" s="36"/>
      <c r="EL246" s="36"/>
      <c r="EM246" s="36"/>
      <c r="EN246" s="36"/>
      <c r="EO246" s="36"/>
      <c r="EP246" s="36"/>
      <c r="EQ246" s="36"/>
      <c r="ER246" s="36"/>
      <c r="ES246" s="36"/>
      <c r="ET246" s="36"/>
      <c r="EU246" s="36"/>
      <c r="EV246" s="36"/>
      <c r="EW246" s="37"/>
      <c r="EX246" s="44"/>
      <c r="EY246" s="36"/>
      <c r="EZ246" s="36"/>
      <c r="FA246" s="36"/>
      <c r="FB246" s="36"/>
      <c r="FC246" s="36"/>
      <c r="FD246" s="36"/>
      <c r="FE246" s="36"/>
      <c r="FF246" s="36"/>
      <c r="FG246" s="36"/>
      <c r="FH246" s="36"/>
      <c r="FI246" s="36"/>
      <c r="FJ246" s="36"/>
      <c r="FK246" s="36"/>
      <c r="FL246" s="36"/>
      <c r="FM246" s="36"/>
      <c r="FN246" s="37"/>
      <c r="FO246" s="44"/>
      <c r="FP246" s="36"/>
      <c r="FQ246" s="36"/>
      <c r="FR246" s="36"/>
      <c r="FS246" s="36"/>
      <c r="FT246" s="36"/>
      <c r="FU246" s="36"/>
      <c r="FV246" s="36"/>
      <c r="FW246" s="36"/>
      <c r="FX246" s="36"/>
      <c r="FY246" s="36"/>
      <c r="FZ246" s="36"/>
      <c r="GA246" s="36"/>
      <c r="GB246" s="36"/>
      <c r="GC246" s="36"/>
      <c r="GD246" s="36"/>
      <c r="GE246" s="37"/>
      <c r="GF246" s="44"/>
      <c r="GG246" s="36"/>
      <c r="GH246" s="36"/>
      <c r="GI246" s="36"/>
      <c r="GJ246" s="36"/>
      <c r="GK246" s="36"/>
      <c r="GL246" s="36"/>
      <c r="GM246" s="36"/>
      <c r="GN246" s="36"/>
      <c r="GO246" s="36"/>
      <c r="GP246" s="36"/>
      <c r="GQ246" s="36"/>
      <c r="GR246" s="36"/>
      <c r="GS246" s="36"/>
      <c r="GT246" s="36"/>
      <c r="GU246" s="36"/>
      <c r="GV246" s="37"/>
      <c r="GW246" s="44"/>
      <c r="GX246" s="36"/>
      <c r="GY246" s="36"/>
      <c r="GZ246" s="36"/>
      <c r="HA246" s="36"/>
      <c r="HB246" s="36"/>
      <c r="HC246" s="36"/>
      <c r="HD246" s="36"/>
      <c r="HE246" s="36"/>
      <c r="HF246" s="36"/>
      <c r="HG246" s="36"/>
      <c r="HH246" s="36"/>
      <c r="HI246" s="36"/>
      <c r="HJ246" s="36"/>
      <c r="HK246" s="36"/>
      <c r="HL246" s="36"/>
      <c r="HM246" s="37"/>
      <c r="HN246" s="44"/>
      <c r="HO246" s="36"/>
      <c r="HP246" s="36"/>
      <c r="HQ246" s="36"/>
      <c r="HR246" s="36"/>
      <c r="HS246" s="36"/>
      <c r="HT246" s="36"/>
      <c r="HU246" s="36"/>
      <c r="HV246" s="36"/>
      <c r="HW246" s="36"/>
      <c r="HX246" s="36"/>
      <c r="HY246" s="36"/>
      <c r="HZ246" s="36"/>
      <c r="IA246" s="36"/>
      <c r="IB246" s="36"/>
      <c r="IC246" s="36"/>
      <c r="ID246" s="37"/>
      <c r="IE246" s="44"/>
      <c r="IF246" s="36"/>
      <c r="IG246" s="36"/>
      <c r="IH246" s="36"/>
      <c r="II246" s="36"/>
      <c r="IJ246" s="36"/>
      <c r="IK246" s="36"/>
      <c r="IL246" s="36"/>
      <c r="IM246" s="36"/>
      <c r="IN246" s="36"/>
      <c r="IO246" s="36"/>
      <c r="IP246" s="36"/>
      <c r="IQ246" s="36"/>
      <c r="IR246" s="36"/>
      <c r="IS246" s="36"/>
      <c r="IT246" s="36"/>
      <c r="IU246" s="37"/>
      <c r="IV246" s="44"/>
      <c r="IW246" s="36"/>
      <c r="IX246" s="36"/>
      <c r="IY246" s="36"/>
      <c r="IZ246" s="36"/>
      <c r="JA246" s="36"/>
      <c r="JB246" s="36"/>
      <c r="JC246" s="36"/>
      <c r="JD246" s="36"/>
      <c r="JE246" s="36"/>
      <c r="JF246" s="36"/>
      <c r="JG246" s="36"/>
      <c r="JH246" s="36"/>
      <c r="JI246" s="36"/>
      <c r="JJ246" s="36"/>
      <c r="JK246" s="36"/>
      <c r="JL246" s="37"/>
      <c r="JM246" s="44"/>
      <c r="JN246" s="36"/>
      <c r="JO246" s="36"/>
      <c r="JP246" s="36"/>
      <c r="JQ246" s="36"/>
      <c r="JR246" s="36"/>
      <c r="JS246" s="36"/>
      <c r="JT246" s="36"/>
      <c r="JU246" s="36"/>
      <c r="JV246" s="36"/>
      <c r="JW246" s="36"/>
      <c r="JX246" s="36"/>
      <c r="JY246" s="36"/>
      <c r="JZ246" s="36"/>
      <c r="KA246" s="36"/>
      <c r="KB246" s="36"/>
      <c r="KC246" s="37"/>
      <c r="KD246" s="44"/>
      <c r="KE246" s="36"/>
      <c r="KF246" s="36"/>
      <c r="KG246" s="36"/>
      <c r="KH246" s="36"/>
      <c r="KI246" s="36"/>
      <c r="KJ246" s="36"/>
      <c r="KK246" s="36"/>
      <c r="KL246" s="36"/>
      <c r="KM246" s="36"/>
      <c r="KN246" s="36"/>
      <c r="KO246" s="36"/>
      <c r="KP246" s="36"/>
      <c r="KQ246" s="36"/>
      <c r="KR246" s="36"/>
      <c r="KS246" s="36"/>
      <c r="KT246" s="37"/>
      <c r="KU246" s="36"/>
    </row>
    <row r="247" ht="15.0" customHeight="1">
      <c r="A247" s="44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7"/>
      <c r="R247" s="44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7"/>
      <c r="AI247" s="44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  <c r="AU247" s="36"/>
      <c r="AV247" s="36"/>
      <c r="AW247" s="36"/>
      <c r="AX247" s="36"/>
      <c r="AY247" s="37"/>
      <c r="AZ247" s="44"/>
      <c r="BA247" s="36"/>
      <c r="BB247" s="36"/>
      <c r="BC247" s="36"/>
      <c r="BD247" s="36"/>
      <c r="BE247" s="36"/>
      <c r="BF247" s="36"/>
      <c r="BG247" s="36"/>
      <c r="BH247" s="36"/>
      <c r="BI247" s="36"/>
      <c r="BJ247" s="36"/>
      <c r="BK247" s="36"/>
      <c r="BL247" s="36"/>
      <c r="BM247" s="36"/>
      <c r="BN247" s="36"/>
      <c r="BO247" s="36"/>
      <c r="BP247" s="37"/>
      <c r="BQ247" s="44"/>
      <c r="BR247" s="36"/>
      <c r="BS247" s="36"/>
      <c r="BT247" s="36"/>
      <c r="BU247" s="36"/>
      <c r="BV247" s="36"/>
      <c r="BW247" s="36"/>
      <c r="BX247" s="36"/>
      <c r="BY247" s="36"/>
      <c r="BZ247" s="36"/>
      <c r="CA247" s="36"/>
      <c r="CB247" s="36"/>
      <c r="CC247" s="36"/>
      <c r="CD247" s="36"/>
      <c r="CE247" s="36"/>
      <c r="CF247" s="36"/>
      <c r="CG247" s="37"/>
      <c r="CH247" s="44"/>
      <c r="CI247" s="36"/>
      <c r="CJ247" s="36"/>
      <c r="CK247" s="36"/>
      <c r="CL247" s="36"/>
      <c r="CM247" s="36"/>
      <c r="CN247" s="36"/>
      <c r="CO247" s="36"/>
      <c r="CP247" s="36"/>
      <c r="CQ247" s="36"/>
      <c r="CR247" s="36"/>
      <c r="CS247" s="36"/>
      <c r="CT247" s="36"/>
      <c r="CU247" s="36"/>
      <c r="CV247" s="36"/>
      <c r="CW247" s="36"/>
      <c r="CX247" s="37"/>
      <c r="CY247" s="44"/>
      <c r="CZ247" s="36"/>
      <c r="DA247" s="36"/>
      <c r="DB247" s="36"/>
      <c r="DC247" s="36"/>
      <c r="DD247" s="36"/>
      <c r="DE247" s="36"/>
      <c r="DF247" s="36"/>
      <c r="DG247" s="36"/>
      <c r="DH247" s="36"/>
      <c r="DI247" s="36"/>
      <c r="DJ247" s="36"/>
      <c r="DK247" s="36"/>
      <c r="DL247" s="36"/>
      <c r="DM247" s="36"/>
      <c r="DN247" s="36"/>
      <c r="DO247" s="37"/>
      <c r="DP247" s="44"/>
      <c r="DQ247" s="36"/>
      <c r="DR247" s="36"/>
      <c r="DS247" s="36"/>
      <c r="DT247" s="36"/>
      <c r="DU247" s="36"/>
      <c r="DV247" s="36"/>
      <c r="DW247" s="36"/>
      <c r="DX247" s="36"/>
      <c r="DY247" s="36"/>
      <c r="DZ247" s="36"/>
      <c r="EA247" s="36"/>
      <c r="EB247" s="36"/>
      <c r="EC247" s="36"/>
      <c r="ED247" s="36"/>
      <c r="EE247" s="36"/>
      <c r="EF247" s="37"/>
      <c r="EG247" s="44"/>
      <c r="EH247" s="36"/>
      <c r="EI247" s="36"/>
      <c r="EJ247" s="36"/>
      <c r="EK247" s="36"/>
      <c r="EL247" s="36"/>
      <c r="EM247" s="36"/>
      <c r="EN247" s="36"/>
      <c r="EO247" s="36"/>
      <c r="EP247" s="36"/>
      <c r="EQ247" s="36"/>
      <c r="ER247" s="36"/>
      <c r="ES247" s="36"/>
      <c r="ET247" s="36"/>
      <c r="EU247" s="36"/>
      <c r="EV247" s="36"/>
      <c r="EW247" s="37"/>
      <c r="EX247" s="44"/>
      <c r="EY247" s="36"/>
      <c r="EZ247" s="36"/>
      <c r="FA247" s="36"/>
      <c r="FB247" s="36"/>
      <c r="FC247" s="36"/>
      <c r="FD247" s="36"/>
      <c r="FE247" s="36"/>
      <c r="FF247" s="36"/>
      <c r="FG247" s="36"/>
      <c r="FH247" s="36"/>
      <c r="FI247" s="36"/>
      <c r="FJ247" s="36"/>
      <c r="FK247" s="36"/>
      <c r="FL247" s="36"/>
      <c r="FM247" s="36"/>
      <c r="FN247" s="37"/>
      <c r="FO247" s="44"/>
      <c r="FP247" s="36"/>
      <c r="FQ247" s="36"/>
      <c r="FR247" s="36"/>
      <c r="FS247" s="36"/>
      <c r="FT247" s="36"/>
      <c r="FU247" s="36"/>
      <c r="FV247" s="36"/>
      <c r="FW247" s="36"/>
      <c r="FX247" s="36"/>
      <c r="FY247" s="36"/>
      <c r="FZ247" s="36"/>
      <c r="GA247" s="36"/>
      <c r="GB247" s="36"/>
      <c r="GC247" s="36"/>
      <c r="GD247" s="36"/>
      <c r="GE247" s="37"/>
      <c r="GF247" s="44"/>
      <c r="GG247" s="36"/>
      <c r="GH247" s="36"/>
      <c r="GI247" s="36"/>
      <c r="GJ247" s="36"/>
      <c r="GK247" s="36"/>
      <c r="GL247" s="36"/>
      <c r="GM247" s="36"/>
      <c r="GN247" s="36"/>
      <c r="GO247" s="36"/>
      <c r="GP247" s="36"/>
      <c r="GQ247" s="36"/>
      <c r="GR247" s="36"/>
      <c r="GS247" s="36"/>
      <c r="GT247" s="36"/>
      <c r="GU247" s="36"/>
      <c r="GV247" s="37"/>
      <c r="GW247" s="44"/>
      <c r="GX247" s="36"/>
      <c r="GY247" s="36"/>
      <c r="GZ247" s="36"/>
      <c r="HA247" s="36"/>
      <c r="HB247" s="36"/>
      <c r="HC247" s="36"/>
      <c r="HD247" s="36"/>
      <c r="HE247" s="36"/>
      <c r="HF247" s="36"/>
      <c r="HG247" s="36"/>
      <c r="HH247" s="36"/>
      <c r="HI247" s="36"/>
      <c r="HJ247" s="36"/>
      <c r="HK247" s="36"/>
      <c r="HL247" s="36"/>
      <c r="HM247" s="37"/>
      <c r="HN247" s="44"/>
      <c r="HO247" s="36"/>
      <c r="HP247" s="36"/>
      <c r="HQ247" s="36"/>
      <c r="HR247" s="36"/>
      <c r="HS247" s="36"/>
      <c r="HT247" s="36"/>
      <c r="HU247" s="36"/>
      <c r="HV247" s="36"/>
      <c r="HW247" s="36"/>
      <c r="HX247" s="36"/>
      <c r="HY247" s="36"/>
      <c r="HZ247" s="36"/>
      <c r="IA247" s="36"/>
      <c r="IB247" s="36"/>
      <c r="IC247" s="36"/>
      <c r="ID247" s="37"/>
      <c r="IE247" s="44"/>
      <c r="IF247" s="36"/>
      <c r="IG247" s="36"/>
      <c r="IH247" s="36"/>
      <c r="II247" s="36"/>
      <c r="IJ247" s="36"/>
      <c r="IK247" s="36"/>
      <c r="IL247" s="36"/>
      <c r="IM247" s="36"/>
      <c r="IN247" s="36"/>
      <c r="IO247" s="36"/>
      <c r="IP247" s="36"/>
      <c r="IQ247" s="36"/>
      <c r="IR247" s="36"/>
      <c r="IS247" s="36"/>
      <c r="IT247" s="36"/>
      <c r="IU247" s="37"/>
      <c r="IV247" s="44"/>
      <c r="IW247" s="36"/>
      <c r="IX247" s="36"/>
      <c r="IY247" s="36"/>
      <c r="IZ247" s="36"/>
      <c r="JA247" s="36"/>
      <c r="JB247" s="36"/>
      <c r="JC247" s="36"/>
      <c r="JD247" s="36"/>
      <c r="JE247" s="36"/>
      <c r="JF247" s="36"/>
      <c r="JG247" s="36"/>
      <c r="JH247" s="36"/>
      <c r="JI247" s="36"/>
      <c r="JJ247" s="36"/>
      <c r="JK247" s="36"/>
      <c r="JL247" s="37"/>
      <c r="JM247" s="44"/>
      <c r="JN247" s="36"/>
      <c r="JO247" s="36"/>
      <c r="JP247" s="36"/>
      <c r="JQ247" s="36"/>
      <c r="JR247" s="36"/>
      <c r="JS247" s="36"/>
      <c r="JT247" s="36"/>
      <c r="JU247" s="36"/>
      <c r="JV247" s="36"/>
      <c r="JW247" s="36"/>
      <c r="JX247" s="36"/>
      <c r="JY247" s="36"/>
      <c r="JZ247" s="36"/>
      <c r="KA247" s="36"/>
      <c r="KB247" s="36"/>
      <c r="KC247" s="37"/>
      <c r="KD247" s="44"/>
      <c r="KE247" s="36"/>
      <c r="KF247" s="36"/>
      <c r="KG247" s="36"/>
      <c r="KH247" s="36"/>
      <c r="KI247" s="36"/>
      <c r="KJ247" s="36"/>
      <c r="KK247" s="36"/>
      <c r="KL247" s="36"/>
      <c r="KM247" s="36"/>
      <c r="KN247" s="36"/>
      <c r="KO247" s="36"/>
      <c r="KP247" s="36"/>
      <c r="KQ247" s="36"/>
      <c r="KR247" s="36"/>
      <c r="KS247" s="36"/>
      <c r="KT247" s="37"/>
      <c r="KU247" s="36"/>
    </row>
    <row r="248" ht="15.0" customHeight="1">
      <c r="A248" s="44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7"/>
      <c r="R248" s="44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7"/>
      <c r="AI248" s="44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  <c r="AU248" s="36"/>
      <c r="AV248" s="36"/>
      <c r="AW248" s="36"/>
      <c r="AX248" s="36"/>
      <c r="AY248" s="37"/>
      <c r="AZ248" s="44"/>
      <c r="BA248" s="36"/>
      <c r="BB248" s="36"/>
      <c r="BC248" s="36"/>
      <c r="BD248" s="36"/>
      <c r="BE248" s="36"/>
      <c r="BF248" s="36"/>
      <c r="BG248" s="36"/>
      <c r="BH248" s="36"/>
      <c r="BI248" s="36"/>
      <c r="BJ248" s="36"/>
      <c r="BK248" s="36"/>
      <c r="BL248" s="36"/>
      <c r="BM248" s="36"/>
      <c r="BN248" s="36"/>
      <c r="BO248" s="36"/>
      <c r="BP248" s="37"/>
      <c r="BQ248" s="44"/>
      <c r="BR248" s="36"/>
      <c r="BS248" s="36"/>
      <c r="BT248" s="36"/>
      <c r="BU248" s="36"/>
      <c r="BV248" s="36"/>
      <c r="BW248" s="36"/>
      <c r="BX248" s="36"/>
      <c r="BY248" s="36"/>
      <c r="BZ248" s="36"/>
      <c r="CA248" s="36"/>
      <c r="CB248" s="36"/>
      <c r="CC248" s="36"/>
      <c r="CD248" s="36"/>
      <c r="CE248" s="36"/>
      <c r="CF248" s="36"/>
      <c r="CG248" s="37"/>
      <c r="CH248" s="44"/>
      <c r="CI248" s="36"/>
      <c r="CJ248" s="36"/>
      <c r="CK248" s="36"/>
      <c r="CL248" s="36"/>
      <c r="CM248" s="36"/>
      <c r="CN248" s="36"/>
      <c r="CO248" s="36"/>
      <c r="CP248" s="36"/>
      <c r="CQ248" s="36"/>
      <c r="CR248" s="36"/>
      <c r="CS248" s="36"/>
      <c r="CT248" s="36"/>
      <c r="CU248" s="36"/>
      <c r="CV248" s="36"/>
      <c r="CW248" s="36"/>
      <c r="CX248" s="37"/>
      <c r="CY248" s="44"/>
      <c r="CZ248" s="36"/>
      <c r="DA248" s="36"/>
      <c r="DB248" s="36"/>
      <c r="DC248" s="36"/>
      <c r="DD248" s="36"/>
      <c r="DE248" s="36"/>
      <c r="DF248" s="36"/>
      <c r="DG248" s="36"/>
      <c r="DH248" s="36"/>
      <c r="DI248" s="36"/>
      <c r="DJ248" s="36"/>
      <c r="DK248" s="36"/>
      <c r="DL248" s="36"/>
      <c r="DM248" s="36"/>
      <c r="DN248" s="36"/>
      <c r="DO248" s="37"/>
      <c r="DP248" s="44"/>
      <c r="DQ248" s="36"/>
      <c r="DR248" s="36"/>
      <c r="DS248" s="36"/>
      <c r="DT248" s="36"/>
      <c r="DU248" s="36"/>
      <c r="DV248" s="36"/>
      <c r="DW248" s="36"/>
      <c r="DX248" s="36"/>
      <c r="DY248" s="36"/>
      <c r="DZ248" s="36"/>
      <c r="EA248" s="36"/>
      <c r="EB248" s="36"/>
      <c r="EC248" s="36"/>
      <c r="ED248" s="36"/>
      <c r="EE248" s="36"/>
      <c r="EF248" s="37"/>
      <c r="EG248" s="44"/>
      <c r="EH248" s="36"/>
      <c r="EI248" s="36"/>
      <c r="EJ248" s="36"/>
      <c r="EK248" s="36"/>
      <c r="EL248" s="36"/>
      <c r="EM248" s="36"/>
      <c r="EN248" s="36"/>
      <c r="EO248" s="36"/>
      <c r="EP248" s="36"/>
      <c r="EQ248" s="36"/>
      <c r="ER248" s="36"/>
      <c r="ES248" s="36"/>
      <c r="ET248" s="36"/>
      <c r="EU248" s="36"/>
      <c r="EV248" s="36"/>
      <c r="EW248" s="37"/>
      <c r="EX248" s="44"/>
      <c r="EY248" s="36"/>
      <c r="EZ248" s="36"/>
      <c r="FA248" s="36"/>
      <c r="FB248" s="36"/>
      <c r="FC248" s="36"/>
      <c r="FD248" s="36"/>
      <c r="FE248" s="36"/>
      <c r="FF248" s="36"/>
      <c r="FG248" s="36"/>
      <c r="FH248" s="36"/>
      <c r="FI248" s="36"/>
      <c r="FJ248" s="36"/>
      <c r="FK248" s="36"/>
      <c r="FL248" s="36"/>
      <c r="FM248" s="36"/>
      <c r="FN248" s="37"/>
      <c r="FO248" s="44"/>
      <c r="FP248" s="36"/>
      <c r="FQ248" s="36"/>
      <c r="FR248" s="36"/>
      <c r="FS248" s="36"/>
      <c r="FT248" s="36"/>
      <c r="FU248" s="36"/>
      <c r="FV248" s="36"/>
      <c r="FW248" s="36"/>
      <c r="FX248" s="36"/>
      <c r="FY248" s="36"/>
      <c r="FZ248" s="36"/>
      <c r="GA248" s="36"/>
      <c r="GB248" s="36"/>
      <c r="GC248" s="36"/>
      <c r="GD248" s="36"/>
      <c r="GE248" s="37"/>
      <c r="GF248" s="44"/>
      <c r="GG248" s="36"/>
      <c r="GH248" s="36"/>
      <c r="GI248" s="36"/>
      <c r="GJ248" s="36"/>
      <c r="GK248" s="36"/>
      <c r="GL248" s="36"/>
      <c r="GM248" s="36"/>
      <c r="GN248" s="36"/>
      <c r="GO248" s="36"/>
      <c r="GP248" s="36"/>
      <c r="GQ248" s="36"/>
      <c r="GR248" s="36"/>
      <c r="GS248" s="36"/>
      <c r="GT248" s="36"/>
      <c r="GU248" s="36"/>
      <c r="GV248" s="37"/>
      <c r="GW248" s="44"/>
      <c r="GX248" s="36"/>
      <c r="GY248" s="36"/>
      <c r="GZ248" s="36"/>
      <c r="HA248" s="36"/>
      <c r="HB248" s="36"/>
      <c r="HC248" s="36"/>
      <c r="HD248" s="36"/>
      <c r="HE248" s="36"/>
      <c r="HF248" s="36"/>
      <c r="HG248" s="36"/>
      <c r="HH248" s="36"/>
      <c r="HI248" s="36"/>
      <c r="HJ248" s="36"/>
      <c r="HK248" s="36"/>
      <c r="HL248" s="36"/>
      <c r="HM248" s="37"/>
      <c r="HN248" s="44"/>
      <c r="HO248" s="36"/>
      <c r="HP248" s="36"/>
      <c r="HQ248" s="36"/>
      <c r="HR248" s="36"/>
      <c r="HS248" s="36"/>
      <c r="HT248" s="36"/>
      <c r="HU248" s="36"/>
      <c r="HV248" s="36"/>
      <c r="HW248" s="36"/>
      <c r="HX248" s="36"/>
      <c r="HY248" s="36"/>
      <c r="HZ248" s="36"/>
      <c r="IA248" s="36"/>
      <c r="IB248" s="36"/>
      <c r="IC248" s="36"/>
      <c r="ID248" s="37"/>
      <c r="IE248" s="44"/>
      <c r="IF248" s="36"/>
      <c r="IG248" s="36"/>
      <c r="IH248" s="36"/>
      <c r="II248" s="36"/>
      <c r="IJ248" s="36"/>
      <c r="IK248" s="36"/>
      <c r="IL248" s="36"/>
      <c r="IM248" s="36"/>
      <c r="IN248" s="36"/>
      <c r="IO248" s="36"/>
      <c r="IP248" s="36"/>
      <c r="IQ248" s="36"/>
      <c r="IR248" s="36"/>
      <c r="IS248" s="36"/>
      <c r="IT248" s="36"/>
      <c r="IU248" s="37"/>
      <c r="IV248" s="44"/>
      <c r="IW248" s="36"/>
      <c r="IX248" s="36"/>
      <c r="IY248" s="36"/>
      <c r="IZ248" s="36"/>
      <c r="JA248" s="36"/>
      <c r="JB248" s="36"/>
      <c r="JC248" s="36"/>
      <c r="JD248" s="36"/>
      <c r="JE248" s="36"/>
      <c r="JF248" s="36"/>
      <c r="JG248" s="36"/>
      <c r="JH248" s="36"/>
      <c r="JI248" s="36"/>
      <c r="JJ248" s="36"/>
      <c r="JK248" s="36"/>
      <c r="JL248" s="37"/>
      <c r="JM248" s="44"/>
      <c r="JN248" s="36"/>
      <c r="JO248" s="36"/>
      <c r="JP248" s="36"/>
      <c r="JQ248" s="36"/>
      <c r="JR248" s="36"/>
      <c r="JS248" s="36"/>
      <c r="JT248" s="36"/>
      <c r="JU248" s="36"/>
      <c r="JV248" s="36"/>
      <c r="JW248" s="36"/>
      <c r="JX248" s="36"/>
      <c r="JY248" s="36"/>
      <c r="JZ248" s="36"/>
      <c r="KA248" s="36"/>
      <c r="KB248" s="36"/>
      <c r="KC248" s="37"/>
      <c r="KD248" s="44"/>
      <c r="KE248" s="36"/>
      <c r="KF248" s="36"/>
      <c r="KG248" s="36"/>
      <c r="KH248" s="36"/>
      <c r="KI248" s="36"/>
      <c r="KJ248" s="36"/>
      <c r="KK248" s="36"/>
      <c r="KL248" s="36"/>
      <c r="KM248" s="36"/>
      <c r="KN248" s="36"/>
      <c r="KO248" s="36"/>
      <c r="KP248" s="36"/>
      <c r="KQ248" s="36"/>
      <c r="KR248" s="36"/>
      <c r="KS248" s="36"/>
      <c r="KT248" s="37"/>
      <c r="KU248" s="36"/>
    </row>
    <row r="249" ht="15.0" customHeight="1">
      <c r="A249" s="44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7"/>
      <c r="R249" s="44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7"/>
      <c r="AI249" s="44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  <c r="AU249" s="36"/>
      <c r="AV249" s="36"/>
      <c r="AW249" s="36"/>
      <c r="AX249" s="36"/>
      <c r="AY249" s="37"/>
      <c r="AZ249" s="44"/>
      <c r="BA249" s="36"/>
      <c r="BB249" s="36"/>
      <c r="BC249" s="36"/>
      <c r="BD249" s="36"/>
      <c r="BE249" s="36"/>
      <c r="BF249" s="36"/>
      <c r="BG249" s="36"/>
      <c r="BH249" s="36"/>
      <c r="BI249" s="36"/>
      <c r="BJ249" s="36"/>
      <c r="BK249" s="36"/>
      <c r="BL249" s="36"/>
      <c r="BM249" s="36"/>
      <c r="BN249" s="36"/>
      <c r="BO249" s="36"/>
      <c r="BP249" s="37"/>
      <c r="BQ249" s="44"/>
      <c r="BR249" s="36"/>
      <c r="BS249" s="36"/>
      <c r="BT249" s="36"/>
      <c r="BU249" s="36"/>
      <c r="BV249" s="36"/>
      <c r="BW249" s="36"/>
      <c r="BX249" s="36"/>
      <c r="BY249" s="36"/>
      <c r="BZ249" s="36"/>
      <c r="CA249" s="36"/>
      <c r="CB249" s="36"/>
      <c r="CC249" s="36"/>
      <c r="CD249" s="36"/>
      <c r="CE249" s="36"/>
      <c r="CF249" s="36"/>
      <c r="CG249" s="37"/>
      <c r="CH249" s="44"/>
      <c r="CI249" s="36"/>
      <c r="CJ249" s="36"/>
      <c r="CK249" s="36"/>
      <c r="CL249" s="36"/>
      <c r="CM249" s="36"/>
      <c r="CN249" s="36"/>
      <c r="CO249" s="36"/>
      <c r="CP249" s="36"/>
      <c r="CQ249" s="36"/>
      <c r="CR249" s="36"/>
      <c r="CS249" s="36"/>
      <c r="CT249" s="36"/>
      <c r="CU249" s="36"/>
      <c r="CV249" s="36"/>
      <c r="CW249" s="36"/>
      <c r="CX249" s="37"/>
      <c r="CY249" s="44"/>
      <c r="CZ249" s="36"/>
      <c r="DA249" s="36"/>
      <c r="DB249" s="36"/>
      <c r="DC249" s="36"/>
      <c r="DD249" s="36"/>
      <c r="DE249" s="36"/>
      <c r="DF249" s="36"/>
      <c r="DG249" s="36"/>
      <c r="DH249" s="36"/>
      <c r="DI249" s="36"/>
      <c r="DJ249" s="36"/>
      <c r="DK249" s="36"/>
      <c r="DL249" s="36"/>
      <c r="DM249" s="36"/>
      <c r="DN249" s="36"/>
      <c r="DO249" s="37"/>
      <c r="DP249" s="44"/>
      <c r="DQ249" s="36"/>
      <c r="DR249" s="36"/>
      <c r="DS249" s="36"/>
      <c r="DT249" s="36"/>
      <c r="DU249" s="36"/>
      <c r="DV249" s="36"/>
      <c r="DW249" s="36"/>
      <c r="DX249" s="36"/>
      <c r="DY249" s="36"/>
      <c r="DZ249" s="36"/>
      <c r="EA249" s="36"/>
      <c r="EB249" s="36"/>
      <c r="EC249" s="36"/>
      <c r="ED249" s="36"/>
      <c r="EE249" s="36"/>
      <c r="EF249" s="37"/>
      <c r="EG249" s="44"/>
      <c r="EH249" s="36"/>
      <c r="EI249" s="36"/>
      <c r="EJ249" s="36"/>
      <c r="EK249" s="36"/>
      <c r="EL249" s="36"/>
      <c r="EM249" s="36"/>
      <c r="EN249" s="36"/>
      <c r="EO249" s="36"/>
      <c r="EP249" s="36"/>
      <c r="EQ249" s="36"/>
      <c r="ER249" s="36"/>
      <c r="ES249" s="36"/>
      <c r="ET249" s="36"/>
      <c r="EU249" s="36"/>
      <c r="EV249" s="36"/>
      <c r="EW249" s="37"/>
      <c r="EX249" s="44"/>
      <c r="EY249" s="36"/>
      <c r="EZ249" s="36"/>
      <c r="FA249" s="36"/>
      <c r="FB249" s="36"/>
      <c r="FC249" s="36"/>
      <c r="FD249" s="36"/>
      <c r="FE249" s="36"/>
      <c r="FF249" s="36"/>
      <c r="FG249" s="36"/>
      <c r="FH249" s="36"/>
      <c r="FI249" s="36"/>
      <c r="FJ249" s="36"/>
      <c r="FK249" s="36"/>
      <c r="FL249" s="36"/>
      <c r="FM249" s="36"/>
      <c r="FN249" s="37"/>
      <c r="FO249" s="44"/>
      <c r="FP249" s="36"/>
      <c r="FQ249" s="36"/>
      <c r="FR249" s="36"/>
      <c r="FS249" s="36"/>
      <c r="FT249" s="36"/>
      <c r="FU249" s="36"/>
      <c r="FV249" s="36"/>
      <c r="FW249" s="36"/>
      <c r="FX249" s="36"/>
      <c r="FY249" s="36"/>
      <c r="FZ249" s="36"/>
      <c r="GA249" s="36"/>
      <c r="GB249" s="36"/>
      <c r="GC249" s="36"/>
      <c r="GD249" s="36"/>
      <c r="GE249" s="37"/>
      <c r="GF249" s="44"/>
      <c r="GG249" s="36"/>
      <c r="GH249" s="36"/>
      <c r="GI249" s="36"/>
      <c r="GJ249" s="36"/>
      <c r="GK249" s="36"/>
      <c r="GL249" s="36"/>
      <c r="GM249" s="36"/>
      <c r="GN249" s="36"/>
      <c r="GO249" s="36"/>
      <c r="GP249" s="36"/>
      <c r="GQ249" s="36"/>
      <c r="GR249" s="36"/>
      <c r="GS249" s="36"/>
      <c r="GT249" s="36"/>
      <c r="GU249" s="36"/>
      <c r="GV249" s="37"/>
      <c r="GW249" s="44"/>
      <c r="GX249" s="36"/>
      <c r="GY249" s="36"/>
      <c r="GZ249" s="36"/>
      <c r="HA249" s="36"/>
      <c r="HB249" s="36"/>
      <c r="HC249" s="36"/>
      <c r="HD249" s="36"/>
      <c r="HE249" s="36"/>
      <c r="HF249" s="36"/>
      <c r="HG249" s="36"/>
      <c r="HH249" s="36"/>
      <c r="HI249" s="36"/>
      <c r="HJ249" s="36"/>
      <c r="HK249" s="36"/>
      <c r="HL249" s="36"/>
      <c r="HM249" s="37"/>
      <c r="HN249" s="44"/>
      <c r="HO249" s="36"/>
      <c r="HP249" s="36"/>
      <c r="HQ249" s="36"/>
      <c r="HR249" s="36"/>
      <c r="HS249" s="36"/>
      <c r="HT249" s="36"/>
      <c r="HU249" s="36"/>
      <c r="HV249" s="36"/>
      <c r="HW249" s="36"/>
      <c r="HX249" s="36"/>
      <c r="HY249" s="36"/>
      <c r="HZ249" s="36"/>
      <c r="IA249" s="36"/>
      <c r="IB249" s="36"/>
      <c r="IC249" s="36"/>
      <c r="ID249" s="37"/>
      <c r="IE249" s="44"/>
      <c r="IF249" s="36"/>
      <c r="IG249" s="36"/>
      <c r="IH249" s="36"/>
      <c r="II249" s="36"/>
      <c r="IJ249" s="36"/>
      <c r="IK249" s="36"/>
      <c r="IL249" s="36"/>
      <c r="IM249" s="36"/>
      <c r="IN249" s="36"/>
      <c r="IO249" s="36"/>
      <c r="IP249" s="36"/>
      <c r="IQ249" s="36"/>
      <c r="IR249" s="36"/>
      <c r="IS249" s="36"/>
      <c r="IT249" s="36"/>
      <c r="IU249" s="37"/>
      <c r="IV249" s="44"/>
      <c r="IW249" s="36"/>
      <c r="IX249" s="36"/>
      <c r="IY249" s="36"/>
      <c r="IZ249" s="36"/>
      <c r="JA249" s="36"/>
      <c r="JB249" s="36"/>
      <c r="JC249" s="36"/>
      <c r="JD249" s="36"/>
      <c r="JE249" s="36"/>
      <c r="JF249" s="36"/>
      <c r="JG249" s="36"/>
      <c r="JH249" s="36"/>
      <c r="JI249" s="36"/>
      <c r="JJ249" s="36"/>
      <c r="JK249" s="36"/>
      <c r="JL249" s="37"/>
      <c r="JM249" s="44"/>
      <c r="JN249" s="36"/>
      <c r="JO249" s="36"/>
      <c r="JP249" s="36"/>
      <c r="JQ249" s="36"/>
      <c r="JR249" s="36"/>
      <c r="JS249" s="36"/>
      <c r="JT249" s="36"/>
      <c r="JU249" s="36"/>
      <c r="JV249" s="36"/>
      <c r="JW249" s="36"/>
      <c r="JX249" s="36"/>
      <c r="JY249" s="36"/>
      <c r="JZ249" s="36"/>
      <c r="KA249" s="36"/>
      <c r="KB249" s="36"/>
      <c r="KC249" s="37"/>
      <c r="KD249" s="44"/>
      <c r="KE249" s="36"/>
      <c r="KF249" s="36"/>
      <c r="KG249" s="36"/>
      <c r="KH249" s="36"/>
      <c r="KI249" s="36"/>
      <c r="KJ249" s="36"/>
      <c r="KK249" s="36"/>
      <c r="KL249" s="36"/>
      <c r="KM249" s="36"/>
      <c r="KN249" s="36"/>
      <c r="KO249" s="36"/>
      <c r="KP249" s="36"/>
      <c r="KQ249" s="36"/>
      <c r="KR249" s="36"/>
      <c r="KS249" s="36"/>
      <c r="KT249" s="37"/>
      <c r="KU249" s="36"/>
    </row>
    <row r="250" ht="15.0" customHeight="1">
      <c r="A250" s="44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7"/>
      <c r="R250" s="44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7"/>
      <c r="AI250" s="44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  <c r="AU250" s="36"/>
      <c r="AV250" s="36"/>
      <c r="AW250" s="36"/>
      <c r="AX250" s="36"/>
      <c r="AY250" s="37"/>
      <c r="AZ250" s="44"/>
      <c r="BA250" s="36"/>
      <c r="BB250" s="36"/>
      <c r="BC250" s="36"/>
      <c r="BD250" s="36"/>
      <c r="BE250" s="36"/>
      <c r="BF250" s="36"/>
      <c r="BG250" s="36"/>
      <c r="BH250" s="36"/>
      <c r="BI250" s="36"/>
      <c r="BJ250" s="36"/>
      <c r="BK250" s="36"/>
      <c r="BL250" s="36"/>
      <c r="BM250" s="36"/>
      <c r="BN250" s="36"/>
      <c r="BO250" s="36"/>
      <c r="BP250" s="37"/>
      <c r="BQ250" s="44"/>
      <c r="BR250" s="36"/>
      <c r="BS250" s="36"/>
      <c r="BT250" s="36"/>
      <c r="BU250" s="36"/>
      <c r="BV250" s="36"/>
      <c r="BW250" s="36"/>
      <c r="BX250" s="36"/>
      <c r="BY250" s="36"/>
      <c r="BZ250" s="36"/>
      <c r="CA250" s="36"/>
      <c r="CB250" s="36"/>
      <c r="CC250" s="36"/>
      <c r="CD250" s="36"/>
      <c r="CE250" s="36"/>
      <c r="CF250" s="36"/>
      <c r="CG250" s="37"/>
      <c r="CH250" s="44"/>
      <c r="CI250" s="36"/>
      <c r="CJ250" s="36"/>
      <c r="CK250" s="36"/>
      <c r="CL250" s="36"/>
      <c r="CM250" s="36"/>
      <c r="CN250" s="36"/>
      <c r="CO250" s="36"/>
      <c r="CP250" s="36"/>
      <c r="CQ250" s="36"/>
      <c r="CR250" s="36"/>
      <c r="CS250" s="36"/>
      <c r="CT250" s="36"/>
      <c r="CU250" s="36"/>
      <c r="CV250" s="36"/>
      <c r="CW250" s="36"/>
      <c r="CX250" s="37"/>
      <c r="CY250" s="44"/>
      <c r="CZ250" s="36"/>
      <c r="DA250" s="36"/>
      <c r="DB250" s="36"/>
      <c r="DC250" s="36"/>
      <c r="DD250" s="36"/>
      <c r="DE250" s="36"/>
      <c r="DF250" s="36"/>
      <c r="DG250" s="36"/>
      <c r="DH250" s="36"/>
      <c r="DI250" s="36"/>
      <c r="DJ250" s="36"/>
      <c r="DK250" s="36"/>
      <c r="DL250" s="36"/>
      <c r="DM250" s="36"/>
      <c r="DN250" s="36"/>
      <c r="DO250" s="37"/>
      <c r="DP250" s="44"/>
      <c r="DQ250" s="36"/>
      <c r="DR250" s="36"/>
      <c r="DS250" s="36"/>
      <c r="DT250" s="36"/>
      <c r="DU250" s="36"/>
      <c r="DV250" s="36"/>
      <c r="DW250" s="36"/>
      <c r="DX250" s="36"/>
      <c r="DY250" s="36"/>
      <c r="DZ250" s="36"/>
      <c r="EA250" s="36"/>
      <c r="EB250" s="36"/>
      <c r="EC250" s="36"/>
      <c r="ED250" s="36"/>
      <c r="EE250" s="36"/>
      <c r="EF250" s="37"/>
      <c r="EG250" s="44"/>
      <c r="EH250" s="36"/>
      <c r="EI250" s="36"/>
      <c r="EJ250" s="36"/>
      <c r="EK250" s="36"/>
      <c r="EL250" s="36"/>
      <c r="EM250" s="36"/>
      <c r="EN250" s="36"/>
      <c r="EO250" s="36"/>
      <c r="EP250" s="36"/>
      <c r="EQ250" s="36"/>
      <c r="ER250" s="36"/>
      <c r="ES250" s="36"/>
      <c r="ET250" s="36"/>
      <c r="EU250" s="36"/>
      <c r="EV250" s="36"/>
      <c r="EW250" s="37"/>
      <c r="EX250" s="44"/>
      <c r="EY250" s="36"/>
      <c r="EZ250" s="36"/>
      <c r="FA250" s="36"/>
      <c r="FB250" s="36"/>
      <c r="FC250" s="36"/>
      <c r="FD250" s="36"/>
      <c r="FE250" s="36"/>
      <c r="FF250" s="36"/>
      <c r="FG250" s="36"/>
      <c r="FH250" s="36"/>
      <c r="FI250" s="36"/>
      <c r="FJ250" s="36"/>
      <c r="FK250" s="36"/>
      <c r="FL250" s="36"/>
      <c r="FM250" s="36"/>
      <c r="FN250" s="37"/>
      <c r="FO250" s="44"/>
      <c r="FP250" s="36"/>
      <c r="FQ250" s="36"/>
      <c r="FR250" s="36"/>
      <c r="FS250" s="36"/>
      <c r="FT250" s="36"/>
      <c r="FU250" s="36"/>
      <c r="FV250" s="36"/>
      <c r="FW250" s="36"/>
      <c r="FX250" s="36"/>
      <c r="FY250" s="36"/>
      <c r="FZ250" s="36"/>
      <c r="GA250" s="36"/>
      <c r="GB250" s="36"/>
      <c r="GC250" s="36"/>
      <c r="GD250" s="36"/>
      <c r="GE250" s="37"/>
      <c r="GF250" s="44"/>
      <c r="GG250" s="36"/>
      <c r="GH250" s="36"/>
      <c r="GI250" s="36"/>
      <c r="GJ250" s="36"/>
      <c r="GK250" s="36"/>
      <c r="GL250" s="36"/>
      <c r="GM250" s="36"/>
      <c r="GN250" s="36"/>
      <c r="GO250" s="36"/>
      <c r="GP250" s="36"/>
      <c r="GQ250" s="36"/>
      <c r="GR250" s="36"/>
      <c r="GS250" s="36"/>
      <c r="GT250" s="36"/>
      <c r="GU250" s="36"/>
      <c r="GV250" s="37"/>
      <c r="GW250" s="44"/>
      <c r="GX250" s="36"/>
      <c r="GY250" s="36"/>
      <c r="GZ250" s="36"/>
      <c r="HA250" s="36"/>
      <c r="HB250" s="36"/>
      <c r="HC250" s="36"/>
      <c r="HD250" s="36"/>
      <c r="HE250" s="36"/>
      <c r="HF250" s="36"/>
      <c r="HG250" s="36"/>
      <c r="HH250" s="36"/>
      <c r="HI250" s="36"/>
      <c r="HJ250" s="36"/>
      <c r="HK250" s="36"/>
      <c r="HL250" s="36"/>
      <c r="HM250" s="37"/>
      <c r="HN250" s="44"/>
      <c r="HO250" s="36"/>
      <c r="HP250" s="36"/>
      <c r="HQ250" s="36"/>
      <c r="HR250" s="36"/>
      <c r="HS250" s="36"/>
      <c r="HT250" s="36"/>
      <c r="HU250" s="36"/>
      <c r="HV250" s="36"/>
      <c r="HW250" s="36"/>
      <c r="HX250" s="36"/>
      <c r="HY250" s="36"/>
      <c r="HZ250" s="36"/>
      <c r="IA250" s="36"/>
      <c r="IB250" s="36"/>
      <c r="IC250" s="36"/>
      <c r="ID250" s="37"/>
      <c r="IE250" s="44"/>
      <c r="IF250" s="36"/>
      <c r="IG250" s="36"/>
      <c r="IH250" s="36"/>
      <c r="II250" s="36"/>
      <c r="IJ250" s="36"/>
      <c r="IK250" s="36"/>
      <c r="IL250" s="36"/>
      <c r="IM250" s="36"/>
      <c r="IN250" s="36"/>
      <c r="IO250" s="36"/>
      <c r="IP250" s="36"/>
      <c r="IQ250" s="36"/>
      <c r="IR250" s="36"/>
      <c r="IS250" s="36"/>
      <c r="IT250" s="36"/>
      <c r="IU250" s="37"/>
      <c r="IV250" s="44"/>
      <c r="IW250" s="36"/>
      <c r="IX250" s="36"/>
      <c r="IY250" s="36"/>
      <c r="IZ250" s="36"/>
      <c r="JA250" s="36"/>
      <c r="JB250" s="36"/>
      <c r="JC250" s="36"/>
      <c r="JD250" s="36"/>
      <c r="JE250" s="36"/>
      <c r="JF250" s="36"/>
      <c r="JG250" s="36"/>
      <c r="JH250" s="36"/>
      <c r="JI250" s="36"/>
      <c r="JJ250" s="36"/>
      <c r="JK250" s="36"/>
      <c r="JL250" s="37"/>
      <c r="JM250" s="44"/>
      <c r="JN250" s="36"/>
      <c r="JO250" s="36"/>
      <c r="JP250" s="36"/>
      <c r="JQ250" s="36"/>
      <c r="JR250" s="36"/>
      <c r="JS250" s="36"/>
      <c r="JT250" s="36"/>
      <c r="JU250" s="36"/>
      <c r="JV250" s="36"/>
      <c r="JW250" s="36"/>
      <c r="JX250" s="36"/>
      <c r="JY250" s="36"/>
      <c r="JZ250" s="36"/>
      <c r="KA250" s="36"/>
      <c r="KB250" s="36"/>
      <c r="KC250" s="37"/>
      <c r="KD250" s="44"/>
      <c r="KE250" s="36"/>
      <c r="KF250" s="36"/>
      <c r="KG250" s="36"/>
      <c r="KH250" s="36"/>
      <c r="KI250" s="36"/>
      <c r="KJ250" s="36"/>
      <c r="KK250" s="36"/>
      <c r="KL250" s="36"/>
      <c r="KM250" s="36"/>
      <c r="KN250" s="36"/>
      <c r="KO250" s="36"/>
      <c r="KP250" s="36"/>
      <c r="KQ250" s="36"/>
      <c r="KR250" s="36"/>
      <c r="KS250" s="36"/>
      <c r="KT250" s="37"/>
      <c r="KU250" s="36"/>
    </row>
    <row r="251" ht="15.0" customHeight="1">
      <c r="A251" s="44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7"/>
      <c r="R251" s="44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7"/>
      <c r="AI251" s="44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  <c r="AU251" s="36"/>
      <c r="AV251" s="36"/>
      <c r="AW251" s="36"/>
      <c r="AX251" s="36"/>
      <c r="AY251" s="37"/>
      <c r="AZ251" s="44"/>
      <c r="BA251" s="36"/>
      <c r="BB251" s="36"/>
      <c r="BC251" s="36"/>
      <c r="BD251" s="36"/>
      <c r="BE251" s="36"/>
      <c r="BF251" s="36"/>
      <c r="BG251" s="36"/>
      <c r="BH251" s="36"/>
      <c r="BI251" s="36"/>
      <c r="BJ251" s="36"/>
      <c r="BK251" s="36"/>
      <c r="BL251" s="36"/>
      <c r="BM251" s="36"/>
      <c r="BN251" s="36"/>
      <c r="BO251" s="36"/>
      <c r="BP251" s="37"/>
      <c r="BQ251" s="44"/>
      <c r="BR251" s="36"/>
      <c r="BS251" s="36"/>
      <c r="BT251" s="36"/>
      <c r="BU251" s="36"/>
      <c r="BV251" s="36"/>
      <c r="BW251" s="36"/>
      <c r="BX251" s="36"/>
      <c r="BY251" s="36"/>
      <c r="BZ251" s="36"/>
      <c r="CA251" s="36"/>
      <c r="CB251" s="36"/>
      <c r="CC251" s="36"/>
      <c r="CD251" s="36"/>
      <c r="CE251" s="36"/>
      <c r="CF251" s="36"/>
      <c r="CG251" s="37"/>
      <c r="CH251" s="44"/>
      <c r="CI251" s="36"/>
      <c r="CJ251" s="36"/>
      <c r="CK251" s="36"/>
      <c r="CL251" s="36"/>
      <c r="CM251" s="36"/>
      <c r="CN251" s="36"/>
      <c r="CO251" s="36"/>
      <c r="CP251" s="36"/>
      <c r="CQ251" s="36"/>
      <c r="CR251" s="36"/>
      <c r="CS251" s="36"/>
      <c r="CT251" s="36"/>
      <c r="CU251" s="36"/>
      <c r="CV251" s="36"/>
      <c r="CW251" s="36"/>
      <c r="CX251" s="37"/>
      <c r="CY251" s="44"/>
      <c r="CZ251" s="36"/>
      <c r="DA251" s="36"/>
      <c r="DB251" s="36"/>
      <c r="DC251" s="36"/>
      <c r="DD251" s="36"/>
      <c r="DE251" s="36"/>
      <c r="DF251" s="36"/>
      <c r="DG251" s="36"/>
      <c r="DH251" s="36"/>
      <c r="DI251" s="36"/>
      <c r="DJ251" s="36"/>
      <c r="DK251" s="36"/>
      <c r="DL251" s="36"/>
      <c r="DM251" s="36"/>
      <c r="DN251" s="36"/>
      <c r="DO251" s="37"/>
      <c r="DP251" s="44"/>
      <c r="DQ251" s="36"/>
      <c r="DR251" s="36"/>
      <c r="DS251" s="36"/>
      <c r="DT251" s="36"/>
      <c r="DU251" s="36"/>
      <c r="DV251" s="36"/>
      <c r="DW251" s="36"/>
      <c r="DX251" s="36"/>
      <c r="DY251" s="36"/>
      <c r="DZ251" s="36"/>
      <c r="EA251" s="36"/>
      <c r="EB251" s="36"/>
      <c r="EC251" s="36"/>
      <c r="ED251" s="36"/>
      <c r="EE251" s="36"/>
      <c r="EF251" s="37"/>
      <c r="EG251" s="44"/>
      <c r="EH251" s="36"/>
      <c r="EI251" s="36"/>
      <c r="EJ251" s="36"/>
      <c r="EK251" s="36"/>
      <c r="EL251" s="36"/>
      <c r="EM251" s="36"/>
      <c r="EN251" s="36"/>
      <c r="EO251" s="36"/>
      <c r="EP251" s="36"/>
      <c r="EQ251" s="36"/>
      <c r="ER251" s="36"/>
      <c r="ES251" s="36"/>
      <c r="ET251" s="36"/>
      <c r="EU251" s="36"/>
      <c r="EV251" s="36"/>
      <c r="EW251" s="37"/>
      <c r="EX251" s="44"/>
      <c r="EY251" s="36"/>
      <c r="EZ251" s="36"/>
      <c r="FA251" s="36"/>
      <c r="FB251" s="36"/>
      <c r="FC251" s="36"/>
      <c r="FD251" s="36"/>
      <c r="FE251" s="36"/>
      <c r="FF251" s="36"/>
      <c r="FG251" s="36"/>
      <c r="FH251" s="36"/>
      <c r="FI251" s="36"/>
      <c r="FJ251" s="36"/>
      <c r="FK251" s="36"/>
      <c r="FL251" s="36"/>
      <c r="FM251" s="36"/>
      <c r="FN251" s="37"/>
      <c r="FO251" s="44"/>
      <c r="FP251" s="36"/>
      <c r="FQ251" s="36"/>
      <c r="FR251" s="36"/>
      <c r="FS251" s="36"/>
      <c r="FT251" s="36"/>
      <c r="FU251" s="36"/>
      <c r="FV251" s="36"/>
      <c r="FW251" s="36"/>
      <c r="FX251" s="36"/>
      <c r="FY251" s="36"/>
      <c r="FZ251" s="36"/>
      <c r="GA251" s="36"/>
      <c r="GB251" s="36"/>
      <c r="GC251" s="36"/>
      <c r="GD251" s="36"/>
      <c r="GE251" s="37"/>
      <c r="GF251" s="44"/>
      <c r="GG251" s="36"/>
      <c r="GH251" s="36"/>
      <c r="GI251" s="36"/>
      <c r="GJ251" s="36"/>
      <c r="GK251" s="36"/>
      <c r="GL251" s="36"/>
      <c r="GM251" s="36"/>
      <c r="GN251" s="36"/>
      <c r="GO251" s="36"/>
      <c r="GP251" s="36"/>
      <c r="GQ251" s="36"/>
      <c r="GR251" s="36"/>
      <c r="GS251" s="36"/>
      <c r="GT251" s="36"/>
      <c r="GU251" s="36"/>
      <c r="GV251" s="37"/>
      <c r="GW251" s="44"/>
      <c r="GX251" s="36"/>
      <c r="GY251" s="36"/>
      <c r="GZ251" s="36"/>
      <c r="HA251" s="36"/>
      <c r="HB251" s="36"/>
      <c r="HC251" s="36"/>
      <c r="HD251" s="36"/>
      <c r="HE251" s="36"/>
      <c r="HF251" s="36"/>
      <c r="HG251" s="36"/>
      <c r="HH251" s="36"/>
      <c r="HI251" s="36"/>
      <c r="HJ251" s="36"/>
      <c r="HK251" s="36"/>
      <c r="HL251" s="36"/>
      <c r="HM251" s="37"/>
      <c r="HN251" s="44"/>
      <c r="HO251" s="36"/>
      <c r="HP251" s="36"/>
      <c r="HQ251" s="36"/>
      <c r="HR251" s="36"/>
      <c r="HS251" s="36"/>
      <c r="HT251" s="36"/>
      <c r="HU251" s="36"/>
      <c r="HV251" s="36"/>
      <c r="HW251" s="36"/>
      <c r="HX251" s="36"/>
      <c r="HY251" s="36"/>
      <c r="HZ251" s="36"/>
      <c r="IA251" s="36"/>
      <c r="IB251" s="36"/>
      <c r="IC251" s="36"/>
      <c r="ID251" s="37"/>
      <c r="IE251" s="44"/>
      <c r="IF251" s="36"/>
      <c r="IG251" s="36"/>
      <c r="IH251" s="36"/>
      <c r="II251" s="36"/>
      <c r="IJ251" s="36"/>
      <c r="IK251" s="36"/>
      <c r="IL251" s="36"/>
      <c r="IM251" s="36"/>
      <c r="IN251" s="36"/>
      <c r="IO251" s="36"/>
      <c r="IP251" s="36"/>
      <c r="IQ251" s="36"/>
      <c r="IR251" s="36"/>
      <c r="IS251" s="36"/>
      <c r="IT251" s="36"/>
      <c r="IU251" s="37"/>
      <c r="IV251" s="44"/>
      <c r="IW251" s="36"/>
      <c r="IX251" s="36"/>
      <c r="IY251" s="36"/>
      <c r="IZ251" s="36"/>
      <c r="JA251" s="36"/>
      <c r="JB251" s="36"/>
      <c r="JC251" s="36"/>
      <c r="JD251" s="36"/>
      <c r="JE251" s="36"/>
      <c r="JF251" s="36"/>
      <c r="JG251" s="36"/>
      <c r="JH251" s="36"/>
      <c r="JI251" s="36"/>
      <c r="JJ251" s="36"/>
      <c r="JK251" s="36"/>
      <c r="JL251" s="37"/>
      <c r="JM251" s="44"/>
      <c r="JN251" s="36"/>
      <c r="JO251" s="36"/>
      <c r="JP251" s="36"/>
      <c r="JQ251" s="36"/>
      <c r="JR251" s="36"/>
      <c r="JS251" s="36"/>
      <c r="JT251" s="36"/>
      <c r="JU251" s="36"/>
      <c r="JV251" s="36"/>
      <c r="JW251" s="36"/>
      <c r="JX251" s="36"/>
      <c r="JY251" s="36"/>
      <c r="JZ251" s="36"/>
      <c r="KA251" s="36"/>
      <c r="KB251" s="36"/>
      <c r="KC251" s="37"/>
      <c r="KD251" s="44"/>
      <c r="KE251" s="36"/>
      <c r="KF251" s="36"/>
      <c r="KG251" s="36"/>
      <c r="KH251" s="36"/>
      <c r="KI251" s="36"/>
      <c r="KJ251" s="36"/>
      <c r="KK251" s="36"/>
      <c r="KL251" s="36"/>
      <c r="KM251" s="36"/>
      <c r="KN251" s="36"/>
      <c r="KO251" s="36"/>
      <c r="KP251" s="36"/>
      <c r="KQ251" s="36"/>
      <c r="KR251" s="36"/>
      <c r="KS251" s="36"/>
      <c r="KT251" s="37"/>
      <c r="KU251" s="36"/>
    </row>
    <row r="252" ht="15.0" customHeight="1">
      <c r="A252" s="44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7"/>
      <c r="R252" s="44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7"/>
      <c r="AI252" s="44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  <c r="AU252" s="36"/>
      <c r="AV252" s="36"/>
      <c r="AW252" s="36"/>
      <c r="AX252" s="36"/>
      <c r="AY252" s="37"/>
      <c r="AZ252" s="44"/>
      <c r="BA252" s="36"/>
      <c r="BB252" s="36"/>
      <c r="BC252" s="36"/>
      <c r="BD252" s="36"/>
      <c r="BE252" s="36"/>
      <c r="BF252" s="36"/>
      <c r="BG252" s="36"/>
      <c r="BH252" s="36"/>
      <c r="BI252" s="36"/>
      <c r="BJ252" s="36"/>
      <c r="BK252" s="36"/>
      <c r="BL252" s="36"/>
      <c r="BM252" s="36"/>
      <c r="BN252" s="36"/>
      <c r="BO252" s="36"/>
      <c r="BP252" s="37"/>
      <c r="BQ252" s="44"/>
      <c r="BR252" s="36"/>
      <c r="BS252" s="36"/>
      <c r="BT252" s="36"/>
      <c r="BU252" s="36"/>
      <c r="BV252" s="36"/>
      <c r="BW252" s="36"/>
      <c r="BX252" s="36"/>
      <c r="BY252" s="36"/>
      <c r="BZ252" s="36"/>
      <c r="CA252" s="36"/>
      <c r="CB252" s="36"/>
      <c r="CC252" s="36"/>
      <c r="CD252" s="36"/>
      <c r="CE252" s="36"/>
      <c r="CF252" s="36"/>
      <c r="CG252" s="37"/>
      <c r="CH252" s="44"/>
      <c r="CI252" s="36"/>
      <c r="CJ252" s="36"/>
      <c r="CK252" s="36"/>
      <c r="CL252" s="36"/>
      <c r="CM252" s="36"/>
      <c r="CN252" s="36"/>
      <c r="CO252" s="36"/>
      <c r="CP252" s="36"/>
      <c r="CQ252" s="36"/>
      <c r="CR252" s="36"/>
      <c r="CS252" s="36"/>
      <c r="CT252" s="36"/>
      <c r="CU252" s="36"/>
      <c r="CV252" s="36"/>
      <c r="CW252" s="36"/>
      <c r="CX252" s="37"/>
      <c r="CY252" s="44"/>
      <c r="CZ252" s="36"/>
      <c r="DA252" s="36"/>
      <c r="DB252" s="36"/>
      <c r="DC252" s="36"/>
      <c r="DD252" s="36"/>
      <c r="DE252" s="36"/>
      <c r="DF252" s="36"/>
      <c r="DG252" s="36"/>
      <c r="DH252" s="36"/>
      <c r="DI252" s="36"/>
      <c r="DJ252" s="36"/>
      <c r="DK252" s="36"/>
      <c r="DL252" s="36"/>
      <c r="DM252" s="36"/>
      <c r="DN252" s="36"/>
      <c r="DO252" s="37"/>
      <c r="DP252" s="44"/>
      <c r="DQ252" s="36"/>
      <c r="DR252" s="36"/>
      <c r="DS252" s="36"/>
      <c r="DT252" s="36"/>
      <c r="DU252" s="36"/>
      <c r="DV252" s="36"/>
      <c r="DW252" s="36"/>
      <c r="DX252" s="36"/>
      <c r="DY252" s="36"/>
      <c r="DZ252" s="36"/>
      <c r="EA252" s="36"/>
      <c r="EB252" s="36"/>
      <c r="EC252" s="36"/>
      <c r="ED252" s="36"/>
      <c r="EE252" s="36"/>
      <c r="EF252" s="37"/>
      <c r="EG252" s="44"/>
      <c r="EH252" s="36"/>
      <c r="EI252" s="36"/>
      <c r="EJ252" s="36"/>
      <c r="EK252" s="36"/>
      <c r="EL252" s="36"/>
      <c r="EM252" s="36"/>
      <c r="EN252" s="36"/>
      <c r="EO252" s="36"/>
      <c r="EP252" s="36"/>
      <c r="EQ252" s="36"/>
      <c r="ER252" s="36"/>
      <c r="ES252" s="36"/>
      <c r="ET252" s="36"/>
      <c r="EU252" s="36"/>
      <c r="EV252" s="36"/>
      <c r="EW252" s="37"/>
      <c r="EX252" s="44"/>
      <c r="EY252" s="36"/>
      <c r="EZ252" s="36"/>
      <c r="FA252" s="36"/>
      <c r="FB252" s="36"/>
      <c r="FC252" s="36"/>
      <c r="FD252" s="36"/>
      <c r="FE252" s="36"/>
      <c r="FF252" s="36"/>
      <c r="FG252" s="36"/>
      <c r="FH252" s="36"/>
      <c r="FI252" s="36"/>
      <c r="FJ252" s="36"/>
      <c r="FK252" s="36"/>
      <c r="FL252" s="36"/>
      <c r="FM252" s="36"/>
      <c r="FN252" s="37"/>
      <c r="FO252" s="44"/>
      <c r="FP252" s="36"/>
      <c r="FQ252" s="36"/>
      <c r="FR252" s="36"/>
      <c r="FS252" s="36"/>
      <c r="FT252" s="36"/>
      <c r="FU252" s="36"/>
      <c r="FV252" s="36"/>
      <c r="FW252" s="36"/>
      <c r="FX252" s="36"/>
      <c r="FY252" s="36"/>
      <c r="FZ252" s="36"/>
      <c r="GA252" s="36"/>
      <c r="GB252" s="36"/>
      <c r="GC252" s="36"/>
      <c r="GD252" s="36"/>
      <c r="GE252" s="37"/>
      <c r="GF252" s="44"/>
      <c r="GG252" s="36"/>
      <c r="GH252" s="36"/>
      <c r="GI252" s="36"/>
      <c r="GJ252" s="36"/>
      <c r="GK252" s="36"/>
      <c r="GL252" s="36"/>
      <c r="GM252" s="36"/>
      <c r="GN252" s="36"/>
      <c r="GO252" s="36"/>
      <c r="GP252" s="36"/>
      <c r="GQ252" s="36"/>
      <c r="GR252" s="36"/>
      <c r="GS252" s="36"/>
      <c r="GT252" s="36"/>
      <c r="GU252" s="36"/>
      <c r="GV252" s="37"/>
      <c r="GW252" s="44"/>
      <c r="GX252" s="36"/>
      <c r="GY252" s="36"/>
      <c r="GZ252" s="36"/>
      <c r="HA252" s="36"/>
      <c r="HB252" s="36"/>
      <c r="HC252" s="36"/>
      <c r="HD252" s="36"/>
      <c r="HE252" s="36"/>
      <c r="HF252" s="36"/>
      <c r="HG252" s="36"/>
      <c r="HH252" s="36"/>
      <c r="HI252" s="36"/>
      <c r="HJ252" s="36"/>
      <c r="HK252" s="36"/>
      <c r="HL252" s="36"/>
      <c r="HM252" s="37"/>
      <c r="HN252" s="44"/>
      <c r="HO252" s="36"/>
      <c r="HP252" s="36"/>
      <c r="HQ252" s="36"/>
      <c r="HR252" s="36"/>
      <c r="HS252" s="36"/>
      <c r="HT252" s="36"/>
      <c r="HU252" s="36"/>
      <c r="HV252" s="36"/>
      <c r="HW252" s="36"/>
      <c r="HX252" s="36"/>
      <c r="HY252" s="36"/>
      <c r="HZ252" s="36"/>
      <c r="IA252" s="36"/>
      <c r="IB252" s="36"/>
      <c r="IC252" s="36"/>
      <c r="ID252" s="37"/>
      <c r="IE252" s="44"/>
      <c r="IF252" s="36"/>
      <c r="IG252" s="36"/>
      <c r="IH252" s="36"/>
      <c r="II252" s="36"/>
      <c r="IJ252" s="36"/>
      <c r="IK252" s="36"/>
      <c r="IL252" s="36"/>
      <c r="IM252" s="36"/>
      <c r="IN252" s="36"/>
      <c r="IO252" s="36"/>
      <c r="IP252" s="36"/>
      <c r="IQ252" s="36"/>
      <c r="IR252" s="36"/>
      <c r="IS252" s="36"/>
      <c r="IT252" s="36"/>
      <c r="IU252" s="37"/>
      <c r="IV252" s="44"/>
      <c r="IW252" s="36"/>
      <c r="IX252" s="36"/>
      <c r="IY252" s="36"/>
      <c r="IZ252" s="36"/>
      <c r="JA252" s="36"/>
      <c r="JB252" s="36"/>
      <c r="JC252" s="36"/>
      <c r="JD252" s="36"/>
      <c r="JE252" s="36"/>
      <c r="JF252" s="36"/>
      <c r="JG252" s="36"/>
      <c r="JH252" s="36"/>
      <c r="JI252" s="36"/>
      <c r="JJ252" s="36"/>
      <c r="JK252" s="36"/>
      <c r="JL252" s="37"/>
      <c r="JM252" s="44"/>
      <c r="JN252" s="36"/>
      <c r="JO252" s="36"/>
      <c r="JP252" s="36"/>
      <c r="JQ252" s="36"/>
      <c r="JR252" s="36"/>
      <c r="JS252" s="36"/>
      <c r="JT252" s="36"/>
      <c r="JU252" s="36"/>
      <c r="JV252" s="36"/>
      <c r="JW252" s="36"/>
      <c r="JX252" s="36"/>
      <c r="JY252" s="36"/>
      <c r="JZ252" s="36"/>
      <c r="KA252" s="36"/>
      <c r="KB252" s="36"/>
      <c r="KC252" s="37"/>
      <c r="KD252" s="44"/>
      <c r="KE252" s="36"/>
      <c r="KF252" s="36"/>
      <c r="KG252" s="36"/>
      <c r="KH252" s="36"/>
      <c r="KI252" s="36"/>
      <c r="KJ252" s="36"/>
      <c r="KK252" s="36"/>
      <c r="KL252" s="36"/>
      <c r="KM252" s="36"/>
      <c r="KN252" s="36"/>
      <c r="KO252" s="36"/>
      <c r="KP252" s="36"/>
      <c r="KQ252" s="36"/>
      <c r="KR252" s="36"/>
      <c r="KS252" s="36"/>
      <c r="KT252" s="37"/>
      <c r="KU252" s="36"/>
    </row>
    <row r="253" ht="15.0" customHeight="1">
      <c r="A253" s="44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7"/>
      <c r="R253" s="44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7"/>
      <c r="AI253" s="44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  <c r="AU253" s="36"/>
      <c r="AV253" s="36"/>
      <c r="AW253" s="36"/>
      <c r="AX253" s="36"/>
      <c r="AY253" s="37"/>
      <c r="AZ253" s="44"/>
      <c r="BA253" s="36"/>
      <c r="BB253" s="36"/>
      <c r="BC253" s="36"/>
      <c r="BD253" s="36"/>
      <c r="BE253" s="36"/>
      <c r="BF253" s="36"/>
      <c r="BG253" s="36"/>
      <c r="BH253" s="36"/>
      <c r="BI253" s="36"/>
      <c r="BJ253" s="36"/>
      <c r="BK253" s="36"/>
      <c r="BL253" s="36"/>
      <c r="BM253" s="36"/>
      <c r="BN253" s="36"/>
      <c r="BO253" s="36"/>
      <c r="BP253" s="37"/>
      <c r="BQ253" s="44"/>
      <c r="BR253" s="36"/>
      <c r="BS253" s="36"/>
      <c r="BT253" s="36"/>
      <c r="BU253" s="36"/>
      <c r="BV253" s="36"/>
      <c r="BW253" s="36"/>
      <c r="BX253" s="36"/>
      <c r="BY253" s="36"/>
      <c r="BZ253" s="36"/>
      <c r="CA253" s="36"/>
      <c r="CB253" s="36"/>
      <c r="CC253" s="36"/>
      <c r="CD253" s="36"/>
      <c r="CE253" s="36"/>
      <c r="CF253" s="36"/>
      <c r="CG253" s="37"/>
      <c r="CH253" s="44"/>
      <c r="CI253" s="36"/>
      <c r="CJ253" s="36"/>
      <c r="CK253" s="36"/>
      <c r="CL253" s="36"/>
      <c r="CM253" s="36"/>
      <c r="CN253" s="36"/>
      <c r="CO253" s="36"/>
      <c r="CP253" s="36"/>
      <c r="CQ253" s="36"/>
      <c r="CR253" s="36"/>
      <c r="CS253" s="36"/>
      <c r="CT253" s="36"/>
      <c r="CU253" s="36"/>
      <c r="CV253" s="36"/>
      <c r="CW253" s="36"/>
      <c r="CX253" s="37"/>
      <c r="CY253" s="44"/>
      <c r="CZ253" s="36"/>
      <c r="DA253" s="36"/>
      <c r="DB253" s="36"/>
      <c r="DC253" s="36"/>
      <c r="DD253" s="36"/>
      <c r="DE253" s="36"/>
      <c r="DF253" s="36"/>
      <c r="DG253" s="36"/>
      <c r="DH253" s="36"/>
      <c r="DI253" s="36"/>
      <c r="DJ253" s="36"/>
      <c r="DK253" s="36"/>
      <c r="DL253" s="36"/>
      <c r="DM253" s="36"/>
      <c r="DN253" s="36"/>
      <c r="DO253" s="37"/>
      <c r="DP253" s="44"/>
      <c r="DQ253" s="36"/>
      <c r="DR253" s="36"/>
      <c r="DS253" s="36"/>
      <c r="DT253" s="36"/>
      <c r="DU253" s="36"/>
      <c r="DV253" s="36"/>
      <c r="DW253" s="36"/>
      <c r="DX253" s="36"/>
      <c r="DY253" s="36"/>
      <c r="DZ253" s="36"/>
      <c r="EA253" s="36"/>
      <c r="EB253" s="36"/>
      <c r="EC253" s="36"/>
      <c r="ED253" s="36"/>
      <c r="EE253" s="36"/>
      <c r="EF253" s="37"/>
      <c r="EG253" s="44"/>
      <c r="EH253" s="36"/>
      <c r="EI253" s="36"/>
      <c r="EJ253" s="36"/>
      <c r="EK253" s="36"/>
      <c r="EL253" s="36"/>
      <c r="EM253" s="36"/>
      <c r="EN253" s="36"/>
      <c r="EO253" s="36"/>
      <c r="EP253" s="36"/>
      <c r="EQ253" s="36"/>
      <c r="ER253" s="36"/>
      <c r="ES253" s="36"/>
      <c r="ET253" s="36"/>
      <c r="EU253" s="36"/>
      <c r="EV253" s="36"/>
      <c r="EW253" s="37"/>
      <c r="EX253" s="44"/>
      <c r="EY253" s="36"/>
      <c r="EZ253" s="36"/>
      <c r="FA253" s="36"/>
      <c r="FB253" s="36"/>
      <c r="FC253" s="36"/>
      <c r="FD253" s="36"/>
      <c r="FE253" s="36"/>
      <c r="FF253" s="36"/>
      <c r="FG253" s="36"/>
      <c r="FH253" s="36"/>
      <c r="FI253" s="36"/>
      <c r="FJ253" s="36"/>
      <c r="FK253" s="36"/>
      <c r="FL253" s="36"/>
      <c r="FM253" s="36"/>
      <c r="FN253" s="37"/>
      <c r="FO253" s="44"/>
      <c r="FP253" s="36"/>
      <c r="FQ253" s="36"/>
      <c r="FR253" s="36"/>
      <c r="FS253" s="36"/>
      <c r="FT253" s="36"/>
      <c r="FU253" s="36"/>
      <c r="FV253" s="36"/>
      <c r="FW253" s="36"/>
      <c r="FX253" s="36"/>
      <c r="FY253" s="36"/>
      <c r="FZ253" s="36"/>
      <c r="GA253" s="36"/>
      <c r="GB253" s="36"/>
      <c r="GC253" s="36"/>
      <c r="GD253" s="36"/>
      <c r="GE253" s="37"/>
      <c r="GF253" s="44"/>
      <c r="GG253" s="36"/>
      <c r="GH253" s="36"/>
      <c r="GI253" s="36"/>
      <c r="GJ253" s="36"/>
      <c r="GK253" s="36"/>
      <c r="GL253" s="36"/>
      <c r="GM253" s="36"/>
      <c r="GN253" s="36"/>
      <c r="GO253" s="36"/>
      <c r="GP253" s="36"/>
      <c r="GQ253" s="36"/>
      <c r="GR253" s="36"/>
      <c r="GS253" s="36"/>
      <c r="GT253" s="36"/>
      <c r="GU253" s="36"/>
      <c r="GV253" s="37"/>
      <c r="GW253" s="44"/>
      <c r="GX253" s="36"/>
      <c r="GY253" s="36"/>
      <c r="GZ253" s="36"/>
      <c r="HA253" s="36"/>
      <c r="HB253" s="36"/>
      <c r="HC253" s="36"/>
      <c r="HD253" s="36"/>
      <c r="HE253" s="36"/>
      <c r="HF253" s="36"/>
      <c r="HG253" s="36"/>
      <c r="HH253" s="36"/>
      <c r="HI253" s="36"/>
      <c r="HJ253" s="36"/>
      <c r="HK253" s="36"/>
      <c r="HL253" s="36"/>
      <c r="HM253" s="37"/>
      <c r="HN253" s="44"/>
      <c r="HO253" s="36"/>
      <c r="HP253" s="36"/>
      <c r="HQ253" s="36"/>
      <c r="HR253" s="36"/>
      <c r="HS253" s="36"/>
      <c r="HT253" s="36"/>
      <c r="HU253" s="36"/>
      <c r="HV253" s="36"/>
      <c r="HW253" s="36"/>
      <c r="HX253" s="36"/>
      <c r="HY253" s="36"/>
      <c r="HZ253" s="36"/>
      <c r="IA253" s="36"/>
      <c r="IB253" s="36"/>
      <c r="IC253" s="36"/>
      <c r="ID253" s="37"/>
      <c r="IE253" s="44"/>
      <c r="IF253" s="36"/>
      <c r="IG253" s="36"/>
      <c r="IH253" s="36"/>
      <c r="II253" s="36"/>
      <c r="IJ253" s="36"/>
      <c r="IK253" s="36"/>
      <c r="IL253" s="36"/>
      <c r="IM253" s="36"/>
      <c r="IN253" s="36"/>
      <c r="IO253" s="36"/>
      <c r="IP253" s="36"/>
      <c r="IQ253" s="36"/>
      <c r="IR253" s="36"/>
      <c r="IS253" s="36"/>
      <c r="IT253" s="36"/>
      <c r="IU253" s="37"/>
      <c r="IV253" s="44"/>
      <c r="IW253" s="36"/>
      <c r="IX253" s="36"/>
      <c r="IY253" s="36"/>
      <c r="IZ253" s="36"/>
      <c r="JA253" s="36"/>
      <c r="JB253" s="36"/>
      <c r="JC253" s="36"/>
      <c r="JD253" s="36"/>
      <c r="JE253" s="36"/>
      <c r="JF253" s="36"/>
      <c r="JG253" s="36"/>
      <c r="JH253" s="36"/>
      <c r="JI253" s="36"/>
      <c r="JJ253" s="36"/>
      <c r="JK253" s="36"/>
      <c r="JL253" s="37"/>
      <c r="JM253" s="44"/>
      <c r="JN253" s="36"/>
      <c r="JO253" s="36"/>
      <c r="JP253" s="36"/>
      <c r="JQ253" s="36"/>
      <c r="JR253" s="36"/>
      <c r="JS253" s="36"/>
      <c r="JT253" s="36"/>
      <c r="JU253" s="36"/>
      <c r="JV253" s="36"/>
      <c r="JW253" s="36"/>
      <c r="JX253" s="36"/>
      <c r="JY253" s="36"/>
      <c r="JZ253" s="36"/>
      <c r="KA253" s="36"/>
      <c r="KB253" s="36"/>
      <c r="KC253" s="37"/>
      <c r="KD253" s="44"/>
      <c r="KE253" s="36"/>
      <c r="KF253" s="36"/>
      <c r="KG253" s="36"/>
      <c r="KH253" s="36"/>
      <c r="KI253" s="36"/>
      <c r="KJ253" s="36"/>
      <c r="KK253" s="36"/>
      <c r="KL253" s="36"/>
      <c r="KM253" s="36"/>
      <c r="KN253" s="36"/>
      <c r="KO253" s="36"/>
      <c r="KP253" s="36"/>
      <c r="KQ253" s="36"/>
      <c r="KR253" s="36"/>
      <c r="KS253" s="36"/>
      <c r="KT253" s="37"/>
      <c r="KU253" s="36"/>
    </row>
    <row r="254" ht="15.0" customHeight="1">
      <c r="A254" s="44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7"/>
      <c r="R254" s="44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7"/>
      <c r="AI254" s="44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  <c r="AU254" s="36"/>
      <c r="AV254" s="36"/>
      <c r="AW254" s="36"/>
      <c r="AX254" s="36"/>
      <c r="AY254" s="37"/>
      <c r="AZ254" s="44"/>
      <c r="BA254" s="36"/>
      <c r="BB254" s="36"/>
      <c r="BC254" s="36"/>
      <c r="BD254" s="36"/>
      <c r="BE254" s="36"/>
      <c r="BF254" s="36"/>
      <c r="BG254" s="36"/>
      <c r="BH254" s="36"/>
      <c r="BI254" s="36"/>
      <c r="BJ254" s="36"/>
      <c r="BK254" s="36"/>
      <c r="BL254" s="36"/>
      <c r="BM254" s="36"/>
      <c r="BN254" s="36"/>
      <c r="BO254" s="36"/>
      <c r="BP254" s="37"/>
      <c r="BQ254" s="44"/>
      <c r="BR254" s="36"/>
      <c r="BS254" s="36"/>
      <c r="BT254" s="36"/>
      <c r="BU254" s="36"/>
      <c r="BV254" s="36"/>
      <c r="BW254" s="36"/>
      <c r="BX254" s="36"/>
      <c r="BY254" s="36"/>
      <c r="BZ254" s="36"/>
      <c r="CA254" s="36"/>
      <c r="CB254" s="36"/>
      <c r="CC254" s="36"/>
      <c r="CD254" s="36"/>
      <c r="CE254" s="36"/>
      <c r="CF254" s="36"/>
      <c r="CG254" s="37"/>
      <c r="CH254" s="44"/>
      <c r="CI254" s="36"/>
      <c r="CJ254" s="36"/>
      <c r="CK254" s="36"/>
      <c r="CL254" s="36"/>
      <c r="CM254" s="36"/>
      <c r="CN254" s="36"/>
      <c r="CO254" s="36"/>
      <c r="CP254" s="36"/>
      <c r="CQ254" s="36"/>
      <c r="CR254" s="36"/>
      <c r="CS254" s="36"/>
      <c r="CT254" s="36"/>
      <c r="CU254" s="36"/>
      <c r="CV254" s="36"/>
      <c r="CW254" s="36"/>
      <c r="CX254" s="37"/>
      <c r="CY254" s="44"/>
      <c r="CZ254" s="36"/>
      <c r="DA254" s="36"/>
      <c r="DB254" s="36"/>
      <c r="DC254" s="36"/>
      <c r="DD254" s="36"/>
      <c r="DE254" s="36"/>
      <c r="DF254" s="36"/>
      <c r="DG254" s="36"/>
      <c r="DH254" s="36"/>
      <c r="DI254" s="36"/>
      <c r="DJ254" s="36"/>
      <c r="DK254" s="36"/>
      <c r="DL254" s="36"/>
      <c r="DM254" s="36"/>
      <c r="DN254" s="36"/>
      <c r="DO254" s="37"/>
      <c r="DP254" s="44"/>
      <c r="DQ254" s="36"/>
      <c r="DR254" s="36"/>
      <c r="DS254" s="36"/>
      <c r="DT254" s="36"/>
      <c r="DU254" s="36"/>
      <c r="DV254" s="36"/>
      <c r="DW254" s="36"/>
      <c r="DX254" s="36"/>
      <c r="DY254" s="36"/>
      <c r="DZ254" s="36"/>
      <c r="EA254" s="36"/>
      <c r="EB254" s="36"/>
      <c r="EC254" s="36"/>
      <c r="ED254" s="36"/>
      <c r="EE254" s="36"/>
      <c r="EF254" s="37"/>
      <c r="EG254" s="44"/>
      <c r="EH254" s="36"/>
      <c r="EI254" s="36"/>
      <c r="EJ254" s="36"/>
      <c r="EK254" s="36"/>
      <c r="EL254" s="36"/>
      <c r="EM254" s="36"/>
      <c r="EN254" s="36"/>
      <c r="EO254" s="36"/>
      <c r="EP254" s="36"/>
      <c r="EQ254" s="36"/>
      <c r="ER254" s="36"/>
      <c r="ES254" s="36"/>
      <c r="ET254" s="36"/>
      <c r="EU254" s="36"/>
      <c r="EV254" s="36"/>
      <c r="EW254" s="37"/>
      <c r="EX254" s="44"/>
      <c r="EY254" s="36"/>
      <c r="EZ254" s="36"/>
      <c r="FA254" s="36"/>
      <c r="FB254" s="36"/>
      <c r="FC254" s="36"/>
      <c r="FD254" s="36"/>
      <c r="FE254" s="36"/>
      <c r="FF254" s="36"/>
      <c r="FG254" s="36"/>
      <c r="FH254" s="36"/>
      <c r="FI254" s="36"/>
      <c r="FJ254" s="36"/>
      <c r="FK254" s="36"/>
      <c r="FL254" s="36"/>
      <c r="FM254" s="36"/>
      <c r="FN254" s="37"/>
      <c r="FO254" s="44"/>
      <c r="FP254" s="36"/>
      <c r="FQ254" s="36"/>
      <c r="FR254" s="36"/>
      <c r="FS254" s="36"/>
      <c r="FT254" s="36"/>
      <c r="FU254" s="36"/>
      <c r="FV254" s="36"/>
      <c r="FW254" s="36"/>
      <c r="FX254" s="36"/>
      <c r="FY254" s="36"/>
      <c r="FZ254" s="36"/>
      <c r="GA254" s="36"/>
      <c r="GB254" s="36"/>
      <c r="GC254" s="36"/>
      <c r="GD254" s="36"/>
      <c r="GE254" s="37"/>
      <c r="GF254" s="44"/>
      <c r="GG254" s="36"/>
      <c r="GH254" s="36"/>
      <c r="GI254" s="36"/>
      <c r="GJ254" s="36"/>
      <c r="GK254" s="36"/>
      <c r="GL254" s="36"/>
      <c r="GM254" s="36"/>
      <c r="GN254" s="36"/>
      <c r="GO254" s="36"/>
      <c r="GP254" s="36"/>
      <c r="GQ254" s="36"/>
      <c r="GR254" s="36"/>
      <c r="GS254" s="36"/>
      <c r="GT254" s="36"/>
      <c r="GU254" s="36"/>
      <c r="GV254" s="37"/>
      <c r="GW254" s="44"/>
      <c r="GX254" s="36"/>
      <c r="GY254" s="36"/>
      <c r="GZ254" s="36"/>
      <c r="HA254" s="36"/>
      <c r="HB254" s="36"/>
      <c r="HC254" s="36"/>
      <c r="HD254" s="36"/>
      <c r="HE254" s="36"/>
      <c r="HF254" s="36"/>
      <c r="HG254" s="36"/>
      <c r="HH254" s="36"/>
      <c r="HI254" s="36"/>
      <c r="HJ254" s="36"/>
      <c r="HK254" s="36"/>
      <c r="HL254" s="36"/>
      <c r="HM254" s="37"/>
      <c r="HN254" s="44"/>
      <c r="HO254" s="36"/>
      <c r="HP254" s="36"/>
      <c r="HQ254" s="36"/>
      <c r="HR254" s="36"/>
      <c r="HS254" s="36"/>
      <c r="HT254" s="36"/>
      <c r="HU254" s="36"/>
      <c r="HV254" s="36"/>
      <c r="HW254" s="36"/>
      <c r="HX254" s="36"/>
      <c r="HY254" s="36"/>
      <c r="HZ254" s="36"/>
      <c r="IA254" s="36"/>
      <c r="IB254" s="36"/>
      <c r="IC254" s="36"/>
      <c r="ID254" s="37"/>
      <c r="IE254" s="44"/>
      <c r="IF254" s="36"/>
      <c r="IG254" s="36"/>
      <c r="IH254" s="36"/>
      <c r="II254" s="36"/>
      <c r="IJ254" s="36"/>
      <c r="IK254" s="36"/>
      <c r="IL254" s="36"/>
      <c r="IM254" s="36"/>
      <c r="IN254" s="36"/>
      <c r="IO254" s="36"/>
      <c r="IP254" s="36"/>
      <c r="IQ254" s="36"/>
      <c r="IR254" s="36"/>
      <c r="IS254" s="36"/>
      <c r="IT254" s="36"/>
      <c r="IU254" s="37"/>
      <c r="IV254" s="44"/>
      <c r="IW254" s="36"/>
      <c r="IX254" s="36"/>
      <c r="IY254" s="36"/>
      <c r="IZ254" s="36"/>
      <c r="JA254" s="36"/>
      <c r="JB254" s="36"/>
      <c r="JC254" s="36"/>
      <c r="JD254" s="36"/>
      <c r="JE254" s="36"/>
      <c r="JF254" s="36"/>
      <c r="JG254" s="36"/>
      <c r="JH254" s="36"/>
      <c r="JI254" s="36"/>
      <c r="JJ254" s="36"/>
      <c r="JK254" s="36"/>
      <c r="JL254" s="37"/>
      <c r="JM254" s="44"/>
      <c r="JN254" s="36"/>
      <c r="JO254" s="36"/>
      <c r="JP254" s="36"/>
      <c r="JQ254" s="36"/>
      <c r="JR254" s="36"/>
      <c r="JS254" s="36"/>
      <c r="JT254" s="36"/>
      <c r="JU254" s="36"/>
      <c r="JV254" s="36"/>
      <c r="JW254" s="36"/>
      <c r="JX254" s="36"/>
      <c r="JY254" s="36"/>
      <c r="JZ254" s="36"/>
      <c r="KA254" s="36"/>
      <c r="KB254" s="36"/>
      <c r="KC254" s="37"/>
      <c r="KD254" s="44"/>
      <c r="KE254" s="36"/>
      <c r="KF254" s="36"/>
      <c r="KG254" s="36"/>
      <c r="KH254" s="36"/>
      <c r="KI254" s="36"/>
      <c r="KJ254" s="36"/>
      <c r="KK254" s="36"/>
      <c r="KL254" s="36"/>
      <c r="KM254" s="36"/>
      <c r="KN254" s="36"/>
      <c r="KO254" s="36"/>
      <c r="KP254" s="36"/>
      <c r="KQ254" s="36"/>
      <c r="KR254" s="36"/>
      <c r="KS254" s="36"/>
      <c r="KT254" s="37"/>
      <c r="KU254" s="36"/>
    </row>
    <row r="255" ht="15.0" customHeight="1">
      <c r="A255" s="44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7"/>
      <c r="R255" s="44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7"/>
      <c r="AI255" s="44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  <c r="AU255" s="36"/>
      <c r="AV255" s="36"/>
      <c r="AW255" s="36"/>
      <c r="AX255" s="36"/>
      <c r="AY255" s="37"/>
      <c r="AZ255" s="44"/>
      <c r="BA255" s="36"/>
      <c r="BB255" s="36"/>
      <c r="BC255" s="36"/>
      <c r="BD255" s="36"/>
      <c r="BE255" s="36"/>
      <c r="BF255" s="36"/>
      <c r="BG255" s="36"/>
      <c r="BH255" s="36"/>
      <c r="BI255" s="36"/>
      <c r="BJ255" s="36"/>
      <c r="BK255" s="36"/>
      <c r="BL255" s="36"/>
      <c r="BM255" s="36"/>
      <c r="BN255" s="36"/>
      <c r="BO255" s="36"/>
      <c r="BP255" s="37"/>
      <c r="BQ255" s="44"/>
      <c r="BR255" s="36"/>
      <c r="BS255" s="36"/>
      <c r="BT255" s="36"/>
      <c r="BU255" s="36"/>
      <c r="BV255" s="36"/>
      <c r="BW255" s="36"/>
      <c r="BX255" s="36"/>
      <c r="BY255" s="36"/>
      <c r="BZ255" s="36"/>
      <c r="CA255" s="36"/>
      <c r="CB255" s="36"/>
      <c r="CC255" s="36"/>
      <c r="CD255" s="36"/>
      <c r="CE255" s="36"/>
      <c r="CF255" s="36"/>
      <c r="CG255" s="37"/>
      <c r="CH255" s="44"/>
      <c r="CI255" s="36"/>
      <c r="CJ255" s="36"/>
      <c r="CK255" s="36"/>
      <c r="CL255" s="36"/>
      <c r="CM255" s="36"/>
      <c r="CN255" s="36"/>
      <c r="CO255" s="36"/>
      <c r="CP255" s="36"/>
      <c r="CQ255" s="36"/>
      <c r="CR255" s="36"/>
      <c r="CS255" s="36"/>
      <c r="CT255" s="36"/>
      <c r="CU255" s="36"/>
      <c r="CV255" s="36"/>
      <c r="CW255" s="36"/>
      <c r="CX255" s="37"/>
      <c r="CY255" s="44"/>
      <c r="CZ255" s="36"/>
      <c r="DA255" s="36"/>
      <c r="DB255" s="36"/>
      <c r="DC255" s="36"/>
      <c r="DD255" s="36"/>
      <c r="DE255" s="36"/>
      <c r="DF255" s="36"/>
      <c r="DG255" s="36"/>
      <c r="DH255" s="36"/>
      <c r="DI255" s="36"/>
      <c r="DJ255" s="36"/>
      <c r="DK255" s="36"/>
      <c r="DL255" s="36"/>
      <c r="DM255" s="36"/>
      <c r="DN255" s="36"/>
      <c r="DO255" s="37"/>
      <c r="DP255" s="44"/>
      <c r="DQ255" s="36"/>
      <c r="DR255" s="36"/>
      <c r="DS255" s="36"/>
      <c r="DT255" s="36"/>
      <c r="DU255" s="36"/>
      <c r="DV255" s="36"/>
      <c r="DW255" s="36"/>
      <c r="DX255" s="36"/>
      <c r="DY255" s="36"/>
      <c r="DZ255" s="36"/>
      <c r="EA255" s="36"/>
      <c r="EB255" s="36"/>
      <c r="EC255" s="36"/>
      <c r="ED255" s="36"/>
      <c r="EE255" s="36"/>
      <c r="EF255" s="37"/>
      <c r="EG255" s="44"/>
      <c r="EH255" s="36"/>
      <c r="EI255" s="36"/>
      <c r="EJ255" s="36"/>
      <c r="EK255" s="36"/>
      <c r="EL255" s="36"/>
      <c r="EM255" s="36"/>
      <c r="EN255" s="36"/>
      <c r="EO255" s="36"/>
      <c r="EP255" s="36"/>
      <c r="EQ255" s="36"/>
      <c r="ER255" s="36"/>
      <c r="ES255" s="36"/>
      <c r="ET255" s="36"/>
      <c r="EU255" s="36"/>
      <c r="EV255" s="36"/>
      <c r="EW255" s="37"/>
      <c r="EX255" s="44"/>
      <c r="EY255" s="36"/>
      <c r="EZ255" s="36"/>
      <c r="FA255" s="36"/>
      <c r="FB255" s="36"/>
      <c r="FC255" s="36"/>
      <c r="FD255" s="36"/>
      <c r="FE255" s="36"/>
      <c r="FF255" s="36"/>
      <c r="FG255" s="36"/>
      <c r="FH255" s="36"/>
      <c r="FI255" s="36"/>
      <c r="FJ255" s="36"/>
      <c r="FK255" s="36"/>
      <c r="FL255" s="36"/>
      <c r="FM255" s="36"/>
      <c r="FN255" s="37"/>
      <c r="FO255" s="44"/>
      <c r="FP255" s="36"/>
      <c r="FQ255" s="36"/>
      <c r="FR255" s="36"/>
      <c r="FS255" s="36"/>
      <c r="FT255" s="36"/>
      <c r="FU255" s="36"/>
      <c r="FV255" s="36"/>
      <c r="FW255" s="36"/>
      <c r="FX255" s="36"/>
      <c r="FY255" s="36"/>
      <c r="FZ255" s="36"/>
      <c r="GA255" s="36"/>
      <c r="GB255" s="36"/>
      <c r="GC255" s="36"/>
      <c r="GD255" s="36"/>
      <c r="GE255" s="37"/>
      <c r="GF255" s="44"/>
      <c r="GG255" s="36"/>
      <c r="GH255" s="36"/>
      <c r="GI255" s="36"/>
      <c r="GJ255" s="36"/>
      <c r="GK255" s="36"/>
      <c r="GL255" s="36"/>
      <c r="GM255" s="36"/>
      <c r="GN255" s="36"/>
      <c r="GO255" s="36"/>
      <c r="GP255" s="36"/>
      <c r="GQ255" s="36"/>
      <c r="GR255" s="36"/>
      <c r="GS255" s="36"/>
      <c r="GT255" s="36"/>
      <c r="GU255" s="36"/>
      <c r="GV255" s="37"/>
      <c r="GW255" s="44"/>
      <c r="GX255" s="36"/>
      <c r="GY255" s="36"/>
      <c r="GZ255" s="36"/>
      <c r="HA255" s="36"/>
      <c r="HB255" s="36"/>
      <c r="HC255" s="36"/>
      <c r="HD255" s="36"/>
      <c r="HE255" s="36"/>
      <c r="HF255" s="36"/>
      <c r="HG255" s="36"/>
      <c r="HH255" s="36"/>
      <c r="HI255" s="36"/>
      <c r="HJ255" s="36"/>
      <c r="HK255" s="36"/>
      <c r="HL255" s="36"/>
      <c r="HM255" s="37"/>
      <c r="HN255" s="44"/>
      <c r="HO255" s="36"/>
      <c r="HP255" s="36"/>
      <c r="HQ255" s="36"/>
      <c r="HR255" s="36"/>
      <c r="HS255" s="36"/>
      <c r="HT255" s="36"/>
      <c r="HU255" s="36"/>
      <c r="HV255" s="36"/>
      <c r="HW255" s="36"/>
      <c r="HX255" s="36"/>
      <c r="HY255" s="36"/>
      <c r="HZ255" s="36"/>
      <c r="IA255" s="36"/>
      <c r="IB255" s="36"/>
      <c r="IC255" s="36"/>
      <c r="ID255" s="37"/>
      <c r="IE255" s="44"/>
      <c r="IF255" s="36"/>
      <c r="IG255" s="36"/>
      <c r="IH255" s="36"/>
      <c r="II255" s="36"/>
      <c r="IJ255" s="36"/>
      <c r="IK255" s="36"/>
      <c r="IL255" s="36"/>
      <c r="IM255" s="36"/>
      <c r="IN255" s="36"/>
      <c r="IO255" s="36"/>
      <c r="IP255" s="36"/>
      <c r="IQ255" s="36"/>
      <c r="IR255" s="36"/>
      <c r="IS255" s="36"/>
      <c r="IT255" s="36"/>
      <c r="IU255" s="37"/>
      <c r="IV255" s="44"/>
      <c r="IW255" s="36"/>
      <c r="IX255" s="36"/>
      <c r="IY255" s="36"/>
      <c r="IZ255" s="36"/>
      <c r="JA255" s="36"/>
      <c r="JB255" s="36"/>
      <c r="JC255" s="36"/>
      <c r="JD255" s="36"/>
      <c r="JE255" s="36"/>
      <c r="JF255" s="36"/>
      <c r="JG255" s="36"/>
      <c r="JH255" s="36"/>
      <c r="JI255" s="36"/>
      <c r="JJ255" s="36"/>
      <c r="JK255" s="36"/>
      <c r="JL255" s="37"/>
      <c r="JM255" s="44"/>
      <c r="JN255" s="36"/>
      <c r="JO255" s="36"/>
      <c r="JP255" s="36"/>
      <c r="JQ255" s="36"/>
      <c r="JR255" s="36"/>
      <c r="JS255" s="36"/>
      <c r="JT255" s="36"/>
      <c r="JU255" s="36"/>
      <c r="JV255" s="36"/>
      <c r="JW255" s="36"/>
      <c r="JX255" s="36"/>
      <c r="JY255" s="36"/>
      <c r="JZ255" s="36"/>
      <c r="KA255" s="36"/>
      <c r="KB255" s="36"/>
      <c r="KC255" s="37"/>
      <c r="KD255" s="44"/>
      <c r="KE255" s="36"/>
      <c r="KF255" s="36"/>
      <c r="KG255" s="36"/>
      <c r="KH255" s="36"/>
      <c r="KI255" s="36"/>
      <c r="KJ255" s="36"/>
      <c r="KK255" s="36"/>
      <c r="KL255" s="36"/>
      <c r="KM255" s="36"/>
      <c r="KN255" s="36"/>
      <c r="KO255" s="36"/>
      <c r="KP255" s="36"/>
      <c r="KQ255" s="36"/>
      <c r="KR255" s="36"/>
      <c r="KS255" s="36"/>
      <c r="KT255" s="37"/>
      <c r="KU255" s="36"/>
    </row>
    <row r="256" ht="15.0" customHeight="1">
      <c r="A256" s="44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7"/>
      <c r="R256" s="44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7"/>
      <c r="AI256" s="44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  <c r="AU256" s="36"/>
      <c r="AV256" s="36"/>
      <c r="AW256" s="36"/>
      <c r="AX256" s="36"/>
      <c r="AY256" s="37"/>
      <c r="AZ256" s="44"/>
      <c r="BA256" s="36"/>
      <c r="BB256" s="36"/>
      <c r="BC256" s="36"/>
      <c r="BD256" s="36"/>
      <c r="BE256" s="36"/>
      <c r="BF256" s="36"/>
      <c r="BG256" s="36"/>
      <c r="BH256" s="36"/>
      <c r="BI256" s="36"/>
      <c r="BJ256" s="36"/>
      <c r="BK256" s="36"/>
      <c r="BL256" s="36"/>
      <c r="BM256" s="36"/>
      <c r="BN256" s="36"/>
      <c r="BO256" s="36"/>
      <c r="BP256" s="37"/>
      <c r="BQ256" s="44"/>
      <c r="BR256" s="36"/>
      <c r="BS256" s="36"/>
      <c r="BT256" s="36"/>
      <c r="BU256" s="36"/>
      <c r="BV256" s="36"/>
      <c r="BW256" s="36"/>
      <c r="BX256" s="36"/>
      <c r="BY256" s="36"/>
      <c r="BZ256" s="36"/>
      <c r="CA256" s="36"/>
      <c r="CB256" s="36"/>
      <c r="CC256" s="36"/>
      <c r="CD256" s="36"/>
      <c r="CE256" s="36"/>
      <c r="CF256" s="36"/>
      <c r="CG256" s="37"/>
      <c r="CH256" s="44"/>
      <c r="CI256" s="36"/>
      <c r="CJ256" s="36"/>
      <c r="CK256" s="36"/>
      <c r="CL256" s="36"/>
      <c r="CM256" s="36"/>
      <c r="CN256" s="36"/>
      <c r="CO256" s="36"/>
      <c r="CP256" s="36"/>
      <c r="CQ256" s="36"/>
      <c r="CR256" s="36"/>
      <c r="CS256" s="36"/>
      <c r="CT256" s="36"/>
      <c r="CU256" s="36"/>
      <c r="CV256" s="36"/>
      <c r="CW256" s="36"/>
      <c r="CX256" s="37"/>
      <c r="CY256" s="44"/>
      <c r="CZ256" s="36"/>
      <c r="DA256" s="36"/>
      <c r="DB256" s="36"/>
      <c r="DC256" s="36"/>
      <c r="DD256" s="36"/>
      <c r="DE256" s="36"/>
      <c r="DF256" s="36"/>
      <c r="DG256" s="36"/>
      <c r="DH256" s="36"/>
      <c r="DI256" s="36"/>
      <c r="DJ256" s="36"/>
      <c r="DK256" s="36"/>
      <c r="DL256" s="36"/>
      <c r="DM256" s="36"/>
      <c r="DN256" s="36"/>
      <c r="DO256" s="37"/>
      <c r="DP256" s="44"/>
      <c r="DQ256" s="36"/>
      <c r="DR256" s="36"/>
      <c r="DS256" s="36"/>
      <c r="DT256" s="36"/>
      <c r="DU256" s="36"/>
      <c r="DV256" s="36"/>
      <c r="DW256" s="36"/>
      <c r="DX256" s="36"/>
      <c r="DY256" s="36"/>
      <c r="DZ256" s="36"/>
      <c r="EA256" s="36"/>
      <c r="EB256" s="36"/>
      <c r="EC256" s="36"/>
      <c r="ED256" s="36"/>
      <c r="EE256" s="36"/>
      <c r="EF256" s="37"/>
      <c r="EG256" s="44"/>
      <c r="EH256" s="36"/>
      <c r="EI256" s="36"/>
      <c r="EJ256" s="36"/>
      <c r="EK256" s="36"/>
      <c r="EL256" s="36"/>
      <c r="EM256" s="36"/>
      <c r="EN256" s="36"/>
      <c r="EO256" s="36"/>
      <c r="EP256" s="36"/>
      <c r="EQ256" s="36"/>
      <c r="ER256" s="36"/>
      <c r="ES256" s="36"/>
      <c r="ET256" s="36"/>
      <c r="EU256" s="36"/>
      <c r="EV256" s="36"/>
      <c r="EW256" s="37"/>
      <c r="EX256" s="44"/>
      <c r="EY256" s="36"/>
      <c r="EZ256" s="36"/>
      <c r="FA256" s="36"/>
      <c r="FB256" s="36"/>
      <c r="FC256" s="36"/>
      <c r="FD256" s="36"/>
      <c r="FE256" s="36"/>
      <c r="FF256" s="36"/>
      <c r="FG256" s="36"/>
      <c r="FH256" s="36"/>
      <c r="FI256" s="36"/>
      <c r="FJ256" s="36"/>
      <c r="FK256" s="36"/>
      <c r="FL256" s="36"/>
      <c r="FM256" s="36"/>
      <c r="FN256" s="37"/>
      <c r="FO256" s="44"/>
      <c r="FP256" s="36"/>
      <c r="FQ256" s="36"/>
      <c r="FR256" s="36"/>
      <c r="FS256" s="36"/>
      <c r="FT256" s="36"/>
      <c r="FU256" s="36"/>
      <c r="FV256" s="36"/>
      <c r="FW256" s="36"/>
      <c r="FX256" s="36"/>
      <c r="FY256" s="36"/>
      <c r="FZ256" s="36"/>
      <c r="GA256" s="36"/>
      <c r="GB256" s="36"/>
      <c r="GC256" s="36"/>
      <c r="GD256" s="36"/>
      <c r="GE256" s="37"/>
      <c r="GF256" s="44"/>
      <c r="GG256" s="36"/>
      <c r="GH256" s="36"/>
      <c r="GI256" s="36"/>
      <c r="GJ256" s="36"/>
      <c r="GK256" s="36"/>
      <c r="GL256" s="36"/>
      <c r="GM256" s="36"/>
      <c r="GN256" s="36"/>
      <c r="GO256" s="36"/>
      <c r="GP256" s="36"/>
      <c r="GQ256" s="36"/>
      <c r="GR256" s="36"/>
      <c r="GS256" s="36"/>
      <c r="GT256" s="36"/>
      <c r="GU256" s="36"/>
      <c r="GV256" s="37"/>
      <c r="GW256" s="44"/>
      <c r="GX256" s="36"/>
      <c r="GY256" s="36"/>
      <c r="GZ256" s="36"/>
      <c r="HA256" s="36"/>
      <c r="HB256" s="36"/>
      <c r="HC256" s="36"/>
      <c r="HD256" s="36"/>
      <c r="HE256" s="36"/>
      <c r="HF256" s="36"/>
      <c r="HG256" s="36"/>
      <c r="HH256" s="36"/>
      <c r="HI256" s="36"/>
      <c r="HJ256" s="36"/>
      <c r="HK256" s="36"/>
      <c r="HL256" s="36"/>
      <c r="HM256" s="37"/>
      <c r="HN256" s="44"/>
      <c r="HO256" s="36"/>
      <c r="HP256" s="36"/>
      <c r="HQ256" s="36"/>
      <c r="HR256" s="36"/>
      <c r="HS256" s="36"/>
      <c r="HT256" s="36"/>
      <c r="HU256" s="36"/>
      <c r="HV256" s="36"/>
      <c r="HW256" s="36"/>
      <c r="HX256" s="36"/>
      <c r="HY256" s="36"/>
      <c r="HZ256" s="36"/>
      <c r="IA256" s="36"/>
      <c r="IB256" s="36"/>
      <c r="IC256" s="36"/>
      <c r="ID256" s="37"/>
      <c r="IE256" s="44"/>
      <c r="IF256" s="36"/>
      <c r="IG256" s="36"/>
      <c r="IH256" s="36"/>
      <c r="II256" s="36"/>
      <c r="IJ256" s="36"/>
      <c r="IK256" s="36"/>
      <c r="IL256" s="36"/>
      <c r="IM256" s="36"/>
      <c r="IN256" s="36"/>
      <c r="IO256" s="36"/>
      <c r="IP256" s="36"/>
      <c r="IQ256" s="36"/>
      <c r="IR256" s="36"/>
      <c r="IS256" s="36"/>
      <c r="IT256" s="36"/>
      <c r="IU256" s="37"/>
      <c r="IV256" s="44"/>
      <c r="IW256" s="36"/>
      <c r="IX256" s="36"/>
      <c r="IY256" s="36"/>
      <c r="IZ256" s="36"/>
      <c r="JA256" s="36"/>
      <c r="JB256" s="36"/>
      <c r="JC256" s="36"/>
      <c r="JD256" s="36"/>
      <c r="JE256" s="36"/>
      <c r="JF256" s="36"/>
      <c r="JG256" s="36"/>
      <c r="JH256" s="36"/>
      <c r="JI256" s="36"/>
      <c r="JJ256" s="36"/>
      <c r="JK256" s="36"/>
      <c r="JL256" s="37"/>
      <c r="JM256" s="44"/>
      <c r="JN256" s="36"/>
      <c r="JO256" s="36"/>
      <c r="JP256" s="36"/>
      <c r="JQ256" s="36"/>
      <c r="JR256" s="36"/>
      <c r="JS256" s="36"/>
      <c r="JT256" s="36"/>
      <c r="JU256" s="36"/>
      <c r="JV256" s="36"/>
      <c r="JW256" s="36"/>
      <c r="JX256" s="36"/>
      <c r="JY256" s="36"/>
      <c r="JZ256" s="36"/>
      <c r="KA256" s="36"/>
      <c r="KB256" s="36"/>
      <c r="KC256" s="37"/>
      <c r="KD256" s="44"/>
      <c r="KE256" s="36"/>
      <c r="KF256" s="36"/>
      <c r="KG256" s="36"/>
      <c r="KH256" s="36"/>
      <c r="KI256" s="36"/>
      <c r="KJ256" s="36"/>
      <c r="KK256" s="36"/>
      <c r="KL256" s="36"/>
      <c r="KM256" s="36"/>
      <c r="KN256" s="36"/>
      <c r="KO256" s="36"/>
      <c r="KP256" s="36"/>
      <c r="KQ256" s="36"/>
      <c r="KR256" s="36"/>
      <c r="KS256" s="36"/>
      <c r="KT256" s="37"/>
      <c r="KU256" s="36"/>
    </row>
    <row r="257" ht="15.0" customHeight="1">
      <c r="A257" s="44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7"/>
      <c r="R257" s="44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7"/>
      <c r="AI257" s="44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  <c r="AU257" s="36"/>
      <c r="AV257" s="36"/>
      <c r="AW257" s="36"/>
      <c r="AX257" s="36"/>
      <c r="AY257" s="37"/>
      <c r="AZ257" s="44"/>
      <c r="BA257" s="36"/>
      <c r="BB257" s="36"/>
      <c r="BC257" s="36"/>
      <c r="BD257" s="36"/>
      <c r="BE257" s="36"/>
      <c r="BF257" s="36"/>
      <c r="BG257" s="36"/>
      <c r="BH257" s="36"/>
      <c r="BI257" s="36"/>
      <c r="BJ257" s="36"/>
      <c r="BK257" s="36"/>
      <c r="BL257" s="36"/>
      <c r="BM257" s="36"/>
      <c r="BN257" s="36"/>
      <c r="BO257" s="36"/>
      <c r="BP257" s="37"/>
      <c r="BQ257" s="44"/>
      <c r="BR257" s="36"/>
      <c r="BS257" s="36"/>
      <c r="BT257" s="36"/>
      <c r="BU257" s="36"/>
      <c r="BV257" s="36"/>
      <c r="BW257" s="36"/>
      <c r="BX257" s="36"/>
      <c r="BY257" s="36"/>
      <c r="BZ257" s="36"/>
      <c r="CA257" s="36"/>
      <c r="CB257" s="36"/>
      <c r="CC257" s="36"/>
      <c r="CD257" s="36"/>
      <c r="CE257" s="36"/>
      <c r="CF257" s="36"/>
      <c r="CG257" s="37"/>
      <c r="CH257" s="44"/>
      <c r="CI257" s="36"/>
      <c r="CJ257" s="36"/>
      <c r="CK257" s="36"/>
      <c r="CL257" s="36"/>
      <c r="CM257" s="36"/>
      <c r="CN257" s="36"/>
      <c r="CO257" s="36"/>
      <c r="CP257" s="36"/>
      <c r="CQ257" s="36"/>
      <c r="CR257" s="36"/>
      <c r="CS257" s="36"/>
      <c r="CT257" s="36"/>
      <c r="CU257" s="36"/>
      <c r="CV257" s="36"/>
      <c r="CW257" s="36"/>
      <c r="CX257" s="37"/>
      <c r="CY257" s="44"/>
      <c r="CZ257" s="36"/>
      <c r="DA257" s="36"/>
      <c r="DB257" s="36"/>
      <c r="DC257" s="36"/>
      <c r="DD257" s="36"/>
      <c r="DE257" s="36"/>
      <c r="DF257" s="36"/>
      <c r="DG257" s="36"/>
      <c r="DH257" s="36"/>
      <c r="DI257" s="36"/>
      <c r="DJ257" s="36"/>
      <c r="DK257" s="36"/>
      <c r="DL257" s="36"/>
      <c r="DM257" s="36"/>
      <c r="DN257" s="36"/>
      <c r="DO257" s="37"/>
      <c r="DP257" s="44"/>
      <c r="DQ257" s="36"/>
      <c r="DR257" s="36"/>
      <c r="DS257" s="36"/>
      <c r="DT257" s="36"/>
      <c r="DU257" s="36"/>
      <c r="DV257" s="36"/>
      <c r="DW257" s="36"/>
      <c r="DX257" s="36"/>
      <c r="DY257" s="36"/>
      <c r="DZ257" s="36"/>
      <c r="EA257" s="36"/>
      <c r="EB257" s="36"/>
      <c r="EC257" s="36"/>
      <c r="ED257" s="36"/>
      <c r="EE257" s="36"/>
      <c r="EF257" s="37"/>
      <c r="EG257" s="44"/>
      <c r="EH257" s="36"/>
      <c r="EI257" s="36"/>
      <c r="EJ257" s="36"/>
      <c r="EK257" s="36"/>
      <c r="EL257" s="36"/>
      <c r="EM257" s="36"/>
      <c r="EN257" s="36"/>
      <c r="EO257" s="36"/>
      <c r="EP257" s="36"/>
      <c r="EQ257" s="36"/>
      <c r="ER257" s="36"/>
      <c r="ES257" s="36"/>
      <c r="ET257" s="36"/>
      <c r="EU257" s="36"/>
      <c r="EV257" s="36"/>
      <c r="EW257" s="37"/>
      <c r="EX257" s="44"/>
      <c r="EY257" s="36"/>
      <c r="EZ257" s="36"/>
      <c r="FA257" s="36"/>
      <c r="FB257" s="36"/>
      <c r="FC257" s="36"/>
      <c r="FD257" s="36"/>
      <c r="FE257" s="36"/>
      <c r="FF257" s="36"/>
      <c r="FG257" s="36"/>
      <c r="FH257" s="36"/>
      <c r="FI257" s="36"/>
      <c r="FJ257" s="36"/>
      <c r="FK257" s="36"/>
      <c r="FL257" s="36"/>
      <c r="FM257" s="36"/>
      <c r="FN257" s="37"/>
      <c r="FO257" s="44"/>
      <c r="FP257" s="36"/>
      <c r="FQ257" s="36"/>
      <c r="FR257" s="36"/>
      <c r="FS257" s="36"/>
      <c r="FT257" s="36"/>
      <c r="FU257" s="36"/>
      <c r="FV257" s="36"/>
      <c r="FW257" s="36"/>
      <c r="FX257" s="36"/>
      <c r="FY257" s="36"/>
      <c r="FZ257" s="36"/>
      <c r="GA257" s="36"/>
      <c r="GB257" s="36"/>
      <c r="GC257" s="36"/>
      <c r="GD257" s="36"/>
      <c r="GE257" s="37"/>
      <c r="GF257" s="44"/>
      <c r="GG257" s="36"/>
      <c r="GH257" s="36"/>
      <c r="GI257" s="36"/>
      <c r="GJ257" s="36"/>
      <c r="GK257" s="36"/>
      <c r="GL257" s="36"/>
      <c r="GM257" s="36"/>
      <c r="GN257" s="36"/>
      <c r="GO257" s="36"/>
      <c r="GP257" s="36"/>
      <c r="GQ257" s="36"/>
      <c r="GR257" s="36"/>
      <c r="GS257" s="36"/>
      <c r="GT257" s="36"/>
      <c r="GU257" s="36"/>
      <c r="GV257" s="37"/>
      <c r="GW257" s="44"/>
      <c r="GX257" s="36"/>
      <c r="GY257" s="36"/>
      <c r="GZ257" s="36"/>
      <c r="HA257" s="36"/>
      <c r="HB257" s="36"/>
      <c r="HC257" s="36"/>
      <c r="HD257" s="36"/>
      <c r="HE257" s="36"/>
      <c r="HF257" s="36"/>
      <c r="HG257" s="36"/>
      <c r="HH257" s="36"/>
      <c r="HI257" s="36"/>
      <c r="HJ257" s="36"/>
      <c r="HK257" s="36"/>
      <c r="HL257" s="36"/>
      <c r="HM257" s="37"/>
      <c r="HN257" s="44"/>
      <c r="HO257" s="36"/>
      <c r="HP257" s="36"/>
      <c r="HQ257" s="36"/>
      <c r="HR257" s="36"/>
      <c r="HS257" s="36"/>
      <c r="HT257" s="36"/>
      <c r="HU257" s="36"/>
      <c r="HV257" s="36"/>
      <c r="HW257" s="36"/>
      <c r="HX257" s="36"/>
      <c r="HY257" s="36"/>
      <c r="HZ257" s="36"/>
      <c r="IA257" s="36"/>
      <c r="IB257" s="36"/>
      <c r="IC257" s="36"/>
      <c r="ID257" s="37"/>
      <c r="IE257" s="44"/>
      <c r="IF257" s="36"/>
      <c r="IG257" s="36"/>
      <c r="IH257" s="36"/>
      <c r="II257" s="36"/>
      <c r="IJ257" s="36"/>
      <c r="IK257" s="36"/>
      <c r="IL257" s="36"/>
      <c r="IM257" s="36"/>
      <c r="IN257" s="36"/>
      <c r="IO257" s="36"/>
      <c r="IP257" s="36"/>
      <c r="IQ257" s="36"/>
      <c r="IR257" s="36"/>
      <c r="IS257" s="36"/>
      <c r="IT257" s="36"/>
      <c r="IU257" s="37"/>
      <c r="IV257" s="44"/>
      <c r="IW257" s="36"/>
      <c r="IX257" s="36"/>
      <c r="IY257" s="36"/>
      <c r="IZ257" s="36"/>
      <c r="JA257" s="36"/>
      <c r="JB257" s="36"/>
      <c r="JC257" s="36"/>
      <c r="JD257" s="36"/>
      <c r="JE257" s="36"/>
      <c r="JF257" s="36"/>
      <c r="JG257" s="36"/>
      <c r="JH257" s="36"/>
      <c r="JI257" s="36"/>
      <c r="JJ257" s="36"/>
      <c r="JK257" s="36"/>
      <c r="JL257" s="37"/>
      <c r="JM257" s="44"/>
      <c r="JN257" s="36"/>
      <c r="JO257" s="36"/>
      <c r="JP257" s="36"/>
      <c r="JQ257" s="36"/>
      <c r="JR257" s="36"/>
      <c r="JS257" s="36"/>
      <c r="JT257" s="36"/>
      <c r="JU257" s="36"/>
      <c r="JV257" s="36"/>
      <c r="JW257" s="36"/>
      <c r="JX257" s="36"/>
      <c r="JY257" s="36"/>
      <c r="JZ257" s="36"/>
      <c r="KA257" s="36"/>
      <c r="KB257" s="36"/>
      <c r="KC257" s="37"/>
      <c r="KD257" s="44"/>
      <c r="KE257" s="36"/>
      <c r="KF257" s="36"/>
      <c r="KG257" s="36"/>
      <c r="KH257" s="36"/>
      <c r="KI257" s="36"/>
      <c r="KJ257" s="36"/>
      <c r="KK257" s="36"/>
      <c r="KL257" s="36"/>
      <c r="KM257" s="36"/>
      <c r="KN257" s="36"/>
      <c r="KO257" s="36"/>
      <c r="KP257" s="36"/>
      <c r="KQ257" s="36"/>
      <c r="KR257" s="36"/>
      <c r="KS257" s="36"/>
      <c r="KT257" s="37"/>
      <c r="KU257" s="36"/>
    </row>
    <row r="258" ht="15.0" customHeight="1">
      <c r="A258" s="44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7"/>
      <c r="R258" s="44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7"/>
      <c r="AI258" s="44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  <c r="AU258" s="36"/>
      <c r="AV258" s="36"/>
      <c r="AW258" s="36"/>
      <c r="AX258" s="36"/>
      <c r="AY258" s="37"/>
      <c r="AZ258" s="44"/>
      <c r="BA258" s="36"/>
      <c r="BB258" s="36"/>
      <c r="BC258" s="36"/>
      <c r="BD258" s="36"/>
      <c r="BE258" s="36"/>
      <c r="BF258" s="36"/>
      <c r="BG258" s="36"/>
      <c r="BH258" s="36"/>
      <c r="BI258" s="36"/>
      <c r="BJ258" s="36"/>
      <c r="BK258" s="36"/>
      <c r="BL258" s="36"/>
      <c r="BM258" s="36"/>
      <c r="BN258" s="36"/>
      <c r="BO258" s="36"/>
      <c r="BP258" s="37"/>
      <c r="BQ258" s="44"/>
      <c r="BR258" s="36"/>
      <c r="BS258" s="36"/>
      <c r="BT258" s="36"/>
      <c r="BU258" s="36"/>
      <c r="BV258" s="36"/>
      <c r="BW258" s="36"/>
      <c r="BX258" s="36"/>
      <c r="BY258" s="36"/>
      <c r="BZ258" s="36"/>
      <c r="CA258" s="36"/>
      <c r="CB258" s="36"/>
      <c r="CC258" s="36"/>
      <c r="CD258" s="36"/>
      <c r="CE258" s="36"/>
      <c r="CF258" s="36"/>
      <c r="CG258" s="37"/>
      <c r="CH258" s="44"/>
      <c r="CI258" s="36"/>
      <c r="CJ258" s="36"/>
      <c r="CK258" s="36"/>
      <c r="CL258" s="36"/>
      <c r="CM258" s="36"/>
      <c r="CN258" s="36"/>
      <c r="CO258" s="36"/>
      <c r="CP258" s="36"/>
      <c r="CQ258" s="36"/>
      <c r="CR258" s="36"/>
      <c r="CS258" s="36"/>
      <c r="CT258" s="36"/>
      <c r="CU258" s="36"/>
      <c r="CV258" s="36"/>
      <c r="CW258" s="36"/>
      <c r="CX258" s="37"/>
      <c r="CY258" s="44"/>
      <c r="CZ258" s="36"/>
      <c r="DA258" s="36"/>
      <c r="DB258" s="36"/>
      <c r="DC258" s="36"/>
      <c r="DD258" s="36"/>
      <c r="DE258" s="36"/>
      <c r="DF258" s="36"/>
      <c r="DG258" s="36"/>
      <c r="DH258" s="36"/>
      <c r="DI258" s="36"/>
      <c r="DJ258" s="36"/>
      <c r="DK258" s="36"/>
      <c r="DL258" s="36"/>
      <c r="DM258" s="36"/>
      <c r="DN258" s="36"/>
      <c r="DO258" s="37"/>
      <c r="DP258" s="44"/>
      <c r="DQ258" s="36"/>
      <c r="DR258" s="36"/>
      <c r="DS258" s="36"/>
      <c r="DT258" s="36"/>
      <c r="DU258" s="36"/>
      <c r="DV258" s="36"/>
      <c r="DW258" s="36"/>
      <c r="DX258" s="36"/>
      <c r="DY258" s="36"/>
      <c r="DZ258" s="36"/>
      <c r="EA258" s="36"/>
      <c r="EB258" s="36"/>
      <c r="EC258" s="36"/>
      <c r="ED258" s="36"/>
      <c r="EE258" s="36"/>
      <c r="EF258" s="37"/>
      <c r="EG258" s="44"/>
      <c r="EH258" s="36"/>
      <c r="EI258" s="36"/>
      <c r="EJ258" s="36"/>
      <c r="EK258" s="36"/>
      <c r="EL258" s="36"/>
      <c r="EM258" s="36"/>
      <c r="EN258" s="36"/>
      <c r="EO258" s="36"/>
      <c r="EP258" s="36"/>
      <c r="EQ258" s="36"/>
      <c r="ER258" s="36"/>
      <c r="ES258" s="36"/>
      <c r="ET258" s="36"/>
      <c r="EU258" s="36"/>
      <c r="EV258" s="36"/>
      <c r="EW258" s="37"/>
      <c r="EX258" s="44"/>
      <c r="EY258" s="36"/>
      <c r="EZ258" s="36"/>
      <c r="FA258" s="36"/>
      <c r="FB258" s="36"/>
      <c r="FC258" s="36"/>
      <c r="FD258" s="36"/>
      <c r="FE258" s="36"/>
      <c r="FF258" s="36"/>
      <c r="FG258" s="36"/>
      <c r="FH258" s="36"/>
      <c r="FI258" s="36"/>
      <c r="FJ258" s="36"/>
      <c r="FK258" s="36"/>
      <c r="FL258" s="36"/>
      <c r="FM258" s="36"/>
      <c r="FN258" s="37"/>
      <c r="FO258" s="44"/>
      <c r="FP258" s="36"/>
      <c r="FQ258" s="36"/>
      <c r="FR258" s="36"/>
      <c r="FS258" s="36"/>
      <c r="FT258" s="36"/>
      <c r="FU258" s="36"/>
      <c r="FV258" s="36"/>
      <c r="FW258" s="36"/>
      <c r="FX258" s="36"/>
      <c r="FY258" s="36"/>
      <c r="FZ258" s="36"/>
      <c r="GA258" s="36"/>
      <c r="GB258" s="36"/>
      <c r="GC258" s="36"/>
      <c r="GD258" s="36"/>
      <c r="GE258" s="37"/>
      <c r="GF258" s="44"/>
      <c r="GG258" s="36"/>
      <c r="GH258" s="36"/>
      <c r="GI258" s="36"/>
      <c r="GJ258" s="36"/>
      <c r="GK258" s="36"/>
      <c r="GL258" s="36"/>
      <c r="GM258" s="36"/>
      <c r="GN258" s="36"/>
      <c r="GO258" s="36"/>
      <c r="GP258" s="36"/>
      <c r="GQ258" s="36"/>
      <c r="GR258" s="36"/>
      <c r="GS258" s="36"/>
      <c r="GT258" s="36"/>
      <c r="GU258" s="36"/>
      <c r="GV258" s="37"/>
      <c r="GW258" s="44"/>
      <c r="GX258" s="36"/>
      <c r="GY258" s="36"/>
      <c r="GZ258" s="36"/>
      <c r="HA258" s="36"/>
      <c r="HB258" s="36"/>
      <c r="HC258" s="36"/>
      <c r="HD258" s="36"/>
      <c r="HE258" s="36"/>
      <c r="HF258" s="36"/>
      <c r="HG258" s="36"/>
      <c r="HH258" s="36"/>
      <c r="HI258" s="36"/>
      <c r="HJ258" s="36"/>
      <c r="HK258" s="36"/>
      <c r="HL258" s="36"/>
      <c r="HM258" s="37"/>
      <c r="HN258" s="44"/>
      <c r="HO258" s="36"/>
      <c r="HP258" s="36"/>
      <c r="HQ258" s="36"/>
      <c r="HR258" s="36"/>
      <c r="HS258" s="36"/>
      <c r="HT258" s="36"/>
      <c r="HU258" s="36"/>
      <c r="HV258" s="36"/>
      <c r="HW258" s="36"/>
      <c r="HX258" s="36"/>
      <c r="HY258" s="36"/>
      <c r="HZ258" s="36"/>
      <c r="IA258" s="36"/>
      <c r="IB258" s="36"/>
      <c r="IC258" s="36"/>
      <c r="ID258" s="37"/>
      <c r="IE258" s="44"/>
      <c r="IF258" s="36"/>
      <c r="IG258" s="36"/>
      <c r="IH258" s="36"/>
      <c r="II258" s="36"/>
      <c r="IJ258" s="36"/>
      <c r="IK258" s="36"/>
      <c r="IL258" s="36"/>
      <c r="IM258" s="36"/>
      <c r="IN258" s="36"/>
      <c r="IO258" s="36"/>
      <c r="IP258" s="36"/>
      <c r="IQ258" s="36"/>
      <c r="IR258" s="36"/>
      <c r="IS258" s="36"/>
      <c r="IT258" s="36"/>
      <c r="IU258" s="37"/>
      <c r="IV258" s="44"/>
      <c r="IW258" s="36"/>
      <c r="IX258" s="36"/>
      <c r="IY258" s="36"/>
      <c r="IZ258" s="36"/>
      <c r="JA258" s="36"/>
      <c r="JB258" s="36"/>
      <c r="JC258" s="36"/>
      <c r="JD258" s="36"/>
      <c r="JE258" s="36"/>
      <c r="JF258" s="36"/>
      <c r="JG258" s="36"/>
      <c r="JH258" s="36"/>
      <c r="JI258" s="36"/>
      <c r="JJ258" s="36"/>
      <c r="JK258" s="36"/>
      <c r="JL258" s="37"/>
      <c r="JM258" s="44"/>
      <c r="JN258" s="36"/>
      <c r="JO258" s="36"/>
      <c r="JP258" s="36"/>
      <c r="JQ258" s="36"/>
      <c r="JR258" s="36"/>
      <c r="JS258" s="36"/>
      <c r="JT258" s="36"/>
      <c r="JU258" s="36"/>
      <c r="JV258" s="36"/>
      <c r="JW258" s="36"/>
      <c r="JX258" s="36"/>
      <c r="JY258" s="36"/>
      <c r="JZ258" s="36"/>
      <c r="KA258" s="36"/>
      <c r="KB258" s="36"/>
      <c r="KC258" s="37"/>
      <c r="KD258" s="44"/>
      <c r="KE258" s="36"/>
      <c r="KF258" s="36"/>
      <c r="KG258" s="36"/>
      <c r="KH258" s="36"/>
      <c r="KI258" s="36"/>
      <c r="KJ258" s="36"/>
      <c r="KK258" s="36"/>
      <c r="KL258" s="36"/>
      <c r="KM258" s="36"/>
      <c r="KN258" s="36"/>
      <c r="KO258" s="36"/>
      <c r="KP258" s="36"/>
      <c r="KQ258" s="36"/>
      <c r="KR258" s="36"/>
      <c r="KS258" s="36"/>
      <c r="KT258" s="37"/>
      <c r="KU258" s="36"/>
    </row>
    <row r="259" ht="15.0" customHeight="1">
      <c r="A259" s="44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7"/>
      <c r="R259" s="44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7"/>
      <c r="AI259" s="44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  <c r="AU259" s="36"/>
      <c r="AV259" s="36"/>
      <c r="AW259" s="36"/>
      <c r="AX259" s="36"/>
      <c r="AY259" s="37"/>
      <c r="AZ259" s="44"/>
      <c r="BA259" s="36"/>
      <c r="BB259" s="36"/>
      <c r="BC259" s="36"/>
      <c r="BD259" s="36"/>
      <c r="BE259" s="36"/>
      <c r="BF259" s="36"/>
      <c r="BG259" s="36"/>
      <c r="BH259" s="36"/>
      <c r="BI259" s="36"/>
      <c r="BJ259" s="36"/>
      <c r="BK259" s="36"/>
      <c r="BL259" s="36"/>
      <c r="BM259" s="36"/>
      <c r="BN259" s="36"/>
      <c r="BO259" s="36"/>
      <c r="BP259" s="37"/>
      <c r="BQ259" s="44"/>
      <c r="BR259" s="36"/>
      <c r="BS259" s="36"/>
      <c r="BT259" s="36"/>
      <c r="BU259" s="36"/>
      <c r="BV259" s="36"/>
      <c r="BW259" s="36"/>
      <c r="BX259" s="36"/>
      <c r="BY259" s="36"/>
      <c r="BZ259" s="36"/>
      <c r="CA259" s="36"/>
      <c r="CB259" s="36"/>
      <c r="CC259" s="36"/>
      <c r="CD259" s="36"/>
      <c r="CE259" s="36"/>
      <c r="CF259" s="36"/>
      <c r="CG259" s="37"/>
      <c r="CH259" s="44"/>
      <c r="CI259" s="36"/>
      <c r="CJ259" s="36"/>
      <c r="CK259" s="36"/>
      <c r="CL259" s="36"/>
      <c r="CM259" s="36"/>
      <c r="CN259" s="36"/>
      <c r="CO259" s="36"/>
      <c r="CP259" s="36"/>
      <c r="CQ259" s="36"/>
      <c r="CR259" s="36"/>
      <c r="CS259" s="36"/>
      <c r="CT259" s="36"/>
      <c r="CU259" s="36"/>
      <c r="CV259" s="36"/>
      <c r="CW259" s="36"/>
      <c r="CX259" s="37"/>
      <c r="CY259" s="44"/>
      <c r="CZ259" s="36"/>
      <c r="DA259" s="36"/>
      <c r="DB259" s="36"/>
      <c r="DC259" s="36"/>
      <c r="DD259" s="36"/>
      <c r="DE259" s="36"/>
      <c r="DF259" s="36"/>
      <c r="DG259" s="36"/>
      <c r="DH259" s="36"/>
      <c r="DI259" s="36"/>
      <c r="DJ259" s="36"/>
      <c r="DK259" s="36"/>
      <c r="DL259" s="36"/>
      <c r="DM259" s="36"/>
      <c r="DN259" s="36"/>
      <c r="DO259" s="37"/>
      <c r="DP259" s="44"/>
      <c r="DQ259" s="36"/>
      <c r="DR259" s="36"/>
      <c r="DS259" s="36"/>
      <c r="DT259" s="36"/>
      <c r="DU259" s="36"/>
      <c r="DV259" s="36"/>
      <c r="DW259" s="36"/>
      <c r="DX259" s="36"/>
      <c r="DY259" s="36"/>
      <c r="DZ259" s="36"/>
      <c r="EA259" s="36"/>
      <c r="EB259" s="36"/>
      <c r="EC259" s="36"/>
      <c r="ED259" s="36"/>
      <c r="EE259" s="36"/>
      <c r="EF259" s="37"/>
      <c r="EG259" s="44"/>
      <c r="EH259" s="36"/>
      <c r="EI259" s="36"/>
      <c r="EJ259" s="36"/>
      <c r="EK259" s="36"/>
      <c r="EL259" s="36"/>
      <c r="EM259" s="36"/>
      <c r="EN259" s="36"/>
      <c r="EO259" s="36"/>
      <c r="EP259" s="36"/>
      <c r="EQ259" s="36"/>
      <c r="ER259" s="36"/>
      <c r="ES259" s="36"/>
      <c r="ET259" s="36"/>
      <c r="EU259" s="36"/>
      <c r="EV259" s="36"/>
      <c r="EW259" s="37"/>
      <c r="EX259" s="44"/>
      <c r="EY259" s="36"/>
      <c r="EZ259" s="36"/>
      <c r="FA259" s="36"/>
      <c r="FB259" s="36"/>
      <c r="FC259" s="36"/>
      <c r="FD259" s="36"/>
      <c r="FE259" s="36"/>
      <c r="FF259" s="36"/>
      <c r="FG259" s="36"/>
      <c r="FH259" s="36"/>
      <c r="FI259" s="36"/>
      <c r="FJ259" s="36"/>
      <c r="FK259" s="36"/>
      <c r="FL259" s="36"/>
      <c r="FM259" s="36"/>
      <c r="FN259" s="37"/>
      <c r="FO259" s="44"/>
      <c r="FP259" s="36"/>
      <c r="FQ259" s="36"/>
      <c r="FR259" s="36"/>
      <c r="FS259" s="36"/>
      <c r="FT259" s="36"/>
      <c r="FU259" s="36"/>
      <c r="FV259" s="36"/>
      <c r="FW259" s="36"/>
      <c r="FX259" s="36"/>
      <c r="FY259" s="36"/>
      <c r="FZ259" s="36"/>
      <c r="GA259" s="36"/>
      <c r="GB259" s="36"/>
      <c r="GC259" s="36"/>
      <c r="GD259" s="36"/>
      <c r="GE259" s="37"/>
      <c r="GF259" s="44"/>
      <c r="GG259" s="36"/>
      <c r="GH259" s="36"/>
      <c r="GI259" s="36"/>
      <c r="GJ259" s="36"/>
      <c r="GK259" s="36"/>
      <c r="GL259" s="36"/>
      <c r="GM259" s="36"/>
      <c r="GN259" s="36"/>
      <c r="GO259" s="36"/>
      <c r="GP259" s="36"/>
      <c r="GQ259" s="36"/>
      <c r="GR259" s="36"/>
      <c r="GS259" s="36"/>
      <c r="GT259" s="36"/>
      <c r="GU259" s="36"/>
      <c r="GV259" s="37"/>
      <c r="GW259" s="44"/>
      <c r="GX259" s="36"/>
      <c r="GY259" s="36"/>
      <c r="GZ259" s="36"/>
      <c r="HA259" s="36"/>
      <c r="HB259" s="36"/>
      <c r="HC259" s="36"/>
      <c r="HD259" s="36"/>
      <c r="HE259" s="36"/>
      <c r="HF259" s="36"/>
      <c r="HG259" s="36"/>
      <c r="HH259" s="36"/>
      <c r="HI259" s="36"/>
      <c r="HJ259" s="36"/>
      <c r="HK259" s="36"/>
      <c r="HL259" s="36"/>
      <c r="HM259" s="37"/>
      <c r="HN259" s="44"/>
      <c r="HO259" s="36"/>
      <c r="HP259" s="36"/>
      <c r="HQ259" s="36"/>
      <c r="HR259" s="36"/>
      <c r="HS259" s="36"/>
      <c r="HT259" s="36"/>
      <c r="HU259" s="36"/>
      <c r="HV259" s="36"/>
      <c r="HW259" s="36"/>
      <c r="HX259" s="36"/>
      <c r="HY259" s="36"/>
      <c r="HZ259" s="36"/>
      <c r="IA259" s="36"/>
      <c r="IB259" s="36"/>
      <c r="IC259" s="36"/>
      <c r="ID259" s="37"/>
      <c r="IE259" s="44"/>
      <c r="IF259" s="36"/>
      <c r="IG259" s="36"/>
      <c r="IH259" s="36"/>
      <c r="II259" s="36"/>
      <c r="IJ259" s="36"/>
      <c r="IK259" s="36"/>
      <c r="IL259" s="36"/>
      <c r="IM259" s="36"/>
      <c r="IN259" s="36"/>
      <c r="IO259" s="36"/>
      <c r="IP259" s="36"/>
      <c r="IQ259" s="36"/>
      <c r="IR259" s="36"/>
      <c r="IS259" s="36"/>
      <c r="IT259" s="36"/>
      <c r="IU259" s="37"/>
      <c r="IV259" s="44"/>
      <c r="IW259" s="36"/>
      <c r="IX259" s="36"/>
      <c r="IY259" s="36"/>
      <c r="IZ259" s="36"/>
      <c r="JA259" s="36"/>
      <c r="JB259" s="36"/>
      <c r="JC259" s="36"/>
      <c r="JD259" s="36"/>
      <c r="JE259" s="36"/>
      <c r="JF259" s="36"/>
      <c r="JG259" s="36"/>
      <c r="JH259" s="36"/>
      <c r="JI259" s="36"/>
      <c r="JJ259" s="36"/>
      <c r="JK259" s="36"/>
      <c r="JL259" s="37"/>
      <c r="JM259" s="44"/>
      <c r="JN259" s="36"/>
      <c r="JO259" s="36"/>
      <c r="JP259" s="36"/>
      <c r="JQ259" s="36"/>
      <c r="JR259" s="36"/>
      <c r="JS259" s="36"/>
      <c r="JT259" s="36"/>
      <c r="JU259" s="36"/>
      <c r="JV259" s="36"/>
      <c r="JW259" s="36"/>
      <c r="JX259" s="36"/>
      <c r="JY259" s="36"/>
      <c r="JZ259" s="36"/>
      <c r="KA259" s="36"/>
      <c r="KB259" s="36"/>
      <c r="KC259" s="37"/>
      <c r="KD259" s="44"/>
      <c r="KE259" s="36"/>
      <c r="KF259" s="36"/>
      <c r="KG259" s="36"/>
      <c r="KH259" s="36"/>
      <c r="KI259" s="36"/>
      <c r="KJ259" s="36"/>
      <c r="KK259" s="36"/>
      <c r="KL259" s="36"/>
      <c r="KM259" s="36"/>
      <c r="KN259" s="36"/>
      <c r="KO259" s="36"/>
      <c r="KP259" s="36"/>
      <c r="KQ259" s="36"/>
      <c r="KR259" s="36"/>
      <c r="KS259" s="36"/>
      <c r="KT259" s="37"/>
      <c r="KU259" s="36"/>
    </row>
    <row r="260" ht="15.0" customHeight="1">
      <c r="A260" s="44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7"/>
      <c r="R260" s="44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7"/>
      <c r="AI260" s="44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  <c r="AU260" s="36"/>
      <c r="AV260" s="36"/>
      <c r="AW260" s="36"/>
      <c r="AX260" s="36"/>
      <c r="AY260" s="37"/>
      <c r="AZ260" s="44"/>
      <c r="BA260" s="36"/>
      <c r="BB260" s="36"/>
      <c r="BC260" s="36"/>
      <c r="BD260" s="36"/>
      <c r="BE260" s="36"/>
      <c r="BF260" s="36"/>
      <c r="BG260" s="36"/>
      <c r="BH260" s="36"/>
      <c r="BI260" s="36"/>
      <c r="BJ260" s="36"/>
      <c r="BK260" s="36"/>
      <c r="BL260" s="36"/>
      <c r="BM260" s="36"/>
      <c r="BN260" s="36"/>
      <c r="BO260" s="36"/>
      <c r="BP260" s="37"/>
      <c r="BQ260" s="44"/>
      <c r="BR260" s="36"/>
      <c r="BS260" s="36"/>
      <c r="BT260" s="36"/>
      <c r="BU260" s="36"/>
      <c r="BV260" s="36"/>
      <c r="BW260" s="36"/>
      <c r="BX260" s="36"/>
      <c r="BY260" s="36"/>
      <c r="BZ260" s="36"/>
      <c r="CA260" s="36"/>
      <c r="CB260" s="36"/>
      <c r="CC260" s="36"/>
      <c r="CD260" s="36"/>
      <c r="CE260" s="36"/>
      <c r="CF260" s="36"/>
      <c r="CG260" s="37"/>
      <c r="CH260" s="44"/>
      <c r="CI260" s="36"/>
      <c r="CJ260" s="36"/>
      <c r="CK260" s="36"/>
      <c r="CL260" s="36"/>
      <c r="CM260" s="36"/>
      <c r="CN260" s="36"/>
      <c r="CO260" s="36"/>
      <c r="CP260" s="36"/>
      <c r="CQ260" s="36"/>
      <c r="CR260" s="36"/>
      <c r="CS260" s="36"/>
      <c r="CT260" s="36"/>
      <c r="CU260" s="36"/>
      <c r="CV260" s="36"/>
      <c r="CW260" s="36"/>
      <c r="CX260" s="37"/>
      <c r="CY260" s="44"/>
      <c r="CZ260" s="36"/>
      <c r="DA260" s="36"/>
      <c r="DB260" s="36"/>
      <c r="DC260" s="36"/>
      <c r="DD260" s="36"/>
      <c r="DE260" s="36"/>
      <c r="DF260" s="36"/>
      <c r="DG260" s="36"/>
      <c r="DH260" s="36"/>
      <c r="DI260" s="36"/>
      <c r="DJ260" s="36"/>
      <c r="DK260" s="36"/>
      <c r="DL260" s="36"/>
      <c r="DM260" s="36"/>
      <c r="DN260" s="36"/>
      <c r="DO260" s="37"/>
      <c r="DP260" s="44"/>
      <c r="DQ260" s="36"/>
      <c r="DR260" s="36"/>
      <c r="DS260" s="36"/>
      <c r="DT260" s="36"/>
      <c r="DU260" s="36"/>
      <c r="DV260" s="36"/>
      <c r="DW260" s="36"/>
      <c r="DX260" s="36"/>
      <c r="DY260" s="36"/>
      <c r="DZ260" s="36"/>
      <c r="EA260" s="36"/>
      <c r="EB260" s="36"/>
      <c r="EC260" s="36"/>
      <c r="ED260" s="36"/>
      <c r="EE260" s="36"/>
      <c r="EF260" s="37"/>
      <c r="EG260" s="44"/>
      <c r="EH260" s="36"/>
      <c r="EI260" s="36"/>
      <c r="EJ260" s="36"/>
      <c r="EK260" s="36"/>
      <c r="EL260" s="36"/>
      <c r="EM260" s="36"/>
      <c r="EN260" s="36"/>
      <c r="EO260" s="36"/>
      <c r="EP260" s="36"/>
      <c r="EQ260" s="36"/>
      <c r="ER260" s="36"/>
      <c r="ES260" s="36"/>
      <c r="ET260" s="36"/>
      <c r="EU260" s="36"/>
      <c r="EV260" s="36"/>
      <c r="EW260" s="37"/>
      <c r="EX260" s="44"/>
      <c r="EY260" s="36"/>
      <c r="EZ260" s="36"/>
      <c r="FA260" s="36"/>
      <c r="FB260" s="36"/>
      <c r="FC260" s="36"/>
      <c r="FD260" s="36"/>
      <c r="FE260" s="36"/>
      <c r="FF260" s="36"/>
      <c r="FG260" s="36"/>
      <c r="FH260" s="36"/>
      <c r="FI260" s="36"/>
      <c r="FJ260" s="36"/>
      <c r="FK260" s="36"/>
      <c r="FL260" s="36"/>
      <c r="FM260" s="36"/>
      <c r="FN260" s="37"/>
      <c r="FO260" s="44"/>
      <c r="FP260" s="36"/>
      <c r="FQ260" s="36"/>
      <c r="FR260" s="36"/>
      <c r="FS260" s="36"/>
      <c r="FT260" s="36"/>
      <c r="FU260" s="36"/>
      <c r="FV260" s="36"/>
      <c r="FW260" s="36"/>
      <c r="FX260" s="36"/>
      <c r="FY260" s="36"/>
      <c r="FZ260" s="36"/>
      <c r="GA260" s="36"/>
      <c r="GB260" s="36"/>
      <c r="GC260" s="36"/>
      <c r="GD260" s="36"/>
      <c r="GE260" s="37"/>
      <c r="GF260" s="44"/>
      <c r="GG260" s="36"/>
      <c r="GH260" s="36"/>
      <c r="GI260" s="36"/>
      <c r="GJ260" s="36"/>
      <c r="GK260" s="36"/>
      <c r="GL260" s="36"/>
      <c r="GM260" s="36"/>
      <c r="GN260" s="36"/>
      <c r="GO260" s="36"/>
      <c r="GP260" s="36"/>
      <c r="GQ260" s="36"/>
      <c r="GR260" s="36"/>
      <c r="GS260" s="36"/>
      <c r="GT260" s="36"/>
      <c r="GU260" s="36"/>
      <c r="GV260" s="37"/>
      <c r="GW260" s="44"/>
      <c r="GX260" s="36"/>
      <c r="GY260" s="36"/>
      <c r="GZ260" s="36"/>
      <c r="HA260" s="36"/>
      <c r="HB260" s="36"/>
      <c r="HC260" s="36"/>
      <c r="HD260" s="36"/>
      <c r="HE260" s="36"/>
      <c r="HF260" s="36"/>
      <c r="HG260" s="36"/>
      <c r="HH260" s="36"/>
      <c r="HI260" s="36"/>
      <c r="HJ260" s="36"/>
      <c r="HK260" s="36"/>
      <c r="HL260" s="36"/>
      <c r="HM260" s="37"/>
      <c r="HN260" s="44"/>
      <c r="HO260" s="36"/>
      <c r="HP260" s="36"/>
      <c r="HQ260" s="36"/>
      <c r="HR260" s="36"/>
      <c r="HS260" s="36"/>
      <c r="HT260" s="36"/>
      <c r="HU260" s="36"/>
      <c r="HV260" s="36"/>
      <c r="HW260" s="36"/>
      <c r="HX260" s="36"/>
      <c r="HY260" s="36"/>
      <c r="HZ260" s="36"/>
      <c r="IA260" s="36"/>
      <c r="IB260" s="36"/>
      <c r="IC260" s="36"/>
      <c r="ID260" s="37"/>
      <c r="IE260" s="44"/>
      <c r="IF260" s="36"/>
      <c r="IG260" s="36"/>
      <c r="IH260" s="36"/>
      <c r="II260" s="36"/>
      <c r="IJ260" s="36"/>
      <c r="IK260" s="36"/>
      <c r="IL260" s="36"/>
      <c r="IM260" s="36"/>
      <c r="IN260" s="36"/>
      <c r="IO260" s="36"/>
      <c r="IP260" s="36"/>
      <c r="IQ260" s="36"/>
      <c r="IR260" s="36"/>
      <c r="IS260" s="36"/>
      <c r="IT260" s="36"/>
      <c r="IU260" s="37"/>
      <c r="IV260" s="44"/>
      <c r="IW260" s="36"/>
      <c r="IX260" s="36"/>
      <c r="IY260" s="36"/>
      <c r="IZ260" s="36"/>
      <c r="JA260" s="36"/>
      <c r="JB260" s="36"/>
      <c r="JC260" s="36"/>
      <c r="JD260" s="36"/>
      <c r="JE260" s="36"/>
      <c r="JF260" s="36"/>
      <c r="JG260" s="36"/>
      <c r="JH260" s="36"/>
      <c r="JI260" s="36"/>
      <c r="JJ260" s="36"/>
      <c r="JK260" s="36"/>
      <c r="JL260" s="37"/>
      <c r="JM260" s="44"/>
      <c r="JN260" s="36"/>
      <c r="JO260" s="36"/>
      <c r="JP260" s="36"/>
      <c r="JQ260" s="36"/>
      <c r="JR260" s="36"/>
      <c r="JS260" s="36"/>
      <c r="JT260" s="36"/>
      <c r="JU260" s="36"/>
      <c r="JV260" s="36"/>
      <c r="JW260" s="36"/>
      <c r="JX260" s="36"/>
      <c r="JY260" s="36"/>
      <c r="JZ260" s="36"/>
      <c r="KA260" s="36"/>
      <c r="KB260" s="36"/>
      <c r="KC260" s="37"/>
      <c r="KD260" s="44"/>
      <c r="KE260" s="36"/>
      <c r="KF260" s="36"/>
      <c r="KG260" s="36"/>
      <c r="KH260" s="36"/>
      <c r="KI260" s="36"/>
      <c r="KJ260" s="36"/>
      <c r="KK260" s="36"/>
      <c r="KL260" s="36"/>
      <c r="KM260" s="36"/>
      <c r="KN260" s="36"/>
      <c r="KO260" s="36"/>
      <c r="KP260" s="36"/>
      <c r="KQ260" s="36"/>
      <c r="KR260" s="36"/>
      <c r="KS260" s="36"/>
      <c r="KT260" s="37"/>
      <c r="KU260" s="36"/>
    </row>
    <row r="261" ht="15.0" customHeight="1">
      <c r="A261" s="44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7"/>
      <c r="R261" s="44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7"/>
      <c r="AI261" s="44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  <c r="AU261" s="36"/>
      <c r="AV261" s="36"/>
      <c r="AW261" s="36"/>
      <c r="AX261" s="36"/>
      <c r="AY261" s="37"/>
      <c r="AZ261" s="44"/>
      <c r="BA261" s="36"/>
      <c r="BB261" s="36"/>
      <c r="BC261" s="36"/>
      <c r="BD261" s="36"/>
      <c r="BE261" s="36"/>
      <c r="BF261" s="36"/>
      <c r="BG261" s="36"/>
      <c r="BH261" s="36"/>
      <c r="BI261" s="36"/>
      <c r="BJ261" s="36"/>
      <c r="BK261" s="36"/>
      <c r="BL261" s="36"/>
      <c r="BM261" s="36"/>
      <c r="BN261" s="36"/>
      <c r="BO261" s="36"/>
      <c r="BP261" s="37"/>
      <c r="BQ261" s="44"/>
      <c r="BR261" s="36"/>
      <c r="BS261" s="36"/>
      <c r="BT261" s="36"/>
      <c r="BU261" s="36"/>
      <c r="BV261" s="36"/>
      <c r="BW261" s="36"/>
      <c r="BX261" s="36"/>
      <c r="BY261" s="36"/>
      <c r="BZ261" s="36"/>
      <c r="CA261" s="36"/>
      <c r="CB261" s="36"/>
      <c r="CC261" s="36"/>
      <c r="CD261" s="36"/>
      <c r="CE261" s="36"/>
      <c r="CF261" s="36"/>
      <c r="CG261" s="37"/>
      <c r="CH261" s="44"/>
      <c r="CI261" s="36"/>
      <c r="CJ261" s="36"/>
      <c r="CK261" s="36"/>
      <c r="CL261" s="36"/>
      <c r="CM261" s="36"/>
      <c r="CN261" s="36"/>
      <c r="CO261" s="36"/>
      <c r="CP261" s="36"/>
      <c r="CQ261" s="36"/>
      <c r="CR261" s="36"/>
      <c r="CS261" s="36"/>
      <c r="CT261" s="36"/>
      <c r="CU261" s="36"/>
      <c r="CV261" s="36"/>
      <c r="CW261" s="36"/>
      <c r="CX261" s="37"/>
      <c r="CY261" s="44"/>
      <c r="CZ261" s="36"/>
      <c r="DA261" s="36"/>
      <c r="DB261" s="36"/>
      <c r="DC261" s="36"/>
      <c r="DD261" s="36"/>
      <c r="DE261" s="36"/>
      <c r="DF261" s="36"/>
      <c r="DG261" s="36"/>
      <c r="DH261" s="36"/>
      <c r="DI261" s="36"/>
      <c r="DJ261" s="36"/>
      <c r="DK261" s="36"/>
      <c r="DL261" s="36"/>
      <c r="DM261" s="36"/>
      <c r="DN261" s="36"/>
      <c r="DO261" s="37"/>
      <c r="DP261" s="44"/>
      <c r="DQ261" s="36"/>
      <c r="DR261" s="36"/>
      <c r="DS261" s="36"/>
      <c r="DT261" s="36"/>
      <c r="DU261" s="36"/>
      <c r="DV261" s="36"/>
      <c r="DW261" s="36"/>
      <c r="DX261" s="36"/>
      <c r="DY261" s="36"/>
      <c r="DZ261" s="36"/>
      <c r="EA261" s="36"/>
      <c r="EB261" s="36"/>
      <c r="EC261" s="36"/>
      <c r="ED261" s="36"/>
      <c r="EE261" s="36"/>
      <c r="EF261" s="37"/>
      <c r="EG261" s="44"/>
      <c r="EH261" s="36"/>
      <c r="EI261" s="36"/>
      <c r="EJ261" s="36"/>
      <c r="EK261" s="36"/>
      <c r="EL261" s="36"/>
      <c r="EM261" s="36"/>
      <c r="EN261" s="36"/>
      <c r="EO261" s="36"/>
      <c r="EP261" s="36"/>
      <c r="EQ261" s="36"/>
      <c r="ER261" s="36"/>
      <c r="ES261" s="36"/>
      <c r="ET261" s="36"/>
      <c r="EU261" s="36"/>
      <c r="EV261" s="36"/>
      <c r="EW261" s="37"/>
      <c r="EX261" s="44"/>
      <c r="EY261" s="36"/>
      <c r="EZ261" s="36"/>
      <c r="FA261" s="36"/>
      <c r="FB261" s="36"/>
      <c r="FC261" s="36"/>
      <c r="FD261" s="36"/>
      <c r="FE261" s="36"/>
      <c r="FF261" s="36"/>
      <c r="FG261" s="36"/>
      <c r="FH261" s="36"/>
      <c r="FI261" s="36"/>
      <c r="FJ261" s="36"/>
      <c r="FK261" s="36"/>
      <c r="FL261" s="36"/>
      <c r="FM261" s="36"/>
      <c r="FN261" s="37"/>
      <c r="FO261" s="44"/>
      <c r="FP261" s="36"/>
      <c r="FQ261" s="36"/>
      <c r="FR261" s="36"/>
      <c r="FS261" s="36"/>
      <c r="FT261" s="36"/>
      <c r="FU261" s="36"/>
      <c r="FV261" s="36"/>
      <c r="FW261" s="36"/>
      <c r="FX261" s="36"/>
      <c r="FY261" s="36"/>
      <c r="FZ261" s="36"/>
      <c r="GA261" s="36"/>
      <c r="GB261" s="36"/>
      <c r="GC261" s="36"/>
      <c r="GD261" s="36"/>
      <c r="GE261" s="37"/>
      <c r="GF261" s="44"/>
      <c r="GG261" s="36"/>
      <c r="GH261" s="36"/>
      <c r="GI261" s="36"/>
      <c r="GJ261" s="36"/>
      <c r="GK261" s="36"/>
      <c r="GL261" s="36"/>
      <c r="GM261" s="36"/>
      <c r="GN261" s="36"/>
      <c r="GO261" s="36"/>
      <c r="GP261" s="36"/>
      <c r="GQ261" s="36"/>
      <c r="GR261" s="36"/>
      <c r="GS261" s="36"/>
      <c r="GT261" s="36"/>
      <c r="GU261" s="36"/>
      <c r="GV261" s="37"/>
      <c r="GW261" s="44"/>
      <c r="GX261" s="36"/>
      <c r="GY261" s="36"/>
      <c r="GZ261" s="36"/>
      <c r="HA261" s="36"/>
      <c r="HB261" s="36"/>
      <c r="HC261" s="36"/>
      <c r="HD261" s="36"/>
      <c r="HE261" s="36"/>
      <c r="HF261" s="36"/>
      <c r="HG261" s="36"/>
      <c r="HH261" s="36"/>
      <c r="HI261" s="36"/>
      <c r="HJ261" s="36"/>
      <c r="HK261" s="36"/>
      <c r="HL261" s="36"/>
      <c r="HM261" s="37"/>
      <c r="HN261" s="44"/>
      <c r="HO261" s="36"/>
      <c r="HP261" s="36"/>
      <c r="HQ261" s="36"/>
      <c r="HR261" s="36"/>
      <c r="HS261" s="36"/>
      <c r="HT261" s="36"/>
      <c r="HU261" s="36"/>
      <c r="HV261" s="36"/>
      <c r="HW261" s="36"/>
      <c r="HX261" s="36"/>
      <c r="HY261" s="36"/>
      <c r="HZ261" s="36"/>
      <c r="IA261" s="36"/>
      <c r="IB261" s="36"/>
      <c r="IC261" s="36"/>
      <c r="ID261" s="37"/>
      <c r="IE261" s="44"/>
      <c r="IF261" s="36"/>
      <c r="IG261" s="36"/>
      <c r="IH261" s="36"/>
      <c r="II261" s="36"/>
      <c r="IJ261" s="36"/>
      <c r="IK261" s="36"/>
      <c r="IL261" s="36"/>
      <c r="IM261" s="36"/>
      <c r="IN261" s="36"/>
      <c r="IO261" s="36"/>
      <c r="IP261" s="36"/>
      <c r="IQ261" s="36"/>
      <c r="IR261" s="36"/>
      <c r="IS261" s="36"/>
      <c r="IT261" s="36"/>
      <c r="IU261" s="37"/>
      <c r="IV261" s="44"/>
      <c r="IW261" s="36"/>
      <c r="IX261" s="36"/>
      <c r="IY261" s="36"/>
      <c r="IZ261" s="36"/>
      <c r="JA261" s="36"/>
      <c r="JB261" s="36"/>
      <c r="JC261" s="36"/>
      <c r="JD261" s="36"/>
      <c r="JE261" s="36"/>
      <c r="JF261" s="36"/>
      <c r="JG261" s="36"/>
      <c r="JH261" s="36"/>
      <c r="JI261" s="36"/>
      <c r="JJ261" s="36"/>
      <c r="JK261" s="36"/>
      <c r="JL261" s="37"/>
      <c r="JM261" s="44"/>
      <c r="JN261" s="36"/>
      <c r="JO261" s="36"/>
      <c r="JP261" s="36"/>
      <c r="JQ261" s="36"/>
      <c r="JR261" s="36"/>
      <c r="JS261" s="36"/>
      <c r="JT261" s="36"/>
      <c r="JU261" s="36"/>
      <c r="JV261" s="36"/>
      <c r="JW261" s="36"/>
      <c r="JX261" s="36"/>
      <c r="JY261" s="36"/>
      <c r="JZ261" s="36"/>
      <c r="KA261" s="36"/>
      <c r="KB261" s="36"/>
      <c r="KC261" s="37"/>
      <c r="KD261" s="44"/>
      <c r="KE261" s="36"/>
      <c r="KF261" s="36"/>
      <c r="KG261" s="36"/>
      <c r="KH261" s="36"/>
      <c r="KI261" s="36"/>
      <c r="KJ261" s="36"/>
      <c r="KK261" s="36"/>
      <c r="KL261" s="36"/>
      <c r="KM261" s="36"/>
      <c r="KN261" s="36"/>
      <c r="KO261" s="36"/>
      <c r="KP261" s="36"/>
      <c r="KQ261" s="36"/>
      <c r="KR261" s="36"/>
      <c r="KS261" s="36"/>
      <c r="KT261" s="37"/>
      <c r="KU261" s="36"/>
    </row>
    <row r="262" ht="15.0" customHeight="1">
      <c r="A262" s="44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7"/>
      <c r="R262" s="44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7"/>
      <c r="AI262" s="44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  <c r="AU262" s="36"/>
      <c r="AV262" s="36"/>
      <c r="AW262" s="36"/>
      <c r="AX262" s="36"/>
      <c r="AY262" s="37"/>
      <c r="AZ262" s="44"/>
      <c r="BA262" s="36"/>
      <c r="BB262" s="36"/>
      <c r="BC262" s="36"/>
      <c r="BD262" s="36"/>
      <c r="BE262" s="36"/>
      <c r="BF262" s="36"/>
      <c r="BG262" s="36"/>
      <c r="BH262" s="36"/>
      <c r="BI262" s="36"/>
      <c r="BJ262" s="36"/>
      <c r="BK262" s="36"/>
      <c r="BL262" s="36"/>
      <c r="BM262" s="36"/>
      <c r="BN262" s="36"/>
      <c r="BO262" s="36"/>
      <c r="BP262" s="37"/>
      <c r="BQ262" s="44"/>
      <c r="BR262" s="36"/>
      <c r="BS262" s="36"/>
      <c r="BT262" s="36"/>
      <c r="BU262" s="36"/>
      <c r="BV262" s="36"/>
      <c r="BW262" s="36"/>
      <c r="BX262" s="36"/>
      <c r="BY262" s="36"/>
      <c r="BZ262" s="36"/>
      <c r="CA262" s="36"/>
      <c r="CB262" s="36"/>
      <c r="CC262" s="36"/>
      <c r="CD262" s="36"/>
      <c r="CE262" s="36"/>
      <c r="CF262" s="36"/>
      <c r="CG262" s="37"/>
      <c r="CH262" s="44"/>
      <c r="CI262" s="36"/>
      <c r="CJ262" s="36"/>
      <c r="CK262" s="36"/>
      <c r="CL262" s="36"/>
      <c r="CM262" s="36"/>
      <c r="CN262" s="36"/>
      <c r="CO262" s="36"/>
      <c r="CP262" s="36"/>
      <c r="CQ262" s="36"/>
      <c r="CR262" s="36"/>
      <c r="CS262" s="36"/>
      <c r="CT262" s="36"/>
      <c r="CU262" s="36"/>
      <c r="CV262" s="36"/>
      <c r="CW262" s="36"/>
      <c r="CX262" s="37"/>
      <c r="CY262" s="44"/>
      <c r="CZ262" s="36"/>
      <c r="DA262" s="36"/>
      <c r="DB262" s="36"/>
      <c r="DC262" s="36"/>
      <c r="DD262" s="36"/>
      <c r="DE262" s="36"/>
      <c r="DF262" s="36"/>
      <c r="DG262" s="36"/>
      <c r="DH262" s="36"/>
      <c r="DI262" s="36"/>
      <c r="DJ262" s="36"/>
      <c r="DK262" s="36"/>
      <c r="DL262" s="36"/>
      <c r="DM262" s="36"/>
      <c r="DN262" s="36"/>
      <c r="DO262" s="37"/>
      <c r="DP262" s="44"/>
      <c r="DQ262" s="36"/>
      <c r="DR262" s="36"/>
      <c r="DS262" s="36"/>
      <c r="DT262" s="36"/>
      <c r="DU262" s="36"/>
      <c r="DV262" s="36"/>
      <c r="DW262" s="36"/>
      <c r="DX262" s="36"/>
      <c r="DY262" s="36"/>
      <c r="DZ262" s="36"/>
      <c r="EA262" s="36"/>
      <c r="EB262" s="36"/>
      <c r="EC262" s="36"/>
      <c r="ED262" s="36"/>
      <c r="EE262" s="36"/>
      <c r="EF262" s="37"/>
      <c r="EG262" s="44"/>
      <c r="EH262" s="36"/>
      <c r="EI262" s="36"/>
      <c r="EJ262" s="36"/>
      <c r="EK262" s="36"/>
      <c r="EL262" s="36"/>
      <c r="EM262" s="36"/>
      <c r="EN262" s="36"/>
      <c r="EO262" s="36"/>
      <c r="EP262" s="36"/>
      <c r="EQ262" s="36"/>
      <c r="ER262" s="36"/>
      <c r="ES262" s="36"/>
      <c r="ET262" s="36"/>
      <c r="EU262" s="36"/>
      <c r="EV262" s="36"/>
      <c r="EW262" s="37"/>
      <c r="EX262" s="44"/>
      <c r="EY262" s="36"/>
      <c r="EZ262" s="36"/>
      <c r="FA262" s="36"/>
      <c r="FB262" s="36"/>
      <c r="FC262" s="36"/>
      <c r="FD262" s="36"/>
      <c r="FE262" s="36"/>
      <c r="FF262" s="36"/>
      <c r="FG262" s="36"/>
      <c r="FH262" s="36"/>
      <c r="FI262" s="36"/>
      <c r="FJ262" s="36"/>
      <c r="FK262" s="36"/>
      <c r="FL262" s="36"/>
      <c r="FM262" s="36"/>
      <c r="FN262" s="37"/>
      <c r="FO262" s="44"/>
      <c r="FP262" s="36"/>
      <c r="FQ262" s="36"/>
      <c r="FR262" s="36"/>
      <c r="FS262" s="36"/>
      <c r="FT262" s="36"/>
      <c r="FU262" s="36"/>
      <c r="FV262" s="36"/>
      <c r="FW262" s="36"/>
      <c r="FX262" s="36"/>
      <c r="FY262" s="36"/>
      <c r="FZ262" s="36"/>
      <c r="GA262" s="36"/>
      <c r="GB262" s="36"/>
      <c r="GC262" s="36"/>
      <c r="GD262" s="36"/>
      <c r="GE262" s="37"/>
      <c r="GF262" s="44"/>
      <c r="GG262" s="36"/>
      <c r="GH262" s="36"/>
      <c r="GI262" s="36"/>
      <c r="GJ262" s="36"/>
      <c r="GK262" s="36"/>
      <c r="GL262" s="36"/>
      <c r="GM262" s="36"/>
      <c r="GN262" s="36"/>
      <c r="GO262" s="36"/>
      <c r="GP262" s="36"/>
      <c r="GQ262" s="36"/>
      <c r="GR262" s="36"/>
      <c r="GS262" s="36"/>
      <c r="GT262" s="36"/>
      <c r="GU262" s="36"/>
      <c r="GV262" s="37"/>
      <c r="GW262" s="44"/>
      <c r="GX262" s="36"/>
      <c r="GY262" s="36"/>
      <c r="GZ262" s="36"/>
      <c r="HA262" s="36"/>
      <c r="HB262" s="36"/>
      <c r="HC262" s="36"/>
      <c r="HD262" s="36"/>
      <c r="HE262" s="36"/>
      <c r="HF262" s="36"/>
      <c r="HG262" s="36"/>
      <c r="HH262" s="36"/>
      <c r="HI262" s="36"/>
      <c r="HJ262" s="36"/>
      <c r="HK262" s="36"/>
      <c r="HL262" s="36"/>
      <c r="HM262" s="37"/>
      <c r="HN262" s="44"/>
      <c r="HO262" s="36"/>
      <c r="HP262" s="36"/>
      <c r="HQ262" s="36"/>
      <c r="HR262" s="36"/>
      <c r="HS262" s="36"/>
      <c r="HT262" s="36"/>
      <c r="HU262" s="36"/>
      <c r="HV262" s="36"/>
      <c r="HW262" s="36"/>
      <c r="HX262" s="36"/>
      <c r="HY262" s="36"/>
      <c r="HZ262" s="36"/>
      <c r="IA262" s="36"/>
      <c r="IB262" s="36"/>
      <c r="IC262" s="36"/>
      <c r="ID262" s="37"/>
      <c r="IE262" s="44"/>
      <c r="IF262" s="36"/>
      <c r="IG262" s="36"/>
      <c r="IH262" s="36"/>
      <c r="II262" s="36"/>
      <c r="IJ262" s="36"/>
      <c r="IK262" s="36"/>
      <c r="IL262" s="36"/>
      <c r="IM262" s="36"/>
      <c r="IN262" s="36"/>
      <c r="IO262" s="36"/>
      <c r="IP262" s="36"/>
      <c r="IQ262" s="36"/>
      <c r="IR262" s="36"/>
      <c r="IS262" s="36"/>
      <c r="IT262" s="36"/>
      <c r="IU262" s="37"/>
      <c r="IV262" s="44"/>
      <c r="IW262" s="36"/>
      <c r="IX262" s="36"/>
      <c r="IY262" s="36"/>
      <c r="IZ262" s="36"/>
      <c r="JA262" s="36"/>
      <c r="JB262" s="36"/>
      <c r="JC262" s="36"/>
      <c r="JD262" s="36"/>
      <c r="JE262" s="36"/>
      <c r="JF262" s="36"/>
      <c r="JG262" s="36"/>
      <c r="JH262" s="36"/>
      <c r="JI262" s="36"/>
      <c r="JJ262" s="36"/>
      <c r="JK262" s="36"/>
      <c r="JL262" s="37"/>
      <c r="JM262" s="44"/>
      <c r="JN262" s="36"/>
      <c r="JO262" s="36"/>
      <c r="JP262" s="36"/>
      <c r="JQ262" s="36"/>
      <c r="JR262" s="36"/>
      <c r="JS262" s="36"/>
      <c r="JT262" s="36"/>
      <c r="JU262" s="36"/>
      <c r="JV262" s="36"/>
      <c r="JW262" s="36"/>
      <c r="JX262" s="36"/>
      <c r="JY262" s="36"/>
      <c r="JZ262" s="36"/>
      <c r="KA262" s="36"/>
      <c r="KB262" s="36"/>
      <c r="KC262" s="37"/>
      <c r="KD262" s="44"/>
      <c r="KE262" s="36"/>
      <c r="KF262" s="36"/>
      <c r="KG262" s="36"/>
      <c r="KH262" s="36"/>
      <c r="KI262" s="36"/>
      <c r="KJ262" s="36"/>
      <c r="KK262" s="36"/>
      <c r="KL262" s="36"/>
      <c r="KM262" s="36"/>
      <c r="KN262" s="36"/>
      <c r="KO262" s="36"/>
      <c r="KP262" s="36"/>
      <c r="KQ262" s="36"/>
      <c r="KR262" s="36"/>
      <c r="KS262" s="36"/>
      <c r="KT262" s="37"/>
      <c r="KU262" s="36"/>
    </row>
    <row r="263" ht="15.0" customHeight="1">
      <c r="A263" s="44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7"/>
      <c r="R263" s="44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7"/>
      <c r="AI263" s="44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  <c r="AU263" s="36"/>
      <c r="AV263" s="36"/>
      <c r="AW263" s="36"/>
      <c r="AX263" s="36"/>
      <c r="AY263" s="37"/>
      <c r="AZ263" s="44"/>
      <c r="BA263" s="36"/>
      <c r="BB263" s="36"/>
      <c r="BC263" s="36"/>
      <c r="BD263" s="36"/>
      <c r="BE263" s="36"/>
      <c r="BF263" s="36"/>
      <c r="BG263" s="36"/>
      <c r="BH263" s="36"/>
      <c r="BI263" s="36"/>
      <c r="BJ263" s="36"/>
      <c r="BK263" s="36"/>
      <c r="BL263" s="36"/>
      <c r="BM263" s="36"/>
      <c r="BN263" s="36"/>
      <c r="BO263" s="36"/>
      <c r="BP263" s="37"/>
      <c r="BQ263" s="44"/>
      <c r="BR263" s="36"/>
      <c r="BS263" s="36"/>
      <c r="BT263" s="36"/>
      <c r="BU263" s="36"/>
      <c r="BV263" s="36"/>
      <c r="BW263" s="36"/>
      <c r="BX263" s="36"/>
      <c r="BY263" s="36"/>
      <c r="BZ263" s="36"/>
      <c r="CA263" s="36"/>
      <c r="CB263" s="36"/>
      <c r="CC263" s="36"/>
      <c r="CD263" s="36"/>
      <c r="CE263" s="36"/>
      <c r="CF263" s="36"/>
      <c r="CG263" s="37"/>
      <c r="CH263" s="44"/>
      <c r="CI263" s="36"/>
      <c r="CJ263" s="36"/>
      <c r="CK263" s="36"/>
      <c r="CL263" s="36"/>
      <c r="CM263" s="36"/>
      <c r="CN263" s="36"/>
      <c r="CO263" s="36"/>
      <c r="CP263" s="36"/>
      <c r="CQ263" s="36"/>
      <c r="CR263" s="36"/>
      <c r="CS263" s="36"/>
      <c r="CT263" s="36"/>
      <c r="CU263" s="36"/>
      <c r="CV263" s="36"/>
      <c r="CW263" s="36"/>
      <c r="CX263" s="37"/>
      <c r="CY263" s="44"/>
      <c r="CZ263" s="36"/>
      <c r="DA263" s="36"/>
      <c r="DB263" s="36"/>
      <c r="DC263" s="36"/>
      <c r="DD263" s="36"/>
      <c r="DE263" s="36"/>
      <c r="DF263" s="36"/>
      <c r="DG263" s="36"/>
      <c r="DH263" s="36"/>
      <c r="DI263" s="36"/>
      <c r="DJ263" s="36"/>
      <c r="DK263" s="36"/>
      <c r="DL263" s="36"/>
      <c r="DM263" s="36"/>
      <c r="DN263" s="36"/>
      <c r="DO263" s="37"/>
      <c r="DP263" s="44"/>
      <c r="DQ263" s="36"/>
      <c r="DR263" s="36"/>
      <c r="DS263" s="36"/>
      <c r="DT263" s="36"/>
      <c r="DU263" s="36"/>
      <c r="DV263" s="36"/>
      <c r="DW263" s="36"/>
      <c r="DX263" s="36"/>
      <c r="DY263" s="36"/>
      <c r="DZ263" s="36"/>
      <c r="EA263" s="36"/>
      <c r="EB263" s="36"/>
      <c r="EC263" s="36"/>
      <c r="ED263" s="36"/>
      <c r="EE263" s="36"/>
      <c r="EF263" s="37"/>
      <c r="EG263" s="44"/>
      <c r="EH263" s="36"/>
      <c r="EI263" s="36"/>
      <c r="EJ263" s="36"/>
      <c r="EK263" s="36"/>
      <c r="EL263" s="36"/>
      <c r="EM263" s="36"/>
      <c r="EN263" s="36"/>
      <c r="EO263" s="36"/>
      <c r="EP263" s="36"/>
      <c r="EQ263" s="36"/>
      <c r="ER263" s="36"/>
      <c r="ES263" s="36"/>
      <c r="ET263" s="36"/>
      <c r="EU263" s="36"/>
      <c r="EV263" s="36"/>
      <c r="EW263" s="37"/>
      <c r="EX263" s="44"/>
      <c r="EY263" s="36"/>
      <c r="EZ263" s="36"/>
      <c r="FA263" s="36"/>
      <c r="FB263" s="36"/>
      <c r="FC263" s="36"/>
      <c r="FD263" s="36"/>
      <c r="FE263" s="36"/>
      <c r="FF263" s="36"/>
      <c r="FG263" s="36"/>
      <c r="FH263" s="36"/>
      <c r="FI263" s="36"/>
      <c r="FJ263" s="36"/>
      <c r="FK263" s="36"/>
      <c r="FL263" s="36"/>
      <c r="FM263" s="36"/>
      <c r="FN263" s="37"/>
      <c r="FO263" s="44"/>
      <c r="FP263" s="36"/>
      <c r="FQ263" s="36"/>
      <c r="FR263" s="36"/>
      <c r="FS263" s="36"/>
      <c r="FT263" s="36"/>
      <c r="FU263" s="36"/>
      <c r="FV263" s="36"/>
      <c r="FW263" s="36"/>
      <c r="FX263" s="36"/>
      <c r="FY263" s="36"/>
      <c r="FZ263" s="36"/>
      <c r="GA263" s="36"/>
      <c r="GB263" s="36"/>
      <c r="GC263" s="36"/>
      <c r="GD263" s="36"/>
      <c r="GE263" s="37"/>
      <c r="GF263" s="44"/>
      <c r="GG263" s="36"/>
      <c r="GH263" s="36"/>
      <c r="GI263" s="36"/>
      <c r="GJ263" s="36"/>
      <c r="GK263" s="36"/>
      <c r="GL263" s="36"/>
      <c r="GM263" s="36"/>
      <c r="GN263" s="36"/>
      <c r="GO263" s="36"/>
      <c r="GP263" s="36"/>
      <c r="GQ263" s="36"/>
      <c r="GR263" s="36"/>
      <c r="GS263" s="36"/>
      <c r="GT263" s="36"/>
      <c r="GU263" s="36"/>
      <c r="GV263" s="37"/>
      <c r="GW263" s="44"/>
      <c r="GX263" s="36"/>
      <c r="GY263" s="36"/>
      <c r="GZ263" s="36"/>
      <c r="HA263" s="36"/>
      <c r="HB263" s="36"/>
      <c r="HC263" s="36"/>
      <c r="HD263" s="36"/>
      <c r="HE263" s="36"/>
      <c r="HF263" s="36"/>
      <c r="HG263" s="36"/>
      <c r="HH263" s="36"/>
      <c r="HI263" s="36"/>
      <c r="HJ263" s="36"/>
      <c r="HK263" s="36"/>
      <c r="HL263" s="36"/>
      <c r="HM263" s="37"/>
      <c r="HN263" s="44"/>
      <c r="HO263" s="36"/>
      <c r="HP263" s="36"/>
      <c r="HQ263" s="36"/>
      <c r="HR263" s="36"/>
      <c r="HS263" s="36"/>
      <c r="HT263" s="36"/>
      <c r="HU263" s="36"/>
      <c r="HV263" s="36"/>
      <c r="HW263" s="36"/>
      <c r="HX263" s="36"/>
      <c r="HY263" s="36"/>
      <c r="HZ263" s="36"/>
      <c r="IA263" s="36"/>
      <c r="IB263" s="36"/>
      <c r="IC263" s="36"/>
      <c r="ID263" s="37"/>
      <c r="IE263" s="44"/>
      <c r="IF263" s="36"/>
      <c r="IG263" s="36"/>
      <c r="IH263" s="36"/>
      <c r="II263" s="36"/>
      <c r="IJ263" s="36"/>
      <c r="IK263" s="36"/>
      <c r="IL263" s="36"/>
      <c r="IM263" s="36"/>
      <c r="IN263" s="36"/>
      <c r="IO263" s="36"/>
      <c r="IP263" s="36"/>
      <c r="IQ263" s="36"/>
      <c r="IR263" s="36"/>
      <c r="IS263" s="36"/>
      <c r="IT263" s="36"/>
      <c r="IU263" s="37"/>
      <c r="IV263" s="44"/>
      <c r="IW263" s="36"/>
      <c r="IX263" s="36"/>
      <c r="IY263" s="36"/>
      <c r="IZ263" s="36"/>
      <c r="JA263" s="36"/>
      <c r="JB263" s="36"/>
      <c r="JC263" s="36"/>
      <c r="JD263" s="36"/>
      <c r="JE263" s="36"/>
      <c r="JF263" s="36"/>
      <c r="JG263" s="36"/>
      <c r="JH263" s="36"/>
      <c r="JI263" s="36"/>
      <c r="JJ263" s="36"/>
      <c r="JK263" s="36"/>
      <c r="JL263" s="37"/>
      <c r="JM263" s="44"/>
      <c r="JN263" s="36"/>
      <c r="JO263" s="36"/>
      <c r="JP263" s="36"/>
      <c r="JQ263" s="36"/>
      <c r="JR263" s="36"/>
      <c r="JS263" s="36"/>
      <c r="JT263" s="36"/>
      <c r="JU263" s="36"/>
      <c r="JV263" s="36"/>
      <c r="JW263" s="36"/>
      <c r="JX263" s="36"/>
      <c r="JY263" s="36"/>
      <c r="JZ263" s="36"/>
      <c r="KA263" s="36"/>
      <c r="KB263" s="36"/>
      <c r="KC263" s="37"/>
      <c r="KD263" s="44"/>
      <c r="KE263" s="36"/>
      <c r="KF263" s="36"/>
      <c r="KG263" s="36"/>
      <c r="KH263" s="36"/>
      <c r="KI263" s="36"/>
      <c r="KJ263" s="36"/>
      <c r="KK263" s="36"/>
      <c r="KL263" s="36"/>
      <c r="KM263" s="36"/>
      <c r="KN263" s="36"/>
      <c r="KO263" s="36"/>
      <c r="KP263" s="36"/>
      <c r="KQ263" s="36"/>
      <c r="KR263" s="36"/>
      <c r="KS263" s="36"/>
      <c r="KT263" s="37"/>
      <c r="KU263" s="36"/>
    </row>
    <row r="264" ht="15.0" customHeight="1">
      <c r="A264" s="44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7"/>
      <c r="R264" s="44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7"/>
      <c r="AI264" s="44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  <c r="AU264" s="36"/>
      <c r="AV264" s="36"/>
      <c r="AW264" s="36"/>
      <c r="AX264" s="36"/>
      <c r="AY264" s="37"/>
      <c r="AZ264" s="44"/>
      <c r="BA264" s="36"/>
      <c r="BB264" s="36"/>
      <c r="BC264" s="36"/>
      <c r="BD264" s="36"/>
      <c r="BE264" s="36"/>
      <c r="BF264" s="36"/>
      <c r="BG264" s="36"/>
      <c r="BH264" s="36"/>
      <c r="BI264" s="36"/>
      <c r="BJ264" s="36"/>
      <c r="BK264" s="36"/>
      <c r="BL264" s="36"/>
      <c r="BM264" s="36"/>
      <c r="BN264" s="36"/>
      <c r="BO264" s="36"/>
      <c r="BP264" s="37"/>
      <c r="BQ264" s="44"/>
      <c r="BR264" s="36"/>
      <c r="BS264" s="36"/>
      <c r="BT264" s="36"/>
      <c r="BU264" s="36"/>
      <c r="BV264" s="36"/>
      <c r="BW264" s="36"/>
      <c r="BX264" s="36"/>
      <c r="BY264" s="36"/>
      <c r="BZ264" s="36"/>
      <c r="CA264" s="36"/>
      <c r="CB264" s="36"/>
      <c r="CC264" s="36"/>
      <c r="CD264" s="36"/>
      <c r="CE264" s="36"/>
      <c r="CF264" s="36"/>
      <c r="CG264" s="37"/>
      <c r="CH264" s="44"/>
      <c r="CI264" s="36"/>
      <c r="CJ264" s="36"/>
      <c r="CK264" s="36"/>
      <c r="CL264" s="36"/>
      <c r="CM264" s="36"/>
      <c r="CN264" s="36"/>
      <c r="CO264" s="36"/>
      <c r="CP264" s="36"/>
      <c r="CQ264" s="36"/>
      <c r="CR264" s="36"/>
      <c r="CS264" s="36"/>
      <c r="CT264" s="36"/>
      <c r="CU264" s="36"/>
      <c r="CV264" s="36"/>
      <c r="CW264" s="36"/>
      <c r="CX264" s="37"/>
      <c r="CY264" s="44"/>
      <c r="CZ264" s="36"/>
      <c r="DA264" s="36"/>
      <c r="DB264" s="36"/>
      <c r="DC264" s="36"/>
      <c r="DD264" s="36"/>
      <c r="DE264" s="36"/>
      <c r="DF264" s="36"/>
      <c r="DG264" s="36"/>
      <c r="DH264" s="36"/>
      <c r="DI264" s="36"/>
      <c r="DJ264" s="36"/>
      <c r="DK264" s="36"/>
      <c r="DL264" s="36"/>
      <c r="DM264" s="36"/>
      <c r="DN264" s="36"/>
      <c r="DO264" s="37"/>
      <c r="DP264" s="44"/>
      <c r="DQ264" s="36"/>
      <c r="DR264" s="36"/>
      <c r="DS264" s="36"/>
      <c r="DT264" s="36"/>
      <c r="DU264" s="36"/>
      <c r="DV264" s="36"/>
      <c r="DW264" s="36"/>
      <c r="DX264" s="36"/>
      <c r="DY264" s="36"/>
      <c r="DZ264" s="36"/>
      <c r="EA264" s="36"/>
      <c r="EB264" s="36"/>
      <c r="EC264" s="36"/>
      <c r="ED264" s="36"/>
      <c r="EE264" s="36"/>
      <c r="EF264" s="37"/>
      <c r="EG264" s="44"/>
      <c r="EH264" s="36"/>
      <c r="EI264" s="36"/>
      <c r="EJ264" s="36"/>
      <c r="EK264" s="36"/>
      <c r="EL264" s="36"/>
      <c r="EM264" s="36"/>
      <c r="EN264" s="36"/>
      <c r="EO264" s="36"/>
      <c r="EP264" s="36"/>
      <c r="EQ264" s="36"/>
      <c r="ER264" s="36"/>
      <c r="ES264" s="36"/>
      <c r="ET264" s="36"/>
      <c r="EU264" s="36"/>
      <c r="EV264" s="36"/>
      <c r="EW264" s="37"/>
      <c r="EX264" s="44"/>
      <c r="EY264" s="36"/>
      <c r="EZ264" s="36"/>
      <c r="FA264" s="36"/>
      <c r="FB264" s="36"/>
      <c r="FC264" s="36"/>
      <c r="FD264" s="36"/>
      <c r="FE264" s="36"/>
      <c r="FF264" s="36"/>
      <c r="FG264" s="36"/>
      <c r="FH264" s="36"/>
      <c r="FI264" s="36"/>
      <c r="FJ264" s="36"/>
      <c r="FK264" s="36"/>
      <c r="FL264" s="36"/>
      <c r="FM264" s="36"/>
      <c r="FN264" s="37"/>
      <c r="FO264" s="44"/>
      <c r="FP264" s="36"/>
      <c r="FQ264" s="36"/>
      <c r="FR264" s="36"/>
      <c r="FS264" s="36"/>
      <c r="FT264" s="36"/>
      <c r="FU264" s="36"/>
      <c r="FV264" s="36"/>
      <c r="FW264" s="36"/>
      <c r="FX264" s="36"/>
      <c r="FY264" s="36"/>
      <c r="FZ264" s="36"/>
      <c r="GA264" s="36"/>
      <c r="GB264" s="36"/>
      <c r="GC264" s="36"/>
      <c r="GD264" s="36"/>
      <c r="GE264" s="37"/>
      <c r="GF264" s="44"/>
      <c r="GG264" s="36"/>
      <c r="GH264" s="36"/>
      <c r="GI264" s="36"/>
      <c r="GJ264" s="36"/>
      <c r="GK264" s="36"/>
      <c r="GL264" s="36"/>
      <c r="GM264" s="36"/>
      <c r="GN264" s="36"/>
      <c r="GO264" s="36"/>
      <c r="GP264" s="36"/>
      <c r="GQ264" s="36"/>
      <c r="GR264" s="36"/>
      <c r="GS264" s="36"/>
      <c r="GT264" s="36"/>
      <c r="GU264" s="36"/>
      <c r="GV264" s="37"/>
      <c r="GW264" s="44"/>
      <c r="GX264" s="36"/>
      <c r="GY264" s="36"/>
      <c r="GZ264" s="36"/>
      <c r="HA264" s="36"/>
      <c r="HB264" s="36"/>
      <c r="HC264" s="36"/>
      <c r="HD264" s="36"/>
      <c r="HE264" s="36"/>
      <c r="HF264" s="36"/>
      <c r="HG264" s="36"/>
      <c r="HH264" s="36"/>
      <c r="HI264" s="36"/>
      <c r="HJ264" s="36"/>
      <c r="HK264" s="36"/>
      <c r="HL264" s="36"/>
      <c r="HM264" s="37"/>
      <c r="HN264" s="44"/>
      <c r="HO264" s="36"/>
      <c r="HP264" s="36"/>
      <c r="HQ264" s="36"/>
      <c r="HR264" s="36"/>
      <c r="HS264" s="36"/>
      <c r="HT264" s="36"/>
      <c r="HU264" s="36"/>
      <c r="HV264" s="36"/>
      <c r="HW264" s="36"/>
      <c r="HX264" s="36"/>
      <c r="HY264" s="36"/>
      <c r="HZ264" s="36"/>
      <c r="IA264" s="36"/>
      <c r="IB264" s="36"/>
      <c r="IC264" s="36"/>
      <c r="ID264" s="37"/>
      <c r="IE264" s="44"/>
      <c r="IF264" s="36"/>
      <c r="IG264" s="36"/>
      <c r="IH264" s="36"/>
      <c r="II264" s="36"/>
      <c r="IJ264" s="36"/>
      <c r="IK264" s="36"/>
      <c r="IL264" s="36"/>
      <c r="IM264" s="36"/>
      <c r="IN264" s="36"/>
      <c r="IO264" s="36"/>
      <c r="IP264" s="36"/>
      <c r="IQ264" s="36"/>
      <c r="IR264" s="36"/>
      <c r="IS264" s="36"/>
      <c r="IT264" s="36"/>
      <c r="IU264" s="37"/>
      <c r="IV264" s="44"/>
      <c r="IW264" s="36"/>
      <c r="IX264" s="36"/>
      <c r="IY264" s="36"/>
      <c r="IZ264" s="36"/>
      <c r="JA264" s="36"/>
      <c r="JB264" s="36"/>
      <c r="JC264" s="36"/>
      <c r="JD264" s="36"/>
      <c r="JE264" s="36"/>
      <c r="JF264" s="36"/>
      <c r="JG264" s="36"/>
      <c r="JH264" s="36"/>
      <c r="JI264" s="36"/>
      <c r="JJ264" s="36"/>
      <c r="JK264" s="36"/>
      <c r="JL264" s="37"/>
      <c r="JM264" s="44"/>
      <c r="JN264" s="36"/>
      <c r="JO264" s="36"/>
      <c r="JP264" s="36"/>
      <c r="JQ264" s="36"/>
      <c r="JR264" s="36"/>
      <c r="JS264" s="36"/>
      <c r="JT264" s="36"/>
      <c r="JU264" s="36"/>
      <c r="JV264" s="36"/>
      <c r="JW264" s="36"/>
      <c r="JX264" s="36"/>
      <c r="JY264" s="36"/>
      <c r="JZ264" s="36"/>
      <c r="KA264" s="36"/>
      <c r="KB264" s="36"/>
      <c r="KC264" s="37"/>
      <c r="KD264" s="44"/>
      <c r="KE264" s="36"/>
      <c r="KF264" s="36"/>
      <c r="KG264" s="36"/>
      <c r="KH264" s="36"/>
      <c r="KI264" s="36"/>
      <c r="KJ264" s="36"/>
      <c r="KK264" s="36"/>
      <c r="KL264" s="36"/>
      <c r="KM264" s="36"/>
      <c r="KN264" s="36"/>
      <c r="KO264" s="36"/>
      <c r="KP264" s="36"/>
      <c r="KQ264" s="36"/>
      <c r="KR264" s="36"/>
      <c r="KS264" s="36"/>
      <c r="KT264" s="37"/>
      <c r="KU264" s="36"/>
    </row>
    <row r="265" ht="15.0" customHeight="1">
      <c r="A265" s="44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7"/>
      <c r="R265" s="44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7"/>
      <c r="AI265" s="44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  <c r="AU265" s="36"/>
      <c r="AV265" s="36"/>
      <c r="AW265" s="36"/>
      <c r="AX265" s="36"/>
      <c r="AY265" s="37"/>
      <c r="AZ265" s="44"/>
      <c r="BA265" s="36"/>
      <c r="BB265" s="36"/>
      <c r="BC265" s="36"/>
      <c r="BD265" s="36"/>
      <c r="BE265" s="36"/>
      <c r="BF265" s="36"/>
      <c r="BG265" s="36"/>
      <c r="BH265" s="36"/>
      <c r="BI265" s="36"/>
      <c r="BJ265" s="36"/>
      <c r="BK265" s="36"/>
      <c r="BL265" s="36"/>
      <c r="BM265" s="36"/>
      <c r="BN265" s="36"/>
      <c r="BO265" s="36"/>
      <c r="BP265" s="37"/>
      <c r="BQ265" s="44"/>
      <c r="BR265" s="36"/>
      <c r="BS265" s="36"/>
      <c r="BT265" s="36"/>
      <c r="BU265" s="36"/>
      <c r="BV265" s="36"/>
      <c r="BW265" s="36"/>
      <c r="BX265" s="36"/>
      <c r="BY265" s="36"/>
      <c r="BZ265" s="36"/>
      <c r="CA265" s="36"/>
      <c r="CB265" s="36"/>
      <c r="CC265" s="36"/>
      <c r="CD265" s="36"/>
      <c r="CE265" s="36"/>
      <c r="CF265" s="36"/>
      <c r="CG265" s="37"/>
      <c r="CH265" s="44"/>
      <c r="CI265" s="36"/>
      <c r="CJ265" s="36"/>
      <c r="CK265" s="36"/>
      <c r="CL265" s="36"/>
      <c r="CM265" s="36"/>
      <c r="CN265" s="36"/>
      <c r="CO265" s="36"/>
      <c r="CP265" s="36"/>
      <c r="CQ265" s="36"/>
      <c r="CR265" s="36"/>
      <c r="CS265" s="36"/>
      <c r="CT265" s="36"/>
      <c r="CU265" s="36"/>
      <c r="CV265" s="36"/>
      <c r="CW265" s="36"/>
      <c r="CX265" s="37"/>
      <c r="CY265" s="44"/>
      <c r="CZ265" s="36"/>
      <c r="DA265" s="36"/>
      <c r="DB265" s="36"/>
      <c r="DC265" s="36"/>
      <c r="DD265" s="36"/>
      <c r="DE265" s="36"/>
      <c r="DF265" s="36"/>
      <c r="DG265" s="36"/>
      <c r="DH265" s="36"/>
      <c r="DI265" s="36"/>
      <c r="DJ265" s="36"/>
      <c r="DK265" s="36"/>
      <c r="DL265" s="36"/>
      <c r="DM265" s="36"/>
      <c r="DN265" s="36"/>
      <c r="DO265" s="37"/>
      <c r="DP265" s="44"/>
      <c r="DQ265" s="36"/>
      <c r="DR265" s="36"/>
      <c r="DS265" s="36"/>
      <c r="DT265" s="36"/>
      <c r="DU265" s="36"/>
      <c r="DV265" s="36"/>
      <c r="DW265" s="36"/>
      <c r="DX265" s="36"/>
      <c r="DY265" s="36"/>
      <c r="DZ265" s="36"/>
      <c r="EA265" s="36"/>
      <c r="EB265" s="36"/>
      <c r="EC265" s="36"/>
      <c r="ED265" s="36"/>
      <c r="EE265" s="36"/>
      <c r="EF265" s="37"/>
      <c r="EG265" s="44"/>
      <c r="EH265" s="36"/>
      <c r="EI265" s="36"/>
      <c r="EJ265" s="36"/>
      <c r="EK265" s="36"/>
      <c r="EL265" s="36"/>
      <c r="EM265" s="36"/>
      <c r="EN265" s="36"/>
      <c r="EO265" s="36"/>
      <c r="EP265" s="36"/>
      <c r="EQ265" s="36"/>
      <c r="ER265" s="36"/>
      <c r="ES265" s="36"/>
      <c r="ET265" s="36"/>
      <c r="EU265" s="36"/>
      <c r="EV265" s="36"/>
      <c r="EW265" s="37"/>
      <c r="EX265" s="44"/>
      <c r="EY265" s="36"/>
      <c r="EZ265" s="36"/>
      <c r="FA265" s="36"/>
      <c r="FB265" s="36"/>
      <c r="FC265" s="36"/>
      <c r="FD265" s="36"/>
      <c r="FE265" s="36"/>
      <c r="FF265" s="36"/>
      <c r="FG265" s="36"/>
      <c r="FH265" s="36"/>
      <c r="FI265" s="36"/>
      <c r="FJ265" s="36"/>
      <c r="FK265" s="36"/>
      <c r="FL265" s="36"/>
      <c r="FM265" s="36"/>
      <c r="FN265" s="37"/>
      <c r="FO265" s="44"/>
      <c r="FP265" s="36"/>
      <c r="FQ265" s="36"/>
      <c r="FR265" s="36"/>
      <c r="FS265" s="36"/>
      <c r="FT265" s="36"/>
      <c r="FU265" s="36"/>
      <c r="FV265" s="36"/>
      <c r="FW265" s="36"/>
      <c r="FX265" s="36"/>
      <c r="FY265" s="36"/>
      <c r="FZ265" s="36"/>
      <c r="GA265" s="36"/>
      <c r="GB265" s="36"/>
      <c r="GC265" s="36"/>
      <c r="GD265" s="36"/>
      <c r="GE265" s="37"/>
      <c r="GF265" s="44"/>
      <c r="GG265" s="36"/>
      <c r="GH265" s="36"/>
      <c r="GI265" s="36"/>
      <c r="GJ265" s="36"/>
      <c r="GK265" s="36"/>
      <c r="GL265" s="36"/>
      <c r="GM265" s="36"/>
      <c r="GN265" s="36"/>
      <c r="GO265" s="36"/>
      <c r="GP265" s="36"/>
      <c r="GQ265" s="36"/>
      <c r="GR265" s="36"/>
      <c r="GS265" s="36"/>
      <c r="GT265" s="36"/>
      <c r="GU265" s="36"/>
      <c r="GV265" s="37"/>
      <c r="GW265" s="44"/>
      <c r="GX265" s="36"/>
      <c r="GY265" s="36"/>
      <c r="GZ265" s="36"/>
      <c r="HA265" s="36"/>
      <c r="HB265" s="36"/>
      <c r="HC265" s="36"/>
      <c r="HD265" s="36"/>
      <c r="HE265" s="36"/>
      <c r="HF265" s="36"/>
      <c r="HG265" s="36"/>
      <c r="HH265" s="36"/>
      <c r="HI265" s="36"/>
      <c r="HJ265" s="36"/>
      <c r="HK265" s="36"/>
      <c r="HL265" s="36"/>
      <c r="HM265" s="37"/>
      <c r="HN265" s="44"/>
      <c r="HO265" s="36"/>
      <c r="HP265" s="36"/>
      <c r="HQ265" s="36"/>
      <c r="HR265" s="36"/>
      <c r="HS265" s="36"/>
      <c r="HT265" s="36"/>
      <c r="HU265" s="36"/>
      <c r="HV265" s="36"/>
      <c r="HW265" s="36"/>
      <c r="HX265" s="36"/>
      <c r="HY265" s="36"/>
      <c r="HZ265" s="36"/>
      <c r="IA265" s="36"/>
      <c r="IB265" s="36"/>
      <c r="IC265" s="36"/>
      <c r="ID265" s="37"/>
      <c r="IE265" s="44"/>
      <c r="IF265" s="36"/>
      <c r="IG265" s="36"/>
      <c r="IH265" s="36"/>
      <c r="II265" s="36"/>
      <c r="IJ265" s="36"/>
      <c r="IK265" s="36"/>
      <c r="IL265" s="36"/>
      <c r="IM265" s="36"/>
      <c r="IN265" s="36"/>
      <c r="IO265" s="36"/>
      <c r="IP265" s="36"/>
      <c r="IQ265" s="36"/>
      <c r="IR265" s="36"/>
      <c r="IS265" s="36"/>
      <c r="IT265" s="36"/>
      <c r="IU265" s="37"/>
      <c r="IV265" s="44"/>
      <c r="IW265" s="36"/>
      <c r="IX265" s="36"/>
      <c r="IY265" s="36"/>
      <c r="IZ265" s="36"/>
      <c r="JA265" s="36"/>
      <c r="JB265" s="36"/>
      <c r="JC265" s="36"/>
      <c r="JD265" s="36"/>
      <c r="JE265" s="36"/>
      <c r="JF265" s="36"/>
      <c r="JG265" s="36"/>
      <c r="JH265" s="36"/>
      <c r="JI265" s="36"/>
      <c r="JJ265" s="36"/>
      <c r="JK265" s="36"/>
      <c r="JL265" s="37"/>
      <c r="JM265" s="44"/>
      <c r="JN265" s="36"/>
      <c r="JO265" s="36"/>
      <c r="JP265" s="36"/>
      <c r="JQ265" s="36"/>
      <c r="JR265" s="36"/>
      <c r="JS265" s="36"/>
      <c r="JT265" s="36"/>
      <c r="JU265" s="36"/>
      <c r="JV265" s="36"/>
      <c r="JW265" s="36"/>
      <c r="JX265" s="36"/>
      <c r="JY265" s="36"/>
      <c r="JZ265" s="36"/>
      <c r="KA265" s="36"/>
      <c r="KB265" s="36"/>
      <c r="KC265" s="37"/>
      <c r="KD265" s="44"/>
      <c r="KE265" s="36"/>
      <c r="KF265" s="36"/>
      <c r="KG265" s="36"/>
      <c r="KH265" s="36"/>
      <c r="KI265" s="36"/>
      <c r="KJ265" s="36"/>
      <c r="KK265" s="36"/>
      <c r="KL265" s="36"/>
      <c r="KM265" s="36"/>
      <c r="KN265" s="36"/>
      <c r="KO265" s="36"/>
      <c r="KP265" s="36"/>
      <c r="KQ265" s="36"/>
      <c r="KR265" s="36"/>
      <c r="KS265" s="36"/>
      <c r="KT265" s="37"/>
      <c r="KU265" s="36"/>
    </row>
    <row r="266" ht="15.0" customHeight="1">
      <c r="A266" s="44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7"/>
      <c r="R266" s="44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7"/>
      <c r="AI266" s="44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  <c r="AU266" s="36"/>
      <c r="AV266" s="36"/>
      <c r="AW266" s="36"/>
      <c r="AX266" s="36"/>
      <c r="AY266" s="37"/>
      <c r="AZ266" s="44"/>
      <c r="BA266" s="36"/>
      <c r="BB266" s="36"/>
      <c r="BC266" s="36"/>
      <c r="BD266" s="36"/>
      <c r="BE266" s="36"/>
      <c r="BF266" s="36"/>
      <c r="BG266" s="36"/>
      <c r="BH266" s="36"/>
      <c r="BI266" s="36"/>
      <c r="BJ266" s="36"/>
      <c r="BK266" s="36"/>
      <c r="BL266" s="36"/>
      <c r="BM266" s="36"/>
      <c r="BN266" s="36"/>
      <c r="BO266" s="36"/>
      <c r="BP266" s="37"/>
      <c r="BQ266" s="44"/>
      <c r="BR266" s="36"/>
      <c r="BS266" s="36"/>
      <c r="BT266" s="36"/>
      <c r="BU266" s="36"/>
      <c r="BV266" s="36"/>
      <c r="BW266" s="36"/>
      <c r="BX266" s="36"/>
      <c r="BY266" s="36"/>
      <c r="BZ266" s="36"/>
      <c r="CA266" s="36"/>
      <c r="CB266" s="36"/>
      <c r="CC266" s="36"/>
      <c r="CD266" s="36"/>
      <c r="CE266" s="36"/>
      <c r="CF266" s="36"/>
      <c r="CG266" s="37"/>
      <c r="CH266" s="44"/>
      <c r="CI266" s="36"/>
      <c r="CJ266" s="36"/>
      <c r="CK266" s="36"/>
      <c r="CL266" s="36"/>
      <c r="CM266" s="36"/>
      <c r="CN266" s="36"/>
      <c r="CO266" s="36"/>
      <c r="CP266" s="36"/>
      <c r="CQ266" s="36"/>
      <c r="CR266" s="36"/>
      <c r="CS266" s="36"/>
      <c r="CT266" s="36"/>
      <c r="CU266" s="36"/>
      <c r="CV266" s="36"/>
      <c r="CW266" s="36"/>
      <c r="CX266" s="37"/>
      <c r="CY266" s="44"/>
      <c r="CZ266" s="36"/>
      <c r="DA266" s="36"/>
      <c r="DB266" s="36"/>
      <c r="DC266" s="36"/>
      <c r="DD266" s="36"/>
      <c r="DE266" s="36"/>
      <c r="DF266" s="36"/>
      <c r="DG266" s="36"/>
      <c r="DH266" s="36"/>
      <c r="DI266" s="36"/>
      <c r="DJ266" s="36"/>
      <c r="DK266" s="36"/>
      <c r="DL266" s="36"/>
      <c r="DM266" s="36"/>
      <c r="DN266" s="36"/>
      <c r="DO266" s="37"/>
      <c r="DP266" s="44"/>
      <c r="DQ266" s="36"/>
      <c r="DR266" s="36"/>
      <c r="DS266" s="36"/>
      <c r="DT266" s="36"/>
      <c r="DU266" s="36"/>
      <c r="DV266" s="36"/>
      <c r="DW266" s="36"/>
      <c r="DX266" s="36"/>
      <c r="DY266" s="36"/>
      <c r="DZ266" s="36"/>
      <c r="EA266" s="36"/>
      <c r="EB266" s="36"/>
      <c r="EC266" s="36"/>
      <c r="ED266" s="36"/>
      <c r="EE266" s="36"/>
      <c r="EF266" s="37"/>
      <c r="EG266" s="44"/>
      <c r="EH266" s="36"/>
      <c r="EI266" s="36"/>
      <c r="EJ266" s="36"/>
      <c r="EK266" s="36"/>
      <c r="EL266" s="36"/>
      <c r="EM266" s="36"/>
      <c r="EN266" s="36"/>
      <c r="EO266" s="36"/>
      <c r="EP266" s="36"/>
      <c r="EQ266" s="36"/>
      <c r="ER266" s="36"/>
      <c r="ES266" s="36"/>
      <c r="ET266" s="36"/>
      <c r="EU266" s="36"/>
      <c r="EV266" s="36"/>
      <c r="EW266" s="37"/>
      <c r="EX266" s="44"/>
      <c r="EY266" s="36"/>
      <c r="EZ266" s="36"/>
      <c r="FA266" s="36"/>
      <c r="FB266" s="36"/>
      <c r="FC266" s="36"/>
      <c r="FD266" s="36"/>
      <c r="FE266" s="36"/>
      <c r="FF266" s="36"/>
      <c r="FG266" s="36"/>
      <c r="FH266" s="36"/>
      <c r="FI266" s="36"/>
      <c r="FJ266" s="36"/>
      <c r="FK266" s="36"/>
      <c r="FL266" s="36"/>
      <c r="FM266" s="36"/>
      <c r="FN266" s="37"/>
      <c r="FO266" s="44"/>
      <c r="FP266" s="36"/>
      <c r="FQ266" s="36"/>
      <c r="FR266" s="36"/>
      <c r="FS266" s="36"/>
      <c r="FT266" s="36"/>
      <c r="FU266" s="36"/>
      <c r="FV266" s="36"/>
      <c r="FW266" s="36"/>
      <c r="FX266" s="36"/>
      <c r="FY266" s="36"/>
      <c r="FZ266" s="36"/>
      <c r="GA266" s="36"/>
      <c r="GB266" s="36"/>
      <c r="GC266" s="36"/>
      <c r="GD266" s="36"/>
      <c r="GE266" s="37"/>
      <c r="GF266" s="44"/>
      <c r="GG266" s="36"/>
      <c r="GH266" s="36"/>
      <c r="GI266" s="36"/>
      <c r="GJ266" s="36"/>
      <c r="GK266" s="36"/>
      <c r="GL266" s="36"/>
      <c r="GM266" s="36"/>
      <c r="GN266" s="36"/>
      <c r="GO266" s="36"/>
      <c r="GP266" s="36"/>
      <c r="GQ266" s="36"/>
      <c r="GR266" s="36"/>
      <c r="GS266" s="36"/>
      <c r="GT266" s="36"/>
      <c r="GU266" s="36"/>
      <c r="GV266" s="37"/>
      <c r="GW266" s="44"/>
      <c r="GX266" s="36"/>
      <c r="GY266" s="36"/>
      <c r="GZ266" s="36"/>
      <c r="HA266" s="36"/>
      <c r="HB266" s="36"/>
      <c r="HC266" s="36"/>
      <c r="HD266" s="36"/>
      <c r="HE266" s="36"/>
      <c r="HF266" s="36"/>
      <c r="HG266" s="36"/>
      <c r="HH266" s="36"/>
      <c r="HI266" s="36"/>
      <c r="HJ266" s="36"/>
      <c r="HK266" s="36"/>
      <c r="HL266" s="36"/>
      <c r="HM266" s="37"/>
      <c r="HN266" s="44"/>
      <c r="HO266" s="36"/>
      <c r="HP266" s="36"/>
      <c r="HQ266" s="36"/>
      <c r="HR266" s="36"/>
      <c r="HS266" s="36"/>
      <c r="HT266" s="36"/>
      <c r="HU266" s="36"/>
      <c r="HV266" s="36"/>
      <c r="HW266" s="36"/>
      <c r="HX266" s="36"/>
      <c r="HY266" s="36"/>
      <c r="HZ266" s="36"/>
      <c r="IA266" s="36"/>
      <c r="IB266" s="36"/>
      <c r="IC266" s="36"/>
      <c r="ID266" s="37"/>
      <c r="IE266" s="44"/>
      <c r="IF266" s="36"/>
      <c r="IG266" s="36"/>
      <c r="IH266" s="36"/>
      <c r="II266" s="36"/>
      <c r="IJ266" s="36"/>
      <c r="IK266" s="36"/>
      <c r="IL266" s="36"/>
      <c r="IM266" s="36"/>
      <c r="IN266" s="36"/>
      <c r="IO266" s="36"/>
      <c r="IP266" s="36"/>
      <c r="IQ266" s="36"/>
      <c r="IR266" s="36"/>
      <c r="IS266" s="36"/>
      <c r="IT266" s="36"/>
      <c r="IU266" s="37"/>
      <c r="IV266" s="44"/>
      <c r="IW266" s="36"/>
      <c r="IX266" s="36"/>
      <c r="IY266" s="36"/>
      <c r="IZ266" s="36"/>
      <c r="JA266" s="36"/>
      <c r="JB266" s="36"/>
      <c r="JC266" s="36"/>
      <c r="JD266" s="36"/>
      <c r="JE266" s="36"/>
      <c r="JF266" s="36"/>
      <c r="JG266" s="36"/>
      <c r="JH266" s="36"/>
      <c r="JI266" s="36"/>
      <c r="JJ266" s="36"/>
      <c r="JK266" s="36"/>
      <c r="JL266" s="37"/>
      <c r="JM266" s="44"/>
      <c r="JN266" s="36"/>
      <c r="JO266" s="36"/>
      <c r="JP266" s="36"/>
      <c r="JQ266" s="36"/>
      <c r="JR266" s="36"/>
      <c r="JS266" s="36"/>
      <c r="JT266" s="36"/>
      <c r="JU266" s="36"/>
      <c r="JV266" s="36"/>
      <c r="JW266" s="36"/>
      <c r="JX266" s="36"/>
      <c r="JY266" s="36"/>
      <c r="JZ266" s="36"/>
      <c r="KA266" s="36"/>
      <c r="KB266" s="36"/>
      <c r="KC266" s="37"/>
      <c r="KD266" s="44"/>
      <c r="KE266" s="36"/>
      <c r="KF266" s="36"/>
      <c r="KG266" s="36"/>
      <c r="KH266" s="36"/>
      <c r="KI266" s="36"/>
      <c r="KJ266" s="36"/>
      <c r="KK266" s="36"/>
      <c r="KL266" s="36"/>
      <c r="KM266" s="36"/>
      <c r="KN266" s="36"/>
      <c r="KO266" s="36"/>
      <c r="KP266" s="36"/>
      <c r="KQ266" s="36"/>
      <c r="KR266" s="36"/>
      <c r="KS266" s="36"/>
      <c r="KT266" s="37"/>
      <c r="KU266" s="36"/>
    </row>
    <row r="267" ht="15.0" customHeight="1">
      <c r="A267" s="44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7"/>
      <c r="R267" s="44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7"/>
      <c r="AI267" s="44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  <c r="AU267" s="36"/>
      <c r="AV267" s="36"/>
      <c r="AW267" s="36"/>
      <c r="AX267" s="36"/>
      <c r="AY267" s="37"/>
      <c r="AZ267" s="44"/>
      <c r="BA267" s="36"/>
      <c r="BB267" s="36"/>
      <c r="BC267" s="36"/>
      <c r="BD267" s="36"/>
      <c r="BE267" s="36"/>
      <c r="BF267" s="36"/>
      <c r="BG267" s="36"/>
      <c r="BH267" s="36"/>
      <c r="BI267" s="36"/>
      <c r="BJ267" s="36"/>
      <c r="BK267" s="36"/>
      <c r="BL267" s="36"/>
      <c r="BM267" s="36"/>
      <c r="BN267" s="36"/>
      <c r="BO267" s="36"/>
      <c r="BP267" s="37"/>
      <c r="BQ267" s="44"/>
      <c r="BR267" s="36"/>
      <c r="BS267" s="36"/>
      <c r="BT267" s="36"/>
      <c r="BU267" s="36"/>
      <c r="BV267" s="36"/>
      <c r="BW267" s="36"/>
      <c r="BX267" s="36"/>
      <c r="BY267" s="36"/>
      <c r="BZ267" s="36"/>
      <c r="CA267" s="36"/>
      <c r="CB267" s="36"/>
      <c r="CC267" s="36"/>
      <c r="CD267" s="36"/>
      <c r="CE267" s="36"/>
      <c r="CF267" s="36"/>
      <c r="CG267" s="37"/>
      <c r="CH267" s="44"/>
      <c r="CI267" s="36"/>
      <c r="CJ267" s="36"/>
      <c r="CK267" s="36"/>
      <c r="CL267" s="36"/>
      <c r="CM267" s="36"/>
      <c r="CN267" s="36"/>
      <c r="CO267" s="36"/>
      <c r="CP267" s="36"/>
      <c r="CQ267" s="36"/>
      <c r="CR267" s="36"/>
      <c r="CS267" s="36"/>
      <c r="CT267" s="36"/>
      <c r="CU267" s="36"/>
      <c r="CV267" s="36"/>
      <c r="CW267" s="36"/>
      <c r="CX267" s="37"/>
      <c r="CY267" s="44"/>
      <c r="CZ267" s="36"/>
      <c r="DA267" s="36"/>
      <c r="DB267" s="36"/>
      <c r="DC267" s="36"/>
      <c r="DD267" s="36"/>
      <c r="DE267" s="36"/>
      <c r="DF267" s="36"/>
      <c r="DG267" s="36"/>
      <c r="DH267" s="36"/>
      <c r="DI267" s="36"/>
      <c r="DJ267" s="36"/>
      <c r="DK267" s="36"/>
      <c r="DL267" s="36"/>
      <c r="DM267" s="36"/>
      <c r="DN267" s="36"/>
      <c r="DO267" s="37"/>
      <c r="DP267" s="44"/>
      <c r="DQ267" s="36"/>
      <c r="DR267" s="36"/>
      <c r="DS267" s="36"/>
      <c r="DT267" s="36"/>
      <c r="DU267" s="36"/>
      <c r="DV267" s="36"/>
      <c r="DW267" s="36"/>
      <c r="DX267" s="36"/>
      <c r="DY267" s="36"/>
      <c r="DZ267" s="36"/>
      <c r="EA267" s="36"/>
      <c r="EB267" s="36"/>
      <c r="EC267" s="36"/>
      <c r="ED267" s="36"/>
      <c r="EE267" s="36"/>
      <c r="EF267" s="37"/>
      <c r="EG267" s="44"/>
      <c r="EH267" s="36"/>
      <c r="EI267" s="36"/>
      <c r="EJ267" s="36"/>
      <c r="EK267" s="36"/>
      <c r="EL267" s="36"/>
      <c r="EM267" s="36"/>
      <c r="EN267" s="36"/>
      <c r="EO267" s="36"/>
      <c r="EP267" s="36"/>
      <c r="EQ267" s="36"/>
      <c r="ER267" s="36"/>
      <c r="ES267" s="36"/>
      <c r="ET267" s="36"/>
      <c r="EU267" s="36"/>
      <c r="EV267" s="36"/>
      <c r="EW267" s="37"/>
      <c r="EX267" s="44"/>
      <c r="EY267" s="36"/>
      <c r="EZ267" s="36"/>
      <c r="FA267" s="36"/>
      <c r="FB267" s="36"/>
      <c r="FC267" s="36"/>
      <c r="FD267" s="36"/>
      <c r="FE267" s="36"/>
      <c r="FF267" s="36"/>
      <c r="FG267" s="36"/>
      <c r="FH267" s="36"/>
      <c r="FI267" s="36"/>
      <c r="FJ267" s="36"/>
      <c r="FK267" s="36"/>
      <c r="FL267" s="36"/>
      <c r="FM267" s="36"/>
      <c r="FN267" s="37"/>
      <c r="FO267" s="44"/>
      <c r="FP267" s="36"/>
      <c r="FQ267" s="36"/>
      <c r="FR267" s="36"/>
      <c r="FS267" s="36"/>
      <c r="FT267" s="36"/>
      <c r="FU267" s="36"/>
      <c r="FV267" s="36"/>
      <c r="FW267" s="36"/>
      <c r="FX267" s="36"/>
      <c r="FY267" s="36"/>
      <c r="FZ267" s="36"/>
      <c r="GA267" s="36"/>
      <c r="GB267" s="36"/>
      <c r="GC267" s="36"/>
      <c r="GD267" s="36"/>
      <c r="GE267" s="37"/>
      <c r="GF267" s="44"/>
      <c r="GG267" s="36"/>
      <c r="GH267" s="36"/>
      <c r="GI267" s="36"/>
      <c r="GJ267" s="36"/>
      <c r="GK267" s="36"/>
      <c r="GL267" s="36"/>
      <c r="GM267" s="36"/>
      <c r="GN267" s="36"/>
      <c r="GO267" s="36"/>
      <c r="GP267" s="36"/>
      <c r="GQ267" s="36"/>
      <c r="GR267" s="36"/>
      <c r="GS267" s="36"/>
      <c r="GT267" s="36"/>
      <c r="GU267" s="36"/>
      <c r="GV267" s="37"/>
      <c r="GW267" s="44"/>
      <c r="GX267" s="36"/>
      <c r="GY267" s="36"/>
      <c r="GZ267" s="36"/>
      <c r="HA267" s="36"/>
      <c r="HB267" s="36"/>
      <c r="HC267" s="36"/>
      <c r="HD267" s="36"/>
      <c r="HE267" s="36"/>
      <c r="HF267" s="36"/>
      <c r="HG267" s="36"/>
      <c r="HH267" s="36"/>
      <c r="HI267" s="36"/>
      <c r="HJ267" s="36"/>
      <c r="HK267" s="36"/>
      <c r="HL267" s="36"/>
      <c r="HM267" s="37"/>
      <c r="HN267" s="44"/>
      <c r="HO267" s="36"/>
      <c r="HP267" s="36"/>
      <c r="HQ267" s="36"/>
      <c r="HR267" s="36"/>
      <c r="HS267" s="36"/>
      <c r="HT267" s="36"/>
      <c r="HU267" s="36"/>
      <c r="HV267" s="36"/>
      <c r="HW267" s="36"/>
      <c r="HX267" s="36"/>
      <c r="HY267" s="36"/>
      <c r="HZ267" s="36"/>
      <c r="IA267" s="36"/>
      <c r="IB267" s="36"/>
      <c r="IC267" s="36"/>
      <c r="ID267" s="37"/>
      <c r="IE267" s="44"/>
      <c r="IF267" s="36"/>
      <c r="IG267" s="36"/>
      <c r="IH267" s="36"/>
      <c r="II267" s="36"/>
      <c r="IJ267" s="36"/>
      <c r="IK267" s="36"/>
      <c r="IL267" s="36"/>
      <c r="IM267" s="36"/>
      <c r="IN267" s="36"/>
      <c r="IO267" s="36"/>
      <c r="IP267" s="36"/>
      <c r="IQ267" s="36"/>
      <c r="IR267" s="36"/>
      <c r="IS267" s="36"/>
      <c r="IT267" s="36"/>
      <c r="IU267" s="37"/>
      <c r="IV267" s="44"/>
      <c r="IW267" s="36"/>
      <c r="IX267" s="36"/>
      <c r="IY267" s="36"/>
      <c r="IZ267" s="36"/>
      <c r="JA267" s="36"/>
      <c r="JB267" s="36"/>
      <c r="JC267" s="36"/>
      <c r="JD267" s="36"/>
      <c r="JE267" s="36"/>
      <c r="JF267" s="36"/>
      <c r="JG267" s="36"/>
      <c r="JH267" s="36"/>
      <c r="JI267" s="36"/>
      <c r="JJ267" s="36"/>
      <c r="JK267" s="36"/>
      <c r="JL267" s="37"/>
      <c r="JM267" s="44"/>
      <c r="JN267" s="36"/>
      <c r="JO267" s="36"/>
      <c r="JP267" s="36"/>
      <c r="JQ267" s="36"/>
      <c r="JR267" s="36"/>
      <c r="JS267" s="36"/>
      <c r="JT267" s="36"/>
      <c r="JU267" s="36"/>
      <c r="JV267" s="36"/>
      <c r="JW267" s="36"/>
      <c r="JX267" s="36"/>
      <c r="JY267" s="36"/>
      <c r="JZ267" s="36"/>
      <c r="KA267" s="36"/>
      <c r="KB267" s="36"/>
      <c r="KC267" s="37"/>
      <c r="KD267" s="44"/>
      <c r="KE267" s="36"/>
      <c r="KF267" s="36"/>
      <c r="KG267" s="36"/>
      <c r="KH267" s="36"/>
      <c r="KI267" s="36"/>
      <c r="KJ267" s="36"/>
      <c r="KK267" s="36"/>
      <c r="KL267" s="36"/>
      <c r="KM267" s="36"/>
      <c r="KN267" s="36"/>
      <c r="KO267" s="36"/>
      <c r="KP267" s="36"/>
      <c r="KQ267" s="36"/>
      <c r="KR267" s="36"/>
      <c r="KS267" s="36"/>
      <c r="KT267" s="37"/>
      <c r="KU267" s="36"/>
    </row>
    <row r="268" ht="15.0" customHeight="1">
      <c r="A268" s="44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7"/>
      <c r="R268" s="44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7"/>
      <c r="AI268" s="44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  <c r="AU268" s="36"/>
      <c r="AV268" s="36"/>
      <c r="AW268" s="36"/>
      <c r="AX268" s="36"/>
      <c r="AY268" s="37"/>
      <c r="AZ268" s="44"/>
      <c r="BA268" s="36"/>
      <c r="BB268" s="36"/>
      <c r="BC268" s="36"/>
      <c r="BD268" s="36"/>
      <c r="BE268" s="36"/>
      <c r="BF268" s="36"/>
      <c r="BG268" s="36"/>
      <c r="BH268" s="36"/>
      <c r="BI268" s="36"/>
      <c r="BJ268" s="36"/>
      <c r="BK268" s="36"/>
      <c r="BL268" s="36"/>
      <c r="BM268" s="36"/>
      <c r="BN268" s="36"/>
      <c r="BO268" s="36"/>
      <c r="BP268" s="37"/>
      <c r="BQ268" s="44"/>
      <c r="BR268" s="36"/>
      <c r="BS268" s="36"/>
      <c r="BT268" s="36"/>
      <c r="BU268" s="36"/>
      <c r="BV268" s="36"/>
      <c r="BW268" s="36"/>
      <c r="BX268" s="36"/>
      <c r="BY268" s="36"/>
      <c r="BZ268" s="36"/>
      <c r="CA268" s="36"/>
      <c r="CB268" s="36"/>
      <c r="CC268" s="36"/>
      <c r="CD268" s="36"/>
      <c r="CE268" s="36"/>
      <c r="CF268" s="36"/>
      <c r="CG268" s="37"/>
      <c r="CH268" s="44"/>
      <c r="CI268" s="36"/>
      <c r="CJ268" s="36"/>
      <c r="CK268" s="36"/>
      <c r="CL268" s="36"/>
      <c r="CM268" s="36"/>
      <c r="CN268" s="36"/>
      <c r="CO268" s="36"/>
      <c r="CP268" s="36"/>
      <c r="CQ268" s="36"/>
      <c r="CR268" s="36"/>
      <c r="CS268" s="36"/>
      <c r="CT268" s="36"/>
      <c r="CU268" s="36"/>
      <c r="CV268" s="36"/>
      <c r="CW268" s="36"/>
      <c r="CX268" s="37"/>
      <c r="CY268" s="44"/>
      <c r="CZ268" s="36"/>
      <c r="DA268" s="36"/>
      <c r="DB268" s="36"/>
      <c r="DC268" s="36"/>
      <c r="DD268" s="36"/>
      <c r="DE268" s="36"/>
      <c r="DF268" s="36"/>
      <c r="DG268" s="36"/>
      <c r="DH268" s="36"/>
      <c r="DI268" s="36"/>
      <c r="DJ268" s="36"/>
      <c r="DK268" s="36"/>
      <c r="DL268" s="36"/>
      <c r="DM268" s="36"/>
      <c r="DN268" s="36"/>
      <c r="DO268" s="37"/>
      <c r="DP268" s="44"/>
      <c r="DQ268" s="36"/>
      <c r="DR268" s="36"/>
      <c r="DS268" s="36"/>
      <c r="DT268" s="36"/>
      <c r="DU268" s="36"/>
      <c r="DV268" s="36"/>
      <c r="DW268" s="36"/>
      <c r="DX268" s="36"/>
      <c r="DY268" s="36"/>
      <c r="DZ268" s="36"/>
      <c r="EA268" s="36"/>
      <c r="EB268" s="36"/>
      <c r="EC268" s="36"/>
      <c r="ED268" s="36"/>
      <c r="EE268" s="36"/>
      <c r="EF268" s="37"/>
      <c r="EG268" s="44"/>
      <c r="EH268" s="36"/>
      <c r="EI268" s="36"/>
      <c r="EJ268" s="36"/>
      <c r="EK268" s="36"/>
      <c r="EL268" s="36"/>
      <c r="EM268" s="36"/>
      <c r="EN268" s="36"/>
      <c r="EO268" s="36"/>
      <c r="EP268" s="36"/>
      <c r="EQ268" s="36"/>
      <c r="ER268" s="36"/>
      <c r="ES268" s="36"/>
      <c r="ET268" s="36"/>
      <c r="EU268" s="36"/>
      <c r="EV268" s="36"/>
      <c r="EW268" s="37"/>
      <c r="EX268" s="44"/>
      <c r="EY268" s="36"/>
      <c r="EZ268" s="36"/>
      <c r="FA268" s="36"/>
      <c r="FB268" s="36"/>
      <c r="FC268" s="36"/>
      <c r="FD268" s="36"/>
      <c r="FE268" s="36"/>
      <c r="FF268" s="36"/>
      <c r="FG268" s="36"/>
      <c r="FH268" s="36"/>
      <c r="FI268" s="36"/>
      <c r="FJ268" s="36"/>
      <c r="FK268" s="36"/>
      <c r="FL268" s="36"/>
      <c r="FM268" s="36"/>
      <c r="FN268" s="37"/>
      <c r="FO268" s="44"/>
      <c r="FP268" s="36"/>
      <c r="FQ268" s="36"/>
      <c r="FR268" s="36"/>
      <c r="FS268" s="36"/>
      <c r="FT268" s="36"/>
      <c r="FU268" s="36"/>
      <c r="FV268" s="36"/>
      <c r="FW268" s="36"/>
      <c r="FX268" s="36"/>
      <c r="FY268" s="36"/>
      <c r="FZ268" s="36"/>
      <c r="GA268" s="36"/>
      <c r="GB268" s="36"/>
      <c r="GC268" s="36"/>
      <c r="GD268" s="36"/>
      <c r="GE268" s="37"/>
      <c r="GF268" s="44"/>
      <c r="GG268" s="36"/>
      <c r="GH268" s="36"/>
      <c r="GI268" s="36"/>
      <c r="GJ268" s="36"/>
      <c r="GK268" s="36"/>
      <c r="GL268" s="36"/>
      <c r="GM268" s="36"/>
      <c r="GN268" s="36"/>
      <c r="GO268" s="36"/>
      <c r="GP268" s="36"/>
      <c r="GQ268" s="36"/>
      <c r="GR268" s="36"/>
      <c r="GS268" s="36"/>
      <c r="GT268" s="36"/>
      <c r="GU268" s="36"/>
      <c r="GV268" s="37"/>
      <c r="GW268" s="44"/>
      <c r="GX268" s="36"/>
      <c r="GY268" s="36"/>
      <c r="GZ268" s="36"/>
      <c r="HA268" s="36"/>
      <c r="HB268" s="36"/>
      <c r="HC268" s="36"/>
      <c r="HD268" s="36"/>
      <c r="HE268" s="36"/>
      <c r="HF268" s="36"/>
      <c r="HG268" s="36"/>
      <c r="HH268" s="36"/>
      <c r="HI268" s="36"/>
      <c r="HJ268" s="36"/>
      <c r="HK268" s="36"/>
      <c r="HL268" s="36"/>
      <c r="HM268" s="37"/>
      <c r="HN268" s="44"/>
      <c r="HO268" s="36"/>
      <c r="HP268" s="36"/>
      <c r="HQ268" s="36"/>
      <c r="HR268" s="36"/>
      <c r="HS268" s="36"/>
      <c r="HT268" s="36"/>
      <c r="HU268" s="36"/>
      <c r="HV268" s="36"/>
      <c r="HW268" s="36"/>
      <c r="HX268" s="36"/>
      <c r="HY268" s="36"/>
      <c r="HZ268" s="36"/>
      <c r="IA268" s="36"/>
      <c r="IB268" s="36"/>
      <c r="IC268" s="36"/>
      <c r="ID268" s="37"/>
      <c r="IE268" s="44"/>
      <c r="IF268" s="36"/>
      <c r="IG268" s="36"/>
      <c r="IH268" s="36"/>
      <c r="II268" s="36"/>
      <c r="IJ268" s="36"/>
      <c r="IK268" s="36"/>
      <c r="IL268" s="36"/>
      <c r="IM268" s="36"/>
      <c r="IN268" s="36"/>
      <c r="IO268" s="36"/>
      <c r="IP268" s="36"/>
      <c r="IQ268" s="36"/>
      <c r="IR268" s="36"/>
      <c r="IS268" s="36"/>
      <c r="IT268" s="36"/>
      <c r="IU268" s="37"/>
      <c r="IV268" s="44"/>
      <c r="IW268" s="36"/>
      <c r="IX268" s="36"/>
      <c r="IY268" s="36"/>
      <c r="IZ268" s="36"/>
      <c r="JA268" s="36"/>
      <c r="JB268" s="36"/>
      <c r="JC268" s="36"/>
      <c r="JD268" s="36"/>
      <c r="JE268" s="36"/>
      <c r="JF268" s="36"/>
      <c r="JG268" s="36"/>
      <c r="JH268" s="36"/>
      <c r="JI268" s="36"/>
      <c r="JJ268" s="36"/>
      <c r="JK268" s="36"/>
      <c r="JL268" s="37"/>
      <c r="JM268" s="44"/>
      <c r="JN268" s="36"/>
      <c r="JO268" s="36"/>
      <c r="JP268" s="36"/>
      <c r="JQ268" s="36"/>
      <c r="JR268" s="36"/>
      <c r="JS268" s="36"/>
      <c r="JT268" s="36"/>
      <c r="JU268" s="36"/>
      <c r="JV268" s="36"/>
      <c r="JW268" s="36"/>
      <c r="JX268" s="36"/>
      <c r="JY268" s="36"/>
      <c r="JZ268" s="36"/>
      <c r="KA268" s="36"/>
      <c r="KB268" s="36"/>
      <c r="KC268" s="37"/>
      <c r="KD268" s="44"/>
      <c r="KE268" s="36"/>
      <c r="KF268" s="36"/>
      <c r="KG268" s="36"/>
      <c r="KH268" s="36"/>
      <c r="KI268" s="36"/>
      <c r="KJ268" s="36"/>
      <c r="KK268" s="36"/>
      <c r="KL268" s="36"/>
      <c r="KM268" s="36"/>
      <c r="KN268" s="36"/>
      <c r="KO268" s="36"/>
      <c r="KP268" s="36"/>
      <c r="KQ268" s="36"/>
      <c r="KR268" s="36"/>
      <c r="KS268" s="36"/>
      <c r="KT268" s="37"/>
      <c r="KU268" s="36"/>
    </row>
    <row r="269" ht="15.0" customHeight="1">
      <c r="A269" s="44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7"/>
      <c r="R269" s="44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7"/>
      <c r="AI269" s="44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  <c r="AU269" s="36"/>
      <c r="AV269" s="36"/>
      <c r="AW269" s="36"/>
      <c r="AX269" s="36"/>
      <c r="AY269" s="37"/>
      <c r="AZ269" s="44"/>
      <c r="BA269" s="36"/>
      <c r="BB269" s="36"/>
      <c r="BC269" s="36"/>
      <c r="BD269" s="36"/>
      <c r="BE269" s="36"/>
      <c r="BF269" s="36"/>
      <c r="BG269" s="36"/>
      <c r="BH269" s="36"/>
      <c r="BI269" s="36"/>
      <c r="BJ269" s="36"/>
      <c r="BK269" s="36"/>
      <c r="BL269" s="36"/>
      <c r="BM269" s="36"/>
      <c r="BN269" s="36"/>
      <c r="BO269" s="36"/>
      <c r="BP269" s="37"/>
      <c r="BQ269" s="44"/>
      <c r="BR269" s="36"/>
      <c r="BS269" s="36"/>
      <c r="BT269" s="36"/>
      <c r="BU269" s="36"/>
      <c r="BV269" s="36"/>
      <c r="BW269" s="36"/>
      <c r="BX269" s="36"/>
      <c r="BY269" s="36"/>
      <c r="BZ269" s="36"/>
      <c r="CA269" s="36"/>
      <c r="CB269" s="36"/>
      <c r="CC269" s="36"/>
      <c r="CD269" s="36"/>
      <c r="CE269" s="36"/>
      <c r="CF269" s="36"/>
      <c r="CG269" s="37"/>
      <c r="CH269" s="44"/>
      <c r="CI269" s="36"/>
      <c r="CJ269" s="36"/>
      <c r="CK269" s="36"/>
      <c r="CL269" s="36"/>
      <c r="CM269" s="36"/>
      <c r="CN269" s="36"/>
      <c r="CO269" s="36"/>
      <c r="CP269" s="36"/>
      <c r="CQ269" s="36"/>
      <c r="CR269" s="36"/>
      <c r="CS269" s="36"/>
      <c r="CT269" s="36"/>
      <c r="CU269" s="36"/>
      <c r="CV269" s="36"/>
      <c r="CW269" s="36"/>
      <c r="CX269" s="37"/>
      <c r="CY269" s="44"/>
      <c r="CZ269" s="36"/>
      <c r="DA269" s="36"/>
      <c r="DB269" s="36"/>
      <c r="DC269" s="36"/>
      <c r="DD269" s="36"/>
      <c r="DE269" s="36"/>
      <c r="DF269" s="36"/>
      <c r="DG269" s="36"/>
      <c r="DH269" s="36"/>
      <c r="DI269" s="36"/>
      <c r="DJ269" s="36"/>
      <c r="DK269" s="36"/>
      <c r="DL269" s="36"/>
      <c r="DM269" s="36"/>
      <c r="DN269" s="36"/>
      <c r="DO269" s="37"/>
      <c r="DP269" s="44"/>
      <c r="DQ269" s="36"/>
      <c r="DR269" s="36"/>
      <c r="DS269" s="36"/>
      <c r="DT269" s="36"/>
      <c r="DU269" s="36"/>
      <c r="DV269" s="36"/>
      <c r="DW269" s="36"/>
      <c r="DX269" s="36"/>
      <c r="DY269" s="36"/>
      <c r="DZ269" s="36"/>
      <c r="EA269" s="36"/>
      <c r="EB269" s="36"/>
      <c r="EC269" s="36"/>
      <c r="ED269" s="36"/>
      <c r="EE269" s="36"/>
      <c r="EF269" s="37"/>
      <c r="EG269" s="44"/>
      <c r="EH269" s="36"/>
      <c r="EI269" s="36"/>
      <c r="EJ269" s="36"/>
      <c r="EK269" s="36"/>
      <c r="EL269" s="36"/>
      <c r="EM269" s="36"/>
      <c r="EN269" s="36"/>
      <c r="EO269" s="36"/>
      <c r="EP269" s="36"/>
      <c r="EQ269" s="36"/>
      <c r="ER269" s="36"/>
      <c r="ES269" s="36"/>
      <c r="ET269" s="36"/>
      <c r="EU269" s="36"/>
      <c r="EV269" s="36"/>
      <c r="EW269" s="37"/>
      <c r="EX269" s="44"/>
      <c r="EY269" s="36"/>
      <c r="EZ269" s="36"/>
      <c r="FA269" s="36"/>
      <c r="FB269" s="36"/>
      <c r="FC269" s="36"/>
      <c r="FD269" s="36"/>
      <c r="FE269" s="36"/>
      <c r="FF269" s="36"/>
      <c r="FG269" s="36"/>
      <c r="FH269" s="36"/>
      <c r="FI269" s="36"/>
      <c r="FJ269" s="36"/>
      <c r="FK269" s="36"/>
      <c r="FL269" s="36"/>
      <c r="FM269" s="36"/>
      <c r="FN269" s="37"/>
      <c r="FO269" s="44"/>
      <c r="FP269" s="36"/>
      <c r="FQ269" s="36"/>
      <c r="FR269" s="36"/>
      <c r="FS269" s="36"/>
      <c r="FT269" s="36"/>
      <c r="FU269" s="36"/>
      <c r="FV269" s="36"/>
      <c r="FW269" s="36"/>
      <c r="FX269" s="36"/>
      <c r="FY269" s="36"/>
      <c r="FZ269" s="36"/>
      <c r="GA269" s="36"/>
      <c r="GB269" s="36"/>
      <c r="GC269" s="36"/>
      <c r="GD269" s="36"/>
      <c r="GE269" s="37"/>
      <c r="GF269" s="44"/>
      <c r="GG269" s="36"/>
      <c r="GH269" s="36"/>
      <c r="GI269" s="36"/>
      <c r="GJ269" s="36"/>
      <c r="GK269" s="36"/>
      <c r="GL269" s="36"/>
      <c r="GM269" s="36"/>
      <c r="GN269" s="36"/>
      <c r="GO269" s="36"/>
      <c r="GP269" s="36"/>
      <c r="GQ269" s="36"/>
      <c r="GR269" s="36"/>
      <c r="GS269" s="36"/>
      <c r="GT269" s="36"/>
      <c r="GU269" s="36"/>
      <c r="GV269" s="37"/>
      <c r="GW269" s="44"/>
      <c r="GX269" s="36"/>
      <c r="GY269" s="36"/>
      <c r="GZ269" s="36"/>
      <c r="HA269" s="36"/>
      <c r="HB269" s="36"/>
      <c r="HC269" s="36"/>
      <c r="HD269" s="36"/>
      <c r="HE269" s="36"/>
      <c r="HF269" s="36"/>
      <c r="HG269" s="36"/>
      <c r="HH269" s="36"/>
      <c r="HI269" s="36"/>
      <c r="HJ269" s="36"/>
      <c r="HK269" s="36"/>
      <c r="HL269" s="36"/>
      <c r="HM269" s="37"/>
      <c r="HN269" s="44"/>
      <c r="HO269" s="36"/>
      <c r="HP269" s="36"/>
      <c r="HQ269" s="36"/>
      <c r="HR269" s="36"/>
      <c r="HS269" s="36"/>
      <c r="HT269" s="36"/>
      <c r="HU269" s="36"/>
      <c r="HV269" s="36"/>
      <c r="HW269" s="36"/>
      <c r="HX269" s="36"/>
      <c r="HY269" s="36"/>
      <c r="HZ269" s="36"/>
      <c r="IA269" s="36"/>
      <c r="IB269" s="36"/>
      <c r="IC269" s="36"/>
      <c r="ID269" s="37"/>
      <c r="IE269" s="44"/>
      <c r="IF269" s="36"/>
      <c r="IG269" s="36"/>
      <c r="IH269" s="36"/>
      <c r="II269" s="36"/>
      <c r="IJ269" s="36"/>
      <c r="IK269" s="36"/>
      <c r="IL269" s="36"/>
      <c r="IM269" s="36"/>
      <c r="IN269" s="36"/>
      <c r="IO269" s="36"/>
      <c r="IP269" s="36"/>
      <c r="IQ269" s="36"/>
      <c r="IR269" s="36"/>
      <c r="IS269" s="36"/>
      <c r="IT269" s="36"/>
      <c r="IU269" s="37"/>
      <c r="IV269" s="44"/>
      <c r="IW269" s="36"/>
      <c r="IX269" s="36"/>
      <c r="IY269" s="36"/>
      <c r="IZ269" s="36"/>
      <c r="JA269" s="36"/>
      <c r="JB269" s="36"/>
      <c r="JC269" s="36"/>
      <c r="JD269" s="36"/>
      <c r="JE269" s="36"/>
      <c r="JF269" s="36"/>
      <c r="JG269" s="36"/>
      <c r="JH269" s="36"/>
      <c r="JI269" s="36"/>
      <c r="JJ269" s="36"/>
      <c r="JK269" s="36"/>
      <c r="JL269" s="37"/>
      <c r="JM269" s="44"/>
      <c r="JN269" s="36"/>
      <c r="JO269" s="36"/>
      <c r="JP269" s="36"/>
      <c r="JQ269" s="36"/>
      <c r="JR269" s="36"/>
      <c r="JS269" s="36"/>
      <c r="JT269" s="36"/>
      <c r="JU269" s="36"/>
      <c r="JV269" s="36"/>
      <c r="JW269" s="36"/>
      <c r="JX269" s="36"/>
      <c r="JY269" s="36"/>
      <c r="JZ269" s="36"/>
      <c r="KA269" s="36"/>
      <c r="KB269" s="36"/>
      <c r="KC269" s="37"/>
      <c r="KD269" s="44"/>
      <c r="KE269" s="36"/>
      <c r="KF269" s="36"/>
      <c r="KG269" s="36"/>
      <c r="KH269" s="36"/>
      <c r="KI269" s="36"/>
      <c r="KJ269" s="36"/>
      <c r="KK269" s="36"/>
      <c r="KL269" s="36"/>
      <c r="KM269" s="36"/>
      <c r="KN269" s="36"/>
      <c r="KO269" s="36"/>
      <c r="KP269" s="36"/>
      <c r="KQ269" s="36"/>
      <c r="KR269" s="36"/>
      <c r="KS269" s="36"/>
      <c r="KT269" s="37"/>
      <c r="KU269" s="36"/>
    </row>
    <row r="270" ht="15.0" customHeight="1">
      <c r="A270" s="44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7"/>
      <c r="R270" s="44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7"/>
      <c r="AI270" s="44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  <c r="AU270" s="36"/>
      <c r="AV270" s="36"/>
      <c r="AW270" s="36"/>
      <c r="AX270" s="36"/>
      <c r="AY270" s="37"/>
      <c r="AZ270" s="44"/>
      <c r="BA270" s="36"/>
      <c r="BB270" s="36"/>
      <c r="BC270" s="36"/>
      <c r="BD270" s="36"/>
      <c r="BE270" s="36"/>
      <c r="BF270" s="36"/>
      <c r="BG270" s="36"/>
      <c r="BH270" s="36"/>
      <c r="BI270" s="36"/>
      <c r="BJ270" s="36"/>
      <c r="BK270" s="36"/>
      <c r="BL270" s="36"/>
      <c r="BM270" s="36"/>
      <c r="BN270" s="36"/>
      <c r="BO270" s="36"/>
      <c r="BP270" s="37"/>
      <c r="BQ270" s="44"/>
      <c r="BR270" s="36"/>
      <c r="BS270" s="36"/>
      <c r="BT270" s="36"/>
      <c r="BU270" s="36"/>
      <c r="BV270" s="36"/>
      <c r="BW270" s="36"/>
      <c r="BX270" s="36"/>
      <c r="BY270" s="36"/>
      <c r="BZ270" s="36"/>
      <c r="CA270" s="36"/>
      <c r="CB270" s="36"/>
      <c r="CC270" s="36"/>
      <c r="CD270" s="36"/>
      <c r="CE270" s="36"/>
      <c r="CF270" s="36"/>
      <c r="CG270" s="37"/>
      <c r="CH270" s="44"/>
      <c r="CI270" s="36"/>
      <c r="CJ270" s="36"/>
      <c r="CK270" s="36"/>
      <c r="CL270" s="36"/>
      <c r="CM270" s="36"/>
      <c r="CN270" s="36"/>
      <c r="CO270" s="36"/>
      <c r="CP270" s="36"/>
      <c r="CQ270" s="36"/>
      <c r="CR270" s="36"/>
      <c r="CS270" s="36"/>
      <c r="CT270" s="36"/>
      <c r="CU270" s="36"/>
      <c r="CV270" s="36"/>
      <c r="CW270" s="36"/>
      <c r="CX270" s="37"/>
      <c r="CY270" s="44"/>
      <c r="CZ270" s="36"/>
      <c r="DA270" s="36"/>
      <c r="DB270" s="36"/>
      <c r="DC270" s="36"/>
      <c r="DD270" s="36"/>
      <c r="DE270" s="36"/>
      <c r="DF270" s="36"/>
      <c r="DG270" s="36"/>
      <c r="DH270" s="36"/>
      <c r="DI270" s="36"/>
      <c r="DJ270" s="36"/>
      <c r="DK270" s="36"/>
      <c r="DL270" s="36"/>
      <c r="DM270" s="36"/>
      <c r="DN270" s="36"/>
      <c r="DO270" s="37"/>
      <c r="DP270" s="44"/>
      <c r="DQ270" s="36"/>
      <c r="DR270" s="36"/>
      <c r="DS270" s="36"/>
      <c r="DT270" s="36"/>
      <c r="DU270" s="36"/>
      <c r="DV270" s="36"/>
      <c r="DW270" s="36"/>
      <c r="DX270" s="36"/>
      <c r="DY270" s="36"/>
      <c r="DZ270" s="36"/>
      <c r="EA270" s="36"/>
      <c r="EB270" s="36"/>
      <c r="EC270" s="36"/>
      <c r="ED270" s="36"/>
      <c r="EE270" s="36"/>
      <c r="EF270" s="37"/>
      <c r="EG270" s="44"/>
      <c r="EH270" s="36"/>
      <c r="EI270" s="36"/>
      <c r="EJ270" s="36"/>
      <c r="EK270" s="36"/>
      <c r="EL270" s="36"/>
      <c r="EM270" s="36"/>
      <c r="EN270" s="36"/>
      <c r="EO270" s="36"/>
      <c r="EP270" s="36"/>
      <c r="EQ270" s="36"/>
      <c r="ER270" s="36"/>
      <c r="ES270" s="36"/>
      <c r="ET270" s="36"/>
      <c r="EU270" s="36"/>
      <c r="EV270" s="36"/>
      <c r="EW270" s="37"/>
      <c r="EX270" s="44"/>
      <c r="EY270" s="36"/>
      <c r="EZ270" s="36"/>
      <c r="FA270" s="36"/>
      <c r="FB270" s="36"/>
      <c r="FC270" s="36"/>
      <c r="FD270" s="36"/>
      <c r="FE270" s="36"/>
      <c r="FF270" s="36"/>
      <c r="FG270" s="36"/>
      <c r="FH270" s="36"/>
      <c r="FI270" s="36"/>
      <c r="FJ270" s="36"/>
      <c r="FK270" s="36"/>
      <c r="FL270" s="36"/>
      <c r="FM270" s="36"/>
      <c r="FN270" s="37"/>
      <c r="FO270" s="44"/>
      <c r="FP270" s="36"/>
      <c r="FQ270" s="36"/>
      <c r="FR270" s="36"/>
      <c r="FS270" s="36"/>
      <c r="FT270" s="36"/>
      <c r="FU270" s="36"/>
      <c r="FV270" s="36"/>
      <c r="FW270" s="36"/>
      <c r="FX270" s="36"/>
      <c r="FY270" s="36"/>
      <c r="FZ270" s="36"/>
      <c r="GA270" s="36"/>
      <c r="GB270" s="36"/>
      <c r="GC270" s="36"/>
      <c r="GD270" s="36"/>
      <c r="GE270" s="37"/>
      <c r="GF270" s="44"/>
      <c r="GG270" s="36"/>
      <c r="GH270" s="36"/>
      <c r="GI270" s="36"/>
      <c r="GJ270" s="36"/>
      <c r="GK270" s="36"/>
      <c r="GL270" s="36"/>
      <c r="GM270" s="36"/>
      <c r="GN270" s="36"/>
      <c r="GO270" s="36"/>
      <c r="GP270" s="36"/>
      <c r="GQ270" s="36"/>
      <c r="GR270" s="36"/>
      <c r="GS270" s="36"/>
      <c r="GT270" s="36"/>
      <c r="GU270" s="36"/>
      <c r="GV270" s="37"/>
      <c r="GW270" s="44"/>
      <c r="GX270" s="36"/>
      <c r="GY270" s="36"/>
      <c r="GZ270" s="36"/>
      <c r="HA270" s="36"/>
      <c r="HB270" s="36"/>
      <c r="HC270" s="36"/>
      <c r="HD270" s="36"/>
      <c r="HE270" s="36"/>
      <c r="HF270" s="36"/>
      <c r="HG270" s="36"/>
      <c r="HH270" s="36"/>
      <c r="HI270" s="36"/>
      <c r="HJ270" s="36"/>
      <c r="HK270" s="36"/>
      <c r="HL270" s="36"/>
      <c r="HM270" s="37"/>
      <c r="HN270" s="44"/>
      <c r="HO270" s="36"/>
      <c r="HP270" s="36"/>
      <c r="HQ270" s="36"/>
      <c r="HR270" s="36"/>
      <c r="HS270" s="36"/>
      <c r="HT270" s="36"/>
      <c r="HU270" s="36"/>
      <c r="HV270" s="36"/>
      <c r="HW270" s="36"/>
      <c r="HX270" s="36"/>
      <c r="HY270" s="36"/>
      <c r="HZ270" s="36"/>
      <c r="IA270" s="36"/>
      <c r="IB270" s="36"/>
      <c r="IC270" s="36"/>
      <c r="ID270" s="37"/>
      <c r="IE270" s="44"/>
      <c r="IF270" s="36"/>
      <c r="IG270" s="36"/>
      <c r="IH270" s="36"/>
      <c r="II270" s="36"/>
      <c r="IJ270" s="36"/>
      <c r="IK270" s="36"/>
      <c r="IL270" s="36"/>
      <c r="IM270" s="36"/>
      <c r="IN270" s="36"/>
      <c r="IO270" s="36"/>
      <c r="IP270" s="36"/>
      <c r="IQ270" s="36"/>
      <c r="IR270" s="36"/>
      <c r="IS270" s="36"/>
      <c r="IT270" s="36"/>
      <c r="IU270" s="37"/>
      <c r="IV270" s="44"/>
      <c r="IW270" s="36"/>
      <c r="IX270" s="36"/>
      <c r="IY270" s="36"/>
      <c r="IZ270" s="36"/>
      <c r="JA270" s="36"/>
      <c r="JB270" s="36"/>
      <c r="JC270" s="36"/>
      <c r="JD270" s="36"/>
      <c r="JE270" s="36"/>
      <c r="JF270" s="36"/>
      <c r="JG270" s="36"/>
      <c r="JH270" s="36"/>
      <c r="JI270" s="36"/>
      <c r="JJ270" s="36"/>
      <c r="JK270" s="36"/>
      <c r="JL270" s="37"/>
      <c r="JM270" s="44"/>
      <c r="JN270" s="36"/>
      <c r="JO270" s="36"/>
      <c r="JP270" s="36"/>
      <c r="JQ270" s="36"/>
      <c r="JR270" s="36"/>
      <c r="JS270" s="36"/>
      <c r="JT270" s="36"/>
      <c r="JU270" s="36"/>
      <c r="JV270" s="36"/>
      <c r="JW270" s="36"/>
      <c r="JX270" s="36"/>
      <c r="JY270" s="36"/>
      <c r="JZ270" s="36"/>
      <c r="KA270" s="36"/>
      <c r="KB270" s="36"/>
      <c r="KC270" s="37"/>
      <c r="KD270" s="44"/>
      <c r="KE270" s="36"/>
      <c r="KF270" s="36"/>
      <c r="KG270" s="36"/>
      <c r="KH270" s="36"/>
      <c r="KI270" s="36"/>
      <c r="KJ270" s="36"/>
      <c r="KK270" s="36"/>
      <c r="KL270" s="36"/>
      <c r="KM270" s="36"/>
      <c r="KN270" s="36"/>
      <c r="KO270" s="36"/>
      <c r="KP270" s="36"/>
      <c r="KQ270" s="36"/>
      <c r="KR270" s="36"/>
      <c r="KS270" s="36"/>
      <c r="KT270" s="37"/>
      <c r="KU270" s="36"/>
    </row>
    <row r="271" ht="15.0" customHeight="1">
      <c r="A271" s="44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7"/>
      <c r="R271" s="44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7"/>
      <c r="AI271" s="44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  <c r="AU271" s="36"/>
      <c r="AV271" s="36"/>
      <c r="AW271" s="36"/>
      <c r="AX271" s="36"/>
      <c r="AY271" s="37"/>
      <c r="AZ271" s="44"/>
      <c r="BA271" s="36"/>
      <c r="BB271" s="36"/>
      <c r="BC271" s="36"/>
      <c r="BD271" s="36"/>
      <c r="BE271" s="36"/>
      <c r="BF271" s="36"/>
      <c r="BG271" s="36"/>
      <c r="BH271" s="36"/>
      <c r="BI271" s="36"/>
      <c r="BJ271" s="36"/>
      <c r="BK271" s="36"/>
      <c r="BL271" s="36"/>
      <c r="BM271" s="36"/>
      <c r="BN271" s="36"/>
      <c r="BO271" s="36"/>
      <c r="BP271" s="37"/>
      <c r="BQ271" s="44"/>
      <c r="BR271" s="36"/>
      <c r="BS271" s="36"/>
      <c r="BT271" s="36"/>
      <c r="BU271" s="36"/>
      <c r="BV271" s="36"/>
      <c r="BW271" s="36"/>
      <c r="BX271" s="36"/>
      <c r="BY271" s="36"/>
      <c r="BZ271" s="36"/>
      <c r="CA271" s="36"/>
      <c r="CB271" s="36"/>
      <c r="CC271" s="36"/>
      <c r="CD271" s="36"/>
      <c r="CE271" s="36"/>
      <c r="CF271" s="36"/>
      <c r="CG271" s="37"/>
      <c r="CH271" s="44"/>
      <c r="CI271" s="36"/>
      <c r="CJ271" s="36"/>
      <c r="CK271" s="36"/>
      <c r="CL271" s="36"/>
      <c r="CM271" s="36"/>
      <c r="CN271" s="36"/>
      <c r="CO271" s="36"/>
      <c r="CP271" s="36"/>
      <c r="CQ271" s="36"/>
      <c r="CR271" s="36"/>
      <c r="CS271" s="36"/>
      <c r="CT271" s="36"/>
      <c r="CU271" s="36"/>
      <c r="CV271" s="36"/>
      <c r="CW271" s="36"/>
      <c r="CX271" s="37"/>
      <c r="CY271" s="44"/>
      <c r="CZ271" s="36"/>
      <c r="DA271" s="36"/>
      <c r="DB271" s="36"/>
      <c r="DC271" s="36"/>
      <c r="DD271" s="36"/>
      <c r="DE271" s="36"/>
      <c r="DF271" s="36"/>
      <c r="DG271" s="36"/>
      <c r="DH271" s="36"/>
      <c r="DI271" s="36"/>
      <c r="DJ271" s="36"/>
      <c r="DK271" s="36"/>
      <c r="DL271" s="36"/>
      <c r="DM271" s="36"/>
      <c r="DN271" s="36"/>
      <c r="DO271" s="37"/>
      <c r="DP271" s="44"/>
      <c r="DQ271" s="36"/>
      <c r="DR271" s="36"/>
      <c r="DS271" s="36"/>
      <c r="DT271" s="36"/>
      <c r="DU271" s="36"/>
      <c r="DV271" s="36"/>
      <c r="DW271" s="36"/>
      <c r="DX271" s="36"/>
      <c r="DY271" s="36"/>
      <c r="DZ271" s="36"/>
      <c r="EA271" s="36"/>
      <c r="EB271" s="36"/>
      <c r="EC271" s="36"/>
      <c r="ED271" s="36"/>
      <c r="EE271" s="36"/>
      <c r="EF271" s="37"/>
      <c r="EG271" s="44"/>
      <c r="EH271" s="36"/>
      <c r="EI271" s="36"/>
      <c r="EJ271" s="36"/>
      <c r="EK271" s="36"/>
      <c r="EL271" s="36"/>
      <c r="EM271" s="36"/>
      <c r="EN271" s="36"/>
      <c r="EO271" s="36"/>
      <c r="EP271" s="36"/>
      <c r="EQ271" s="36"/>
      <c r="ER271" s="36"/>
      <c r="ES271" s="36"/>
      <c r="ET271" s="36"/>
      <c r="EU271" s="36"/>
      <c r="EV271" s="36"/>
      <c r="EW271" s="37"/>
      <c r="EX271" s="44"/>
      <c r="EY271" s="36"/>
      <c r="EZ271" s="36"/>
      <c r="FA271" s="36"/>
      <c r="FB271" s="36"/>
      <c r="FC271" s="36"/>
      <c r="FD271" s="36"/>
      <c r="FE271" s="36"/>
      <c r="FF271" s="36"/>
      <c r="FG271" s="36"/>
      <c r="FH271" s="36"/>
      <c r="FI271" s="36"/>
      <c r="FJ271" s="36"/>
      <c r="FK271" s="36"/>
      <c r="FL271" s="36"/>
      <c r="FM271" s="36"/>
      <c r="FN271" s="37"/>
      <c r="FO271" s="44"/>
      <c r="FP271" s="36"/>
      <c r="FQ271" s="36"/>
      <c r="FR271" s="36"/>
      <c r="FS271" s="36"/>
      <c r="FT271" s="36"/>
      <c r="FU271" s="36"/>
      <c r="FV271" s="36"/>
      <c r="FW271" s="36"/>
      <c r="FX271" s="36"/>
      <c r="FY271" s="36"/>
      <c r="FZ271" s="36"/>
      <c r="GA271" s="36"/>
      <c r="GB271" s="36"/>
      <c r="GC271" s="36"/>
      <c r="GD271" s="36"/>
      <c r="GE271" s="37"/>
      <c r="GF271" s="44"/>
      <c r="GG271" s="36"/>
      <c r="GH271" s="36"/>
      <c r="GI271" s="36"/>
      <c r="GJ271" s="36"/>
      <c r="GK271" s="36"/>
      <c r="GL271" s="36"/>
      <c r="GM271" s="36"/>
      <c r="GN271" s="36"/>
      <c r="GO271" s="36"/>
      <c r="GP271" s="36"/>
      <c r="GQ271" s="36"/>
      <c r="GR271" s="36"/>
      <c r="GS271" s="36"/>
      <c r="GT271" s="36"/>
      <c r="GU271" s="36"/>
      <c r="GV271" s="37"/>
      <c r="GW271" s="44"/>
      <c r="GX271" s="36"/>
      <c r="GY271" s="36"/>
      <c r="GZ271" s="36"/>
      <c r="HA271" s="36"/>
      <c r="HB271" s="36"/>
      <c r="HC271" s="36"/>
      <c r="HD271" s="36"/>
      <c r="HE271" s="36"/>
      <c r="HF271" s="36"/>
      <c r="HG271" s="36"/>
      <c r="HH271" s="36"/>
      <c r="HI271" s="36"/>
      <c r="HJ271" s="36"/>
      <c r="HK271" s="36"/>
      <c r="HL271" s="36"/>
      <c r="HM271" s="37"/>
      <c r="HN271" s="44"/>
      <c r="HO271" s="36"/>
      <c r="HP271" s="36"/>
      <c r="HQ271" s="36"/>
      <c r="HR271" s="36"/>
      <c r="HS271" s="36"/>
      <c r="HT271" s="36"/>
      <c r="HU271" s="36"/>
      <c r="HV271" s="36"/>
      <c r="HW271" s="36"/>
      <c r="HX271" s="36"/>
      <c r="HY271" s="36"/>
      <c r="HZ271" s="36"/>
      <c r="IA271" s="36"/>
      <c r="IB271" s="36"/>
      <c r="IC271" s="36"/>
      <c r="ID271" s="37"/>
      <c r="IE271" s="44"/>
      <c r="IF271" s="36"/>
      <c r="IG271" s="36"/>
      <c r="IH271" s="36"/>
      <c r="II271" s="36"/>
      <c r="IJ271" s="36"/>
      <c r="IK271" s="36"/>
      <c r="IL271" s="36"/>
      <c r="IM271" s="36"/>
      <c r="IN271" s="36"/>
      <c r="IO271" s="36"/>
      <c r="IP271" s="36"/>
      <c r="IQ271" s="36"/>
      <c r="IR271" s="36"/>
      <c r="IS271" s="36"/>
      <c r="IT271" s="36"/>
      <c r="IU271" s="37"/>
      <c r="IV271" s="44"/>
      <c r="IW271" s="36"/>
      <c r="IX271" s="36"/>
      <c r="IY271" s="36"/>
      <c r="IZ271" s="36"/>
      <c r="JA271" s="36"/>
      <c r="JB271" s="36"/>
      <c r="JC271" s="36"/>
      <c r="JD271" s="36"/>
      <c r="JE271" s="36"/>
      <c r="JF271" s="36"/>
      <c r="JG271" s="36"/>
      <c r="JH271" s="36"/>
      <c r="JI271" s="36"/>
      <c r="JJ271" s="36"/>
      <c r="JK271" s="36"/>
      <c r="JL271" s="37"/>
      <c r="JM271" s="44"/>
      <c r="JN271" s="36"/>
      <c r="JO271" s="36"/>
      <c r="JP271" s="36"/>
      <c r="JQ271" s="36"/>
      <c r="JR271" s="36"/>
      <c r="JS271" s="36"/>
      <c r="JT271" s="36"/>
      <c r="JU271" s="36"/>
      <c r="JV271" s="36"/>
      <c r="JW271" s="36"/>
      <c r="JX271" s="36"/>
      <c r="JY271" s="36"/>
      <c r="JZ271" s="36"/>
      <c r="KA271" s="36"/>
      <c r="KB271" s="36"/>
      <c r="KC271" s="37"/>
      <c r="KD271" s="44"/>
      <c r="KE271" s="36"/>
      <c r="KF271" s="36"/>
      <c r="KG271" s="36"/>
      <c r="KH271" s="36"/>
      <c r="KI271" s="36"/>
      <c r="KJ271" s="36"/>
      <c r="KK271" s="36"/>
      <c r="KL271" s="36"/>
      <c r="KM271" s="36"/>
      <c r="KN271" s="36"/>
      <c r="KO271" s="36"/>
      <c r="KP271" s="36"/>
      <c r="KQ271" s="36"/>
      <c r="KR271" s="36"/>
      <c r="KS271" s="36"/>
      <c r="KT271" s="37"/>
      <c r="KU271" s="36"/>
    </row>
    <row r="272" ht="15.0" customHeight="1">
      <c r="A272" s="44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7"/>
      <c r="R272" s="44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7"/>
      <c r="AI272" s="44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  <c r="AU272" s="36"/>
      <c r="AV272" s="36"/>
      <c r="AW272" s="36"/>
      <c r="AX272" s="36"/>
      <c r="AY272" s="37"/>
      <c r="AZ272" s="44"/>
      <c r="BA272" s="36"/>
      <c r="BB272" s="36"/>
      <c r="BC272" s="36"/>
      <c r="BD272" s="36"/>
      <c r="BE272" s="36"/>
      <c r="BF272" s="36"/>
      <c r="BG272" s="36"/>
      <c r="BH272" s="36"/>
      <c r="BI272" s="36"/>
      <c r="BJ272" s="36"/>
      <c r="BK272" s="36"/>
      <c r="BL272" s="36"/>
      <c r="BM272" s="36"/>
      <c r="BN272" s="36"/>
      <c r="BO272" s="36"/>
      <c r="BP272" s="37"/>
      <c r="BQ272" s="44"/>
      <c r="BR272" s="36"/>
      <c r="BS272" s="36"/>
      <c r="BT272" s="36"/>
      <c r="BU272" s="36"/>
      <c r="BV272" s="36"/>
      <c r="BW272" s="36"/>
      <c r="BX272" s="36"/>
      <c r="BY272" s="36"/>
      <c r="BZ272" s="36"/>
      <c r="CA272" s="36"/>
      <c r="CB272" s="36"/>
      <c r="CC272" s="36"/>
      <c r="CD272" s="36"/>
      <c r="CE272" s="36"/>
      <c r="CF272" s="36"/>
      <c r="CG272" s="37"/>
      <c r="CH272" s="44"/>
      <c r="CI272" s="36"/>
      <c r="CJ272" s="36"/>
      <c r="CK272" s="36"/>
      <c r="CL272" s="36"/>
      <c r="CM272" s="36"/>
      <c r="CN272" s="36"/>
      <c r="CO272" s="36"/>
      <c r="CP272" s="36"/>
      <c r="CQ272" s="36"/>
      <c r="CR272" s="36"/>
      <c r="CS272" s="36"/>
      <c r="CT272" s="36"/>
      <c r="CU272" s="36"/>
      <c r="CV272" s="36"/>
      <c r="CW272" s="36"/>
      <c r="CX272" s="37"/>
      <c r="CY272" s="44"/>
      <c r="CZ272" s="36"/>
      <c r="DA272" s="36"/>
      <c r="DB272" s="36"/>
      <c r="DC272" s="36"/>
      <c r="DD272" s="36"/>
      <c r="DE272" s="36"/>
      <c r="DF272" s="36"/>
      <c r="DG272" s="36"/>
      <c r="DH272" s="36"/>
      <c r="DI272" s="36"/>
      <c r="DJ272" s="36"/>
      <c r="DK272" s="36"/>
      <c r="DL272" s="36"/>
      <c r="DM272" s="36"/>
      <c r="DN272" s="36"/>
      <c r="DO272" s="37"/>
      <c r="DP272" s="44"/>
      <c r="DQ272" s="36"/>
      <c r="DR272" s="36"/>
      <c r="DS272" s="36"/>
      <c r="DT272" s="36"/>
      <c r="DU272" s="36"/>
      <c r="DV272" s="36"/>
      <c r="DW272" s="36"/>
      <c r="DX272" s="36"/>
      <c r="DY272" s="36"/>
      <c r="DZ272" s="36"/>
      <c r="EA272" s="36"/>
      <c r="EB272" s="36"/>
      <c r="EC272" s="36"/>
      <c r="ED272" s="36"/>
      <c r="EE272" s="36"/>
      <c r="EF272" s="37"/>
      <c r="EG272" s="44"/>
      <c r="EH272" s="36"/>
      <c r="EI272" s="36"/>
      <c r="EJ272" s="36"/>
      <c r="EK272" s="36"/>
      <c r="EL272" s="36"/>
      <c r="EM272" s="36"/>
      <c r="EN272" s="36"/>
      <c r="EO272" s="36"/>
      <c r="EP272" s="36"/>
      <c r="EQ272" s="36"/>
      <c r="ER272" s="36"/>
      <c r="ES272" s="36"/>
      <c r="ET272" s="36"/>
      <c r="EU272" s="36"/>
      <c r="EV272" s="36"/>
      <c r="EW272" s="37"/>
      <c r="EX272" s="44"/>
      <c r="EY272" s="36"/>
      <c r="EZ272" s="36"/>
      <c r="FA272" s="36"/>
      <c r="FB272" s="36"/>
      <c r="FC272" s="36"/>
      <c r="FD272" s="36"/>
      <c r="FE272" s="36"/>
      <c r="FF272" s="36"/>
      <c r="FG272" s="36"/>
      <c r="FH272" s="36"/>
      <c r="FI272" s="36"/>
      <c r="FJ272" s="36"/>
      <c r="FK272" s="36"/>
      <c r="FL272" s="36"/>
      <c r="FM272" s="36"/>
      <c r="FN272" s="37"/>
      <c r="FO272" s="44"/>
      <c r="FP272" s="36"/>
      <c r="FQ272" s="36"/>
      <c r="FR272" s="36"/>
      <c r="FS272" s="36"/>
      <c r="FT272" s="36"/>
      <c r="FU272" s="36"/>
      <c r="FV272" s="36"/>
      <c r="FW272" s="36"/>
      <c r="FX272" s="36"/>
      <c r="FY272" s="36"/>
      <c r="FZ272" s="36"/>
      <c r="GA272" s="36"/>
      <c r="GB272" s="36"/>
      <c r="GC272" s="36"/>
      <c r="GD272" s="36"/>
      <c r="GE272" s="37"/>
      <c r="GF272" s="44"/>
      <c r="GG272" s="36"/>
      <c r="GH272" s="36"/>
      <c r="GI272" s="36"/>
      <c r="GJ272" s="36"/>
      <c r="GK272" s="36"/>
      <c r="GL272" s="36"/>
      <c r="GM272" s="36"/>
      <c r="GN272" s="36"/>
      <c r="GO272" s="36"/>
      <c r="GP272" s="36"/>
      <c r="GQ272" s="36"/>
      <c r="GR272" s="36"/>
      <c r="GS272" s="36"/>
      <c r="GT272" s="36"/>
      <c r="GU272" s="36"/>
      <c r="GV272" s="37"/>
      <c r="GW272" s="44"/>
      <c r="GX272" s="36"/>
      <c r="GY272" s="36"/>
      <c r="GZ272" s="36"/>
      <c r="HA272" s="36"/>
      <c r="HB272" s="36"/>
      <c r="HC272" s="36"/>
      <c r="HD272" s="36"/>
      <c r="HE272" s="36"/>
      <c r="HF272" s="36"/>
      <c r="HG272" s="36"/>
      <c r="HH272" s="36"/>
      <c r="HI272" s="36"/>
      <c r="HJ272" s="36"/>
      <c r="HK272" s="36"/>
      <c r="HL272" s="36"/>
      <c r="HM272" s="37"/>
      <c r="HN272" s="44"/>
      <c r="HO272" s="36"/>
      <c r="HP272" s="36"/>
      <c r="HQ272" s="36"/>
      <c r="HR272" s="36"/>
      <c r="HS272" s="36"/>
      <c r="HT272" s="36"/>
      <c r="HU272" s="36"/>
      <c r="HV272" s="36"/>
      <c r="HW272" s="36"/>
      <c r="HX272" s="36"/>
      <c r="HY272" s="36"/>
      <c r="HZ272" s="36"/>
      <c r="IA272" s="36"/>
      <c r="IB272" s="36"/>
      <c r="IC272" s="36"/>
      <c r="ID272" s="37"/>
      <c r="IE272" s="44"/>
      <c r="IF272" s="36"/>
      <c r="IG272" s="36"/>
      <c r="IH272" s="36"/>
      <c r="II272" s="36"/>
      <c r="IJ272" s="36"/>
      <c r="IK272" s="36"/>
      <c r="IL272" s="36"/>
      <c r="IM272" s="36"/>
      <c r="IN272" s="36"/>
      <c r="IO272" s="36"/>
      <c r="IP272" s="36"/>
      <c r="IQ272" s="36"/>
      <c r="IR272" s="36"/>
      <c r="IS272" s="36"/>
      <c r="IT272" s="36"/>
      <c r="IU272" s="37"/>
      <c r="IV272" s="44"/>
      <c r="IW272" s="36"/>
      <c r="IX272" s="36"/>
      <c r="IY272" s="36"/>
      <c r="IZ272" s="36"/>
      <c r="JA272" s="36"/>
      <c r="JB272" s="36"/>
      <c r="JC272" s="36"/>
      <c r="JD272" s="36"/>
      <c r="JE272" s="36"/>
      <c r="JF272" s="36"/>
      <c r="JG272" s="36"/>
      <c r="JH272" s="36"/>
      <c r="JI272" s="36"/>
      <c r="JJ272" s="36"/>
      <c r="JK272" s="36"/>
      <c r="JL272" s="37"/>
      <c r="JM272" s="44"/>
      <c r="JN272" s="36"/>
      <c r="JO272" s="36"/>
      <c r="JP272" s="36"/>
      <c r="JQ272" s="36"/>
      <c r="JR272" s="36"/>
      <c r="JS272" s="36"/>
      <c r="JT272" s="36"/>
      <c r="JU272" s="36"/>
      <c r="JV272" s="36"/>
      <c r="JW272" s="36"/>
      <c r="JX272" s="36"/>
      <c r="JY272" s="36"/>
      <c r="JZ272" s="36"/>
      <c r="KA272" s="36"/>
      <c r="KB272" s="36"/>
      <c r="KC272" s="37"/>
      <c r="KD272" s="44"/>
      <c r="KE272" s="36"/>
      <c r="KF272" s="36"/>
      <c r="KG272" s="36"/>
      <c r="KH272" s="36"/>
      <c r="KI272" s="36"/>
      <c r="KJ272" s="36"/>
      <c r="KK272" s="36"/>
      <c r="KL272" s="36"/>
      <c r="KM272" s="36"/>
      <c r="KN272" s="36"/>
      <c r="KO272" s="36"/>
      <c r="KP272" s="36"/>
      <c r="KQ272" s="36"/>
      <c r="KR272" s="36"/>
      <c r="KS272" s="36"/>
      <c r="KT272" s="37"/>
      <c r="KU272" s="36"/>
    </row>
    <row r="273" ht="15.0" customHeight="1">
      <c r="A273" s="44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7"/>
      <c r="R273" s="44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7"/>
      <c r="AI273" s="44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  <c r="AU273" s="36"/>
      <c r="AV273" s="36"/>
      <c r="AW273" s="36"/>
      <c r="AX273" s="36"/>
      <c r="AY273" s="37"/>
      <c r="AZ273" s="44"/>
      <c r="BA273" s="36"/>
      <c r="BB273" s="36"/>
      <c r="BC273" s="36"/>
      <c r="BD273" s="36"/>
      <c r="BE273" s="36"/>
      <c r="BF273" s="36"/>
      <c r="BG273" s="36"/>
      <c r="BH273" s="36"/>
      <c r="BI273" s="36"/>
      <c r="BJ273" s="36"/>
      <c r="BK273" s="36"/>
      <c r="BL273" s="36"/>
      <c r="BM273" s="36"/>
      <c r="BN273" s="36"/>
      <c r="BO273" s="36"/>
      <c r="BP273" s="37"/>
      <c r="BQ273" s="44"/>
      <c r="BR273" s="36"/>
      <c r="BS273" s="36"/>
      <c r="BT273" s="36"/>
      <c r="BU273" s="36"/>
      <c r="BV273" s="36"/>
      <c r="BW273" s="36"/>
      <c r="BX273" s="36"/>
      <c r="BY273" s="36"/>
      <c r="BZ273" s="36"/>
      <c r="CA273" s="36"/>
      <c r="CB273" s="36"/>
      <c r="CC273" s="36"/>
      <c r="CD273" s="36"/>
      <c r="CE273" s="36"/>
      <c r="CF273" s="36"/>
      <c r="CG273" s="37"/>
      <c r="CH273" s="44"/>
      <c r="CI273" s="36"/>
      <c r="CJ273" s="36"/>
      <c r="CK273" s="36"/>
      <c r="CL273" s="36"/>
      <c r="CM273" s="36"/>
      <c r="CN273" s="36"/>
      <c r="CO273" s="36"/>
      <c r="CP273" s="36"/>
      <c r="CQ273" s="36"/>
      <c r="CR273" s="36"/>
      <c r="CS273" s="36"/>
      <c r="CT273" s="36"/>
      <c r="CU273" s="36"/>
      <c r="CV273" s="36"/>
      <c r="CW273" s="36"/>
      <c r="CX273" s="37"/>
      <c r="CY273" s="44"/>
      <c r="CZ273" s="36"/>
      <c r="DA273" s="36"/>
      <c r="DB273" s="36"/>
      <c r="DC273" s="36"/>
      <c r="DD273" s="36"/>
      <c r="DE273" s="36"/>
      <c r="DF273" s="36"/>
      <c r="DG273" s="36"/>
      <c r="DH273" s="36"/>
      <c r="DI273" s="36"/>
      <c r="DJ273" s="36"/>
      <c r="DK273" s="36"/>
      <c r="DL273" s="36"/>
      <c r="DM273" s="36"/>
      <c r="DN273" s="36"/>
      <c r="DO273" s="37"/>
      <c r="DP273" s="44"/>
      <c r="DQ273" s="36"/>
      <c r="DR273" s="36"/>
      <c r="DS273" s="36"/>
      <c r="DT273" s="36"/>
      <c r="DU273" s="36"/>
      <c r="DV273" s="36"/>
      <c r="DW273" s="36"/>
      <c r="DX273" s="36"/>
      <c r="DY273" s="36"/>
      <c r="DZ273" s="36"/>
      <c r="EA273" s="36"/>
      <c r="EB273" s="36"/>
      <c r="EC273" s="36"/>
      <c r="ED273" s="36"/>
      <c r="EE273" s="36"/>
      <c r="EF273" s="37"/>
      <c r="EG273" s="44"/>
      <c r="EH273" s="36"/>
      <c r="EI273" s="36"/>
      <c r="EJ273" s="36"/>
      <c r="EK273" s="36"/>
      <c r="EL273" s="36"/>
      <c r="EM273" s="36"/>
      <c r="EN273" s="36"/>
      <c r="EO273" s="36"/>
      <c r="EP273" s="36"/>
      <c r="EQ273" s="36"/>
      <c r="ER273" s="36"/>
      <c r="ES273" s="36"/>
      <c r="ET273" s="36"/>
      <c r="EU273" s="36"/>
      <c r="EV273" s="36"/>
      <c r="EW273" s="37"/>
      <c r="EX273" s="44"/>
      <c r="EY273" s="36"/>
      <c r="EZ273" s="36"/>
      <c r="FA273" s="36"/>
      <c r="FB273" s="36"/>
      <c r="FC273" s="36"/>
      <c r="FD273" s="36"/>
      <c r="FE273" s="36"/>
      <c r="FF273" s="36"/>
      <c r="FG273" s="36"/>
      <c r="FH273" s="36"/>
      <c r="FI273" s="36"/>
      <c r="FJ273" s="36"/>
      <c r="FK273" s="36"/>
      <c r="FL273" s="36"/>
      <c r="FM273" s="36"/>
      <c r="FN273" s="37"/>
      <c r="FO273" s="44"/>
      <c r="FP273" s="36"/>
      <c r="FQ273" s="36"/>
      <c r="FR273" s="36"/>
      <c r="FS273" s="36"/>
      <c r="FT273" s="36"/>
      <c r="FU273" s="36"/>
      <c r="FV273" s="36"/>
      <c r="FW273" s="36"/>
      <c r="FX273" s="36"/>
      <c r="FY273" s="36"/>
      <c r="FZ273" s="36"/>
      <c r="GA273" s="36"/>
      <c r="GB273" s="36"/>
      <c r="GC273" s="36"/>
      <c r="GD273" s="36"/>
      <c r="GE273" s="37"/>
      <c r="GF273" s="44"/>
      <c r="GG273" s="36"/>
      <c r="GH273" s="36"/>
      <c r="GI273" s="36"/>
      <c r="GJ273" s="36"/>
      <c r="GK273" s="36"/>
      <c r="GL273" s="36"/>
      <c r="GM273" s="36"/>
      <c r="GN273" s="36"/>
      <c r="GO273" s="36"/>
      <c r="GP273" s="36"/>
      <c r="GQ273" s="36"/>
      <c r="GR273" s="36"/>
      <c r="GS273" s="36"/>
      <c r="GT273" s="36"/>
      <c r="GU273" s="36"/>
      <c r="GV273" s="37"/>
      <c r="GW273" s="44"/>
      <c r="GX273" s="36"/>
      <c r="GY273" s="36"/>
      <c r="GZ273" s="36"/>
      <c r="HA273" s="36"/>
      <c r="HB273" s="36"/>
      <c r="HC273" s="36"/>
      <c r="HD273" s="36"/>
      <c r="HE273" s="36"/>
      <c r="HF273" s="36"/>
      <c r="HG273" s="36"/>
      <c r="HH273" s="36"/>
      <c r="HI273" s="36"/>
      <c r="HJ273" s="36"/>
      <c r="HK273" s="36"/>
      <c r="HL273" s="36"/>
      <c r="HM273" s="37"/>
      <c r="HN273" s="44"/>
      <c r="HO273" s="36"/>
      <c r="HP273" s="36"/>
      <c r="HQ273" s="36"/>
      <c r="HR273" s="36"/>
      <c r="HS273" s="36"/>
      <c r="HT273" s="36"/>
      <c r="HU273" s="36"/>
      <c r="HV273" s="36"/>
      <c r="HW273" s="36"/>
      <c r="HX273" s="36"/>
      <c r="HY273" s="36"/>
      <c r="HZ273" s="36"/>
      <c r="IA273" s="36"/>
      <c r="IB273" s="36"/>
      <c r="IC273" s="36"/>
      <c r="ID273" s="37"/>
      <c r="IE273" s="44"/>
      <c r="IF273" s="36"/>
      <c r="IG273" s="36"/>
      <c r="IH273" s="36"/>
      <c r="II273" s="36"/>
      <c r="IJ273" s="36"/>
      <c r="IK273" s="36"/>
      <c r="IL273" s="36"/>
      <c r="IM273" s="36"/>
      <c r="IN273" s="36"/>
      <c r="IO273" s="36"/>
      <c r="IP273" s="36"/>
      <c r="IQ273" s="36"/>
      <c r="IR273" s="36"/>
      <c r="IS273" s="36"/>
      <c r="IT273" s="36"/>
      <c r="IU273" s="37"/>
      <c r="IV273" s="44"/>
      <c r="IW273" s="36"/>
      <c r="IX273" s="36"/>
      <c r="IY273" s="36"/>
      <c r="IZ273" s="36"/>
      <c r="JA273" s="36"/>
      <c r="JB273" s="36"/>
      <c r="JC273" s="36"/>
      <c r="JD273" s="36"/>
      <c r="JE273" s="36"/>
      <c r="JF273" s="36"/>
      <c r="JG273" s="36"/>
      <c r="JH273" s="36"/>
      <c r="JI273" s="36"/>
      <c r="JJ273" s="36"/>
      <c r="JK273" s="36"/>
      <c r="JL273" s="37"/>
      <c r="JM273" s="44"/>
      <c r="JN273" s="36"/>
      <c r="JO273" s="36"/>
      <c r="JP273" s="36"/>
      <c r="JQ273" s="36"/>
      <c r="JR273" s="36"/>
      <c r="JS273" s="36"/>
      <c r="JT273" s="36"/>
      <c r="JU273" s="36"/>
      <c r="JV273" s="36"/>
      <c r="JW273" s="36"/>
      <c r="JX273" s="36"/>
      <c r="JY273" s="36"/>
      <c r="JZ273" s="36"/>
      <c r="KA273" s="36"/>
      <c r="KB273" s="36"/>
      <c r="KC273" s="37"/>
      <c r="KD273" s="44"/>
      <c r="KE273" s="36"/>
      <c r="KF273" s="36"/>
      <c r="KG273" s="36"/>
      <c r="KH273" s="36"/>
      <c r="KI273" s="36"/>
      <c r="KJ273" s="36"/>
      <c r="KK273" s="36"/>
      <c r="KL273" s="36"/>
      <c r="KM273" s="36"/>
      <c r="KN273" s="36"/>
      <c r="KO273" s="36"/>
      <c r="KP273" s="36"/>
      <c r="KQ273" s="36"/>
      <c r="KR273" s="36"/>
      <c r="KS273" s="36"/>
      <c r="KT273" s="37"/>
      <c r="KU273" s="36"/>
    </row>
    <row r="274" ht="15.0" customHeight="1">
      <c r="A274" s="44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7"/>
      <c r="R274" s="44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7"/>
      <c r="AI274" s="44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  <c r="AU274" s="36"/>
      <c r="AV274" s="36"/>
      <c r="AW274" s="36"/>
      <c r="AX274" s="36"/>
      <c r="AY274" s="37"/>
      <c r="AZ274" s="44"/>
      <c r="BA274" s="36"/>
      <c r="BB274" s="36"/>
      <c r="BC274" s="36"/>
      <c r="BD274" s="36"/>
      <c r="BE274" s="36"/>
      <c r="BF274" s="36"/>
      <c r="BG274" s="36"/>
      <c r="BH274" s="36"/>
      <c r="BI274" s="36"/>
      <c r="BJ274" s="36"/>
      <c r="BK274" s="36"/>
      <c r="BL274" s="36"/>
      <c r="BM274" s="36"/>
      <c r="BN274" s="36"/>
      <c r="BO274" s="36"/>
      <c r="BP274" s="37"/>
      <c r="BQ274" s="44"/>
      <c r="BR274" s="36"/>
      <c r="BS274" s="36"/>
      <c r="BT274" s="36"/>
      <c r="BU274" s="36"/>
      <c r="BV274" s="36"/>
      <c r="BW274" s="36"/>
      <c r="BX274" s="36"/>
      <c r="BY274" s="36"/>
      <c r="BZ274" s="36"/>
      <c r="CA274" s="36"/>
      <c r="CB274" s="36"/>
      <c r="CC274" s="36"/>
      <c r="CD274" s="36"/>
      <c r="CE274" s="36"/>
      <c r="CF274" s="36"/>
      <c r="CG274" s="37"/>
      <c r="CH274" s="44"/>
      <c r="CI274" s="36"/>
      <c r="CJ274" s="36"/>
      <c r="CK274" s="36"/>
      <c r="CL274" s="36"/>
      <c r="CM274" s="36"/>
      <c r="CN274" s="36"/>
      <c r="CO274" s="36"/>
      <c r="CP274" s="36"/>
      <c r="CQ274" s="36"/>
      <c r="CR274" s="36"/>
      <c r="CS274" s="36"/>
      <c r="CT274" s="36"/>
      <c r="CU274" s="36"/>
      <c r="CV274" s="36"/>
      <c r="CW274" s="36"/>
      <c r="CX274" s="37"/>
      <c r="CY274" s="44"/>
      <c r="CZ274" s="36"/>
      <c r="DA274" s="36"/>
      <c r="DB274" s="36"/>
      <c r="DC274" s="36"/>
      <c r="DD274" s="36"/>
      <c r="DE274" s="36"/>
      <c r="DF274" s="36"/>
      <c r="DG274" s="36"/>
      <c r="DH274" s="36"/>
      <c r="DI274" s="36"/>
      <c r="DJ274" s="36"/>
      <c r="DK274" s="36"/>
      <c r="DL274" s="36"/>
      <c r="DM274" s="36"/>
      <c r="DN274" s="36"/>
      <c r="DO274" s="37"/>
      <c r="DP274" s="44"/>
      <c r="DQ274" s="36"/>
      <c r="DR274" s="36"/>
      <c r="DS274" s="36"/>
      <c r="DT274" s="36"/>
      <c r="DU274" s="36"/>
      <c r="DV274" s="36"/>
      <c r="DW274" s="36"/>
      <c r="DX274" s="36"/>
      <c r="DY274" s="36"/>
      <c r="DZ274" s="36"/>
      <c r="EA274" s="36"/>
      <c r="EB274" s="36"/>
      <c r="EC274" s="36"/>
      <c r="ED274" s="36"/>
      <c r="EE274" s="36"/>
      <c r="EF274" s="37"/>
      <c r="EG274" s="44"/>
      <c r="EH274" s="36"/>
      <c r="EI274" s="36"/>
      <c r="EJ274" s="36"/>
      <c r="EK274" s="36"/>
      <c r="EL274" s="36"/>
      <c r="EM274" s="36"/>
      <c r="EN274" s="36"/>
      <c r="EO274" s="36"/>
      <c r="EP274" s="36"/>
      <c r="EQ274" s="36"/>
      <c r="ER274" s="36"/>
      <c r="ES274" s="36"/>
      <c r="ET274" s="36"/>
      <c r="EU274" s="36"/>
      <c r="EV274" s="36"/>
      <c r="EW274" s="37"/>
      <c r="EX274" s="44"/>
      <c r="EY274" s="36"/>
      <c r="EZ274" s="36"/>
      <c r="FA274" s="36"/>
      <c r="FB274" s="36"/>
      <c r="FC274" s="36"/>
      <c r="FD274" s="36"/>
      <c r="FE274" s="36"/>
      <c r="FF274" s="36"/>
      <c r="FG274" s="36"/>
      <c r="FH274" s="36"/>
      <c r="FI274" s="36"/>
      <c r="FJ274" s="36"/>
      <c r="FK274" s="36"/>
      <c r="FL274" s="36"/>
      <c r="FM274" s="36"/>
      <c r="FN274" s="37"/>
      <c r="FO274" s="44"/>
      <c r="FP274" s="36"/>
      <c r="FQ274" s="36"/>
      <c r="FR274" s="36"/>
      <c r="FS274" s="36"/>
      <c r="FT274" s="36"/>
      <c r="FU274" s="36"/>
      <c r="FV274" s="36"/>
      <c r="FW274" s="36"/>
      <c r="FX274" s="36"/>
      <c r="FY274" s="36"/>
      <c r="FZ274" s="36"/>
      <c r="GA274" s="36"/>
      <c r="GB274" s="36"/>
      <c r="GC274" s="36"/>
      <c r="GD274" s="36"/>
      <c r="GE274" s="37"/>
      <c r="GF274" s="44"/>
      <c r="GG274" s="36"/>
      <c r="GH274" s="36"/>
      <c r="GI274" s="36"/>
      <c r="GJ274" s="36"/>
      <c r="GK274" s="36"/>
      <c r="GL274" s="36"/>
      <c r="GM274" s="36"/>
      <c r="GN274" s="36"/>
      <c r="GO274" s="36"/>
      <c r="GP274" s="36"/>
      <c r="GQ274" s="36"/>
      <c r="GR274" s="36"/>
      <c r="GS274" s="36"/>
      <c r="GT274" s="36"/>
      <c r="GU274" s="36"/>
      <c r="GV274" s="37"/>
      <c r="GW274" s="44"/>
      <c r="GX274" s="36"/>
      <c r="GY274" s="36"/>
      <c r="GZ274" s="36"/>
      <c r="HA274" s="36"/>
      <c r="HB274" s="36"/>
      <c r="HC274" s="36"/>
      <c r="HD274" s="36"/>
      <c r="HE274" s="36"/>
      <c r="HF274" s="36"/>
      <c r="HG274" s="36"/>
      <c r="HH274" s="36"/>
      <c r="HI274" s="36"/>
      <c r="HJ274" s="36"/>
      <c r="HK274" s="36"/>
      <c r="HL274" s="36"/>
      <c r="HM274" s="37"/>
      <c r="HN274" s="44"/>
      <c r="HO274" s="36"/>
      <c r="HP274" s="36"/>
      <c r="HQ274" s="36"/>
      <c r="HR274" s="36"/>
      <c r="HS274" s="36"/>
      <c r="HT274" s="36"/>
      <c r="HU274" s="36"/>
      <c r="HV274" s="36"/>
      <c r="HW274" s="36"/>
      <c r="HX274" s="36"/>
      <c r="HY274" s="36"/>
      <c r="HZ274" s="36"/>
      <c r="IA274" s="36"/>
      <c r="IB274" s="36"/>
      <c r="IC274" s="36"/>
      <c r="ID274" s="37"/>
      <c r="IE274" s="44"/>
      <c r="IF274" s="36"/>
      <c r="IG274" s="36"/>
      <c r="IH274" s="36"/>
      <c r="II274" s="36"/>
      <c r="IJ274" s="36"/>
      <c r="IK274" s="36"/>
      <c r="IL274" s="36"/>
      <c r="IM274" s="36"/>
      <c r="IN274" s="36"/>
      <c r="IO274" s="36"/>
      <c r="IP274" s="36"/>
      <c r="IQ274" s="36"/>
      <c r="IR274" s="36"/>
      <c r="IS274" s="36"/>
      <c r="IT274" s="36"/>
      <c r="IU274" s="37"/>
      <c r="IV274" s="44"/>
      <c r="IW274" s="36"/>
      <c r="IX274" s="36"/>
      <c r="IY274" s="36"/>
      <c r="IZ274" s="36"/>
      <c r="JA274" s="36"/>
      <c r="JB274" s="36"/>
      <c r="JC274" s="36"/>
      <c r="JD274" s="36"/>
      <c r="JE274" s="36"/>
      <c r="JF274" s="36"/>
      <c r="JG274" s="36"/>
      <c r="JH274" s="36"/>
      <c r="JI274" s="36"/>
      <c r="JJ274" s="36"/>
      <c r="JK274" s="36"/>
      <c r="JL274" s="37"/>
      <c r="JM274" s="44"/>
      <c r="JN274" s="36"/>
      <c r="JO274" s="36"/>
      <c r="JP274" s="36"/>
      <c r="JQ274" s="36"/>
      <c r="JR274" s="36"/>
      <c r="JS274" s="36"/>
      <c r="JT274" s="36"/>
      <c r="JU274" s="36"/>
      <c r="JV274" s="36"/>
      <c r="JW274" s="36"/>
      <c r="JX274" s="36"/>
      <c r="JY274" s="36"/>
      <c r="JZ274" s="36"/>
      <c r="KA274" s="36"/>
      <c r="KB274" s="36"/>
      <c r="KC274" s="37"/>
      <c r="KD274" s="44"/>
      <c r="KE274" s="36"/>
      <c r="KF274" s="36"/>
      <c r="KG274" s="36"/>
      <c r="KH274" s="36"/>
      <c r="KI274" s="36"/>
      <c r="KJ274" s="36"/>
      <c r="KK274" s="36"/>
      <c r="KL274" s="36"/>
      <c r="KM274" s="36"/>
      <c r="KN274" s="36"/>
      <c r="KO274" s="36"/>
      <c r="KP274" s="36"/>
      <c r="KQ274" s="36"/>
      <c r="KR274" s="36"/>
      <c r="KS274" s="36"/>
      <c r="KT274" s="37"/>
      <c r="KU274" s="36"/>
    </row>
    <row r="275" ht="15.0" customHeight="1">
      <c r="A275" s="44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7"/>
      <c r="R275" s="44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7"/>
      <c r="AI275" s="44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  <c r="AU275" s="36"/>
      <c r="AV275" s="36"/>
      <c r="AW275" s="36"/>
      <c r="AX275" s="36"/>
      <c r="AY275" s="37"/>
      <c r="AZ275" s="44"/>
      <c r="BA275" s="36"/>
      <c r="BB275" s="36"/>
      <c r="BC275" s="36"/>
      <c r="BD275" s="36"/>
      <c r="BE275" s="36"/>
      <c r="BF275" s="36"/>
      <c r="BG275" s="36"/>
      <c r="BH275" s="36"/>
      <c r="BI275" s="36"/>
      <c r="BJ275" s="36"/>
      <c r="BK275" s="36"/>
      <c r="BL275" s="36"/>
      <c r="BM275" s="36"/>
      <c r="BN275" s="36"/>
      <c r="BO275" s="36"/>
      <c r="BP275" s="37"/>
      <c r="BQ275" s="44"/>
      <c r="BR275" s="36"/>
      <c r="BS275" s="36"/>
      <c r="BT275" s="36"/>
      <c r="BU275" s="36"/>
      <c r="BV275" s="36"/>
      <c r="BW275" s="36"/>
      <c r="BX275" s="36"/>
      <c r="BY275" s="36"/>
      <c r="BZ275" s="36"/>
      <c r="CA275" s="36"/>
      <c r="CB275" s="36"/>
      <c r="CC275" s="36"/>
      <c r="CD275" s="36"/>
      <c r="CE275" s="36"/>
      <c r="CF275" s="36"/>
      <c r="CG275" s="37"/>
      <c r="CH275" s="44"/>
      <c r="CI275" s="36"/>
      <c r="CJ275" s="36"/>
      <c r="CK275" s="36"/>
      <c r="CL275" s="36"/>
      <c r="CM275" s="36"/>
      <c r="CN275" s="36"/>
      <c r="CO275" s="36"/>
      <c r="CP275" s="36"/>
      <c r="CQ275" s="36"/>
      <c r="CR275" s="36"/>
      <c r="CS275" s="36"/>
      <c r="CT275" s="36"/>
      <c r="CU275" s="36"/>
      <c r="CV275" s="36"/>
      <c r="CW275" s="36"/>
      <c r="CX275" s="37"/>
      <c r="CY275" s="44"/>
      <c r="CZ275" s="36"/>
      <c r="DA275" s="36"/>
      <c r="DB275" s="36"/>
      <c r="DC275" s="36"/>
      <c r="DD275" s="36"/>
      <c r="DE275" s="36"/>
      <c r="DF275" s="36"/>
      <c r="DG275" s="36"/>
      <c r="DH275" s="36"/>
      <c r="DI275" s="36"/>
      <c r="DJ275" s="36"/>
      <c r="DK275" s="36"/>
      <c r="DL275" s="36"/>
      <c r="DM275" s="36"/>
      <c r="DN275" s="36"/>
      <c r="DO275" s="37"/>
      <c r="DP275" s="44"/>
      <c r="DQ275" s="36"/>
      <c r="DR275" s="36"/>
      <c r="DS275" s="36"/>
      <c r="DT275" s="36"/>
      <c r="DU275" s="36"/>
      <c r="DV275" s="36"/>
      <c r="DW275" s="36"/>
      <c r="DX275" s="36"/>
      <c r="DY275" s="36"/>
      <c r="DZ275" s="36"/>
      <c r="EA275" s="36"/>
      <c r="EB275" s="36"/>
      <c r="EC275" s="36"/>
      <c r="ED275" s="36"/>
      <c r="EE275" s="36"/>
      <c r="EF275" s="37"/>
      <c r="EG275" s="44"/>
      <c r="EH275" s="36"/>
      <c r="EI275" s="36"/>
      <c r="EJ275" s="36"/>
      <c r="EK275" s="36"/>
      <c r="EL275" s="36"/>
      <c r="EM275" s="36"/>
      <c r="EN275" s="36"/>
      <c r="EO275" s="36"/>
      <c r="EP275" s="36"/>
      <c r="EQ275" s="36"/>
      <c r="ER275" s="36"/>
      <c r="ES275" s="36"/>
      <c r="ET275" s="36"/>
      <c r="EU275" s="36"/>
      <c r="EV275" s="36"/>
      <c r="EW275" s="37"/>
      <c r="EX275" s="44"/>
      <c r="EY275" s="36"/>
      <c r="EZ275" s="36"/>
      <c r="FA275" s="36"/>
      <c r="FB275" s="36"/>
      <c r="FC275" s="36"/>
      <c r="FD275" s="36"/>
      <c r="FE275" s="36"/>
      <c r="FF275" s="36"/>
      <c r="FG275" s="36"/>
      <c r="FH275" s="36"/>
      <c r="FI275" s="36"/>
      <c r="FJ275" s="36"/>
      <c r="FK275" s="36"/>
      <c r="FL275" s="36"/>
      <c r="FM275" s="36"/>
      <c r="FN275" s="37"/>
      <c r="FO275" s="44"/>
      <c r="FP275" s="36"/>
      <c r="FQ275" s="36"/>
      <c r="FR275" s="36"/>
      <c r="FS275" s="36"/>
      <c r="FT275" s="36"/>
      <c r="FU275" s="36"/>
      <c r="FV275" s="36"/>
      <c r="FW275" s="36"/>
      <c r="FX275" s="36"/>
      <c r="FY275" s="36"/>
      <c r="FZ275" s="36"/>
      <c r="GA275" s="36"/>
      <c r="GB275" s="36"/>
      <c r="GC275" s="36"/>
      <c r="GD275" s="36"/>
      <c r="GE275" s="37"/>
      <c r="GF275" s="44"/>
      <c r="GG275" s="36"/>
      <c r="GH275" s="36"/>
      <c r="GI275" s="36"/>
      <c r="GJ275" s="36"/>
      <c r="GK275" s="36"/>
      <c r="GL275" s="36"/>
      <c r="GM275" s="36"/>
      <c r="GN275" s="36"/>
      <c r="GO275" s="36"/>
      <c r="GP275" s="36"/>
      <c r="GQ275" s="36"/>
      <c r="GR275" s="36"/>
      <c r="GS275" s="36"/>
      <c r="GT275" s="36"/>
      <c r="GU275" s="36"/>
      <c r="GV275" s="37"/>
      <c r="GW275" s="44"/>
      <c r="GX275" s="36"/>
      <c r="GY275" s="36"/>
      <c r="GZ275" s="36"/>
      <c r="HA275" s="36"/>
      <c r="HB275" s="36"/>
      <c r="HC275" s="36"/>
      <c r="HD275" s="36"/>
      <c r="HE275" s="36"/>
      <c r="HF275" s="36"/>
      <c r="HG275" s="36"/>
      <c r="HH275" s="36"/>
      <c r="HI275" s="36"/>
      <c r="HJ275" s="36"/>
      <c r="HK275" s="36"/>
      <c r="HL275" s="36"/>
      <c r="HM275" s="37"/>
      <c r="HN275" s="44"/>
      <c r="HO275" s="36"/>
      <c r="HP275" s="36"/>
      <c r="HQ275" s="36"/>
      <c r="HR275" s="36"/>
      <c r="HS275" s="36"/>
      <c r="HT275" s="36"/>
      <c r="HU275" s="36"/>
      <c r="HV275" s="36"/>
      <c r="HW275" s="36"/>
      <c r="HX275" s="36"/>
      <c r="HY275" s="36"/>
      <c r="HZ275" s="36"/>
      <c r="IA275" s="36"/>
      <c r="IB275" s="36"/>
      <c r="IC275" s="36"/>
      <c r="ID275" s="37"/>
      <c r="IE275" s="44"/>
      <c r="IF275" s="36"/>
      <c r="IG275" s="36"/>
      <c r="IH275" s="36"/>
      <c r="II275" s="36"/>
      <c r="IJ275" s="36"/>
      <c r="IK275" s="36"/>
      <c r="IL275" s="36"/>
      <c r="IM275" s="36"/>
      <c r="IN275" s="36"/>
      <c r="IO275" s="36"/>
      <c r="IP275" s="36"/>
      <c r="IQ275" s="36"/>
      <c r="IR275" s="36"/>
      <c r="IS275" s="36"/>
      <c r="IT275" s="36"/>
      <c r="IU275" s="37"/>
      <c r="IV275" s="44"/>
      <c r="IW275" s="36"/>
      <c r="IX275" s="36"/>
      <c r="IY275" s="36"/>
      <c r="IZ275" s="36"/>
      <c r="JA275" s="36"/>
      <c r="JB275" s="36"/>
      <c r="JC275" s="36"/>
      <c r="JD275" s="36"/>
      <c r="JE275" s="36"/>
      <c r="JF275" s="36"/>
      <c r="JG275" s="36"/>
      <c r="JH275" s="36"/>
      <c r="JI275" s="36"/>
      <c r="JJ275" s="36"/>
      <c r="JK275" s="36"/>
      <c r="JL275" s="37"/>
      <c r="JM275" s="44"/>
      <c r="JN275" s="36"/>
      <c r="JO275" s="36"/>
      <c r="JP275" s="36"/>
      <c r="JQ275" s="36"/>
      <c r="JR275" s="36"/>
      <c r="JS275" s="36"/>
      <c r="JT275" s="36"/>
      <c r="JU275" s="36"/>
      <c r="JV275" s="36"/>
      <c r="JW275" s="36"/>
      <c r="JX275" s="36"/>
      <c r="JY275" s="36"/>
      <c r="JZ275" s="36"/>
      <c r="KA275" s="36"/>
      <c r="KB275" s="36"/>
      <c r="KC275" s="37"/>
      <c r="KD275" s="44"/>
      <c r="KE275" s="36"/>
      <c r="KF275" s="36"/>
      <c r="KG275" s="36"/>
      <c r="KH275" s="36"/>
      <c r="KI275" s="36"/>
      <c r="KJ275" s="36"/>
      <c r="KK275" s="36"/>
      <c r="KL275" s="36"/>
      <c r="KM275" s="36"/>
      <c r="KN275" s="36"/>
      <c r="KO275" s="36"/>
      <c r="KP275" s="36"/>
      <c r="KQ275" s="36"/>
      <c r="KR275" s="36"/>
      <c r="KS275" s="36"/>
      <c r="KT275" s="37"/>
      <c r="KU275" s="36"/>
    </row>
    <row r="276" ht="15.0" customHeight="1">
      <c r="A276" s="44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7"/>
      <c r="R276" s="44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7"/>
      <c r="AI276" s="44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  <c r="AU276" s="36"/>
      <c r="AV276" s="36"/>
      <c r="AW276" s="36"/>
      <c r="AX276" s="36"/>
      <c r="AY276" s="37"/>
      <c r="AZ276" s="44"/>
      <c r="BA276" s="36"/>
      <c r="BB276" s="36"/>
      <c r="BC276" s="36"/>
      <c r="BD276" s="36"/>
      <c r="BE276" s="36"/>
      <c r="BF276" s="36"/>
      <c r="BG276" s="36"/>
      <c r="BH276" s="36"/>
      <c r="BI276" s="36"/>
      <c r="BJ276" s="36"/>
      <c r="BK276" s="36"/>
      <c r="BL276" s="36"/>
      <c r="BM276" s="36"/>
      <c r="BN276" s="36"/>
      <c r="BO276" s="36"/>
      <c r="BP276" s="37"/>
      <c r="BQ276" s="44"/>
      <c r="BR276" s="36"/>
      <c r="BS276" s="36"/>
      <c r="BT276" s="36"/>
      <c r="BU276" s="36"/>
      <c r="BV276" s="36"/>
      <c r="BW276" s="36"/>
      <c r="BX276" s="36"/>
      <c r="BY276" s="36"/>
      <c r="BZ276" s="36"/>
      <c r="CA276" s="36"/>
      <c r="CB276" s="36"/>
      <c r="CC276" s="36"/>
      <c r="CD276" s="36"/>
      <c r="CE276" s="36"/>
      <c r="CF276" s="36"/>
      <c r="CG276" s="37"/>
      <c r="CH276" s="44"/>
      <c r="CI276" s="36"/>
      <c r="CJ276" s="36"/>
      <c r="CK276" s="36"/>
      <c r="CL276" s="36"/>
      <c r="CM276" s="36"/>
      <c r="CN276" s="36"/>
      <c r="CO276" s="36"/>
      <c r="CP276" s="36"/>
      <c r="CQ276" s="36"/>
      <c r="CR276" s="36"/>
      <c r="CS276" s="36"/>
      <c r="CT276" s="36"/>
      <c r="CU276" s="36"/>
      <c r="CV276" s="36"/>
      <c r="CW276" s="36"/>
      <c r="CX276" s="37"/>
      <c r="CY276" s="44"/>
      <c r="CZ276" s="36"/>
      <c r="DA276" s="36"/>
      <c r="DB276" s="36"/>
      <c r="DC276" s="36"/>
      <c r="DD276" s="36"/>
      <c r="DE276" s="36"/>
      <c r="DF276" s="36"/>
      <c r="DG276" s="36"/>
      <c r="DH276" s="36"/>
      <c r="DI276" s="36"/>
      <c r="DJ276" s="36"/>
      <c r="DK276" s="36"/>
      <c r="DL276" s="36"/>
      <c r="DM276" s="36"/>
      <c r="DN276" s="36"/>
      <c r="DO276" s="37"/>
      <c r="DP276" s="44"/>
      <c r="DQ276" s="36"/>
      <c r="DR276" s="36"/>
      <c r="DS276" s="36"/>
      <c r="DT276" s="36"/>
      <c r="DU276" s="36"/>
      <c r="DV276" s="36"/>
      <c r="DW276" s="36"/>
      <c r="DX276" s="36"/>
      <c r="DY276" s="36"/>
      <c r="DZ276" s="36"/>
      <c r="EA276" s="36"/>
      <c r="EB276" s="36"/>
      <c r="EC276" s="36"/>
      <c r="ED276" s="36"/>
      <c r="EE276" s="36"/>
      <c r="EF276" s="37"/>
      <c r="EG276" s="44"/>
      <c r="EH276" s="36"/>
      <c r="EI276" s="36"/>
      <c r="EJ276" s="36"/>
      <c r="EK276" s="36"/>
      <c r="EL276" s="36"/>
      <c r="EM276" s="36"/>
      <c r="EN276" s="36"/>
      <c r="EO276" s="36"/>
      <c r="EP276" s="36"/>
      <c r="EQ276" s="36"/>
      <c r="ER276" s="36"/>
      <c r="ES276" s="36"/>
      <c r="ET276" s="36"/>
      <c r="EU276" s="36"/>
      <c r="EV276" s="36"/>
      <c r="EW276" s="37"/>
      <c r="EX276" s="44"/>
      <c r="EY276" s="36"/>
      <c r="EZ276" s="36"/>
      <c r="FA276" s="36"/>
      <c r="FB276" s="36"/>
      <c r="FC276" s="36"/>
      <c r="FD276" s="36"/>
      <c r="FE276" s="36"/>
      <c r="FF276" s="36"/>
      <c r="FG276" s="36"/>
      <c r="FH276" s="36"/>
      <c r="FI276" s="36"/>
      <c r="FJ276" s="36"/>
      <c r="FK276" s="36"/>
      <c r="FL276" s="36"/>
      <c r="FM276" s="36"/>
      <c r="FN276" s="37"/>
      <c r="FO276" s="44"/>
      <c r="FP276" s="36"/>
      <c r="FQ276" s="36"/>
      <c r="FR276" s="36"/>
      <c r="FS276" s="36"/>
      <c r="FT276" s="36"/>
      <c r="FU276" s="36"/>
      <c r="FV276" s="36"/>
      <c r="FW276" s="36"/>
      <c r="FX276" s="36"/>
      <c r="FY276" s="36"/>
      <c r="FZ276" s="36"/>
      <c r="GA276" s="36"/>
      <c r="GB276" s="36"/>
      <c r="GC276" s="36"/>
      <c r="GD276" s="36"/>
      <c r="GE276" s="37"/>
      <c r="GF276" s="44"/>
      <c r="GG276" s="36"/>
      <c r="GH276" s="36"/>
      <c r="GI276" s="36"/>
      <c r="GJ276" s="36"/>
      <c r="GK276" s="36"/>
      <c r="GL276" s="36"/>
      <c r="GM276" s="36"/>
      <c r="GN276" s="36"/>
      <c r="GO276" s="36"/>
      <c r="GP276" s="36"/>
      <c r="GQ276" s="36"/>
      <c r="GR276" s="36"/>
      <c r="GS276" s="36"/>
      <c r="GT276" s="36"/>
      <c r="GU276" s="36"/>
      <c r="GV276" s="37"/>
      <c r="GW276" s="44"/>
      <c r="GX276" s="36"/>
      <c r="GY276" s="36"/>
      <c r="GZ276" s="36"/>
      <c r="HA276" s="36"/>
      <c r="HB276" s="36"/>
      <c r="HC276" s="36"/>
      <c r="HD276" s="36"/>
      <c r="HE276" s="36"/>
      <c r="HF276" s="36"/>
      <c r="HG276" s="36"/>
      <c r="HH276" s="36"/>
      <c r="HI276" s="36"/>
      <c r="HJ276" s="36"/>
      <c r="HK276" s="36"/>
      <c r="HL276" s="36"/>
      <c r="HM276" s="37"/>
      <c r="HN276" s="44"/>
      <c r="HO276" s="36"/>
      <c r="HP276" s="36"/>
      <c r="HQ276" s="36"/>
      <c r="HR276" s="36"/>
      <c r="HS276" s="36"/>
      <c r="HT276" s="36"/>
      <c r="HU276" s="36"/>
      <c r="HV276" s="36"/>
      <c r="HW276" s="36"/>
      <c r="HX276" s="36"/>
      <c r="HY276" s="36"/>
      <c r="HZ276" s="36"/>
      <c r="IA276" s="36"/>
      <c r="IB276" s="36"/>
      <c r="IC276" s="36"/>
      <c r="ID276" s="37"/>
      <c r="IE276" s="44"/>
      <c r="IF276" s="36"/>
      <c r="IG276" s="36"/>
      <c r="IH276" s="36"/>
      <c r="II276" s="36"/>
      <c r="IJ276" s="36"/>
      <c r="IK276" s="36"/>
      <c r="IL276" s="36"/>
      <c r="IM276" s="36"/>
      <c r="IN276" s="36"/>
      <c r="IO276" s="36"/>
      <c r="IP276" s="36"/>
      <c r="IQ276" s="36"/>
      <c r="IR276" s="36"/>
      <c r="IS276" s="36"/>
      <c r="IT276" s="36"/>
      <c r="IU276" s="37"/>
      <c r="IV276" s="44"/>
      <c r="IW276" s="36"/>
      <c r="IX276" s="36"/>
      <c r="IY276" s="36"/>
      <c r="IZ276" s="36"/>
      <c r="JA276" s="36"/>
      <c r="JB276" s="36"/>
      <c r="JC276" s="36"/>
      <c r="JD276" s="36"/>
      <c r="JE276" s="36"/>
      <c r="JF276" s="36"/>
      <c r="JG276" s="36"/>
      <c r="JH276" s="36"/>
      <c r="JI276" s="36"/>
      <c r="JJ276" s="36"/>
      <c r="JK276" s="36"/>
      <c r="JL276" s="37"/>
      <c r="JM276" s="44"/>
      <c r="JN276" s="36"/>
      <c r="JO276" s="36"/>
      <c r="JP276" s="36"/>
      <c r="JQ276" s="36"/>
      <c r="JR276" s="36"/>
      <c r="JS276" s="36"/>
      <c r="JT276" s="36"/>
      <c r="JU276" s="36"/>
      <c r="JV276" s="36"/>
      <c r="JW276" s="36"/>
      <c r="JX276" s="36"/>
      <c r="JY276" s="36"/>
      <c r="JZ276" s="36"/>
      <c r="KA276" s="36"/>
      <c r="KB276" s="36"/>
      <c r="KC276" s="37"/>
      <c r="KD276" s="44"/>
      <c r="KE276" s="36"/>
      <c r="KF276" s="36"/>
      <c r="KG276" s="36"/>
      <c r="KH276" s="36"/>
      <c r="KI276" s="36"/>
      <c r="KJ276" s="36"/>
      <c r="KK276" s="36"/>
      <c r="KL276" s="36"/>
      <c r="KM276" s="36"/>
      <c r="KN276" s="36"/>
      <c r="KO276" s="36"/>
      <c r="KP276" s="36"/>
      <c r="KQ276" s="36"/>
      <c r="KR276" s="36"/>
      <c r="KS276" s="36"/>
      <c r="KT276" s="37"/>
      <c r="KU276" s="36"/>
    </row>
    <row r="277" ht="15.0" customHeight="1">
      <c r="A277" s="44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7"/>
      <c r="R277" s="44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7"/>
      <c r="AI277" s="44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  <c r="AU277" s="36"/>
      <c r="AV277" s="36"/>
      <c r="AW277" s="36"/>
      <c r="AX277" s="36"/>
      <c r="AY277" s="37"/>
      <c r="AZ277" s="44"/>
      <c r="BA277" s="36"/>
      <c r="BB277" s="36"/>
      <c r="BC277" s="36"/>
      <c r="BD277" s="36"/>
      <c r="BE277" s="36"/>
      <c r="BF277" s="36"/>
      <c r="BG277" s="36"/>
      <c r="BH277" s="36"/>
      <c r="BI277" s="36"/>
      <c r="BJ277" s="36"/>
      <c r="BK277" s="36"/>
      <c r="BL277" s="36"/>
      <c r="BM277" s="36"/>
      <c r="BN277" s="36"/>
      <c r="BO277" s="36"/>
      <c r="BP277" s="37"/>
      <c r="BQ277" s="44"/>
      <c r="BR277" s="36"/>
      <c r="BS277" s="36"/>
      <c r="BT277" s="36"/>
      <c r="BU277" s="36"/>
      <c r="BV277" s="36"/>
      <c r="BW277" s="36"/>
      <c r="BX277" s="36"/>
      <c r="BY277" s="36"/>
      <c r="BZ277" s="36"/>
      <c r="CA277" s="36"/>
      <c r="CB277" s="36"/>
      <c r="CC277" s="36"/>
      <c r="CD277" s="36"/>
      <c r="CE277" s="36"/>
      <c r="CF277" s="36"/>
      <c r="CG277" s="37"/>
      <c r="CH277" s="44"/>
      <c r="CI277" s="36"/>
      <c r="CJ277" s="36"/>
      <c r="CK277" s="36"/>
      <c r="CL277" s="36"/>
      <c r="CM277" s="36"/>
      <c r="CN277" s="36"/>
      <c r="CO277" s="36"/>
      <c r="CP277" s="36"/>
      <c r="CQ277" s="36"/>
      <c r="CR277" s="36"/>
      <c r="CS277" s="36"/>
      <c r="CT277" s="36"/>
      <c r="CU277" s="36"/>
      <c r="CV277" s="36"/>
      <c r="CW277" s="36"/>
      <c r="CX277" s="37"/>
      <c r="CY277" s="44"/>
      <c r="CZ277" s="36"/>
      <c r="DA277" s="36"/>
      <c r="DB277" s="36"/>
      <c r="DC277" s="36"/>
      <c r="DD277" s="36"/>
      <c r="DE277" s="36"/>
      <c r="DF277" s="36"/>
      <c r="DG277" s="36"/>
      <c r="DH277" s="36"/>
      <c r="DI277" s="36"/>
      <c r="DJ277" s="36"/>
      <c r="DK277" s="36"/>
      <c r="DL277" s="36"/>
      <c r="DM277" s="36"/>
      <c r="DN277" s="36"/>
      <c r="DO277" s="37"/>
      <c r="DP277" s="44"/>
      <c r="DQ277" s="36"/>
      <c r="DR277" s="36"/>
      <c r="DS277" s="36"/>
      <c r="DT277" s="36"/>
      <c r="DU277" s="36"/>
      <c r="DV277" s="36"/>
      <c r="DW277" s="36"/>
      <c r="DX277" s="36"/>
      <c r="DY277" s="36"/>
      <c r="DZ277" s="36"/>
      <c r="EA277" s="36"/>
      <c r="EB277" s="36"/>
      <c r="EC277" s="36"/>
      <c r="ED277" s="36"/>
      <c r="EE277" s="36"/>
      <c r="EF277" s="37"/>
      <c r="EG277" s="44"/>
      <c r="EH277" s="36"/>
      <c r="EI277" s="36"/>
      <c r="EJ277" s="36"/>
      <c r="EK277" s="36"/>
      <c r="EL277" s="36"/>
      <c r="EM277" s="36"/>
      <c r="EN277" s="36"/>
      <c r="EO277" s="36"/>
      <c r="EP277" s="36"/>
      <c r="EQ277" s="36"/>
      <c r="ER277" s="36"/>
      <c r="ES277" s="36"/>
      <c r="ET277" s="36"/>
      <c r="EU277" s="36"/>
      <c r="EV277" s="36"/>
      <c r="EW277" s="37"/>
      <c r="EX277" s="44"/>
      <c r="EY277" s="36"/>
      <c r="EZ277" s="36"/>
      <c r="FA277" s="36"/>
      <c r="FB277" s="36"/>
      <c r="FC277" s="36"/>
      <c r="FD277" s="36"/>
      <c r="FE277" s="36"/>
      <c r="FF277" s="36"/>
      <c r="FG277" s="36"/>
      <c r="FH277" s="36"/>
      <c r="FI277" s="36"/>
      <c r="FJ277" s="36"/>
      <c r="FK277" s="36"/>
      <c r="FL277" s="36"/>
      <c r="FM277" s="36"/>
      <c r="FN277" s="37"/>
      <c r="FO277" s="44"/>
      <c r="FP277" s="36"/>
      <c r="FQ277" s="36"/>
      <c r="FR277" s="36"/>
      <c r="FS277" s="36"/>
      <c r="FT277" s="36"/>
      <c r="FU277" s="36"/>
      <c r="FV277" s="36"/>
      <c r="FW277" s="36"/>
      <c r="FX277" s="36"/>
      <c r="FY277" s="36"/>
      <c r="FZ277" s="36"/>
      <c r="GA277" s="36"/>
      <c r="GB277" s="36"/>
      <c r="GC277" s="36"/>
      <c r="GD277" s="36"/>
      <c r="GE277" s="37"/>
      <c r="GF277" s="44"/>
      <c r="GG277" s="36"/>
      <c r="GH277" s="36"/>
      <c r="GI277" s="36"/>
      <c r="GJ277" s="36"/>
      <c r="GK277" s="36"/>
      <c r="GL277" s="36"/>
      <c r="GM277" s="36"/>
      <c r="GN277" s="36"/>
      <c r="GO277" s="36"/>
      <c r="GP277" s="36"/>
      <c r="GQ277" s="36"/>
      <c r="GR277" s="36"/>
      <c r="GS277" s="36"/>
      <c r="GT277" s="36"/>
      <c r="GU277" s="36"/>
      <c r="GV277" s="37"/>
      <c r="GW277" s="44"/>
      <c r="GX277" s="36"/>
      <c r="GY277" s="36"/>
      <c r="GZ277" s="36"/>
      <c r="HA277" s="36"/>
      <c r="HB277" s="36"/>
      <c r="HC277" s="36"/>
      <c r="HD277" s="36"/>
      <c r="HE277" s="36"/>
      <c r="HF277" s="36"/>
      <c r="HG277" s="36"/>
      <c r="HH277" s="36"/>
      <c r="HI277" s="36"/>
      <c r="HJ277" s="36"/>
      <c r="HK277" s="36"/>
      <c r="HL277" s="36"/>
      <c r="HM277" s="37"/>
      <c r="HN277" s="44"/>
      <c r="HO277" s="36"/>
      <c r="HP277" s="36"/>
      <c r="HQ277" s="36"/>
      <c r="HR277" s="36"/>
      <c r="HS277" s="36"/>
      <c r="HT277" s="36"/>
      <c r="HU277" s="36"/>
      <c r="HV277" s="36"/>
      <c r="HW277" s="36"/>
      <c r="HX277" s="36"/>
      <c r="HY277" s="36"/>
      <c r="HZ277" s="36"/>
      <c r="IA277" s="36"/>
      <c r="IB277" s="36"/>
      <c r="IC277" s="36"/>
      <c r="ID277" s="37"/>
      <c r="IE277" s="44"/>
      <c r="IF277" s="36"/>
      <c r="IG277" s="36"/>
      <c r="IH277" s="36"/>
      <c r="II277" s="36"/>
      <c r="IJ277" s="36"/>
      <c r="IK277" s="36"/>
      <c r="IL277" s="36"/>
      <c r="IM277" s="36"/>
      <c r="IN277" s="36"/>
      <c r="IO277" s="36"/>
      <c r="IP277" s="36"/>
      <c r="IQ277" s="36"/>
      <c r="IR277" s="36"/>
      <c r="IS277" s="36"/>
      <c r="IT277" s="36"/>
      <c r="IU277" s="37"/>
      <c r="IV277" s="44"/>
      <c r="IW277" s="36"/>
      <c r="IX277" s="36"/>
      <c r="IY277" s="36"/>
      <c r="IZ277" s="36"/>
      <c r="JA277" s="36"/>
      <c r="JB277" s="36"/>
      <c r="JC277" s="36"/>
      <c r="JD277" s="36"/>
      <c r="JE277" s="36"/>
      <c r="JF277" s="36"/>
      <c r="JG277" s="36"/>
      <c r="JH277" s="36"/>
      <c r="JI277" s="36"/>
      <c r="JJ277" s="36"/>
      <c r="JK277" s="36"/>
      <c r="JL277" s="37"/>
      <c r="JM277" s="44"/>
      <c r="JN277" s="36"/>
      <c r="JO277" s="36"/>
      <c r="JP277" s="36"/>
      <c r="JQ277" s="36"/>
      <c r="JR277" s="36"/>
      <c r="JS277" s="36"/>
      <c r="JT277" s="36"/>
      <c r="JU277" s="36"/>
      <c r="JV277" s="36"/>
      <c r="JW277" s="36"/>
      <c r="JX277" s="36"/>
      <c r="JY277" s="36"/>
      <c r="JZ277" s="36"/>
      <c r="KA277" s="36"/>
      <c r="KB277" s="36"/>
      <c r="KC277" s="37"/>
      <c r="KD277" s="44"/>
      <c r="KE277" s="36"/>
      <c r="KF277" s="36"/>
      <c r="KG277" s="36"/>
      <c r="KH277" s="36"/>
      <c r="KI277" s="36"/>
      <c r="KJ277" s="36"/>
      <c r="KK277" s="36"/>
      <c r="KL277" s="36"/>
      <c r="KM277" s="36"/>
      <c r="KN277" s="36"/>
      <c r="KO277" s="36"/>
      <c r="KP277" s="36"/>
      <c r="KQ277" s="36"/>
      <c r="KR277" s="36"/>
      <c r="KS277" s="36"/>
      <c r="KT277" s="37"/>
      <c r="KU277" s="36"/>
    </row>
    <row r="278" ht="15.0" customHeight="1">
      <c r="A278" s="44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7"/>
      <c r="R278" s="44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7"/>
      <c r="AI278" s="44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  <c r="AU278" s="36"/>
      <c r="AV278" s="36"/>
      <c r="AW278" s="36"/>
      <c r="AX278" s="36"/>
      <c r="AY278" s="37"/>
      <c r="AZ278" s="44"/>
      <c r="BA278" s="36"/>
      <c r="BB278" s="36"/>
      <c r="BC278" s="36"/>
      <c r="BD278" s="36"/>
      <c r="BE278" s="36"/>
      <c r="BF278" s="36"/>
      <c r="BG278" s="36"/>
      <c r="BH278" s="36"/>
      <c r="BI278" s="36"/>
      <c r="BJ278" s="36"/>
      <c r="BK278" s="36"/>
      <c r="BL278" s="36"/>
      <c r="BM278" s="36"/>
      <c r="BN278" s="36"/>
      <c r="BO278" s="36"/>
      <c r="BP278" s="37"/>
      <c r="BQ278" s="44"/>
      <c r="BR278" s="36"/>
      <c r="BS278" s="36"/>
      <c r="BT278" s="36"/>
      <c r="BU278" s="36"/>
      <c r="BV278" s="36"/>
      <c r="BW278" s="36"/>
      <c r="BX278" s="36"/>
      <c r="BY278" s="36"/>
      <c r="BZ278" s="36"/>
      <c r="CA278" s="36"/>
      <c r="CB278" s="36"/>
      <c r="CC278" s="36"/>
      <c r="CD278" s="36"/>
      <c r="CE278" s="36"/>
      <c r="CF278" s="36"/>
      <c r="CG278" s="37"/>
      <c r="CH278" s="44"/>
      <c r="CI278" s="36"/>
      <c r="CJ278" s="36"/>
      <c r="CK278" s="36"/>
      <c r="CL278" s="36"/>
      <c r="CM278" s="36"/>
      <c r="CN278" s="36"/>
      <c r="CO278" s="36"/>
      <c r="CP278" s="36"/>
      <c r="CQ278" s="36"/>
      <c r="CR278" s="36"/>
      <c r="CS278" s="36"/>
      <c r="CT278" s="36"/>
      <c r="CU278" s="36"/>
      <c r="CV278" s="36"/>
      <c r="CW278" s="36"/>
      <c r="CX278" s="37"/>
      <c r="CY278" s="44"/>
      <c r="CZ278" s="36"/>
      <c r="DA278" s="36"/>
      <c r="DB278" s="36"/>
      <c r="DC278" s="36"/>
      <c r="DD278" s="36"/>
      <c r="DE278" s="36"/>
      <c r="DF278" s="36"/>
      <c r="DG278" s="36"/>
      <c r="DH278" s="36"/>
      <c r="DI278" s="36"/>
      <c r="DJ278" s="36"/>
      <c r="DK278" s="36"/>
      <c r="DL278" s="36"/>
      <c r="DM278" s="36"/>
      <c r="DN278" s="36"/>
      <c r="DO278" s="37"/>
      <c r="DP278" s="44"/>
      <c r="DQ278" s="36"/>
      <c r="DR278" s="36"/>
      <c r="DS278" s="36"/>
      <c r="DT278" s="36"/>
      <c r="DU278" s="36"/>
      <c r="DV278" s="36"/>
      <c r="DW278" s="36"/>
      <c r="DX278" s="36"/>
      <c r="DY278" s="36"/>
      <c r="DZ278" s="36"/>
      <c r="EA278" s="36"/>
      <c r="EB278" s="36"/>
      <c r="EC278" s="36"/>
      <c r="ED278" s="36"/>
      <c r="EE278" s="36"/>
      <c r="EF278" s="37"/>
      <c r="EG278" s="44"/>
      <c r="EH278" s="36"/>
      <c r="EI278" s="36"/>
      <c r="EJ278" s="36"/>
      <c r="EK278" s="36"/>
      <c r="EL278" s="36"/>
      <c r="EM278" s="36"/>
      <c r="EN278" s="36"/>
      <c r="EO278" s="36"/>
      <c r="EP278" s="36"/>
      <c r="EQ278" s="36"/>
      <c r="ER278" s="36"/>
      <c r="ES278" s="36"/>
      <c r="ET278" s="36"/>
      <c r="EU278" s="36"/>
      <c r="EV278" s="36"/>
      <c r="EW278" s="37"/>
      <c r="EX278" s="44"/>
      <c r="EY278" s="36"/>
      <c r="EZ278" s="36"/>
      <c r="FA278" s="36"/>
      <c r="FB278" s="36"/>
      <c r="FC278" s="36"/>
      <c r="FD278" s="36"/>
      <c r="FE278" s="36"/>
      <c r="FF278" s="36"/>
      <c r="FG278" s="36"/>
      <c r="FH278" s="36"/>
      <c r="FI278" s="36"/>
      <c r="FJ278" s="36"/>
      <c r="FK278" s="36"/>
      <c r="FL278" s="36"/>
      <c r="FM278" s="36"/>
      <c r="FN278" s="37"/>
      <c r="FO278" s="44"/>
      <c r="FP278" s="36"/>
      <c r="FQ278" s="36"/>
      <c r="FR278" s="36"/>
      <c r="FS278" s="36"/>
      <c r="FT278" s="36"/>
      <c r="FU278" s="36"/>
      <c r="FV278" s="36"/>
      <c r="FW278" s="36"/>
      <c r="FX278" s="36"/>
      <c r="FY278" s="36"/>
      <c r="FZ278" s="36"/>
      <c r="GA278" s="36"/>
      <c r="GB278" s="36"/>
      <c r="GC278" s="36"/>
      <c r="GD278" s="36"/>
      <c r="GE278" s="37"/>
      <c r="GF278" s="44"/>
      <c r="GG278" s="36"/>
      <c r="GH278" s="36"/>
      <c r="GI278" s="36"/>
      <c r="GJ278" s="36"/>
      <c r="GK278" s="36"/>
      <c r="GL278" s="36"/>
      <c r="GM278" s="36"/>
      <c r="GN278" s="36"/>
      <c r="GO278" s="36"/>
      <c r="GP278" s="36"/>
      <c r="GQ278" s="36"/>
      <c r="GR278" s="36"/>
      <c r="GS278" s="36"/>
      <c r="GT278" s="36"/>
      <c r="GU278" s="36"/>
      <c r="GV278" s="37"/>
      <c r="GW278" s="44"/>
      <c r="GX278" s="36"/>
      <c r="GY278" s="36"/>
      <c r="GZ278" s="36"/>
      <c r="HA278" s="36"/>
      <c r="HB278" s="36"/>
      <c r="HC278" s="36"/>
      <c r="HD278" s="36"/>
      <c r="HE278" s="36"/>
      <c r="HF278" s="36"/>
      <c r="HG278" s="36"/>
      <c r="HH278" s="36"/>
      <c r="HI278" s="36"/>
      <c r="HJ278" s="36"/>
      <c r="HK278" s="36"/>
      <c r="HL278" s="36"/>
      <c r="HM278" s="37"/>
      <c r="HN278" s="44"/>
      <c r="HO278" s="36"/>
      <c r="HP278" s="36"/>
      <c r="HQ278" s="36"/>
      <c r="HR278" s="36"/>
      <c r="HS278" s="36"/>
      <c r="HT278" s="36"/>
      <c r="HU278" s="36"/>
      <c r="HV278" s="36"/>
      <c r="HW278" s="36"/>
      <c r="HX278" s="36"/>
      <c r="HY278" s="36"/>
      <c r="HZ278" s="36"/>
      <c r="IA278" s="36"/>
      <c r="IB278" s="36"/>
      <c r="IC278" s="36"/>
      <c r="ID278" s="37"/>
      <c r="IE278" s="44"/>
      <c r="IF278" s="36"/>
      <c r="IG278" s="36"/>
      <c r="IH278" s="36"/>
      <c r="II278" s="36"/>
      <c r="IJ278" s="36"/>
      <c r="IK278" s="36"/>
      <c r="IL278" s="36"/>
      <c r="IM278" s="36"/>
      <c r="IN278" s="36"/>
      <c r="IO278" s="36"/>
      <c r="IP278" s="36"/>
      <c r="IQ278" s="36"/>
      <c r="IR278" s="36"/>
      <c r="IS278" s="36"/>
      <c r="IT278" s="36"/>
      <c r="IU278" s="37"/>
      <c r="IV278" s="44"/>
      <c r="IW278" s="36"/>
      <c r="IX278" s="36"/>
      <c r="IY278" s="36"/>
      <c r="IZ278" s="36"/>
      <c r="JA278" s="36"/>
      <c r="JB278" s="36"/>
      <c r="JC278" s="36"/>
      <c r="JD278" s="36"/>
      <c r="JE278" s="36"/>
      <c r="JF278" s="36"/>
      <c r="JG278" s="36"/>
      <c r="JH278" s="36"/>
      <c r="JI278" s="36"/>
      <c r="JJ278" s="36"/>
      <c r="JK278" s="36"/>
      <c r="JL278" s="37"/>
      <c r="JM278" s="44"/>
      <c r="JN278" s="36"/>
      <c r="JO278" s="36"/>
      <c r="JP278" s="36"/>
      <c r="JQ278" s="36"/>
      <c r="JR278" s="36"/>
      <c r="JS278" s="36"/>
      <c r="JT278" s="36"/>
      <c r="JU278" s="36"/>
      <c r="JV278" s="36"/>
      <c r="JW278" s="36"/>
      <c r="JX278" s="36"/>
      <c r="JY278" s="36"/>
      <c r="JZ278" s="36"/>
      <c r="KA278" s="36"/>
      <c r="KB278" s="36"/>
      <c r="KC278" s="37"/>
      <c r="KD278" s="44"/>
      <c r="KE278" s="36"/>
      <c r="KF278" s="36"/>
      <c r="KG278" s="36"/>
      <c r="KH278" s="36"/>
      <c r="KI278" s="36"/>
      <c r="KJ278" s="36"/>
      <c r="KK278" s="36"/>
      <c r="KL278" s="36"/>
      <c r="KM278" s="36"/>
      <c r="KN278" s="36"/>
      <c r="KO278" s="36"/>
      <c r="KP278" s="36"/>
      <c r="KQ278" s="36"/>
      <c r="KR278" s="36"/>
      <c r="KS278" s="36"/>
      <c r="KT278" s="37"/>
      <c r="KU278" s="36"/>
    </row>
    <row r="279" ht="15.0" customHeight="1">
      <c r="A279" s="44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7"/>
      <c r="R279" s="44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7"/>
      <c r="AI279" s="44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  <c r="AU279" s="36"/>
      <c r="AV279" s="36"/>
      <c r="AW279" s="36"/>
      <c r="AX279" s="36"/>
      <c r="AY279" s="37"/>
      <c r="AZ279" s="44"/>
      <c r="BA279" s="36"/>
      <c r="BB279" s="36"/>
      <c r="BC279" s="36"/>
      <c r="BD279" s="36"/>
      <c r="BE279" s="36"/>
      <c r="BF279" s="36"/>
      <c r="BG279" s="36"/>
      <c r="BH279" s="36"/>
      <c r="BI279" s="36"/>
      <c r="BJ279" s="36"/>
      <c r="BK279" s="36"/>
      <c r="BL279" s="36"/>
      <c r="BM279" s="36"/>
      <c r="BN279" s="36"/>
      <c r="BO279" s="36"/>
      <c r="BP279" s="37"/>
      <c r="BQ279" s="44"/>
      <c r="BR279" s="36"/>
      <c r="BS279" s="36"/>
      <c r="BT279" s="36"/>
      <c r="BU279" s="36"/>
      <c r="BV279" s="36"/>
      <c r="BW279" s="36"/>
      <c r="BX279" s="36"/>
      <c r="BY279" s="36"/>
      <c r="BZ279" s="36"/>
      <c r="CA279" s="36"/>
      <c r="CB279" s="36"/>
      <c r="CC279" s="36"/>
      <c r="CD279" s="36"/>
      <c r="CE279" s="36"/>
      <c r="CF279" s="36"/>
      <c r="CG279" s="37"/>
      <c r="CH279" s="44"/>
      <c r="CI279" s="36"/>
      <c r="CJ279" s="36"/>
      <c r="CK279" s="36"/>
      <c r="CL279" s="36"/>
      <c r="CM279" s="36"/>
      <c r="CN279" s="36"/>
      <c r="CO279" s="36"/>
      <c r="CP279" s="36"/>
      <c r="CQ279" s="36"/>
      <c r="CR279" s="36"/>
      <c r="CS279" s="36"/>
      <c r="CT279" s="36"/>
      <c r="CU279" s="36"/>
      <c r="CV279" s="36"/>
      <c r="CW279" s="36"/>
      <c r="CX279" s="37"/>
      <c r="CY279" s="44"/>
      <c r="CZ279" s="36"/>
      <c r="DA279" s="36"/>
      <c r="DB279" s="36"/>
      <c r="DC279" s="36"/>
      <c r="DD279" s="36"/>
      <c r="DE279" s="36"/>
      <c r="DF279" s="36"/>
      <c r="DG279" s="36"/>
      <c r="DH279" s="36"/>
      <c r="DI279" s="36"/>
      <c r="DJ279" s="36"/>
      <c r="DK279" s="36"/>
      <c r="DL279" s="36"/>
      <c r="DM279" s="36"/>
      <c r="DN279" s="36"/>
      <c r="DO279" s="37"/>
      <c r="DP279" s="44"/>
      <c r="DQ279" s="36"/>
      <c r="DR279" s="36"/>
      <c r="DS279" s="36"/>
      <c r="DT279" s="36"/>
      <c r="DU279" s="36"/>
      <c r="DV279" s="36"/>
      <c r="DW279" s="36"/>
      <c r="DX279" s="36"/>
      <c r="DY279" s="36"/>
      <c r="DZ279" s="36"/>
      <c r="EA279" s="36"/>
      <c r="EB279" s="36"/>
      <c r="EC279" s="36"/>
      <c r="ED279" s="36"/>
      <c r="EE279" s="36"/>
      <c r="EF279" s="37"/>
      <c r="EG279" s="44"/>
      <c r="EH279" s="36"/>
      <c r="EI279" s="36"/>
      <c r="EJ279" s="36"/>
      <c r="EK279" s="36"/>
      <c r="EL279" s="36"/>
      <c r="EM279" s="36"/>
      <c r="EN279" s="36"/>
      <c r="EO279" s="36"/>
      <c r="EP279" s="36"/>
      <c r="EQ279" s="36"/>
      <c r="ER279" s="36"/>
      <c r="ES279" s="36"/>
      <c r="ET279" s="36"/>
      <c r="EU279" s="36"/>
      <c r="EV279" s="36"/>
      <c r="EW279" s="37"/>
      <c r="EX279" s="44"/>
      <c r="EY279" s="36"/>
      <c r="EZ279" s="36"/>
      <c r="FA279" s="36"/>
      <c r="FB279" s="36"/>
      <c r="FC279" s="36"/>
      <c r="FD279" s="36"/>
      <c r="FE279" s="36"/>
      <c r="FF279" s="36"/>
      <c r="FG279" s="36"/>
      <c r="FH279" s="36"/>
      <c r="FI279" s="36"/>
      <c r="FJ279" s="36"/>
      <c r="FK279" s="36"/>
      <c r="FL279" s="36"/>
      <c r="FM279" s="36"/>
      <c r="FN279" s="37"/>
      <c r="FO279" s="44"/>
      <c r="FP279" s="36"/>
      <c r="FQ279" s="36"/>
      <c r="FR279" s="36"/>
      <c r="FS279" s="36"/>
      <c r="FT279" s="36"/>
      <c r="FU279" s="36"/>
      <c r="FV279" s="36"/>
      <c r="FW279" s="36"/>
      <c r="FX279" s="36"/>
      <c r="FY279" s="36"/>
      <c r="FZ279" s="36"/>
      <c r="GA279" s="36"/>
      <c r="GB279" s="36"/>
      <c r="GC279" s="36"/>
      <c r="GD279" s="36"/>
      <c r="GE279" s="37"/>
      <c r="GF279" s="44"/>
      <c r="GG279" s="36"/>
      <c r="GH279" s="36"/>
      <c r="GI279" s="36"/>
      <c r="GJ279" s="36"/>
      <c r="GK279" s="36"/>
      <c r="GL279" s="36"/>
      <c r="GM279" s="36"/>
      <c r="GN279" s="36"/>
      <c r="GO279" s="36"/>
      <c r="GP279" s="36"/>
      <c r="GQ279" s="36"/>
      <c r="GR279" s="36"/>
      <c r="GS279" s="36"/>
      <c r="GT279" s="36"/>
      <c r="GU279" s="36"/>
      <c r="GV279" s="37"/>
      <c r="GW279" s="44"/>
      <c r="GX279" s="36"/>
      <c r="GY279" s="36"/>
      <c r="GZ279" s="36"/>
      <c r="HA279" s="36"/>
      <c r="HB279" s="36"/>
      <c r="HC279" s="36"/>
      <c r="HD279" s="36"/>
      <c r="HE279" s="36"/>
      <c r="HF279" s="36"/>
      <c r="HG279" s="36"/>
      <c r="HH279" s="36"/>
      <c r="HI279" s="36"/>
      <c r="HJ279" s="36"/>
      <c r="HK279" s="36"/>
      <c r="HL279" s="36"/>
      <c r="HM279" s="37"/>
      <c r="HN279" s="44"/>
      <c r="HO279" s="36"/>
      <c r="HP279" s="36"/>
      <c r="HQ279" s="36"/>
      <c r="HR279" s="36"/>
      <c r="HS279" s="36"/>
      <c r="HT279" s="36"/>
      <c r="HU279" s="36"/>
      <c r="HV279" s="36"/>
      <c r="HW279" s="36"/>
      <c r="HX279" s="36"/>
      <c r="HY279" s="36"/>
      <c r="HZ279" s="36"/>
      <c r="IA279" s="36"/>
      <c r="IB279" s="36"/>
      <c r="IC279" s="36"/>
      <c r="ID279" s="37"/>
      <c r="IE279" s="44"/>
      <c r="IF279" s="36"/>
      <c r="IG279" s="36"/>
      <c r="IH279" s="36"/>
      <c r="II279" s="36"/>
      <c r="IJ279" s="36"/>
      <c r="IK279" s="36"/>
      <c r="IL279" s="36"/>
      <c r="IM279" s="36"/>
      <c r="IN279" s="36"/>
      <c r="IO279" s="36"/>
      <c r="IP279" s="36"/>
      <c r="IQ279" s="36"/>
      <c r="IR279" s="36"/>
      <c r="IS279" s="36"/>
      <c r="IT279" s="36"/>
      <c r="IU279" s="37"/>
      <c r="IV279" s="44"/>
      <c r="IW279" s="36"/>
      <c r="IX279" s="36"/>
      <c r="IY279" s="36"/>
      <c r="IZ279" s="36"/>
      <c r="JA279" s="36"/>
      <c r="JB279" s="36"/>
      <c r="JC279" s="36"/>
      <c r="JD279" s="36"/>
      <c r="JE279" s="36"/>
      <c r="JF279" s="36"/>
      <c r="JG279" s="36"/>
      <c r="JH279" s="36"/>
      <c r="JI279" s="36"/>
      <c r="JJ279" s="36"/>
      <c r="JK279" s="36"/>
      <c r="JL279" s="37"/>
      <c r="JM279" s="44"/>
      <c r="JN279" s="36"/>
      <c r="JO279" s="36"/>
      <c r="JP279" s="36"/>
      <c r="JQ279" s="36"/>
      <c r="JR279" s="36"/>
      <c r="JS279" s="36"/>
      <c r="JT279" s="36"/>
      <c r="JU279" s="36"/>
      <c r="JV279" s="36"/>
      <c r="JW279" s="36"/>
      <c r="JX279" s="36"/>
      <c r="JY279" s="36"/>
      <c r="JZ279" s="36"/>
      <c r="KA279" s="36"/>
      <c r="KB279" s="36"/>
      <c r="KC279" s="37"/>
      <c r="KD279" s="44"/>
      <c r="KE279" s="36"/>
      <c r="KF279" s="36"/>
      <c r="KG279" s="36"/>
      <c r="KH279" s="36"/>
      <c r="KI279" s="36"/>
      <c r="KJ279" s="36"/>
      <c r="KK279" s="36"/>
      <c r="KL279" s="36"/>
      <c r="KM279" s="36"/>
      <c r="KN279" s="36"/>
      <c r="KO279" s="36"/>
      <c r="KP279" s="36"/>
      <c r="KQ279" s="36"/>
      <c r="KR279" s="36"/>
      <c r="KS279" s="36"/>
      <c r="KT279" s="37"/>
      <c r="KU279" s="36"/>
    </row>
    <row r="280" ht="15.0" customHeight="1">
      <c r="A280" s="44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7"/>
      <c r="R280" s="44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7"/>
      <c r="AI280" s="44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  <c r="AV280" s="36"/>
      <c r="AW280" s="36"/>
      <c r="AX280" s="36"/>
      <c r="AY280" s="37"/>
      <c r="AZ280" s="44"/>
      <c r="BA280" s="36"/>
      <c r="BB280" s="36"/>
      <c r="BC280" s="36"/>
      <c r="BD280" s="36"/>
      <c r="BE280" s="36"/>
      <c r="BF280" s="36"/>
      <c r="BG280" s="36"/>
      <c r="BH280" s="36"/>
      <c r="BI280" s="36"/>
      <c r="BJ280" s="36"/>
      <c r="BK280" s="36"/>
      <c r="BL280" s="36"/>
      <c r="BM280" s="36"/>
      <c r="BN280" s="36"/>
      <c r="BO280" s="36"/>
      <c r="BP280" s="37"/>
      <c r="BQ280" s="44"/>
      <c r="BR280" s="36"/>
      <c r="BS280" s="36"/>
      <c r="BT280" s="36"/>
      <c r="BU280" s="36"/>
      <c r="BV280" s="36"/>
      <c r="BW280" s="36"/>
      <c r="BX280" s="36"/>
      <c r="BY280" s="36"/>
      <c r="BZ280" s="36"/>
      <c r="CA280" s="36"/>
      <c r="CB280" s="36"/>
      <c r="CC280" s="36"/>
      <c r="CD280" s="36"/>
      <c r="CE280" s="36"/>
      <c r="CF280" s="36"/>
      <c r="CG280" s="37"/>
      <c r="CH280" s="44"/>
      <c r="CI280" s="36"/>
      <c r="CJ280" s="36"/>
      <c r="CK280" s="36"/>
      <c r="CL280" s="36"/>
      <c r="CM280" s="36"/>
      <c r="CN280" s="36"/>
      <c r="CO280" s="36"/>
      <c r="CP280" s="36"/>
      <c r="CQ280" s="36"/>
      <c r="CR280" s="36"/>
      <c r="CS280" s="36"/>
      <c r="CT280" s="36"/>
      <c r="CU280" s="36"/>
      <c r="CV280" s="36"/>
      <c r="CW280" s="36"/>
      <c r="CX280" s="37"/>
      <c r="CY280" s="44"/>
      <c r="CZ280" s="36"/>
      <c r="DA280" s="36"/>
      <c r="DB280" s="36"/>
      <c r="DC280" s="36"/>
      <c r="DD280" s="36"/>
      <c r="DE280" s="36"/>
      <c r="DF280" s="36"/>
      <c r="DG280" s="36"/>
      <c r="DH280" s="36"/>
      <c r="DI280" s="36"/>
      <c r="DJ280" s="36"/>
      <c r="DK280" s="36"/>
      <c r="DL280" s="36"/>
      <c r="DM280" s="36"/>
      <c r="DN280" s="36"/>
      <c r="DO280" s="37"/>
      <c r="DP280" s="44"/>
      <c r="DQ280" s="36"/>
      <c r="DR280" s="36"/>
      <c r="DS280" s="36"/>
      <c r="DT280" s="36"/>
      <c r="DU280" s="36"/>
      <c r="DV280" s="36"/>
      <c r="DW280" s="36"/>
      <c r="DX280" s="36"/>
      <c r="DY280" s="36"/>
      <c r="DZ280" s="36"/>
      <c r="EA280" s="36"/>
      <c r="EB280" s="36"/>
      <c r="EC280" s="36"/>
      <c r="ED280" s="36"/>
      <c r="EE280" s="36"/>
      <c r="EF280" s="37"/>
      <c r="EG280" s="44"/>
      <c r="EH280" s="36"/>
      <c r="EI280" s="36"/>
      <c r="EJ280" s="36"/>
      <c r="EK280" s="36"/>
      <c r="EL280" s="36"/>
      <c r="EM280" s="36"/>
      <c r="EN280" s="36"/>
      <c r="EO280" s="36"/>
      <c r="EP280" s="36"/>
      <c r="EQ280" s="36"/>
      <c r="ER280" s="36"/>
      <c r="ES280" s="36"/>
      <c r="ET280" s="36"/>
      <c r="EU280" s="36"/>
      <c r="EV280" s="36"/>
      <c r="EW280" s="37"/>
      <c r="EX280" s="44"/>
      <c r="EY280" s="36"/>
      <c r="EZ280" s="36"/>
      <c r="FA280" s="36"/>
      <c r="FB280" s="36"/>
      <c r="FC280" s="36"/>
      <c r="FD280" s="36"/>
      <c r="FE280" s="36"/>
      <c r="FF280" s="36"/>
      <c r="FG280" s="36"/>
      <c r="FH280" s="36"/>
      <c r="FI280" s="36"/>
      <c r="FJ280" s="36"/>
      <c r="FK280" s="36"/>
      <c r="FL280" s="36"/>
      <c r="FM280" s="36"/>
      <c r="FN280" s="37"/>
      <c r="FO280" s="44"/>
      <c r="FP280" s="36"/>
      <c r="FQ280" s="36"/>
      <c r="FR280" s="36"/>
      <c r="FS280" s="36"/>
      <c r="FT280" s="36"/>
      <c r="FU280" s="36"/>
      <c r="FV280" s="36"/>
      <c r="FW280" s="36"/>
      <c r="FX280" s="36"/>
      <c r="FY280" s="36"/>
      <c r="FZ280" s="36"/>
      <c r="GA280" s="36"/>
      <c r="GB280" s="36"/>
      <c r="GC280" s="36"/>
      <c r="GD280" s="36"/>
      <c r="GE280" s="37"/>
      <c r="GF280" s="44"/>
      <c r="GG280" s="36"/>
      <c r="GH280" s="36"/>
      <c r="GI280" s="36"/>
      <c r="GJ280" s="36"/>
      <c r="GK280" s="36"/>
      <c r="GL280" s="36"/>
      <c r="GM280" s="36"/>
      <c r="GN280" s="36"/>
      <c r="GO280" s="36"/>
      <c r="GP280" s="36"/>
      <c r="GQ280" s="36"/>
      <c r="GR280" s="36"/>
      <c r="GS280" s="36"/>
      <c r="GT280" s="36"/>
      <c r="GU280" s="36"/>
      <c r="GV280" s="37"/>
      <c r="GW280" s="44"/>
      <c r="GX280" s="36"/>
      <c r="GY280" s="36"/>
      <c r="GZ280" s="36"/>
      <c r="HA280" s="36"/>
      <c r="HB280" s="36"/>
      <c r="HC280" s="36"/>
      <c r="HD280" s="36"/>
      <c r="HE280" s="36"/>
      <c r="HF280" s="36"/>
      <c r="HG280" s="36"/>
      <c r="HH280" s="36"/>
      <c r="HI280" s="36"/>
      <c r="HJ280" s="36"/>
      <c r="HK280" s="36"/>
      <c r="HL280" s="36"/>
      <c r="HM280" s="37"/>
      <c r="HN280" s="44"/>
      <c r="HO280" s="36"/>
      <c r="HP280" s="36"/>
      <c r="HQ280" s="36"/>
      <c r="HR280" s="36"/>
      <c r="HS280" s="36"/>
      <c r="HT280" s="36"/>
      <c r="HU280" s="36"/>
      <c r="HV280" s="36"/>
      <c r="HW280" s="36"/>
      <c r="HX280" s="36"/>
      <c r="HY280" s="36"/>
      <c r="HZ280" s="36"/>
      <c r="IA280" s="36"/>
      <c r="IB280" s="36"/>
      <c r="IC280" s="36"/>
      <c r="ID280" s="37"/>
      <c r="IE280" s="44"/>
      <c r="IF280" s="36"/>
      <c r="IG280" s="36"/>
      <c r="IH280" s="36"/>
      <c r="II280" s="36"/>
      <c r="IJ280" s="36"/>
      <c r="IK280" s="36"/>
      <c r="IL280" s="36"/>
      <c r="IM280" s="36"/>
      <c r="IN280" s="36"/>
      <c r="IO280" s="36"/>
      <c r="IP280" s="36"/>
      <c r="IQ280" s="36"/>
      <c r="IR280" s="36"/>
      <c r="IS280" s="36"/>
      <c r="IT280" s="36"/>
      <c r="IU280" s="37"/>
      <c r="IV280" s="44"/>
      <c r="IW280" s="36"/>
      <c r="IX280" s="36"/>
      <c r="IY280" s="36"/>
      <c r="IZ280" s="36"/>
      <c r="JA280" s="36"/>
      <c r="JB280" s="36"/>
      <c r="JC280" s="36"/>
      <c r="JD280" s="36"/>
      <c r="JE280" s="36"/>
      <c r="JF280" s="36"/>
      <c r="JG280" s="36"/>
      <c r="JH280" s="36"/>
      <c r="JI280" s="36"/>
      <c r="JJ280" s="36"/>
      <c r="JK280" s="36"/>
      <c r="JL280" s="37"/>
      <c r="JM280" s="44"/>
      <c r="JN280" s="36"/>
      <c r="JO280" s="36"/>
      <c r="JP280" s="36"/>
      <c r="JQ280" s="36"/>
      <c r="JR280" s="36"/>
      <c r="JS280" s="36"/>
      <c r="JT280" s="36"/>
      <c r="JU280" s="36"/>
      <c r="JV280" s="36"/>
      <c r="JW280" s="36"/>
      <c r="JX280" s="36"/>
      <c r="JY280" s="36"/>
      <c r="JZ280" s="36"/>
      <c r="KA280" s="36"/>
      <c r="KB280" s="36"/>
      <c r="KC280" s="37"/>
      <c r="KD280" s="44"/>
      <c r="KE280" s="36"/>
      <c r="KF280" s="36"/>
      <c r="KG280" s="36"/>
      <c r="KH280" s="36"/>
      <c r="KI280" s="36"/>
      <c r="KJ280" s="36"/>
      <c r="KK280" s="36"/>
      <c r="KL280" s="36"/>
      <c r="KM280" s="36"/>
      <c r="KN280" s="36"/>
      <c r="KO280" s="36"/>
      <c r="KP280" s="36"/>
      <c r="KQ280" s="36"/>
      <c r="KR280" s="36"/>
      <c r="KS280" s="36"/>
      <c r="KT280" s="37"/>
      <c r="KU280" s="36"/>
    </row>
    <row r="281" ht="15.0" customHeight="1">
      <c r="A281" s="44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7"/>
      <c r="R281" s="44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7"/>
      <c r="AI281" s="44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  <c r="AU281" s="36"/>
      <c r="AV281" s="36"/>
      <c r="AW281" s="36"/>
      <c r="AX281" s="36"/>
      <c r="AY281" s="37"/>
      <c r="AZ281" s="44"/>
      <c r="BA281" s="36"/>
      <c r="BB281" s="36"/>
      <c r="BC281" s="36"/>
      <c r="BD281" s="36"/>
      <c r="BE281" s="36"/>
      <c r="BF281" s="36"/>
      <c r="BG281" s="36"/>
      <c r="BH281" s="36"/>
      <c r="BI281" s="36"/>
      <c r="BJ281" s="36"/>
      <c r="BK281" s="36"/>
      <c r="BL281" s="36"/>
      <c r="BM281" s="36"/>
      <c r="BN281" s="36"/>
      <c r="BO281" s="36"/>
      <c r="BP281" s="37"/>
      <c r="BQ281" s="44"/>
      <c r="BR281" s="36"/>
      <c r="BS281" s="36"/>
      <c r="BT281" s="36"/>
      <c r="BU281" s="36"/>
      <c r="BV281" s="36"/>
      <c r="BW281" s="36"/>
      <c r="BX281" s="36"/>
      <c r="BY281" s="36"/>
      <c r="BZ281" s="36"/>
      <c r="CA281" s="36"/>
      <c r="CB281" s="36"/>
      <c r="CC281" s="36"/>
      <c r="CD281" s="36"/>
      <c r="CE281" s="36"/>
      <c r="CF281" s="36"/>
      <c r="CG281" s="37"/>
      <c r="CH281" s="44"/>
      <c r="CI281" s="36"/>
      <c r="CJ281" s="36"/>
      <c r="CK281" s="36"/>
      <c r="CL281" s="36"/>
      <c r="CM281" s="36"/>
      <c r="CN281" s="36"/>
      <c r="CO281" s="36"/>
      <c r="CP281" s="36"/>
      <c r="CQ281" s="36"/>
      <c r="CR281" s="36"/>
      <c r="CS281" s="36"/>
      <c r="CT281" s="36"/>
      <c r="CU281" s="36"/>
      <c r="CV281" s="36"/>
      <c r="CW281" s="36"/>
      <c r="CX281" s="37"/>
      <c r="CY281" s="44"/>
      <c r="CZ281" s="36"/>
      <c r="DA281" s="36"/>
      <c r="DB281" s="36"/>
      <c r="DC281" s="36"/>
      <c r="DD281" s="36"/>
      <c r="DE281" s="36"/>
      <c r="DF281" s="36"/>
      <c r="DG281" s="36"/>
      <c r="DH281" s="36"/>
      <c r="DI281" s="36"/>
      <c r="DJ281" s="36"/>
      <c r="DK281" s="36"/>
      <c r="DL281" s="36"/>
      <c r="DM281" s="36"/>
      <c r="DN281" s="36"/>
      <c r="DO281" s="37"/>
      <c r="DP281" s="44"/>
      <c r="DQ281" s="36"/>
      <c r="DR281" s="36"/>
      <c r="DS281" s="36"/>
      <c r="DT281" s="36"/>
      <c r="DU281" s="36"/>
      <c r="DV281" s="36"/>
      <c r="DW281" s="36"/>
      <c r="DX281" s="36"/>
      <c r="DY281" s="36"/>
      <c r="DZ281" s="36"/>
      <c r="EA281" s="36"/>
      <c r="EB281" s="36"/>
      <c r="EC281" s="36"/>
      <c r="ED281" s="36"/>
      <c r="EE281" s="36"/>
      <c r="EF281" s="37"/>
      <c r="EG281" s="44"/>
      <c r="EH281" s="36"/>
      <c r="EI281" s="36"/>
      <c r="EJ281" s="36"/>
      <c r="EK281" s="36"/>
      <c r="EL281" s="36"/>
      <c r="EM281" s="36"/>
      <c r="EN281" s="36"/>
      <c r="EO281" s="36"/>
      <c r="EP281" s="36"/>
      <c r="EQ281" s="36"/>
      <c r="ER281" s="36"/>
      <c r="ES281" s="36"/>
      <c r="ET281" s="36"/>
      <c r="EU281" s="36"/>
      <c r="EV281" s="36"/>
      <c r="EW281" s="37"/>
      <c r="EX281" s="44"/>
      <c r="EY281" s="36"/>
      <c r="EZ281" s="36"/>
      <c r="FA281" s="36"/>
      <c r="FB281" s="36"/>
      <c r="FC281" s="36"/>
      <c r="FD281" s="36"/>
      <c r="FE281" s="36"/>
      <c r="FF281" s="36"/>
      <c r="FG281" s="36"/>
      <c r="FH281" s="36"/>
      <c r="FI281" s="36"/>
      <c r="FJ281" s="36"/>
      <c r="FK281" s="36"/>
      <c r="FL281" s="36"/>
      <c r="FM281" s="36"/>
      <c r="FN281" s="37"/>
      <c r="FO281" s="44"/>
      <c r="FP281" s="36"/>
      <c r="FQ281" s="36"/>
      <c r="FR281" s="36"/>
      <c r="FS281" s="36"/>
      <c r="FT281" s="36"/>
      <c r="FU281" s="36"/>
      <c r="FV281" s="36"/>
      <c r="FW281" s="36"/>
      <c r="FX281" s="36"/>
      <c r="FY281" s="36"/>
      <c r="FZ281" s="36"/>
      <c r="GA281" s="36"/>
      <c r="GB281" s="36"/>
      <c r="GC281" s="36"/>
      <c r="GD281" s="36"/>
      <c r="GE281" s="37"/>
      <c r="GF281" s="44"/>
      <c r="GG281" s="36"/>
      <c r="GH281" s="36"/>
      <c r="GI281" s="36"/>
      <c r="GJ281" s="36"/>
      <c r="GK281" s="36"/>
      <c r="GL281" s="36"/>
      <c r="GM281" s="36"/>
      <c r="GN281" s="36"/>
      <c r="GO281" s="36"/>
      <c r="GP281" s="36"/>
      <c r="GQ281" s="36"/>
      <c r="GR281" s="36"/>
      <c r="GS281" s="36"/>
      <c r="GT281" s="36"/>
      <c r="GU281" s="36"/>
      <c r="GV281" s="37"/>
      <c r="GW281" s="44"/>
      <c r="GX281" s="36"/>
      <c r="GY281" s="36"/>
      <c r="GZ281" s="36"/>
      <c r="HA281" s="36"/>
      <c r="HB281" s="36"/>
      <c r="HC281" s="36"/>
      <c r="HD281" s="36"/>
      <c r="HE281" s="36"/>
      <c r="HF281" s="36"/>
      <c r="HG281" s="36"/>
      <c r="HH281" s="36"/>
      <c r="HI281" s="36"/>
      <c r="HJ281" s="36"/>
      <c r="HK281" s="36"/>
      <c r="HL281" s="36"/>
      <c r="HM281" s="37"/>
      <c r="HN281" s="44"/>
      <c r="HO281" s="36"/>
      <c r="HP281" s="36"/>
      <c r="HQ281" s="36"/>
      <c r="HR281" s="36"/>
      <c r="HS281" s="36"/>
      <c r="HT281" s="36"/>
      <c r="HU281" s="36"/>
      <c r="HV281" s="36"/>
      <c r="HW281" s="36"/>
      <c r="HX281" s="36"/>
      <c r="HY281" s="36"/>
      <c r="HZ281" s="36"/>
      <c r="IA281" s="36"/>
      <c r="IB281" s="36"/>
      <c r="IC281" s="36"/>
      <c r="ID281" s="37"/>
      <c r="IE281" s="44"/>
      <c r="IF281" s="36"/>
      <c r="IG281" s="36"/>
      <c r="IH281" s="36"/>
      <c r="II281" s="36"/>
      <c r="IJ281" s="36"/>
      <c r="IK281" s="36"/>
      <c r="IL281" s="36"/>
      <c r="IM281" s="36"/>
      <c r="IN281" s="36"/>
      <c r="IO281" s="36"/>
      <c r="IP281" s="36"/>
      <c r="IQ281" s="36"/>
      <c r="IR281" s="36"/>
      <c r="IS281" s="36"/>
      <c r="IT281" s="36"/>
      <c r="IU281" s="37"/>
      <c r="IV281" s="44"/>
      <c r="IW281" s="36"/>
      <c r="IX281" s="36"/>
      <c r="IY281" s="36"/>
      <c r="IZ281" s="36"/>
      <c r="JA281" s="36"/>
      <c r="JB281" s="36"/>
      <c r="JC281" s="36"/>
      <c r="JD281" s="36"/>
      <c r="JE281" s="36"/>
      <c r="JF281" s="36"/>
      <c r="JG281" s="36"/>
      <c r="JH281" s="36"/>
      <c r="JI281" s="36"/>
      <c r="JJ281" s="36"/>
      <c r="JK281" s="36"/>
      <c r="JL281" s="37"/>
      <c r="JM281" s="44"/>
      <c r="JN281" s="36"/>
      <c r="JO281" s="36"/>
      <c r="JP281" s="36"/>
      <c r="JQ281" s="36"/>
      <c r="JR281" s="36"/>
      <c r="JS281" s="36"/>
      <c r="JT281" s="36"/>
      <c r="JU281" s="36"/>
      <c r="JV281" s="36"/>
      <c r="JW281" s="36"/>
      <c r="JX281" s="36"/>
      <c r="JY281" s="36"/>
      <c r="JZ281" s="36"/>
      <c r="KA281" s="36"/>
      <c r="KB281" s="36"/>
      <c r="KC281" s="37"/>
      <c r="KD281" s="44"/>
      <c r="KE281" s="36"/>
      <c r="KF281" s="36"/>
      <c r="KG281" s="36"/>
      <c r="KH281" s="36"/>
      <c r="KI281" s="36"/>
      <c r="KJ281" s="36"/>
      <c r="KK281" s="36"/>
      <c r="KL281" s="36"/>
      <c r="KM281" s="36"/>
      <c r="KN281" s="36"/>
      <c r="KO281" s="36"/>
      <c r="KP281" s="36"/>
      <c r="KQ281" s="36"/>
      <c r="KR281" s="36"/>
      <c r="KS281" s="36"/>
      <c r="KT281" s="37"/>
      <c r="KU281" s="36"/>
    </row>
    <row r="282" ht="15.0" customHeight="1">
      <c r="A282" s="44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7"/>
      <c r="R282" s="44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7"/>
      <c r="AI282" s="44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  <c r="AU282" s="36"/>
      <c r="AV282" s="36"/>
      <c r="AW282" s="36"/>
      <c r="AX282" s="36"/>
      <c r="AY282" s="37"/>
      <c r="AZ282" s="44"/>
      <c r="BA282" s="36"/>
      <c r="BB282" s="36"/>
      <c r="BC282" s="36"/>
      <c r="BD282" s="36"/>
      <c r="BE282" s="36"/>
      <c r="BF282" s="36"/>
      <c r="BG282" s="36"/>
      <c r="BH282" s="36"/>
      <c r="BI282" s="36"/>
      <c r="BJ282" s="36"/>
      <c r="BK282" s="36"/>
      <c r="BL282" s="36"/>
      <c r="BM282" s="36"/>
      <c r="BN282" s="36"/>
      <c r="BO282" s="36"/>
      <c r="BP282" s="37"/>
      <c r="BQ282" s="44"/>
      <c r="BR282" s="36"/>
      <c r="BS282" s="36"/>
      <c r="BT282" s="36"/>
      <c r="BU282" s="36"/>
      <c r="BV282" s="36"/>
      <c r="BW282" s="36"/>
      <c r="BX282" s="36"/>
      <c r="BY282" s="36"/>
      <c r="BZ282" s="36"/>
      <c r="CA282" s="36"/>
      <c r="CB282" s="36"/>
      <c r="CC282" s="36"/>
      <c r="CD282" s="36"/>
      <c r="CE282" s="36"/>
      <c r="CF282" s="36"/>
      <c r="CG282" s="37"/>
      <c r="CH282" s="44"/>
      <c r="CI282" s="36"/>
      <c r="CJ282" s="36"/>
      <c r="CK282" s="36"/>
      <c r="CL282" s="36"/>
      <c r="CM282" s="36"/>
      <c r="CN282" s="36"/>
      <c r="CO282" s="36"/>
      <c r="CP282" s="36"/>
      <c r="CQ282" s="36"/>
      <c r="CR282" s="36"/>
      <c r="CS282" s="36"/>
      <c r="CT282" s="36"/>
      <c r="CU282" s="36"/>
      <c r="CV282" s="36"/>
      <c r="CW282" s="36"/>
      <c r="CX282" s="37"/>
      <c r="CY282" s="44"/>
      <c r="CZ282" s="36"/>
      <c r="DA282" s="36"/>
      <c r="DB282" s="36"/>
      <c r="DC282" s="36"/>
      <c r="DD282" s="36"/>
      <c r="DE282" s="36"/>
      <c r="DF282" s="36"/>
      <c r="DG282" s="36"/>
      <c r="DH282" s="36"/>
      <c r="DI282" s="36"/>
      <c r="DJ282" s="36"/>
      <c r="DK282" s="36"/>
      <c r="DL282" s="36"/>
      <c r="DM282" s="36"/>
      <c r="DN282" s="36"/>
      <c r="DO282" s="37"/>
      <c r="DP282" s="44"/>
      <c r="DQ282" s="36"/>
      <c r="DR282" s="36"/>
      <c r="DS282" s="36"/>
      <c r="DT282" s="36"/>
      <c r="DU282" s="36"/>
      <c r="DV282" s="36"/>
      <c r="DW282" s="36"/>
      <c r="DX282" s="36"/>
      <c r="DY282" s="36"/>
      <c r="DZ282" s="36"/>
      <c r="EA282" s="36"/>
      <c r="EB282" s="36"/>
      <c r="EC282" s="36"/>
      <c r="ED282" s="36"/>
      <c r="EE282" s="36"/>
      <c r="EF282" s="37"/>
      <c r="EG282" s="44"/>
      <c r="EH282" s="36"/>
      <c r="EI282" s="36"/>
      <c r="EJ282" s="36"/>
      <c r="EK282" s="36"/>
      <c r="EL282" s="36"/>
      <c r="EM282" s="36"/>
      <c r="EN282" s="36"/>
      <c r="EO282" s="36"/>
      <c r="EP282" s="36"/>
      <c r="EQ282" s="36"/>
      <c r="ER282" s="36"/>
      <c r="ES282" s="36"/>
      <c r="ET282" s="36"/>
      <c r="EU282" s="36"/>
      <c r="EV282" s="36"/>
      <c r="EW282" s="37"/>
      <c r="EX282" s="44"/>
      <c r="EY282" s="36"/>
      <c r="EZ282" s="36"/>
      <c r="FA282" s="36"/>
      <c r="FB282" s="36"/>
      <c r="FC282" s="36"/>
      <c r="FD282" s="36"/>
      <c r="FE282" s="36"/>
      <c r="FF282" s="36"/>
      <c r="FG282" s="36"/>
      <c r="FH282" s="36"/>
      <c r="FI282" s="36"/>
      <c r="FJ282" s="36"/>
      <c r="FK282" s="36"/>
      <c r="FL282" s="36"/>
      <c r="FM282" s="36"/>
      <c r="FN282" s="37"/>
      <c r="FO282" s="44"/>
      <c r="FP282" s="36"/>
      <c r="FQ282" s="36"/>
      <c r="FR282" s="36"/>
      <c r="FS282" s="36"/>
      <c r="FT282" s="36"/>
      <c r="FU282" s="36"/>
      <c r="FV282" s="36"/>
      <c r="FW282" s="36"/>
      <c r="FX282" s="36"/>
      <c r="FY282" s="36"/>
      <c r="FZ282" s="36"/>
      <c r="GA282" s="36"/>
      <c r="GB282" s="36"/>
      <c r="GC282" s="36"/>
      <c r="GD282" s="36"/>
      <c r="GE282" s="37"/>
      <c r="GF282" s="44"/>
      <c r="GG282" s="36"/>
      <c r="GH282" s="36"/>
      <c r="GI282" s="36"/>
      <c r="GJ282" s="36"/>
      <c r="GK282" s="36"/>
      <c r="GL282" s="36"/>
      <c r="GM282" s="36"/>
      <c r="GN282" s="36"/>
      <c r="GO282" s="36"/>
      <c r="GP282" s="36"/>
      <c r="GQ282" s="36"/>
      <c r="GR282" s="36"/>
      <c r="GS282" s="36"/>
      <c r="GT282" s="36"/>
      <c r="GU282" s="36"/>
      <c r="GV282" s="37"/>
      <c r="GW282" s="44"/>
      <c r="GX282" s="36"/>
      <c r="GY282" s="36"/>
      <c r="GZ282" s="36"/>
      <c r="HA282" s="36"/>
      <c r="HB282" s="36"/>
      <c r="HC282" s="36"/>
      <c r="HD282" s="36"/>
      <c r="HE282" s="36"/>
      <c r="HF282" s="36"/>
      <c r="HG282" s="36"/>
      <c r="HH282" s="36"/>
      <c r="HI282" s="36"/>
      <c r="HJ282" s="36"/>
      <c r="HK282" s="36"/>
      <c r="HL282" s="36"/>
      <c r="HM282" s="37"/>
      <c r="HN282" s="44"/>
      <c r="HO282" s="36"/>
      <c r="HP282" s="36"/>
      <c r="HQ282" s="36"/>
      <c r="HR282" s="36"/>
      <c r="HS282" s="36"/>
      <c r="HT282" s="36"/>
      <c r="HU282" s="36"/>
      <c r="HV282" s="36"/>
      <c r="HW282" s="36"/>
      <c r="HX282" s="36"/>
      <c r="HY282" s="36"/>
      <c r="HZ282" s="36"/>
      <c r="IA282" s="36"/>
      <c r="IB282" s="36"/>
      <c r="IC282" s="36"/>
      <c r="ID282" s="37"/>
      <c r="IE282" s="44"/>
      <c r="IF282" s="36"/>
      <c r="IG282" s="36"/>
      <c r="IH282" s="36"/>
      <c r="II282" s="36"/>
      <c r="IJ282" s="36"/>
      <c r="IK282" s="36"/>
      <c r="IL282" s="36"/>
      <c r="IM282" s="36"/>
      <c r="IN282" s="36"/>
      <c r="IO282" s="36"/>
      <c r="IP282" s="36"/>
      <c r="IQ282" s="36"/>
      <c r="IR282" s="36"/>
      <c r="IS282" s="36"/>
      <c r="IT282" s="36"/>
      <c r="IU282" s="37"/>
      <c r="IV282" s="44"/>
      <c r="IW282" s="36"/>
      <c r="IX282" s="36"/>
      <c r="IY282" s="36"/>
      <c r="IZ282" s="36"/>
      <c r="JA282" s="36"/>
      <c r="JB282" s="36"/>
      <c r="JC282" s="36"/>
      <c r="JD282" s="36"/>
      <c r="JE282" s="36"/>
      <c r="JF282" s="36"/>
      <c r="JG282" s="36"/>
      <c r="JH282" s="36"/>
      <c r="JI282" s="36"/>
      <c r="JJ282" s="36"/>
      <c r="JK282" s="36"/>
      <c r="JL282" s="37"/>
      <c r="JM282" s="44"/>
      <c r="JN282" s="36"/>
      <c r="JO282" s="36"/>
      <c r="JP282" s="36"/>
      <c r="JQ282" s="36"/>
      <c r="JR282" s="36"/>
      <c r="JS282" s="36"/>
      <c r="JT282" s="36"/>
      <c r="JU282" s="36"/>
      <c r="JV282" s="36"/>
      <c r="JW282" s="36"/>
      <c r="JX282" s="36"/>
      <c r="JY282" s="36"/>
      <c r="JZ282" s="36"/>
      <c r="KA282" s="36"/>
      <c r="KB282" s="36"/>
      <c r="KC282" s="37"/>
      <c r="KD282" s="44"/>
      <c r="KE282" s="36"/>
      <c r="KF282" s="36"/>
      <c r="KG282" s="36"/>
      <c r="KH282" s="36"/>
      <c r="KI282" s="36"/>
      <c r="KJ282" s="36"/>
      <c r="KK282" s="36"/>
      <c r="KL282" s="36"/>
      <c r="KM282" s="36"/>
      <c r="KN282" s="36"/>
      <c r="KO282" s="36"/>
      <c r="KP282" s="36"/>
      <c r="KQ282" s="36"/>
      <c r="KR282" s="36"/>
      <c r="KS282" s="36"/>
      <c r="KT282" s="37"/>
      <c r="KU282" s="36"/>
    </row>
    <row r="283" ht="15.0" customHeight="1">
      <c r="A283" s="44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7"/>
      <c r="R283" s="44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7"/>
      <c r="AI283" s="44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  <c r="AU283" s="36"/>
      <c r="AV283" s="36"/>
      <c r="AW283" s="36"/>
      <c r="AX283" s="36"/>
      <c r="AY283" s="37"/>
      <c r="AZ283" s="44"/>
      <c r="BA283" s="36"/>
      <c r="BB283" s="36"/>
      <c r="BC283" s="36"/>
      <c r="BD283" s="36"/>
      <c r="BE283" s="36"/>
      <c r="BF283" s="36"/>
      <c r="BG283" s="36"/>
      <c r="BH283" s="36"/>
      <c r="BI283" s="36"/>
      <c r="BJ283" s="36"/>
      <c r="BK283" s="36"/>
      <c r="BL283" s="36"/>
      <c r="BM283" s="36"/>
      <c r="BN283" s="36"/>
      <c r="BO283" s="36"/>
      <c r="BP283" s="37"/>
      <c r="BQ283" s="44"/>
      <c r="BR283" s="36"/>
      <c r="BS283" s="36"/>
      <c r="BT283" s="36"/>
      <c r="BU283" s="36"/>
      <c r="BV283" s="36"/>
      <c r="BW283" s="36"/>
      <c r="BX283" s="36"/>
      <c r="BY283" s="36"/>
      <c r="BZ283" s="36"/>
      <c r="CA283" s="36"/>
      <c r="CB283" s="36"/>
      <c r="CC283" s="36"/>
      <c r="CD283" s="36"/>
      <c r="CE283" s="36"/>
      <c r="CF283" s="36"/>
      <c r="CG283" s="37"/>
      <c r="CH283" s="44"/>
      <c r="CI283" s="36"/>
      <c r="CJ283" s="36"/>
      <c r="CK283" s="36"/>
      <c r="CL283" s="36"/>
      <c r="CM283" s="36"/>
      <c r="CN283" s="36"/>
      <c r="CO283" s="36"/>
      <c r="CP283" s="36"/>
      <c r="CQ283" s="36"/>
      <c r="CR283" s="36"/>
      <c r="CS283" s="36"/>
      <c r="CT283" s="36"/>
      <c r="CU283" s="36"/>
      <c r="CV283" s="36"/>
      <c r="CW283" s="36"/>
      <c r="CX283" s="37"/>
      <c r="CY283" s="44"/>
      <c r="CZ283" s="36"/>
      <c r="DA283" s="36"/>
      <c r="DB283" s="36"/>
      <c r="DC283" s="36"/>
      <c r="DD283" s="36"/>
      <c r="DE283" s="36"/>
      <c r="DF283" s="36"/>
      <c r="DG283" s="36"/>
      <c r="DH283" s="36"/>
      <c r="DI283" s="36"/>
      <c r="DJ283" s="36"/>
      <c r="DK283" s="36"/>
      <c r="DL283" s="36"/>
      <c r="DM283" s="36"/>
      <c r="DN283" s="36"/>
      <c r="DO283" s="37"/>
      <c r="DP283" s="44"/>
      <c r="DQ283" s="36"/>
      <c r="DR283" s="36"/>
      <c r="DS283" s="36"/>
      <c r="DT283" s="36"/>
      <c r="DU283" s="36"/>
      <c r="DV283" s="36"/>
      <c r="DW283" s="36"/>
      <c r="DX283" s="36"/>
      <c r="DY283" s="36"/>
      <c r="DZ283" s="36"/>
      <c r="EA283" s="36"/>
      <c r="EB283" s="36"/>
      <c r="EC283" s="36"/>
      <c r="ED283" s="36"/>
      <c r="EE283" s="36"/>
      <c r="EF283" s="37"/>
      <c r="EG283" s="44"/>
      <c r="EH283" s="36"/>
      <c r="EI283" s="36"/>
      <c r="EJ283" s="36"/>
      <c r="EK283" s="36"/>
      <c r="EL283" s="36"/>
      <c r="EM283" s="36"/>
      <c r="EN283" s="36"/>
      <c r="EO283" s="36"/>
      <c r="EP283" s="36"/>
      <c r="EQ283" s="36"/>
      <c r="ER283" s="36"/>
      <c r="ES283" s="36"/>
      <c r="ET283" s="36"/>
      <c r="EU283" s="36"/>
      <c r="EV283" s="36"/>
      <c r="EW283" s="37"/>
      <c r="EX283" s="44"/>
      <c r="EY283" s="36"/>
      <c r="EZ283" s="36"/>
      <c r="FA283" s="36"/>
      <c r="FB283" s="36"/>
      <c r="FC283" s="36"/>
      <c r="FD283" s="36"/>
      <c r="FE283" s="36"/>
      <c r="FF283" s="36"/>
      <c r="FG283" s="36"/>
      <c r="FH283" s="36"/>
      <c r="FI283" s="36"/>
      <c r="FJ283" s="36"/>
      <c r="FK283" s="36"/>
      <c r="FL283" s="36"/>
      <c r="FM283" s="36"/>
      <c r="FN283" s="37"/>
      <c r="FO283" s="44"/>
      <c r="FP283" s="36"/>
      <c r="FQ283" s="36"/>
      <c r="FR283" s="36"/>
      <c r="FS283" s="36"/>
      <c r="FT283" s="36"/>
      <c r="FU283" s="36"/>
      <c r="FV283" s="36"/>
      <c r="FW283" s="36"/>
      <c r="FX283" s="36"/>
      <c r="FY283" s="36"/>
      <c r="FZ283" s="36"/>
      <c r="GA283" s="36"/>
      <c r="GB283" s="36"/>
      <c r="GC283" s="36"/>
      <c r="GD283" s="36"/>
      <c r="GE283" s="37"/>
      <c r="GF283" s="44"/>
      <c r="GG283" s="36"/>
      <c r="GH283" s="36"/>
      <c r="GI283" s="36"/>
      <c r="GJ283" s="36"/>
      <c r="GK283" s="36"/>
      <c r="GL283" s="36"/>
      <c r="GM283" s="36"/>
      <c r="GN283" s="36"/>
      <c r="GO283" s="36"/>
      <c r="GP283" s="36"/>
      <c r="GQ283" s="36"/>
      <c r="GR283" s="36"/>
      <c r="GS283" s="36"/>
      <c r="GT283" s="36"/>
      <c r="GU283" s="36"/>
      <c r="GV283" s="37"/>
      <c r="GW283" s="44"/>
      <c r="GX283" s="36"/>
      <c r="GY283" s="36"/>
      <c r="GZ283" s="36"/>
      <c r="HA283" s="36"/>
      <c r="HB283" s="36"/>
      <c r="HC283" s="36"/>
      <c r="HD283" s="36"/>
      <c r="HE283" s="36"/>
      <c r="HF283" s="36"/>
      <c r="HG283" s="36"/>
      <c r="HH283" s="36"/>
      <c r="HI283" s="36"/>
      <c r="HJ283" s="36"/>
      <c r="HK283" s="36"/>
      <c r="HL283" s="36"/>
      <c r="HM283" s="37"/>
      <c r="HN283" s="44"/>
      <c r="HO283" s="36"/>
      <c r="HP283" s="36"/>
      <c r="HQ283" s="36"/>
      <c r="HR283" s="36"/>
      <c r="HS283" s="36"/>
      <c r="HT283" s="36"/>
      <c r="HU283" s="36"/>
      <c r="HV283" s="36"/>
      <c r="HW283" s="36"/>
      <c r="HX283" s="36"/>
      <c r="HY283" s="36"/>
      <c r="HZ283" s="36"/>
      <c r="IA283" s="36"/>
      <c r="IB283" s="36"/>
      <c r="IC283" s="36"/>
      <c r="ID283" s="37"/>
      <c r="IE283" s="44"/>
      <c r="IF283" s="36"/>
      <c r="IG283" s="36"/>
      <c r="IH283" s="36"/>
      <c r="II283" s="36"/>
      <c r="IJ283" s="36"/>
      <c r="IK283" s="36"/>
      <c r="IL283" s="36"/>
      <c r="IM283" s="36"/>
      <c r="IN283" s="36"/>
      <c r="IO283" s="36"/>
      <c r="IP283" s="36"/>
      <c r="IQ283" s="36"/>
      <c r="IR283" s="36"/>
      <c r="IS283" s="36"/>
      <c r="IT283" s="36"/>
      <c r="IU283" s="37"/>
      <c r="IV283" s="44"/>
      <c r="IW283" s="36"/>
      <c r="IX283" s="36"/>
      <c r="IY283" s="36"/>
      <c r="IZ283" s="36"/>
      <c r="JA283" s="36"/>
      <c r="JB283" s="36"/>
      <c r="JC283" s="36"/>
      <c r="JD283" s="36"/>
      <c r="JE283" s="36"/>
      <c r="JF283" s="36"/>
      <c r="JG283" s="36"/>
      <c r="JH283" s="36"/>
      <c r="JI283" s="36"/>
      <c r="JJ283" s="36"/>
      <c r="JK283" s="36"/>
      <c r="JL283" s="37"/>
      <c r="JM283" s="44"/>
      <c r="JN283" s="36"/>
      <c r="JO283" s="36"/>
      <c r="JP283" s="36"/>
      <c r="JQ283" s="36"/>
      <c r="JR283" s="36"/>
      <c r="JS283" s="36"/>
      <c r="JT283" s="36"/>
      <c r="JU283" s="36"/>
      <c r="JV283" s="36"/>
      <c r="JW283" s="36"/>
      <c r="JX283" s="36"/>
      <c r="JY283" s="36"/>
      <c r="JZ283" s="36"/>
      <c r="KA283" s="36"/>
      <c r="KB283" s="36"/>
      <c r="KC283" s="37"/>
      <c r="KD283" s="44"/>
      <c r="KE283" s="36"/>
      <c r="KF283" s="36"/>
      <c r="KG283" s="36"/>
      <c r="KH283" s="36"/>
      <c r="KI283" s="36"/>
      <c r="KJ283" s="36"/>
      <c r="KK283" s="36"/>
      <c r="KL283" s="36"/>
      <c r="KM283" s="36"/>
      <c r="KN283" s="36"/>
      <c r="KO283" s="36"/>
      <c r="KP283" s="36"/>
      <c r="KQ283" s="36"/>
      <c r="KR283" s="36"/>
      <c r="KS283" s="36"/>
      <c r="KT283" s="37"/>
      <c r="KU283" s="36"/>
    </row>
    <row r="284" ht="15.0" customHeight="1">
      <c r="A284" s="44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7"/>
      <c r="R284" s="44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7"/>
      <c r="AI284" s="44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  <c r="AU284" s="36"/>
      <c r="AV284" s="36"/>
      <c r="AW284" s="36"/>
      <c r="AX284" s="36"/>
      <c r="AY284" s="37"/>
      <c r="AZ284" s="44"/>
      <c r="BA284" s="36"/>
      <c r="BB284" s="36"/>
      <c r="BC284" s="36"/>
      <c r="BD284" s="36"/>
      <c r="BE284" s="36"/>
      <c r="BF284" s="36"/>
      <c r="BG284" s="36"/>
      <c r="BH284" s="36"/>
      <c r="BI284" s="36"/>
      <c r="BJ284" s="36"/>
      <c r="BK284" s="36"/>
      <c r="BL284" s="36"/>
      <c r="BM284" s="36"/>
      <c r="BN284" s="36"/>
      <c r="BO284" s="36"/>
      <c r="BP284" s="37"/>
      <c r="BQ284" s="44"/>
      <c r="BR284" s="36"/>
      <c r="BS284" s="36"/>
      <c r="BT284" s="36"/>
      <c r="BU284" s="36"/>
      <c r="BV284" s="36"/>
      <c r="BW284" s="36"/>
      <c r="BX284" s="36"/>
      <c r="BY284" s="36"/>
      <c r="BZ284" s="36"/>
      <c r="CA284" s="36"/>
      <c r="CB284" s="36"/>
      <c r="CC284" s="36"/>
      <c r="CD284" s="36"/>
      <c r="CE284" s="36"/>
      <c r="CF284" s="36"/>
      <c r="CG284" s="37"/>
      <c r="CH284" s="44"/>
      <c r="CI284" s="36"/>
      <c r="CJ284" s="36"/>
      <c r="CK284" s="36"/>
      <c r="CL284" s="36"/>
      <c r="CM284" s="36"/>
      <c r="CN284" s="36"/>
      <c r="CO284" s="36"/>
      <c r="CP284" s="36"/>
      <c r="CQ284" s="36"/>
      <c r="CR284" s="36"/>
      <c r="CS284" s="36"/>
      <c r="CT284" s="36"/>
      <c r="CU284" s="36"/>
      <c r="CV284" s="36"/>
      <c r="CW284" s="36"/>
      <c r="CX284" s="37"/>
      <c r="CY284" s="44"/>
      <c r="CZ284" s="36"/>
      <c r="DA284" s="36"/>
      <c r="DB284" s="36"/>
      <c r="DC284" s="36"/>
      <c r="DD284" s="36"/>
      <c r="DE284" s="36"/>
      <c r="DF284" s="36"/>
      <c r="DG284" s="36"/>
      <c r="DH284" s="36"/>
      <c r="DI284" s="36"/>
      <c r="DJ284" s="36"/>
      <c r="DK284" s="36"/>
      <c r="DL284" s="36"/>
      <c r="DM284" s="36"/>
      <c r="DN284" s="36"/>
      <c r="DO284" s="37"/>
      <c r="DP284" s="44"/>
      <c r="DQ284" s="36"/>
      <c r="DR284" s="36"/>
      <c r="DS284" s="36"/>
      <c r="DT284" s="36"/>
      <c r="DU284" s="36"/>
      <c r="DV284" s="36"/>
      <c r="DW284" s="36"/>
      <c r="DX284" s="36"/>
      <c r="DY284" s="36"/>
      <c r="DZ284" s="36"/>
      <c r="EA284" s="36"/>
      <c r="EB284" s="36"/>
      <c r="EC284" s="36"/>
      <c r="ED284" s="36"/>
      <c r="EE284" s="36"/>
      <c r="EF284" s="37"/>
      <c r="EG284" s="44"/>
      <c r="EH284" s="36"/>
      <c r="EI284" s="36"/>
      <c r="EJ284" s="36"/>
      <c r="EK284" s="36"/>
      <c r="EL284" s="36"/>
      <c r="EM284" s="36"/>
      <c r="EN284" s="36"/>
      <c r="EO284" s="36"/>
      <c r="EP284" s="36"/>
      <c r="EQ284" s="36"/>
      <c r="ER284" s="36"/>
      <c r="ES284" s="36"/>
      <c r="ET284" s="36"/>
      <c r="EU284" s="36"/>
      <c r="EV284" s="36"/>
      <c r="EW284" s="37"/>
      <c r="EX284" s="44"/>
      <c r="EY284" s="36"/>
      <c r="EZ284" s="36"/>
      <c r="FA284" s="36"/>
      <c r="FB284" s="36"/>
      <c r="FC284" s="36"/>
      <c r="FD284" s="36"/>
      <c r="FE284" s="36"/>
      <c r="FF284" s="36"/>
      <c r="FG284" s="36"/>
      <c r="FH284" s="36"/>
      <c r="FI284" s="36"/>
      <c r="FJ284" s="36"/>
      <c r="FK284" s="36"/>
      <c r="FL284" s="36"/>
      <c r="FM284" s="36"/>
      <c r="FN284" s="37"/>
      <c r="FO284" s="44"/>
      <c r="FP284" s="36"/>
      <c r="FQ284" s="36"/>
      <c r="FR284" s="36"/>
      <c r="FS284" s="36"/>
      <c r="FT284" s="36"/>
      <c r="FU284" s="36"/>
      <c r="FV284" s="36"/>
      <c r="FW284" s="36"/>
      <c r="FX284" s="36"/>
      <c r="FY284" s="36"/>
      <c r="FZ284" s="36"/>
      <c r="GA284" s="36"/>
      <c r="GB284" s="36"/>
      <c r="GC284" s="36"/>
      <c r="GD284" s="36"/>
      <c r="GE284" s="37"/>
      <c r="GF284" s="44"/>
      <c r="GG284" s="36"/>
      <c r="GH284" s="36"/>
      <c r="GI284" s="36"/>
      <c r="GJ284" s="36"/>
      <c r="GK284" s="36"/>
      <c r="GL284" s="36"/>
      <c r="GM284" s="36"/>
      <c r="GN284" s="36"/>
      <c r="GO284" s="36"/>
      <c r="GP284" s="36"/>
      <c r="GQ284" s="36"/>
      <c r="GR284" s="36"/>
      <c r="GS284" s="36"/>
      <c r="GT284" s="36"/>
      <c r="GU284" s="36"/>
      <c r="GV284" s="37"/>
      <c r="GW284" s="44"/>
      <c r="GX284" s="36"/>
      <c r="GY284" s="36"/>
      <c r="GZ284" s="36"/>
      <c r="HA284" s="36"/>
      <c r="HB284" s="36"/>
      <c r="HC284" s="36"/>
      <c r="HD284" s="36"/>
      <c r="HE284" s="36"/>
      <c r="HF284" s="36"/>
      <c r="HG284" s="36"/>
      <c r="HH284" s="36"/>
      <c r="HI284" s="36"/>
      <c r="HJ284" s="36"/>
      <c r="HK284" s="36"/>
      <c r="HL284" s="36"/>
      <c r="HM284" s="37"/>
      <c r="HN284" s="44"/>
      <c r="HO284" s="36"/>
      <c r="HP284" s="36"/>
      <c r="HQ284" s="36"/>
      <c r="HR284" s="36"/>
      <c r="HS284" s="36"/>
      <c r="HT284" s="36"/>
      <c r="HU284" s="36"/>
      <c r="HV284" s="36"/>
      <c r="HW284" s="36"/>
      <c r="HX284" s="36"/>
      <c r="HY284" s="36"/>
      <c r="HZ284" s="36"/>
      <c r="IA284" s="36"/>
      <c r="IB284" s="36"/>
      <c r="IC284" s="36"/>
      <c r="ID284" s="37"/>
      <c r="IE284" s="44"/>
      <c r="IF284" s="36"/>
      <c r="IG284" s="36"/>
      <c r="IH284" s="36"/>
      <c r="II284" s="36"/>
      <c r="IJ284" s="36"/>
      <c r="IK284" s="36"/>
      <c r="IL284" s="36"/>
      <c r="IM284" s="36"/>
      <c r="IN284" s="36"/>
      <c r="IO284" s="36"/>
      <c r="IP284" s="36"/>
      <c r="IQ284" s="36"/>
      <c r="IR284" s="36"/>
      <c r="IS284" s="36"/>
      <c r="IT284" s="36"/>
      <c r="IU284" s="37"/>
      <c r="IV284" s="44"/>
      <c r="IW284" s="36"/>
      <c r="IX284" s="36"/>
      <c r="IY284" s="36"/>
      <c r="IZ284" s="36"/>
      <c r="JA284" s="36"/>
      <c r="JB284" s="36"/>
      <c r="JC284" s="36"/>
      <c r="JD284" s="36"/>
      <c r="JE284" s="36"/>
      <c r="JF284" s="36"/>
      <c r="JG284" s="36"/>
      <c r="JH284" s="36"/>
      <c r="JI284" s="36"/>
      <c r="JJ284" s="36"/>
      <c r="JK284" s="36"/>
      <c r="JL284" s="37"/>
      <c r="JM284" s="44"/>
      <c r="JN284" s="36"/>
      <c r="JO284" s="36"/>
      <c r="JP284" s="36"/>
      <c r="JQ284" s="36"/>
      <c r="JR284" s="36"/>
      <c r="JS284" s="36"/>
      <c r="JT284" s="36"/>
      <c r="JU284" s="36"/>
      <c r="JV284" s="36"/>
      <c r="JW284" s="36"/>
      <c r="JX284" s="36"/>
      <c r="JY284" s="36"/>
      <c r="JZ284" s="36"/>
      <c r="KA284" s="36"/>
      <c r="KB284" s="36"/>
      <c r="KC284" s="37"/>
      <c r="KD284" s="44"/>
      <c r="KE284" s="36"/>
      <c r="KF284" s="36"/>
      <c r="KG284" s="36"/>
      <c r="KH284" s="36"/>
      <c r="KI284" s="36"/>
      <c r="KJ284" s="36"/>
      <c r="KK284" s="36"/>
      <c r="KL284" s="36"/>
      <c r="KM284" s="36"/>
      <c r="KN284" s="36"/>
      <c r="KO284" s="36"/>
      <c r="KP284" s="36"/>
      <c r="KQ284" s="36"/>
      <c r="KR284" s="36"/>
      <c r="KS284" s="36"/>
      <c r="KT284" s="37"/>
      <c r="KU284" s="36"/>
    </row>
    <row r="285" ht="15.0" customHeight="1">
      <c r="A285" s="44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7"/>
      <c r="R285" s="44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7"/>
      <c r="AI285" s="44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  <c r="AU285" s="36"/>
      <c r="AV285" s="36"/>
      <c r="AW285" s="36"/>
      <c r="AX285" s="36"/>
      <c r="AY285" s="37"/>
      <c r="AZ285" s="44"/>
      <c r="BA285" s="36"/>
      <c r="BB285" s="36"/>
      <c r="BC285" s="36"/>
      <c r="BD285" s="36"/>
      <c r="BE285" s="36"/>
      <c r="BF285" s="36"/>
      <c r="BG285" s="36"/>
      <c r="BH285" s="36"/>
      <c r="BI285" s="36"/>
      <c r="BJ285" s="36"/>
      <c r="BK285" s="36"/>
      <c r="BL285" s="36"/>
      <c r="BM285" s="36"/>
      <c r="BN285" s="36"/>
      <c r="BO285" s="36"/>
      <c r="BP285" s="37"/>
      <c r="BQ285" s="44"/>
      <c r="BR285" s="36"/>
      <c r="BS285" s="36"/>
      <c r="BT285" s="36"/>
      <c r="BU285" s="36"/>
      <c r="BV285" s="36"/>
      <c r="BW285" s="36"/>
      <c r="BX285" s="36"/>
      <c r="BY285" s="36"/>
      <c r="BZ285" s="36"/>
      <c r="CA285" s="36"/>
      <c r="CB285" s="36"/>
      <c r="CC285" s="36"/>
      <c r="CD285" s="36"/>
      <c r="CE285" s="36"/>
      <c r="CF285" s="36"/>
      <c r="CG285" s="37"/>
      <c r="CH285" s="44"/>
      <c r="CI285" s="36"/>
      <c r="CJ285" s="36"/>
      <c r="CK285" s="36"/>
      <c r="CL285" s="36"/>
      <c r="CM285" s="36"/>
      <c r="CN285" s="36"/>
      <c r="CO285" s="36"/>
      <c r="CP285" s="36"/>
      <c r="CQ285" s="36"/>
      <c r="CR285" s="36"/>
      <c r="CS285" s="36"/>
      <c r="CT285" s="36"/>
      <c r="CU285" s="36"/>
      <c r="CV285" s="36"/>
      <c r="CW285" s="36"/>
      <c r="CX285" s="37"/>
      <c r="CY285" s="44"/>
      <c r="CZ285" s="36"/>
      <c r="DA285" s="36"/>
      <c r="DB285" s="36"/>
      <c r="DC285" s="36"/>
      <c r="DD285" s="36"/>
      <c r="DE285" s="36"/>
      <c r="DF285" s="36"/>
      <c r="DG285" s="36"/>
      <c r="DH285" s="36"/>
      <c r="DI285" s="36"/>
      <c r="DJ285" s="36"/>
      <c r="DK285" s="36"/>
      <c r="DL285" s="36"/>
      <c r="DM285" s="36"/>
      <c r="DN285" s="36"/>
      <c r="DO285" s="37"/>
      <c r="DP285" s="44"/>
      <c r="DQ285" s="36"/>
      <c r="DR285" s="36"/>
      <c r="DS285" s="36"/>
      <c r="DT285" s="36"/>
      <c r="DU285" s="36"/>
      <c r="DV285" s="36"/>
      <c r="DW285" s="36"/>
      <c r="DX285" s="36"/>
      <c r="DY285" s="36"/>
      <c r="DZ285" s="36"/>
      <c r="EA285" s="36"/>
      <c r="EB285" s="36"/>
      <c r="EC285" s="36"/>
      <c r="ED285" s="36"/>
      <c r="EE285" s="36"/>
      <c r="EF285" s="37"/>
      <c r="EG285" s="44"/>
      <c r="EH285" s="36"/>
      <c r="EI285" s="36"/>
      <c r="EJ285" s="36"/>
      <c r="EK285" s="36"/>
      <c r="EL285" s="36"/>
      <c r="EM285" s="36"/>
      <c r="EN285" s="36"/>
      <c r="EO285" s="36"/>
      <c r="EP285" s="36"/>
      <c r="EQ285" s="36"/>
      <c r="ER285" s="36"/>
      <c r="ES285" s="36"/>
      <c r="ET285" s="36"/>
      <c r="EU285" s="36"/>
      <c r="EV285" s="36"/>
      <c r="EW285" s="37"/>
      <c r="EX285" s="44"/>
      <c r="EY285" s="36"/>
      <c r="EZ285" s="36"/>
      <c r="FA285" s="36"/>
      <c r="FB285" s="36"/>
      <c r="FC285" s="36"/>
      <c r="FD285" s="36"/>
      <c r="FE285" s="36"/>
      <c r="FF285" s="36"/>
      <c r="FG285" s="36"/>
      <c r="FH285" s="36"/>
      <c r="FI285" s="36"/>
      <c r="FJ285" s="36"/>
      <c r="FK285" s="36"/>
      <c r="FL285" s="36"/>
      <c r="FM285" s="36"/>
      <c r="FN285" s="37"/>
      <c r="FO285" s="44"/>
      <c r="FP285" s="36"/>
      <c r="FQ285" s="36"/>
      <c r="FR285" s="36"/>
      <c r="FS285" s="36"/>
      <c r="FT285" s="36"/>
      <c r="FU285" s="36"/>
      <c r="FV285" s="36"/>
      <c r="FW285" s="36"/>
      <c r="FX285" s="36"/>
      <c r="FY285" s="36"/>
      <c r="FZ285" s="36"/>
      <c r="GA285" s="36"/>
      <c r="GB285" s="36"/>
      <c r="GC285" s="36"/>
      <c r="GD285" s="36"/>
      <c r="GE285" s="37"/>
      <c r="GF285" s="44"/>
      <c r="GG285" s="36"/>
      <c r="GH285" s="36"/>
      <c r="GI285" s="36"/>
      <c r="GJ285" s="36"/>
      <c r="GK285" s="36"/>
      <c r="GL285" s="36"/>
      <c r="GM285" s="36"/>
      <c r="GN285" s="36"/>
      <c r="GO285" s="36"/>
      <c r="GP285" s="36"/>
      <c r="GQ285" s="36"/>
      <c r="GR285" s="36"/>
      <c r="GS285" s="36"/>
      <c r="GT285" s="36"/>
      <c r="GU285" s="36"/>
      <c r="GV285" s="37"/>
      <c r="GW285" s="44"/>
      <c r="GX285" s="36"/>
      <c r="GY285" s="36"/>
      <c r="GZ285" s="36"/>
      <c r="HA285" s="36"/>
      <c r="HB285" s="36"/>
      <c r="HC285" s="36"/>
      <c r="HD285" s="36"/>
      <c r="HE285" s="36"/>
      <c r="HF285" s="36"/>
      <c r="HG285" s="36"/>
      <c r="HH285" s="36"/>
      <c r="HI285" s="36"/>
      <c r="HJ285" s="36"/>
      <c r="HK285" s="36"/>
      <c r="HL285" s="36"/>
      <c r="HM285" s="37"/>
      <c r="HN285" s="44"/>
      <c r="HO285" s="36"/>
      <c r="HP285" s="36"/>
      <c r="HQ285" s="36"/>
      <c r="HR285" s="36"/>
      <c r="HS285" s="36"/>
      <c r="HT285" s="36"/>
      <c r="HU285" s="36"/>
      <c r="HV285" s="36"/>
      <c r="HW285" s="36"/>
      <c r="HX285" s="36"/>
      <c r="HY285" s="36"/>
      <c r="HZ285" s="36"/>
      <c r="IA285" s="36"/>
      <c r="IB285" s="36"/>
      <c r="IC285" s="36"/>
      <c r="ID285" s="37"/>
      <c r="IE285" s="44"/>
      <c r="IF285" s="36"/>
      <c r="IG285" s="36"/>
      <c r="IH285" s="36"/>
      <c r="II285" s="36"/>
      <c r="IJ285" s="36"/>
      <c r="IK285" s="36"/>
      <c r="IL285" s="36"/>
      <c r="IM285" s="36"/>
      <c r="IN285" s="36"/>
      <c r="IO285" s="36"/>
      <c r="IP285" s="36"/>
      <c r="IQ285" s="36"/>
      <c r="IR285" s="36"/>
      <c r="IS285" s="36"/>
      <c r="IT285" s="36"/>
      <c r="IU285" s="37"/>
      <c r="IV285" s="44"/>
      <c r="IW285" s="36"/>
      <c r="IX285" s="36"/>
      <c r="IY285" s="36"/>
      <c r="IZ285" s="36"/>
      <c r="JA285" s="36"/>
      <c r="JB285" s="36"/>
      <c r="JC285" s="36"/>
      <c r="JD285" s="36"/>
      <c r="JE285" s="36"/>
      <c r="JF285" s="36"/>
      <c r="JG285" s="36"/>
      <c r="JH285" s="36"/>
      <c r="JI285" s="36"/>
      <c r="JJ285" s="36"/>
      <c r="JK285" s="36"/>
      <c r="JL285" s="37"/>
      <c r="JM285" s="44"/>
      <c r="JN285" s="36"/>
      <c r="JO285" s="36"/>
      <c r="JP285" s="36"/>
      <c r="JQ285" s="36"/>
      <c r="JR285" s="36"/>
      <c r="JS285" s="36"/>
      <c r="JT285" s="36"/>
      <c r="JU285" s="36"/>
      <c r="JV285" s="36"/>
      <c r="JW285" s="36"/>
      <c r="JX285" s="36"/>
      <c r="JY285" s="36"/>
      <c r="JZ285" s="36"/>
      <c r="KA285" s="36"/>
      <c r="KB285" s="36"/>
      <c r="KC285" s="37"/>
      <c r="KD285" s="44"/>
      <c r="KE285" s="36"/>
      <c r="KF285" s="36"/>
      <c r="KG285" s="36"/>
      <c r="KH285" s="36"/>
      <c r="KI285" s="36"/>
      <c r="KJ285" s="36"/>
      <c r="KK285" s="36"/>
      <c r="KL285" s="36"/>
      <c r="KM285" s="36"/>
      <c r="KN285" s="36"/>
      <c r="KO285" s="36"/>
      <c r="KP285" s="36"/>
      <c r="KQ285" s="36"/>
      <c r="KR285" s="36"/>
      <c r="KS285" s="36"/>
      <c r="KT285" s="37"/>
      <c r="KU285" s="36"/>
    </row>
    <row r="286" ht="15.0" customHeight="1">
      <c r="A286" s="44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7"/>
      <c r="R286" s="44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7"/>
      <c r="AI286" s="44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  <c r="AU286" s="36"/>
      <c r="AV286" s="36"/>
      <c r="AW286" s="36"/>
      <c r="AX286" s="36"/>
      <c r="AY286" s="37"/>
      <c r="AZ286" s="44"/>
      <c r="BA286" s="36"/>
      <c r="BB286" s="36"/>
      <c r="BC286" s="36"/>
      <c r="BD286" s="36"/>
      <c r="BE286" s="36"/>
      <c r="BF286" s="36"/>
      <c r="BG286" s="36"/>
      <c r="BH286" s="36"/>
      <c r="BI286" s="36"/>
      <c r="BJ286" s="36"/>
      <c r="BK286" s="36"/>
      <c r="BL286" s="36"/>
      <c r="BM286" s="36"/>
      <c r="BN286" s="36"/>
      <c r="BO286" s="36"/>
      <c r="BP286" s="37"/>
      <c r="BQ286" s="44"/>
      <c r="BR286" s="36"/>
      <c r="BS286" s="36"/>
      <c r="BT286" s="36"/>
      <c r="BU286" s="36"/>
      <c r="BV286" s="36"/>
      <c r="BW286" s="36"/>
      <c r="BX286" s="36"/>
      <c r="BY286" s="36"/>
      <c r="BZ286" s="36"/>
      <c r="CA286" s="36"/>
      <c r="CB286" s="36"/>
      <c r="CC286" s="36"/>
      <c r="CD286" s="36"/>
      <c r="CE286" s="36"/>
      <c r="CF286" s="36"/>
      <c r="CG286" s="37"/>
      <c r="CH286" s="44"/>
      <c r="CI286" s="36"/>
      <c r="CJ286" s="36"/>
      <c r="CK286" s="36"/>
      <c r="CL286" s="36"/>
      <c r="CM286" s="36"/>
      <c r="CN286" s="36"/>
      <c r="CO286" s="36"/>
      <c r="CP286" s="36"/>
      <c r="CQ286" s="36"/>
      <c r="CR286" s="36"/>
      <c r="CS286" s="36"/>
      <c r="CT286" s="36"/>
      <c r="CU286" s="36"/>
      <c r="CV286" s="36"/>
      <c r="CW286" s="36"/>
      <c r="CX286" s="37"/>
      <c r="CY286" s="44"/>
      <c r="CZ286" s="36"/>
      <c r="DA286" s="36"/>
      <c r="DB286" s="36"/>
      <c r="DC286" s="36"/>
      <c r="DD286" s="36"/>
      <c r="DE286" s="36"/>
      <c r="DF286" s="36"/>
      <c r="DG286" s="36"/>
      <c r="DH286" s="36"/>
      <c r="DI286" s="36"/>
      <c r="DJ286" s="36"/>
      <c r="DK286" s="36"/>
      <c r="DL286" s="36"/>
      <c r="DM286" s="36"/>
      <c r="DN286" s="36"/>
      <c r="DO286" s="37"/>
      <c r="DP286" s="44"/>
      <c r="DQ286" s="36"/>
      <c r="DR286" s="36"/>
      <c r="DS286" s="36"/>
      <c r="DT286" s="36"/>
      <c r="DU286" s="36"/>
      <c r="DV286" s="36"/>
      <c r="DW286" s="36"/>
      <c r="DX286" s="36"/>
      <c r="DY286" s="36"/>
      <c r="DZ286" s="36"/>
      <c r="EA286" s="36"/>
      <c r="EB286" s="36"/>
      <c r="EC286" s="36"/>
      <c r="ED286" s="36"/>
      <c r="EE286" s="36"/>
      <c r="EF286" s="37"/>
      <c r="EG286" s="44"/>
      <c r="EH286" s="36"/>
      <c r="EI286" s="36"/>
      <c r="EJ286" s="36"/>
      <c r="EK286" s="36"/>
      <c r="EL286" s="36"/>
      <c r="EM286" s="36"/>
      <c r="EN286" s="36"/>
      <c r="EO286" s="36"/>
      <c r="EP286" s="36"/>
      <c r="EQ286" s="36"/>
      <c r="ER286" s="36"/>
      <c r="ES286" s="36"/>
      <c r="ET286" s="36"/>
      <c r="EU286" s="36"/>
      <c r="EV286" s="36"/>
      <c r="EW286" s="37"/>
      <c r="EX286" s="44"/>
      <c r="EY286" s="36"/>
      <c r="EZ286" s="36"/>
      <c r="FA286" s="36"/>
      <c r="FB286" s="36"/>
      <c r="FC286" s="36"/>
      <c r="FD286" s="36"/>
      <c r="FE286" s="36"/>
      <c r="FF286" s="36"/>
      <c r="FG286" s="36"/>
      <c r="FH286" s="36"/>
      <c r="FI286" s="36"/>
      <c r="FJ286" s="36"/>
      <c r="FK286" s="36"/>
      <c r="FL286" s="36"/>
      <c r="FM286" s="36"/>
      <c r="FN286" s="37"/>
      <c r="FO286" s="44"/>
      <c r="FP286" s="36"/>
      <c r="FQ286" s="36"/>
      <c r="FR286" s="36"/>
      <c r="FS286" s="36"/>
      <c r="FT286" s="36"/>
      <c r="FU286" s="36"/>
      <c r="FV286" s="36"/>
      <c r="FW286" s="36"/>
      <c r="FX286" s="36"/>
      <c r="FY286" s="36"/>
      <c r="FZ286" s="36"/>
      <c r="GA286" s="36"/>
      <c r="GB286" s="36"/>
      <c r="GC286" s="36"/>
      <c r="GD286" s="36"/>
      <c r="GE286" s="37"/>
      <c r="GF286" s="44"/>
      <c r="GG286" s="36"/>
      <c r="GH286" s="36"/>
      <c r="GI286" s="36"/>
      <c r="GJ286" s="36"/>
      <c r="GK286" s="36"/>
      <c r="GL286" s="36"/>
      <c r="GM286" s="36"/>
      <c r="GN286" s="36"/>
      <c r="GO286" s="36"/>
      <c r="GP286" s="36"/>
      <c r="GQ286" s="36"/>
      <c r="GR286" s="36"/>
      <c r="GS286" s="36"/>
      <c r="GT286" s="36"/>
      <c r="GU286" s="36"/>
      <c r="GV286" s="37"/>
      <c r="GW286" s="44"/>
      <c r="GX286" s="36"/>
      <c r="GY286" s="36"/>
      <c r="GZ286" s="36"/>
      <c r="HA286" s="36"/>
      <c r="HB286" s="36"/>
      <c r="HC286" s="36"/>
      <c r="HD286" s="36"/>
      <c r="HE286" s="36"/>
      <c r="HF286" s="36"/>
      <c r="HG286" s="36"/>
      <c r="HH286" s="36"/>
      <c r="HI286" s="36"/>
      <c r="HJ286" s="36"/>
      <c r="HK286" s="36"/>
      <c r="HL286" s="36"/>
      <c r="HM286" s="37"/>
      <c r="HN286" s="44"/>
      <c r="HO286" s="36"/>
      <c r="HP286" s="36"/>
      <c r="HQ286" s="36"/>
      <c r="HR286" s="36"/>
      <c r="HS286" s="36"/>
      <c r="HT286" s="36"/>
      <c r="HU286" s="36"/>
      <c r="HV286" s="36"/>
      <c r="HW286" s="36"/>
      <c r="HX286" s="36"/>
      <c r="HY286" s="36"/>
      <c r="HZ286" s="36"/>
      <c r="IA286" s="36"/>
      <c r="IB286" s="36"/>
      <c r="IC286" s="36"/>
      <c r="ID286" s="37"/>
      <c r="IE286" s="44"/>
      <c r="IF286" s="36"/>
      <c r="IG286" s="36"/>
      <c r="IH286" s="36"/>
      <c r="II286" s="36"/>
      <c r="IJ286" s="36"/>
      <c r="IK286" s="36"/>
      <c r="IL286" s="36"/>
      <c r="IM286" s="36"/>
      <c r="IN286" s="36"/>
      <c r="IO286" s="36"/>
      <c r="IP286" s="36"/>
      <c r="IQ286" s="36"/>
      <c r="IR286" s="36"/>
      <c r="IS286" s="36"/>
      <c r="IT286" s="36"/>
      <c r="IU286" s="37"/>
      <c r="IV286" s="44"/>
      <c r="IW286" s="36"/>
      <c r="IX286" s="36"/>
      <c r="IY286" s="36"/>
      <c r="IZ286" s="36"/>
      <c r="JA286" s="36"/>
      <c r="JB286" s="36"/>
      <c r="JC286" s="36"/>
      <c r="JD286" s="36"/>
      <c r="JE286" s="36"/>
      <c r="JF286" s="36"/>
      <c r="JG286" s="36"/>
      <c r="JH286" s="36"/>
      <c r="JI286" s="36"/>
      <c r="JJ286" s="36"/>
      <c r="JK286" s="36"/>
      <c r="JL286" s="37"/>
      <c r="JM286" s="44"/>
      <c r="JN286" s="36"/>
      <c r="JO286" s="36"/>
      <c r="JP286" s="36"/>
      <c r="JQ286" s="36"/>
      <c r="JR286" s="36"/>
      <c r="JS286" s="36"/>
      <c r="JT286" s="36"/>
      <c r="JU286" s="36"/>
      <c r="JV286" s="36"/>
      <c r="JW286" s="36"/>
      <c r="JX286" s="36"/>
      <c r="JY286" s="36"/>
      <c r="JZ286" s="36"/>
      <c r="KA286" s="36"/>
      <c r="KB286" s="36"/>
      <c r="KC286" s="37"/>
      <c r="KD286" s="44"/>
      <c r="KE286" s="36"/>
      <c r="KF286" s="36"/>
      <c r="KG286" s="36"/>
      <c r="KH286" s="36"/>
      <c r="KI286" s="36"/>
      <c r="KJ286" s="36"/>
      <c r="KK286" s="36"/>
      <c r="KL286" s="36"/>
      <c r="KM286" s="36"/>
      <c r="KN286" s="36"/>
      <c r="KO286" s="36"/>
      <c r="KP286" s="36"/>
      <c r="KQ286" s="36"/>
      <c r="KR286" s="36"/>
      <c r="KS286" s="36"/>
      <c r="KT286" s="37"/>
      <c r="KU286" s="36"/>
    </row>
    <row r="287" ht="15.0" customHeight="1">
      <c r="A287" s="44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7"/>
      <c r="R287" s="44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7"/>
      <c r="AI287" s="44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  <c r="AU287" s="36"/>
      <c r="AV287" s="36"/>
      <c r="AW287" s="36"/>
      <c r="AX287" s="36"/>
      <c r="AY287" s="37"/>
      <c r="AZ287" s="44"/>
      <c r="BA287" s="36"/>
      <c r="BB287" s="36"/>
      <c r="BC287" s="36"/>
      <c r="BD287" s="36"/>
      <c r="BE287" s="36"/>
      <c r="BF287" s="36"/>
      <c r="BG287" s="36"/>
      <c r="BH287" s="36"/>
      <c r="BI287" s="36"/>
      <c r="BJ287" s="36"/>
      <c r="BK287" s="36"/>
      <c r="BL287" s="36"/>
      <c r="BM287" s="36"/>
      <c r="BN287" s="36"/>
      <c r="BO287" s="36"/>
      <c r="BP287" s="37"/>
      <c r="BQ287" s="44"/>
      <c r="BR287" s="36"/>
      <c r="BS287" s="36"/>
      <c r="BT287" s="36"/>
      <c r="BU287" s="36"/>
      <c r="BV287" s="36"/>
      <c r="BW287" s="36"/>
      <c r="BX287" s="36"/>
      <c r="BY287" s="36"/>
      <c r="BZ287" s="36"/>
      <c r="CA287" s="36"/>
      <c r="CB287" s="36"/>
      <c r="CC287" s="36"/>
      <c r="CD287" s="36"/>
      <c r="CE287" s="36"/>
      <c r="CF287" s="36"/>
      <c r="CG287" s="37"/>
      <c r="CH287" s="44"/>
      <c r="CI287" s="36"/>
      <c r="CJ287" s="36"/>
      <c r="CK287" s="36"/>
      <c r="CL287" s="36"/>
      <c r="CM287" s="36"/>
      <c r="CN287" s="36"/>
      <c r="CO287" s="36"/>
      <c r="CP287" s="36"/>
      <c r="CQ287" s="36"/>
      <c r="CR287" s="36"/>
      <c r="CS287" s="36"/>
      <c r="CT287" s="36"/>
      <c r="CU287" s="36"/>
      <c r="CV287" s="36"/>
      <c r="CW287" s="36"/>
      <c r="CX287" s="37"/>
      <c r="CY287" s="44"/>
      <c r="CZ287" s="36"/>
      <c r="DA287" s="36"/>
      <c r="DB287" s="36"/>
      <c r="DC287" s="36"/>
      <c r="DD287" s="36"/>
      <c r="DE287" s="36"/>
      <c r="DF287" s="36"/>
      <c r="DG287" s="36"/>
      <c r="DH287" s="36"/>
      <c r="DI287" s="36"/>
      <c r="DJ287" s="36"/>
      <c r="DK287" s="36"/>
      <c r="DL287" s="36"/>
      <c r="DM287" s="36"/>
      <c r="DN287" s="36"/>
      <c r="DO287" s="37"/>
      <c r="DP287" s="44"/>
      <c r="DQ287" s="36"/>
      <c r="DR287" s="36"/>
      <c r="DS287" s="36"/>
      <c r="DT287" s="36"/>
      <c r="DU287" s="36"/>
      <c r="DV287" s="36"/>
      <c r="DW287" s="36"/>
      <c r="DX287" s="36"/>
      <c r="DY287" s="36"/>
      <c r="DZ287" s="36"/>
      <c r="EA287" s="36"/>
      <c r="EB287" s="36"/>
      <c r="EC287" s="36"/>
      <c r="ED287" s="36"/>
      <c r="EE287" s="36"/>
      <c r="EF287" s="37"/>
      <c r="EG287" s="44"/>
      <c r="EH287" s="36"/>
      <c r="EI287" s="36"/>
      <c r="EJ287" s="36"/>
      <c r="EK287" s="36"/>
      <c r="EL287" s="36"/>
      <c r="EM287" s="36"/>
      <c r="EN287" s="36"/>
      <c r="EO287" s="36"/>
      <c r="EP287" s="36"/>
      <c r="EQ287" s="36"/>
      <c r="ER287" s="36"/>
      <c r="ES287" s="36"/>
      <c r="ET287" s="36"/>
      <c r="EU287" s="36"/>
      <c r="EV287" s="36"/>
      <c r="EW287" s="37"/>
      <c r="EX287" s="44"/>
      <c r="EY287" s="36"/>
      <c r="EZ287" s="36"/>
      <c r="FA287" s="36"/>
      <c r="FB287" s="36"/>
      <c r="FC287" s="36"/>
      <c r="FD287" s="36"/>
      <c r="FE287" s="36"/>
      <c r="FF287" s="36"/>
      <c r="FG287" s="36"/>
      <c r="FH287" s="36"/>
      <c r="FI287" s="36"/>
      <c r="FJ287" s="36"/>
      <c r="FK287" s="36"/>
      <c r="FL287" s="36"/>
      <c r="FM287" s="36"/>
      <c r="FN287" s="37"/>
      <c r="FO287" s="44"/>
      <c r="FP287" s="36"/>
      <c r="FQ287" s="36"/>
      <c r="FR287" s="36"/>
      <c r="FS287" s="36"/>
      <c r="FT287" s="36"/>
      <c r="FU287" s="36"/>
      <c r="FV287" s="36"/>
      <c r="FW287" s="36"/>
      <c r="FX287" s="36"/>
      <c r="FY287" s="36"/>
      <c r="FZ287" s="36"/>
      <c r="GA287" s="36"/>
      <c r="GB287" s="36"/>
      <c r="GC287" s="36"/>
      <c r="GD287" s="36"/>
      <c r="GE287" s="37"/>
      <c r="GF287" s="44"/>
      <c r="GG287" s="36"/>
      <c r="GH287" s="36"/>
      <c r="GI287" s="36"/>
      <c r="GJ287" s="36"/>
      <c r="GK287" s="36"/>
      <c r="GL287" s="36"/>
      <c r="GM287" s="36"/>
      <c r="GN287" s="36"/>
      <c r="GO287" s="36"/>
      <c r="GP287" s="36"/>
      <c r="GQ287" s="36"/>
      <c r="GR287" s="36"/>
      <c r="GS287" s="36"/>
      <c r="GT287" s="36"/>
      <c r="GU287" s="36"/>
      <c r="GV287" s="37"/>
      <c r="GW287" s="44"/>
      <c r="GX287" s="36"/>
      <c r="GY287" s="36"/>
      <c r="GZ287" s="36"/>
      <c r="HA287" s="36"/>
      <c r="HB287" s="36"/>
      <c r="HC287" s="36"/>
      <c r="HD287" s="36"/>
      <c r="HE287" s="36"/>
      <c r="HF287" s="36"/>
      <c r="HG287" s="36"/>
      <c r="HH287" s="36"/>
      <c r="HI287" s="36"/>
      <c r="HJ287" s="36"/>
      <c r="HK287" s="36"/>
      <c r="HL287" s="36"/>
      <c r="HM287" s="37"/>
      <c r="HN287" s="44"/>
      <c r="HO287" s="36"/>
      <c r="HP287" s="36"/>
      <c r="HQ287" s="36"/>
      <c r="HR287" s="36"/>
      <c r="HS287" s="36"/>
      <c r="HT287" s="36"/>
      <c r="HU287" s="36"/>
      <c r="HV287" s="36"/>
      <c r="HW287" s="36"/>
      <c r="HX287" s="36"/>
      <c r="HY287" s="36"/>
      <c r="HZ287" s="36"/>
      <c r="IA287" s="36"/>
      <c r="IB287" s="36"/>
      <c r="IC287" s="36"/>
      <c r="ID287" s="37"/>
      <c r="IE287" s="44"/>
      <c r="IF287" s="36"/>
      <c r="IG287" s="36"/>
      <c r="IH287" s="36"/>
      <c r="II287" s="36"/>
      <c r="IJ287" s="36"/>
      <c r="IK287" s="36"/>
      <c r="IL287" s="36"/>
      <c r="IM287" s="36"/>
      <c r="IN287" s="36"/>
      <c r="IO287" s="36"/>
      <c r="IP287" s="36"/>
      <c r="IQ287" s="36"/>
      <c r="IR287" s="36"/>
      <c r="IS287" s="36"/>
      <c r="IT287" s="36"/>
      <c r="IU287" s="37"/>
      <c r="IV287" s="44"/>
      <c r="IW287" s="36"/>
      <c r="IX287" s="36"/>
      <c r="IY287" s="36"/>
      <c r="IZ287" s="36"/>
      <c r="JA287" s="36"/>
      <c r="JB287" s="36"/>
      <c r="JC287" s="36"/>
      <c r="JD287" s="36"/>
      <c r="JE287" s="36"/>
      <c r="JF287" s="36"/>
      <c r="JG287" s="36"/>
      <c r="JH287" s="36"/>
      <c r="JI287" s="36"/>
      <c r="JJ287" s="36"/>
      <c r="JK287" s="36"/>
      <c r="JL287" s="37"/>
      <c r="JM287" s="44"/>
      <c r="JN287" s="36"/>
      <c r="JO287" s="36"/>
      <c r="JP287" s="36"/>
      <c r="JQ287" s="36"/>
      <c r="JR287" s="36"/>
      <c r="JS287" s="36"/>
      <c r="JT287" s="36"/>
      <c r="JU287" s="36"/>
      <c r="JV287" s="36"/>
      <c r="JW287" s="36"/>
      <c r="JX287" s="36"/>
      <c r="JY287" s="36"/>
      <c r="JZ287" s="36"/>
      <c r="KA287" s="36"/>
      <c r="KB287" s="36"/>
      <c r="KC287" s="37"/>
      <c r="KD287" s="44"/>
      <c r="KE287" s="36"/>
      <c r="KF287" s="36"/>
      <c r="KG287" s="36"/>
      <c r="KH287" s="36"/>
      <c r="KI287" s="36"/>
      <c r="KJ287" s="36"/>
      <c r="KK287" s="36"/>
      <c r="KL287" s="36"/>
      <c r="KM287" s="36"/>
      <c r="KN287" s="36"/>
      <c r="KO287" s="36"/>
      <c r="KP287" s="36"/>
      <c r="KQ287" s="36"/>
      <c r="KR287" s="36"/>
      <c r="KS287" s="36"/>
      <c r="KT287" s="37"/>
      <c r="KU287" s="36"/>
    </row>
    <row r="288" ht="15.0" customHeight="1">
      <c r="A288" s="44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7"/>
      <c r="R288" s="44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7"/>
      <c r="AI288" s="44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/>
      <c r="AU288" s="36"/>
      <c r="AV288" s="36"/>
      <c r="AW288" s="36"/>
      <c r="AX288" s="36"/>
      <c r="AY288" s="37"/>
      <c r="AZ288" s="44"/>
      <c r="BA288" s="36"/>
      <c r="BB288" s="36"/>
      <c r="BC288" s="36"/>
      <c r="BD288" s="36"/>
      <c r="BE288" s="36"/>
      <c r="BF288" s="36"/>
      <c r="BG288" s="36"/>
      <c r="BH288" s="36"/>
      <c r="BI288" s="36"/>
      <c r="BJ288" s="36"/>
      <c r="BK288" s="36"/>
      <c r="BL288" s="36"/>
      <c r="BM288" s="36"/>
      <c r="BN288" s="36"/>
      <c r="BO288" s="36"/>
      <c r="BP288" s="37"/>
      <c r="BQ288" s="44"/>
      <c r="BR288" s="36"/>
      <c r="BS288" s="36"/>
      <c r="BT288" s="36"/>
      <c r="BU288" s="36"/>
      <c r="BV288" s="36"/>
      <c r="BW288" s="36"/>
      <c r="BX288" s="36"/>
      <c r="BY288" s="36"/>
      <c r="BZ288" s="36"/>
      <c r="CA288" s="36"/>
      <c r="CB288" s="36"/>
      <c r="CC288" s="36"/>
      <c r="CD288" s="36"/>
      <c r="CE288" s="36"/>
      <c r="CF288" s="36"/>
      <c r="CG288" s="37"/>
      <c r="CH288" s="44"/>
      <c r="CI288" s="36"/>
      <c r="CJ288" s="36"/>
      <c r="CK288" s="36"/>
      <c r="CL288" s="36"/>
      <c r="CM288" s="36"/>
      <c r="CN288" s="36"/>
      <c r="CO288" s="36"/>
      <c r="CP288" s="36"/>
      <c r="CQ288" s="36"/>
      <c r="CR288" s="36"/>
      <c r="CS288" s="36"/>
      <c r="CT288" s="36"/>
      <c r="CU288" s="36"/>
      <c r="CV288" s="36"/>
      <c r="CW288" s="36"/>
      <c r="CX288" s="37"/>
      <c r="CY288" s="44"/>
      <c r="CZ288" s="36"/>
      <c r="DA288" s="36"/>
      <c r="DB288" s="36"/>
      <c r="DC288" s="36"/>
      <c r="DD288" s="36"/>
      <c r="DE288" s="36"/>
      <c r="DF288" s="36"/>
      <c r="DG288" s="36"/>
      <c r="DH288" s="36"/>
      <c r="DI288" s="36"/>
      <c r="DJ288" s="36"/>
      <c r="DK288" s="36"/>
      <c r="DL288" s="36"/>
      <c r="DM288" s="36"/>
      <c r="DN288" s="36"/>
      <c r="DO288" s="37"/>
      <c r="DP288" s="44"/>
      <c r="DQ288" s="36"/>
      <c r="DR288" s="36"/>
      <c r="DS288" s="36"/>
      <c r="DT288" s="36"/>
      <c r="DU288" s="36"/>
      <c r="DV288" s="36"/>
      <c r="DW288" s="36"/>
      <c r="DX288" s="36"/>
      <c r="DY288" s="36"/>
      <c r="DZ288" s="36"/>
      <c r="EA288" s="36"/>
      <c r="EB288" s="36"/>
      <c r="EC288" s="36"/>
      <c r="ED288" s="36"/>
      <c r="EE288" s="36"/>
      <c r="EF288" s="37"/>
      <c r="EG288" s="44"/>
      <c r="EH288" s="36"/>
      <c r="EI288" s="36"/>
      <c r="EJ288" s="36"/>
      <c r="EK288" s="36"/>
      <c r="EL288" s="36"/>
      <c r="EM288" s="36"/>
      <c r="EN288" s="36"/>
      <c r="EO288" s="36"/>
      <c r="EP288" s="36"/>
      <c r="EQ288" s="36"/>
      <c r="ER288" s="36"/>
      <c r="ES288" s="36"/>
      <c r="ET288" s="36"/>
      <c r="EU288" s="36"/>
      <c r="EV288" s="36"/>
      <c r="EW288" s="37"/>
      <c r="EX288" s="44"/>
      <c r="EY288" s="36"/>
      <c r="EZ288" s="36"/>
      <c r="FA288" s="36"/>
      <c r="FB288" s="36"/>
      <c r="FC288" s="36"/>
      <c r="FD288" s="36"/>
      <c r="FE288" s="36"/>
      <c r="FF288" s="36"/>
      <c r="FG288" s="36"/>
      <c r="FH288" s="36"/>
      <c r="FI288" s="36"/>
      <c r="FJ288" s="36"/>
      <c r="FK288" s="36"/>
      <c r="FL288" s="36"/>
      <c r="FM288" s="36"/>
      <c r="FN288" s="37"/>
      <c r="FO288" s="44"/>
      <c r="FP288" s="36"/>
      <c r="FQ288" s="36"/>
      <c r="FR288" s="36"/>
      <c r="FS288" s="36"/>
      <c r="FT288" s="36"/>
      <c r="FU288" s="36"/>
      <c r="FV288" s="36"/>
      <c r="FW288" s="36"/>
      <c r="FX288" s="36"/>
      <c r="FY288" s="36"/>
      <c r="FZ288" s="36"/>
      <c r="GA288" s="36"/>
      <c r="GB288" s="36"/>
      <c r="GC288" s="36"/>
      <c r="GD288" s="36"/>
      <c r="GE288" s="37"/>
      <c r="GF288" s="44"/>
      <c r="GG288" s="36"/>
      <c r="GH288" s="36"/>
      <c r="GI288" s="36"/>
      <c r="GJ288" s="36"/>
      <c r="GK288" s="36"/>
      <c r="GL288" s="36"/>
      <c r="GM288" s="36"/>
      <c r="GN288" s="36"/>
      <c r="GO288" s="36"/>
      <c r="GP288" s="36"/>
      <c r="GQ288" s="36"/>
      <c r="GR288" s="36"/>
      <c r="GS288" s="36"/>
      <c r="GT288" s="36"/>
      <c r="GU288" s="36"/>
      <c r="GV288" s="37"/>
      <c r="GW288" s="44"/>
      <c r="GX288" s="36"/>
      <c r="GY288" s="36"/>
      <c r="GZ288" s="36"/>
      <c r="HA288" s="36"/>
      <c r="HB288" s="36"/>
      <c r="HC288" s="36"/>
      <c r="HD288" s="36"/>
      <c r="HE288" s="36"/>
      <c r="HF288" s="36"/>
      <c r="HG288" s="36"/>
      <c r="HH288" s="36"/>
      <c r="HI288" s="36"/>
      <c r="HJ288" s="36"/>
      <c r="HK288" s="36"/>
      <c r="HL288" s="36"/>
      <c r="HM288" s="37"/>
      <c r="HN288" s="44"/>
      <c r="HO288" s="36"/>
      <c r="HP288" s="36"/>
      <c r="HQ288" s="36"/>
      <c r="HR288" s="36"/>
      <c r="HS288" s="36"/>
      <c r="HT288" s="36"/>
      <c r="HU288" s="36"/>
      <c r="HV288" s="36"/>
      <c r="HW288" s="36"/>
      <c r="HX288" s="36"/>
      <c r="HY288" s="36"/>
      <c r="HZ288" s="36"/>
      <c r="IA288" s="36"/>
      <c r="IB288" s="36"/>
      <c r="IC288" s="36"/>
      <c r="ID288" s="37"/>
      <c r="IE288" s="44"/>
      <c r="IF288" s="36"/>
      <c r="IG288" s="36"/>
      <c r="IH288" s="36"/>
      <c r="II288" s="36"/>
      <c r="IJ288" s="36"/>
      <c r="IK288" s="36"/>
      <c r="IL288" s="36"/>
      <c r="IM288" s="36"/>
      <c r="IN288" s="36"/>
      <c r="IO288" s="36"/>
      <c r="IP288" s="36"/>
      <c r="IQ288" s="36"/>
      <c r="IR288" s="36"/>
      <c r="IS288" s="36"/>
      <c r="IT288" s="36"/>
      <c r="IU288" s="37"/>
      <c r="IV288" s="44"/>
      <c r="IW288" s="36"/>
      <c r="IX288" s="36"/>
      <c r="IY288" s="36"/>
      <c r="IZ288" s="36"/>
      <c r="JA288" s="36"/>
      <c r="JB288" s="36"/>
      <c r="JC288" s="36"/>
      <c r="JD288" s="36"/>
      <c r="JE288" s="36"/>
      <c r="JF288" s="36"/>
      <c r="JG288" s="36"/>
      <c r="JH288" s="36"/>
      <c r="JI288" s="36"/>
      <c r="JJ288" s="36"/>
      <c r="JK288" s="36"/>
      <c r="JL288" s="37"/>
      <c r="JM288" s="44"/>
      <c r="JN288" s="36"/>
      <c r="JO288" s="36"/>
      <c r="JP288" s="36"/>
      <c r="JQ288" s="36"/>
      <c r="JR288" s="36"/>
      <c r="JS288" s="36"/>
      <c r="JT288" s="36"/>
      <c r="JU288" s="36"/>
      <c r="JV288" s="36"/>
      <c r="JW288" s="36"/>
      <c r="JX288" s="36"/>
      <c r="JY288" s="36"/>
      <c r="JZ288" s="36"/>
      <c r="KA288" s="36"/>
      <c r="KB288" s="36"/>
      <c r="KC288" s="37"/>
      <c r="KD288" s="44"/>
      <c r="KE288" s="36"/>
      <c r="KF288" s="36"/>
      <c r="KG288" s="36"/>
      <c r="KH288" s="36"/>
      <c r="KI288" s="36"/>
      <c r="KJ288" s="36"/>
      <c r="KK288" s="36"/>
      <c r="KL288" s="36"/>
      <c r="KM288" s="36"/>
      <c r="KN288" s="36"/>
      <c r="KO288" s="36"/>
      <c r="KP288" s="36"/>
      <c r="KQ288" s="36"/>
      <c r="KR288" s="36"/>
      <c r="KS288" s="36"/>
      <c r="KT288" s="37"/>
      <c r="KU288" s="36"/>
    </row>
    <row r="289" ht="15.0" customHeight="1">
      <c r="A289" s="44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7"/>
      <c r="R289" s="44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7"/>
      <c r="AI289" s="44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  <c r="AU289" s="36"/>
      <c r="AV289" s="36"/>
      <c r="AW289" s="36"/>
      <c r="AX289" s="36"/>
      <c r="AY289" s="37"/>
      <c r="AZ289" s="44"/>
      <c r="BA289" s="36"/>
      <c r="BB289" s="36"/>
      <c r="BC289" s="36"/>
      <c r="BD289" s="36"/>
      <c r="BE289" s="36"/>
      <c r="BF289" s="36"/>
      <c r="BG289" s="36"/>
      <c r="BH289" s="36"/>
      <c r="BI289" s="36"/>
      <c r="BJ289" s="36"/>
      <c r="BK289" s="36"/>
      <c r="BL289" s="36"/>
      <c r="BM289" s="36"/>
      <c r="BN289" s="36"/>
      <c r="BO289" s="36"/>
      <c r="BP289" s="37"/>
      <c r="BQ289" s="44"/>
      <c r="BR289" s="36"/>
      <c r="BS289" s="36"/>
      <c r="BT289" s="36"/>
      <c r="BU289" s="36"/>
      <c r="BV289" s="36"/>
      <c r="BW289" s="36"/>
      <c r="BX289" s="36"/>
      <c r="BY289" s="36"/>
      <c r="BZ289" s="36"/>
      <c r="CA289" s="36"/>
      <c r="CB289" s="36"/>
      <c r="CC289" s="36"/>
      <c r="CD289" s="36"/>
      <c r="CE289" s="36"/>
      <c r="CF289" s="36"/>
      <c r="CG289" s="37"/>
      <c r="CH289" s="44"/>
      <c r="CI289" s="36"/>
      <c r="CJ289" s="36"/>
      <c r="CK289" s="36"/>
      <c r="CL289" s="36"/>
      <c r="CM289" s="36"/>
      <c r="CN289" s="36"/>
      <c r="CO289" s="36"/>
      <c r="CP289" s="36"/>
      <c r="CQ289" s="36"/>
      <c r="CR289" s="36"/>
      <c r="CS289" s="36"/>
      <c r="CT289" s="36"/>
      <c r="CU289" s="36"/>
      <c r="CV289" s="36"/>
      <c r="CW289" s="36"/>
      <c r="CX289" s="37"/>
      <c r="CY289" s="44"/>
      <c r="CZ289" s="36"/>
      <c r="DA289" s="36"/>
      <c r="DB289" s="36"/>
      <c r="DC289" s="36"/>
      <c r="DD289" s="36"/>
      <c r="DE289" s="36"/>
      <c r="DF289" s="36"/>
      <c r="DG289" s="36"/>
      <c r="DH289" s="36"/>
      <c r="DI289" s="36"/>
      <c r="DJ289" s="36"/>
      <c r="DK289" s="36"/>
      <c r="DL289" s="36"/>
      <c r="DM289" s="36"/>
      <c r="DN289" s="36"/>
      <c r="DO289" s="37"/>
      <c r="DP289" s="44"/>
      <c r="DQ289" s="36"/>
      <c r="DR289" s="36"/>
      <c r="DS289" s="36"/>
      <c r="DT289" s="36"/>
      <c r="DU289" s="36"/>
      <c r="DV289" s="36"/>
      <c r="DW289" s="36"/>
      <c r="DX289" s="36"/>
      <c r="DY289" s="36"/>
      <c r="DZ289" s="36"/>
      <c r="EA289" s="36"/>
      <c r="EB289" s="36"/>
      <c r="EC289" s="36"/>
      <c r="ED289" s="36"/>
      <c r="EE289" s="36"/>
      <c r="EF289" s="37"/>
      <c r="EG289" s="44"/>
      <c r="EH289" s="36"/>
      <c r="EI289" s="36"/>
      <c r="EJ289" s="36"/>
      <c r="EK289" s="36"/>
      <c r="EL289" s="36"/>
      <c r="EM289" s="36"/>
      <c r="EN289" s="36"/>
      <c r="EO289" s="36"/>
      <c r="EP289" s="36"/>
      <c r="EQ289" s="36"/>
      <c r="ER289" s="36"/>
      <c r="ES289" s="36"/>
      <c r="ET289" s="36"/>
      <c r="EU289" s="36"/>
      <c r="EV289" s="36"/>
      <c r="EW289" s="37"/>
      <c r="EX289" s="44"/>
      <c r="EY289" s="36"/>
      <c r="EZ289" s="36"/>
      <c r="FA289" s="36"/>
      <c r="FB289" s="36"/>
      <c r="FC289" s="36"/>
      <c r="FD289" s="36"/>
      <c r="FE289" s="36"/>
      <c r="FF289" s="36"/>
      <c r="FG289" s="36"/>
      <c r="FH289" s="36"/>
      <c r="FI289" s="36"/>
      <c r="FJ289" s="36"/>
      <c r="FK289" s="36"/>
      <c r="FL289" s="36"/>
      <c r="FM289" s="36"/>
      <c r="FN289" s="37"/>
      <c r="FO289" s="44"/>
      <c r="FP289" s="36"/>
      <c r="FQ289" s="36"/>
      <c r="FR289" s="36"/>
      <c r="FS289" s="36"/>
      <c r="FT289" s="36"/>
      <c r="FU289" s="36"/>
      <c r="FV289" s="36"/>
      <c r="FW289" s="36"/>
      <c r="FX289" s="36"/>
      <c r="FY289" s="36"/>
      <c r="FZ289" s="36"/>
      <c r="GA289" s="36"/>
      <c r="GB289" s="36"/>
      <c r="GC289" s="36"/>
      <c r="GD289" s="36"/>
      <c r="GE289" s="37"/>
      <c r="GF289" s="44"/>
      <c r="GG289" s="36"/>
      <c r="GH289" s="36"/>
      <c r="GI289" s="36"/>
      <c r="GJ289" s="36"/>
      <c r="GK289" s="36"/>
      <c r="GL289" s="36"/>
      <c r="GM289" s="36"/>
      <c r="GN289" s="36"/>
      <c r="GO289" s="36"/>
      <c r="GP289" s="36"/>
      <c r="GQ289" s="36"/>
      <c r="GR289" s="36"/>
      <c r="GS289" s="36"/>
      <c r="GT289" s="36"/>
      <c r="GU289" s="36"/>
      <c r="GV289" s="37"/>
      <c r="GW289" s="44"/>
      <c r="GX289" s="36"/>
      <c r="GY289" s="36"/>
      <c r="GZ289" s="36"/>
      <c r="HA289" s="36"/>
      <c r="HB289" s="36"/>
      <c r="HC289" s="36"/>
      <c r="HD289" s="36"/>
      <c r="HE289" s="36"/>
      <c r="HF289" s="36"/>
      <c r="HG289" s="36"/>
      <c r="HH289" s="36"/>
      <c r="HI289" s="36"/>
      <c r="HJ289" s="36"/>
      <c r="HK289" s="36"/>
      <c r="HL289" s="36"/>
      <c r="HM289" s="37"/>
      <c r="HN289" s="44"/>
      <c r="HO289" s="36"/>
      <c r="HP289" s="36"/>
      <c r="HQ289" s="36"/>
      <c r="HR289" s="36"/>
      <c r="HS289" s="36"/>
      <c r="HT289" s="36"/>
      <c r="HU289" s="36"/>
      <c r="HV289" s="36"/>
      <c r="HW289" s="36"/>
      <c r="HX289" s="36"/>
      <c r="HY289" s="36"/>
      <c r="HZ289" s="36"/>
      <c r="IA289" s="36"/>
      <c r="IB289" s="36"/>
      <c r="IC289" s="36"/>
      <c r="ID289" s="37"/>
      <c r="IE289" s="44"/>
      <c r="IF289" s="36"/>
      <c r="IG289" s="36"/>
      <c r="IH289" s="36"/>
      <c r="II289" s="36"/>
      <c r="IJ289" s="36"/>
      <c r="IK289" s="36"/>
      <c r="IL289" s="36"/>
      <c r="IM289" s="36"/>
      <c r="IN289" s="36"/>
      <c r="IO289" s="36"/>
      <c r="IP289" s="36"/>
      <c r="IQ289" s="36"/>
      <c r="IR289" s="36"/>
      <c r="IS289" s="36"/>
      <c r="IT289" s="36"/>
      <c r="IU289" s="37"/>
      <c r="IV289" s="44"/>
      <c r="IW289" s="36"/>
      <c r="IX289" s="36"/>
      <c r="IY289" s="36"/>
      <c r="IZ289" s="36"/>
      <c r="JA289" s="36"/>
      <c r="JB289" s="36"/>
      <c r="JC289" s="36"/>
      <c r="JD289" s="36"/>
      <c r="JE289" s="36"/>
      <c r="JF289" s="36"/>
      <c r="JG289" s="36"/>
      <c r="JH289" s="36"/>
      <c r="JI289" s="36"/>
      <c r="JJ289" s="36"/>
      <c r="JK289" s="36"/>
      <c r="JL289" s="37"/>
      <c r="JM289" s="44"/>
      <c r="JN289" s="36"/>
      <c r="JO289" s="36"/>
      <c r="JP289" s="36"/>
      <c r="JQ289" s="36"/>
      <c r="JR289" s="36"/>
      <c r="JS289" s="36"/>
      <c r="JT289" s="36"/>
      <c r="JU289" s="36"/>
      <c r="JV289" s="36"/>
      <c r="JW289" s="36"/>
      <c r="JX289" s="36"/>
      <c r="JY289" s="36"/>
      <c r="JZ289" s="36"/>
      <c r="KA289" s="36"/>
      <c r="KB289" s="36"/>
      <c r="KC289" s="37"/>
      <c r="KD289" s="44"/>
      <c r="KE289" s="36"/>
      <c r="KF289" s="36"/>
      <c r="KG289" s="36"/>
      <c r="KH289" s="36"/>
      <c r="KI289" s="36"/>
      <c r="KJ289" s="36"/>
      <c r="KK289" s="36"/>
      <c r="KL289" s="36"/>
      <c r="KM289" s="36"/>
      <c r="KN289" s="36"/>
      <c r="KO289" s="36"/>
      <c r="KP289" s="36"/>
      <c r="KQ289" s="36"/>
      <c r="KR289" s="36"/>
      <c r="KS289" s="36"/>
      <c r="KT289" s="37"/>
      <c r="KU289" s="36"/>
    </row>
    <row r="290" ht="15.0" customHeight="1">
      <c r="A290" s="44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7"/>
      <c r="R290" s="44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7"/>
      <c r="AI290" s="44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36"/>
      <c r="AU290" s="36"/>
      <c r="AV290" s="36"/>
      <c r="AW290" s="36"/>
      <c r="AX290" s="36"/>
      <c r="AY290" s="37"/>
      <c r="AZ290" s="44"/>
      <c r="BA290" s="36"/>
      <c r="BB290" s="36"/>
      <c r="BC290" s="36"/>
      <c r="BD290" s="36"/>
      <c r="BE290" s="36"/>
      <c r="BF290" s="36"/>
      <c r="BG290" s="36"/>
      <c r="BH290" s="36"/>
      <c r="BI290" s="36"/>
      <c r="BJ290" s="36"/>
      <c r="BK290" s="36"/>
      <c r="BL290" s="36"/>
      <c r="BM290" s="36"/>
      <c r="BN290" s="36"/>
      <c r="BO290" s="36"/>
      <c r="BP290" s="37"/>
      <c r="BQ290" s="44"/>
      <c r="BR290" s="36"/>
      <c r="BS290" s="36"/>
      <c r="BT290" s="36"/>
      <c r="BU290" s="36"/>
      <c r="BV290" s="36"/>
      <c r="BW290" s="36"/>
      <c r="BX290" s="36"/>
      <c r="BY290" s="36"/>
      <c r="BZ290" s="36"/>
      <c r="CA290" s="36"/>
      <c r="CB290" s="36"/>
      <c r="CC290" s="36"/>
      <c r="CD290" s="36"/>
      <c r="CE290" s="36"/>
      <c r="CF290" s="36"/>
      <c r="CG290" s="37"/>
      <c r="CH290" s="44"/>
      <c r="CI290" s="36"/>
      <c r="CJ290" s="36"/>
      <c r="CK290" s="36"/>
      <c r="CL290" s="36"/>
      <c r="CM290" s="36"/>
      <c r="CN290" s="36"/>
      <c r="CO290" s="36"/>
      <c r="CP290" s="36"/>
      <c r="CQ290" s="36"/>
      <c r="CR290" s="36"/>
      <c r="CS290" s="36"/>
      <c r="CT290" s="36"/>
      <c r="CU290" s="36"/>
      <c r="CV290" s="36"/>
      <c r="CW290" s="36"/>
      <c r="CX290" s="37"/>
      <c r="CY290" s="44"/>
      <c r="CZ290" s="36"/>
      <c r="DA290" s="36"/>
      <c r="DB290" s="36"/>
      <c r="DC290" s="36"/>
      <c r="DD290" s="36"/>
      <c r="DE290" s="36"/>
      <c r="DF290" s="36"/>
      <c r="DG290" s="36"/>
      <c r="DH290" s="36"/>
      <c r="DI290" s="36"/>
      <c r="DJ290" s="36"/>
      <c r="DK290" s="36"/>
      <c r="DL290" s="36"/>
      <c r="DM290" s="36"/>
      <c r="DN290" s="36"/>
      <c r="DO290" s="37"/>
      <c r="DP290" s="44"/>
      <c r="DQ290" s="36"/>
      <c r="DR290" s="36"/>
      <c r="DS290" s="36"/>
      <c r="DT290" s="36"/>
      <c r="DU290" s="36"/>
      <c r="DV290" s="36"/>
      <c r="DW290" s="36"/>
      <c r="DX290" s="36"/>
      <c r="DY290" s="36"/>
      <c r="DZ290" s="36"/>
      <c r="EA290" s="36"/>
      <c r="EB290" s="36"/>
      <c r="EC290" s="36"/>
      <c r="ED290" s="36"/>
      <c r="EE290" s="36"/>
      <c r="EF290" s="37"/>
      <c r="EG290" s="44"/>
      <c r="EH290" s="36"/>
      <c r="EI290" s="36"/>
      <c r="EJ290" s="36"/>
      <c r="EK290" s="36"/>
      <c r="EL290" s="36"/>
      <c r="EM290" s="36"/>
      <c r="EN290" s="36"/>
      <c r="EO290" s="36"/>
      <c r="EP290" s="36"/>
      <c r="EQ290" s="36"/>
      <c r="ER290" s="36"/>
      <c r="ES290" s="36"/>
      <c r="ET290" s="36"/>
      <c r="EU290" s="36"/>
      <c r="EV290" s="36"/>
      <c r="EW290" s="37"/>
      <c r="EX290" s="44"/>
      <c r="EY290" s="36"/>
      <c r="EZ290" s="36"/>
      <c r="FA290" s="36"/>
      <c r="FB290" s="36"/>
      <c r="FC290" s="36"/>
      <c r="FD290" s="36"/>
      <c r="FE290" s="36"/>
      <c r="FF290" s="36"/>
      <c r="FG290" s="36"/>
      <c r="FH290" s="36"/>
      <c r="FI290" s="36"/>
      <c r="FJ290" s="36"/>
      <c r="FK290" s="36"/>
      <c r="FL290" s="36"/>
      <c r="FM290" s="36"/>
      <c r="FN290" s="37"/>
      <c r="FO290" s="44"/>
      <c r="FP290" s="36"/>
      <c r="FQ290" s="36"/>
      <c r="FR290" s="36"/>
      <c r="FS290" s="36"/>
      <c r="FT290" s="36"/>
      <c r="FU290" s="36"/>
      <c r="FV290" s="36"/>
      <c r="FW290" s="36"/>
      <c r="FX290" s="36"/>
      <c r="FY290" s="36"/>
      <c r="FZ290" s="36"/>
      <c r="GA290" s="36"/>
      <c r="GB290" s="36"/>
      <c r="GC290" s="36"/>
      <c r="GD290" s="36"/>
      <c r="GE290" s="37"/>
      <c r="GF290" s="44"/>
      <c r="GG290" s="36"/>
      <c r="GH290" s="36"/>
      <c r="GI290" s="36"/>
      <c r="GJ290" s="36"/>
      <c r="GK290" s="36"/>
      <c r="GL290" s="36"/>
      <c r="GM290" s="36"/>
      <c r="GN290" s="36"/>
      <c r="GO290" s="36"/>
      <c r="GP290" s="36"/>
      <c r="GQ290" s="36"/>
      <c r="GR290" s="36"/>
      <c r="GS290" s="36"/>
      <c r="GT290" s="36"/>
      <c r="GU290" s="36"/>
      <c r="GV290" s="37"/>
      <c r="GW290" s="44"/>
      <c r="GX290" s="36"/>
      <c r="GY290" s="36"/>
      <c r="GZ290" s="36"/>
      <c r="HA290" s="36"/>
      <c r="HB290" s="36"/>
      <c r="HC290" s="36"/>
      <c r="HD290" s="36"/>
      <c r="HE290" s="36"/>
      <c r="HF290" s="36"/>
      <c r="HG290" s="36"/>
      <c r="HH290" s="36"/>
      <c r="HI290" s="36"/>
      <c r="HJ290" s="36"/>
      <c r="HK290" s="36"/>
      <c r="HL290" s="36"/>
      <c r="HM290" s="37"/>
      <c r="HN290" s="44"/>
      <c r="HO290" s="36"/>
      <c r="HP290" s="36"/>
      <c r="HQ290" s="36"/>
      <c r="HR290" s="36"/>
      <c r="HS290" s="36"/>
      <c r="HT290" s="36"/>
      <c r="HU290" s="36"/>
      <c r="HV290" s="36"/>
      <c r="HW290" s="36"/>
      <c r="HX290" s="36"/>
      <c r="HY290" s="36"/>
      <c r="HZ290" s="36"/>
      <c r="IA290" s="36"/>
      <c r="IB290" s="36"/>
      <c r="IC290" s="36"/>
      <c r="ID290" s="37"/>
      <c r="IE290" s="44"/>
      <c r="IF290" s="36"/>
      <c r="IG290" s="36"/>
      <c r="IH290" s="36"/>
      <c r="II290" s="36"/>
      <c r="IJ290" s="36"/>
      <c r="IK290" s="36"/>
      <c r="IL290" s="36"/>
      <c r="IM290" s="36"/>
      <c r="IN290" s="36"/>
      <c r="IO290" s="36"/>
      <c r="IP290" s="36"/>
      <c r="IQ290" s="36"/>
      <c r="IR290" s="36"/>
      <c r="IS290" s="36"/>
      <c r="IT290" s="36"/>
      <c r="IU290" s="37"/>
      <c r="IV290" s="44"/>
      <c r="IW290" s="36"/>
      <c r="IX290" s="36"/>
      <c r="IY290" s="36"/>
      <c r="IZ290" s="36"/>
      <c r="JA290" s="36"/>
      <c r="JB290" s="36"/>
      <c r="JC290" s="36"/>
      <c r="JD290" s="36"/>
      <c r="JE290" s="36"/>
      <c r="JF290" s="36"/>
      <c r="JG290" s="36"/>
      <c r="JH290" s="36"/>
      <c r="JI290" s="36"/>
      <c r="JJ290" s="36"/>
      <c r="JK290" s="36"/>
      <c r="JL290" s="37"/>
      <c r="JM290" s="44"/>
      <c r="JN290" s="36"/>
      <c r="JO290" s="36"/>
      <c r="JP290" s="36"/>
      <c r="JQ290" s="36"/>
      <c r="JR290" s="36"/>
      <c r="JS290" s="36"/>
      <c r="JT290" s="36"/>
      <c r="JU290" s="36"/>
      <c r="JV290" s="36"/>
      <c r="JW290" s="36"/>
      <c r="JX290" s="36"/>
      <c r="JY290" s="36"/>
      <c r="JZ290" s="36"/>
      <c r="KA290" s="36"/>
      <c r="KB290" s="36"/>
      <c r="KC290" s="37"/>
      <c r="KD290" s="44"/>
      <c r="KE290" s="36"/>
      <c r="KF290" s="36"/>
      <c r="KG290" s="36"/>
      <c r="KH290" s="36"/>
      <c r="KI290" s="36"/>
      <c r="KJ290" s="36"/>
      <c r="KK290" s="36"/>
      <c r="KL290" s="36"/>
      <c r="KM290" s="36"/>
      <c r="KN290" s="36"/>
      <c r="KO290" s="36"/>
      <c r="KP290" s="36"/>
      <c r="KQ290" s="36"/>
      <c r="KR290" s="36"/>
      <c r="KS290" s="36"/>
      <c r="KT290" s="37"/>
      <c r="KU290" s="36"/>
    </row>
    <row r="291" ht="15.0" customHeight="1">
      <c r="A291" s="44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7"/>
      <c r="R291" s="44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7"/>
      <c r="AI291" s="44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  <c r="AU291" s="36"/>
      <c r="AV291" s="36"/>
      <c r="AW291" s="36"/>
      <c r="AX291" s="36"/>
      <c r="AY291" s="37"/>
      <c r="AZ291" s="44"/>
      <c r="BA291" s="36"/>
      <c r="BB291" s="36"/>
      <c r="BC291" s="36"/>
      <c r="BD291" s="36"/>
      <c r="BE291" s="36"/>
      <c r="BF291" s="36"/>
      <c r="BG291" s="36"/>
      <c r="BH291" s="36"/>
      <c r="BI291" s="36"/>
      <c r="BJ291" s="36"/>
      <c r="BK291" s="36"/>
      <c r="BL291" s="36"/>
      <c r="BM291" s="36"/>
      <c r="BN291" s="36"/>
      <c r="BO291" s="36"/>
      <c r="BP291" s="37"/>
      <c r="BQ291" s="44"/>
      <c r="BR291" s="36"/>
      <c r="BS291" s="36"/>
      <c r="BT291" s="36"/>
      <c r="BU291" s="36"/>
      <c r="BV291" s="36"/>
      <c r="BW291" s="36"/>
      <c r="BX291" s="36"/>
      <c r="BY291" s="36"/>
      <c r="BZ291" s="36"/>
      <c r="CA291" s="36"/>
      <c r="CB291" s="36"/>
      <c r="CC291" s="36"/>
      <c r="CD291" s="36"/>
      <c r="CE291" s="36"/>
      <c r="CF291" s="36"/>
      <c r="CG291" s="37"/>
      <c r="CH291" s="44"/>
      <c r="CI291" s="36"/>
      <c r="CJ291" s="36"/>
      <c r="CK291" s="36"/>
      <c r="CL291" s="36"/>
      <c r="CM291" s="36"/>
      <c r="CN291" s="36"/>
      <c r="CO291" s="36"/>
      <c r="CP291" s="36"/>
      <c r="CQ291" s="36"/>
      <c r="CR291" s="36"/>
      <c r="CS291" s="36"/>
      <c r="CT291" s="36"/>
      <c r="CU291" s="36"/>
      <c r="CV291" s="36"/>
      <c r="CW291" s="36"/>
      <c r="CX291" s="37"/>
      <c r="CY291" s="44"/>
      <c r="CZ291" s="36"/>
      <c r="DA291" s="36"/>
      <c r="DB291" s="36"/>
      <c r="DC291" s="36"/>
      <c r="DD291" s="36"/>
      <c r="DE291" s="36"/>
      <c r="DF291" s="36"/>
      <c r="DG291" s="36"/>
      <c r="DH291" s="36"/>
      <c r="DI291" s="36"/>
      <c r="DJ291" s="36"/>
      <c r="DK291" s="36"/>
      <c r="DL291" s="36"/>
      <c r="DM291" s="36"/>
      <c r="DN291" s="36"/>
      <c r="DO291" s="37"/>
      <c r="DP291" s="44"/>
      <c r="DQ291" s="36"/>
      <c r="DR291" s="36"/>
      <c r="DS291" s="36"/>
      <c r="DT291" s="36"/>
      <c r="DU291" s="36"/>
      <c r="DV291" s="36"/>
      <c r="DW291" s="36"/>
      <c r="DX291" s="36"/>
      <c r="DY291" s="36"/>
      <c r="DZ291" s="36"/>
      <c r="EA291" s="36"/>
      <c r="EB291" s="36"/>
      <c r="EC291" s="36"/>
      <c r="ED291" s="36"/>
      <c r="EE291" s="36"/>
      <c r="EF291" s="37"/>
      <c r="EG291" s="44"/>
      <c r="EH291" s="36"/>
      <c r="EI291" s="36"/>
      <c r="EJ291" s="36"/>
      <c r="EK291" s="36"/>
      <c r="EL291" s="36"/>
      <c r="EM291" s="36"/>
      <c r="EN291" s="36"/>
      <c r="EO291" s="36"/>
      <c r="EP291" s="36"/>
      <c r="EQ291" s="36"/>
      <c r="ER291" s="36"/>
      <c r="ES291" s="36"/>
      <c r="ET291" s="36"/>
      <c r="EU291" s="36"/>
      <c r="EV291" s="36"/>
      <c r="EW291" s="37"/>
      <c r="EX291" s="44"/>
      <c r="EY291" s="36"/>
      <c r="EZ291" s="36"/>
      <c r="FA291" s="36"/>
      <c r="FB291" s="36"/>
      <c r="FC291" s="36"/>
      <c r="FD291" s="36"/>
      <c r="FE291" s="36"/>
      <c r="FF291" s="36"/>
      <c r="FG291" s="36"/>
      <c r="FH291" s="36"/>
      <c r="FI291" s="36"/>
      <c r="FJ291" s="36"/>
      <c r="FK291" s="36"/>
      <c r="FL291" s="36"/>
      <c r="FM291" s="36"/>
      <c r="FN291" s="37"/>
      <c r="FO291" s="44"/>
      <c r="FP291" s="36"/>
      <c r="FQ291" s="36"/>
      <c r="FR291" s="36"/>
      <c r="FS291" s="36"/>
      <c r="FT291" s="36"/>
      <c r="FU291" s="36"/>
      <c r="FV291" s="36"/>
      <c r="FW291" s="36"/>
      <c r="FX291" s="36"/>
      <c r="FY291" s="36"/>
      <c r="FZ291" s="36"/>
      <c r="GA291" s="36"/>
      <c r="GB291" s="36"/>
      <c r="GC291" s="36"/>
      <c r="GD291" s="36"/>
      <c r="GE291" s="37"/>
      <c r="GF291" s="44"/>
      <c r="GG291" s="36"/>
      <c r="GH291" s="36"/>
      <c r="GI291" s="36"/>
      <c r="GJ291" s="36"/>
      <c r="GK291" s="36"/>
      <c r="GL291" s="36"/>
      <c r="GM291" s="36"/>
      <c r="GN291" s="36"/>
      <c r="GO291" s="36"/>
      <c r="GP291" s="36"/>
      <c r="GQ291" s="36"/>
      <c r="GR291" s="36"/>
      <c r="GS291" s="36"/>
      <c r="GT291" s="36"/>
      <c r="GU291" s="36"/>
      <c r="GV291" s="37"/>
      <c r="GW291" s="44"/>
      <c r="GX291" s="36"/>
      <c r="GY291" s="36"/>
      <c r="GZ291" s="36"/>
      <c r="HA291" s="36"/>
      <c r="HB291" s="36"/>
      <c r="HC291" s="36"/>
      <c r="HD291" s="36"/>
      <c r="HE291" s="36"/>
      <c r="HF291" s="36"/>
      <c r="HG291" s="36"/>
      <c r="HH291" s="36"/>
      <c r="HI291" s="36"/>
      <c r="HJ291" s="36"/>
      <c r="HK291" s="36"/>
      <c r="HL291" s="36"/>
      <c r="HM291" s="37"/>
      <c r="HN291" s="44"/>
      <c r="HO291" s="36"/>
      <c r="HP291" s="36"/>
      <c r="HQ291" s="36"/>
      <c r="HR291" s="36"/>
      <c r="HS291" s="36"/>
      <c r="HT291" s="36"/>
      <c r="HU291" s="36"/>
      <c r="HV291" s="36"/>
      <c r="HW291" s="36"/>
      <c r="HX291" s="36"/>
      <c r="HY291" s="36"/>
      <c r="HZ291" s="36"/>
      <c r="IA291" s="36"/>
      <c r="IB291" s="36"/>
      <c r="IC291" s="36"/>
      <c r="ID291" s="37"/>
      <c r="IE291" s="44"/>
      <c r="IF291" s="36"/>
      <c r="IG291" s="36"/>
      <c r="IH291" s="36"/>
      <c r="II291" s="36"/>
      <c r="IJ291" s="36"/>
      <c r="IK291" s="36"/>
      <c r="IL291" s="36"/>
      <c r="IM291" s="36"/>
      <c r="IN291" s="36"/>
      <c r="IO291" s="36"/>
      <c r="IP291" s="36"/>
      <c r="IQ291" s="36"/>
      <c r="IR291" s="36"/>
      <c r="IS291" s="36"/>
      <c r="IT291" s="36"/>
      <c r="IU291" s="37"/>
      <c r="IV291" s="44"/>
      <c r="IW291" s="36"/>
      <c r="IX291" s="36"/>
      <c r="IY291" s="36"/>
      <c r="IZ291" s="36"/>
      <c r="JA291" s="36"/>
      <c r="JB291" s="36"/>
      <c r="JC291" s="36"/>
      <c r="JD291" s="36"/>
      <c r="JE291" s="36"/>
      <c r="JF291" s="36"/>
      <c r="JG291" s="36"/>
      <c r="JH291" s="36"/>
      <c r="JI291" s="36"/>
      <c r="JJ291" s="36"/>
      <c r="JK291" s="36"/>
      <c r="JL291" s="37"/>
      <c r="JM291" s="44"/>
      <c r="JN291" s="36"/>
      <c r="JO291" s="36"/>
      <c r="JP291" s="36"/>
      <c r="JQ291" s="36"/>
      <c r="JR291" s="36"/>
      <c r="JS291" s="36"/>
      <c r="JT291" s="36"/>
      <c r="JU291" s="36"/>
      <c r="JV291" s="36"/>
      <c r="JW291" s="36"/>
      <c r="JX291" s="36"/>
      <c r="JY291" s="36"/>
      <c r="JZ291" s="36"/>
      <c r="KA291" s="36"/>
      <c r="KB291" s="36"/>
      <c r="KC291" s="37"/>
      <c r="KD291" s="44"/>
      <c r="KE291" s="36"/>
      <c r="KF291" s="36"/>
      <c r="KG291" s="36"/>
      <c r="KH291" s="36"/>
      <c r="KI291" s="36"/>
      <c r="KJ291" s="36"/>
      <c r="KK291" s="36"/>
      <c r="KL291" s="36"/>
      <c r="KM291" s="36"/>
      <c r="KN291" s="36"/>
      <c r="KO291" s="36"/>
      <c r="KP291" s="36"/>
      <c r="KQ291" s="36"/>
      <c r="KR291" s="36"/>
      <c r="KS291" s="36"/>
      <c r="KT291" s="37"/>
      <c r="KU291" s="36"/>
    </row>
    <row r="292" ht="15.0" customHeight="1">
      <c r="A292" s="44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7"/>
      <c r="R292" s="44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7"/>
      <c r="AI292" s="44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  <c r="AU292" s="36"/>
      <c r="AV292" s="36"/>
      <c r="AW292" s="36"/>
      <c r="AX292" s="36"/>
      <c r="AY292" s="37"/>
      <c r="AZ292" s="44"/>
      <c r="BA292" s="36"/>
      <c r="BB292" s="36"/>
      <c r="BC292" s="36"/>
      <c r="BD292" s="36"/>
      <c r="BE292" s="36"/>
      <c r="BF292" s="36"/>
      <c r="BG292" s="36"/>
      <c r="BH292" s="36"/>
      <c r="BI292" s="36"/>
      <c r="BJ292" s="36"/>
      <c r="BK292" s="36"/>
      <c r="BL292" s="36"/>
      <c r="BM292" s="36"/>
      <c r="BN292" s="36"/>
      <c r="BO292" s="36"/>
      <c r="BP292" s="37"/>
      <c r="BQ292" s="44"/>
      <c r="BR292" s="36"/>
      <c r="BS292" s="36"/>
      <c r="BT292" s="36"/>
      <c r="BU292" s="36"/>
      <c r="BV292" s="36"/>
      <c r="BW292" s="36"/>
      <c r="BX292" s="36"/>
      <c r="BY292" s="36"/>
      <c r="BZ292" s="36"/>
      <c r="CA292" s="36"/>
      <c r="CB292" s="36"/>
      <c r="CC292" s="36"/>
      <c r="CD292" s="36"/>
      <c r="CE292" s="36"/>
      <c r="CF292" s="36"/>
      <c r="CG292" s="37"/>
      <c r="CH292" s="44"/>
      <c r="CI292" s="36"/>
      <c r="CJ292" s="36"/>
      <c r="CK292" s="36"/>
      <c r="CL292" s="36"/>
      <c r="CM292" s="36"/>
      <c r="CN292" s="36"/>
      <c r="CO292" s="36"/>
      <c r="CP292" s="36"/>
      <c r="CQ292" s="36"/>
      <c r="CR292" s="36"/>
      <c r="CS292" s="36"/>
      <c r="CT292" s="36"/>
      <c r="CU292" s="36"/>
      <c r="CV292" s="36"/>
      <c r="CW292" s="36"/>
      <c r="CX292" s="37"/>
      <c r="CY292" s="44"/>
      <c r="CZ292" s="36"/>
      <c r="DA292" s="36"/>
      <c r="DB292" s="36"/>
      <c r="DC292" s="36"/>
      <c r="DD292" s="36"/>
      <c r="DE292" s="36"/>
      <c r="DF292" s="36"/>
      <c r="DG292" s="36"/>
      <c r="DH292" s="36"/>
      <c r="DI292" s="36"/>
      <c r="DJ292" s="36"/>
      <c r="DK292" s="36"/>
      <c r="DL292" s="36"/>
      <c r="DM292" s="36"/>
      <c r="DN292" s="36"/>
      <c r="DO292" s="37"/>
      <c r="DP292" s="44"/>
      <c r="DQ292" s="36"/>
      <c r="DR292" s="36"/>
      <c r="DS292" s="36"/>
      <c r="DT292" s="36"/>
      <c r="DU292" s="36"/>
      <c r="DV292" s="36"/>
      <c r="DW292" s="36"/>
      <c r="DX292" s="36"/>
      <c r="DY292" s="36"/>
      <c r="DZ292" s="36"/>
      <c r="EA292" s="36"/>
      <c r="EB292" s="36"/>
      <c r="EC292" s="36"/>
      <c r="ED292" s="36"/>
      <c r="EE292" s="36"/>
      <c r="EF292" s="37"/>
      <c r="EG292" s="44"/>
      <c r="EH292" s="36"/>
      <c r="EI292" s="36"/>
      <c r="EJ292" s="36"/>
      <c r="EK292" s="36"/>
      <c r="EL292" s="36"/>
      <c r="EM292" s="36"/>
      <c r="EN292" s="36"/>
      <c r="EO292" s="36"/>
      <c r="EP292" s="36"/>
      <c r="EQ292" s="36"/>
      <c r="ER292" s="36"/>
      <c r="ES292" s="36"/>
      <c r="ET292" s="36"/>
      <c r="EU292" s="36"/>
      <c r="EV292" s="36"/>
      <c r="EW292" s="37"/>
      <c r="EX292" s="44"/>
      <c r="EY292" s="36"/>
      <c r="EZ292" s="36"/>
      <c r="FA292" s="36"/>
      <c r="FB292" s="36"/>
      <c r="FC292" s="36"/>
      <c r="FD292" s="36"/>
      <c r="FE292" s="36"/>
      <c r="FF292" s="36"/>
      <c r="FG292" s="36"/>
      <c r="FH292" s="36"/>
      <c r="FI292" s="36"/>
      <c r="FJ292" s="36"/>
      <c r="FK292" s="36"/>
      <c r="FL292" s="36"/>
      <c r="FM292" s="36"/>
      <c r="FN292" s="37"/>
      <c r="FO292" s="44"/>
      <c r="FP292" s="36"/>
      <c r="FQ292" s="36"/>
      <c r="FR292" s="36"/>
      <c r="FS292" s="36"/>
      <c r="FT292" s="36"/>
      <c r="FU292" s="36"/>
      <c r="FV292" s="36"/>
      <c r="FW292" s="36"/>
      <c r="FX292" s="36"/>
      <c r="FY292" s="36"/>
      <c r="FZ292" s="36"/>
      <c r="GA292" s="36"/>
      <c r="GB292" s="36"/>
      <c r="GC292" s="36"/>
      <c r="GD292" s="36"/>
      <c r="GE292" s="37"/>
      <c r="GF292" s="44"/>
      <c r="GG292" s="36"/>
      <c r="GH292" s="36"/>
      <c r="GI292" s="36"/>
      <c r="GJ292" s="36"/>
      <c r="GK292" s="36"/>
      <c r="GL292" s="36"/>
      <c r="GM292" s="36"/>
      <c r="GN292" s="36"/>
      <c r="GO292" s="36"/>
      <c r="GP292" s="36"/>
      <c r="GQ292" s="36"/>
      <c r="GR292" s="36"/>
      <c r="GS292" s="36"/>
      <c r="GT292" s="36"/>
      <c r="GU292" s="36"/>
      <c r="GV292" s="37"/>
      <c r="GW292" s="44"/>
      <c r="GX292" s="36"/>
      <c r="GY292" s="36"/>
      <c r="GZ292" s="36"/>
      <c r="HA292" s="36"/>
      <c r="HB292" s="36"/>
      <c r="HC292" s="36"/>
      <c r="HD292" s="36"/>
      <c r="HE292" s="36"/>
      <c r="HF292" s="36"/>
      <c r="HG292" s="36"/>
      <c r="HH292" s="36"/>
      <c r="HI292" s="36"/>
      <c r="HJ292" s="36"/>
      <c r="HK292" s="36"/>
      <c r="HL292" s="36"/>
      <c r="HM292" s="37"/>
      <c r="HN292" s="44"/>
      <c r="HO292" s="36"/>
      <c r="HP292" s="36"/>
      <c r="HQ292" s="36"/>
      <c r="HR292" s="36"/>
      <c r="HS292" s="36"/>
      <c r="HT292" s="36"/>
      <c r="HU292" s="36"/>
      <c r="HV292" s="36"/>
      <c r="HW292" s="36"/>
      <c r="HX292" s="36"/>
      <c r="HY292" s="36"/>
      <c r="HZ292" s="36"/>
      <c r="IA292" s="36"/>
      <c r="IB292" s="36"/>
      <c r="IC292" s="36"/>
      <c r="ID292" s="37"/>
      <c r="IE292" s="44"/>
      <c r="IF292" s="36"/>
      <c r="IG292" s="36"/>
      <c r="IH292" s="36"/>
      <c r="II292" s="36"/>
      <c r="IJ292" s="36"/>
      <c r="IK292" s="36"/>
      <c r="IL292" s="36"/>
      <c r="IM292" s="36"/>
      <c r="IN292" s="36"/>
      <c r="IO292" s="36"/>
      <c r="IP292" s="36"/>
      <c r="IQ292" s="36"/>
      <c r="IR292" s="36"/>
      <c r="IS292" s="36"/>
      <c r="IT292" s="36"/>
      <c r="IU292" s="37"/>
      <c r="IV292" s="44"/>
      <c r="IW292" s="36"/>
      <c r="IX292" s="36"/>
      <c r="IY292" s="36"/>
      <c r="IZ292" s="36"/>
      <c r="JA292" s="36"/>
      <c r="JB292" s="36"/>
      <c r="JC292" s="36"/>
      <c r="JD292" s="36"/>
      <c r="JE292" s="36"/>
      <c r="JF292" s="36"/>
      <c r="JG292" s="36"/>
      <c r="JH292" s="36"/>
      <c r="JI292" s="36"/>
      <c r="JJ292" s="36"/>
      <c r="JK292" s="36"/>
      <c r="JL292" s="37"/>
      <c r="JM292" s="44"/>
      <c r="JN292" s="36"/>
      <c r="JO292" s="36"/>
      <c r="JP292" s="36"/>
      <c r="JQ292" s="36"/>
      <c r="JR292" s="36"/>
      <c r="JS292" s="36"/>
      <c r="JT292" s="36"/>
      <c r="JU292" s="36"/>
      <c r="JV292" s="36"/>
      <c r="JW292" s="36"/>
      <c r="JX292" s="36"/>
      <c r="JY292" s="36"/>
      <c r="JZ292" s="36"/>
      <c r="KA292" s="36"/>
      <c r="KB292" s="36"/>
      <c r="KC292" s="37"/>
      <c r="KD292" s="44"/>
      <c r="KE292" s="36"/>
      <c r="KF292" s="36"/>
      <c r="KG292" s="36"/>
      <c r="KH292" s="36"/>
      <c r="KI292" s="36"/>
      <c r="KJ292" s="36"/>
      <c r="KK292" s="36"/>
      <c r="KL292" s="36"/>
      <c r="KM292" s="36"/>
      <c r="KN292" s="36"/>
      <c r="KO292" s="36"/>
      <c r="KP292" s="36"/>
      <c r="KQ292" s="36"/>
      <c r="KR292" s="36"/>
      <c r="KS292" s="36"/>
      <c r="KT292" s="37"/>
      <c r="KU292" s="36"/>
    </row>
    <row r="293" ht="15.0" customHeight="1">
      <c r="A293" s="44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7"/>
      <c r="R293" s="44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7"/>
      <c r="AI293" s="44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  <c r="AU293" s="36"/>
      <c r="AV293" s="36"/>
      <c r="AW293" s="36"/>
      <c r="AX293" s="36"/>
      <c r="AY293" s="37"/>
      <c r="AZ293" s="44"/>
      <c r="BA293" s="36"/>
      <c r="BB293" s="36"/>
      <c r="BC293" s="36"/>
      <c r="BD293" s="36"/>
      <c r="BE293" s="36"/>
      <c r="BF293" s="36"/>
      <c r="BG293" s="36"/>
      <c r="BH293" s="36"/>
      <c r="BI293" s="36"/>
      <c r="BJ293" s="36"/>
      <c r="BK293" s="36"/>
      <c r="BL293" s="36"/>
      <c r="BM293" s="36"/>
      <c r="BN293" s="36"/>
      <c r="BO293" s="36"/>
      <c r="BP293" s="37"/>
      <c r="BQ293" s="44"/>
      <c r="BR293" s="36"/>
      <c r="BS293" s="36"/>
      <c r="BT293" s="36"/>
      <c r="BU293" s="36"/>
      <c r="BV293" s="36"/>
      <c r="BW293" s="36"/>
      <c r="BX293" s="36"/>
      <c r="BY293" s="36"/>
      <c r="BZ293" s="36"/>
      <c r="CA293" s="36"/>
      <c r="CB293" s="36"/>
      <c r="CC293" s="36"/>
      <c r="CD293" s="36"/>
      <c r="CE293" s="36"/>
      <c r="CF293" s="36"/>
      <c r="CG293" s="37"/>
      <c r="CH293" s="44"/>
      <c r="CI293" s="36"/>
      <c r="CJ293" s="36"/>
      <c r="CK293" s="36"/>
      <c r="CL293" s="36"/>
      <c r="CM293" s="36"/>
      <c r="CN293" s="36"/>
      <c r="CO293" s="36"/>
      <c r="CP293" s="36"/>
      <c r="CQ293" s="36"/>
      <c r="CR293" s="36"/>
      <c r="CS293" s="36"/>
      <c r="CT293" s="36"/>
      <c r="CU293" s="36"/>
      <c r="CV293" s="36"/>
      <c r="CW293" s="36"/>
      <c r="CX293" s="37"/>
      <c r="CY293" s="44"/>
      <c r="CZ293" s="36"/>
      <c r="DA293" s="36"/>
      <c r="DB293" s="36"/>
      <c r="DC293" s="36"/>
      <c r="DD293" s="36"/>
      <c r="DE293" s="36"/>
      <c r="DF293" s="36"/>
      <c r="DG293" s="36"/>
      <c r="DH293" s="36"/>
      <c r="DI293" s="36"/>
      <c r="DJ293" s="36"/>
      <c r="DK293" s="36"/>
      <c r="DL293" s="36"/>
      <c r="DM293" s="36"/>
      <c r="DN293" s="36"/>
      <c r="DO293" s="37"/>
      <c r="DP293" s="44"/>
      <c r="DQ293" s="36"/>
      <c r="DR293" s="36"/>
      <c r="DS293" s="36"/>
      <c r="DT293" s="36"/>
      <c r="DU293" s="36"/>
      <c r="DV293" s="36"/>
      <c r="DW293" s="36"/>
      <c r="DX293" s="36"/>
      <c r="DY293" s="36"/>
      <c r="DZ293" s="36"/>
      <c r="EA293" s="36"/>
      <c r="EB293" s="36"/>
      <c r="EC293" s="36"/>
      <c r="ED293" s="36"/>
      <c r="EE293" s="36"/>
      <c r="EF293" s="37"/>
      <c r="EG293" s="44"/>
      <c r="EH293" s="36"/>
      <c r="EI293" s="36"/>
      <c r="EJ293" s="36"/>
      <c r="EK293" s="36"/>
      <c r="EL293" s="36"/>
      <c r="EM293" s="36"/>
      <c r="EN293" s="36"/>
      <c r="EO293" s="36"/>
      <c r="EP293" s="36"/>
      <c r="EQ293" s="36"/>
      <c r="ER293" s="36"/>
      <c r="ES293" s="36"/>
      <c r="ET293" s="36"/>
      <c r="EU293" s="36"/>
      <c r="EV293" s="36"/>
      <c r="EW293" s="37"/>
      <c r="EX293" s="44"/>
      <c r="EY293" s="36"/>
      <c r="EZ293" s="36"/>
      <c r="FA293" s="36"/>
      <c r="FB293" s="36"/>
      <c r="FC293" s="36"/>
      <c r="FD293" s="36"/>
      <c r="FE293" s="36"/>
      <c r="FF293" s="36"/>
      <c r="FG293" s="36"/>
      <c r="FH293" s="36"/>
      <c r="FI293" s="36"/>
      <c r="FJ293" s="36"/>
      <c r="FK293" s="36"/>
      <c r="FL293" s="36"/>
      <c r="FM293" s="36"/>
      <c r="FN293" s="37"/>
      <c r="FO293" s="44"/>
      <c r="FP293" s="36"/>
      <c r="FQ293" s="36"/>
      <c r="FR293" s="36"/>
      <c r="FS293" s="36"/>
      <c r="FT293" s="36"/>
      <c r="FU293" s="36"/>
      <c r="FV293" s="36"/>
      <c r="FW293" s="36"/>
      <c r="FX293" s="36"/>
      <c r="FY293" s="36"/>
      <c r="FZ293" s="36"/>
      <c r="GA293" s="36"/>
      <c r="GB293" s="36"/>
      <c r="GC293" s="36"/>
      <c r="GD293" s="36"/>
      <c r="GE293" s="37"/>
      <c r="GF293" s="44"/>
      <c r="GG293" s="36"/>
      <c r="GH293" s="36"/>
      <c r="GI293" s="36"/>
      <c r="GJ293" s="36"/>
      <c r="GK293" s="36"/>
      <c r="GL293" s="36"/>
      <c r="GM293" s="36"/>
      <c r="GN293" s="36"/>
      <c r="GO293" s="36"/>
      <c r="GP293" s="36"/>
      <c r="GQ293" s="36"/>
      <c r="GR293" s="36"/>
      <c r="GS293" s="36"/>
      <c r="GT293" s="36"/>
      <c r="GU293" s="36"/>
      <c r="GV293" s="37"/>
      <c r="GW293" s="44"/>
      <c r="GX293" s="36"/>
      <c r="GY293" s="36"/>
      <c r="GZ293" s="36"/>
      <c r="HA293" s="36"/>
      <c r="HB293" s="36"/>
      <c r="HC293" s="36"/>
      <c r="HD293" s="36"/>
      <c r="HE293" s="36"/>
      <c r="HF293" s="36"/>
      <c r="HG293" s="36"/>
      <c r="HH293" s="36"/>
      <c r="HI293" s="36"/>
      <c r="HJ293" s="36"/>
      <c r="HK293" s="36"/>
      <c r="HL293" s="36"/>
      <c r="HM293" s="37"/>
      <c r="HN293" s="44"/>
      <c r="HO293" s="36"/>
      <c r="HP293" s="36"/>
      <c r="HQ293" s="36"/>
      <c r="HR293" s="36"/>
      <c r="HS293" s="36"/>
      <c r="HT293" s="36"/>
      <c r="HU293" s="36"/>
      <c r="HV293" s="36"/>
      <c r="HW293" s="36"/>
      <c r="HX293" s="36"/>
      <c r="HY293" s="36"/>
      <c r="HZ293" s="36"/>
      <c r="IA293" s="36"/>
      <c r="IB293" s="36"/>
      <c r="IC293" s="36"/>
      <c r="ID293" s="37"/>
      <c r="IE293" s="44"/>
      <c r="IF293" s="36"/>
      <c r="IG293" s="36"/>
      <c r="IH293" s="36"/>
      <c r="II293" s="36"/>
      <c r="IJ293" s="36"/>
      <c r="IK293" s="36"/>
      <c r="IL293" s="36"/>
      <c r="IM293" s="36"/>
      <c r="IN293" s="36"/>
      <c r="IO293" s="36"/>
      <c r="IP293" s="36"/>
      <c r="IQ293" s="36"/>
      <c r="IR293" s="36"/>
      <c r="IS293" s="36"/>
      <c r="IT293" s="36"/>
      <c r="IU293" s="37"/>
      <c r="IV293" s="44"/>
      <c r="IW293" s="36"/>
      <c r="IX293" s="36"/>
      <c r="IY293" s="36"/>
      <c r="IZ293" s="36"/>
      <c r="JA293" s="36"/>
      <c r="JB293" s="36"/>
      <c r="JC293" s="36"/>
      <c r="JD293" s="36"/>
      <c r="JE293" s="36"/>
      <c r="JF293" s="36"/>
      <c r="JG293" s="36"/>
      <c r="JH293" s="36"/>
      <c r="JI293" s="36"/>
      <c r="JJ293" s="36"/>
      <c r="JK293" s="36"/>
      <c r="JL293" s="37"/>
      <c r="JM293" s="44"/>
      <c r="JN293" s="36"/>
      <c r="JO293" s="36"/>
      <c r="JP293" s="36"/>
      <c r="JQ293" s="36"/>
      <c r="JR293" s="36"/>
      <c r="JS293" s="36"/>
      <c r="JT293" s="36"/>
      <c r="JU293" s="36"/>
      <c r="JV293" s="36"/>
      <c r="JW293" s="36"/>
      <c r="JX293" s="36"/>
      <c r="JY293" s="36"/>
      <c r="JZ293" s="36"/>
      <c r="KA293" s="36"/>
      <c r="KB293" s="36"/>
      <c r="KC293" s="37"/>
      <c r="KD293" s="44"/>
      <c r="KE293" s="36"/>
      <c r="KF293" s="36"/>
      <c r="KG293" s="36"/>
      <c r="KH293" s="36"/>
      <c r="KI293" s="36"/>
      <c r="KJ293" s="36"/>
      <c r="KK293" s="36"/>
      <c r="KL293" s="36"/>
      <c r="KM293" s="36"/>
      <c r="KN293" s="36"/>
      <c r="KO293" s="36"/>
      <c r="KP293" s="36"/>
      <c r="KQ293" s="36"/>
      <c r="KR293" s="36"/>
      <c r="KS293" s="36"/>
      <c r="KT293" s="37"/>
      <c r="KU293" s="36"/>
    </row>
    <row r="294" ht="15.0" customHeight="1">
      <c r="A294" s="44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7"/>
      <c r="R294" s="44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7"/>
      <c r="AI294" s="44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  <c r="AU294" s="36"/>
      <c r="AV294" s="36"/>
      <c r="AW294" s="36"/>
      <c r="AX294" s="36"/>
      <c r="AY294" s="37"/>
      <c r="AZ294" s="44"/>
      <c r="BA294" s="36"/>
      <c r="BB294" s="36"/>
      <c r="BC294" s="36"/>
      <c r="BD294" s="36"/>
      <c r="BE294" s="36"/>
      <c r="BF294" s="36"/>
      <c r="BG294" s="36"/>
      <c r="BH294" s="36"/>
      <c r="BI294" s="36"/>
      <c r="BJ294" s="36"/>
      <c r="BK294" s="36"/>
      <c r="BL294" s="36"/>
      <c r="BM294" s="36"/>
      <c r="BN294" s="36"/>
      <c r="BO294" s="36"/>
      <c r="BP294" s="37"/>
      <c r="BQ294" s="44"/>
      <c r="BR294" s="36"/>
      <c r="BS294" s="36"/>
      <c r="BT294" s="36"/>
      <c r="BU294" s="36"/>
      <c r="BV294" s="36"/>
      <c r="BW294" s="36"/>
      <c r="BX294" s="36"/>
      <c r="BY294" s="36"/>
      <c r="BZ294" s="36"/>
      <c r="CA294" s="36"/>
      <c r="CB294" s="36"/>
      <c r="CC294" s="36"/>
      <c r="CD294" s="36"/>
      <c r="CE294" s="36"/>
      <c r="CF294" s="36"/>
      <c r="CG294" s="37"/>
      <c r="CH294" s="44"/>
      <c r="CI294" s="36"/>
      <c r="CJ294" s="36"/>
      <c r="CK294" s="36"/>
      <c r="CL294" s="36"/>
      <c r="CM294" s="36"/>
      <c r="CN294" s="36"/>
      <c r="CO294" s="36"/>
      <c r="CP294" s="36"/>
      <c r="CQ294" s="36"/>
      <c r="CR294" s="36"/>
      <c r="CS294" s="36"/>
      <c r="CT294" s="36"/>
      <c r="CU294" s="36"/>
      <c r="CV294" s="36"/>
      <c r="CW294" s="36"/>
      <c r="CX294" s="37"/>
      <c r="CY294" s="44"/>
      <c r="CZ294" s="36"/>
      <c r="DA294" s="36"/>
      <c r="DB294" s="36"/>
      <c r="DC294" s="36"/>
      <c r="DD294" s="36"/>
      <c r="DE294" s="36"/>
      <c r="DF294" s="36"/>
      <c r="DG294" s="36"/>
      <c r="DH294" s="36"/>
      <c r="DI294" s="36"/>
      <c r="DJ294" s="36"/>
      <c r="DK294" s="36"/>
      <c r="DL294" s="36"/>
      <c r="DM294" s="36"/>
      <c r="DN294" s="36"/>
      <c r="DO294" s="37"/>
      <c r="DP294" s="44"/>
      <c r="DQ294" s="36"/>
      <c r="DR294" s="36"/>
      <c r="DS294" s="36"/>
      <c r="DT294" s="36"/>
      <c r="DU294" s="36"/>
      <c r="DV294" s="36"/>
      <c r="DW294" s="36"/>
      <c r="DX294" s="36"/>
      <c r="DY294" s="36"/>
      <c r="DZ294" s="36"/>
      <c r="EA294" s="36"/>
      <c r="EB294" s="36"/>
      <c r="EC294" s="36"/>
      <c r="ED294" s="36"/>
      <c r="EE294" s="36"/>
      <c r="EF294" s="37"/>
      <c r="EG294" s="44"/>
      <c r="EH294" s="36"/>
      <c r="EI294" s="36"/>
      <c r="EJ294" s="36"/>
      <c r="EK294" s="36"/>
      <c r="EL294" s="36"/>
      <c r="EM294" s="36"/>
      <c r="EN294" s="36"/>
      <c r="EO294" s="36"/>
      <c r="EP294" s="36"/>
      <c r="EQ294" s="36"/>
      <c r="ER294" s="36"/>
      <c r="ES294" s="36"/>
      <c r="ET294" s="36"/>
      <c r="EU294" s="36"/>
      <c r="EV294" s="36"/>
      <c r="EW294" s="37"/>
      <c r="EX294" s="44"/>
      <c r="EY294" s="36"/>
      <c r="EZ294" s="36"/>
      <c r="FA294" s="36"/>
      <c r="FB294" s="36"/>
      <c r="FC294" s="36"/>
      <c r="FD294" s="36"/>
      <c r="FE294" s="36"/>
      <c r="FF294" s="36"/>
      <c r="FG294" s="36"/>
      <c r="FH294" s="36"/>
      <c r="FI294" s="36"/>
      <c r="FJ294" s="36"/>
      <c r="FK294" s="36"/>
      <c r="FL294" s="36"/>
      <c r="FM294" s="36"/>
      <c r="FN294" s="37"/>
      <c r="FO294" s="44"/>
      <c r="FP294" s="36"/>
      <c r="FQ294" s="36"/>
      <c r="FR294" s="36"/>
      <c r="FS294" s="36"/>
      <c r="FT294" s="36"/>
      <c r="FU294" s="36"/>
      <c r="FV294" s="36"/>
      <c r="FW294" s="36"/>
      <c r="FX294" s="36"/>
      <c r="FY294" s="36"/>
      <c r="FZ294" s="36"/>
      <c r="GA294" s="36"/>
      <c r="GB294" s="36"/>
      <c r="GC294" s="36"/>
      <c r="GD294" s="36"/>
      <c r="GE294" s="37"/>
      <c r="GF294" s="44"/>
      <c r="GG294" s="36"/>
      <c r="GH294" s="36"/>
      <c r="GI294" s="36"/>
      <c r="GJ294" s="36"/>
      <c r="GK294" s="36"/>
      <c r="GL294" s="36"/>
      <c r="GM294" s="36"/>
      <c r="GN294" s="36"/>
      <c r="GO294" s="36"/>
      <c r="GP294" s="36"/>
      <c r="GQ294" s="36"/>
      <c r="GR294" s="36"/>
      <c r="GS294" s="36"/>
      <c r="GT294" s="36"/>
      <c r="GU294" s="36"/>
      <c r="GV294" s="37"/>
      <c r="GW294" s="44"/>
      <c r="GX294" s="36"/>
      <c r="GY294" s="36"/>
      <c r="GZ294" s="36"/>
      <c r="HA294" s="36"/>
      <c r="HB294" s="36"/>
      <c r="HC294" s="36"/>
      <c r="HD294" s="36"/>
      <c r="HE294" s="36"/>
      <c r="HF294" s="36"/>
      <c r="HG294" s="36"/>
      <c r="HH294" s="36"/>
      <c r="HI294" s="36"/>
      <c r="HJ294" s="36"/>
      <c r="HK294" s="36"/>
      <c r="HL294" s="36"/>
      <c r="HM294" s="37"/>
      <c r="HN294" s="44"/>
      <c r="HO294" s="36"/>
      <c r="HP294" s="36"/>
      <c r="HQ294" s="36"/>
      <c r="HR294" s="36"/>
      <c r="HS294" s="36"/>
      <c r="HT294" s="36"/>
      <c r="HU294" s="36"/>
      <c r="HV294" s="36"/>
      <c r="HW294" s="36"/>
      <c r="HX294" s="36"/>
      <c r="HY294" s="36"/>
      <c r="HZ294" s="36"/>
      <c r="IA294" s="36"/>
      <c r="IB294" s="36"/>
      <c r="IC294" s="36"/>
      <c r="ID294" s="37"/>
      <c r="IE294" s="44"/>
      <c r="IF294" s="36"/>
      <c r="IG294" s="36"/>
      <c r="IH294" s="36"/>
      <c r="II294" s="36"/>
      <c r="IJ294" s="36"/>
      <c r="IK294" s="36"/>
      <c r="IL294" s="36"/>
      <c r="IM294" s="36"/>
      <c r="IN294" s="36"/>
      <c r="IO294" s="36"/>
      <c r="IP294" s="36"/>
      <c r="IQ294" s="36"/>
      <c r="IR294" s="36"/>
      <c r="IS294" s="36"/>
      <c r="IT294" s="36"/>
      <c r="IU294" s="37"/>
      <c r="IV294" s="44"/>
      <c r="IW294" s="36"/>
      <c r="IX294" s="36"/>
      <c r="IY294" s="36"/>
      <c r="IZ294" s="36"/>
      <c r="JA294" s="36"/>
      <c r="JB294" s="36"/>
      <c r="JC294" s="36"/>
      <c r="JD294" s="36"/>
      <c r="JE294" s="36"/>
      <c r="JF294" s="36"/>
      <c r="JG294" s="36"/>
      <c r="JH294" s="36"/>
      <c r="JI294" s="36"/>
      <c r="JJ294" s="36"/>
      <c r="JK294" s="36"/>
      <c r="JL294" s="37"/>
      <c r="JM294" s="44"/>
      <c r="JN294" s="36"/>
      <c r="JO294" s="36"/>
      <c r="JP294" s="36"/>
      <c r="JQ294" s="36"/>
      <c r="JR294" s="36"/>
      <c r="JS294" s="36"/>
      <c r="JT294" s="36"/>
      <c r="JU294" s="36"/>
      <c r="JV294" s="36"/>
      <c r="JW294" s="36"/>
      <c r="JX294" s="36"/>
      <c r="JY294" s="36"/>
      <c r="JZ294" s="36"/>
      <c r="KA294" s="36"/>
      <c r="KB294" s="36"/>
      <c r="KC294" s="37"/>
      <c r="KD294" s="44"/>
      <c r="KE294" s="36"/>
      <c r="KF294" s="36"/>
      <c r="KG294" s="36"/>
      <c r="KH294" s="36"/>
      <c r="KI294" s="36"/>
      <c r="KJ294" s="36"/>
      <c r="KK294" s="36"/>
      <c r="KL294" s="36"/>
      <c r="KM294" s="36"/>
      <c r="KN294" s="36"/>
      <c r="KO294" s="36"/>
      <c r="KP294" s="36"/>
      <c r="KQ294" s="36"/>
      <c r="KR294" s="36"/>
      <c r="KS294" s="36"/>
      <c r="KT294" s="37"/>
      <c r="KU294" s="36"/>
    </row>
    <row r="295" ht="15.0" customHeight="1">
      <c r="A295" s="44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7"/>
      <c r="R295" s="44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7"/>
      <c r="AI295" s="44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  <c r="AU295" s="36"/>
      <c r="AV295" s="36"/>
      <c r="AW295" s="36"/>
      <c r="AX295" s="36"/>
      <c r="AY295" s="37"/>
      <c r="AZ295" s="44"/>
      <c r="BA295" s="36"/>
      <c r="BB295" s="36"/>
      <c r="BC295" s="36"/>
      <c r="BD295" s="36"/>
      <c r="BE295" s="36"/>
      <c r="BF295" s="36"/>
      <c r="BG295" s="36"/>
      <c r="BH295" s="36"/>
      <c r="BI295" s="36"/>
      <c r="BJ295" s="36"/>
      <c r="BK295" s="36"/>
      <c r="BL295" s="36"/>
      <c r="BM295" s="36"/>
      <c r="BN295" s="36"/>
      <c r="BO295" s="36"/>
      <c r="BP295" s="37"/>
      <c r="BQ295" s="44"/>
      <c r="BR295" s="36"/>
      <c r="BS295" s="36"/>
      <c r="BT295" s="36"/>
      <c r="BU295" s="36"/>
      <c r="BV295" s="36"/>
      <c r="BW295" s="36"/>
      <c r="BX295" s="36"/>
      <c r="BY295" s="36"/>
      <c r="BZ295" s="36"/>
      <c r="CA295" s="36"/>
      <c r="CB295" s="36"/>
      <c r="CC295" s="36"/>
      <c r="CD295" s="36"/>
      <c r="CE295" s="36"/>
      <c r="CF295" s="36"/>
      <c r="CG295" s="37"/>
      <c r="CH295" s="44"/>
      <c r="CI295" s="36"/>
      <c r="CJ295" s="36"/>
      <c r="CK295" s="36"/>
      <c r="CL295" s="36"/>
      <c r="CM295" s="36"/>
      <c r="CN295" s="36"/>
      <c r="CO295" s="36"/>
      <c r="CP295" s="36"/>
      <c r="CQ295" s="36"/>
      <c r="CR295" s="36"/>
      <c r="CS295" s="36"/>
      <c r="CT295" s="36"/>
      <c r="CU295" s="36"/>
      <c r="CV295" s="36"/>
      <c r="CW295" s="36"/>
      <c r="CX295" s="37"/>
      <c r="CY295" s="44"/>
      <c r="CZ295" s="36"/>
      <c r="DA295" s="36"/>
      <c r="DB295" s="36"/>
      <c r="DC295" s="36"/>
      <c r="DD295" s="36"/>
      <c r="DE295" s="36"/>
      <c r="DF295" s="36"/>
      <c r="DG295" s="36"/>
      <c r="DH295" s="36"/>
      <c r="DI295" s="36"/>
      <c r="DJ295" s="36"/>
      <c r="DK295" s="36"/>
      <c r="DL295" s="36"/>
      <c r="DM295" s="36"/>
      <c r="DN295" s="36"/>
      <c r="DO295" s="37"/>
      <c r="DP295" s="44"/>
      <c r="DQ295" s="36"/>
      <c r="DR295" s="36"/>
      <c r="DS295" s="36"/>
      <c r="DT295" s="36"/>
      <c r="DU295" s="36"/>
      <c r="DV295" s="36"/>
      <c r="DW295" s="36"/>
      <c r="DX295" s="36"/>
      <c r="DY295" s="36"/>
      <c r="DZ295" s="36"/>
      <c r="EA295" s="36"/>
      <c r="EB295" s="36"/>
      <c r="EC295" s="36"/>
      <c r="ED295" s="36"/>
      <c r="EE295" s="36"/>
      <c r="EF295" s="37"/>
      <c r="EG295" s="44"/>
      <c r="EH295" s="36"/>
      <c r="EI295" s="36"/>
      <c r="EJ295" s="36"/>
      <c r="EK295" s="36"/>
      <c r="EL295" s="36"/>
      <c r="EM295" s="36"/>
      <c r="EN295" s="36"/>
      <c r="EO295" s="36"/>
      <c r="EP295" s="36"/>
      <c r="EQ295" s="36"/>
      <c r="ER295" s="36"/>
      <c r="ES295" s="36"/>
      <c r="ET295" s="36"/>
      <c r="EU295" s="36"/>
      <c r="EV295" s="36"/>
      <c r="EW295" s="37"/>
      <c r="EX295" s="44"/>
      <c r="EY295" s="36"/>
      <c r="EZ295" s="36"/>
      <c r="FA295" s="36"/>
      <c r="FB295" s="36"/>
      <c r="FC295" s="36"/>
      <c r="FD295" s="36"/>
      <c r="FE295" s="36"/>
      <c r="FF295" s="36"/>
      <c r="FG295" s="36"/>
      <c r="FH295" s="36"/>
      <c r="FI295" s="36"/>
      <c r="FJ295" s="36"/>
      <c r="FK295" s="36"/>
      <c r="FL295" s="36"/>
      <c r="FM295" s="36"/>
      <c r="FN295" s="37"/>
      <c r="FO295" s="44"/>
      <c r="FP295" s="36"/>
      <c r="FQ295" s="36"/>
      <c r="FR295" s="36"/>
      <c r="FS295" s="36"/>
      <c r="FT295" s="36"/>
      <c r="FU295" s="36"/>
      <c r="FV295" s="36"/>
      <c r="FW295" s="36"/>
      <c r="FX295" s="36"/>
      <c r="FY295" s="36"/>
      <c r="FZ295" s="36"/>
      <c r="GA295" s="36"/>
      <c r="GB295" s="36"/>
      <c r="GC295" s="36"/>
      <c r="GD295" s="36"/>
      <c r="GE295" s="37"/>
      <c r="GF295" s="44"/>
      <c r="GG295" s="36"/>
      <c r="GH295" s="36"/>
      <c r="GI295" s="36"/>
      <c r="GJ295" s="36"/>
      <c r="GK295" s="36"/>
      <c r="GL295" s="36"/>
      <c r="GM295" s="36"/>
      <c r="GN295" s="36"/>
      <c r="GO295" s="36"/>
      <c r="GP295" s="36"/>
      <c r="GQ295" s="36"/>
      <c r="GR295" s="36"/>
      <c r="GS295" s="36"/>
      <c r="GT295" s="36"/>
      <c r="GU295" s="36"/>
      <c r="GV295" s="37"/>
      <c r="GW295" s="44"/>
      <c r="GX295" s="36"/>
      <c r="GY295" s="36"/>
      <c r="GZ295" s="36"/>
      <c r="HA295" s="36"/>
      <c r="HB295" s="36"/>
      <c r="HC295" s="36"/>
      <c r="HD295" s="36"/>
      <c r="HE295" s="36"/>
      <c r="HF295" s="36"/>
      <c r="HG295" s="36"/>
      <c r="HH295" s="36"/>
      <c r="HI295" s="36"/>
      <c r="HJ295" s="36"/>
      <c r="HK295" s="36"/>
      <c r="HL295" s="36"/>
      <c r="HM295" s="37"/>
      <c r="HN295" s="44"/>
      <c r="HO295" s="36"/>
      <c r="HP295" s="36"/>
      <c r="HQ295" s="36"/>
      <c r="HR295" s="36"/>
      <c r="HS295" s="36"/>
      <c r="HT295" s="36"/>
      <c r="HU295" s="36"/>
      <c r="HV295" s="36"/>
      <c r="HW295" s="36"/>
      <c r="HX295" s="36"/>
      <c r="HY295" s="36"/>
      <c r="HZ295" s="36"/>
      <c r="IA295" s="36"/>
      <c r="IB295" s="36"/>
      <c r="IC295" s="36"/>
      <c r="ID295" s="37"/>
      <c r="IE295" s="44"/>
      <c r="IF295" s="36"/>
      <c r="IG295" s="36"/>
      <c r="IH295" s="36"/>
      <c r="II295" s="36"/>
      <c r="IJ295" s="36"/>
      <c r="IK295" s="36"/>
      <c r="IL295" s="36"/>
      <c r="IM295" s="36"/>
      <c r="IN295" s="36"/>
      <c r="IO295" s="36"/>
      <c r="IP295" s="36"/>
      <c r="IQ295" s="36"/>
      <c r="IR295" s="36"/>
      <c r="IS295" s="36"/>
      <c r="IT295" s="36"/>
      <c r="IU295" s="37"/>
      <c r="IV295" s="44"/>
      <c r="IW295" s="36"/>
      <c r="IX295" s="36"/>
      <c r="IY295" s="36"/>
      <c r="IZ295" s="36"/>
      <c r="JA295" s="36"/>
      <c r="JB295" s="36"/>
      <c r="JC295" s="36"/>
      <c r="JD295" s="36"/>
      <c r="JE295" s="36"/>
      <c r="JF295" s="36"/>
      <c r="JG295" s="36"/>
      <c r="JH295" s="36"/>
      <c r="JI295" s="36"/>
      <c r="JJ295" s="36"/>
      <c r="JK295" s="36"/>
      <c r="JL295" s="37"/>
      <c r="JM295" s="44"/>
      <c r="JN295" s="36"/>
      <c r="JO295" s="36"/>
      <c r="JP295" s="36"/>
      <c r="JQ295" s="36"/>
      <c r="JR295" s="36"/>
      <c r="JS295" s="36"/>
      <c r="JT295" s="36"/>
      <c r="JU295" s="36"/>
      <c r="JV295" s="36"/>
      <c r="JW295" s="36"/>
      <c r="JX295" s="36"/>
      <c r="JY295" s="36"/>
      <c r="JZ295" s="36"/>
      <c r="KA295" s="36"/>
      <c r="KB295" s="36"/>
      <c r="KC295" s="37"/>
      <c r="KD295" s="44"/>
      <c r="KE295" s="36"/>
      <c r="KF295" s="36"/>
      <c r="KG295" s="36"/>
      <c r="KH295" s="36"/>
      <c r="KI295" s="36"/>
      <c r="KJ295" s="36"/>
      <c r="KK295" s="36"/>
      <c r="KL295" s="36"/>
      <c r="KM295" s="36"/>
      <c r="KN295" s="36"/>
      <c r="KO295" s="36"/>
      <c r="KP295" s="36"/>
      <c r="KQ295" s="36"/>
      <c r="KR295" s="36"/>
      <c r="KS295" s="36"/>
      <c r="KT295" s="37"/>
      <c r="KU295" s="36"/>
    </row>
    <row r="296" ht="15.0" customHeight="1">
      <c r="A296" s="44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7"/>
      <c r="R296" s="44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7"/>
      <c r="AI296" s="44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  <c r="AU296" s="36"/>
      <c r="AV296" s="36"/>
      <c r="AW296" s="36"/>
      <c r="AX296" s="36"/>
      <c r="AY296" s="37"/>
      <c r="AZ296" s="44"/>
      <c r="BA296" s="36"/>
      <c r="BB296" s="36"/>
      <c r="BC296" s="36"/>
      <c r="BD296" s="36"/>
      <c r="BE296" s="36"/>
      <c r="BF296" s="36"/>
      <c r="BG296" s="36"/>
      <c r="BH296" s="36"/>
      <c r="BI296" s="36"/>
      <c r="BJ296" s="36"/>
      <c r="BK296" s="36"/>
      <c r="BL296" s="36"/>
      <c r="BM296" s="36"/>
      <c r="BN296" s="36"/>
      <c r="BO296" s="36"/>
      <c r="BP296" s="37"/>
      <c r="BQ296" s="44"/>
      <c r="BR296" s="36"/>
      <c r="BS296" s="36"/>
      <c r="BT296" s="36"/>
      <c r="BU296" s="36"/>
      <c r="BV296" s="36"/>
      <c r="BW296" s="36"/>
      <c r="BX296" s="36"/>
      <c r="BY296" s="36"/>
      <c r="BZ296" s="36"/>
      <c r="CA296" s="36"/>
      <c r="CB296" s="36"/>
      <c r="CC296" s="36"/>
      <c r="CD296" s="36"/>
      <c r="CE296" s="36"/>
      <c r="CF296" s="36"/>
      <c r="CG296" s="37"/>
      <c r="CH296" s="44"/>
      <c r="CI296" s="36"/>
      <c r="CJ296" s="36"/>
      <c r="CK296" s="36"/>
      <c r="CL296" s="36"/>
      <c r="CM296" s="36"/>
      <c r="CN296" s="36"/>
      <c r="CO296" s="36"/>
      <c r="CP296" s="36"/>
      <c r="CQ296" s="36"/>
      <c r="CR296" s="36"/>
      <c r="CS296" s="36"/>
      <c r="CT296" s="36"/>
      <c r="CU296" s="36"/>
      <c r="CV296" s="36"/>
      <c r="CW296" s="36"/>
      <c r="CX296" s="37"/>
      <c r="CY296" s="44"/>
      <c r="CZ296" s="36"/>
      <c r="DA296" s="36"/>
      <c r="DB296" s="36"/>
      <c r="DC296" s="36"/>
      <c r="DD296" s="36"/>
      <c r="DE296" s="36"/>
      <c r="DF296" s="36"/>
      <c r="DG296" s="36"/>
      <c r="DH296" s="36"/>
      <c r="DI296" s="36"/>
      <c r="DJ296" s="36"/>
      <c r="DK296" s="36"/>
      <c r="DL296" s="36"/>
      <c r="DM296" s="36"/>
      <c r="DN296" s="36"/>
      <c r="DO296" s="37"/>
      <c r="DP296" s="44"/>
      <c r="DQ296" s="36"/>
      <c r="DR296" s="36"/>
      <c r="DS296" s="36"/>
      <c r="DT296" s="36"/>
      <c r="DU296" s="36"/>
      <c r="DV296" s="36"/>
      <c r="DW296" s="36"/>
      <c r="DX296" s="36"/>
      <c r="DY296" s="36"/>
      <c r="DZ296" s="36"/>
      <c r="EA296" s="36"/>
      <c r="EB296" s="36"/>
      <c r="EC296" s="36"/>
      <c r="ED296" s="36"/>
      <c r="EE296" s="36"/>
      <c r="EF296" s="37"/>
      <c r="EG296" s="44"/>
      <c r="EH296" s="36"/>
      <c r="EI296" s="36"/>
      <c r="EJ296" s="36"/>
      <c r="EK296" s="36"/>
      <c r="EL296" s="36"/>
      <c r="EM296" s="36"/>
      <c r="EN296" s="36"/>
      <c r="EO296" s="36"/>
      <c r="EP296" s="36"/>
      <c r="EQ296" s="36"/>
      <c r="ER296" s="36"/>
      <c r="ES296" s="36"/>
      <c r="ET296" s="36"/>
      <c r="EU296" s="36"/>
      <c r="EV296" s="36"/>
      <c r="EW296" s="37"/>
      <c r="EX296" s="44"/>
      <c r="EY296" s="36"/>
      <c r="EZ296" s="36"/>
      <c r="FA296" s="36"/>
      <c r="FB296" s="36"/>
      <c r="FC296" s="36"/>
      <c r="FD296" s="36"/>
      <c r="FE296" s="36"/>
      <c r="FF296" s="36"/>
      <c r="FG296" s="36"/>
      <c r="FH296" s="36"/>
      <c r="FI296" s="36"/>
      <c r="FJ296" s="36"/>
      <c r="FK296" s="36"/>
      <c r="FL296" s="36"/>
      <c r="FM296" s="36"/>
      <c r="FN296" s="37"/>
      <c r="FO296" s="44"/>
      <c r="FP296" s="36"/>
      <c r="FQ296" s="36"/>
      <c r="FR296" s="36"/>
      <c r="FS296" s="36"/>
      <c r="FT296" s="36"/>
      <c r="FU296" s="36"/>
      <c r="FV296" s="36"/>
      <c r="FW296" s="36"/>
      <c r="FX296" s="36"/>
      <c r="FY296" s="36"/>
      <c r="FZ296" s="36"/>
      <c r="GA296" s="36"/>
      <c r="GB296" s="36"/>
      <c r="GC296" s="36"/>
      <c r="GD296" s="36"/>
      <c r="GE296" s="37"/>
      <c r="GF296" s="44"/>
      <c r="GG296" s="36"/>
      <c r="GH296" s="36"/>
      <c r="GI296" s="36"/>
      <c r="GJ296" s="36"/>
      <c r="GK296" s="36"/>
      <c r="GL296" s="36"/>
      <c r="GM296" s="36"/>
      <c r="GN296" s="36"/>
      <c r="GO296" s="36"/>
      <c r="GP296" s="36"/>
      <c r="GQ296" s="36"/>
      <c r="GR296" s="36"/>
      <c r="GS296" s="36"/>
      <c r="GT296" s="36"/>
      <c r="GU296" s="36"/>
      <c r="GV296" s="37"/>
      <c r="GW296" s="44"/>
      <c r="GX296" s="36"/>
      <c r="GY296" s="36"/>
      <c r="GZ296" s="36"/>
      <c r="HA296" s="36"/>
      <c r="HB296" s="36"/>
      <c r="HC296" s="36"/>
      <c r="HD296" s="36"/>
      <c r="HE296" s="36"/>
      <c r="HF296" s="36"/>
      <c r="HG296" s="36"/>
      <c r="HH296" s="36"/>
      <c r="HI296" s="36"/>
      <c r="HJ296" s="36"/>
      <c r="HK296" s="36"/>
      <c r="HL296" s="36"/>
      <c r="HM296" s="37"/>
      <c r="HN296" s="44"/>
      <c r="HO296" s="36"/>
      <c r="HP296" s="36"/>
      <c r="HQ296" s="36"/>
      <c r="HR296" s="36"/>
      <c r="HS296" s="36"/>
      <c r="HT296" s="36"/>
      <c r="HU296" s="36"/>
      <c r="HV296" s="36"/>
      <c r="HW296" s="36"/>
      <c r="HX296" s="36"/>
      <c r="HY296" s="36"/>
      <c r="HZ296" s="36"/>
      <c r="IA296" s="36"/>
      <c r="IB296" s="36"/>
      <c r="IC296" s="36"/>
      <c r="ID296" s="37"/>
      <c r="IE296" s="44"/>
      <c r="IF296" s="36"/>
      <c r="IG296" s="36"/>
      <c r="IH296" s="36"/>
      <c r="II296" s="36"/>
      <c r="IJ296" s="36"/>
      <c r="IK296" s="36"/>
      <c r="IL296" s="36"/>
      <c r="IM296" s="36"/>
      <c r="IN296" s="36"/>
      <c r="IO296" s="36"/>
      <c r="IP296" s="36"/>
      <c r="IQ296" s="36"/>
      <c r="IR296" s="36"/>
      <c r="IS296" s="36"/>
      <c r="IT296" s="36"/>
      <c r="IU296" s="37"/>
      <c r="IV296" s="44"/>
      <c r="IW296" s="36"/>
      <c r="IX296" s="36"/>
      <c r="IY296" s="36"/>
      <c r="IZ296" s="36"/>
      <c r="JA296" s="36"/>
      <c r="JB296" s="36"/>
      <c r="JC296" s="36"/>
      <c r="JD296" s="36"/>
      <c r="JE296" s="36"/>
      <c r="JF296" s="36"/>
      <c r="JG296" s="36"/>
      <c r="JH296" s="36"/>
      <c r="JI296" s="36"/>
      <c r="JJ296" s="36"/>
      <c r="JK296" s="36"/>
      <c r="JL296" s="37"/>
      <c r="JM296" s="44"/>
      <c r="JN296" s="36"/>
      <c r="JO296" s="36"/>
      <c r="JP296" s="36"/>
      <c r="JQ296" s="36"/>
      <c r="JR296" s="36"/>
      <c r="JS296" s="36"/>
      <c r="JT296" s="36"/>
      <c r="JU296" s="36"/>
      <c r="JV296" s="36"/>
      <c r="JW296" s="36"/>
      <c r="JX296" s="36"/>
      <c r="JY296" s="36"/>
      <c r="JZ296" s="36"/>
      <c r="KA296" s="36"/>
      <c r="KB296" s="36"/>
      <c r="KC296" s="37"/>
      <c r="KD296" s="44"/>
      <c r="KE296" s="36"/>
      <c r="KF296" s="36"/>
      <c r="KG296" s="36"/>
      <c r="KH296" s="36"/>
      <c r="KI296" s="36"/>
      <c r="KJ296" s="36"/>
      <c r="KK296" s="36"/>
      <c r="KL296" s="36"/>
      <c r="KM296" s="36"/>
      <c r="KN296" s="36"/>
      <c r="KO296" s="36"/>
      <c r="KP296" s="36"/>
      <c r="KQ296" s="36"/>
      <c r="KR296" s="36"/>
      <c r="KS296" s="36"/>
      <c r="KT296" s="37"/>
      <c r="KU296" s="36"/>
    </row>
    <row r="297" ht="15.0" customHeight="1">
      <c r="A297" s="44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7"/>
      <c r="R297" s="44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7"/>
      <c r="AI297" s="44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  <c r="AU297" s="36"/>
      <c r="AV297" s="36"/>
      <c r="AW297" s="36"/>
      <c r="AX297" s="36"/>
      <c r="AY297" s="37"/>
      <c r="AZ297" s="44"/>
      <c r="BA297" s="36"/>
      <c r="BB297" s="36"/>
      <c r="BC297" s="36"/>
      <c r="BD297" s="36"/>
      <c r="BE297" s="36"/>
      <c r="BF297" s="36"/>
      <c r="BG297" s="36"/>
      <c r="BH297" s="36"/>
      <c r="BI297" s="36"/>
      <c r="BJ297" s="36"/>
      <c r="BK297" s="36"/>
      <c r="BL297" s="36"/>
      <c r="BM297" s="36"/>
      <c r="BN297" s="36"/>
      <c r="BO297" s="36"/>
      <c r="BP297" s="37"/>
      <c r="BQ297" s="44"/>
      <c r="BR297" s="36"/>
      <c r="BS297" s="36"/>
      <c r="BT297" s="36"/>
      <c r="BU297" s="36"/>
      <c r="BV297" s="36"/>
      <c r="BW297" s="36"/>
      <c r="BX297" s="36"/>
      <c r="BY297" s="36"/>
      <c r="BZ297" s="36"/>
      <c r="CA297" s="36"/>
      <c r="CB297" s="36"/>
      <c r="CC297" s="36"/>
      <c r="CD297" s="36"/>
      <c r="CE297" s="36"/>
      <c r="CF297" s="36"/>
      <c r="CG297" s="37"/>
      <c r="CH297" s="44"/>
      <c r="CI297" s="36"/>
      <c r="CJ297" s="36"/>
      <c r="CK297" s="36"/>
      <c r="CL297" s="36"/>
      <c r="CM297" s="36"/>
      <c r="CN297" s="36"/>
      <c r="CO297" s="36"/>
      <c r="CP297" s="36"/>
      <c r="CQ297" s="36"/>
      <c r="CR297" s="36"/>
      <c r="CS297" s="36"/>
      <c r="CT297" s="36"/>
      <c r="CU297" s="36"/>
      <c r="CV297" s="36"/>
      <c r="CW297" s="36"/>
      <c r="CX297" s="37"/>
      <c r="CY297" s="44"/>
      <c r="CZ297" s="36"/>
      <c r="DA297" s="36"/>
      <c r="DB297" s="36"/>
      <c r="DC297" s="36"/>
      <c r="DD297" s="36"/>
      <c r="DE297" s="36"/>
      <c r="DF297" s="36"/>
      <c r="DG297" s="36"/>
      <c r="DH297" s="36"/>
      <c r="DI297" s="36"/>
      <c r="DJ297" s="36"/>
      <c r="DK297" s="36"/>
      <c r="DL297" s="36"/>
      <c r="DM297" s="36"/>
      <c r="DN297" s="36"/>
      <c r="DO297" s="37"/>
      <c r="DP297" s="44"/>
      <c r="DQ297" s="36"/>
      <c r="DR297" s="36"/>
      <c r="DS297" s="36"/>
      <c r="DT297" s="36"/>
      <c r="DU297" s="36"/>
      <c r="DV297" s="36"/>
      <c r="DW297" s="36"/>
      <c r="DX297" s="36"/>
      <c r="DY297" s="36"/>
      <c r="DZ297" s="36"/>
      <c r="EA297" s="36"/>
      <c r="EB297" s="36"/>
      <c r="EC297" s="36"/>
      <c r="ED297" s="36"/>
      <c r="EE297" s="36"/>
      <c r="EF297" s="37"/>
      <c r="EG297" s="44"/>
      <c r="EH297" s="36"/>
      <c r="EI297" s="36"/>
      <c r="EJ297" s="36"/>
      <c r="EK297" s="36"/>
      <c r="EL297" s="36"/>
      <c r="EM297" s="36"/>
      <c r="EN297" s="36"/>
      <c r="EO297" s="36"/>
      <c r="EP297" s="36"/>
      <c r="EQ297" s="36"/>
      <c r="ER297" s="36"/>
      <c r="ES297" s="36"/>
      <c r="ET297" s="36"/>
      <c r="EU297" s="36"/>
      <c r="EV297" s="36"/>
      <c r="EW297" s="37"/>
      <c r="EX297" s="44"/>
      <c r="EY297" s="36"/>
      <c r="EZ297" s="36"/>
      <c r="FA297" s="36"/>
      <c r="FB297" s="36"/>
      <c r="FC297" s="36"/>
      <c r="FD297" s="36"/>
      <c r="FE297" s="36"/>
      <c r="FF297" s="36"/>
      <c r="FG297" s="36"/>
      <c r="FH297" s="36"/>
      <c r="FI297" s="36"/>
      <c r="FJ297" s="36"/>
      <c r="FK297" s="36"/>
      <c r="FL297" s="36"/>
      <c r="FM297" s="36"/>
      <c r="FN297" s="37"/>
      <c r="FO297" s="44"/>
      <c r="FP297" s="36"/>
      <c r="FQ297" s="36"/>
      <c r="FR297" s="36"/>
      <c r="FS297" s="36"/>
      <c r="FT297" s="36"/>
      <c r="FU297" s="36"/>
      <c r="FV297" s="36"/>
      <c r="FW297" s="36"/>
      <c r="FX297" s="36"/>
      <c r="FY297" s="36"/>
      <c r="FZ297" s="36"/>
      <c r="GA297" s="36"/>
      <c r="GB297" s="36"/>
      <c r="GC297" s="36"/>
      <c r="GD297" s="36"/>
      <c r="GE297" s="37"/>
      <c r="GF297" s="44"/>
      <c r="GG297" s="36"/>
      <c r="GH297" s="36"/>
      <c r="GI297" s="36"/>
      <c r="GJ297" s="36"/>
      <c r="GK297" s="36"/>
      <c r="GL297" s="36"/>
      <c r="GM297" s="36"/>
      <c r="GN297" s="36"/>
      <c r="GO297" s="36"/>
      <c r="GP297" s="36"/>
      <c r="GQ297" s="36"/>
      <c r="GR297" s="36"/>
      <c r="GS297" s="36"/>
      <c r="GT297" s="36"/>
      <c r="GU297" s="36"/>
      <c r="GV297" s="37"/>
      <c r="GW297" s="44"/>
      <c r="GX297" s="36"/>
      <c r="GY297" s="36"/>
      <c r="GZ297" s="36"/>
      <c r="HA297" s="36"/>
      <c r="HB297" s="36"/>
      <c r="HC297" s="36"/>
      <c r="HD297" s="36"/>
      <c r="HE297" s="36"/>
      <c r="HF297" s="36"/>
      <c r="HG297" s="36"/>
      <c r="HH297" s="36"/>
      <c r="HI297" s="36"/>
      <c r="HJ297" s="36"/>
      <c r="HK297" s="36"/>
      <c r="HL297" s="36"/>
      <c r="HM297" s="37"/>
      <c r="HN297" s="44"/>
      <c r="HO297" s="36"/>
      <c r="HP297" s="36"/>
      <c r="HQ297" s="36"/>
      <c r="HR297" s="36"/>
      <c r="HS297" s="36"/>
      <c r="HT297" s="36"/>
      <c r="HU297" s="36"/>
      <c r="HV297" s="36"/>
      <c r="HW297" s="36"/>
      <c r="HX297" s="36"/>
      <c r="HY297" s="36"/>
      <c r="HZ297" s="36"/>
      <c r="IA297" s="36"/>
      <c r="IB297" s="36"/>
      <c r="IC297" s="36"/>
      <c r="ID297" s="37"/>
      <c r="IE297" s="44"/>
      <c r="IF297" s="36"/>
      <c r="IG297" s="36"/>
      <c r="IH297" s="36"/>
      <c r="II297" s="36"/>
      <c r="IJ297" s="36"/>
      <c r="IK297" s="36"/>
      <c r="IL297" s="36"/>
      <c r="IM297" s="36"/>
      <c r="IN297" s="36"/>
      <c r="IO297" s="36"/>
      <c r="IP297" s="36"/>
      <c r="IQ297" s="36"/>
      <c r="IR297" s="36"/>
      <c r="IS297" s="36"/>
      <c r="IT297" s="36"/>
      <c r="IU297" s="37"/>
      <c r="IV297" s="44"/>
      <c r="IW297" s="36"/>
      <c r="IX297" s="36"/>
      <c r="IY297" s="36"/>
      <c r="IZ297" s="36"/>
      <c r="JA297" s="36"/>
      <c r="JB297" s="36"/>
      <c r="JC297" s="36"/>
      <c r="JD297" s="36"/>
      <c r="JE297" s="36"/>
      <c r="JF297" s="36"/>
      <c r="JG297" s="36"/>
      <c r="JH297" s="36"/>
      <c r="JI297" s="36"/>
      <c r="JJ297" s="36"/>
      <c r="JK297" s="36"/>
      <c r="JL297" s="37"/>
      <c r="JM297" s="44"/>
      <c r="JN297" s="36"/>
      <c r="JO297" s="36"/>
      <c r="JP297" s="36"/>
      <c r="JQ297" s="36"/>
      <c r="JR297" s="36"/>
      <c r="JS297" s="36"/>
      <c r="JT297" s="36"/>
      <c r="JU297" s="36"/>
      <c r="JV297" s="36"/>
      <c r="JW297" s="36"/>
      <c r="JX297" s="36"/>
      <c r="JY297" s="36"/>
      <c r="JZ297" s="36"/>
      <c r="KA297" s="36"/>
      <c r="KB297" s="36"/>
      <c r="KC297" s="37"/>
      <c r="KD297" s="44"/>
      <c r="KE297" s="36"/>
      <c r="KF297" s="36"/>
      <c r="KG297" s="36"/>
      <c r="KH297" s="36"/>
      <c r="KI297" s="36"/>
      <c r="KJ297" s="36"/>
      <c r="KK297" s="36"/>
      <c r="KL297" s="36"/>
      <c r="KM297" s="36"/>
      <c r="KN297" s="36"/>
      <c r="KO297" s="36"/>
      <c r="KP297" s="36"/>
      <c r="KQ297" s="36"/>
      <c r="KR297" s="36"/>
      <c r="KS297" s="36"/>
      <c r="KT297" s="37"/>
      <c r="KU297" s="36"/>
    </row>
    <row r="298" ht="15.0" customHeight="1">
      <c r="A298" s="44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7"/>
      <c r="R298" s="44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7"/>
      <c r="AI298" s="44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  <c r="AU298" s="36"/>
      <c r="AV298" s="36"/>
      <c r="AW298" s="36"/>
      <c r="AX298" s="36"/>
      <c r="AY298" s="37"/>
      <c r="AZ298" s="44"/>
      <c r="BA298" s="36"/>
      <c r="BB298" s="36"/>
      <c r="BC298" s="36"/>
      <c r="BD298" s="36"/>
      <c r="BE298" s="36"/>
      <c r="BF298" s="36"/>
      <c r="BG298" s="36"/>
      <c r="BH298" s="36"/>
      <c r="BI298" s="36"/>
      <c r="BJ298" s="36"/>
      <c r="BK298" s="36"/>
      <c r="BL298" s="36"/>
      <c r="BM298" s="36"/>
      <c r="BN298" s="36"/>
      <c r="BO298" s="36"/>
      <c r="BP298" s="37"/>
      <c r="BQ298" s="44"/>
      <c r="BR298" s="36"/>
      <c r="BS298" s="36"/>
      <c r="BT298" s="36"/>
      <c r="BU298" s="36"/>
      <c r="BV298" s="36"/>
      <c r="BW298" s="36"/>
      <c r="BX298" s="36"/>
      <c r="BY298" s="36"/>
      <c r="BZ298" s="36"/>
      <c r="CA298" s="36"/>
      <c r="CB298" s="36"/>
      <c r="CC298" s="36"/>
      <c r="CD298" s="36"/>
      <c r="CE298" s="36"/>
      <c r="CF298" s="36"/>
      <c r="CG298" s="37"/>
      <c r="CH298" s="44"/>
      <c r="CI298" s="36"/>
      <c r="CJ298" s="36"/>
      <c r="CK298" s="36"/>
      <c r="CL298" s="36"/>
      <c r="CM298" s="36"/>
      <c r="CN298" s="36"/>
      <c r="CO298" s="36"/>
      <c r="CP298" s="36"/>
      <c r="CQ298" s="36"/>
      <c r="CR298" s="36"/>
      <c r="CS298" s="36"/>
      <c r="CT298" s="36"/>
      <c r="CU298" s="36"/>
      <c r="CV298" s="36"/>
      <c r="CW298" s="36"/>
      <c r="CX298" s="37"/>
      <c r="CY298" s="44"/>
      <c r="CZ298" s="36"/>
      <c r="DA298" s="36"/>
      <c r="DB298" s="36"/>
      <c r="DC298" s="36"/>
      <c r="DD298" s="36"/>
      <c r="DE298" s="36"/>
      <c r="DF298" s="36"/>
      <c r="DG298" s="36"/>
      <c r="DH298" s="36"/>
      <c r="DI298" s="36"/>
      <c r="DJ298" s="36"/>
      <c r="DK298" s="36"/>
      <c r="DL298" s="36"/>
      <c r="DM298" s="36"/>
      <c r="DN298" s="36"/>
      <c r="DO298" s="37"/>
      <c r="DP298" s="44"/>
      <c r="DQ298" s="36"/>
      <c r="DR298" s="36"/>
      <c r="DS298" s="36"/>
      <c r="DT298" s="36"/>
      <c r="DU298" s="36"/>
      <c r="DV298" s="36"/>
      <c r="DW298" s="36"/>
      <c r="DX298" s="36"/>
      <c r="DY298" s="36"/>
      <c r="DZ298" s="36"/>
      <c r="EA298" s="36"/>
      <c r="EB298" s="36"/>
      <c r="EC298" s="36"/>
      <c r="ED298" s="36"/>
      <c r="EE298" s="36"/>
      <c r="EF298" s="37"/>
      <c r="EG298" s="44"/>
      <c r="EH298" s="36"/>
      <c r="EI298" s="36"/>
      <c r="EJ298" s="36"/>
      <c r="EK298" s="36"/>
      <c r="EL298" s="36"/>
      <c r="EM298" s="36"/>
      <c r="EN298" s="36"/>
      <c r="EO298" s="36"/>
      <c r="EP298" s="36"/>
      <c r="EQ298" s="36"/>
      <c r="ER298" s="36"/>
      <c r="ES298" s="36"/>
      <c r="ET298" s="36"/>
      <c r="EU298" s="36"/>
      <c r="EV298" s="36"/>
      <c r="EW298" s="37"/>
      <c r="EX298" s="44"/>
      <c r="EY298" s="36"/>
      <c r="EZ298" s="36"/>
      <c r="FA298" s="36"/>
      <c r="FB298" s="36"/>
      <c r="FC298" s="36"/>
      <c r="FD298" s="36"/>
      <c r="FE298" s="36"/>
      <c r="FF298" s="36"/>
      <c r="FG298" s="36"/>
      <c r="FH298" s="36"/>
      <c r="FI298" s="36"/>
      <c r="FJ298" s="36"/>
      <c r="FK298" s="36"/>
      <c r="FL298" s="36"/>
      <c r="FM298" s="36"/>
      <c r="FN298" s="37"/>
      <c r="FO298" s="44"/>
      <c r="FP298" s="36"/>
      <c r="FQ298" s="36"/>
      <c r="FR298" s="36"/>
      <c r="FS298" s="36"/>
      <c r="FT298" s="36"/>
      <c r="FU298" s="36"/>
      <c r="FV298" s="36"/>
      <c r="FW298" s="36"/>
      <c r="FX298" s="36"/>
      <c r="FY298" s="36"/>
      <c r="FZ298" s="36"/>
      <c r="GA298" s="36"/>
      <c r="GB298" s="36"/>
      <c r="GC298" s="36"/>
      <c r="GD298" s="36"/>
      <c r="GE298" s="37"/>
      <c r="GF298" s="44"/>
      <c r="GG298" s="36"/>
      <c r="GH298" s="36"/>
      <c r="GI298" s="36"/>
      <c r="GJ298" s="36"/>
      <c r="GK298" s="36"/>
      <c r="GL298" s="36"/>
      <c r="GM298" s="36"/>
      <c r="GN298" s="36"/>
      <c r="GO298" s="36"/>
      <c r="GP298" s="36"/>
      <c r="GQ298" s="36"/>
      <c r="GR298" s="36"/>
      <c r="GS298" s="36"/>
      <c r="GT298" s="36"/>
      <c r="GU298" s="36"/>
      <c r="GV298" s="37"/>
      <c r="GW298" s="44"/>
      <c r="GX298" s="36"/>
      <c r="GY298" s="36"/>
      <c r="GZ298" s="36"/>
      <c r="HA298" s="36"/>
      <c r="HB298" s="36"/>
      <c r="HC298" s="36"/>
      <c r="HD298" s="36"/>
      <c r="HE298" s="36"/>
      <c r="HF298" s="36"/>
      <c r="HG298" s="36"/>
      <c r="HH298" s="36"/>
      <c r="HI298" s="36"/>
      <c r="HJ298" s="36"/>
      <c r="HK298" s="36"/>
      <c r="HL298" s="36"/>
      <c r="HM298" s="37"/>
      <c r="HN298" s="44"/>
      <c r="HO298" s="36"/>
      <c r="HP298" s="36"/>
      <c r="HQ298" s="36"/>
      <c r="HR298" s="36"/>
      <c r="HS298" s="36"/>
      <c r="HT298" s="36"/>
      <c r="HU298" s="36"/>
      <c r="HV298" s="36"/>
      <c r="HW298" s="36"/>
      <c r="HX298" s="36"/>
      <c r="HY298" s="36"/>
      <c r="HZ298" s="36"/>
      <c r="IA298" s="36"/>
      <c r="IB298" s="36"/>
      <c r="IC298" s="36"/>
      <c r="ID298" s="37"/>
      <c r="IE298" s="44"/>
      <c r="IF298" s="36"/>
      <c r="IG298" s="36"/>
      <c r="IH298" s="36"/>
      <c r="II298" s="36"/>
      <c r="IJ298" s="36"/>
      <c r="IK298" s="36"/>
      <c r="IL298" s="36"/>
      <c r="IM298" s="36"/>
      <c r="IN298" s="36"/>
      <c r="IO298" s="36"/>
      <c r="IP298" s="36"/>
      <c r="IQ298" s="36"/>
      <c r="IR298" s="36"/>
      <c r="IS298" s="36"/>
      <c r="IT298" s="36"/>
      <c r="IU298" s="37"/>
      <c r="IV298" s="44"/>
      <c r="IW298" s="36"/>
      <c r="IX298" s="36"/>
      <c r="IY298" s="36"/>
      <c r="IZ298" s="36"/>
      <c r="JA298" s="36"/>
      <c r="JB298" s="36"/>
      <c r="JC298" s="36"/>
      <c r="JD298" s="36"/>
      <c r="JE298" s="36"/>
      <c r="JF298" s="36"/>
      <c r="JG298" s="36"/>
      <c r="JH298" s="36"/>
      <c r="JI298" s="36"/>
      <c r="JJ298" s="36"/>
      <c r="JK298" s="36"/>
      <c r="JL298" s="37"/>
      <c r="JM298" s="44"/>
      <c r="JN298" s="36"/>
      <c r="JO298" s="36"/>
      <c r="JP298" s="36"/>
      <c r="JQ298" s="36"/>
      <c r="JR298" s="36"/>
      <c r="JS298" s="36"/>
      <c r="JT298" s="36"/>
      <c r="JU298" s="36"/>
      <c r="JV298" s="36"/>
      <c r="JW298" s="36"/>
      <c r="JX298" s="36"/>
      <c r="JY298" s="36"/>
      <c r="JZ298" s="36"/>
      <c r="KA298" s="36"/>
      <c r="KB298" s="36"/>
      <c r="KC298" s="37"/>
      <c r="KD298" s="44"/>
      <c r="KE298" s="36"/>
      <c r="KF298" s="36"/>
      <c r="KG298" s="36"/>
      <c r="KH298" s="36"/>
      <c r="KI298" s="36"/>
      <c r="KJ298" s="36"/>
      <c r="KK298" s="36"/>
      <c r="KL298" s="36"/>
      <c r="KM298" s="36"/>
      <c r="KN298" s="36"/>
      <c r="KO298" s="36"/>
      <c r="KP298" s="36"/>
      <c r="KQ298" s="36"/>
      <c r="KR298" s="36"/>
      <c r="KS298" s="36"/>
      <c r="KT298" s="37"/>
      <c r="KU298" s="36"/>
    </row>
    <row r="299" ht="15.0" customHeight="1">
      <c r="A299" s="44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7"/>
      <c r="R299" s="44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7"/>
      <c r="AI299" s="44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  <c r="AU299" s="36"/>
      <c r="AV299" s="36"/>
      <c r="AW299" s="36"/>
      <c r="AX299" s="36"/>
      <c r="AY299" s="37"/>
      <c r="AZ299" s="44"/>
      <c r="BA299" s="36"/>
      <c r="BB299" s="36"/>
      <c r="BC299" s="36"/>
      <c r="BD299" s="36"/>
      <c r="BE299" s="36"/>
      <c r="BF299" s="36"/>
      <c r="BG299" s="36"/>
      <c r="BH299" s="36"/>
      <c r="BI299" s="36"/>
      <c r="BJ299" s="36"/>
      <c r="BK299" s="36"/>
      <c r="BL299" s="36"/>
      <c r="BM299" s="36"/>
      <c r="BN299" s="36"/>
      <c r="BO299" s="36"/>
      <c r="BP299" s="37"/>
      <c r="BQ299" s="44"/>
      <c r="BR299" s="36"/>
      <c r="BS299" s="36"/>
      <c r="BT299" s="36"/>
      <c r="BU299" s="36"/>
      <c r="BV299" s="36"/>
      <c r="BW299" s="36"/>
      <c r="BX299" s="36"/>
      <c r="BY299" s="36"/>
      <c r="BZ299" s="36"/>
      <c r="CA299" s="36"/>
      <c r="CB299" s="36"/>
      <c r="CC299" s="36"/>
      <c r="CD299" s="36"/>
      <c r="CE299" s="36"/>
      <c r="CF299" s="36"/>
      <c r="CG299" s="37"/>
      <c r="CH299" s="44"/>
      <c r="CI299" s="36"/>
      <c r="CJ299" s="36"/>
      <c r="CK299" s="36"/>
      <c r="CL299" s="36"/>
      <c r="CM299" s="36"/>
      <c r="CN299" s="36"/>
      <c r="CO299" s="36"/>
      <c r="CP299" s="36"/>
      <c r="CQ299" s="36"/>
      <c r="CR299" s="36"/>
      <c r="CS299" s="36"/>
      <c r="CT299" s="36"/>
      <c r="CU299" s="36"/>
      <c r="CV299" s="36"/>
      <c r="CW299" s="36"/>
      <c r="CX299" s="37"/>
      <c r="CY299" s="44"/>
      <c r="CZ299" s="36"/>
      <c r="DA299" s="36"/>
      <c r="DB299" s="36"/>
      <c r="DC299" s="36"/>
      <c r="DD299" s="36"/>
      <c r="DE299" s="36"/>
      <c r="DF299" s="36"/>
      <c r="DG299" s="36"/>
      <c r="DH299" s="36"/>
      <c r="DI299" s="36"/>
      <c r="DJ299" s="36"/>
      <c r="DK299" s="36"/>
      <c r="DL299" s="36"/>
      <c r="DM299" s="36"/>
      <c r="DN299" s="36"/>
      <c r="DO299" s="37"/>
      <c r="DP299" s="44"/>
      <c r="DQ299" s="36"/>
      <c r="DR299" s="36"/>
      <c r="DS299" s="36"/>
      <c r="DT299" s="36"/>
      <c r="DU299" s="36"/>
      <c r="DV299" s="36"/>
      <c r="DW299" s="36"/>
      <c r="DX299" s="36"/>
      <c r="DY299" s="36"/>
      <c r="DZ299" s="36"/>
      <c r="EA299" s="36"/>
      <c r="EB299" s="36"/>
      <c r="EC299" s="36"/>
      <c r="ED299" s="36"/>
      <c r="EE299" s="36"/>
      <c r="EF299" s="37"/>
      <c r="EG299" s="44"/>
      <c r="EH299" s="36"/>
      <c r="EI299" s="36"/>
      <c r="EJ299" s="36"/>
      <c r="EK299" s="36"/>
      <c r="EL299" s="36"/>
      <c r="EM299" s="36"/>
      <c r="EN299" s="36"/>
      <c r="EO299" s="36"/>
      <c r="EP299" s="36"/>
      <c r="EQ299" s="36"/>
      <c r="ER299" s="36"/>
      <c r="ES299" s="36"/>
      <c r="ET299" s="36"/>
      <c r="EU299" s="36"/>
      <c r="EV299" s="36"/>
      <c r="EW299" s="37"/>
      <c r="EX299" s="44"/>
      <c r="EY299" s="36"/>
      <c r="EZ299" s="36"/>
      <c r="FA299" s="36"/>
      <c r="FB299" s="36"/>
      <c r="FC299" s="36"/>
      <c r="FD299" s="36"/>
      <c r="FE299" s="36"/>
      <c r="FF299" s="36"/>
      <c r="FG299" s="36"/>
      <c r="FH299" s="36"/>
      <c r="FI299" s="36"/>
      <c r="FJ299" s="36"/>
      <c r="FK299" s="36"/>
      <c r="FL299" s="36"/>
      <c r="FM299" s="36"/>
      <c r="FN299" s="37"/>
      <c r="FO299" s="44"/>
      <c r="FP299" s="36"/>
      <c r="FQ299" s="36"/>
      <c r="FR299" s="36"/>
      <c r="FS299" s="36"/>
      <c r="FT299" s="36"/>
      <c r="FU299" s="36"/>
      <c r="FV299" s="36"/>
      <c r="FW299" s="36"/>
      <c r="FX299" s="36"/>
      <c r="FY299" s="36"/>
      <c r="FZ299" s="36"/>
      <c r="GA299" s="36"/>
      <c r="GB299" s="36"/>
      <c r="GC299" s="36"/>
      <c r="GD299" s="36"/>
      <c r="GE299" s="37"/>
      <c r="GF299" s="44"/>
      <c r="GG299" s="36"/>
      <c r="GH299" s="36"/>
      <c r="GI299" s="36"/>
      <c r="GJ299" s="36"/>
      <c r="GK299" s="36"/>
      <c r="GL299" s="36"/>
      <c r="GM299" s="36"/>
      <c r="GN299" s="36"/>
      <c r="GO299" s="36"/>
      <c r="GP299" s="36"/>
      <c r="GQ299" s="36"/>
      <c r="GR299" s="36"/>
      <c r="GS299" s="36"/>
      <c r="GT299" s="36"/>
      <c r="GU299" s="36"/>
      <c r="GV299" s="37"/>
      <c r="GW299" s="44"/>
      <c r="GX299" s="36"/>
      <c r="GY299" s="36"/>
      <c r="GZ299" s="36"/>
      <c r="HA299" s="36"/>
      <c r="HB299" s="36"/>
      <c r="HC299" s="36"/>
      <c r="HD299" s="36"/>
      <c r="HE299" s="36"/>
      <c r="HF299" s="36"/>
      <c r="HG299" s="36"/>
      <c r="HH299" s="36"/>
      <c r="HI299" s="36"/>
      <c r="HJ299" s="36"/>
      <c r="HK299" s="36"/>
      <c r="HL299" s="36"/>
      <c r="HM299" s="37"/>
      <c r="HN299" s="44"/>
      <c r="HO299" s="36"/>
      <c r="HP299" s="36"/>
      <c r="HQ299" s="36"/>
      <c r="HR299" s="36"/>
      <c r="HS299" s="36"/>
      <c r="HT299" s="36"/>
      <c r="HU299" s="36"/>
      <c r="HV299" s="36"/>
      <c r="HW299" s="36"/>
      <c r="HX299" s="36"/>
      <c r="HY299" s="36"/>
      <c r="HZ299" s="36"/>
      <c r="IA299" s="36"/>
      <c r="IB299" s="36"/>
      <c r="IC299" s="36"/>
      <c r="ID299" s="37"/>
      <c r="IE299" s="44"/>
      <c r="IF299" s="36"/>
      <c r="IG299" s="36"/>
      <c r="IH299" s="36"/>
      <c r="II299" s="36"/>
      <c r="IJ299" s="36"/>
      <c r="IK299" s="36"/>
      <c r="IL299" s="36"/>
      <c r="IM299" s="36"/>
      <c r="IN299" s="36"/>
      <c r="IO299" s="36"/>
      <c r="IP299" s="36"/>
      <c r="IQ299" s="36"/>
      <c r="IR299" s="36"/>
      <c r="IS299" s="36"/>
      <c r="IT299" s="36"/>
      <c r="IU299" s="37"/>
      <c r="IV299" s="44"/>
      <c r="IW299" s="36"/>
      <c r="IX299" s="36"/>
      <c r="IY299" s="36"/>
      <c r="IZ299" s="36"/>
      <c r="JA299" s="36"/>
      <c r="JB299" s="36"/>
      <c r="JC299" s="36"/>
      <c r="JD299" s="36"/>
      <c r="JE299" s="36"/>
      <c r="JF299" s="36"/>
      <c r="JG299" s="36"/>
      <c r="JH299" s="36"/>
      <c r="JI299" s="36"/>
      <c r="JJ299" s="36"/>
      <c r="JK299" s="36"/>
      <c r="JL299" s="37"/>
      <c r="JM299" s="44"/>
      <c r="JN299" s="36"/>
      <c r="JO299" s="36"/>
      <c r="JP299" s="36"/>
      <c r="JQ299" s="36"/>
      <c r="JR299" s="36"/>
      <c r="JS299" s="36"/>
      <c r="JT299" s="36"/>
      <c r="JU299" s="36"/>
      <c r="JV299" s="36"/>
      <c r="JW299" s="36"/>
      <c r="JX299" s="36"/>
      <c r="JY299" s="36"/>
      <c r="JZ299" s="36"/>
      <c r="KA299" s="36"/>
      <c r="KB299" s="36"/>
      <c r="KC299" s="37"/>
      <c r="KD299" s="44"/>
      <c r="KE299" s="36"/>
      <c r="KF299" s="36"/>
      <c r="KG299" s="36"/>
      <c r="KH299" s="36"/>
      <c r="KI299" s="36"/>
      <c r="KJ299" s="36"/>
      <c r="KK299" s="36"/>
      <c r="KL299" s="36"/>
      <c r="KM299" s="36"/>
      <c r="KN299" s="36"/>
      <c r="KO299" s="36"/>
      <c r="KP299" s="36"/>
      <c r="KQ299" s="36"/>
      <c r="KR299" s="36"/>
      <c r="KS299" s="36"/>
      <c r="KT299" s="37"/>
      <c r="KU299" s="36"/>
    </row>
    <row r="300" ht="15.0" customHeight="1">
      <c r="A300" s="44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7"/>
      <c r="R300" s="44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7"/>
      <c r="AI300" s="44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  <c r="AU300" s="36"/>
      <c r="AV300" s="36"/>
      <c r="AW300" s="36"/>
      <c r="AX300" s="36"/>
      <c r="AY300" s="37"/>
      <c r="AZ300" s="44"/>
      <c r="BA300" s="36"/>
      <c r="BB300" s="36"/>
      <c r="BC300" s="36"/>
      <c r="BD300" s="36"/>
      <c r="BE300" s="36"/>
      <c r="BF300" s="36"/>
      <c r="BG300" s="36"/>
      <c r="BH300" s="36"/>
      <c r="BI300" s="36"/>
      <c r="BJ300" s="36"/>
      <c r="BK300" s="36"/>
      <c r="BL300" s="36"/>
      <c r="BM300" s="36"/>
      <c r="BN300" s="36"/>
      <c r="BO300" s="36"/>
      <c r="BP300" s="37"/>
      <c r="BQ300" s="44"/>
      <c r="BR300" s="36"/>
      <c r="BS300" s="36"/>
      <c r="BT300" s="36"/>
      <c r="BU300" s="36"/>
      <c r="BV300" s="36"/>
      <c r="BW300" s="36"/>
      <c r="BX300" s="36"/>
      <c r="BY300" s="36"/>
      <c r="BZ300" s="36"/>
      <c r="CA300" s="36"/>
      <c r="CB300" s="36"/>
      <c r="CC300" s="36"/>
      <c r="CD300" s="36"/>
      <c r="CE300" s="36"/>
      <c r="CF300" s="36"/>
      <c r="CG300" s="37"/>
      <c r="CH300" s="44"/>
      <c r="CI300" s="36"/>
      <c r="CJ300" s="36"/>
      <c r="CK300" s="36"/>
      <c r="CL300" s="36"/>
      <c r="CM300" s="36"/>
      <c r="CN300" s="36"/>
      <c r="CO300" s="36"/>
      <c r="CP300" s="36"/>
      <c r="CQ300" s="36"/>
      <c r="CR300" s="36"/>
      <c r="CS300" s="36"/>
      <c r="CT300" s="36"/>
      <c r="CU300" s="36"/>
      <c r="CV300" s="36"/>
      <c r="CW300" s="36"/>
      <c r="CX300" s="37"/>
      <c r="CY300" s="44"/>
      <c r="CZ300" s="36"/>
      <c r="DA300" s="36"/>
      <c r="DB300" s="36"/>
      <c r="DC300" s="36"/>
      <c r="DD300" s="36"/>
      <c r="DE300" s="36"/>
      <c r="DF300" s="36"/>
      <c r="DG300" s="36"/>
      <c r="DH300" s="36"/>
      <c r="DI300" s="36"/>
      <c r="DJ300" s="36"/>
      <c r="DK300" s="36"/>
      <c r="DL300" s="36"/>
      <c r="DM300" s="36"/>
      <c r="DN300" s="36"/>
      <c r="DO300" s="37"/>
      <c r="DP300" s="44"/>
      <c r="DQ300" s="36"/>
      <c r="DR300" s="36"/>
      <c r="DS300" s="36"/>
      <c r="DT300" s="36"/>
      <c r="DU300" s="36"/>
      <c r="DV300" s="36"/>
      <c r="DW300" s="36"/>
      <c r="DX300" s="36"/>
      <c r="DY300" s="36"/>
      <c r="DZ300" s="36"/>
      <c r="EA300" s="36"/>
      <c r="EB300" s="36"/>
      <c r="EC300" s="36"/>
      <c r="ED300" s="36"/>
      <c r="EE300" s="36"/>
      <c r="EF300" s="37"/>
      <c r="EG300" s="44"/>
      <c r="EH300" s="36"/>
      <c r="EI300" s="36"/>
      <c r="EJ300" s="36"/>
      <c r="EK300" s="36"/>
      <c r="EL300" s="36"/>
      <c r="EM300" s="36"/>
      <c r="EN300" s="36"/>
      <c r="EO300" s="36"/>
      <c r="EP300" s="36"/>
      <c r="EQ300" s="36"/>
      <c r="ER300" s="36"/>
      <c r="ES300" s="36"/>
      <c r="ET300" s="36"/>
      <c r="EU300" s="36"/>
      <c r="EV300" s="36"/>
      <c r="EW300" s="37"/>
      <c r="EX300" s="44"/>
      <c r="EY300" s="36"/>
      <c r="EZ300" s="36"/>
      <c r="FA300" s="36"/>
      <c r="FB300" s="36"/>
      <c r="FC300" s="36"/>
      <c r="FD300" s="36"/>
      <c r="FE300" s="36"/>
      <c r="FF300" s="36"/>
      <c r="FG300" s="36"/>
      <c r="FH300" s="36"/>
      <c r="FI300" s="36"/>
      <c r="FJ300" s="36"/>
      <c r="FK300" s="36"/>
      <c r="FL300" s="36"/>
      <c r="FM300" s="36"/>
      <c r="FN300" s="37"/>
      <c r="FO300" s="44"/>
      <c r="FP300" s="36"/>
      <c r="FQ300" s="36"/>
      <c r="FR300" s="36"/>
      <c r="FS300" s="36"/>
      <c r="FT300" s="36"/>
      <c r="FU300" s="36"/>
      <c r="FV300" s="36"/>
      <c r="FW300" s="36"/>
      <c r="FX300" s="36"/>
      <c r="FY300" s="36"/>
      <c r="FZ300" s="36"/>
      <c r="GA300" s="36"/>
      <c r="GB300" s="36"/>
      <c r="GC300" s="36"/>
      <c r="GD300" s="36"/>
      <c r="GE300" s="37"/>
      <c r="GF300" s="44"/>
      <c r="GG300" s="36"/>
      <c r="GH300" s="36"/>
      <c r="GI300" s="36"/>
      <c r="GJ300" s="36"/>
      <c r="GK300" s="36"/>
      <c r="GL300" s="36"/>
      <c r="GM300" s="36"/>
      <c r="GN300" s="36"/>
      <c r="GO300" s="36"/>
      <c r="GP300" s="36"/>
      <c r="GQ300" s="36"/>
      <c r="GR300" s="36"/>
      <c r="GS300" s="36"/>
      <c r="GT300" s="36"/>
      <c r="GU300" s="36"/>
      <c r="GV300" s="37"/>
      <c r="GW300" s="44"/>
      <c r="GX300" s="36"/>
      <c r="GY300" s="36"/>
      <c r="GZ300" s="36"/>
      <c r="HA300" s="36"/>
      <c r="HB300" s="36"/>
      <c r="HC300" s="36"/>
      <c r="HD300" s="36"/>
      <c r="HE300" s="36"/>
      <c r="HF300" s="36"/>
      <c r="HG300" s="36"/>
      <c r="HH300" s="36"/>
      <c r="HI300" s="36"/>
      <c r="HJ300" s="36"/>
      <c r="HK300" s="36"/>
      <c r="HL300" s="36"/>
      <c r="HM300" s="37"/>
      <c r="HN300" s="44"/>
      <c r="HO300" s="36"/>
      <c r="HP300" s="36"/>
      <c r="HQ300" s="36"/>
      <c r="HR300" s="36"/>
      <c r="HS300" s="36"/>
      <c r="HT300" s="36"/>
      <c r="HU300" s="36"/>
      <c r="HV300" s="36"/>
      <c r="HW300" s="36"/>
      <c r="HX300" s="36"/>
      <c r="HY300" s="36"/>
      <c r="HZ300" s="36"/>
      <c r="IA300" s="36"/>
      <c r="IB300" s="36"/>
      <c r="IC300" s="36"/>
      <c r="ID300" s="37"/>
      <c r="IE300" s="44"/>
      <c r="IF300" s="36"/>
      <c r="IG300" s="36"/>
      <c r="IH300" s="36"/>
      <c r="II300" s="36"/>
      <c r="IJ300" s="36"/>
      <c r="IK300" s="36"/>
      <c r="IL300" s="36"/>
      <c r="IM300" s="36"/>
      <c r="IN300" s="36"/>
      <c r="IO300" s="36"/>
      <c r="IP300" s="36"/>
      <c r="IQ300" s="36"/>
      <c r="IR300" s="36"/>
      <c r="IS300" s="36"/>
      <c r="IT300" s="36"/>
      <c r="IU300" s="37"/>
      <c r="IV300" s="44"/>
      <c r="IW300" s="36"/>
      <c r="IX300" s="36"/>
      <c r="IY300" s="36"/>
      <c r="IZ300" s="36"/>
      <c r="JA300" s="36"/>
      <c r="JB300" s="36"/>
      <c r="JC300" s="36"/>
      <c r="JD300" s="36"/>
      <c r="JE300" s="36"/>
      <c r="JF300" s="36"/>
      <c r="JG300" s="36"/>
      <c r="JH300" s="36"/>
      <c r="JI300" s="36"/>
      <c r="JJ300" s="36"/>
      <c r="JK300" s="36"/>
      <c r="JL300" s="37"/>
      <c r="JM300" s="44"/>
      <c r="JN300" s="36"/>
      <c r="JO300" s="36"/>
      <c r="JP300" s="36"/>
      <c r="JQ300" s="36"/>
      <c r="JR300" s="36"/>
      <c r="JS300" s="36"/>
      <c r="JT300" s="36"/>
      <c r="JU300" s="36"/>
      <c r="JV300" s="36"/>
      <c r="JW300" s="36"/>
      <c r="JX300" s="36"/>
      <c r="JY300" s="36"/>
      <c r="JZ300" s="36"/>
      <c r="KA300" s="36"/>
      <c r="KB300" s="36"/>
      <c r="KC300" s="37"/>
      <c r="KD300" s="44"/>
      <c r="KE300" s="36"/>
      <c r="KF300" s="36"/>
      <c r="KG300" s="36"/>
      <c r="KH300" s="36"/>
      <c r="KI300" s="36"/>
      <c r="KJ300" s="36"/>
      <c r="KK300" s="36"/>
      <c r="KL300" s="36"/>
      <c r="KM300" s="36"/>
      <c r="KN300" s="36"/>
      <c r="KO300" s="36"/>
      <c r="KP300" s="36"/>
      <c r="KQ300" s="36"/>
      <c r="KR300" s="36"/>
      <c r="KS300" s="36"/>
      <c r="KT300" s="37"/>
      <c r="KU300" s="36"/>
    </row>
    <row r="301" ht="15.0" customHeight="1">
      <c r="A301" s="44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7"/>
      <c r="R301" s="44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7"/>
      <c r="AI301" s="44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  <c r="AU301" s="36"/>
      <c r="AV301" s="36"/>
      <c r="AW301" s="36"/>
      <c r="AX301" s="36"/>
      <c r="AY301" s="37"/>
      <c r="AZ301" s="44"/>
      <c r="BA301" s="36"/>
      <c r="BB301" s="36"/>
      <c r="BC301" s="36"/>
      <c r="BD301" s="36"/>
      <c r="BE301" s="36"/>
      <c r="BF301" s="36"/>
      <c r="BG301" s="36"/>
      <c r="BH301" s="36"/>
      <c r="BI301" s="36"/>
      <c r="BJ301" s="36"/>
      <c r="BK301" s="36"/>
      <c r="BL301" s="36"/>
      <c r="BM301" s="36"/>
      <c r="BN301" s="36"/>
      <c r="BO301" s="36"/>
      <c r="BP301" s="37"/>
      <c r="BQ301" s="44"/>
      <c r="BR301" s="36"/>
      <c r="BS301" s="36"/>
      <c r="BT301" s="36"/>
      <c r="BU301" s="36"/>
      <c r="BV301" s="36"/>
      <c r="BW301" s="36"/>
      <c r="BX301" s="36"/>
      <c r="BY301" s="36"/>
      <c r="BZ301" s="36"/>
      <c r="CA301" s="36"/>
      <c r="CB301" s="36"/>
      <c r="CC301" s="36"/>
      <c r="CD301" s="36"/>
      <c r="CE301" s="36"/>
      <c r="CF301" s="36"/>
      <c r="CG301" s="37"/>
      <c r="CH301" s="44"/>
      <c r="CI301" s="36"/>
      <c r="CJ301" s="36"/>
      <c r="CK301" s="36"/>
      <c r="CL301" s="36"/>
      <c r="CM301" s="36"/>
      <c r="CN301" s="36"/>
      <c r="CO301" s="36"/>
      <c r="CP301" s="36"/>
      <c r="CQ301" s="36"/>
      <c r="CR301" s="36"/>
      <c r="CS301" s="36"/>
      <c r="CT301" s="36"/>
      <c r="CU301" s="36"/>
      <c r="CV301" s="36"/>
      <c r="CW301" s="36"/>
      <c r="CX301" s="37"/>
      <c r="CY301" s="44"/>
      <c r="CZ301" s="36"/>
      <c r="DA301" s="36"/>
      <c r="DB301" s="36"/>
      <c r="DC301" s="36"/>
      <c r="DD301" s="36"/>
      <c r="DE301" s="36"/>
      <c r="DF301" s="36"/>
      <c r="DG301" s="36"/>
      <c r="DH301" s="36"/>
      <c r="DI301" s="36"/>
      <c r="DJ301" s="36"/>
      <c r="DK301" s="36"/>
      <c r="DL301" s="36"/>
      <c r="DM301" s="36"/>
      <c r="DN301" s="36"/>
      <c r="DO301" s="37"/>
      <c r="DP301" s="44"/>
      <c r="DQ301" s="36"/>
      <c r="DR301" s="36"/>
      <c r="DS301" s="36"/>
      <c r="DT301" s="36"/>
      <c r="DU301" s="36"/>
      <c r="DV301" s="36"/>
      <c r="DW301" s="36"/>
      <c r="DX301" s="36"/>
      <c r="DY301" s="36"/>
      <c r="DZ301" s="36"/>
      <c r="EA301" s="36"/>
      <c r="EB301" s="36"/>
      <c r="EC301" s="36"/>
      <c r="ED301" s="36"/>
      <c r="EE301" s="36"/>
      <c r="EF301" s="37"/>
      <c r="EG301" s="44"/>
      <c r="EH301" s="36"/>
      <c r="EI301" s="36"/>
      <c r="EJ301" s="36"/>
      <c r="EK301" s="36"/>
      <c r="EL301" s="36"/>
      <c r="EM301" s="36"/>
      <c r="EN301" s="36"/>
      <c r="EO301" s="36"/>
      <c r="EP301" s="36"/>
      <c r="EQ301" s="36"/>
      <c r="ER301" s="36"/>
      <c r="ES301" s="36"/>
      <c r="ET301" s="36"/>
      <c r="EU301" s="36"/>
      <c r="EV301" s="36"/>
      <c r="EW301" s="37"/>
      <c r="EX301" s="44"/>
      <c r="EY301" s="36"/>
      <c r="EZ301" s="36"/>
      <c r="FA301" s="36"/>
      <c r="FB301" s="36"/>
      <c r="FC301" s="36"/>
      <c r="FD301" s="36"/>
      <c r="FE301" s="36"/>
      <c r="FF301" s="36"/>
      <c r="FG301" s="36"/>
      <c r="FH301" s="36"/>
      <c r="FI301" s="36"/>
      <c r="FJ301" s="36"/>
      <c r="FK301" s="36"/>
      <c r="FL301" s="36"/>
      <c r="FM301" s="36"/>
      <c r="FN301" s="37"/>
      <c r="FO301" s="44"/>
      <c r="FP301" s="36"/>
      <c r="FQ301" s="36"/>
      <c r="FR301" s="36"/>
      <c r="FS301" s="36"/>
      <c r="FT301" s="36"/>
      <c r="FU301" s="36"/>
      <c r="FV301" s="36"/>
      <c r="FW301" s="36"/>
      <c r="FX301" s="36"/>
      <c r="FY301" s="36"/>
      <c r="FZ301" s="36"/>
      <c r="GA301" s="36"/>
      <c r="GB301" s="36"/>
      <c r="GC301" s="36"/>
      <c r="GD301" s="36"/>
      <c r="GE301" s="37"/>
      <c r="GF301" s="44"/>
      <c r="GG301" s="36"/>
      <c r="GH301" s="36"/>
      <c r="GI301" s="36"/>
      <c r="GJ301" s="36"/>
      <c r="GK301" s="36"/>
      <c r="GL301" s="36"/>
      <c r="GM301" s="36"/>
      <c r="GN301" s="36"/>
      <c r="GO301" s="36"/>
      <c r="GP301" s="36"/>
      <c r="GQ301" s="36"/>
      <c r="GR301" s="36"/>
      <c r="GS301" s="36"/>
      <c r="GT301" s="36"/>
      <c r="GU301" s="36"/>
      <c r="GV301" s="37"/>
      <c r="GW301" s="44"/>
      <c r="GX301" s="36"/>
      <c r="GY301" s="36"/>
      <c r="GZ301" s="36"/>
      <c r="HA301" s="36"/>
      <c r="HB301" s="36"/>
      <c r="HC301" s="36"/>
      <c r="HD301" s="36"/>
      <c r="HE301" s="36"/>
      <c r="HF301" s="36"/>
      <c r="HG301" s="36"/>
      <c r="HH301" s="36"/>
      <c r="HI301" s="36"/>
      <c r="HJ301" s="36"/>
      <c r="HK301" s="36"/>
      <c r="HL301" s="36"/>
      <c r="HM301" s="37"/>
      <c r="HN301" s="44"/>
      <c r="HO301" s="36"/>
      <c r="HP301" s="36"/>
      <c r="HQ301" s="36"/>
      <c r="HR301" s="36"/>
      <c r="HS301" s="36"/>
      <c r="HT301" s="36"/>
      <c r="HU301" s="36"/>
      <c r="HV301" s="36"/>
      <c r="HW301" s="36"/>
      <c r="HX301" s="36"/>
      <c r="HY301" s="36"/>
      <c r="HZ301" s="36"/>
      <c r="IA301" s="36"/>
      <c r="IB301" s="36"/>
      <c r="IC301" s="36"/>
      <c r="ID301" s="37"/>
      <c r="IE301" s="44"/>
      <c r="IF301" s="36"/>
      <c r="IG301" s="36"/>
      <c r="IH301" s="36"/>
      <c r="II301" s="36"/>
      <c r="IJ301" s="36"/>
      <c r="IK301" s="36"/>
      <c r="IL301" s="36"/>
      <c r="IM301" s="36"/>
      <c r="IN301" s="36"/>
      <c r="IO301" s="36"/>
      <c r="IP301" s="36"/>
      <c r="IQ301" s="36"/>
      <c r="IR301" s="36"/>
      <c r="IS301" s="36"/>
      <c r="IT301" s="36"/>
      <c r="IU301" s="37"/>
      <c r="IV301" s="44"/>
      <c r="IW301" s="36"/>
      <c r="IX301" s="36"/>
      <c r="IY301" s="36"/>
      <c r="IZ301" s="36"/>
      <c r="JA301" s="36"/>
      <c r="JB301" s="36"/>
      <c r="JC301" s="36"/>
      <c r="JD301" s="36"/>
      <c r="JE301" s="36"/>
      <c r="JF301" s="36"/>
      <c r="JG301" s="36"/>
      <c r="JH301" s="36"/>
      <c r="JI301" s="36"/>
      <c r="JJ301" s="36"/>
      <c r="JK301" s="36"/>
      <c r="JL301" s="37"/>
      <c r="JM301" s="44"/>
      <c r="JN301" s="36"/>
      <c r="JO301" s="36"/>
      <c r="JP301" s="36"/>
      <c r="JQ301" s="36"/>
      <c r="JR301" s="36"/>
      <c r="JS301" s="36"/>
      <c r="JT301" s="36"/>
      <c r="JU301" s="36"/>
      <c r="JV301" s="36"/>
      <c r="JW301" s="36"/>
      <c r="JX301" s="36"/>
      <c r="JY301" s="36"/>
      <c r="JZ301" s="36"/>
      <c r="KA301" s="36"/>
      <c r="KB301" s="36"/>
      <c r="KC301" s="37"/>
      <c r="KD301" s="44"/>
      <c r="KE301" s="36"/>
      <c r="KF301" s="36"/>
      <c r="KG301" s="36"/>
      <c r="KH301" s="36"/>
      <c r="KI301" s="36"/>
      <c r="KJ301" s="36"/>
      <c r="KK301" s="36"/>
      <c r="KL301" s="36"/>
      <c r="KM301" s="36"/>
      <c r="KN301" s="36"/>
      <c r="KO301" s="36"/>
      <c r="KP301" s="36"/>
      <c r="KQ301" s="36"/>
      <c r="KR301" s="36"/>
      <c r="KS301" s="36"/>
      <c r="KT301" s="37"/>
      <c r="KU301" s="36"/>
    </row>
    <row r="302" ht="15.0" customHeight="1">
      <c r="A302" s="44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7"/>
      <c r="R302" s="44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7"/>
      <c r="AI302" s="44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  <c r="AU302" s="36"/>
      <c r="AV302" s="36"/>
      <c r="AW302" s="36"/>
      <c r="AX302" s="36"/>
      <c r="AY302" s="37"/>
      <c r="AZ302" s="44"/>
      <c r="BA302" s="36"/>
      <c r="BB302" s="36"/>
      <c r="BC302" s="36"/>
      <c r="BD302" s="36"/>
      <c r="BE302" s="36"/>
      <c r="BF302" s="36"/>
      <c r="BG302" s="36"/>
      <c r="BH302" s="36"/>
      <c r="BI302" s="36"/>
      <c r="BJ302" s="36"/>
      <c r="BK302" s="36"/>
      <c r="BL302" s="36"/>
      <c r="BM302" s="36"/>
      <c r="BN302" s="36"/>
      <c r="BO302" s="36"/>
      <c r="BP302" s="37"/>
      <c r="BQ302" s="44"/>
      <c r="BR302" s="36"/>
      <c r="BS302" s="36"/>
      <c r="BT302" s="36"/>
      <c r="BU302" s="36"/>
      <c r="BV302" s="36"/>
      <c r="BW302" s="36"/>
      <c r="BX302" s="36"/>
      <c r="BY302" s="36"/>
      <c r="BZ302" s="36"/>
      <c r="CA302" s="36"/>
      <c r="CB302" s="36"/>
      <c r="CC302" s="36"/>
      <c r="CD302" s="36"/>
      <c r="CE302" s="36"/>
      <c r="CF302" s="36"/>
      <c r="CG302" s="37"/>
      <c r="CH302" s="44"/>
      <c r="CI302" s="36"/>
      <c r="CJ302" s="36"/>
      <c r="CK302" s="36"/>
      <c r="CL302" s="36"/>
      <c r="CM302" s="36"/>
      <c r="CN302" s="36"/>
      <c r="CO302" s="36"/>
      <c r="CP302" s="36"/>
      <c r="CQ302" s="36"/>
      <c r="CR302" s="36"/>
      <c r="CS302" s="36"/>
      <c r="CT302" s="36"/>
      <c r="CU302" s="36"/>
      <c r="CV302" s="36"/>
      <c r="CW302" s="36"/>
      <c r="CX302" s="37"/>
      <c r="CY302" s="44"/>
      <c r="CZ302" s="36"/>
      <c r="DA302" s="36"/>
      <c r="DB302" s="36"/>
      <c r="DC302" s="36"/>
      <c r="DD302" s="36"/>
      <c r="DE302" s="36"/>
      <c r="DF302" s="36"/>
      <c r="DG302" s="36"/>
      <c r="DH302" s="36"/>
      <c r="DI302" s="36"/>
      <c r="DJ302" s="36"/>
      <c r="DK302" s="36"/>
      <c r="DL302" s="36"/>
      <c r="DM302" s="36"/>
      <c r="DN302" s="36"/>
      <c r="DO302" s="37"/>
      <c r="DP302" s="44"/>
      <c r="DQ302" s="36"/>
      <c r="DR302" s="36"/>
      <c r="DS302" s="36"/>
      <c r="DT302" s="36"/>
      <c r="DU302" s="36"/>
      <c r="DV302" s="36"/>
      <c r="DW302" s="36"/>
      <c r="DX302" s="36"/>
      <c r="DY302" s="36"/>
      <c r="DZ302" s="36"/>
      <c r="EA302" s="36"/>
      <c r="EB302" s="36"/>
      <c r="EC302" s="36"/>
      <c r="ED302" s="36"/>
      <c r="EE302" s="36"/>
      <c r="EF302" s="37"/>
      <c r="EG302" s="44"/>
      <c r="EH302" s="36"/>
      <c r="EI302" s="36"/>
      <c r="EJ302" s="36"/>
      <c r="EK302" s="36"/>
      <c r="EL302" s="36"/>
      <c r="EM302" s="36"/>
      <c r="EN302" s="36"/>
      <c r="EO302" s="36"/>
      <c r="EP302" s="36"/>
      <c r="EQ302" s="36"/>
      <c r="ER302" s="36"/>
      <c r="ES302" s="36"/>
      <c r="ET302" s="36"/>
      <c r="EU302" s="36"/>
      <c r="EV302" s="36"/>
      <c r="EW302" s="37"/>
      <c r="EX302" s="44"/>
      <c r="EY302" s="36"/>
      <c r="EZ302" s="36"/>
      <c r="FA302" s="36"/>
      <c r="FB302" s="36"/>
      <c r="FC302" s="36"/>
      <c r="FD302" s="36"/>
      <c r="FE302" s="36"/>
      <c r="FF302" s="36"/>
      <c r="FG302" s="36"/>
      <c r="FH302" s="36"/>
      <c r="FI302" s="36"/>
      <c r="FJ302" s="36"/>
      <c r="FK302" s="36"/>
      <c r="FL302" s="36"/>
      <c r="FM302" s="36"/>
      <c r="FN302" s="37"/>
      <c r="FO302" s="44"/>
      <c r="FP302" s="36"/>
      <c r="FQ302" s="36"/>
      <c r="FR302" s="36"/>
      <c r="FS302" s="36"/>
      <c r="FT302" s="36"/>
      <c r="FU302" s="36"/>
      <c r="FV302" s="36"/>
      <c r="FW302" s="36"/>
      <c r="FX302" s="36"/>
      <c r="FY302" s="36"/>
      <c r="FZ302" s="36"/>
      <c r="GA302" s="36"/>
      <c r="GB302" s="36"/>
      <c r="GC302" s="36"/>
      <c r="GD302" s="36"/>
      <c r="GE302" s="37"/>
      <c r="GF302" s="44"/>
      <c r="GG302" s="36"/>
      <c r="GH302" s="36"/>
      <c r="GI302" s="36"/>
      <c r="GJ302" s="36"/>
      <c r="GK302" s="36"/>
      <c r="GL302" s="36"/>
      <c r="GM302" s="36"/>
      <c r="GN302" s="36"/>
      <c r="GO302" s="36"/>
      <c r="GP302" s="36"/>
      <c r="GQ302" s="36"/>
      <c r="GR302" s="36"/>
      <c r="GS302" s="36"/>
      <c r="GT302" s="36"/>
      <c r="GU302" s="36"/>
      <c r="GV302" s="37"/>
      <c r="GW302" s="44"/>
      <c r="GX302" s="36"/>
      <c r="GY302" s="36"/>
      <c r="GZ302" s="36"/>
      <c r="HA302" s="36"/>
      <c r="HB302" s="36"/>
      <c r="HC302" s="36"/>
      <c r="HD302" s="36"/>
      <c r="HE302" s="36"/>
      <c r="HF302" s="36"/>
      <c r="HG302" s="36"/>
      <c r="HH302" s="36"/>
      <c r="HI302" s="36"/>
      <c r="HJ302" s="36"/>
      <c r="HK302" s="36"/>
      <c r="HL302" s="36"/>
      <c r="HM302" s="37"/>
      <c r="HN302" s="44"/>
      <c r="HO302" s="36"/>
      <c r="HP302" s="36"/>
      <c r="HQ302" s="36"/>
      <c r="HR302" s="36"/>
      <c r="HS302" s="36"/>
      <c r="HT302" s="36"/>
      <c r="HU302" s="36"/>
      <c r="HV302" s="36"/>
      <c r="HW302" s="36"/>
      <c r="HX302" s="36"/>
      <c r="HY302" s="36"/>
      <c r="HZ302" s="36"/>
      <c r="IA302" s="36"/>
      <c r="IB302" s="36"/>
      <c r="IC302" s="36"/>
      <c r="ID302" s="37"/>
      <c r="IE302" s="44"/>
      <c r="IF302" s="36"/>
      <c r="IG302" s="36"/>
      <c r="IH302" s="36"/>
      <c r="II302" s="36"/>
      <c r="IJ302" s="36"/>
      <c r="IK302" s="36"/>
      <c r="IL302" s="36"/>
      <c r="IM302" s="36"/>
      <c r="IN302" s="36"/>
      <c r="IO302" s="36"/>
      <c r="IP302" s="36"/>
      <c r="IQ302" s="36"/>
      <c r="IR302" s="36"/>
      <c r="IS302" s="36"/>
      <c r="IT302" s="36"/>
      <c r="IU302" s="37"/>
      <c r="IV302" s="44"/>
      <c r="IW302" s="36"/>
      <c r="IX302" s="36"/>
      <c r="IY302" s="36"/>
      <c r="IZ302" s="36"/>
      <c r="JA302" s="36"/>
      <c r="JB302" s="36"/>
      <c r="JC302" s="36"/>
      <c r="JD302" s="36"/>
      <c r="JE302" s="36"/>
      <c r="JF302" s="36"/>
      <c r="JG302" s="36"/>
      <c r="JH302" s="36"/>
      <c r="JI302" s="36"/>
      <c r="JJ302" s="36"/>
      <c r="JK302" s="36"/>
      <c r="JL302" s="37"/>
      <c r="JM302" s="44"/>
      <c r="JN302" s="36"/>
      <c r="JO302" s="36"/>
      <c r="JP302" s="36"/>
      <c r="JQ302" s="36"/>
      <c r="JR302" s="36"/>
      <c r="JS302" s="36"/>
      <c r="JT302" s="36"/>
      <c r="JU302" s="36"/>
      <c r="JV302" s="36"/>
      <c r="JW302" s="36"/>
      <c r="JX302" s="36"/>
      <c r="JY302" s="36"/>
      <c r="JZ302" s="36"/>
      <c r="KA302" s="36"/>
      <c r="KB302" s="36"/>
      <c r="KC302" s="37"/>
      <c r="KD302" s="44"/>
      <c r="KE302" s="36"/>
      <c r="KF302" s="36"/>
      <c r="KG302" s="36"/>
      <c r="KH302" s="36"/>
      <c r="KI302" s="36"/>
      <c r="KJ302" s="36"/>
      <c r="KK302" s="36"/>
      <c r="KL302" s="36"/>
      <c r="KM302" s="36"/>
      <c r="KN302" s="36"/>
      <c r="KO302" s="36"/>
      <c r="KP302" s="36"/>
      <c r="KQ302" s="36"/>
      <c r="KR302" s="36"/>
      <c r="KS302" s="36"/>
      <c r="KT302" s="37"/>
      <c r="KU302" s="36"/>
    </row>
    <row r="303" ht="15.0" customHeight="1">
      <c r="A303" s="44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7"/>
      <c r="R303" s="44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7"/>
      <c r="AI303" s="44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  <c r="AU303" s="36"/>
      <c r="AV303" s="36"/>
      <c r="AW303" s="36"/>
      <c r="AX303" s="36"/>
      <c r="AY303" s="37"/>
      <c r="AZ303" s="44"/>
      <c r="BA303" s="36"/>
      <c r="BB303" s="36"/>
      <c r="BC303" s="36"/>
      <c r="BD303" s="36"/>
      <c r="BE303" s="36"/>
      <c r="BF303" s="36"/>
      <c r="BG303" s="36"/>
      <c r="BH303" s="36"/>
      <c r="BI303" s="36"/>
      <c r="BJ303" s="36"/>
      <c r="BK303" s="36"/>
      <c r="BL303" s="36"/>
      <c r="BM303" s="36"/>
      <c r="BN303" s="36"/>
      <c r="BO303" s="36"/>
      <c r="BP303" s="37"/>
      <c r="BQ303" s="44"/>
      <c r="BR303" s="36"/>
      <c r="BS303" s="36"/>
      <c r="BT303" s="36"/>
      <c r="BU303" s="36"/>
      <c r="BV303" s="36"/>
      <c r="BW303" s="36"/>
      <c r="BX303" s="36"/>
      <c r="BY303" s="36"/>
      <c r="BZ303" s="36"/>
      <c r="CA303" s="36"/>
      <c r="CB303" s="36"/>
      <c r="CC303" s="36"/>
      <c r="CD303" s="36"/>
      <c r="CE303" s="36"/>
      <c r="CF303" s="36"/>
      <c r="CG303" s="37"/>
      <c r="CH303" s="44"/>
      <c r="CI303" s="36"/>
      <c r="CJ303" s="36"/>
      <c r="CK303" s="36"/>
      <c r="CL303" s="36"/>
      <c r="CM303" s="36"/>
      <c r="CN303" s="36"/>
      <c r="CO303" s="36"/>
      <c r="CP303" s="36"/>
      <c r="CQ303" s="36"/>
      <c r="CR303" s="36"/>
      <c r="CS303" s="36"/>
      <c r="CT303" s="36"/>
      <c r="CU303" s="36"/>
      <c r="CV303" s="36"/>
      <c r="CW303" s="36"/>
      <c r="CX303" s="37"/>
      <c r="CY303" s="44"/>
      <c r="CZ303" s="36"/>
      <c r="DA303" s="36"/>
      <c r="DB303" s="36"/>
      <c r="DC303" s="36"/>
      <c r="DD303" s="36"/>
      <c r="DE303" s="36"/>
      <c r="DF303" s="36"/>
      <c r="DG303" s="36"/>
      <c r="DH303" s="36"/>
      <c r="DI303" s="36"/>
      <c r="DJ303" s="36"/>
      <c r="DK303" s="36"/>
      <c r="DL303" s="36"/>
      <c r="DM303" s="36"/>
      <c r="DN303" s="36"/>
      <c r="DO303" s="37"/>
      <c r="DP303" s="44"/>
      <c r="DQ303" s="36"/>
      <c r="DR303" s="36"/>
      <c r="DS303" s="36"/>
      <c r="DT303" s="36"/>
      <c r="DU303" s="36"/>
      <c r="DV303" s="36"/>
      <c r="DW303" s="36"/>
      <c r="DX303" s="36"/>
      <c r="DY303" s="36"/>
      <c r="DZ303" s="36"/>
      <c r="EA303" s="36"/>
      <c r="EB303" s="36"/>
      <c r="EC303" s="36"/>
      <c r="ED303" s="36"/>
      <c r="EE303" s="36"/>
      <c r="EF303" s="37"/>
      <c r="EG303" s="44"/>
      <c r="EH303" s="36"/>
      <c r="EI303" s="36"/>
      <c r="EJ303" s="36"/>
      <c r="EK303" s="36"/>
      <c r="EL303" s="36"/>
      <c r="EM303" s="36"/>
      <c r="EN303" s="36"/>
      <c r="EO303" s="36"/>
      <c r="EP303" s="36"/>
      <c r="EQ303" s="36"/>
      <c r="ER303" s="36"/>
      <c r="ES303" s="36"/>
      <c r="ET303" s="36"/>
      <c r="EU303" s="36"/>
      <c r="EV303" s="36"/>
      <c r="EW303" s="37"/>
      <c r="EX303" s="44"/>
      <c r="EY303" s="36"/>
      <c r="EZ303" s="36"/>
      <c r="FA303" s="36"/>
      <c r="FB303" s="36"/>
      <c r="FC303" s="36"/>
      <c r="FD303" s="36"/>
      <c r="FE303" s="36"/>
      <c r="FF303" s="36"/>
      <c r="FG303" s="36"/>
      <c r="FH303" s="36"/>
      <c r="FI303" s="36"/>
      <c r="FJ303" s="36"/>
      <c r="FK303" s="36"/>
      <c r="FL303" s="36"/>
      <c r="FM303" s="36"/>
      <c r="FN303" s="37"/>
      <c r="FO303" s="44"/>
      <c r="FP303" s="36"/>
      <c r="FQ303" s="36"/>
      <c r="FR303" s="36"/>
      <c r="FS303" s="36"/>
      <c r="FT303" s="36"/>
      <c r="FU303" s="36"/>
      <c r="FV303" s="36"/>
      <c r="FW303" s="36"/>
      <c r="FX303" s="36"/>
      <c r="FY303" s="36"/>
      <c r="FZ303" s="36"/>
      <c r="GA303" s="36"/>
      <c r="GB303" s="36"/>
      <c r="GC303" s="36"/>
      <c r="GD303" s="36"/>
      <c r="GE303" s="37"/>
      <c r="GF303" s="44"/>
      <c r="GG303" s="36"/>
      <c r="GH303" s="36"/>
      <c r="GI303" s="36"/>
      <c r="GJ303" s="36"/>
      <c r="GK303" s="36"/>
      <c r="GL303" s="36"/>
      <c r="GM303" s="36"/>
      <c r="GN303" s="36"/>
      <c r="GO303" s="36"/>
      <c r="GP303" s="36"/>
      <c r="GQ303" s="36"/>
      <c r="GR303" s="36"/>
      <c r="GS303" s="36"/>
      <c r="GT303" s="36"/>
      <c r="GU303" s="36"/>
      <c r="GV303" s="37"/>
      <c r="GW303" s="44"/>
      <c r="GX303" s="36"/>
      <c r="GY303" s="36"/>
      <c r="GZ303" s="36"/>
      <c r="HA303" s="36"/>
      <c r="HB303" s="36"/>
      <c r="HC303" s="36"/>
      <c r="HD303" s="36"/>
      <c r="HE303" s="36"/>
      <c r="HF303" s="36"/>
      <c r="HG303" s="36"/>
      <c r="HH303" s="36"/>
      <c r="HI303" s="36"/>
      <c r="HJ303" s="36"/>
      <c r="HK303" s="36"/>
      <c r="HL303" s="36"/>
      <c r="HM303" s="37"/>
      <c r="HN303" s="44"/>
      <c r="HO303" s="36"/>
      <c r="HP303" s="36"/>
      <c r="HQ303" s="36"/>
      <c r="HR303" s="36"/>
      <c r="HS303" s="36"/>
      <c r="HT303" s="36"/>
      <c r="HU303" s="36"/>
      <c r="HV303" s="36"/>
      <c r="HW303" s="36"/>
      <c r="HX303" s="36"/>
      <c r="HY303" s="36"/>
      <c r="HZ303" s="36"/>
      <c r="IA303" s="36"/>
      <c r="IB303" s="36"/>
      <c r="IC303" s="36"/>
      <c r="ID303" s="37"/>
      <c r="IE303" s="44"/>
      <c r="IF303" s="36"/>
      <c r="IG303" s="36"/>
      <c r="IH303" s="36"/>
      <c r="II303" s="36"/>
      <c r="IJ303" s="36"/>
      <c r="IK303" s="36"/>
      <c r="IL303" s="36"/>
      <c r="IM303" s="36"/>
      <c r="IN303" s="36"/>
      <c r="IO303" s="36"/>
      <c r="IP303" s="36"/>
      <c r="IQ303" s="36"/>
      <c r="IR303" s="36"/>
      <c r="IS303" s="36"/>
      <c r="IT303" s="36"/>
      <c r="IU303" s="37"/>
      <c r="IV303" s="44"/>
      <c r="IW303" s="36"/>
      <c r="IX303" s="36"/>
      <c r="IY303" s="36"/>
      <c r="IZ303" s="36"/>
      <c r="JA303" s="36"/>
      <c r="JB303" s="36"/>
      <c r="JC303" s="36"/>
      <c r="JD303" s="36"/>
      <c r="JE303" s="36"/>
      <c r="JF303" s="36"/>
      <c r="JG303" s="36"/>
      <c r="JH303" s="36"/>
      <c r="JI303" s="36"/>
      <c r="JJ303" s="36"/>
      <c r="JK303" s="36"/>
      <c r="JL303" s="37"/>
      <c r="JM303" s="44"/>
      <c r="JN303" s="36"/>
      <c r="JO303" s="36"/>
      <c r="JP303" s="36"/>
      <c r="JQ303" s="36"/>
      <c r="JR303" s="36"/>
      <c r="JS303" s="36"/>
      <c r="JT303" s="36"/>
      <c r="JU303" s="36"/>
      <c r="JV303" s="36"/>
      <c r="JW303" s="36"/>
      <c r="JX303" s="36"/>
      <c r="JY303" s="36"/>
      <c r="JZ303" s="36"/>
      <c r="KA303" s="36"/>
      <c r="KB303" s="36"/>
      <c r="KC303" s="37"/>
      <c r="KD303" s="44"/>
      <c r="KE303" s="36"/>
      <c r="KF303" s="36"/>
      <c r="KG303" s="36"/>
      <c r="KH303" s="36"/>
      <c r="KI303" s="36"/>
      <c r="KJ303" s="36"/>
      <c r="KK303" s="36"/>
      <c r="KL303" s="36"/>
      <c r="KM303" s="36"/>
      <c r="KN303" s="36"/>
      <c r="KO303" s="36"/>
      <c r="KP303" s="36"/>
      <c r="KQ303" s="36"/>
      <c r="KR303" s="36"/>
      <c r="KS303" s="36"/>
      <c r="KT303" s="37"/>
      <c r="KU303" s="36"/>
    </row>
    <row r="304" ht="15.0" customHeight="1">
      <c r="A304" s="44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7"/>
      <c r="R304" s="44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7"/>
      <c r="AI304" s="44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  <c r="AU304" s="36"/>
      <c r="AV304" s="36"/>
      <c r="AW304" s="36"/>
      <c r="AX304" s="36"/>
      <c r="AY304" s="37"/>
      <c r="AZ304" s="44"/>
      <c r="BA304" s="36"/>
      <c r="BB304" s="36"/>
      <c r="BC304" s="36"/>
      <c r="BD304" s="36"/>
      <c r="BE304" s="36"/>
      <c r="BF304" s="36"/>
      <c r="BG304" s="36"/>
      <c r="BH304" s="36"/>
      <c r="BI304" s="36"/>
      <c r="BJ304" s="36"/>
      <c r="BK304" s="36"/>
      <c r="BL304" s="36"/>
      <c r="BM304" s="36"/>
      <c r="BN304" s="36"/>
      <c r="BO304" s="36"/>
      <c r="BP304" s="37"/>
      <c r="BQ304" s="44"/>
      <c r="BR304" s="36"/>
      <c r="BS304" s="36"/>
      <c r="BT304" s="36"/>
      <c r="BU304" s="36"/>
      <c r="BV304" s="36"/>
      <c r="BW304" s="36"/>
      <c r="BX304" s="36"/>
      <c r="BY304" s="36"/>
      <c r="BZ304" s="36"/>
      <c r="CA304" s="36"/>
      <c r="CB304" s="36"/>
      <c r="CC304" s="36"/>
      <c r="CD304" s="36"/>
      <c r="CE304" s="36"/>
      <c r="CF304" s="36"/>
      <c r="CG304" s="37"/>
      <c r="CH304" s="44"/>
      <c r="CI304" s="36"/>
      <c r="CJ304" s="36"/>
      <c r="CK304" s="36"/>
      <c r="CL304" s="36"/>
      <c r="CM304" s="36"/>
      <c r="CN304" s="36"/>
      <c r="CO304" s="36"/>
      <c r="CP304" s="36"/>
      <c r="CQ304" s="36"/>
      <c r="CR304" s="36"/>
      <c r="CS304" s="36"/>
      <c r="CT304" s="36"/>
      <c r="CU304" s="36"/>
      <c r="CV304" s="36"/>
      <c r="CW304" s="36"/>
      <c r="CX304" s="37"/>
      <c r="CY304" s="44"/>
      <c r="CZ304" s="36"/>
      <c r="DA304" s="36"/>
      <c r="DB304" s="36"/>
      <c r="DC304" s="36"/>
      <c r="DD304" s="36"/>
      <c r="DE304" s="36"/>
      <c r="DF304" s="36"/>
      <c r="DG304" s="36"/>
      <c r="DH304" s="36"/>
      <c r="DI304" s="36"/>
      <c r="DJ304" s="36"/>
      <c r="DK304" s="36"/>
      <c r="DL304" s="36"/>
      <c r="DM304" s="36"/>
      <c r="DN304" s="36"/>
      <c r="DO304" s="37"/>
      <c r="DP304" s="44"/>
      <c r="DQ304" s="36"/>
      <c r="DR304" s="36"/>
      <c r="DS304" s="36"/>
      <c r="DT304" s="36"/>
      <c r="DU304" s="36"/>
      <c r="DV304" s="36"/>
      <c r="DW304" s="36"/>
      <c r="DX304" s="36"/>
      <c r="DY304" s="36"/>
      <c r="DZ304" s="36"/>
      <c r="EA304" s="36"/>
      <c r="EB304" s="36"/>
      <c r="EC304" s="36"/>
      <c r="ED304" s="36"/>
      <c r="EE304" s="36"/>
      <c r="EF304" s="37"/>
      <c r="EG304" s="44"/>
      <c r="EH304" s="36"/>
      <c r="EI304" s="36"/>
      <c r="EJ304" s="36"/>
      <c r="EK304" s="36"/>
      <c r="EL304" s="36"/>
      <c r="EM304" s="36"/>
      <c r="EN304" s="36"/>
      <c r="EO304" s="36"/>
      <c r="EP304" s="36"/>
      <c r="EQ304" s="36"/>
      <c r="ER304" s="36"/>
      <c r="ES304" s="36"/>
      <c r="ET304" s="36"/>
      <c r="EU304" s="36"/>
      <c r="EV304" s="36"/>
      <c r="EW304" s="37"/>
      <c r="EX304" s="44"/>
      <c r="EY304" s="36"/>
      <c r="EZ304" s="36"/>
      <c r="FA304" s="36"/>
      <c r="FB304" s="36"/>
      <c r="FC304" s="36"/>
      <c r="FD304" s="36"/>
      <c r="FE304" s="36"/>
      <c r="FF304" s="36"/>
      <c r="FG304" s="36"/>
      <c r="FH304" s="36"/>
      <c r="FI304" s="36"/>
      <c r="FJ304" s="36"/>
      <c r="FK304" s="36"/>
      <c r="FL304" s="36"/>
      <c r="FM304" s="36"/>
      <c r="FN304" s="37"/>
      <c r="FO304" s="44"/>
      <c r="FP304" s="36"/>
      <c r="FQ304" s="36"/>
      <c r="FR304" s="36"/>
      <c r="FS304" s="36"/>
      <c r="FT304" s="36"/>
      <c r="FU304" s="36"/>
      <c r="FV304" s="36"/>
      <c r="FW304" s="36"/>
      <c r="FX304" s="36"/>
      <c r="FY304" s="36"/>
      <c r="FZ304" s="36"/>
      <c r="GA304" s="36"/>
      <c r="GB304" s="36"/>
      <c r="GC304" s="36"/>
      <c r="GD304" s="36"/>
      <c r="GE304" s="37"/>
      <c r="GF304" s="44"/>
      <c r="GG304" s="36"/>
      <c r="GH304" s="36"/>
      <c r="GI304" s="36"/>
      <c r="GJ304" s="36"/>
      <c r="GK304" s="36"/>
      <c r="GL304" s="36"/>
      <c r="GM304" s="36"/>
      <c r="GN304" s="36"/>
      <c r="GO304" s="36"/>
      <c r="GP304" s="36"/>
      <c r="GQ304" s="36"/>
      <c r="GR304" s="36"/>
      <c r="GS304" s="36"/>
      <c r="GT304" s="36"/>
      <c r="GU304" s="36"/>
      <c r="GV304" s="37"/>
      <c r="GW304" s="44"/>
      <c r="GX304" s="36"/>
      <c r="GY304" s="36"/>
      <c r="GZ304" s="36"/>
      <c r="HA304" s="36"/>
      <c r="HB304" s="36"/>
      <c r="HC304" s="36"/>
      <c r="HD304" s="36"/>
      <c r="HE304" s="36"/>
      <c r="HF304" s="36"/>
      <c r="HG304" s="36"/>
      <c r="HH304" s="36"/>
      <c r="HI304" s="36"/>
      <c r="HJ304" s="36"/>
      <c r="HK304" s="36"/>
      <c r="HL304" s="36"/>
      <c r="HM304" s="37"/>
      <c r="HN304" s="44"/>
      <c r="HO304" s="36"/>
      <c r="HP304" s="36"/>
      <c r="HQ304" s="36"/>
      <c r="HR304" s="36"/>
      <c r="HS304" s="36"/>
      <c r="HT304" s="36"/>
      <c r="HU304" s="36"/>
      <c r="HV304" s="36"/>
      <c r="HW304" s="36"/>
      <c r="HX304" s="36"/>
      <c r="HY304" s="36"/>
      <c r="HZ304" s="36"/>
      <c r="IA304" s="36"/>
      <c r="IB304" s="36"/>
      <c r="IC304" s="36"/>
      <c r="ID304" s="37"/>
      <c r="IE304" s="44"/>
      <c r="IF304" s="36"/>
      <c r="IG304" s="36"/>
      <c r="IH304" s="36"/>
      <c r="II304" s="36"/>
      <c r="IJ304" s="36"/>
      <c r="IK304" s="36"/>
      <c r="IL304" s="36"/>
      <c r="IM304" s="36"/>
      <c r="IN304" s="36"/>
      <c r="IO304" s="36"/>
      <c r="IP304" s="36"/>
      <c r="IQ304" s="36"/>
      <c r="IR304" s="36"/>
      <c r="IS304" s="36"/>
      <c r="IT304" s="36"/>
      <c r="IU304" s="37"/>
      <c r="IV304" s="44"/>
      <c r="IW304" s="36"/>
      <c r="IX304" s="36"/>
      <c r="IY304" s="36"/>
      <c r="IZ304" s="36"/>
      <c r="JA304" s="36"/>
      <c r="JB304" s="36"/>
      <c r="JC304" s="36"/>
      <c r="JD304" s="36"/>
      <c r="JE304" s="36"/>
      <c r="JF304" s="36"/>
      <c r="JG304" s="36"/>
      <c r="JH304" s="36"/>
      <c r="JI304" s="36"/>
      <c r="JJ304" s="36"/>
      <c r="JK304" s="36"/>
      <c r="JL304" s="37"/>
      <c r="JM304" s="44"/>
      <c r="JN304" s="36"/>
      <c r="JO304" s="36"/>
      <c r="JP304" s="36"/>
      <c r="JQ304" s="36"/>
      <c r="JR304" s="36"/>
      <c r="JS304" s="36"/>
      <c r="JT304" s="36"/>
      <c r="JU304" s="36"/>
      <c r="JV304" s="36"/>
      <c r="JW304" s="36"/>
      <c r="JX304" s="36"/>
      <c r="JY304" s="36"/>
      <c r="JZ304" s="36"/>
      <c r="KA304" s="36"/>
      <c r="KB304" s="36"/>
      <c r="KC304" s="37"/>
      <c r="KD304" s="44"/>
      <c r="KE304" s="36"/>
      <c r="KF304" s="36"/>
      <c r="KG304" s="36"/>
      <c r="KH304" s="36"/>
      <c r="KI304" s="36"/>
      <c r="KJ304" s="36"/>
      <c r="KK304" s="36"/>
      <c r="KL304" s="36"/>
      <c r="KM304" s="36"/>
      <c r="KN304" s="36"/>
      <c r="KO304" s="36"/>
      <c r="KP304" s="36"/>
      <c r="KQ304" s="36"/>
      <c r="KR304" s="36"/>
      <c r="KS304" s="36"/>
      <c r="KT304" s="37"/>
      <c r="KU304" s="36"/>
    </row>
    <row r="305" ht="15.0" customHeight="1">
      <c r="A305" s="44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7"/>
      <c r="R305" s="44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7"/>
      <c r="AI305" s="44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  <c r="AU305" s="36"/>
      <c r="AV305" s="36"/>
      <c r="AW305" s="36"/>
      <c r="AX305" s="36"/>
      <c r="AY305" s="37"/>
      <c r="AZ305" s="44"/>
      <c r="BA305" s="36"/>
      <c r="BB305" s="36"/>
      <c r="BC305" s="36"/>
      <c r="BD305" s="36"/>
      <c r="BE305" s="36"/>
      <c r="BF305" s="36"/>
      <c r="BG305" s="36"/>
      <c r="BH305" s="36"/>
      <c r="BI305" s="36"/>
      <c r="BJ305" s="36"/>
      <c r="BK305" s="36"/>
      <c r="BL305" s="36"/>
      <c r="BM305" s="36"/>
      <c r="BN305" s="36"/>
      <c r="BO305" s="36"/>
      <c r="BP305" s="37"/>
      <c r="BQ305" s="44"/>
      <c r="BR305" s="36"/>
      <c r="BS305" s="36"/>
      <c r="BT305" s="36"/>
      <c r="BU305" s="36"/>
      <c r="BV305" s="36"/>
      <c r="BW305" s="36"/>
      <c r="BX305" s="36"/>
      <c r="BY305" s="36"/>
      <c r="BZ305" s="36"/>
      <c r="CA305" s="36"/>
      <c r="CB305" s="36"/>
      <c r="CC305" s="36"/>
      <c r="CD305" s="36"/>
      <c r="CE305" s="36"/>
      <c r="CF305" s="36"/>
      <c r="CG305" s="37"/>
      <c r="CH305" s="44"/>
      <c r="CI305" s="36"/>
      <c r="CJ305" s="36"/>
      <c r="CK305" s="36"/>
      <c r="CL305" s="36"/>
      <c r="CM305" s="36"/>
      <c r="CN305" s="36"/>
      <c r="CO305" s="36"/>
      <c r="CP305" s="36"/>
      <c r="CQ305" s="36"/>
      <c r="CR305" s="36"/>
      <c r="CS305" s="36"/>
      <c r="CT305" s="36"/>
      <c r="CU305" s="36"/>
      <c r="CV305" s="36"/>
      <c r="CW305" s="36"/>
      <c r="CX305" s="37"/>
      <c r="CY305" s="44"/>
      <c r="CZ305" s="36"/>
      <c r="DA305" s="36"/>
      <c r="DB305" s="36"/>
      <c r="DC305" s="36"/>
      <c r="DD305" s="36"/>
      <c r="DE305" s="36"/>
      <c r="DF305" s="36"/>
      <c r="DG305" s="36"/>
      <c r="DH305" s="36"/>
      <c r="DI305" s="36"/>
      <c r="DJ305" s="36"/>
      <c r="DK305" s="36"/>
      <c r="DL305" s="36"/>
      <c r="DM305" s="36"/>
      <c r="DN305" s="36"/>
      <c r="DO305" s="37"/>
      <c r="DP305" s="44"/>
      <c r="DQ305" s="36"/>
      <c r="DR305" s="36"/>
      <c r="DS305" s="36"/>
      <c r="DT305" s="36"/>
      <c r="DU305" s="36"/>
      <c r="DV305" s="36"/>
      <c r="DW305" s="36"/>
      <c r="DX305" s="36"/>
      <c r="DY305" s="36"/>
      <c r="DZ305" s="36"/>
      <c r="EA305" s="36"/>
      <c r="EB305" s="36"/>
      <c r="EC305" s="36"/>
      <c r="ED305" s="36"/>
      <c r="EE305" s="36"/>
      <c r="EF305" s="37"/>
      <c r="EG305" s="44"/>
      <c r="EH305" s="36"/>
      <c r="EI305" s="36"/>
      <c r="EJ305" s="36"/>
      <c r="EK305" s="36"/>
      <c r="EL305" s="36"/>
      <c r="EM305" s="36"/>
      <c r="EN305" s="36"/>
      <c r="EO305" s="36"/>
      <c r="EP305" s="36"/>
      <c r="EQ305" s="36"/>
      <c r="ER305" s="36"/>
      <c r="ES305" s="36"/>
      <c r="ET305" s="36"/>
      <c r="EU305" s="36"/>
      <c r="EV305" s="36"/>
      <c r="EW305" s="37"/>
      <c r="EX305" s="44"/>
      <c r="EY305" s="36"/>
      <c r="EZ305" s="36"/>
      <c r="FA305" s="36"/>
      <c r="FB305" s="36"/>
      <c r="FC305" s="36"/>
      <c r="FD305" s="36"/>
      <c r="FE305" s="36"/>
      <c r="FF305" s="36"/>
      <c r="FG305" s="36"/>
      <c r="FH305" s="36"/>
      <c r="FI305" s="36"/>
      <c r="FJ305" s="36"/>
      <c r="FK305" s="36"/>
      <c r="FL305" s="36"/>
      <c r="FM305" s="36"/>
      <c r="FN305" s="37"/>
      <c r="FO305" s="44"/>
      <c r="FP305" s="36"/>
      <c r="FQ305" s="36"/>
      <c r="FR305" s="36"/>
      <c r="FS305" s="36"/>
      <c r="FT305" s="36"/>
      <c r="FU305" s="36"/>
      <c r="FV305" s="36"/>
      <c r="FW305" s="36"/>
      <c r="FX305" s="36"/>
      <c r="FY305" s="36"/>
      <c r="FZ305" s="36"/>
      <c r="GA305" s="36"/>
      <c r="GB305" s="36"/>
      <c r="GC305" s="36"/>
      <c r="GD305" s="36"/>
      <c r="GE305" s="37"/>
      <c r="GF305" s="44"/>
      <c r="GG305" s="36"/>
      <c r="GH305" s="36"/>
      <c r="GI305" s="36"/>
      <c r="GJ305" s="36"/>
      <c r="GK305" s="36"/>
      <c r="GL305" s="36"/>
      <c r="GM305" s="36"/>
      <c r="GN305" s="36"/>
      <c r="GO305" s="36"/>
      <c r="GP305" s="36"/>
      <c r="GQ305" s="36"/>
      <c r="GR305" s="36"/>
      <c r="GS305" s="36"/>
      <c r="GT305" s="36"/>
      <c r="GU305" s="36"/>
      <c r="GV305" s="37"/>
      <c r="GW305" s="44"/>
      <c r="GX305" s="36"/>
      <c r="GY305" s="36"/>
      <c r="GZ305" s="36"/>
      <c r="HA305" s="36"/>
      <c r="HB305" s="36"/>
      <c r="HC305" s="36"/>
      <c r="HD305" s="36"/>
      <c r="HE305" s="36"/>
      <c r="HF305" s="36"/>
      <c r="HG305" s="36"/>
      <c r="HH305" s="36"/>
      <c r="HI305" s="36"/>
      <c r="HJ305" s="36"/>
      <c r="HK305" s="36"/>
      <c r="HL305" s="36"/>
      <c r="HM305" s="37"/>
      <c r="HN305" s="44"/>
      <c r="HO305" s="36"/>
      <c r="HP305" s="36"/>
      <c r="HQ305" s="36"/>
      <c r="HR305" s="36"/>
      <c r="HS305" s="36"/>
      <c r="HT305" s="36"/>
      <c r="HU305" s="36"/>
      <c r="HV305" s="36"/>
      <c r="HW305" s="36"/>
      <c r="HX305" s="36"/>
      <c r="HY305" s="36"/>
      <c r="HZ305" s="36"/>
      <c r="IA305" s="36"/>
      <c r="IB305" s="36"/>
      <c r="IC305" s="36"/>
      <c r="ID305" s="37"/>
      <c r="IE305" s="44"/>
      <c r="IF305" s="36"/>
      <c r="IG305" s="36"/>
      <c r="IH305" s="36"/>
      <c r="II305" s="36"/>
      <c r="IJ305" s="36"/>
      <c r="IK305" s="36"/>
      <c r="IL305" s="36"/>
      <c r="IM305" s="36"/>
      <c r="IN305" s="36"/>
      <c r="IO305" s="36"/>
      <c r="IP305" s="36"/>
      <c r="IQ305" s="36"/>
      <c r="IR305" s="36"/>
      <c r="IS305" s="36"/>
      <c r="IT305" s="36"/>
      <c r="IU305" s="37"/>
      <c r="IV305" s="44"/>
      <c r="IW305" s="36"/>
      <c r="IX305" s="36"/>
      <c r="IY305" s="36"/>
      <c r="IZ305" s="36"/>
      <c r="JA305" s="36"/>
      <c r="JB305" s="36"/>
      <c r="JC305" s="36"/>
      <c r="JD305" s="36"/>
      <c r="JE305" s="36"/>
      <c r="JF305" s="36"/>
      <c r="JG305" s="36"/>
      <c r="JH305" s="36"/>
      <c r="JI305" s="36"/>
      <c r="JJ305" s="36"/>
      <c r="JK305" s="36"/>
      <c r="JL305" s="37"/>
      <c r="JM305" s="44"/>
      <c r="JN305" s="36"/>
      <c r="JO305" s="36"/>
      <c r="JP305" s="36"/>
      <c r="JQ305" s="36"/>
      <c r="JR305" s="36"/>
      <c r="JS305" s="36"/>
      <c r="JT305" s="36"/>
      <c r="JU305" s="36"/>
      <c r="JV305" s="36"/>
      <c r="JW305" s="36"/>
      <c r="JX305" s="36"/>
      <c r="JY305" s="36"/>
      <c r="JZ305" s="36"/>
      <c r="KA305" s="36"/>
      <c r="KB305" s="36"/>
      <c r="KC305" s="37"/>
      <c r="KD305" s="44"/>
      <c r="KE305" s="36"/>
      <c r="KF305" s="36"/>
      <c r="KG305" s="36"/>
      <c r="KH305" s="36"/>
      <c r="KI305" s="36"/>
      <c r="KJ305" s="36"/>
      <c r="KK305" s="36"/>
      <c r="KL305" s="36"/>
      <c r="KM305" s="36"/>
      <c r="KN305" s="36"/>
      <c r="KO305" s="36"/>
      <c r="KP305" s="36"/>
      <c r="KQ305" s="36"/>
      <c r="KR305" s="36"/>
      <c r="KS305" s="36"/>
      <c r="KT305" s="37"/>
      <c r="KU305" s="36"/>
    </row>
    <row r="306" ht="15.0" customHeight="1">
      <c r="A306" s="44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7"/>
      <c r="R306" s="44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7"/>
      <c r="AI306" s="44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  <c r="AU306" s="36"/>
      <c r="AV306" s="36"/>
      <c r="AW306" s="36"/>
      <c r="AX306" s="36"/>
      <c r="AY306" s="37"/>
      <c r="AZ306" s="44"/>
      <c r="BA306" s="36"/>
      <c r="BB306" s="36"/>
      <c r="BC306" s="36"/>
      <c r="BD306" s="36"/>
      <c r="BE306" s="36"/>
      <c r="BF306" s="36"/>
      <c r="BG306" s="36"/>
      <c r="BH306" s="36"/>
      <c r="BI306" s="36"/>
      <c r="BJ306" s="36"/>
      <c r="BK306" s="36"/>
      <c r="BL306" s="36"/>
      <c r="BM306" s="36"/>
      <c r="BN306" s="36"/>
      <c r="BO306" s="36"/>
      <c r="BP306" s="37"/>
      <c r="BQ306" s="44"/>
      <c r="BR306" s="36"/>
      <c r="BS306" s="36"/>
      <c r="BT306" s="36"/>
      <c r="BU306" s="36"/>
      <c r="BV306" s="36"/>
      <c r="BW306" s="36"/>
      <c r="BX306" s="36"/>
      <c r="BY306" s="36"/>
      <c r="BZ306" s="36"/>
      <c r="CA306" s="36"/>
      <c r="CB306" s="36"/>
      <c r="CC306" s="36"/>
      <c r="CD306" s="36"/>
      <c r="CE306" s="36"/>
      <c r="CF306" s="36"/>
      <c r="CG306" s="37"/>
      <c r="CH306" s="44"/>
      <c r="CI306" s="36"/>
      <c r="CJ306" s="36"/>
      <c r="CK306" s="36"/>
      <c r="CL306" s="36"/>
      <c r="CM306" s="36"/>
      <c r="CN306" s="36"/>
      <c r="CO306" s="36"/>
      <c r="CP306" s="36"/>
      <c r="CQ306" s="36"/>
      <c r="CR306" s="36"/>
      <c r="CS306" s="36"/>
      <c r="CT306" s="36"/>
      <c r="CU306" s="36"/>
      <c r="CV306" s="36"/>
      <c r="CW306" s="36"/>
      <c r="CX306" s="37"/>
      <c r="CY306" s="44"/>
      <c r="CZ306" s="36"/>
      <c r="DA306" s="36"/>
      <c r="DB306" s="36"/>
      <c r="DC306" s="36"/>
      <c r="DD306" s="36"/>
      <c r="DE306" s="36"/>
      <c r="DF306" s="36"/>
      <c r="DG306" s="36"/>
      <c r="DH306" s="36"/>
      <c r="DI306" s="36"/>
      <c r="DJ306" s="36"/>
      <c r="DK306" s="36"/>
      <c r="DL306" s="36"/>
      <c r="DM306" s="36"/>
      <c r="DN306" s="36"/>
      <c r="DO306" s="37"/>
      <c r="DP306" s="44"/>
      <c r="DQ306" s="36"/>
      <c r="DR306" s="36"/>
      <c r="DS306" s="36"/>
      <c r="DT306" s="36"/>
      <c r="DU306" s="36"/>
      <c r="DV306" s="36"/>
      <c r="DW306" s="36"/>
      <c r="DX306" s="36"/>
      <c r="DY306" s="36"/>
      <c r="DZ306" s="36"/>
      <c r="EA306" s="36"/>
      <c r="EB306" s="36"/>
      <c r="EC306" s="36"/>
      <c r="ED306" s="36"/>
      <c r="EE306" s="36"/>
      <c r="EF306" s="37"/>
      <c r="EG306" s="44"/>
      <c r="EH306" s="36"/>
      <c r="EI306" s="36"/>
      <c r="EJ306" s="36"/>
      <c r="EK306" s="36"/>
      <c r="EL306" s="36"/>
      <c r="EM306" s="36"/>
      <c r="EN306" s="36"/>
      <c r="EO306" s="36"/>
      <c r="EP306" s="36"/>
      <c r="EQ306" s="36"/>
      <c r="ER306" s="36"/>
      <c r="ES306" s="36"/>
      <c r="ET306" s="36"/>
      <c r="EU306" s="36"/>
      <c r="EV306" s="36"/>
      <c r="EW306" s="37"/>
      <c r="EX306" s="44"/>
      <c r="EY306" s="36"/>
      <c r="EZ306" s="36"/>
      <c r="FA306" s="36"/>
      <c r="FB306" s="36"/>
      <c r="FC306" s="36"/>
      <c r="FD306" s="36"/>
      <c r="FE306" s="36"/>
      <c r="FF306" s="36"/>
      <c r="FG306" s="36"/>
      <c r="FH306" s="36"/>
      <c r="FI306" s="36"/>
      <c r="FJ306" s="36"/>
      <c r="FK306" s="36"/>
      <c r="FL306" s="36"/>
      <c r="FM306" s="36"/>
      <c r="FN306" s="37"/>
      <c r="FO306" s="44"/>
      <c r="FP306" s="36"/>
      <c r="FQ306" s="36"/>
      <c r="FR306" s="36"/>
      <c r="FS306" s="36"/>
      <c r="FT306" s="36"/>
      <c r="FU306" s="36"/>
      <c r="FV306" s="36"/>
      <c r="FW306" s="36"/>
      <c r="FX306" s="36"/>
      <c r="FY306" s="36"/>
      <c r="FZ306" s="36"/>
      <c r="GA306" s="36"/>
      <c r="GB306" s="36"/>
      <c r="GC306" s="36"/>
      <c r="GD306" s="36"/>
      <c r="GE306" s="37"/>
      <c r="GF306" s="44"/>
      <c r="GG306" s="36"/>
      <c r="GH306" s="36"/>
      <c r="GI306" s="36"/>
      <c r="GJ306" s="36"/>
      <c r="GK306" s="36"/>
      <c r="GL306" s="36"/>
      <c r="GM306" s="36"/>
      <c r="GN306" s="36"/>
      <c r="GO306" s="36"/>
      <c r="GP306" s="36"/>
      <c r="GQ306" s="36"/>
      <c r="GR306" s="36"/>
      <c r="GS306" s="36"/>
      <c r="GT306" s="36"/>
      <c r="GU306" s="36"/>
      <c r="GV306" s="37"/>
      <c r="GW306" s="44"/>
      <c r="GX306" s="36"/>
      <c r="GY306" s="36"/>
      <c r="GZ306" s="36"/>
      <c r="HA306" s="36"/>
      <c r="HB306" s="36"/>
      <c r="HC306" s="36"/>
      <c r="HD306" s="36"/>
      <c r="HE306" s="36"/>
      <c r="HF306" s="36"/>
      <c r="HG306" s="36"/>
      <c r="HH306" s="36"/>
      <c r="HI306" s="36"/>
      <c r="HJ306" s="36"/>
      <c r="HK306" s="36"/>
      <c r="HL306" s="36"/>
      <c r="HM306" s="37"/>
      <c r="HN306" s="44"/>
      <c r="HO306" s="36"/>
      <c r="HP306" s="36"/>
      <c r="HQ306" s="36"/>
      <c r="HR306" s="36"/>
      <c r="HS306" s="36"/>
      <c r="HT306" s="36"/>
      <c r="HU306" s="36"/>
      <c r="HV306" s="36"/>
      <c r="HW306" s="36"/>
      <c r="HX306" s="36"/>
      <c r="HY306" s="36"/>
      <c r="HZ306" s="36"/>
      <c r="IA306" s="36"/>
      <c r="IB306" s="36"/>
      <c r="IC306" s="36"/>
      <c r="ID306" s="37"/>
      <c r="IE306" s="44"/>
      <c r="IF306" s="36"/>
      <c r="IG306" s="36"/>
      <c r="IH306" s="36"/>
      <c r="II306" s="36"/>
      <c r="IJ306" s="36"/>
      <c r="IK306" s="36"/>
      <c r="IL306" s="36"/>
      <c r="IM306" s="36"/>
      <c r="IN306" s="36"/>
      <c r="IO306" s="36"/>
      <c r="IP306" s="36"/>
      <c r="IQ306" s="36"/>
      <c r="IR306" s="36"/>
      <c r="IS306" s="36"/>
      <c r="IT306" s="36"/>
      <c r="IU306" s="37"/>
      <c r="IV306" s="44"/>
      <c r="IW306" s="36"/>
      <c r="IX306" s="36"/>
      <c r="IY306" s="36"/>
      <c r="IZ306" s="36"/>
      <c r="JA306" s="36"/>
      <c r="JB306" s="36"/>
      <c r="JC306" s="36"/>
      <c r="JD306" s="36"/>
      <c r="JE306" s="36"/>
      <c r="JF306" s="36"/>
      <c r="JG306" s="36"/>
      <c r="JH306" s="36"/>
      <c r="JI306" s="36"/>
      <c r="JJ306" s="36"/>
      <c r="JK306" s="36"/>
      <c r="JL306" s="37"/>
      <c r="JM306" s="44"/>
      <c r="JN306" s="36"/>
      <c r="JO306" s="36"/>
      <c r="JP306" s="36"/>
      <c r="JQ306" s="36"/>
      <c r="JR306" s="36"/>
      <c r="JS306" s="36"/>
      <c r="JT306" s="36"/>
      <c r="JU306" s="36"/>
      <c r="JV306" s="36"/>
      <c r="JW306" s="36"/>
      <c r="JX306" s="36"/>
      <c r="JY306" s="36"/>
      <c r="JZ306" s="36"/>
      <c r="KA306" s="36"/>
      <c r="KB306" s="36"/>
      <c r="KC306" s="37"/>
      <c r="KD306" s="44"/>
      <c r="KE306" s="36"/>
      <c r="KF306" s="36"/>
      <c r="KG306" s="36"/>
      <c r="KH306" s="36"/>
      <c r="KI306" s="36"/>
      <c r="KJ306" s="36"/>
      <c r="KK306" s="36"/>
      <c r="KL306" s="36"/>
      <c r="KM306" s="36"/>
      <c r="KN306" s="36"/>
      <c r="KO306" s="36"/>
      <c r="KP306" s="36"/>
      <c r="KQ306" s="36"/>
      <c r="KR306" s="36"/>
      <c r="KS306" s="36"/>
      <c r="KT306" s="37"/>
      <c r="KU306" s="36"/>
    </row>
    <row r="307" ht="15.0" customHeight="1">
      <c r="A307" s="44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7"/>
      <c r="R307" s="44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7"/>
      <c r="AI307" s="44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  <c r="AU307" s="36"/>
      <c r="AV307" s="36"/>
      <c r="AW307" s="36"/>
      <c r="AX307" s="36"/>
      <c r="AY307" s="37"/>
      <c r="AZ307" s="44"/>
      <c r="BA307" s="36"/>
      <c r="BB307" s="36"/>
      <c r="BC307" s="36"/>
      <c r="BD307" s="36"/>
      <c r="BE307" s="36"/>
      <c r="BF307" s="36"/>
      <c r="BG307" s="36"/>
      <c r="BH307" s="36"/>
      <c r="BI307" s="36"/>
      <c r="BJ307" s="36"/>
      <c r="BK307" s="36"/>
      <c r="BL307" s="36"/>
      <c r="BM307" s="36"/>
      <c r="BN307" s="36"/>
      <c r="BO307" s="36"/>
      <c r="BP307" s="37"/>
      <c r="BQ307" s="44"/>
      <c r="BR307" s="36"/>
      <c r="BS307" s="36"/>
      <c r="BT307" s="36"/>
      <c r="BU307" s="36"/>
      <c r="BV307" s="36"/>
      <c r="BW307" s="36"/>
      <c r="BX307" s="36"/>
      <c r="BY307" s="36"/>
      <c r="BZ307" s="36"/>
      <c r="CA307" s="36"/>
      <c r="CB307" s="36"/>
      <c r="CC307" s="36"/>
      <c r="CD307" s="36"/>
      <c r="CE307" s="36"/>
      <c r="CF307" s="36"/>
      <c r="CG307" s="37"/>
      <c r="CH307" s="44"/>
      <c r="CI307" s="36"/>
      <c r="CJ307" s="36"/>
      <c r="CK307" s="36"/>
      <c r="CL307" s="36"/>
      <c r="CM307" s="36"/>
      <c r="CN307" s="36"/>
      <c r="CO307" s="36"/>
      <c r="CP307" s="36"/>
      <c r="CQ307" s="36"/>
      <c r="CR307" s="36"/>
      <c r="CS307" s="36"/>
      <c r="CT307" s="36"/>
      <c r="CU307" s="36"/>
      <c r="CV307" s="36"/>
      <c r="CW307" s="36"/>
      <c r="CX307" s="37"/>
      <c r="CY307" s="44"/>
      <c r="CZ307" s="36"/>
      <c r="DA307" s="36"/>
      <c r="DB307" s="36"/>
      <c r="DC307" s="36"/>
      <c r="DD307" s="36"/>
      <c r="DE307" s="36"/>
      <c r="DF307" s="36"/>
      <c r="DG307" s="36"/>
      <c r="DH307" s="36"/>
      <c r="DI307" s="36"/>
      <c r="DJ307" s="36"/>
      <c r="DK307" s="36"/>
      <c r="DL307" s="36"/>
      <c r="DM307" s="36"/>
      <c r="DN307" s="36"/>
      <c r="DO307" s="37"/>
      <c r="DP307" s="44"/>
      <c r="DQ307" s="36"/>
      <c r="DR307" s="36"/>
      <c r="DS307" s="36"/>
      <c r="DT307" s="36"/>
      <c r="DU307" s="36"/>
      <c r="DV307" s="36"/>
      <c r="DW307" s="36"/>
      <c r="DX307" s="36"/>
      <c r="DY307" s="36"/>
      <c r="DZ307" s="36"/>
      <c r="EA307" s="36"/>
      <c r="EB307" s="36"/>
      <c r="EC307" s="36"/>
      <c r="ED307" s="36"/>
      <c r="EE307" s="36"/>
      <c r="EF307" s="37"/>
      <c r="EG307" s="44"/>
      <c r="EH307" s="36"/>
      <c r="EI307" s="36"/>
      <c r="EJ307" s="36"/>
      <c r="EK307" s="36"/>
      <c r="EL307" s="36"/>
      <c r="EM307" s="36"/>
      <c r="EN307" s="36"/>
      <c r="EO307" s="36"/>
      <c r="EP307" s="36"/>
      <c r="EQ307" s="36"/>
      <c r="ER307" s="36"/>
      <c r="ES307" s="36"/>
      <c r="ET307" s="36"/>
      <c r="EU307" s="36"/>
      <c r="EV307" s="36"/>
      <c r="EW307" s="37"/>
      <c r="EX307" s="44"/>
      <c r="EY307" s="36"/>
      <c r="EZ307" s="36"/>
      <c r="FA307" s="36"/>
      <c r="FB307" s="36"/>
      <c r="FC307" s="36"/>
      <c r="FD307" s="36"/>
      <c r="FE307" s="36"/>
      <c r="FF307" s="36"/>
      <c r="FG307" s="36"/>
      <c r="FH307" s="36"/>
      <c r="FI307" s="36"/>
      <c r="FJ307" s="36"/>
      <c r="FK307" s="36"/>
      <c r="FL307" s="36"/>
      <c r="FM307" s="36"/>
      <c r="FN307" s="37"/>
      <c r="FO307" s="44"/>
      <c r="FP307" s="36"/>
      <c r="FQ307" s="36"/>
      <c r="FR307" s="36"/>
      <c r="FS307" s="36"/>
      <c r="FT307" s="36"/>
      <c r="FU307" s="36"/>
      <c r="FV307" s="36"/>
      <c r="FW307" s="36"/>
      <c r="FX307" s="36"/>
      <c r="FY307" s="36"/>
      <c r="FZ307" s="36"/>
      <c r="GA307" s="36"/>
      <c r="GB307" s="36"/>
      <c r="GC307" s="36"/>
      <c r="GD307" s="36"/>
      <c r="GE307" s="37"/>
      <c r="GF307" s="44"/>
      <c r="GG307" s="36"/>
      <c r="GH307" s="36"/>
      <c r="GI307" s="36"/>
      <c r="GJ307" s="36"/>
      <c r="GK307" s="36"/>
      <c r="GL307" s="36"/>
      <c r="GM307" s="36"/>
      <c r="GN307" s="36"/>
      <c r="GO307" s="36"/>
      <c r="GP307" s="36"/>
      <c r="GQ307" s="36"/>
      <c r="GR307" s="36"/>
      <c r="GS307" s="36"/>
      <c r="GT307" s="36"/>
      <c r="GU307" s="36"/>
      <c r="GV307" s="37"/>
      <c r="GW307" s="44"/>
      <c r="GX307" s="36"/>
      <c r="GY307" s="36"/>
      <c r="GZ307" s="36"/>
      <c r="HA307" s="36"/>
      <c r="HB307" s="36"/>
      <c r="HC307" s="36"/>
      <c r="HD307" s="36"/>
      <c r="HE307" s="36"/>
      <c r="HF307" s="36"/>
      <c r="HG307" s="36"/>
      <c r="HH307" s="36"/>
      <c r="HI307" s="36"/>
      <c r="HJ307" s="36"/>
      <c r="HK307" s="36"/>
      <c r="HL307" s="36"/>
      <c r="HM307" s="37"/>
      <c r="HN307" s="44"/>
      <c r="HO307" s="36"/>
      <c r="HP307" s="36"/>
      <c r="HQ307" s="36"/>
      <c r="HR307" s="36"/>
      <c r="HS307" s="36"/>
      <c r="HT307" s="36"/>
      <c r="HU307" s="36"/>
      <c r="HV307" s="36"/>
      <c r="HW307" s="36"/>
      <c r="HX307" s="36"/>
      <c r="HY307" s="36"/>
      <c r="HZ307" s="36"/>
      <c r="IA307" s="36"/>
      <c r="IB307" s="36"/>
      <c r="IC307" s="36"/>
      <c r="ID307" s="37"/>
      <c r="IE307" s="44"/>
      <c r="IF307" s="36"/>
      <c r="IG307" s="36"/>
      <c r="IH307" s="36"/>
      <c r="II307" s="36"/>
      <c r="IJ307" s="36"/>
      <c r="IK307" s="36"/>
      <c r="IL307" s="36"/>
      <c r="IM307" s="36"/>
      <c r="IN307" s="36"/>
      <c r="IO307" s="36"/>
      <c r="IP307" s="36"/>
      <c r="IQ307" s="36"/>
      <c r="IR307" s="36"/>
      <c r="IS307" s="36"/>
      <c r="IT307" s="36"/>
      <c r="IU307" s="37"/>
      <c r="IV307" s="44"/>
      <c r="IW307" s="36"/>
      <c r="IX307" s="36"/>
      <c r="IY307" s="36"/>
      <c r="IZ307" s="36"/>
      <c r="JA307" s="36"/>
      <c r="JB307" s="36"/>
      <c r="JC307" s="36"/>
      <c r="JD307" s="36"/>
      <c r="JE307" s="36"/>
      <c r="JF307" s="36"/>
      <c r="JG307" s="36"/>
      <c r="JH307" s="36"/>
      <c r="JI307" s="36"/>
      <c r="JJ307" s="36"/>
      <c r="JK307" s="36"/>
      <c r="JL307" s="37"/>
      <c r="JM307" s="44"/>
      <c r="JN307" s="36"/>
      <c r="JO307" s="36"/>
      <c r="JP307" s="36"/>
      <c r="JQ307" s="36"/>
      <c r="JR307" s="36"/>
      <c r="JS307" s="36"/>
      <c r="JT307" s="36"/>
      <c r="JU307" s="36"/>
      <c r="JV307" s="36"/>
      <c r="JW307" s="36"/>
      <c r="JX307" s="36"/>
      <c r="JY307" s="36"/>
      <c r="JZ307" s="36"/>
      <c r="KA307" s="36"/>
      <c r="KB307" s="36"/>
      <c r="KC307" s="37"/>
      <c r="KD307" s="44"/>
      <c r="KE307" s="36"/>
      <c r="KF307" s="36"/>
      <c r="KG307" s="36"/>
      <c r="KH307" s="36"/>
      <c r="KI307" s="36"/>
      <c r="KJ307" s="36"/>
      <c r="KK307" s="36"/>
      <c r="KL307" s="36"/>
      <c r="KM307" s="36"/>
      <c r="KN307" s="36"/>
      <c r="KO307" s="36"/>
      <c r="KP307" s="36"/>
      <c r="KQ307" s="36"/>
      <c r="KR307" s="36"/>
      <c r="KS307" s="36"/>
      <c r="KT307" s="37"/>
      <c r="KU307" s="36"/>
    </row>
    <row r="308" ht="15.0" customHeight="1">
      <c r="A308" s="44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7"/>
      <c r="R308" s="44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7"/>
      <c r="AI308" s="44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  <c r="AU308" s="36"/>
      <c r="AV308" s="36"/>
      <c r="AW308" s="36"/>
      <c r="AX308" s="36"/>
      <c r="AY308" s="37"/>
      <c r="AZ308" s="44"/>
      <c r="BA308" s="36"/>
      <c r="BB308" s="36"/>
      <c r="BC308" s="36"/>
      <c r="BD308" s="36"/>
      <c r="BE308" s="36"/>
      <c r="BF308" s="36"/>
      <c r="BG308" s="36"/>
      <c r="BH308" s="36"/>
      <c r="BI308" s="36"/>
      <c r="BJ308" s="36"/>
      <c r="BK308" s="36"/>
      <c r="BL308" s="36"/>
      <c r="BM308" s="36"/>
      <c r="BN308" s="36"/>
      <c r="BO308" s="36"/>
      <c r="BP308" s="37"/>
      <c r="BQ308" s="44"/>
      <c r="BR308" s="36"/>
      <c r="BS308" s="36"/>
      <c r="BT308" s="36"/>
      <c r="BU308" s="36"/>
      <c r="BV308" s="36"/>
      <c r="BW308" s="36"/>
      <c r="BX308" s="36"/>
      <c r="BY308" s="36"/>
      <c r="BZ308" s="36"/>
      <c r="CA308" s="36"/>
      <c r="CB308" s="36"/>
      <c r="CC308" s="36"/>
      <c r="CD308" s="36"/>
      <c r="CE308" s="36"/>
      <c r="CF308" s="36"/>
      <c r="CG308" s="37"/>
      <c r="CH308" s="44"/>
      <c r="CI308" s="36"/>
      <c r="CJ308" s="36"/>
      <c r="CK308" s="36"/>
      <c r="CL308" s="36"/>
      <c r="CM308" s="36"/>
      <c r="CN308" s="36"/>
      <c r="CO308" s="36"/>
      <c r="CP308" s="36"/>
      <c r="CQ308" s="36"/>
      <c r="CR308" s="36"/>
      <c r="CS308" s="36"/>
      <c r="CT308" s="36"/>
      <c r="CU308" s="36"/>
      <c r="CV308" s="36"/>
      <c r="CW308" s="36"/>
      <c r="CX308" s="37"/>
      <c r="CY308" s="44"/>
      <c r="CZ308" s="36"/>
      <c r="DA308" s="36"/>
      <c r="DB308" s="36"/>
      <c r="DC308" s="36"/>
      <c r="DD308" s="36"/>
      <c r="DE308" s="36"/>
      <c r="DF308" s="36"/>
      <c r="DG308" s="36"/>
      <c r="DH308" s="36"/>
      <c r="DI308" s="36"/>
      <c r="DJ308" s="36"/>
      <c r="DK308" s="36"/>
      <c r="DL308" s="36"/>
      <c r="DM308" s="36"/>
      <c r="DN308" s="36"/>
      <c r="DO308" s="37"/>
      <c r="DP308" s="44"/>
      <c r="DQ308" s="36"/>
      <c r="DR308" s="36"/>
      <c r="DS308" s="36"/>
      <c r="DT308" s="36"/>
      <c r="DU308" s="36"/>
      <c r="DV308" s="36"/>
      <c r="DW308" s="36"/>
      <c r="DX308" s="36"/>
      <c r="DY308" s="36"/>
      <c r="DZ308" s="36"/>
      <c r="EA308" s="36"/>
      <c r="EB308" s="36"/>
      <c r="EC308" s="36"/>
      <c r="ED308" s="36"/>
      <c r="EE308" s="36"/>
      <c r="EF308" s="37"/>
      <c r="EG308" s="44"/>
      <c r="EH308" s="36"/>
      <c r="EI308" s="36"/>
      <c r="EJ308" s="36"/>
      <c r="EK308" s="36"/>
      <c r="EL308" s="36"/>
      <c r="EM308" s="36"/>
      <c r="EN308" s="36"/>
      <c r="EO308" s="36"/>
      <c r="EP308" s="36"/>
      <c r="EQ308" s="36"/>
      <c r="ER308" s="36"/>
      <c r="ES308" s="36"/>
      <c r="ET308" s="36"/>
      <c r="EU308" s="36"/>
      <c r="EV308" s="36"/>
      <c r="EW308" s="37"/>
      <c r="EX308" s="44"/>
      <c r="EY308" s="36"/>
      <c r="EZ308" s="36"/>
      <c r="FA308" s="36"/>
      <c r="FB308" s="36"/>
      <c r="FC308" s="36"/>
      <c r="FD308" s="36"/>
      <c r="FE308" s="36"/>
      <c r="FF308" s="36"/>
      <c r="FG308" s="36"/>
      <c r="FH308" s="36"/>
      <c r="FI308" s="36"/>
      <c r="FJ308" s="36"/>
      <c r="FK308" s="36"/>
      <c r="FL308" s="36"/>
      <c r="FM308" s="36"/>
      <c r="FN308" s="37"/>
      <c r="FO308" s="44"/>
      <c r="FP308" s="36"/>
      <c r="FQ308" s="36"/>
      <c r="FR308" s="36"/>
      <c r="FS308" s="36"/>
      <c r="FT308" s="36"/>
      <c r="FU308" s="36"/>
      <c r="FV308" s="36"/>
      <c r="FW308" s="36"/>
      <c r="FX308" s="36"/>
      <c r="FY308" s="36"/>
      <c r="FZ308" s="36"/>
      <c r="GA308" s="36"/>
      <c r="GB308" s="36"/>
      <c r="GC308" s="36"/>
      <c r="GD308" s="36"/>
      <c r="GE308" s="37"/>
      <c r="GF308" s="44"/>
      <c r="GG308" s="36"/>
      <c r="GH308" s="36"/>
      <c r="GI308" s="36"/>
      <c r="GJ308" s="36"/>
      <c r="GK308" s="36"/>
      <c r="GL308" s="36"/>
      <c r="GM308" s="36"/>
      <c r="GN308" s="36"/>
      <c r="GO308" s="36"/>
      <c r="GP308" s="36"/>
      <c r="GQ308" s="36"/>
      <c r="GR308" s="36"/>
      <c r="GS308" s="36"/>
      <c r="GT308" s="36"/>
      <c r="GU308" s="36"/>
      <c r="GV308" s="37"/>
      <c r="GW308" s="44"/>
      <c r="GX308" s="36"/>
      <c r="GY308" s="36"/>
      <c r="GZ308" s="36"/>
      <c r="HA308" s="36"/>
      <c r="HB308" s="36"/>
      <c r="HC308" s="36"/>
      <c r="HD308" s="36"/>
      <c r="HE308" s="36"/>
      <c r="HF308" s="36"/>
      <c r="HG308" s="36"/>
      <c r="HH308" s="36"/>
      <c r="HI308" s="36"/>
      <c r="HJ308" s="36"/>
      <c r="HK308" s="36"/>
      <c r="HL308" s="36"/>
      <c r="HM308" s="37"/>
      <c r="HN308" s="44"/>
      <c r="HO308" s="36"/>
      <c r="HP308" s="36"/>
      <c r="HQ308" s="36"/>
      <c r="HR308" s="36"/>
      <c r="HS308" s="36"/>
      <c r="HT308" s="36"/>
      <c r="HU308" s="36"/>
      <c r="HV308" s="36"/>
      <c r="HW308" s="36"/>
      <c r="HX308" s="36"/>
      <c r="HY308" s="36"/>
      <c r="HZ308" s="36"/>
      <c r="IA308" s="36"/>
      <c r="IB308" s="36"/>
      <c r="IC308" s="36"/>
      <c r="ID308" s="37"/>
      <c r="IE308" s="44"/>
      <c r="IF308" s="36"/>
      <c r="IG308" s="36"/>
      <c r="IH308" s="36"/>
      <c r="II308" s="36"/>
      <c r="IJ308" s="36"/>
      <c r="IK308" s="36"/>
      <c r="IL308" s="36"/>
      <c r="IM308" s="36"/>
      <c r="IN308" s="36"/>
      <c r="IO308" s="36"/>
      <c r="IP308" s="36"/>
      <c r="IQ308" s="36"/>
      <c r="IR308" s="36"/>
      <c r="IS308" s="36"/>
      <c r="IT308" s="36"/>
      <c r="IU308" s="37"/>
      <c r="IV308" s="44"/>
      <c r="IW308" s="36"/>
      <c r="IX308" s="36"/>
      <c r="IY308" s="36"/>
      <c r="IZ308" s="36"/>
      <c r="JA308" s="36"/>
      <c r="JB308" s="36"/>
      <c r="JC308" s="36"/>
      <c r="JD308" s="36"/>
      <c r="JE308" s="36"/>
      <c r="JF308" s="36"/>
      <c r="JG308" s="36"/>
      <c r="JH308" s="36"/>
      <c r="JI308" s="36"/>
      <c r="JJ308" s="36"/>
      <c r="JK308" s="36"/>
      <c r="JL308" s="37"/>
      <c r="JM308" s="44"/>
      <c r="JN308" s="36"/>
      <c r="JO308" s="36"/>
      <c r="JP308" s="36"/>
      <c r="JQ308" s="36"/>
      <c r="JR308" s="36"/>
      <c r="JS308" s="36"/>
      <c r="JT308" s="36"/>
      <c r="JU308" s="36"/>
      <c r="JV308" s="36"/>
      <c r="JW308" s="36"/>
      <c r="JX308" s="36"/>
      <c r="JY308" s="36"/>
      <c r="JZ308" s="36"/>
      <c r="KA308" s="36"/>
      <c r="KB308" s="36"/>
      <c r="KC308" s="37"/>
      <c r="KD308" s="44"/>
      <c r="KE308" s="36"/>
      <c r="KF308" s="36"/>
      <c r="KG308" s="36"/>
      <c r="KH308" s="36"/>
      <c r="KI308" s="36"/>
      <c r="KJ308" s="36"/>
      <c r="KK308" s="36"/>
      <c r="KL308" s="36"/>
      <c r="KM308" s="36"/>
      <c r="KN308" s="36"/>
      <c r="KO308" s="36"/>
      <c r="KP308" s="36"/>
      <c r="KQ308" s="36"/>
      <c r="KR308" s="36"/>
      <c r="KS308" s="36"/>
      <c r="KT308" s="37"/>
      <c r="KU308" s="36"/>
    </row>
    <row r="309" ht="15.0" customHeight="1">
      <c r="A309" s="44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7"/>
      <c r="R309" s="44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7"/>
      <c r="AI309" s="44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  <c r="AU309" s="36"/>
      <c r="AV309" s="36"/>
      <c r="AW309" s="36"/>
      <c r="AX309" s="36"/>
      <c r="AY309" s="37"/>
      <c r="AZ309" s="44"/>
      <c r="BA309" s="36"/>
      <c r="BB309" s="36"/>
      <c r="BC309" s="36"/>
      <c r="BD309" s="36"/>
      <c r="BE309" s="36"/>
      <c r="BF309" s="36"/>
      <c r="BG309" s="36"/>
      <c r="BH309" s="36"/>
      <c r="BI309" s="36"/>
      <c r="BJ309" s="36"/>
      <c r="BK309" s="36"/>
      <c r="BL309" s="36"/>
      <c r="BM309" s="36"/>
      <c r="BN309" s="36"/>
      <c r="BO309" s="36"/>
      <c r="BP309" s="37"/>
      <c r="BQ309" s="44"/>
      <c r="BR309" s="36"/>
      <c r="BS309" s="36"/>
      <c r="BT309" s="36"/>
      <c r="BU309" s="36"/>
      <c r="BV309" s="36"/>
      <c r="BW309" s="36"/>
      <c r="BX309" s="36"/>
      <c r="BY309" s="36"/>
      <c r="BZ309" s="36"/>
      <c r="CA309" s="36"/>
      <c r="CB309" s="36"/>
      <c r="CC309" s="36"/>
      <c r="CD309" s="36"/>
      <c r="CE309" s="36"/>
      <c r="CF309" s="36"/>
      <c r="CG309" s="37"/>
      <c r="CH309" s="44"/>
      <c r="CI309" s="36"/>
      <c r="CJ309" s="36"/>
      <c r="CK309" s="36"/>
      <c r="CL309" s="36"/>
      <c r="CM309" s="36"/>
      <c r="CN309" s="36"/>
      <c r="CO309" s="36"/>
      <c r="CP309" s="36"/>
      <c r="CQ309" s="36"/>
      <c r="CR309" s="36"/>
      <c r="CS309" s="36"/>
      <c r="CT309" s="36"/>
      <c r="CU309" s="36"/>
      <c r="CV309" s="36"/>
      <c r="CW309" s="36"/>
      <c r="CX309" s="37"/>
      <c r="CY309" s="44"/>
      <c r="CZ309" s="36"/>
      <c r="DA309" s="36"/>
      <c r="DB309" s="36"/>
      <c r="DC309" s="36"/>
      <c r="DD309" s="36"/>
      <c r="DE309" s="36"/>
      <c r="DF309" s="36"/>
      <c r="DG309" s="36"/>
      <c r="DH309" s="36"/>
      <c r="DI309" s="36"/>
      <c r="DJ309" s="36"/>
      <c r="DK309" s="36"/>
      <c r="DL309" s="36"/>
      <c r="DM309" s="36"/>
      <c r="DN309" s="36"/>
      <c r="DO309" s="37"/>
      <c r="DP309" s="44"/>
      <c r="DQ309" s="36"/>
      <c r="DR309" s="36"/>
      <c r="DS309" s="36"/>
      <c r="DT309" s="36"/>
      <c r="DU309" s="36"/>
      <c r="DV309" s="36"/>
      <c r="DW309" s="36"/>
      <c r="DX309" s="36"/>
      <c r="DY309" s="36"/>
      <c r="DZ309" s="36"/>
      <c r="EA309" s="36"/>
      <c r="EB309" s="36"/>
      <c r="EC309" s="36"/>
      <c r="ED309" s="36"/>
      <c r="EE309" s="36"/>
      <c r="EF309" s="37"/>
      <c r="EG309" s="44"/>
      <c r="EH309" s="36"/>
      <c r="EI309" s="36"/>
      <c r="EJ309" s="36"/>
      <c r="EK309" s="36"/>
      <c r="EL309" s="36"/>
      <c r="EM309" s="36"/>
      <c r="EN309" s="36"/>
      <c r="EO309" s="36"/>
      <c r="EP309" s="36"/>
      <c r="EQ309" s="36"/>
      <c r="ER309" s="36"/>
      <c r="ES309" s="36"/>
      <c r="ET309" s="36"/>
      <c r="EU309" s="36"/>
      <c r="EV309" s="36"/>
      <c r="EW309" s="37"/>
      <c r="EX309" s="44"/>
      <c r="EY309" s="36"/>
      <c r="EZ309" s="36"/>
      <c r="FA309" s="36"/>
      <c r="FB309" s="36"/>
      <c r="FC309" s="36"/>
      <c r="FD309" s="36"/>
      <c r="FE309" s="36"/>
      <c r="FF309" s="36"/>
      <c r="FG309" s="36"/>
      <c r="FH309" s="36"/>
      <c r="FI309" s="36"/>
      <c r="FJ309" s="36"/>
      <c r="FK309" s="36"/>
      <c r="FL309" s="36"/>
      <c r="FM309" s="36"/>
      <c r="FN309" s="37"/>
      <c r="FO309" s="44"/>
      <c r="FP309" s="36"/>
      <c r="FQ309" s="36"/>
      <c r="FR309" s="36"/>
      <c r="FS309" s="36"/>
      <c r="FT309" s="36"/>
      <c r="FU309" s="36"/>
      <c r="FV309" s="36"/>
      <c r="FW309" s="36"/>
      <c r="FX309" s="36"/>
      <c r="FY309" s="36"/>
      <c r="FZ309" s="36"/>
      <c r="GA309" s="36"/>
      <c r="GB309" s="36"/>
      <c r="GC309" s="36"/>
      <c r="GD309" s="36"/>
      <c r="GE309" s="37"/>
      <c r="GF309" s="44"/>
      <c r="GG309" s="36"/>
      <c r="GH309" s="36"/>
      <c r="GI309" s="36"/>
      <c r="GJ309" s="36"/>
      <c r="GK309" s="36"/>
      <c r="GL309" s="36"/>
      <c r="GM309" s="36"/>
      <c r="GN309" s="36"/>
      <c r="GO309" s="36"/>
      <c r="GP309" s="36"/>
      <c r="GQ309" s="36"/>
      <c r="GR309" s="36"/>
      <c r="GS309" s="36"/>
      <c r="GT309" s="36"/>
      <c r="GU309" s="36"/>
      <c r="GV309" s="37"/>
      <c r="GW309" s="44"/>
      <c r="GX309" s="36"/>
      <c r="GY309" s="36"/>
      <c r="GZ309" s="36"/>
      <c r="HA309" s="36"/>
      <c r="HB309" s="36"/>
      <c r="HC309" s="36"/>
      <c r="HD309" s="36"/>
      <c r="HE309" s="36"/>
      <c r="HF309" s="36"/>
      <c r="HG309" s="36"/>
      <c r="HH309" s="36"/>
      <c r="HI309" s="36"/>
      <c r="HJ309" s="36"/>
      <c r="HK309" s="36"/>
      <c r="HL309" s="36"/>
      <c r="HM309" s="37"/>
      <c r="HN309" s="44"/>
      <c r="HO309" s="36"/>
      <c r="HP309" s="36"/>
      <c r="HQ309" s="36"/>
      <c r="HR309" s="36"/>
      <c r="HS309" s="36"/>
      <c r="HT309" s="36"/>
      <c r="HU309" s="36"/>
      <c r="HV309" s="36"/>
      <c r="HW309" s="36"/>
      <c r="HX309" s="36"/>
      <c r="HY309" s="36"/>
      <c r="HZ309" s="36"/>
      <c r="IA309" s="36"/>
      <c r="IB309" s="36"/>
      <c r="IC309" s="36"/>
      <c r="ID309" s="37"/>
      <c r="IE309" s="44"/>
      <c r="IF309" s="36"/>
      <c r="IG309" s="36"/>
      <c r="IH309" s="36"/>
      <c r="II309" s="36"/>
      <c r="IJ309" s="36"/>
      <c r="IK309" s="36"/>
      <c r="IL309" s="36"/>
      <c r="IM309" s="36"/>
      <c r="IN309" s="36"/>
      <c r="IO309" s="36"/>
      <c r="IP309" s="36"/>
      <c r="IQ309" s="36"/>
      <c r="IR309" s="36"/>
      <c r="IS309" s="36"/>
      <c r="IT309" s="36"/>
      <c r="IU309" s="37"/>
      <c r="IV309" s="44"/>
      <c r="IW309" s="36"/>
      <c r="IX309" s="36"/>
      <c r="IY309" s="36"/>
      <c r="IZ309" s="36"/>
      <c r="JA309" s="36"/>
      <c r="JB309" s="36"/>
      <c r="JC309" s="36"/>
      <c r="JD309" s="36"/>
      <c r="JE309" s="36"/>
      <c r="JF309" s="36"/>
      <c r="JG309" s="36"/>
      <c r="JH309" s="36"/>
      <c r="JI309" s="36"/>
      <c r="JJ309" s="36"/>
      <c r="JK309" s="36"/>
      <c r="JL309" s="37"/>
      <c r="JM309" s="44"/>
      <c r="JN309" s="36"/>
      <c r="JO309" s="36"/>
      <c r="JP309" s="36"/>
      <c r="JQ309" s="36"/>
      <c r="JR309" s="36"/>
      <c r="JS309" s="36"/>
      <c r="JT309" s="36"/>
      <c r="JU309" s="36"/>
      <c r="JV309" s="36"/>
      <c r="JW309" s="36"/>
      <c r="JX309" s="36"/>
      <c r="JY309" s="36"/>
      <c r="JZ309" s="36"/>
      <c r="KA309" s="36"/>
      <c r="KB309" s="36"/>
      <c r="KC309" s="37"/>
      <c r="KD309" s="44"/>
      <c r="KE309" s="36"/>
      <c r="KF309" s="36"/>
      <c r="KG309" s="36"/>
      <c r="KH309" s="36"/>
      <c r="KI309" s="36"/>
      <c r="KJ309" s="36"/>
      <c r="KK309" s="36"/>
      <c r="KL309" s="36"/>
      <c r="KM309" s="36"/>
      <c r="KN309" s="36"/>
      <c r="KO309" s="36"/>
      <c r="KP309" s="36"/>
      <c r="KQ309" s="36"/>
      <c r="KR309" s="36"/>
      <c r="KS309" s="36"/>
      <c r="KT309" s="37"/>
      <c r="KU309" s="36"/>
    </row>
    <row r="310" ht="15.0" customHeight="1">
      <c r="A310" s="44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7"/>
      <c r="R310" s="44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7"/>
      <c r="AI310" s="44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  <c r="AU310" s="36"/>
      <c r="AV310" s="36"/>
      <c r="AW310" s="36"/>
      <c r="AX310" s="36"/>
      <c r="AY310" s="37"/>
      <c r="AZ310" s="44"/>
      <c r="BA310" s="36"/>
      <c r="BB310" s="36"/>
      <c r="BC310" s="36"/>
      <c r="BD310" s="36"/>
      <c r="BE310" s="36"/>
      <c r="BF310" s="36"/>
      <c r="BG310" s="36"/>
      <c r="BH310" s="36"/>
      <c r="BI310" s="36"/>
      <c r="BJ310" s="36"/>
      <c r="BK310" s="36"/>
      <c r="BL310" s="36"/>
      <c r="BM310" s="36"/>
      <c r="BN310" s="36"/>
      <c r="BO310" s="36"/>
      <c r="BP310" s="37"/>
      <c r="BQ310" s="44"/>
      <c r="BR310" s="36"/>
      <c r="BS310" s="36"/>
      <c r="BT310" s="36"/>
      <c r="BU310" s="36"/>
      <c r="BV310" s="36"/>
      <c r="BW310" s="36"/>
      <c r="BX310" s="36"/>
      <c r="BY310" s="36"/>
      <c r="BZ310" s="36"/>
      <c r="CA310" s="36"/>
      <c r="CB310" s="36"/>
      <c r="CC310" s="36"/>
      <c r="CD310" s="36"/>
      <c r="CE310" s="36"/>
      <c r="CF310" s="36"/>
      <c r="CG310" s="37"/>
      <c r="CH310" s="44"/>
      <c r="CI310" s="36"/>
      <c r="CJ310" s="36"/>
      <c r="CK310" s="36"/>
      <c r="CL310" s="36"/>
      <c r="CM310" s="36"/>
      <c r="CN310" s="36"/>
      <c r="CO310" s="36"/>
      <c r="CP310" s="36"/>
      <c r="CQ310" s="36"/>
      <c r="CR310" s="36"/>
      <c r="CS310" s="36"/>
      <c r="CT310" s="36"/>
      <c r="CU310" s="36"/>
      <c r="CV310" s="36"/>
      <c r="CW310" s="36"/>
      <c r="CX310" s="37"/>
      <c r="CY310" s="44"/>
      <c r="CZ310" s="36"/>
      <c r="DA310" s="36"/>
      <c r="DB310" s="36"/>
      <c r="DC310" s="36"/>
      <c r="DD310" s="36"/>
      <c r="DE310" s="36"/>
      <c r="DF310" s="36"/>
      <c r="DG310" s="36"/>
      <c r="DH310" s="36"/>
      <c r="DI310" s="36"/>
      <c r="DJ310" s="36"/>
      <c r="DK310" s="36"/>
      <c r="DL310" s="36"/>
      <c r="DM310" s="36"/>
      <c r="DN310" s="36"/>
      <c r="DO310" s="37"/>
      <c r="DP310" s="44"/>
      <c r="DQ310" s="36"/>
      <c r="DR310" s="36"/>
      <c r="DS310" s="36"/>
      <c r="DT310" s="36"/>
      <c r="DU310" s="36"/>
      <c r="DV310" s="36"/>
      <c r="DW310" s="36"/>
      <c r="DX310" s="36"/>
      <c r="DY310" s="36"/>
      <c r="DZ310" s="36"/>
      <c r="EA310" s="36"/>
      <c r="EB310" s="36"/>
      <c r="EC310" s="36"/>
      <c r="ED310" s="36"/>
      <c r="EE310" s="36"/>
      <c r="EF310" s="37"/>
      <c r="EG310" s="44"/>
      <c r="EH310" s="36"/>
      <c r="EI310" s="36"/>
      <c r="EJ310" s="36"/>
      <c r="EK310" s="36"/>
      <c r="EL310" s="36"/>
      <c r="EM310" s="36"/>
      <c r="EN310" s="36"/>
      <c r="EO310" s="36"/>
      <c r="EP310" s="36"/>
      <c r="EQ310" s="36"/>
      <c r="ER310" s="36"/>
      <c r="ES310" s="36"/>
      <c r="ET310" s="36"/>
      <c r="EU310" s="36"/>
      <c r="EV310" s="36"/>
      <c r="EW310" s="37"/>
      <c r="EX310" s="44"/>
      <c r="EY310" s="36"/>
      <c r="EZ310" s="36"/>
      <c r="FA310" s="36"/>
      <c r="FB310" s="36"/>
      <c r="FC310" s="36"/>
      <c r="FD310" s="36"/>
      <c r="FE310" s="36"/>
      <c r="FF310" s="36"/>
      <c r="FG310" s="36"/>
      <c r="FH310" s="36"/>
      <c r="FI310" s="36"/>
      <c r="FJ310" s="36"/>
      <c r="FK310" s="36"/>
      <c r="FL310" s="36"/>
      <c r="FM310" s="36"/>
      <c r="FN310" s="37"/>
      <c r="FO310" s="44"/>
      <c r="FP310" s="36"/>
      <c r="FQ310" s="36"/>
      <c r="FR310" s="36"/>
      <c r="FS310" s="36"/>
      <c r="FT310" s="36"/>
      <c r="FU310" s="36"/>
      <c r="FV310" s="36"/>
      <c r="FW310" s="36"/>
      <c r="FX310" s="36"/>
      <c r="FY310" s="36"/>
      <c r="FZ310" s="36"/>
      <c r="GA310" s="36"/>
      <c r="GB310" s="36"/>
      <c r="GC310" s="36"/>
      <c r="GD310" s="36"/>
      <c r="GE310" s="37"/>
      <c r="GF310" s="44"/>
      <c r="GG310" s="36"/>
      <c r="GH310" s="36"/>
      <c r="GI310" s="36"/>
      <c r="GJ310" s="36"/>
      <c r="GK310" s="36"/>
      <c r="GL310" s="36"/>
      <c r="GM310" s="36"/>
      <c r="GN310" s="36"/>
      <c r="GO310" s="36"/>
      <c r="GP310" s="36"/>
      <c r="GQ310" s="36"/>
      <c r="GR310" s="36"/>
      <c r="GS310" s="36"/>
      <c r="GT310" s="36"/>
      <c r="GU310" s="36"/>
      <c r="GV310" s="37"/>
      <c r="GW310" s="44"/>
      <c r="GX310" s="36"/>
      <c r="GY310" s="36"/>
      <c r="GZ310" s="36"/>
      <c r="HA310" s="36"/>
      <c r="HB310" s="36"/>
      <c r="HC310" s="36"/>
      <c r="HD310" s="36"/>
      <c r="HE310" s="36"/>
      <c r="HF310" s="36"/>
      <c r="HG310" s="36"/>
      <c r="HH310" s="36"/>
      <c r="HI310" s="36"/>
      <c r="HJ310" s="36"/>
      <c r="HK310" s="36"/>
      <c r="HL310" s="36"/>
      <c r="HM310" s="37"/>
      <c r="HN310" s="44"/>
      <c r="HO310" s="36"/>
      <c r="HP310" s="36"/>
      <c r="HQ310" s="36"/>
      <c r="HR310" s="36"/>
      <c r="HS310" s="36"/>
      <c r="HT310" s="36"/>
      <c r="HU310" s="36"/>
      <c r="HV310" s="36"/>
      <c r="HW310" s="36"/>
      <c r="HX310" s="36"/>
      <c r="HY310" s="36"/>
      <c r="HZ310" s="36"/>
      <c r="IA310" s="36"/>
      <c r="IB310" s="36"/>
      <c r="IC310" s="36"/>
      <c r="ID310" s="37"/>
      <c r="IE310" s="44"/>
      <c r="IF310" s="36"/>
      <c r="IG310" s="36"/>
      <c r="IH310" s="36"/>
      <c r="II310" s="36"/>
      <c r="IJ310" s="36"/>
      <c r="IK310" s="36"/>
      <c r="IL310" s="36"/>
      <c r="IM310" s="36"/>
      <c r="IN310" s="36"/>
      <c r="IO310" s="36"/>
      <c r="IP310" s="36"/>
      <c r="IQ310" s="36"/>
      <c r="IR310" s="36"/>
      <c r="IS310" s="36"/>
      <c r="IT310" s="36"/>
      <c r="IU310" s="37"/>
      <c r="IV310" s="44"/>
      <c r="IW310" s="36"/>
      <c r="IX310" s="36"/>
      <c r="IY310" s="36"/>
      <c r="IZ310" s="36"/>
      <c r="JA310" s="36"/>
      <c r="JB310" s="36"/>
      <c r="JC310" s="36"/>
      <c r="JD310" s="36"/>
      <c r="JE310" s="36"/>
      <c r="JF310" s="36"/>
      <c r="JG310" s="36"/>
      <c r="JH310" s="36"/>
      <c r="JI310" s="36"/>
      <c r="JJ310" s="36"/>
      <c r="JK310" s="36"/>
      <c r="JL310" s="37"/>
      <c r="JM310" s="44"/>
      <c r="JN310" s="36"/>
      <c r="JO310" s="36"/>
      <c r="JP310" s="36"/>
      <c r="JQ310" s="36"/>
      <c r="JR310" s="36"/>
      <c r="JS310" s="36"/>
      <c r="JT310" s="36"/>
      <c r="JU310" s="36"/>
      <c r="JV310" s="36"/>
      <c r="JW310" s="36"/>
      <c r="JX310" s="36"/>
      <c r="JY310" s="36"/>
      <c r="JZ310" s="36"/>
      <c r="KA310" s="36"/>
      <c r="KB310" s="36"/>
      <c r="KC310" s="37"/>
      <c r="KD310" s="44"/>
      <c r="KE310" s="36"/>
      <c r="KF310" s="36"/>
      <c r="KG310" s="36"/>
      <c r="KH310" s="36"/>
      <c r="KI310" s="36"/>
      <c r="KJ310" s="36"/>
      <c r="KK310" s="36"/>
      <c r="KL310" s="36"/>
      <c r="KM310" s="36"/>
      <c r="KN310" s="36"/>
      <c r="KO310" s="36"/>
      <c r="KP310" s="36"/>
      <c r="KQ310" s="36"/>
      <c r="KR310" s="36"/>
      <c r="KS310" s="36"/>
      <c r="KT310" s="37"/>
      <c r="KU310" s="36"/>
    </row>
    <row r="311" ht="15.0" customHeight="1">
      <c r="A311" s="44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7"/>
      <c r="R311" s="44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7"/>
      <c r="AI311" s="44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  <c r="AU311" s="36"/>
      <c r="AV311" s="36"/>
      <c r="AW311" s="36"/>
      <c r="AX311" s="36"/>
      <c r="AY311" s="37"/>
      <c r="AZ311" s="44"/>
      <c r="BA311" s="36"/>
      <c r="BB311" s="36"/>
      <c r="BC311" s="36"/>
      <c r="BD311" s="36"/>
      <c r="BE311" s="36"/>
      <c r="BF311" s="36"/>
      <c r="BG311" s="36"/>
      <c r="BH311" s="36"/>
      <c r="BI311" s="36"/>
      <c r="BJ311" s="36"/>
      <c r="BK311" s="36"/>
      <c r="BL311" s="36"/>
      <c r="BM311" s="36"/>
      <c r="BN311" s="36"/>
      <c r="BO311" s="36"/>
      <c r="BP311" s="37"/>
      <c r="BQ311" s="44"/>
      <c r="BR311" s="36"/>
      <c r="BS311" s="36"/>
      <c r="BT311" s="36"/>
      <c r="BU311" s="36"/>
      <c r="BV311" s="36"/>
      <c r="BW311" s="36"/>
      <c r="BX311" s="36"/>
      <c r="BY311" s="36"/>
      <c r="BZ311" s="36"/>
      <c r="CA311" s="36"/>
      <c r="CB311" s="36"/>
      <c r="CC311" s="36"/>
      <c r="CD311" s="36"/>
      <c r="CE311" s="36"/>
      <c r="CF311" s="36"/>
      <c r="CG311" s="37"/>
      <c r="CH311" s="44"/>
      <c r="CI311" s="36"/>
      <c r="CJ311" s="36"/>
      <c r="CK311" s="36"/>
      <c r="CL311" s="36"/>
      <c r="CM311" s="36"/>
      <c r="CN311" s="36"/>
      <c r="CO311" s="36"/>
      <c r="CP311" s="36"/>
      <c r="CQ311" s="36"/>
      <c r="CR311" s="36"/>
      <c r="CS311" s="36"/>
      <c r="CT311" s="36"/>
      <c r="CU311" s="36"/>
      <c r="CV311" s="36"/>
      <c r="CW311" s="36"/>
      <c r="CX311" s="37"/>
      <c r="CY311" s="44"/>
      <c r="CZ311" s="36"/>
      <c r="DA311" s="36"/>
      <c r="DB311" s="36"/>
      <c r="DC311" s="36"/>
      <c r="DD311" s="36"/>
      <c r="DE311" s="36"/>
      <c r="DF311" s="36"/>
      <c r="DG311" s="36"/>
      <c r="DH311" s="36"/>
      <c r="DI311" s="36"/>
      <c r="DJ311" s="36"/>
      <c r="DK311" s="36"/>
      <c r="DL311" s="36"/>
      <c r="DM311" s="36"/>
      <c r="DN311" s="36"/>
      <c r="DO311" s="37"/>
      <c r="DP311" s="44"/>
      <c r="DQ311" s="36"/>
      <c r="DR311" s="36"/>
      <c r="DS311" s="36"/>
      <c r="DT311" s="36"/>
      <c r="DU311" s="36"/>
      <c r="DV311" s="36"/>
      <c r="DW311" s="36"/>
      <c r="DX311" s="36"/>
      <c r="DY311" s="36"/>
      <c r="DZ311" s="36"/>
      <c r="EA311" s="36"/>
      <c r="EB311" s="36"/>
      <c r="EC311" s="36"/>
      <c r="ED311" s="36"/>
      <c r="EE311" s="36"/>
      <c r="EF311" s="37"/>
      <c r="EG311" s="44"/>
      <c r="EH311" s="36"/>
      <c r="EI311" s="36"/>
      <c r="EJ311" s="36"/>
      <c r="EK311" s="36"/>
      <c r="EL311" s="36"/>
      <c r="EM311" s="36"/>
      <c r="EN311" s="36"/>
      <c r="EO311" s="36"/>
      <c r="EP311" s="36"/>
      <c r="EQ311" s="36"/>
      <c r="ER311" s="36"/>
      <c r="ES311" s="36"/>
      <c r="ET311" s="36"/>
      <c r="EU311" s="36"/>
      <c r="EV311" s="36"/>
      <c r="EW311" s="37"/>
      <c r="EX311" s="44"/>
      <c r="EY311" s="36"/>
      <c r="EZ311" s="36"/>
      <c r="FA311" s="36"/>
      <c r="FB311" s="36"/>
      <c r="FC311" s="36"/>
      <c r="FD311" s="36"/>
      <c r="FE311" s="36"/>
      <c r="FF311" s="36"/>
      <c r="FG311" s="36"/>
      <c r="FH311" s="36"/>
      <c r="FI311" s="36"/>
      <c r="FJ311" s="36"/>
      <c r="FK311" s="36"/>
      <c r="FL311" s="36"/>
      <c r="FM311" s="36"/>
      <c r="FN311" s="37"/>
      <c r="FO311" s="44"/>
      <c r="FP311" s="36"/>
      <c r="FQ311" s="36"/>
      <c r="FR311" s="36"/>
      <c r="FS311" s="36"/>
      <c r="FT311" s="36"/>
      <c r="FU311" s="36"/>
      <c r="FV311" s="36"/>
      <c r="FW311" s="36"/>
      <c r="FX311" s="36"/>
      <c r="FY311" s="36"/>
      <c r="FZ311" s="36"/>
      <c r="GA311" s="36"/>
      <c r="GB311" s="36"/>
      <c r="GC311" s="36"/>
      <c r="GD311" s="36"/>
      <c r="GE311" s="37"/>
      <c r="GF311" s="44"/>
      <c r="GG311" s="36"/>
      <c r="GH311" s="36"/>
      <c r="GI311" s="36"/>
      <c r="GJ311" s="36"/>
      <c r="GK311" s="36"/>
      <c r="GL311" s="36"/>
      <c r="GM311" s="36"/>
      <c r="GN311" s="36"/>
      <c r="GO311" s="36"/>
      <c r="GP311" s="36"/>
      <c r="GQ311" s="36"/>
      <c r="GR311" s="36"/>
      <c r="GS311" s="36"/>
      <c r="GT311" s="36"/>
      <c r="GU311" s="36"/>
      <c r="GV311" s="37"/>
      <c r="GW311" s="44"/>
      <c r="GX311" s="36"/>
      <c r="GY311" s="36"/>
      <c r="GZ311" s="36"/>
      <c r="HA311" s="36"/>
      <c r="HB311" s="36"/>
      <c r="HC311" s="36"/>
      <c r="HD311" s="36"/>
      <c r="HE311" s="36"/>
      <c r="HF311" s="36"/>
      <c r="HG311" s="36"/>
      <c r="HH311" s="36"/>
      <c r="HI311" s="36"/>
      <c r="HJ311" s="36"/>
      <c r="HK311" s="36"/>
      <c r="HL311" s="36"/>
      <c r="HM311" s="37"/>
      <c r="HN311" s="44"/>
      <c r="HO311" s="36"/>
      <c r="HP311" s="36"/>
      <c r="HQ311" s="36"/>
      <c r="HR311" s="36"/>
      <c r="HS311" s="36"/>
      <c r="HT311" s="36"/>
      <c r="HU311" s="36"/>
      <c r="HV311" s="36"/>
      <c r="HW311" s="36"/>
      <c r="HX311" s="36"/>
      <c r="HY311" s="36"/>
      <c r="HZ311" s="36"/>
      <c r="IA311" s="36"/>
      <c r="IB311" s="36"/>
      <c r="IC311" s="36"/>
      <c r="ID311" s="37"/>
      <c r="IE311" s="44"/>
      <c r="IF311" s="36"/>
      <c r="IG311" s="36"/>
      <c r="IH311" s="36"/>
      <c r="II311" s="36"/>
      <c r="IJ311" s="36"/>
      <c r="IK311" s="36"/>
      <c r="IL311" s="36"/>
      <c r="IM311" s="36"/>
      <c r="IN311" s="36"/>
      <c r="IO311" s="36"/>
      <c r="IP311" s="36"/>
      <c r="IQ311" s="36"/>
      <c r="IR311" s="36"/>
      <c r="IS311" s="36"/>
      <c r="IT311" s="36"/>
      <c r="IU311" s="37"/>
      <c r="IV311" s="44"/>
      <c r="IW311" s="36"/>
      <c r="IX311" s="36"/>
      <c r="IY311" s="36"/>
      <c r="IZ311" s="36"/>
      <c r="JA311" s="36"/>
      <c r="JB311" s="36"/>
      <c r="JC311" s="36"/>
      <c r="JD311" s="36"/>
      <c r="JE311" s="36"/>
      <c r="JF311" s="36"/>
      <c r="JG311" s="36"/>
      <c r="JH311" s="36"/>
      <c r="JI311" s="36"/>
      <c r="JJ311" s="36"/>
      <c r="JK311" s="36"/>
      <c r="JL311" s="37"/>
      <c r="JM311" s="44"/>
      <c r="JN311" s="36"/>
      <c r="JO311" s="36"/>
      <c r="JP311" s="36"/>
      <c r="JQ311" s="36"/>
      <c r="JR311" s="36"/>
      <c r="JS311" s="36"/>
      <c r="JT311" s="36"/>
      <c r="JU311" s="36"/>
      <c r="JV311" s="36"/>
      <c r="JW311" s="36"/>
      <c r="JX311" s="36"/>
      <c r="JY311" s="36"/>
      <c r="JZ311" s="36"/>
      <c r="KA311" s="36"/>
      <c r="KB311" s="36"/>
      <c r="KC311" s="37"/>
      <c r="KD311" s="44"/>
      <c r="KE311" s="36"/>
      <c r="KF311" s="36"/>
      <c r="KG311" s="36"/>
      <c r="KH311" s="36"/>
      <c r="KI311" s="36"/>
      <c r="KJ311" s="36"/>
      <c r="KK311" s="36"/>
      <c r="KL311" s="36"/>
      <c r="KM311" s="36"/>
      <c r="KN311" s="36"/>
      <c r="KO311" s="36"/>
      <c r="KP311" s="36"/>
      <c r="KQ311" s="36"/>
      <c r="KR311" s="36"/>
      <c r="KS311" s="36"/>
      <c r="KT311" s="37"/>
      <c r="KU311" s="36"/>
    </row>
    <row r="312" ht="15.0" customHeight="1">
      <c r="A312" s="44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7"/>
      <c r="R312" s="44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7"/>
      <c r="AI312" s="44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  <c r="AU312" s="36"/>
      <c r="AV312" s="36"/>
      <c r="AW312" s="36"/>
      <c r="AX312" s="36"/>
      <c r="AY312" s="37"/>
      <c r="AZ312" s="44"/>
      <c r="BA312" s="36"/>
      <c r="BB312" s="36"/>
      <c r="BC312" s="36"/>
      <c r="BD312" s="36"/>
      <c r="BE312" s="36"/>
      <c r="BF312" s="36"/>
      <c r="BG312" s="36"/>
      <c r="BH312" s="36"/>
      <c r="BI312" s="36"/>
      <c r="BJ312" s="36"/>
      <c r="BK312" s="36"/>
      <c r="BL312" s="36"/>
      <c r="BM312" s="36"/>
      <c r="BN312" s="36"/>
      <c r="BO312" s="36"/>
      <c r="BP312" s="37"/>
      <c r="BQ312" s="44"/>
      <c r="BR312" s="36"/>
      <c r="BS312" s="36"/>
      <c r="BT312" s="36"/>
      <c r="BU312" s="36"/>
      <c r="BV312" s="36"/>
      <c r="BW312" s="36"/>
      <c r="BX312" s="36"/>
      <c r="BY312" s="36"/>
      <c r="BZ312" s="36"/>
      <c r="CA312" s="36"/>
      <c r="CB312" s="36"/>
      <c r="CC312" s="36"/>
      <c r="CD312" s="36"/>
      <c r="CE312" s="36"/>
      <c r="CF312" s="36"/>
      <c r="CG312" s="37"/>
      <c r="CH312" s="44"/>
      <c r="CI312" s="36"/>
      <c r="CJ312" s="36"/>
      <c r="CK312" s="36"/>
      <c r="CL312" s="36"/>
      <c r="CM312" s="36"/>
      <c r="CN312" s="36"/>
      <c r="CO312" s="36"/>
      <c r="CP312" s="36"/>
      <c r="CQ312" s="36"/>
      <c r="CR312" s="36"/>
      <c r="CS312" s="36"/>
      <c r="CT312" s="36"/>
      <c r="CU312" s="36"/>
      <c r="CV312" s="36"/>
      <c r="CW312" s="36"/>
      <c r="CX312" s="37"/>
      <c r="CY312" s="44"/>
      <c r="CZ312" s="36"/>
      <c r="DA312" s="36"/>
      <c r="DB312" s="36"/>
      <c r="DC312" s="36"/>
      <c r="DD312" s="36"/>
      <c r="DE312" s="36"/>
      <c r="DF312" s="36"/>
      <c r="DG312" s="36"/>
      <c r="DH312" s="36"/>
      <c r="DI312" s="36"/>
      <c r="DJ312" s="36"/>
      <c r="DK312" s="36"/>
      <c r="DL312" s="36"/>
      <c r="DM312" s="36"/>
      <c r="DN312" s="36"/>
      <c r="DO312" s="37"/>
      <c r="DP312" s="44"/>
      <c r="DQ312" s="36"/>
      <c r="DR312" s="36"/>
      <c r="DS312" s="36"/>
      <c r="DT312" s="36"/>
      <c r="DU312" s="36"/>
      <c r="DV312" s="36"/>
      <c r="DW312" s="36"/>
      <c r="DX312" s="36"/>
      <c r="DY312" s="36"/>
      <c r="DZ312" s="36"/>
      <c r="EA312" s="36"/>
      <c r="EB312" s="36"/>
      <c r="EC312" s="36"/>
      <c r="ED312" s="36"/>
      <c r="EE312" s="36"/>
      <c r="EF312" s="37"/>
      <c r="EG312" s="44"/>
      <c r="EH312" s="36"/>
      <c r="EI312" s="36"/>
      <c r="EJ312" s="36"/>
      <c r="EK312" s="36"/>
      <c r="EL312" s="36"/>
      <c r="EM312" s="36"/>
      <c r="EN312" s="36"/>
      <c r="EO312" s="36"/>
      <c r="EP312" s="36"/>
      <c r="EQ312" s="36"/>
      <c r="ER312" s="36"/>
      <c r="ES312" s="36"/>
      <c r="ET312" s="36"/>
      <c r="EU312" s="36"/>
      <c r="EV312" s="36"/>
      <c r="EW312" s="37"/>
      <c r="EX312" s="44"/>
      <c r="EY312" s="36"/>
      <c r="EZ312" s="36"/>
      <c r="FA312" s="36"/>
      <c r="FB312" s="36"/>
      <c r="FC312" s="36"/>
      <c r="FD312" s="36"/>
      <c r="FE312" s="36"/>
      <c r="FF312" s="36"/>
      <c r="FG312" s="36"/>
      <c r="FH312" s="36"/>
      <c r="FI312" s="36"/>
      <c r="FJ312" s="36"/>
      <c r="FK312" s="36"/>
      <c r="FL312" s="36"/>
      <c r="FM312" s="36"/>
      <c r="FN312" s="37"/>
      <c r="FO312" s="44"/>
      <c r="FP312" s="36"/>
      <c r="FQ312" s="36"/>
      <c r="FR312" s="36"/>
      <c r="FS312" s="36"/>
      <c r="FT312" s="36"/>
      <c r="FU312" s="36"/>
      <c r="FV312" s="36"/>
      <c r="FW312" s="36"/>
      <c r="FX312" s="36"/>
      <c r="FY312" s="36"/>
      <c r="FZ312" s="36"/>
      <c r="GA312" s="36"/>
      <c r="GB312" s="36"/>
      <c r="GC312" s="36"/>
      <c r="GD312" s="36"/>
      <c r="GE312" s="37"/>
      <c r="GF312" s="44"/>
      <c r="GG312" s="36"/>
      <c r="GH312" s="36"/>
      <c r="GI312" s="36"/>
      <c r="GJ312" s="36"/>
      <c r="GK312" s="36"/>
      <c r="GL312" s="36"/>
      <c r="GM312" s="36"/>
      <c r="GN312" s="36"/>
      <c r="GO312" s="36"/>
      <c r="GP312" s="36"/>
      <c r="GQ312" s="36"/>
      <c r="GR312" s="36"/>
      <c r="GS312" s="36"/>
      <c r="GT312" s="36"/>
      <c r="GU312" s="36"/>
      <c r="GV312" s="37"/>
      <c r="GW312" s="44"/>
      <c r="GX312" s="36"/>
      <c r="GY312" s="36"/>
      <c r="GZ312" s="36"/>
      <c r="HA312" s="36"/>
      <c r="HB312" s="36"/>
      <c r="HC312" s="36"/>
      <c r="HD312" s="36"/>
      <c r="HE312" s="36"/>
      <c r="HF312" s="36"/>
      <c r="HG312" s="36"/>
      <c r="HH312" s="36"/>
      <c r="HI312" s="36"/>
      <c r="HJ312" s="36"/>
      <c r="HK312" s="36"/>
      <c r="HL312" s="36"/>
      <c r="HM312" s="37"/>
      <c r="HN312" s="44"/>
      <c r="HO312" s="36"/>
      <c r="HP312" s="36"/>
      <c r="HQ312" s="36"/>
      <c r="HR312" s="36"/>
      <c r="HS312" s="36"/>
      <c r="HT312" s="36"/>
      <c r="HU312" s="36"/>
      <c r="HV312" s="36"/>
      <c r="HW312" s="36"/>
      <c r="HX312" s="36"/>
      <c r="HY312" s="36"/>
      <c r="HZ312" s="36"/>
      <c r="IA312" s="36"/>
      <c r="IB312" s="36"/>
      <c r="IC312" s="36"/>
      <c r="ID312" s="37"/>
      <c r="IE312" s="44"/>
      <c r="IF312" s="36"/>
      <c r="IG312" s="36"/>
      <c r="IH312" s="36"/>
      <c r="II312" s="36"/>
      <c r="IJ312" s="36"/>
      <c r="IK312" s="36"/>
      <c r="IL312" s="36"/>
      <c r="IM312" s="36"/>
      <c r="IN312" s="36"/>
      <c r="IO312" s="36"/>
      <c r="IP312" s="36"/>
      <c r="IQ312" s="36"/>
      <c r="IR312" s="36"/>
      <c r="IS312" s="36"/>
      <c r="IT312" s="36"/>
      <c r="IU312" s="37"/>
      <c r="IV312" s="44"/>
      <c r="IW312" s="36"/>
      <c r="IX312" s="36"/>
      <c r="IY312" s="36"/>
      <c r="IZ312" s="36"/>
      <c r="JA312" s="36"/>
      <c r="JB312" s="36"/>
      <c r="JC312" s="36"/>
      <c r="JD312" s="36"/>
      <c r="JE312" s="36"/>
      <c r="JF312" s="36"/>
      <c r="JG312" s="36"/>
      <c r="JH312" s="36"/>
      <c r="JI312" s="36"/>
      <c r="JJ312" s="36"/>
      <c r="JK312" s="36"/>
      <c r="JL312" s="37"/>
      <c r="JM312" s="44"/>
      <c r="JN312" s="36"/>
      <c r="JO312" s="36"/>
      <c r="JP312" s="36"/>
      <c r="JQ312" s="36"/>
      <c r="JR312" s="36"/>
      <c r="JS312" s="36"/>
      <c r="JT312" s="36"/>
      <c r="JU312" s="36"/>
      <c r="JV312" s="36"/>
      <c r="JW312" s="36"/>
      <c r="JX312" s="36"/>
      <c r="JY312" s="36"/>
      <c r="JZ312" s="36"/>
      <c r="KA312" s="36"/>
      <c r="KB312" s="36"/>
      <c r="KC312" s="37"/>
      <c r="KD312" s="44"/>
      <c r="KE312" s="36"/>
      <c r="KF312" s="36"/>
      <c r="KG312" s="36"/>
      <c r="KH312" s="36"/>
      <c r="KI312" s="36"/>
      <c r="KJ312" s="36"/>
      <c r="KK312" s="36"/>
      <c r="KL312" s="36"/>
      <c r="KM312" s="36"/>
      <c r="KN312" s="36"/>
      <c r="KO312" s="36"/>
      <c r="KP312" s="36"/>
      <c r="KQ312" s="36"/>
      <c r="KR312" s="36"/>
      <c r="KS312" s="36"/>
      <c r="KT312" s="37"/>
      <c r="KU312" s="36"/>
    </row>
    <row r="313" ht="15.0" customHeight="1">
      <c r="A313" s="44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7"/>
      <c r="R313" s="44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7"/>
      <c r="AI313" s="44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  <c r="AU313" s="36"/>
      <c r="AV313" s="36"/>
      <c r="AW313" s="36"/>
      <c r="AX313" s="36"/>
      <c r="AY313" s="37"/>
      <c r="AZ313" s="44"/>
      <c r="BA313" s="36"/>
      <c r="BB313" s="36"/>
      <c r="BC313" s="36"/>
      <c r="BD313" s="36"/>
      <c r="BE313" s="36"/>
      <c r="BF313" s="36"/>
      <c r="BG313" s="36"/>
      <c r="BH313" s="36"/>
      <c r="BI313" s="36"/>
      <c r="BJ313" s="36"/>
      <c r="BK313" s="36"/>
      <c r="BL313" s="36"/>
      <c r="BM313" s="36"/>
      <c r="BN313" s="36"/>
      <c r="BO313" s="36"/>
      <c r="BP313" s="37"/>
      <c r="BQ313" s="44"/>
      <c r="BR313" s="36"/>
      <c r="BS313" s="36"/>
      <c r="BT313" s="36"/>
      <c r="BU313" s="36"/>
      <c r="BV313" s="36"/>
      <c r="BW313" s="36"/>
      <c r="BX313" s="36"/>
      <c r="BY313" s="36"/>
      <c r="BZ313" s="36"/>
      <c r="CA313" s="36"/>
      <c r="CB313" s="36"/>
      <c r="CC313" s="36"/>
      <c r="CD313" s="36"/>
      <c r="CE313" s="36"/>
      <c r="CF313" s="36"/>
      <c r="CG313" s="37"/>
      <c r="CH313" s="44"/>
      <c r="CI313" s="36"/>
      <c r="CJ313" s="36"/>
      <c r="CK313" s="36"/>
      <c r="CL313" s="36"/>
      <c r="CM313" s="36"/>
      <c r="CN313" s="36"/>
      <c r="CO313" s="36"/>
      <c r="CP313" s="36"/>
      <c r="CQ313" s="36"/>
      <c r="CR313" s="36"/>
      <c r="CS313" s="36"/>
      <c r="CT313" s="36"/>
      <c r="CU313" s="36"/>
      <c r="CV313" s="36"/>
      <c r="CW313" s="36"/>
      <c r="CX313" s="37"/>
      <c r="CY313" s="44"/>
      <c r="CZ313" s="36"/>
      <c r="DA313" s="36"/>
      <c r="DB313" s="36"/>
      <c r="DC313" s="36"/>
      <c r="DD313" s="36"/>
      <c r="DE313" s="36"/>
      <c r="DF313" s="36"/>
      <c r="DG313" s="36"/>
      <c r="DH313" s="36"/>
      <c r="DI313" s="36"/>
      <c r="DJ313" s="36"/>
      <c r="DK313" s="36"/>
      <c r="DL313" s="36"/>
      <c r="DM313" s="36"/>
      <c r="DN313" s="36"/>
      <c r="DO313" s="37"/>
      <c r="DP313" s="44"/>
      <c r="DQ313" s="36"/>
      <c r="DR313" s="36"/>
      <c r="DS313" s="36"/>
      <c r="DT313" s="36"/>
      <c r="DU313" s="36"/>
      <c r="DV313" s="36"/>
      <c r="DW313" s="36"/>
      <c r="DX313" s="36"/>
      <c r="DY313" s="36"/>
      <c r="DZ313" s="36"/>
      <c r="EA313" s="36"/>
      <c r="EB313" s="36"/>
      <c r="EC313" s="36"/>
      <c r="ED313" s="36"/>
      <c r="EE313" s="36"/>
      <c r="EF313" s="37"/>
      <c r="EG313" s="44"/>
      <c r="EH313" s="36"/>
      <c r="EI313" s="36"/>
      <c r="EJ313" s="36"/>
      <c r="EK313" s="36"/>
      <c r="EL313" s="36"/>
      <c r="EM313" s="36"/>
      <c r="EN313" s="36"/>
      <c r="EO313" s="36"/>
      <c r="EP313" s="36"/>
      <c r="EQ313" s="36"/>
      <c r="ER313" s="36"/>
      <c r="ES313" s="36"/>
      <c r="ET313" s="36"/>
      <c r="EU313" s="36"/>
      <c r="EV313" s="36"/>
      <c r="EW313" s="37"/>
      <c r="EX313" s="44"/>
      <c r="EY313" s="36"/>
      <c r="EZ313" s="36"/>
      <c r="FA313" s="36"/>
      <c r="FB313" s="36"/>
      <c r="FC313" s="36"/>
      <c r="FD313" s="36"/>
      <c r="FE313" s="36"/>
      <c r="FF313" s="36"/>
      <c r="FG313" s="36"/>
      <c r="FH313" s="36"/>
      <c r="FI313" s="36"/>
      <c r="FJ313" s="36"/>
      <c r="FK313" s="36"/>
      <c r="FL313" s="36"/>
      <c r="FM313" s="36"/>
      <c r="FN313" s="37"/>
      <c r="FO313" s="44"/>
      <c r="FP313" s="36"/>
      <c r="FQ313" s="36"/>
      <c r="FR313" s="36"/>
      <c r="FS313" s="36"/>
      <c r="FT313" s="36"/>
      <c r="FU313" s="36"/>
      <c r="FV313" s="36"/>
      <c r="FW313" s="36"/>
      <c r="FX313" s="36"/>
      <c r="FY313" s="36"/>
      <c r="FZ313" s="36"/>
      <c r="GA313" s="36"/>
      <c r="GB313" s="36"/>
      <c r="GC313" s="36"/>
      <c r="GD313" s="36"/>
      <c r="GE313" s="37"/>
      <c r="GF313" s="44"/>
      <c r="GG313" s="36"/>
      <c r="GH313" s="36"/>
      <c r="GI313" s="36"/>
      <c r="GJ313" s="36"/>
      <c r="GK313" s="36"/>
      <c r="GL313" s="36"/>
      <c r="GM313" s="36"/>
      <c r="GN313" s="36"/>
      <c r="GO313" s="36"/>
      <c r="GP313" s="36"/>
      <c r="GQ313" s="36"/>
      <c r="GR313" s="36"/>
      <c r="GS313" s="36"/>
      <c r="GT313" s="36"/>
      <c r="GU313" s="36"/>
      <c r="GV313" s="37"/>
      <c r="GW313" s="44"/>
      <c r="GX313" s="36"/>
      <c r="GY313" s="36"/>
      <c r="GZ313" s="36"/>
      <c r="HA313" s="36"/>
      <c r="HB313" s="36"/>
      <c r="HC313" s="36"/>
      <c r="HD313" s="36"/>
      <c r="HE313" s="36"/>
      <c r="HF313" s="36"/>
      <c r="HG313" s="36"/>
      <c r="HH313" s="36"/>
      <c r="HI313" s="36"/>
      <c r="HJ313" s="36"/>
      <c r="HK313" s="36"/>
      <c r="HL313" s="36"/>
      <c r="HM313" s="37"/>
      <c r="HN313" s="44"/>
      <c r="HO313" s="36"/>
      <c r="HP313" s="36"/>
      <c r="HQ313" s="36"/>
      <c r="HR313" s="36"/>
      <c r="HS313" s="36"/>
      <c r="HT313" s="36"/>
      <c r="HU313" s="36"/>
      <c r="HV313" s="36"/>
      <c r="HW313" s="36"/>
      <c r="HX313" s="36"/>
      <c r="HY313" s="36"/>
      <c r="HZ313" s="36"/>
      <c r="IA313" s="36"/>
      <c r="IB313" s="36"/>
      <c r="IC313" s="36"/>
      <c r="ID313" s="37"/>
      <c r="IE313" s="44"/>
      <c r="IF313" s="36"/>
      <c r="IG313" s="36"/>
      <c r="IH313" s="36"/>
      <c r="II313" s="36"/>
      <c r="IJ313" s="36"/>
      <c r="IK313" s="36"/>
      <c r="IL313" s="36"/>
      <c r="IM313" s="36"/>
      <c r="IN313" s="36"/>
      <c r="IO313" s="36"/>
      <c r="IP313" s="36"/>
      <c r="IQ313" s="36"/>
      <c r="IR313" s="36"/>
      <c r="IS313" s="36"/>
      <c r="IT313" s="36"/>
      <c r="IU313" s="37"/>
      <c r="IV313" s="44"/>
      <c r="IW313" s="36"/>
      <c r="IX313" s="36"/>
      <c r="IY313" s="36"/>
      <c r="IZ313" s="36"/>
      <c r="JA313" s="36"/>
      <c r="JB313" s="36"/>
      <c r="JC313" s="36"/>
      <c r="JD313" s="36"/>
      <c r="JE313" s="36"/>
      <c r="JF313" s="36"/>
      <c r="JG313" s="36"/>
      <c r="JH313" s="36"/>
      <c r="JI313" s="36"/>
      <c r="JJ313" s="36"/>
      <c r="JK313" s="36"/>
      <c r="JL313" s="37"/>
      <c r="JM313" s="44"/>
      <c r="JN313" s="36"/>
      <c r="JO313" s="36"/>
      <c r="JP313" s="36"/>
      <c r="JQ313" s="36"/>
      <c r="JR313" s="36"/>
      <c r="JS313" s="36"/>
      <c r="JT313" s="36"/>
      <c r="JU313" s="36"/>
      <c r="JV313" s="36"/>
      <c r="JW313" s="36"/>
      <c r="JX313" s="36"/>
      <c r="JY313" s="36"/>
      <c r="JZ313" s="36"/>
      <c r="KA313" s="36"/>
      <c r="KB313" s="36"/>
      <c r="KC313" s="37"/>
      <c r="KD313" s="44"/>
      <c r="KE313" s="36"/>
      <c r="KF313" s="36"/>
      <c r="KG313" s="36"/>
      <c r="KH313" s="36"/>
      <c r="KI313" s="36"/>
      <c r="KJ313" s="36"/>
      <c r="KK313" s="36"/>
      <c r="KL313" s="36"/>
      <c r="KM313" s="36"/>
      <c r="KN313" s="36"/>
      <c r="KO313" s="36"/>
      <c r="KP313" s="36"/>
      <c r="KQ313" s="36"/>
      <c r="KR313" s="36"/>
      <c r="KS313" s="36"/>
      <c r="KT313" s="37"/>
      <c r="KU313" s="36"/>
    </row>
    <row r="314" ht="15.0" customHeight="1">
      <c r="A314" s="44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7"/>
      <c r="R314" s="44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7"/>
      <c r="AI314" s="44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  <c r="AU314" s="36"/>
      <c r="AV314" s="36"/>
      <c r="AW314" s="36"/>
      <c r="AX314" s="36"/>
      <c r="AY314" s="37"/>
      <c r="AZ314" s="44"/>
      <c r="BA314" s="36"/>
      <c r="BB314" s="36"/>
      <c r="BC314" s="36"/>
      <c r="BD314" s="36"/>
      <c r="BE314" s="36"/>
      <c r="BF314" s="36"/>
      <c r="BG314" s="36"/>
      <c r="BH314" s="36"/>
      <c r="BI314" s="36"/>
      <c r="BJ314" s="36"/>
      <c r="BK314" s="36"/>
      <c r="BL314" s="36"/>
      <c r="BM314" s="36"/>
      <c r="BN314" s="36"/>
      <c r="BO314" s="36"/>
      <c r="BP314" s="37"/>
      <c r="BQ314" s="44"/>
      <c r="BR314" s="36"/>
      <c r="BS314" s="36"/>
      <c r="BT314" s="36"/>
      <c r="BU314" s="36"/>
      <c r="BV314" s="36"/>
      <c r="BW314" s="36"/>
      <c r="BX314" s="36"/>
      <c r="BY314" s="36"/>
      <c r="BZ314" s="36"/>
      <c r="CA314" s="36"/>
      <c r="CB314" s="36"/>
      <c r="CC314" s="36"/>
      <c r="CD314" s="36"/>
      <c r="CE314" s="36"/>
      <c r="CF314" s="36"/>
      <c r="CG314" s="37"/>
      <c r="CH314" s="44"/>
      <c r="CI314" s="36"/>
      <c r="CJ314" s="36"/>
      <c r="CK314" s="36"/>
      <c r="CL314" s="36"/>
      <c r="CM314" s="36"/>
      <c r="CN314" s="36"/>
      <c r="CO314" s="36"/>
      <c r="CP314" s="36"/>
      <c r="CQ314" s="36"/>
      <c r="CR314" s="36"/>
      <c r="CS314" s="36"/>
      <c r="CT314" s="36"/>
      <c r="CU314" s="36"/>
      <c r="CV314" s="36"/>
      <c r="CW314" s="36"/>
      <c r="CX314" s="37"/>
      <c r="CY314" s="44"/>
      <c r="CZ314" s="36"/>
      <c r="DA314" s="36"/>
      <c r="DB314" s="36"/>
      <c r="DC314" s="36"/>
      <c r="DD314" s="36"/>
      <c r="DE314" s="36"/>
      <c r="DF314" s="36"/>
      <c r="DG314" s="36"/>
      <c r="DH314" s="36"/>
      <c r="DI314" s="36"/>
      <c r="DJ314" s="36"/>
      <c r="DK314" s="36"/>
      <c r="DL314" s="36"/>
      <c r="DM314" s="36"/>
      <c r="DN314" s="36"/>
      <c r="DO314" s="37"/>
      <c r="DP314" s="44"/>
      <c r="DQ314" s="36"/>
      <c r="DR314" s="36"/>
      <c r="DS314" s="36"/>
      <c r="DT314" s="36"/>
      <c r="DU314" s="36"/>
      <c r="DV314" s="36"/>
      <c r="DW314" s="36"/>
      <c r="DX314" s="36"/>
      <c r="DY314" s="36"/>
      <c r="DZ314" s="36"/>
      <c r="EA314" s="36"/>
      <c r="EB314" s="36"/>
      <c r="EC314" s="36"/>
      <c r="ED314" s="36"/>
      <c r="EE314" s="36"/>
      <c r="EF314" s="37"/>
      <c r="EG314" s="44"/>
      <c r="EH314" s="36"/>
      <c r="EI314" s="36"/>
      <c r="EJ314" s="36"/>
      <c r="EK314" s="36"/>
      <c r="EL314" s="36"/>
      <c r="EM314" s="36"/>
      <c r="EN314" s="36"/>
      <c r="EO314" s="36"/>
      <c r="EP314" s="36"/>
      <c r="EQ314" s="36"/>
      <c r="ER314" s="36"/>
      <c r="ES314" s="36"/>
      <c r="ET314" s="36"/>
      <c r="EU314" s="36"/>
      <c r="EV314" s="36"/>
      <c r="EW314" s="37"/>
      <c r="EX314" s="44"/>
      <c r="EY314" s="36"/>
      <c r="EZ314" s="36"/>
      <c r="FA314" s="36"/>
      <c r="FB314" s="36"/>
      <c r="FC314" s="36"/>
      <c r="FD314" s="36"/>
      <c r="FE314" s="36"/>
      <c r="FF314" s="36"/>
      <c r="FG314" s="36"/>
      <c r="FH314" s="36"/>
      <c r="FI314" s="36"/>
      <c r="FJ314" s="36"/>
      <c r="FK314" s="36"/>
      <c r="FL314" s="36"/>
      <c r="FM314" s="36"/>
      <c r="FN314" s="37"/>
      <c r="FO314" s="44"/>
      <c r="FP314" s="36"/>
      <c r="FQ314" s="36"/>
      <c r="FR314" s="36"/>
      <c r="FS314" s="36"/>
      <c r="FT314" s="36"/>
      <c r="FU314" s="36"/>
      <c r="FV314" s="36"/>
      <c r="FW314" s="36"/>
      <c r="FX314" s="36"/>
      <c r="FY314" s="36"/>
      <c r="FZ314" s="36"/>
      <c r="GA314" s="36"/>
      <c r="GB314" s="36"/>
      <c r="GC314" s="36"/>
      <c r="GD314" s="36"/>
      <c r="GE314" s="37"/>
      <c r="GF314" s="44"/>
      <c r="GG314" s="36"/>
      <c r="GH314" s="36"/>
      <c r="GI314" s="36"/>
      <c r="GJ314" s="36"/>
      <c r="GK314" s="36"/>
      <c r="GL314" s="36"/>
      <c r="GM314" s="36"/>
      <c r="GN314" s="36"/>
      <c r="GO314" s="36"/>
      <c r="GP314" s="36"/>
      <c r="GQ314" s="36"/>
      <c r="GR314" s="36"/>
      <c r="GS314" s="36"/>
      <c r="GT314" s="36"/>
      <c r="GU314" s="36"/>
      <c r="GV314" s="37"/>
      <c r="GW314" s="44"/>
      <c r="GX314" s="36"/>
      <c r="GY314" s="36"/>
      <c r="GZ314" s="36"/>
      <c r="HA314" s="36"/>
      <c r="HB314" s="36"/>
      <c r="HC314" s="36"/>
      <c r="HD314" s="36"/>
      <c r="HE314" s="36"/>
      <c r="HF314" s="36"/>
      <c r="HG314" s="36"/>
      <c r="HH314" s="36"/>
      <c r="HI314" s="36"/>
      <c r="HJ314" s="36"/>
      <c r="HK314" s="36"/>
      <c r="HL314" s="36"/>
      <c r="HM314" s="37"/>
      <c r="HN314" s="44"/>
      <c r="HO314" s="36"/>
      <c r="HP314" s="36"/>
      <c r="HQ314" s="36"/>
      <c r="HR314" s="36"/>
      <c r="HS314" s="36"/>
      <c r="HT314" s="36"/>
      <c r="HU314" s="36"/>
      <c r="HV314" s="36"/>
      <c r="HW314" s="36"/>
      <c r="HX314" s="36"/>
      <c r="HY314" s="36"/>
      <c r="HZ314" s="36"/>
      <c r="IA314" s="36"/>
      <c r="IB314" s="36"/>
      <c r="IC314" s="36"/>
      <c r="ID314" s="37"/>
      <c r="IE314" s="44"/>
      <c r="IF314" s="36"/>
      <c r="IG314" s="36"/>
      <c r="IH314" s="36"/>
      <c r="II314" s="36"/>
      <c r="IJ314" s="36"/>
      <c r="IK314" s="36"/>
      <c r="IL314" s="36"/>
      <c r="IM314" s="36"/>
      <c r="IN314" s="36"/>
      <c r="IO314" s="36"/>
      <c r="IP314" s="36"/>
      <c r="IQ314" s="36"/>
      <c r="IR314" s="36"/>
      <c r="IS314" s="36"/>
      <c r="IT314" s="36"/>
      <c r="IU314" s="37"/>
      <c r="IV314" s="44"/>
      <c r="IW314" s="36"/>
      <c r="IX314" s="36"/>
      <c r="IY314" s="36"/>
      <c r="IZ314" s="36"/>
      <c r="JA314" s="36"/>
      <c r="JB314" s="36"/>
      <c r="JC314" s="36"/>
      <c r="JD314" s="36"/>
      <c r="JE314" s="36"/>
      <c r="JF314" s="36"/>
      <c r="JG314" s="36"/>
      <c r="JH314" s="36"/>
      <c r="JI314" s="36"/>
      <c r="JJ314" s="36"/>
      <c r="JK314" s="36"/>
      <c r="JL314" s="37"/>
      <c r="JM314" s="44"/>
      <c r="JN314" s="36"/>
      <c r="JO314" s="36"/>
      <c r="JP314" s="36"/>
      <c r="JQ314" s="36"/>
      <c r="JR314" s="36"/>
      <c r="JS314" s="36"/>
      <c r="JT314" s="36"/>
      <c r="JU314" s="36"/>
      <c r="JV314" s="36"/>
      <c r="JW314" s="36"/>
      <c r="JX314" s="36"/>
      <c r="JY314" s="36"/>
      <c r="JZ314" s="36"/>
      <c r="KA314" s="36"/>
      <c r="KB314" s="36"/>
      <c r="KC314" s="37"/>
      <c r="KD314" s="44"/>
      <c r="KE314" s="36"/>
      <c r="KF314" s="36"/>
      <c r="KG314" s="36"/>
      <c r="KH314" s="36"/>
      <c r="KI314" s="36"/>
      <c r="KJ314" s="36"/>
      <c r="KK314" s="36"/>
      <c r="KL314" s="36"/>
      <c r="KM314" s="36"/>
      <c r="KN314" s="36"/>
      <c r="KO314" s="36"/>
      <c r="KP314" s="36"/>
      <c r="KQ314" s="36"/>
      <c r="KR314" s="36"/>
      <c r="KS314" s="36"/>
      <c r="KT314" s="37"/>
      <c r="KU314" s="36"/>
    </row>
    <row r="315" ht="15.0" customHeight="1">
      <c r="A315" s="44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7"/>
      <c r="R315" s="44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7"/>
      <c r="AI315" s="44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  <c r="AU315" s="36"/>
      <c r="AV315" s="36"/>
      <c r="AW315" s="36"/>
      <c r="AX315" s="36"/>
      <c r="AY315" s="37"/>
      <c r="AZ315" s="44"/>
      <c r="BA315" s="36"/>
      <c r="BB315" s="36"/>
      <c r="BC315" s="36"/>
      <c r="BD315" s="36"/>
      <c r="BE315" s="36"/>
      <c r="BF315" s="36"/>
      <c r="BG315" s="36"/>
      <c r="BH315" s="36"/>
      <c r="BI315" s="36"/>
      <c r="BJ315" s="36"/>
      <c r="BK315" s="36"/>
      <c r="BL315" s="36"/>
      <c r="BM315" s="36"/>
      <c r="BN315" s="36"/>
      <c r="BO315" s="36"/>
      <c r="BP315" s="37"/>
      <c r="BQ315" s="44"/>
      <c r="BR315" s="36"/>
      <c r="BS315" s="36"/>
      <c r="BT315" s="36"/>
      <c r="BU315" s="36"/>
      <c r="BV315" s="36"/>
      <c r="BW315" s="36"/>
      <c r="BX315" s="36"/>
      <c r="BY315" s="36"/>
      <c r="BZ315" s="36"/>
      <c r="CA315" s="36"/>
      <c r="CB315" s="36"/>
      <c r="CC315" s="36"/>
      <c r="CD315" s="36"/>
      <c r="CE315" s="36"/>
      <c r="CF315" s="36"/>
      <c r="CG315" s="37"/>
      <c r="CH315" s="44"/>
      <c r="CI315" s="36"/>
      <c r="CJ315" s="36"/>
      <c r="CK315" s="36"/>
      <c r="CL315" s="36"/>
      <c r="CM315" s="36"/>
      <c r="CN315" s="36"/>
      <c r="CO315" s="36"/>
      <c r="CP315" s="36"/>
      <c r="CQ315" s="36"/>
      <c r="CR315" s="36"/>
      <c r="CS315" s="36"/>
      <c r="CT315" s="36"/>
      <c r="CU315" s="36"/>
      <c r="CV315" s="36"/>
      <c r="CW315" s="36"/>
      <c r="CX315" s="37"/>
      <c r="CY315" s="44"/>
      <c r="CZ315" s="36"/>
      <c r="DA315" s="36"/>
      <c r="DB315" s="36"/>
      <c r="DC315" s="36"/>
      <c r="DD315" s="36"/>
      <c r="DE315" s="36"/>
      <c r="DF315" s="36"/>
      <c r="DG315" s="36"/>
      <c r="DH315" s="36"/>
      <c r="DI315" s="36"/>
      <c r="DJ315" s="36"/>
      <c r="DK315" s="36"/>
      <c r="DL315" s="36"/>
      <c r="DM315" s="36"/>
      <c r="DN315" s="36"/>
      <c r="DO315" s="37"/>
      <c r="DP315" s="44"/>
      <c r="DQ315" s="36"/>
      <c r="DR315" s="36"/>
      <c r="DS315" s="36"/>
      <c r="DT315" s="36"/>
      <c r="DU315" s="36"/>
      <c r="DV315" s="36"/>
      <c r="DW315" s="36"/>
      <c r="DX315" s="36"/>
      <c r="DY315" s="36"/>
      <c r="DZ315" s="36"/>
      <c r="EA315" s="36"/>
      <c r="EB315" s="36"/>
      <c r="EC315" s="36"/>
      <c r="ED315" s="36"/>
      <c r="EE315" s="36"/>
      <c r="EF315" s="37"/>
      <c r="EG315" s="44"/>
      <c r="EH315" s="36"/>
      <c r="EI315" s="36"/>
      <c r="EJ315" s="36"/>
      <c r="EK315" s="36"/>
      <c r="EL315" s="36"/>
      <c r="EM315" s="36"/>
      <c r="EN315" s="36"/>
      <c r="EO315" s="36"/>
      <c r="EP315" s="36"/>
      <c r="EQ315" s="36"/>
      <c r="ER315" s="36"/>
      <c r="ES315" s="36"/>
      <c r="ET315" s="36"/>
      <c r="EU315" s="36"/>
      <c r="EV315" s="36"/>
      <c r="EW315" s="37"/>
      <c r="EX315" s="44"/>
      <c r="EY315" s="36"/>
      <c r="EZ315" s="36"/>
      <c r="FA315" s="36"/>
      <c r="FB315" s="36"/>
      <c r="FC315" s="36"/>
      <c r="FD315" s="36"/>
      <c r="FE315" s="36"/>
      <c r="FF315" s="36"/>
      <c r="FG315" s="36"/>
      <c r="FH315" s="36"/>
      <c r="FI315" s="36"/>
      <c r="FJ315" s="36"/>
      <c r="FK315" s="36"/>
      <c r="FL315" s="36"/>
      <c r="FM315" s="36"/>
      <c r="FN315" s="37"/>
      <c r="FO315" s="44"/>
      <c r="FP315" s="36"/>
      <c r="FQ315" s="36"/>
      <c r="FR315" s="36"/>
      <c r="FS315" s="36"/>
      <c r="FT315" s="36"/>
      <c r="FU315" s="36"/>
      <c r="FV315" s="36"/>
      <c r="FW315" s="36"/>
      <c r="FX315" s="36"/>
      <c r="FY315" s="36"/>
      <c r="FZ315" s="36"/>
      <c r="GA315" s="36"/>
      <c r="GB315" s="36"/>
      <c r="GC315" s="36"/>
      <c r="GD315" s="36"/>
      <c r="GE315" s="37"/>
      <c r="GF315" s="44"/>
      <c r="GG315" s="36"/>
      <c r="GH315" s="36"/>
      <c r="GI315" s="36"/>
      <c r="GJ315" s="36"/>
      <c r="GK315" s="36"/>
      <c r="GL315" s="36"/>
      <c r="GM315" s="36"/>
      <c r="GN315" s="36"/>
      <c r="GO315" s="36"/>
      <c r="GP315" s="36"/>
      <c r="GQ315" s="36"/>
      <c r="GR315" s="36"/>
      <c r="GS315" s="36"/>
      <c r="GT315" s="36"/>
      <c r="GU315" s="36"/>
      <c r="GV315" s="37"/>
      <c r="GW315" s="44"/>
      <c r="GX315" s="36"/>
      <c r="GY315" s="36"/>
      <c r="GZ315" s="36"/>
      <c r="HA315" s="36"/>
      <c r="HB315" s="36"/>
      <c r="HC315" s="36"/>
      <c r="HD315" s="36"/>
      <c r="HE315" s="36"/>
      <c r="HF315" s="36"/>
      <c r="HG315" s="36"/>
      <c r="HH315" s="36"/>
      <c r="HI315" s="36"/>
      <c r="HJ315" s="36"/>
      <c r="HK315" s="36"/>
      <c r="HL315" s="36"/>
      <c r="HM315" s="37"/>
      <c r="HN315" s="44"/>
      <c r="HO315" s="36"/>
      <c r="HP315" s="36"/>
      <c r="HQ315" s="36"/>
      <c r="HR315" s="36"/>
      <c r="HS315" s="36"/>
      <c r="HT315" s="36"/>
      <c r="HU315" s="36"/>
      <c r="HV315" s="36"/>
      <c r="HW315" s="36"/>
      <c r="HX315" s="36"/>
      <c r="HY315" s="36"/>
      <c r="HZ315" s="36"/>
      <c r="IA315" s="36"/>
      <c r="IB315" s="36"/>
      <c r="IC315" s="36"/>
      <c r="ID315" s="37"/>
      <c r="IE315" s="44"/>
      <c r="IF315" s="36"/>
      <c r="IG315" s="36"/>
      <c r="IH315" s="36"/>
      <c r="II315" s="36"/>
      <c r="IJ315" s="36"/>
      <c r="IK315" s="36"/>
      <c r="IL315" s="36"/>
      <c r="IM315" s="36"/>
      <c r="IN315" s="36"/>
      <c r="IO315" s="36"/>
      <c r="IP315" s="36"/>
      <c r="IQ315" s="36"/>
      <c r="IR315" s="36"/>
      <c r="IS315" s="36"/>
      <c r="IT315" s="36"/>
      <c r="IU315" s="37"/>
      <c r="IV315" s="44"/>
      <c r="IW315" s="36"/>
      <c r="IX315" s="36"/>
      <c r="IY315" s="36"/>
      <c r="IZ315" s="36"/>
      <c r="JA315" s="36"/>
      <c r="JB315" s="36"/>
      <c r="JC315" s="36"/>
      <c r="JD315" s="36"/>
      <c r="JE315" s="36"/>
      <c r="JF315" s="36"/>
      <c r="JG315" s="36"/>
      <c r="JH315" s="36"/>
      <c r="JI315" s="36"/>
      <c r="JJ315" s="36"/>
      <c r="JK315" s="36"/>
      <c r="JL315" s="37"/>
      <c r="JM315" s="44"/>
      <c r="JN315" s="36"/>
      <c r="JO315" s="36"/>
      <c r="JP315" s="36"/>
      <c r="JQ315" s="36"/>
      <c r="JR315" s="36"/>
      <c r="JS315" s="36"/>
      <c r="JT315" s="36"/>
      <c r="JU315" s="36"/>
      <c r="JV315" s="36"/>
      <c r="JW315" s="36"/>
      <c r="JX315" s="36"/>
      <c r="JY315" s="36"/>
      <c r="JZ315" s="36"/>
      <c r="KA315" s="36"/>
      <c r="KB315" s="36"/>
      <c r="KC315" s="37"/>
      <c r="KD315" s="44"/>
      <c r="KE315" s="36"/>
      <c r="KF315" s="36"/>
      <c r="KG315" s="36"/>
      <c r="KH315" s="36"/>
      <c r="KI315" s="36"/>
      <c r="KJ315" s="36"/>
      <c r="KK315" s="36"/>
      <c r="KL315" s="36"/>
      <c r="KM315" s="36"/>
      <c r="KN315" s="36"/>
      <c r="KO315" s="36"/>
      <c r="KP315" s="36"/>
      <c r="KQ315" s="36"/>
      <c r="KR315" s="36"/>
      <c r="KS315" s="36"/>
      <c r="KT315" s="37"/>
      <c r="KU315" s="36"/>
    </row>
    <row r="316" ht="15.0" customHeight="1">
      <c r="A316" s="44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7"/>
      <c r="R316" s="44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7"/>
      <c r="AI316" s="44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  <c r="AU316" s="36"/>
      <c r="AV316" s="36"/>
      <c r="AW316" s="36"/>
      <c r="AX316" s="36"/>
      <c r="AY316" s="37"/>
      <c r="AZ316" s="44"/>
      <c r="BA316" s="36"/>
      <c r="BB316" s="36"/>
      <c r="BC316" s="36"/>
      <c r="BD316" s="36"/>
      <c r="BE316" s="36"/>
      <c r="BF316" s="36"/>
      <c r="BG316" s="36"/>
      <c r="BH316" s="36"/>
      <c r="BI316" s="36"/>
      <c r="BJ316" s="36"/>
      <c r="BK316" s="36"/>
      <c r="BL316" s="36"/>
      <c r="BM316" s="36"/>
      <c r="BN316" s="36"/>
      <c r="BO316" s="36"/>
      <c r="BP316" s="37"/>
      <c r="BQ316" s="44"/>
      <c r="BR316" s="36"/>
      <c r="BS316" s="36"/>
      <c r="BT316" s="36"/>
      <c r="BU316" s="36"/>
      <c r="BV316" s="36"/>
      <c r="BW316" s="36"/>
      <c r="BX316" s="36"/>
      <c r="BY316" s="36"/>
      <c r="BZ316" s="36"/>
      <c r="CA316" s="36"/>
      <c r="CB316" s="36"/>
      <c r="CC316" s="36"/>
      <c r="CD316" s="36"/>
      <c r="CE316" s="36"/>
      <c r="CF316" s="36"/>
      <c r="CG316" s="37"/>
      <c r="CH316" s="44"/>
      <c r="CI316" s="36"/>
      <c r="CJ316" s="36"/>
      <c r="CK316" s="36"/>
      <c r="CL316" s="36"/>
      <c r="CM316" s="36"/>
      <c r="CN316" s="36"/>
      <c r="CO316" s="36"/>
      <c r="CP316" s="36"/>
      <c r="CQ316" s="36"/>
      <c r="CR316" s="36"/>
      <c r="CS316" s="36"/>
      <c r="CT316" s="36"/>
      <c r="CU316" s="36"/>
      <c r="CV316" s="36"/>
      <c r="CW316" s="36"/>
      <c r="CX316" s="37"/>
      <c r="CY316" s="44"/>
      <c r="CZ316" s="36"/>
      <c r="DA316" s="36"/>
      <c r="DB316" s="36"/>
      <c r="DC316" s="36"/>
      <c r="DD316" s="36"/>
      <c r="DE316" s="36"/>
      <c r="DF316" s="36"/>
      <c r="DG316" s="36"/>
      <c r="DH316" s="36"/>
      <c r="DI316" s="36"/>
      <c r="DJ316" s="36"/>
      <c r="DK316" s="36"/>
      <c r="DL316" s="36"/>
      <c r="DM316" s="36"/>
      <c r="DN316" s="36"/>
      <c r="DO316" s="37"/>
      <c r="DP316" s="44"/>
      <c r="DQ316" s="36"/>
      <c r="DR316" s="36"/>
      <c r="DS316" s="36"/>
      <c r="DT316" s="36"/>
      <c r="DU316" s="36"/>
      <c r="DV316" s="36"/>
      <c r="DW316" s="36"/>
      <c r="DX316" s="36"/>
      <c r="DY316" s="36"/>
      <c r="DZ316" s="36"/>
      <c r="EA316" s="36"/>
      <c r="EB316" s="36"/>
      <c r="EC316" s="36"/>
      <c r="ED316" s="36"/>
      <c r="EE316" s="36"/>
      <c r="EF316" s="37"/>
      <c r="EG316" s="44"/>
      <c r="EH316" s="36"/>
      <c r="EI316" s="36"/>
      <c r="EJ316" s="36"/>
      <c r="EK316" s="36"/>
      <c r="EL316" s="36"/>
      <c r="EM316" s="36"/>
      <c r="EN316" s="36"/>
      <c r="EO316" s="36"/>
      <c r="EP316" s="36"/>
      <c r="EQ316" s="36"/>
      <c r="ER316" s="36"/>
      <c r="ES316" s="36"/>
      <c r="ET316" s="36"/>
      <c r="EU316" s="36"/>
      <c r="EV316" s="36"/>
      <c r="EW316" s="37"/>
      <c r="EX316" s="44"/>
      <c r="EY316" s="36"/>
      <c r="EZ316" s="36"/>
      <c r="FA316" s="36"/>
      <c r="FB316" s="36"/>
      <c r="FC316" s="36"/>
      <c r="FD316" s="36"/>
      <c r="FE316" s="36"/>
      <c r="FF316" s="36"/>
      <c r="FG316" s="36"/>
      <c r="FH316" s="36"/>
      <c r="FI316" s="36"/>
      <c r="FJ316" s="36"/>
      <c r="FK316" s="36"/>
      <c r="FL316" s="36"/>
      <c r="FM316" s="36"/>
      <c r="FN316" s="37"/>
      <c r="FO316" s="44"/>
      <c r="FP316" s="36"/>
      <c r="FQ316" s="36"/>
      <c r="FR316" s="36"/>
      <c r="FS316" s="36"/>
      <c r="FT316" s="36"/>
      <c r="FU316" s="36"/>
      <c r="FV316" s="36"/>
      <c r="FW316" s="36"/>
      <c r="FX316" s="36"/>
      <c r="FY316" s="36"/>
      <c r="FZ316" s="36"/>
      <c r="GA316" s="36"/>
      <c r="GB316" s="36"/>
      <c r="GC316" s="36"/>
      <c r="GD316" s="36"/>
      <c r="GE316" s="37"/>
      <c r="GF316" s="44"/>
      <c r="GG316" s="36"/>
      <c r="GH316" s="36"/>
      <c r="GI316" s="36"/>
      <c r="GJ316" s="36"/>
      <c r="GK316" s="36"/>
      <c r="GL316" s="36"/>
      <c r="GM316" s="36"/>
      <c r="GN316" s="36"/>
      <c r="GO316" s="36"/>
      <c r="GP316" s="36"/>
      <c r="GQ316" s="36"/>
      <c r="GR316" s="36"/>
      <c r="GS316" s="36"/>
      <c r="GT316" s="36"/>
      <c r="GU316" s="36"/>
      <c r="GV316" s="37"/>
      <c r="GW316" s="44"/>
      <c r="GX316" s="36"/>
      <c r="GY316" s="36"/>
      <c r="GZ316" s="36"/>
      <c r="HA316" s="36"/>
      <c r="HB316" s="36"/>
      <c r="HC316" s="36"/>
      <c r="HD316" s="36"/>
      <c r="HE316" s="36"/>
      <c r="HF316" s="36"/>
      <c r="HG316" s="36"/>
      <c r="HH316" s="36"/>
      <c r="HI316" s="36"/>
      <c r="HJ316" s="36"/>
      <c r="HK316" s="36"/>
      <c r="HL316" s="36"/>
      <c r="HM316" s="37"/>
      <c r="HN316" s="44"/>
      <c r="HO316" s="36"/>
      <c r="HP316" s="36"/>
      <c r="HQ316" s="36"/>
      <c r="HR316" s="36"/>
      <c r="HS316" s="36"/>
      <c r="HT316" s="36"/>
      <c r="HU316" s="36"/>
      <c r="HV316" s="36"/>
      <c r="HW316" s="36"/>
      <c r="HX316" s="36"/>
      <c r="HY316" s="36"/>
      <c r="HZ316" s="36"/>
      <c r="IA316" s="36"/>
      <c r="IB316" s="36"/>
      <c r="IC316" s="36"/>
      <c r="ID316" s="37"/>
      <c r="IE316" s="44"/>
      <c r="IF316" s="36"/>
      <c r="IG316" s="36"/>
      <c r="IH316" s="36"/>
      <c r="II316" s="36"/>
      <c r="IJ316" s="36"/>
      <c r="IK316" s="36"/>
      <c r="IL316" s="36"/>
      <c r="IM316" s="36"/>
      <c r="IN316" s="36"/>
      <c r="IO316" s="36"/>
      <c r="IP316" s="36"/>
      <c r="IQ316" s="36"/>
      <c r="IR316" s="36"/>
      <c r="IS316" s="36"/>
      <c r="IT316" s="36"/>
      <c r="IU316" s="37"/>
      <c r="IV316" s="44"/>
      <c r="IW316" s="36"/>
      <c r="IX316" s="36"/>
      <c r="IY316" s="36"/>
      <c r="IZ316" s="36"/>
      <c r="JA316" s="36"/>
      <c r="JB316" s="36"/>
      <c r="JC316" s="36"/>
      <c r="JD316" s="36"/>
      <c r="JE316" s="36"/>
      <c r="JF316" s="36"/>
      <c r="JG316" s="36"/>
      <c r="JH316" s="36"/>
      <c r="JI316" s="36"/>
      <c r="JJ316" s="36"/>
      <c r="JK316" s="36"/>
      <c r="JL316" s="37"/>
      <c r="JM316" s="44"/>
      <c r="JN316" s="36"/>
      <c r="JO316" s="36"/>
      <c r="JP316" s="36"/>
      <c r="JQ316" s="36"/>
      <c r="JR316" s="36"/>
      <c r="JS316" s="36"/>
      <c r="JT316" s="36"/>
      <c r="JU316" s="36"/>
      <c r="JV316" s="36"/>
      <c r="JW316" s="36"/>
      <c r="JX316" s="36"/>
      <c r="JY316" s="36"/>
      <c r="JZ316" s="36"/>
      <c r="KA316" s="36"/>
      <c r="KB316" s="36"/>
      <c r="KC316" s="37"/>
      <c r="KD316" s="44"/>
      <c r="KE316" s="36"/>
      <c r="KF316" s="36"/>
      <c r="KG316" s="36"/>
      <c r="KH316" s="36"/>
      <c r="KI316" s="36"/>
      <c r="KJ316" s="36"/>
      <c r="KK316" s="36"/>
      <c r="KL316" s="36"/>
      <c r="KM316" s="36"/>
      <c r="KN316" s="36"/>
      <c r="KO316" s="36"/>
      <c r="KP316" s="36"/>
      <c r="KQ316" s="36"/>
      <c r="KR316" s="36"/>
      <c r="KS316" s="36"/>
      <c r="KT316" s="37"/>
      <c r="KU316" s="36"/>
    </row>
    <row r="317" ht="15.0" customHeight="1">
      <c r="A317" s="44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7"/>
      <c r="R317" s="44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7"/>
      <c r="AI317" s="44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  <c r="AU317" s="36"/>
      <c r="AV317" s="36"/>
      <c r="AW317" s="36"/>
      <c r="AX317" s="36"/>
      <c r="AY317" s="37"/>
      <c r="AZ317" s="44"/>
      <c r="BA317" s="36"/>
      <c r="BB317" s="36"/>
      <c r="BC317" s="36"/>
      <c r="BD317" s="36"/>
      <c r="BE317" s="36"/>
      <c r="BF317" s="36"/>
      <c r="BG317" s="36"/>
      <c r="BH317" s="36"/>
      <c r="BI317" s="36"/>
      <c r="BJ317" s="36"/>
      <c r="BK317" s="36"/>
      <c r="BL317" s="36"/>
      <c r="BM317" s="36"/>
      <c r="BN317" s="36"/>
      <c r="BO317" s="36"/>
      <c r="BP317" s="37"/>
      <c r="BQ317" s="44"/>
      <c r="BR317" s="36"/>
      <c r="BS317" s="36"/>
      <c r="BT317" s="36"/>
      <c r="BU317" s="36"/>
      <c r="BV317" s="36"/>
      <c r="BW317" s="36"/>
      <c r="BX317" s="36"/>
      <c r="BY317" s="36"/>
      <c r="BZ317" s="36"/>
      <c r="CA317" s="36"/>
      <c r="CB317" s="36"/>
      <c r="CC317" s="36"/>
      <c r="CD317" s="36"/>
      <c r="CE317" s="36"/>
      <c r="CF317" s="36"/>
      <c r="CG317" s="37"/>
      <c r="CH317" s="44"/>
      <c r="CI317" s="36"/>
      <c r="CJ317" s="36"/>
      <c r="CK317" s="36"/>
      <c r="CL317" s="36"/>
      <c r="CM317" s="36"/>
      <c r="CN317" s="36"/>
      <c r="CO317" s="36"/>
      <c r="CP317" s="36"/>
      <c r="CQ317" s="36"/>
      <c r="CR317" s="36"/>
      <c r="CS317" s="36"/>
      <c r="CT317" s="36"/>
      <c r="CU317" s="36"/>
      <c r="CV317" s="36"/>
      <c r="CW317" s="36"/>
      <c r="CX317" s="37"/>
      <c r="CY317" s="44"/>
      <c r="CZ317" s="36"/>
      <c r="DA317" s="36"/>
      <c r="DB317" s="36"/>
      <c r="DC317" s="36"/>
      <c r="DD317" s="36"/>
      <c r="DE317" s="36"/>
      <c r="DF317" s="36"/>
      <c r="DG317" s="36"/>
      <c r="DH317" s="36"/>
      <c r="DI317" s="36"/>
      <c r="DJ317" s="36"/>
      <c r="DK317" s="36"/>
      <c r="DL317" s="36"/>
      <c r="DM317" s="36"/>
      <c r="DN317" s="36"/>
      <c r="DO317" s="37"/>
      <c r="DP317" s="44"/>
      <c r="DQ317" s="36"/>
      <c r="DR317" s="36"/>
      <c r="DS317" s="36"/>
      <c r="DT317" s="36"/>
      <c r="DU317" s="36"/>
      <c r="DV317" s="36"/>
      <c r="DW317" s="36"/>
      <c r="DX317" s="36"/>
      <c r="DY317" s="36"/>
      <c r="DZ317" s="36"/>
      <c r="EA317" s="36"/>
      <c r="EB317" s="36"/>
      <c r="EC317" s="36"/>
      <c r="ED317" s="36"/>
      <c r="EE317" s="36"/>
      <c r="EF317" s="37"/>
      <c r="EG317" s="44"/>
      <c r="EH317" s="36"/>
      <c r="EI317" s="36"/>
      <c r="EJ317" s="36"/>
      <c r="EK317" s="36"/>
      <c r="EL317" s="36"/>
      <c r="EM317" s="36"/>
      <c r="EN317" s="36"/>
      <c r="EO317" s="36"/>
      <c r="EP317" s="36"/>
      <c r="EQ317" s="36"/>
      <c r="ER317" s="36"/>
      <c r="ES317" s="36"/>
      <c r="ET317" s="36"/>
      <c r="EU317" s="36"/>
      <c r="EV317" s="36"/>
      <c r="EW317" s="37"/>
      <c r="EX317" s="44"/>
      <c r="EY317" s="36"/>
      <c r="EZ317" s="36"/>
      <c r="FA317" s="36"/>
      <c r="FB317" s="36"/>
      <c r="FC317" s="36"/>
      <c r="FD317" s="36"/>
      <c r="FE317" s="36"/>
      <c r="FF317" s="36"/>
      <c r="FG317" s="36"/>
      <c r="FH317" s="36"/>
      <c r="FI317" s="36"/>
      <c r="FJ317" s="36"/>
      <c r="FK317" s="36"/>
      <c r="FL317" s="36"/>
      <c r="FM317" s="36"/>
      <c r="FN317" s="37"/>
      <c r="FO317" s="44"/>
      <c r="FP317" s="36"/>
      <c r="FQ317" s="36"/>
      <c r="FR317" s="36"/>
      <c r="FS317" s="36"/>
      <c r="FT317" s="36"/>
      <c r="FU317" s="36"/>
      <c r="FV317" s="36"/>
      <c r="FW317" s="36"/>
      <c r="FX317" s="36"/>
      <c r="FY317" s="36"/>
      <c r="FZ317" s="36"/>
      <c r="GA317" s="36"/>
      <c r="GB317" s="36"/>
      <c r="GC317" s="36"/>
      <c r="GD317" s="36"/>
      <c r="GE317" s="37"/>
      <c r="GF317" s="44"/>
      <c r="GG317" s="36"/>
      <c r="GH317" s="36"/>
      <c r="GI317" s="36"/>
      <c r="GJ317" s="36"/>
      <c r="GK317" s="36"/>
      <c r="GL317" s="36"/>
      <c r="GM317" s="36"/>
      <c r="GN317" s="36"/>
      <c r="GO317" s="36"/>
      <c r="GP317" s="36"/>
      <c r="GQ317" s="36"/>
      <c r="GR317" s="36"/>
      <c r="GS317" s="36"/>
      <c r="GT317" s="36"/>
      <c r="GU317" s="36"/>
      <c r="GV317" s="37"/>
      <c r="GW317" s="44"/>
      <c r="GX317" s="36"/>
      <c r="GY317" s="36"/>
      <c r="GZ317" s="36"/>
      <c r="HA317" s="36"/>
      <c r="HB317" s="36"/>
      <c r="HC317" s="36"/>
      <c r="HD317" s="36"/>
      <c r="HE317" s="36"/>
      <c r="HF317" s="36"/>
      <c r="HG317" s="36"/>
      <c r="HH317" s="36"/>
      <c r="HI317" s="36"/>
      <c r="HJ317" s="36"/>
      <c r="HK317" s="36"/>
      <c r="HL317" s="36"/>
      <c r="HM317" s="37"/>
      <c r="HN317" s="44"/>
      <c r="HO317" s="36"/>
      <c r="HP317" s="36"/>
      <c r="HQ317" s="36"/>
      <c r="HR317" s="36"/>
      <c r="HS317" s="36"/>
      <c r="HT317" s="36"/>
      <c r="HU317" s="36"/>
      <c r="HV317" s="36"/>
      <c r="HW317" s="36"/>
      <c r="HX317" s="36"/>
      <c r="HY317" s="36"/>
      <c r="HZ317" s="36"/>
      <c r="IA317" s="36"/>
      <c r="IB317" s="36"/>
      <c r="IC317" s="36"/>
      <c r="ID317" s="37"/>
      <c r="IE317" s="44"/>
      <c r="IF317" s="36"/>
      <c r="IG317" s="36"/>
      <c r="IH317" s="36"/>
      <c r="II317" s="36"/>
      <c r="IJ317" s="36"/>
      <c r="IK317" s="36"/>
      <c r="IL317" s="36"/>
      <c r="IM317" s="36"/>
      <c r="IN317" s="36"/>
      <c r="IO317" s="36"/>
      <c r="IP317" s="36"/>
      <c r="IQ317" s="36"/>
      <c r="IR317" s="36"/>
      <c r="IS317" s="36"/>
      <c r="IT317" s="36"/>
      <c r="IU317" s="37"/>
      <c r="IV317" s="44"/>
      <c r="IW317" s="36"/>
      <c r="IX317" s="36"/>
      <c r="IY317" s="36"/>
      <c r="IZ317" s="36"/>
      <c r="JA317" s="36"/>
      <c r="JB317" s="36"/>
      <c r="JC317" s="36"/>
      <c r="JD317" s="36"/>
      <c r="JE317" s="36"/>
      <c r="JF317" s="36"/>
      <c r="JG317" s="36"/>
      <c r="JH317" s="36"/>
      <c r="JI317" s="36"/>
      <c r="JJ317" s="36"/>
      <c r="JK317" s="36"/>
      <c r="JL317" s="37"/>
      <c r="JM317" s="44"/>
      <c r="JN317" s="36"/>
      <c r="JO317" s="36"/>
      <c r="JP317" s="36"/>
      <c r="JQ317" s="36"/>
      <c r="JR317" s="36"/>
      <c r="JS317" s="36"/>
      <c r="JT317" s="36"/>
      <c r="JU317" s="36"/>
      <c r="JV317" s="36"/>
      <c r="JW317" s="36"/>
      <c r="JX317" s="36"/>
      <c r="JY317" s="36"/>
      <c r="JZ317" s="36"/>
      <c r="KA317" s="36"/>
      <c r="KB317" s="36"/>
      <c r="KC317" s="37"/>
      <c r="KD317" s="44"/>
      <c r="KE317" s="36"/>
      <c r="KF317" s="36"/>
      <c r="KG317" s="36"/>
      <c r="KH317" s="36"/>
      <c r="KI317" s="36"/>
      <c r="KJ317" s="36"/>
      <c r="KK317" s="36"/>
      <c r="KL317" s="36"/>
      <c r="KM317" s="36"/>
      <c r="KN317" s="36"/>
      <c r="KO317" s="36"/>
      <c r="KP317" s="36"/>
      <c r="KQ317" s="36"/>
      <c r="KR317" s="36"/>
      <c r="KS317" s="36"/>
      <c r="KT317" s="37"/>
      <c r="KU317" s="36"/>
    </row>
    <row r="318" ht="15.0" customHeight="1">
      <c r="A318" s="44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7"/>
      <c r="R318" s="44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7"/>
      <c r="AI318" s="44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  <c r="AU318" s="36"/>
      <c r="AV318" s="36"/>
      <c r="AW318" s="36"/>
      <c r="AX318" s="36"/>
      <c r="AY318" s="37"/>
      <c r="AZ318" s="44"/>
      <c r="BA318" s="36"/>
      <c r="BB318" s="36"/>
      <c r="BC318" s="36"/>
      <c r="BD318" s="36"/>
      <c r="BE318" s="36"/>
      <c r="BF318" s="36"/>
      <c r="BG318" s="36"/>
      <c r="BH318" s="36"/>
      <c r="BI318" s="36"/>
      <c r="BJ318" s="36"/>
      <c r="BK318" s="36"/>
      <c r="BL318" s="36"/>
      <c r="BM318" s="36"/>
      <c r="BN318" s="36"/>
      <c r="BO318" s="36"/>
      <c r="BP318" s="37"/>
      <c r="BQ318" s="44"/>
      <c r="BR318" s="36"/>
      <c r="BS318" s="36"/>
      <c r="BT318" s="36"/>
      <c r="BU318" s="36"/>
      <c r="BV318" s="36"/>
      <c r="BW318" s="36"/>
      <c r="BX318" s="36"/>
      <c r="BY318" s="36"/>
      <c r="BZ318" s="36"/>
      <c r="CA318" s="36"/>
      <c r="CB318" s="36"/>
      <c r="CC318" s="36"/>
      <c r="CD318" s="36"/>
      <c r="CE318" s="36"/>
      <c r="CF318" s="36"/>
      <c r="CG318" s="37"/>
      <c r="CH318" s="44"/>
      <c r="CI318" s="36"/>
      <c r="CJ318" s="36"/>
      <c r="CK318" s="36"/>
      <c r="CL318" s="36"/>
      <c r="CM318" s="36"/>
      <c r="CN318" s="36"/>
      <c r="CO318" s="36"/>
      <c r="CP318" s="36"/>
      <c r="CQ318" s="36"/>
      <c r="CR318" s="36"/>
      <c r="CS318" s="36"/>
      <c r="CT318" s="36"/>
      <c r="CU318" s="36"/>
      <c r="CV318" s="36"/>
      <c r="CW318" s="36"/>
      <c r="CX318" s="37"/>
      <c r="CY318" s="44"/>
      <c r="CZ318" s="36"/>
      <c r="DA318" s="36"/>
      <c r="DB318" s="36"/>
      <c r="DC318" s="36"/>
      <c r="DD318" s="36"/>
      <c r="DE318" s="36"/>
      <c r="DF318" s="36"/>
      <c r="DG318" s="36"/>
      <c r="DH318" s="36"/>
      <c r="DI318" s="36"/>
      <c r="DJ318" s="36"/>
      <c r="DK318" s="36"/>
      <c r="DL318" s="36"/>
      <c r="DM318" s="36"/>
      <c r="DN318" s="36"/>
      <c r="DO318" s="37"/>
      <c r="DP318" s="44"/>
      <c r="DQ318" s="36"/>
      <c r="DR318" s="36"/>
      <c r="DS318" s="36"/>
      <c r="DT318" s="36"/>
      <c r="DU318" s="36"/>
      <c r="DV318" s="36"/>
      <c r="DW318" s="36"/>
      <c r="DX318" s="36"/>
      <c r="DY318" s="36"/>
      <c r="DZ318" s="36"/>
      <c r="EA318" s="36"/>
      <c r="EB318" s="36"/>
      <c r="EC318" s="36"/>
      <c r="ED318" s="36"/>
      <c r="EE318" s="36"/>
      <c r="EF318" s="37"/>
      <c r="EG318" s="44"/>
      <c r="EH318" s="36"/>
      <c r="EI318" s="36"/>
      <c r="EJ318" s="36"/>
      <c r="EK318" s="36"/>
      <c r="EL318" s="36"/>
      <c r="EM318" s="36"/>
      <c r="EN318" s="36"/>
      <c r="EO318" s="36"/>
      <c r="EP318" s="36"/>
      <c r="EQ318" s="36"/>
      <c r="ER318" s="36"/>
      <c r="ES318" s="36"/>
      <c r="ET318" s="36"/>
      <c r="EU318" s="36"/>
      <c r="EV318" s="36"/>
      <c r="EW318" s="37"/>
      <c r="EX318" s="44"/>
      <c r="EY318" s="36"/>
      <c r="EZ318" s="36"/>
      <c r="FA318" s="36"/>
      <c r="FB318" s="36"/>
      <c r="FC318" s="36"/>
      <c r="FD318" s="36"/>
      <c r="FE318" s="36"/>
      <c r="FF318" s="36"/>
      <c r="FG318" s="36"/>
      <c r="FH318" s="36"/>
      <c r="FI318" s="36"/>
      <c r="FJ318" s="36"/>
      <c r="FK318" s="36"/>
      <c r="FL318" s="36"/>
      <c r="FM318" s="36"/>
      <c r="FN318" s="37"/>
      <c r="FO318" s="44"/>
      <c r="FP318" s="36"/>
      <c r="FQ318" s="36"/>
      <c r="FR318" s="36"/>
      <c r="FS318" s="36"/>
      <c r="FT318" s="36"/>
      <c r="FU318" s="36"/>
      <c r="FV318" s="36"/>
      <c r="FW318" s="36"/>
      <c r="FX318" s="36"/>
      <c r="FY318" s="36"/>
      <c r="FZ318" s="36"/>
      <c r="GA318" s="36"/>
      <c r="GB318" s="36"/>
      <c r="GC318" s="36"/>
      <c r="GD318" s="36"/>
      <c r="GE318" s="37"/>
      <c r="GF318" s="44"/>
      <c r="GG318" s="36"/>
      <c r="GH318" s="36"/>
      <c r="GI318" s="36"/>
      <c r="GJ318" s="36"/>
      <c r="GK318" s="36"/>
      <c r="GL318" s="36"/>
      <c r="GM318" s="36"/>
      <c r="GN318" s="36"/>
      <c r="GO318" s="36"/>
      <c r="GP318" s="36"/>
      <c r="GQ318" s="36"/>
      <c r="GR318" s="36"/>
      <c r="GS318" s="36"/>
      <c r="GT318" s="36"/>
      <c r="GU318" s="36"/>
      <c r="GV318" s="37"/>
      <c r="GW318" s="44"/>
      <c r="GX318" s="36"/>
      <c r="GY318" s="36"/>
      <c r="GZ318" s="36"/>
      <c r="HA318" s="36"/>
      <c r="HB318" s="36"/>
      <c r="HC318" s="36"/>
      <c r="HD318" s="36"/>
      <c r="HE318" s="36"/>
      <c r="HF318" s="36"/>
      <c r="HG318" s="36"/>
      <c r="HH318" s="36"/>
      <c r="HI318" s="36"/>
      <c r="HJ318" s="36"/>
      <c r="HK318" s="36"/>
      <c r="HL318" s="36"/>
      <c r="HM318" s="37"/>
      <c r="HN318" s="44"/>
      <c r="HO318" s="36"/>
      <c r="HP318" s="36"/>
      <c r="HQ318" s="36"/>
      <c r="HR318" s="36"/>
      <c r="HS318" s="36"/>
      <c r="HT318" s="36"/>
      <c r="HU318" s="36"/>
      <c r="HV318" s="36"/>
      <c r="HW318" s="36"/>
      <c r="HX318" s="36"/>
      <c r="HY318" s="36"/>
      <c r="HZ318" s="36"/>
      <c r="IA318" s="36"/>
      <c r="IB318" s="36"/>
      <c r="IC318" s="36"/>
      <c r="ID318" s="37"/>
      <c r="IE318" s="44"/>
      <c r="IF318" s="36"/>
      <c r="IG318" s="36"/>
      <c r="IH318" s="36"/>
      <c r="II318" s="36"/>
      <c r="IJ318" s="36"/>
      <c r="IK318" s="36"/>
      <c r="IL318" s="36"/>
      <c r="IM318" s="36"/>
      <c r="IN318" s="36"/>
      <c r="IO318" s="36"/>
      <c r="IP318" s="36"/>
      <c r="IQ318" s="36"/>
      <c r="IR318" s="36"/>
      <c r="IS318" s="36"/>
      <c r="IT318" s="36"/>
      <c r="IU318" s="37"/>
      <c r="IV318" s="44"/>
      <c r="IW318" s="36"/>
      <c r="IX318" s="36"/>
      <c r="IY318" s="36"/>
      <c r="IZ318" s="36"/>
      <c r="JA318" s="36"/>
      <c r="JB318" s="36"/>
      <c r="JC318" s="36"/>
      <c r="JD318" s="36"/>
      <c r="JE318" s="36"/>
      <c r="JF318" s="36"/>
      <c r="JG318" s="36"/>
      <c r="JH318" s="36"/>
      <c r="JI318" s="36"/>
      <c r="JJ318" s="36"/>
      <c r="JK318" s="36"/>
      <c r="JL318" s="37"/>
      <c r="JM318" s="44"/>
      <c r="JN318" s="36"/>
      <c r="JO318" s="36"/>
      <c r="JP318" s="36"/>
      <c r="JQ318" s="36"/>
      <c r="JR318" s="36"/>
      <c r="JS318" s="36"/>
      <c r="JT318" s="36"/>
      <c r="JU318" s="36"/>
      <c r="JV318" s="36"/>
      <c r="JW318" s="36"/>
      <c r="JX318" s="36"/>
      <c r="JY318" s="36"/>
      <c r="JZ318" s="36"/>
      <c r="KA318" s="36"/>
      <c r="KB318" s="36"/>
      <c r="KC318" s="37"/>
      <c r="KD318" s="44"/>
      <c r="KE318" s="36"/>
      <c r="KF318" s="36"/>
      <c r="KG318" s="36"/>
      <c r="KH318" s="36"/>
      <c r="KI318" s="36"/>
      <c r="KJ318" s="36"/>
      <c r="KK318" s="36"/>
      <c r="KL318" s="36"/>
      <c r="KM318" s="36"/>
      <c r="KN318" s="36"/>
      <c r="KO318" s="36"/>
      <c r="KP318" s="36"/>
      <c r="KQ318" s="36"/>
      <c r="KR318" s="36"/>
      <c r="KS318" s="36"/>
      <c r="KT318" s="37"/>
      <c r="KU318" s="36"/>
    </row>
    <row r="319" ht="15.0" customHeight="1">
      <c r="A319" s="44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7"/>
      <c r="R319" s="44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7"/>
      <c r="AI319" s="44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  <c r="AU319" s="36"/>
      <c r="AV319" s="36"/>
      <c r="AW319" s="36"/>
      <c r="AX319" s="36"/>
      <c r="AY319" s="37"/>
      <c r="AZ319" s="44"/>
      <c r="BA319" s="36"/>
      <c r="BB319" s="36"/>
      <c r="BC319" s="36"/>
      <c r="BD319" s="36"/>
      <c r="BE319" s="36"/>
      <c r="BF319" s="36"/>
      <c r="BG319" s="36"/>
      <c r="BH319" s="36"/>
      <c r="BI319" s="36"/>
      <c r="BJ319" s="36"/>
      <c r="BK319" s="36"/>
      <c r="BL319" s="36"/>
      <c r="BM319" s="36"/>
      <c r="BN319" s="36"/>
      <c r="BO319" s="36"/>
      <c r="BP319" s="37"/>
      <c r="BQ319" s="44"/>
      <c r="BR319" s="36"/>
      <c r="BS319" s="36"/>
      <c r="BT319" s="36"/>
      <c r="BU319" s="36"/>
      <c r="BV319" s="36"/>
      <c r="BW319" s="36"/>
      <c r="BX319" s="36"/>
      <c r="BY319" s="36"/>
      <c r="BZ319" s="36"/>
      <c r="CA319" s="36"/>
      <c r="CB319" s="36"/>
      <c r="CC319" s="36"/>
      <c r="CD319" s="36"/>
      <c r="CE319" s="36"/>
      <c r="CF319" s="36"/>
      <c r="CG319" s="37"/>
      <c r="CH319" s="44"/>
      <c r="CI319" s="36"/>
      <c r="CJ319" s="36"/>
      <c r="CK319" s="36"/>
      <c r="CL319" s="36"/>
      <c r="CM319" s="36"/>
      <c r="CN319" s="36"/>
      <c r="CO319" s="36"/>
      <c r="CP319" s="36"/>
      <c r="CQ319" s="36"/>
      <c r="CR319" s="36"/>
      <c r="CS319" s="36"/>
      <c r="CT319" s="36"/>
      <c r="CU319" s="36"/>
      <c r="CV319" s="36"/>
      <c r="CW319" s="36"/>
      <c r="CX319" s="37"/>
      <c r="CY319" s="44"/>
      <c r="CZ319" s="36"/>
      <c r="DA319" s="36"/>
      <c r="DB319" s="36"/>
      <c r="DC319" s="36"/>
      <c r="DD319" s="36"/>
      <c r="DE319" s="36"/>
      <c r="DF319" s="36"/>
      <c r="DG319" s="36"/>
      <c r="DH319" s="36"/>
      <c r="DI319" s="36"/>
      <c r="DJ319" s="36"/>
      <c r="DK319" s="36"/>
      <c r="DL319" s="36"/>
      <c r="DM319" s="36"/>
      <c r="DN319" s="36"/>
      <c r="DO319" s="37"/>
      <c r="DP319" s="44"/>
      <c r="DQ319" s="36"/>
      <c r="DR319" s="36"/>
      <c r="DS319" s="36"/>
      <c r="DT319" s="36"/>
      <c r="DU319" s="36"/>
      <c r="DV319" s="36"/>
      <c r="DW319" s="36"/>
      <c r="DX319" s="36"/>
      <c r="DY319" s="36"/>
      <c r="DZ319" s="36"/>
      <c r="EA319" s="36"/>
      <c r="EB319" s="36"/>
      <c r="EC319" s="36"/>
      <c r="ED319" s="36"/>
      <c r="EE319" s="36"/>
      <c r="EF319" s="37"/>
      <c r="EG319" s="44"/>
      <c r="EH319" s="36"/>
      <c r="EI319" s="36"/>
      <c r="EJ319" s="36"/>
      <c r="EK319" s="36"/>
      <c r="EL319" s="36"/>
      <c r="EM319" s="36"/>
      <c r="EN319" s="36"/>
      <c r="EO319" s="36"/>
      <c r="EP319" s="36"/>
      <c r="EQ319" s="36"/>
      <c r="ER319" s="36"/>
      <c r="ES319" s="36"/>
      <c r="ET319" s="36"/>
      <c r="EU319" s="36"/>
      <c r="EV319" s="36"/>
      <c r="EW319" s="37"/>
      <c r="EX319" s="44"/>
      <c r="EY319" s="36"/>
      <c r="EZ319" s="36"/>
      <c r="FA319" s="36"/>
      <c r="FB319" s="36"/>
      <c r="FC319" s="36"/>
      <c r="FD319" s="36"/>
      <c r="FE319" s="36"/>
      <c r="FF319" s="36"/>
      <c r="FG319" s="36"/>
      <c r="FH319" s="36"/>
      <c r="FI319" s="36"/>
      <c r="FJ319" s="36"/>
      <c r="FK319" s="36"/>
      <c r="FL319" s="36"/>
      <c r="FM319" s="36"/>
      <c r="FN319" s="37"/>
      <c r="FO319" s="44"/>
      <c r="FP319" s="36"/>
      <c r="FQ319" s="36"/>
      <c r="FR319" s="36"/>
      <c r="FS319" s="36"/>
      <c r="FT319" s="36"/>
      <c r="FU319" s="36"/>
      <c r="FV319" s="36"/>
      <c r="FW319" s="36"/>
      <c r="FX319" s="36"/>
      <c r="FY319" s="36"/>
      <c r="FZ319" s="36"/>
      <c r="GA319" s="36"/>
      <c r="GB319" s="36"/>
      <c r="GC319" s="36"/>
      <c r="GD319" s="36"/>
      <c r="GE319" s="37"/>
      <c r="GF319" s="44"/>
      <c r="GG319" s="36"/>
      <c r="GH319" s="36"/>
      <c r="GI319" s="36"/>
      <c r="GJ319" s="36"/>
      <c r="GK319" s="36"/>
      <c r="GL319" s="36"/>
      <c r="GM319" s="36"/>
      <c r="GN319" s="36"/>
      <c r="GO319" s="36"/>
      <c r="GP319" s="36"/>
      <c r="GQ319" s="36"/>
      <c r="GR319" s="36"/>
      <c r="GS319" s="36"/>
      <c r="GT319" s="36"/>
      <c r="GU319" s="36"/>
      <c r="GV319" s="37"/>
      <c r="GW319" s="44"/>
      <c r="GX319" s="36"/>
      <c r="GY319" s="36"/>
      <c r="GZ319" s="36"/>
      <c r="HA319" s="36"/>
      <c r="HB319" s="36"/>
      <c r="HC319" s="36"/>
      <c r="HD319" s="36"/>
      <c r="HE319" s="36"/>
      <c r="HF319" s="36"/>
      <c r="HG319" s="36"/>
      <c r="HH319" s="36"/>
      <c r="HI319" s="36"/>
      <c r="HJ319" s="36"/>
      <c r="HK319" s="36"/>
      <c r="HL319" s="36"/>
      <c r="HM319" s="37"/>
      <c r="HN319" s="44"/>
      <c r="HO319" s="36"/>
      <c r="HP319" s="36"/>
      <c r="HQ319" s="36"/>
      <c r="HR319" s="36"/>
      <c r="HS319" s="36"/>
      <c r="HT319" s="36"/>
      <c r="HU319" s="36"/>
      <c r="HV319" s="36"/>
      <c r="HW319" s="36"/>
      <c r="HX319" s="36"/>
      <c r="HY319" s="36"/>
      <c r="HZ319" s="36"/>
      <c r="IA319" s="36"/>
      <c r="IB319" s="36"/>
      <c r="IC319" s="36"/>
      <c r="ID319" s="37"/>
      <c r="IE319" s="44"/>
      <c r="IF319" s="36"/>
      <c r="IG319" s="36"/>
      <c r="IH319" s="36"/>
      <c r="II319" s="36"/>
      <c r="IJ319" s="36"/>
      <c r="IK319" s="36"/>
      <c r="IL319" s="36"/>
      <c r="IM319" s="36"/>
      <c r="IN319" s="36"/>
      <c r="IO319" s="36"/>
      <c r="IP319" s="36"/>
      <c r="IQ319" s="36"/>
      <c r="IR319" s="36"/>
      <c r="IS319" s="36"/>
      <c r="IT319" s="36"/>
      <c r="IU319" s="37"/>
      <c r="IV319" s="44"/>
      <c r="IW319" s="36"/>
      <c r="IX319" s="36"/>
      <c r="IY319" s="36"/>
      <c r="IZ319" s="36"/>
      <c r="JA319" s="36"/>
      <c r="JB319" s="36"/>
      <c r="JC319" s="36"/>
      <c r="JD319" s="36"/>
      <c r="JE319" s="36"/>
      <c r="JF319" s="36"/>
      <c r="JG319" s="36"/>
      <c r="JH319" s="36"/>
      <c r="JI319" s="36"/>
      <c r="JJ319" s="36"/>
      <c r="JK319" s="36"/>
      <c r="JL319" s="37"/>
      <c r="JM319" s="44"/>
      <c r="JN319" s="36"/>
      <c r="JO319" s="36"/>
      <c r="JP319" s="36"/>
      <c r="JQ319" s="36"/>
      <c r="JR319" s="36"/>
      <c r="JS319" s="36"/>
      <c r="JT319" s="36"/>
      <c r="JU319" s="36"/>
      <c r="JV319" s="36"/>
      <c r="JW319" s="36"/>
      <c r="JX319" s="36"/>
      <c r="JY319" s="36"/>
      <c r="JZ319" s="36"/>
      <c r="KA319" s="36"/>
      <c r="KB319" s="36"/>
      <c r="KC319" s="37"/>
      <c r="KD319" s="44"/>
      <c r="KE319" s="36"/>
      <c r="KF319" s="36"/>
      <c r="KG319" s="36"/>
      <c r="KH319" s="36"/>
      <c r="KI319" s="36"/>
      <c r="KJ319" s="36"/>
      <c r="KK319" s="36"/>
      <c r="KL319" s="36"/>
      <c r="KM319" s="36"/>
      <c r="KN319" s="36"/>
      <c r="KO319" s="36"/>
      <c r="KP319" s="36"/>
      <c r="KQ319" s="36"/>
      <c r="KR319" s="36"/>
      <c r="KS319" s="36"/>
      <c r="KT319" s="37"/>
      <c r="KU319" s="36"/>
    </row>
    <row r="320" ht="15.0" customHeight="1">
      <c r="A320" s="44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7"/>
      <c r="R320" s="44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7"/>
      <c r="AI320" s="44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  <c r="AU320" s="36"/>
      <c r="AV320" s="36"/>
      <c r="AW320" s="36"/>
      <c r="AX320" s="36"/>
      <c r="AY320" s="37"/>
      <c r="AZ320" s="44"/>
      <c r="BA320" s="36"/>
      <c r="BB320" s="36"/>
      <c r="BC320" s="36"/>
      <c r="BD320" s="36"/>
      <c r="BE320" s="36"/>
      <c r="BF320" s="36"/>
      <c r="BG320" s="36"/>
      <c r="BH320" s="36"/>
      <c r="BI320" s="36"/>
      <c r="BJ320" s="36"/>
      <c r="BK320" s="36"/>
      <c r="BL320" s="36"/>
      <c r="BM320" s="36"/>
      <c r="BN320" s="36"/>
      <c r="BO320" s="36"/>
      <c r="BP320" s="37"/>
      <c r="BQ320" s="44"/>
      <c r="BR320" s="36"/>
      <c r="BS320" s="36"/>
      <c r="BT320" s="36"/>
      <c r="BU320" s="36"/>
      <c r="BV320" s="36"/>
      <c r="BW320" s="36"/>
      <c r="BX320" s="36"/>
      <c r="BY320" s="36"/>
      <c r="BZ320" s="36"/>
      <c r="CA320" s="36"/>
      <c r="CB320" s="36"/>
      <c r="CC320" s="36"/>
      <c r="CD320" s="36"/>
      <c r="CE320" s="36"/>
      <c r="CF320" s="36"/>
      <c r="CG320" s="37"/>
      <c r="CH320" s="44"/>
      <c r="CI320" s="36"/>
      <c r="CJ320" s="36"/>
      <c r="CK320" s="36"/>
      <c r="CL320" s="36"/>
      <c r="CM320" s="36"/>
      <c r="CN320" s="36"/>
      <c r="CO320" s="36"/>
      <c r="CP320" s="36"/>
      <c r="CQ320" s="36"/>
      <c r="CR320" s="36"/>
      <c r="CS320" s="36"/>
      <c r="CT320" s="36"/>
      <c r="CU320" s="36"/>
      <c r="CV320" s="36"/>
      <c r="CW320" s="36"/>
      <c r="CX320" s="37"/>
      <c r="CY320" s="44"/>
      <c r="CZ320" s="36"/>
      <c r="DA320" s="36"/>
      <c r="DB320" s="36"/>
      <c r="DC320" s="36"/>
      <c r="DD320" s="36"/>
      <c r="DE320" s="36"/>
      <c r="DF320" s="36"/>
      <c r="DG320" s="36"/>
      <c r="DH320" s="36"/>
      <c r="DI320" s="36"/>
      <c r="DJ320" s="36"/>
      <c r="DK320" s="36"/>
      <c r="DL320" s="36"/>
      <c r="DM320" s="36"/>
      <c r="DN320" s="36"/>
      <c r="DO320" s="37"/>
      <c r="DP320" s="44"/>
      <c r="DQ320" s="36"/>
      <c r="DR320" s="36"/>
      <c r="DS320" s="36"/>
      <c r="DT320" s="36"/>
      <c r="DU320" s="36"/>
      <c r="DV320" s="36"/>
      <c r="DW320" s="36"/>
      <c r="DX320" s="36"/>
      <c r="DY320" s="36"/>
      <c r="DZ320" s="36"/>
      <c r="EA320" s="36"/>
      <c r="EB320" s="36"/>
      <c r="EC320" s="36"/>
      <c r="ED320" s="36"/>
      <c r="EE320" s="36"/>
      <c r="EF320" s="37"/>
      <c r="EG320" s="44"/>
      <c r="EH320" s="36"/>
      <c r="EI320" s="36"/>
      <c r="EJ320" s="36"/>
      <c r="EK320" s="36"/>
      <c r="EL320" s="36"/>
      <c r="EM320" s="36"/>
      <c r="EN320" s="36"/>
      <c r="EO320" s="36"/>
      <c r="EP320" s="36"/>
      <c r="EQ320" s="36"/>
      <c r="ER320" s="36"/>
      <c r="ES320" s="36"/>
      <c r="ET320" s="36"/>
      <c r="EU320" s="36"/>
      <c r="EV320" s="36"/>
      <c r="EW320" s="37"/>
      <c r="EX320" s="44"/>
      <c r="EY320" s="36"/>
      <c r="EZ320" s="36"/>
      <c r="FA320" s="36"/>
      <c r="FB320" s="36"/>
      <c r="FC320" s="36"/>
      <c r="FD320" s="36"/>
      <c r="FE320" s="36"/>
      <c r="FF320" s="36"/>
      <c r="FG320" s="36"/>
      <c r="FH320" s="36"/>
      <c r="FI320" s="36"/>
      <c r="FJ320" s="36"/>
      <c r="FK320" s="36"/>
      <c r="FL320" s="36"/>
      <c r="FM320" s="36"/>
      <c r="FN320" s="37"/>
      <c r="FO320" s="44"/>
      <c r="FP320" s="36"/>
      <c r="FQ320" s="36"/>
      <c r="FR320" s="36"/>
      <c r="FS320" s="36"/>
      <c r="FT320" s="36"/>
      <c r="FU320" s="36"/>
      <c r="FV320" s="36"/>
      <c r="FW320" s="36"/>
      <c r="FX320" s="36"/>
      <c r="FY320" s="36"/>
      <c r="FZ320" s="36"/>
      <c r="GA320" s="36"/>
      <c r="GB320" s="36"/>
      <c r="GC320" s="36"/>
      <c r="GD320" s="36"/>
      <c r="GE320" s="37"/>
      <c r="GF320" s="44"/>
      <c r="GG320" s="36"/>
      <c r="GH320" s="36"/>
      <c r="GI320" s="36"/>
      <c r="GJ320" s="36"/>
      <c r="GK320" s="36"/>
      <c r="GL320" s="36"/>
      <c r="GM320" s="36"/>
      <c r="GN320" s="36"/>
      <c r="GO320" s="36"/>
      <c r="GP320" s="36"/>
      <c r="GQ320" s="36"/>
      <c r="GR320" s="36"/>
      <c r="GS320" s="36"/>
      <c r="GT320" s="36"/>
      <c r="GU320" s="36"/>
      <c r="GV320" s="37"/>
      <c r="GW320" s="44"/>
      <c r="GX320" s="36"/>
      <c r="GY320" s="36"/>
      <c r="GZ320" s="36"/>
      <c r="HA320" s="36"/>
      <c r="HB320" s="36"/>
      <c r="HC320" s="36"/>
      <c r="HD320" s="36"/>
      <c r="HE320" s="36"/>
      <c r="HF320" s="36"/>
      <c r="HG320" s="36"/>
      <c r="HH320" s="36"/>
      <c r="HI320" s="36"/>
      <c r="HJ320" s="36"/>
      <c r="HK320" s="36"/>
      <c r="HL320" s="36"/>
      <c r="HM320" s="37"/>
      <c r="HN320" s="44"/>
      <c r="HO320" s="36"/>
      <c r="HP320" s="36"/>
      <c r="HQ320" s="36"/>
      <c r="HR320" s="36"/>
      <c r="HS320" s="36"/>
      <c r="HT320" s="36"/>
      <c r="HU320" s="36"/>
      <c r="HV320" s="36"/>
      <c r="HW320" s="36"/>
      <c r="HX320" s="36"/>
      <c r="HY320" s="36"/>
      <c r="HZ320" s="36"/>
      <c r="IA320" s="36"/>
      <c r="IB320" s="36"/>
      <c r="IC320" s="36"/>
      <c r="ID320" s="37"/>
      <c r="IE320" s="44"/>
      <c r="IF320" s="36"/>
      <c r="IG320" s="36"/>
      <c r="IH320" s="36"/>
      <c r="II320" s="36"/>
      <c r="IJ320" s="36"/>
      <c r="IK320" s="36"/>
      <c r="IL320" s="36"/>
      <c r="IM320" s="36"/>
      <c r="IN320" s="36"/>
      <c r="IO320" s="36"/>
      <c r="IP320" s="36"/>
      <c r="IQ320" s="36"/>
      <c r="IR320" s="36"/>
      <c r="IS320" s="36"/>
      <c r="IT320" s="36"/>
      <c r="IU320" s="37"/>
      <c r="IV320" s="44"/>
      <c r="IW320" s="36"/>
      <c r="IX320" s="36"/>
      <c r="IY320" s="36"/>
      <c r="IZ320" s="36"/>
      <c r="JA320" s="36"/>
      <c r="JB320" s="36"/>
      <c r="JC320" s="36"/>
      <c r="JD320" s="36"/>
      <c r="JE320" s="36"/>
      <c r="JF320" s="36"/>
      <c r="JG320" s="36"/>
      <c r="JH320" s="36"/>
      <c r="JI320" s="36"/>
      <c r="JJ320" s="36"/>
      <c r="JK320" s="36"/>
      <c r="JL320" s="37"/>
      <c r="JM320" s="44"/>
      <c r="JN320" s="36"/>
      <c r="JO320" s="36"/>
      <c r="JP320" s="36"/>
      <c r="JQ320" s="36"/>
      <c r="JR320" s="36"/>
      <c r="JS320" s="36"/>
      <c r="JT320" s="36"/>
      <c r="JU320" s="36"/>
      <c r="JV320" s="36"/>
      <c r="JW320" s="36"/>
      <c r="JX320" s="36"/>
      <c r="JY320" s="36"/>
      <c r="JZ320" s="36"/>
      <c r="KA320" s="36"/>
      <c r="KB320" s="36"/>
      <c r="KC320" s="37"/>
      <c r="KD320" s="44"/>
      <c r="KE320" s="36"/>
      <c r="KF320" s="36"/>
      <c r="KG320" s="36"/>
      <c r="KH320" s="36"/>
      <c r="KI320" s="36"/>
      <c r="KJ320" s="36"/>
      <c r="KK320" s="36"/>
      <c r="KL320" s="36"/>
      <c r="KM320" s="36"/>
      <c r="KN320" s="36"/>
      <c r="KO320" s="36"/>
      <c r="KP320" s="36"/>
      <c r="KQ320" s="36"/>
      <c r="KR320" s="36"/>
      <c r="KS320" s="36"/>
      <c r="KT320" s="37"/>
      <c r="KU320" s="36"/>
    </row>
    <row r="321" ht="15.0" customHeight="1">
      <c r="A321" s="44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7"/>
      <c r="R321" s="44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7"/>
      <c r="AI321" s="44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  <c r="AU321" s="36"/>
      <c r="AV321" s="36"/>
      <c r="AW321" s="36"/>
      <c r="AX321" s="36"/>
      <c r="AY321" s="37"/>
      <c r="AZ321" s="44"/>
      <c r="BA321" s="36"/>
      <c r="BB321" s="36"/>
      <c r="BC321" s="36"/>
      <c r="BD321" s="36"/>
      <c r="BE321" s="36"/>
      <c r="BF321" s="36"/>
      <c r="BG321" s="36"/>
      <c r="BH321" s="36"/>
      <c r="BI321" s="36"/>
      <c r="BJ321" s="36"/>
      <c r="BK321" s="36"/>
      <c r="BL321" s="36"/>
      <c r="BM321" s="36"/>
      <c r="BN321" s="36"/>
      <c r="BO321" s="36"/>
      <c r="BP321" s="37"/>
      <c r="BQ321" s="44"/>
      <c r="BR321" s="36"/>
      <c r="BS321" s="36"/>
      <c r="BT321" s="36"/>
      <c r="BU321" s="36"/>
      <c r="BV321" s="36"/>
      <c r="BW321" s="36"/>
      <c r="BX321" s="36"/>
      <c r="BY321" s="36"/>
      <c r="BZ321" s="36"/>
      <c r="CA321" s="36"/>
      <c r="CB321" s="36"/>
      <c r="CC321" s="36"/>
      <c r="CD321" s="36"/>
      <c r="CE321" s="36"/>
      <c r="CF321" s="36"/>
      <c r="CG321" s="37"/>
      <c r="CH321" s="44"/>
      <c r="CI321" s="36"/>
      <c r="CJ321" s="36"/>
      <c r="CK321" s="36"/>
      <c r="CL321" s="36"/>
      <c r="CM321" s="36"/>
      <c r="CN321" s="36"/>
      <c r="CO321" s="36"/>
      <c r="CP321" s="36"/>
      <c r="CQ321" s="36"/>
      <c r="CR321" s="36"/>
      <c r="CS321" s="36"/>
      <c r="CT321" s="36"/>
      <c r="CU321" s="36"/>
      <c r="CV321" s="36"/>
      <c r="CW321" s="36"/>
      <c r="CX321" s="37"/>
      <c r="CY321" s="44"/>
      <c r="CZ321" s="36"/>
      <c r="DA321" s="36"/>
      <c r="DB321" s="36"/>
      <c r="DC321" s="36"/>
      <c r="DD321" s="36"/>
      <c r="DE321" s="36"/>
      <c r="DF321" s="36"/>
      <c r="DG321" s="36"/>
      <c r="DH321" s="36"/>
      <c r="DI321" s="36"/>
      <c r="DJ321" s="36"/>
      <c r="DK321" s="36"/>
      <c r="DL321" s="36"/>
      <c r="DM321" s="36"/>
      <c r="DN321" s="36"/>
      <c r="DO321" s="37"/>
      <c r="DP321" s="44"/>
      <c r="DQ321" s="36"/>
      <c r="DR321" s="36"/>
      <c r="DS321" s="36"/>
      <c r="DT321" s="36"/>
      <c r="DU321" s="36"/>
      <c r="DV321" s="36"/>
      <c r="DW321" s="36"/>
      <c r="DX321" s="36"/>
      <c r="DY321" s="36"/>
      <c r="DZ321" s="36"/>
      <c r="EA321" s="36"/>
      <c r="EB321" s="36"/>
      <c r="EC321" s="36"/>
      <c r="ED321" s="36"/>
      <c r="EE321" s="36"/>
      <c r="EF321" s="37"/>
      <c r="EG321" s="44"/>
      <c r="EH321" s="36"/>
      <c r="EI321" s="36"/>
      <c r="EJ321" s="36"/>
      <c r="EK321" s="36"/>
      <c r="EL321" s="36"/>
      <c r="EM321" s="36"/>
      <c r="EN321" s="36"/>
      <c r="EO321" s="36"/>
      <c r="EP321" s="36"/>
      <c r="EQ321" s="36"/>
      <c r="ER321" s="36"/>
      <c r="ES321" s="36"/>
      <c r="ET321" s="36"/>
      <c r="EU321" s="36"/>
      <c r="EV321" s="36"/>
      <c r="EW321" s="37"/>
      <c r="EX321" s="44"/>
      <c r="EY321" s="36"/>
      <c r="EZ321" s="36"/>
      <c r="FA321" s="36"/>
      <c r="FB321" s="36"/>
      <c r="FC321" s="36"/>
      <c r="FD321" s="36"/>
      <c r="FE321" s="36"/>
      <c r="FF321" s="36"/>
      <c r="FG321" s="36"/>
      <c r="FH321" s="36"/>
      <c r="FI321" s="36"/>
      <c r="FJ321" s="36"/>
      <c r="FK321" s="36"/>
      <c r="FL321" s="36"/>
      <c r="FM321" s="36"/>
      <c r="FN321" s="37"/>
      <c r="FO321" s="44"/>
      <c r="FP321" s="36"/>
      <c r="FQ321" s="36"/>
      <c r="FR321" s="36"/>
      <c r="FS321" s="36"/>
      <c r="FT321" s="36"/>
      <c r="FU321" s="36"/>
      <c r="FV321" s="36"/>
      <c r="FW321" s="36"/>
      <c r="FX321" s="36"/>
      <c r="FY321" s="36"/>
      <c r="FZ321" s="36"/>
      <c r="GA321" s="36"/>
      <c r="GB321" s="36"/>
      <c r="GC321" s="36"/>
      <c r="GD321" s="36"/>
      <c r="GE321" s="37"/>
      <c r="GF321" s="44"/>
      <c r="GG321" s="36"/>
      <c r="GH321" s="36"/>
      <c r="GI321" s="36"/>
      <c r="GJ321" s="36"/>
      <c r="GK321" s="36"/>
      <c r="GL321" s="36"/>
      <c r="GM321" s="36"/>
      <c r="GN321" s="36"/>
      <c r="GO321" s="36"/>
      <c r="GP321" s="36"/>
      <c r="GQ321" s="36"/>
      <c r="GR321" s="36"/>
      <c r="GS321" s="36"/>
      <c r="GT321" s="36"/>
      <c r="GU321" s="36"/>
      <c r="GV321" s="37"/>
      <c r="GW321" s="44"/>
      <c r="GX321" s="36"/>
      <c r="GY321" s="36"/>
      <c r="GZ321" s="36"/>
      <c r="HA321" s="36"/>
      <c r="HB321" s="36"/>
      <c r="HC321" s="36"/>
      <c r="HD321" s="36"/>
      <c r="HE321" s="36"/>
      <c r="HF321" s="36"/>
      <c r="HG321" s="36"/>
      <c r="HH321" s="36"/>
      <c r="HI321" s="36"/>
      <c r="HJ321" s="36"/>
      <c r="HK321" s="36"/>
      <c r="HL321" s="36"/>
      <c r="HM321" s="37"/>
      <c r="HN321" s="44"/>
      <c r="HO321" s="36"/>
      <c r="HP321" s="36"/>
      <c r="HQ321" s="36"/>
      <c r="HR321" s="36"/>
      <c r="HS321" s="36"/>
      <c r="HT321" s="36"/>
      <c r="HU321" s="36"/>
      <c r="HV321" s="36"/>
      <c r="HW321" s="36"/>
      <c r="HX321" s="36"/>
      <c r="HY321" s="36"/>
      <c r="HZ321" s="36"/>
      <c r="IA321" s="36"/>
      <c r="IB321" s="36"/>
      <c r="IC321" s="36"/>
      <c r="ID321" s="37"/>
      <c r="IE321" s="44"/>
      <c r="IF321" s="36"/>
      <c r="IG321" s="36"/>
      <c r="IH321" s="36"/>
      <c r="II321" s="36"/>
      <c r="IJ321" s="36"/>
      <c r="IK321" s="36"/>
      <c r="IL321" s="36"/>
      <c r="IM321" s="36"/>
      <c r="IN321" s="36"/>
      <c r="IO321" s="36"/>
      <c r="IP321" s="36"/>
      <c r="IQ321" s="36"/>
      <c r="IR321" s="36"/>
      <c r="IS321" s="36"/>
      <c r="IT321" s="36"/>
      <c r="IU321" s="37"/>
      <c r="IV321" s="44"/>
      <c r="IW321" s="36"/>
      <c r="IX321" s="36"/>
      <c r="IY321" s="36"/>
      <c r="IZ321" s="36"/>
      <c r="JA321" s="36"/>
      <c r="JB321" s="36"/>
      <c r="JC321" s="36"/>
      <c r="JD321" s="36"/>
      <c r="JE321" s="36"/>
      <c r="JF321" s="36"/>
      <c r="JG321" s="36"/>
      <c r="JH321" s="36"/>
      <c r="JI321" s="36"/>
      <c r="JJ321" s="36"/>
      <c r="JK321" s="36"/>
      <c r="JL321" s="37"/>
      <c r="JM321" s="44"/>
      <c r="JN321" s="36"/>
      <c r="JO321" s="36"/>
      <c r="JP321" s="36"/>
      <c r="JQ321" s="36"/>
      <c r="JR321" s="36"/>
      <c r="JS321" s="36"/>
      <c r="JT321" s="36"/>
      <c r="JU321" s="36"/>
      <c r="JV321" s="36"/>
      <c r="JW321" s="36"/>
      <c r="JX321" s="36"/>
      <c r="JY321" s="36"/>
      <c r="JZ321" s="36"/>
      <c r="KA321" s="36"/>
      <c r="KB321" s="36"/>
      <c r="KC321" s="37"/>
      <c r="KD321" s="44"/>
      <c r="KE321" s="36"/>
      <c r="KF321" s="36"/>
      <c r="KG321" s="36"/>
      <c r="KH321" s="36"/>
      <c r="KI321" s="36"/>
      <c r="KJ321" s="36"/>
      <c r="KK321" s="36"/>
      <c r="KL321" s="36"/>
      <c r="KM321" s="36"/>
      <c r="KN321" s="36"/>
      <c r="KO321" s="36"/>
      <c r="KP321" s="36"/>
      <c r="KQ321" s="36"/>
      <c r="KR321" s="36"/>
      <c r="KS321" s="36"/>
      <c r="KT321" s="37"/>
      <c r="KU321" s="36"/>
    </row>
    <row r="322" ht="15.0" customHeight="1">
      <c r="A322" s="44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7"/>
      <c r="R322" s="44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7"/>
      <c r="AI322" s="44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  <c r="AU322" s="36"/>
      <c r="AV322" s="36"/>
      <c r="AW322" s="36"/>
      <c r="AX322" s="36"/>
      <c r="AY322" s="37"/>
      <c r="AZ322" s="44"/>
      <c r="BA322" s="36"/>
      <c r="BB322" s="36"/>
      <c r="BC322" s="36"/>
      <c r="BD322" s="36"/>
      <c r="BE322" s="36"/>
      <c r="BF322" s="36"/>
      <c r="BG322" s="36"/>
      <c r="BH322" s="36"/>
      <c r="BI322" s="36"/>
      <c r="BJ322" s="36"/>
      <c r="BK322" s="36"/>
      <c r="BL322" s="36"/>
      <c r="BM322" s="36"/>
      <c r="BN322" s="36"/>
      <c r="BO322" s="36"/>
      <c r="BP322" s="37"/>
      <c r="BQ322" s="44"/>
      <c r="BR322" s="36"/>
      <c r="BS322" s="36"/>
      <c r="BT322" s="36"/>
      <c r="BU322" s="36"/>
      <c r="BV322" s="36"/>
      <c r="BW322" s="36"/>
      <c r="BX322" s="36"/>
      <c r="BY322" s="36"/>
      <c r="BZ322" s="36"/>
      <c r="CA322" s="36"/>
      <c r="CB322" s="36"/>
      <c r="CC322" s="36"/>
      <c r="CD322" s="36"/>
      <c r="CE322" s="36"/>
      <c r="CF322" s="36"/>
      <c r="CG322" s="37"/>
      <c r="CH322" s="44"/>
      <c r="CI322" s="36"/>
      <c r="CJ322" s="36"/>
      <c r="CK322" s="36"/>
      <c r="CL322" s="36"/>
      <c r="CM322" s="36"/>
      <c r="CN322" s="36"/>
      <c r="CO322" s="36"/>
      <c r="CP322" s="36"/>
      <c r="CQ322" s="36"/>
      <c r="CR322" s="36"/>
      <c r="CS322" s="36"/>
      <c r="CT322" s="36"/>
      <c r="CU322" s="36"/>
      <c r="CV322" s="36"/>
      <c r="CW322" s="36"/>
      <c r="CX322" s="37"/>
      <c r="CY322" s="44"/>
      <c r="CZ322" s="36"/>
      <c r="DA322" s="36"/>
      <c r="DB322" s="36"/>
      <c r="DC322" s="36"/>
      <c r="DD322" s="36"/>
      <c r="DE322" s="36"/>
      <c r="DF322" s="36"/>
      <c r="DG322" s="36"/>
      <c r="DH322" s="36"/>
      <c r="DI322" s="36"/>
      <c r="DJ322" s="36"/>
      <c r="DK322" s="36"/>
      <c r="DL322" s="36"/>
      <c r="DM322" s="36"/>
      <c r="DN322" s="36"/>
      <c r="DO322" s="37"/>
      <c r="DP322" s="44"/>
      <c r="DQ322" s="36"/>
      <c r="DR322" s="36"/>
      <c r="DS322" s="36"/>
      <c r="DT322" s="36"/>
      <c r="DU322" s="36"/>
      <c r="DV322" s="36"/>
      <c r="DW322" s="36"/>
      <c r="DX322" s="36"/>
      <c r="DY322" s="36"/>
      <c r="DZ322" s="36"/>
      <c r="EA322" s="36"/>
      <c r="EB322" s="36"/>
      <c r="EC322" s="36"/>
      <c r="ED322" s="36"/>
      <c r="EE322" s="36"/>
      <c r="EF322" s="37"/>
      <c r="EG322" s="44"/>
      <c r="EH322" s="36"/>
      <c r="EI322" s="36"/>
      <c r="EJ322" s="36"/>
      <c r="EK322" s="36"/>
      <c r="EL322" s="36"/>
      <c r="EM322" s="36"/>
      <c r="EN322" s="36"/>
      <c r="EO322" s="36"/>
      <c r="EP322" s="36"/>
      <c r="EQ322" s="36"/>
      <c r="ER322" s="36"/>
      <c r="ES322" s="36"/>
      <c r="ET322" s="36"/>
      <c r="EU322" s="36"/>
      <c r="EV322" s="36"/>
      <c r="EW322" s="37"/>
      <c r="EX322" s="44"/>
      <c r="EY322" s="36"/>
      <c r="EZ322" s="36"/>
      <c r="FA322" s="36"/>
      <c r="FB322" s="36"/>
      <c r="FC322" s="36"/>
      <c r="FD322" s="36"/>
      <c r="FE322" s="36"/>
      <c r="FF322" s="36"/>
      <c r="FG322" s="36"/>
      <c r="FH322" s="36"/>
      <c r="FI322" s="36"/>
      <c r="FJ322" s="36"/>
      <c r="FK322" s="36"/>
      <c r="FL322" s="36"/>
      <c r="FM322" s="36"/>
      <c r="FN322" s="37"/>
      <c r="FO322" s="44"/>
      <c r="FP322" s="36"/>
      <c r="FQ322" s="36"/>
      <c r="FR322" s="36"/>
      <c r="FS322" s="36"/>
      <c r="FT322" s="36"/>
      <c r="FU322" s="36"/>
      <c r="FV322" s="36"/>
      <c r="FW322" s="36"/>
      <c r="FX322" s="36"/>
      <c r="FY322" s="36"/>
      <c r="FZ322" s="36"/>
      <c r="GA322" s="36"/>
      <c r="GB322" s="36"/>
      <c r="GC322" s="36"/>
      <c r="GD322" s="36"/>
      <c r="GE322" s="37"/>
      <c r="GF322" s="44"/>
      <c r="GG322" s="36"/>
      <c r="GH322" s="36"/>
      <c r="GI322" s="36"/>
      <c r="GJ322" s="36"/>
      <c r="GK322" s="36"/>
      <c r="GL322" s="36"/>
      <c r="GM322" s="36"/>
      <c r="GN322" s="36"/>
      <c r="GO322" s="36"/>
      <c r="GP322" s="36"/>
      <c r="GQ322" s="36"/>
      <c r="GR322" s="36"/>
      <c r="GS322" s="36"/>
      <c r="GT322" s="36"/>
      <c r="GU322" s="36"/>
      <c r="GV322" s="37"/>
      <c r="GW322" s="44"/>
      <c r="GX322" s="36"/>
      <c r="GY322" s="36"/>
      <c r="GZ322" s="36"/>
      <c r="HA322" s="36"/>
      <c r="HB322" s="36"/>
      <c r="HC322" s="36"/>
      <c r="HD322" s="36"/>
      <c r="HE322" s="36"/>
      <c r="HF322" s="36"/>
      <c r="HG322" s="36"/>
      <c r="HH322" s="36"/>
      <c r="HI322" s="36"/>
      <c r="HJ322" s="36"/>
      <c r="HK322" s="36"/>
      <c r="HL322" s="36"/>
      <c r="HM322" s="37"/>
      <c r="HN322" s="44"/>
      <c r="HO322" s="36"/>
      <c r="HP322" s="36"/>
      <c r="HQ322" s="36"/>
      <c r="HR322" s="36"/>
      <c r="HS322" s="36"/>
      <c r="HT322" s="36"/>
      <c r="HU322" s="36"/>
      <c r="HV322" s="36"/>
      <c r="HW322" s="36"/>
      <c r="HX322" s="36"/>
      <c r="HY322" s="36"/>
      <c r="HZ322" s="36"/>
      <c r="IA322" s="36"/>
      <c r="IB322" s="36"/>
      <c r="IC322" s="36"/>
      <c r="ID322" s="37"/>
      <c r="IE322" s="44"/>
      <c r="IF322" s="36"/>
      <c r="IG322" s="36"/>
      <c r="IH322" s="36"/>
      <c r="II322" s="36"/>
      <c r="IJ322" s="36"/>
      <c r="IK322" s="36"/>
      <c r="IL322" s="36"/>
      <c r="IM322" s="36"/>
      <c r="IN322" s="36"/>
      <c r="IO322" s="36"/>
      <c r="IP322" s="36"/>
      <c r="IQ322" s="36"/>
      <c r="IR322" s="36"/>
      <c r="IS322" s="36"/>
      <c r="IT322" s="36"/>
      <c r="IU322" s="37"/>
      <c r="IV322" s="44"/>
      <c r="IW322" s="36"/>
      <c r="IX322" s="36"/>
      <c r="IY322" s="36"/>
      <c r="IZ322" s="36"/>
      <c r="JA322" s="36"/>
      <c r="JB322" s="36"/>
      <c r="JC322" s="36"/>
      <c r="JD322" s="36"/>
      <c r="JE322" s="36"/>
      <c r="JF322" s="36"/>
      <c r="JG322" s="36"/>
      <c r="JH322" s="36"/>
      <c r="JI322" s="36"/>
      <c r="JJ322" s="36"/>
      <c r="JK322" s="36"/>
      <c r="JL322" s="37"/>
      <c r="JM322" s="44"/>
      <c r="JN322" s="36"/>
      <c r="JO322" s="36"/>
      <c r="JP322" s="36"/>
      <c r="JQ322" s="36"/>
      <c r="JR322" s="36"/>
      <c r="JS322" s="36"/>
      <c r="JT322" s="36"/>
      <c r="JU322" s="36"/>
      <c r="JV322" s="36"/>
      <c r="JW322" s="36"/>
      <c r="JX322" s="36"/>
      <c r="JY322" s="36"/>
      <c r="JZ322" s="36"/>
      <c r="KA322" s="36"/>
      <c r="KB322" s="36"/>
      <c r="KC322" s="37"/>
      <c r="KD322" s="44"/>
      <c r="KE322" s="36"/>
      <c r="KF322" s="36"/>
      <c r="KG322" s="36"/>
      <c r="KH322" s="36"/>
      <c r="KI322" s="36"/>
      <c r="KJ322" s="36"/>
      <c r="KK322" s="36"/>
      <c r="KL322" s="36"/>
      <c r="KM322" s="36"/>
      <c r="KN322" s="36"/>
      <c r="KO322" s="36"/>
      <c r="KP322" s="36"/>
      <c r="KQ322" s="36"/>
      <c r="KR322" s="36"/>
      <c r="KS322" s="36"/>
      <c r="KT322" s="37"/>
      <c r="KU322" s="36"/>
    </row>
    <row r="323" ht="15.0" customHeight="1">
      <c r="A323" s="44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7"/>
      <c r="R323" s="44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7"/>
      <c r="AI323" s="44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  <c r="AU323" s="36"/>
      <c r="AV323" s="36"/>
      <c r="AW323" s="36"/>
      <c r="AX323" s="36"/>
      <c r="AY323" s="37"/>
      <c r="AZ323" s="44"/>
      <c r="BA323" s="36"/>
      <c r="BB323" s="36"/>
      <c r="BC323" s="36"/>
      <c r="BD323" s="36"/>
      <c r="BE323" s="36"/>
      <c r="BF323" s="36"/>
      <c r="BG323" s="36"/>
      <c r="BH323" s="36"/>
      <c r="BI323" s="36"/>
      <c r="BJ323" s="36"/>
      <c r="BK323" s="36"/>
      <c r="BL323" s="36"/>
      <c r="BM323" s="36"/>
      <c r="BN323" s="36"/>
      <c r="BO323" s="36"/>
      <c r="BP323" s="37"/>
      <c r="BQ323" s="44"/>
      <c r="BR323" s="36"/>
      <c r="BS323" s="36"/>
      <c r="BT323" s="36"/>
      <c r="BU323" s="36"/>
      <c r="BV323" s="36"/>
      <c r="BW323" s="36"/>
      <c r="BX323" s="36"/>
      <c r="BY323" s="36"/>
      <c r="BZ323" s="36"/>
      <c r="CA323" s="36"/>
      <c r="CB323" s="36"/>
      <c r="CC323" s="36"/>
      <c r="CD323" s="36"/>
      <c r="CE323" s="36"/>
      <c r="CF323" s="36"/>
      <c r="CG323" s="37"/>
      <c r="CH323" s="44"/>
      <c r="CI323" s="36"/>
      <c r="CJ323" s="36"/>
      <c r="CK323" s="36"/>
      <c r="CL323" s="36"/>
      <c r="CM323" s="36"/>
      <c r="CN323" s="36"/>
      <c r="CO323" s="36"/>
      <c r="CP323" s="36"/>
      <c r="CQ323" s="36"/>
      <c r="CR323" s="36"/>
      <c r="CS323" s="36"/>
      <c r="CT323" s="36"/>
      <c r="CU323" s="36"/>
      <c r="CV323" s="36"/>
      <c r="CW323" s="36"/>
      <c r="CX323" s="37"/>
      <c r="CY323" s="44"/>
      <c r="CZ323" s="36"/>
      <c r="DA323" s="36"/>
      <c r="DB323" s="36"/>
      <c r="DC323" s="36"/>
      <c r="DD323" s="36"/>
      <c r="DE323" s="36"/>
      <c r="DF323" s="36"/>
      <c r="DG323" s="36"/>
      <c r="DH323" s="36"/>
      <c r="DI323" s="36"/>
      <c r="DJ323" s="36"/>
      <c r="DK323" s="36"/>
      <c r="DL323" s="36"/>
      <c r="DM323" s="36"/>
      <c r="DN323" s="36"/>
      <c r="DO323" s="37"/>
      <c r="DP323" s="44"/>
      <c r="DQ323" s="36"/>
      <c r="DR323" s="36"/>
      <c r="DS323" s="36"/>
      <c r="DT323" s="36"/>
      <c r="DU323" s="36"/>
      <c r="DV323" s="36"/>
      <c r="DW323" s="36"/>
      <c r="DX323" s="36"/>
      <c r="DY323" s="36"/>
      <c r="DZ323" s="36"/>
      <c r="EA323" s="36"/>
      <c r="EB323" s="36"/>
      <c r="EC323" s="36"/>
      <c r="ED323" s="36"/>
      <c r="EE323" s="36"/>
      <c r="EF323" s="37"/>
      <c r="EG323" s="44"/>
      <c r="EH323" s="36"/>
      <c r="EI323" s="36"/>
      <c r="EJ323" s="36"/>
      <c r="EK323" s="36"/>
      <c r="EL323" s="36"/>
      <c r="EM323" s="36"/>
      <c r="EN323" s="36"/>
      <c r="EO323" s="36"/>
      <c r="EP323" s="36"/>
      <c r="EQ323" s="36"/>
      <c r="ER323" s="36"/>
      <c r="ES323" s="36"/>
      <c r="ET323" s="36"/>
      <c r="EU323" s="36"/>
      <c r="EV323" s="36"/>
      <c r="EW323" s="37"/>
      <c r="EX323" s="44"/>
      <c r="EY323" s="36"/>
      <c r="EZ323" s="36"/>
      <c r="FA323" s="36"/>
      <c r="FB323" s="36"/>
      <c r="FC323" s="36"/>
      <c r="FD323" s="36"/>
      <c r="FE323" s="36"/>
      <c r="FF323" s="36"/>
      <c r="FG323" s="36"/>
      <c r="FH323" s="36"/>
      <c r="FI323" s="36"/>
      <c r="FJ323" s="36"/>
      <c r="FK323" s="36"/>
      <c r="FL323" s="36"/>
      <c r="FM323" s="36"/>
      <c r="FN323" s="37"/>
      <c r="FO323" s="44"/>
      <c r="FP323" s="36"/>
      <c r="FQ323" s="36"/>
      <c r="FR323" s="36"/>
      <c r="FS323" s="36"/>
      <c r="FT323" s="36"/>
      <c r="FU323" s="36"/>
      <c r="FV323" s="36"/>
      <c r="FW323" s="36"/>
      <c r="FX323" s="36"/>
      <c r="FY323" s="36"/>
      <c r="FZ323" s="36"/>
      <c r="GA323" s="36"/>
      <c r="GB323" s="36"/>
      <c r="GC323" s="36"/>
      <c r="GD323" s="36"/>
      <c r="GE323" s="37"/>
      <c r="GF323" s="44"/>
      <c r="GG323" s="36"/>
      <c r="GH323" s="36"/>
      <c r="GI323" s="36"/>
      <c r="GJ323" s="36"/>
      <c r="GK323" s="36"/>
      <c r="GL323" s="36"/>
      <c r="GM323" s="36"/>
      <c r="GN323" s="36"/>
      <c r="GO323" s="36"/>
      <c r="GP323" s="36"/>
      <c r="GQ323" s="36"/>
      <c r="GR323" s="36"/>
      <c r="GS323" s="36"/>
      <c r="GT323" s="36"/>
      <c r="GU323" s="36"/>
      <c r="GV323" s="37"/>
      <c r="GW323" s="44"/>
      <c r="GX323" s="36"/>
      <c r="GY323" s="36"/>
      <c r="GZ323" s="36"/>
      <c r="HA323" s="36"/>
      <c r="HB323" s="36"/>
      <c r="HC323" s="36"/>
      <c r="HD323" s="36"/>
      <c r="HE323" s="36"/>
      <c r="HF323" s="36"/>
      <c r="HG323" s="36"/>
      <c r="HH323" s="36"/>
      <c r="HI323" s="36"/>
      <c r="HJ323" s="36"/>
      <c r="HK323" s="36"/>
      <c r="HL323" s="36"/>
      <c r="HM323" s="37"/>
      <c r="HN323" s="44"/>
      <c r="HO323" s="36"/>
      <c r="HP323" s="36"/>
      <c r="HQ323" s="36"/>
      <c r="HR323" s="36"/>
      <c r="HS323" s="36"/>
      <c r="HT323" s="36"/>
      <c r="HU323" s="36"/>
      <c r="HV323" s="36"/>
      <c r="HW323" s="36"/>
      <c r="HX323" s="36"/>
      <c r="HY323" s="36"/>
      <c r="HZ323" s="36"/>
      <c r="IA323" s="36"/>
      <c r="IB323" s="36"/>
      <c r="IC323" s="36"/>
      <c r="ID323" s="37"/>
      <c r="IE323" s="44"/>
      <c r="IF323" s="36"/>
      <c r="IG323" s="36"/>
      <c r="IH323" s="36"/>
      <c r="II323" s="36"/>
      <c r="IJ323" s="36"/>
      <c r="IK323" s="36"/>
      <c r="IL323" s="36"/>
      <c r="IM323" s="36"/>
      <c r="IN323" s="36"/>
      <c r="IO323" s="36"/>
      <c r="IP323" s="36"/>
      <c r="IQ323" s="36"/>
      <c r="IR323" s="36"/>
      <c r="IS323" s="36"/>
      <c r="IT323" s="36"/>
      <c r="IU323" s="37"/>
      <c r="IV323" s="44"/>
      <c r="IW323" s="36"/>
      <c r="IX323" s="36"/>
      <c r="IY323" s="36"/>
      <c r="IZ323" s="36"/>
      <c r="JA323" s="36"/>
      <c r="JB323" s="36"/>
      <c r="JC323" s="36"/>
      <c r="JD323" s="36"/>
      <c r="JE323" s="36"/>
      <c r="JF323" s="36"/>
      <c r="JG323" s="36"/>
      <c r="JH323" s="36"/>
      <c r="JI323" s="36"/>
      <c r="JJ323" s="36"/>
      <c r="JK323" s="36"/>
      <c r="JL323" s="37"/>
      <c r="JM323" s="44"/>
      <c r="JN323" s="36"/>
      <c r="JO323" s="36"/>
      <c r="JP323" s="36"/>
      <c r="JQ323" s="36"/>
      <c r="JR323" s="36"/>
      <c r="JS323" s="36"/>
      <c r="JT323" s="36"/>
      <c r="JU323" s="36"/>
      <c r="JV323" s="36"/>
      <c r="JW323" s="36"/>
      <c r="JX323" s="36"/>
      <c r="JY323" s="36"/>
      <c r="JZ323" s="36"/>
      <c r="KA323" s="36"/>
      <c r="KB323" s="36"/>
      <c r="KC323" s="37"/>
      <c r="KD323" s="44"/>
      <c r="KE323" s="36"/>
      <c r="KF323" s="36"/>
      <c r="KG323" s="36"/>
      <c r="KH323" s="36"/>
      <c r="KI323" s="36"/>
      <c r="KJ323" s="36"/>
      <c r="KK323" s="36"/>
      <c r="KL323" s="36"/>
      <c r="KM323" s="36"/>
      <c r="KN323" s="36"/>
      <c r="KO323" s="36"/>
      <c r="KP323" s="36"/>
      <c r="KQ323" s="36"/>
      <c r="KR323" s="36"/>
      <c r="KS323" s="36"/>
      <c r="KT323" s="37"/>
      <c r="KU323" s="36"/>
    </row>
    <row r="324" ht="15.0" customHeight="1">
      <c r="A324" s="44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7"/>
      <c r="R324" s="44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7"/>
      <c r="AI324" s="44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  <c r="AU324" s="36"/>
      <c r="AV324" s="36"/>
      <c r="AW324" s="36"/>
      <c r="AX324" s="36"/>
      <c r="AY324" s="37"/>
      <c r="AZ324" s="44"/>
      <c r="BA324" s="36"/>
      <c r="BB324" s="36"/>
      <c r="BC324" s="36"/>
      <c r="BD324" s="36"/>
      <c r="BE324" s="36"/>
      <c r="BF324" s="36"/>
      <c r="BG324" s="36"/>
      <c r="BH324" s="36"/>
      <c r="BI324" s="36"/>
      <c r="BJ324" s="36"/>
      <c r="BK324" s="36"/>
      <c r="BL324" s="36"/>
      <c r="BM324" s="36"/>
      <c r="BN324" s="36"/>
      <c r="BO324" s="36"/>
      <c r="BP324" s="37"/>
      <c r="BQ324" s="44"/>
      <c r="BR324" s="36"/>
      <c r="BS324" s="36"/>
      <c r="BT324" s="36"/>
      <c r="BU324" s="36"/>
      <c r="BV324" s="36"/>
      <c r="BW324" s="36"/>
      <c r="BX324" s="36"/>
      <c r="BY324" s="36"/>
      <c r="BZ324" s="36"/>
      <c r="CA324" s="36"/>
      <c r="CB324" s="36"/>
      <c r="CC324" s="36"/>
      <c r="CD324" s="36"/>
      <c r="CE324" s="36"/>
      <c r="CF324" s="36"/>
      <c r="CG324" s="37"/>
      <c r="CH324" s="44"/>
      <c r="CI324" s="36"/>
      <c r="CJ324" s="36"/>
      <c r="CK324" s="36"/>
      <c r="CL324" s="36"/>
      <c r="CM324" s="36"/>
      <c r="CN324" s="36"/>
      <c r="CO324" s="36"/>
      <c r="CP324" s="36"/>
      <c r="CQ324" s="36"/>
      <c r="CR324" s="36"/>
      <c r="CS324" s="36"/>
      <c r="CT324" s="36"/>
      <c r="CU324" s="36"/>
      <c r="CV324" s="36"/>
      <c r="CW324" s="36"/>
      <c r="CX324" s="37"/>
      <c r="CY324" s="44"/>
      <c r="CZ324" s="36"/>
      <c r="DA324" s="36"/>
      <c r="DB324" s="36"/>
      <c r="DC324" s="36"/>
      <c r="DD324" s="36"/>
      <c r="DE324" s="36"/>
      <c r="DF324" s="36"/>
      <c r="DG324" s="36"/>
      <c r="DH324" s="36"/>
      <c r="DI324" s="36"/>
      <c r="DJ324" s="36"/>
      <c r="DK324" s="36"/>
      <c r="DL324" s="36"/>
      <c r="DM324" s="36"/>
      <c r="DN324" s="36"/>
      <c r="DO324" s="37"/>
      <c r="DP324" s="44"/>
      <c r="DQ324" s="36"/>
      <c r="DR324" s="36"/>
      <c r="DS324" s="36"/>
      <c r="DT324" s="36"/>
      <c r="DU324" s="36"/>
      <c r="DV324" s="36"/>
      <c r="DW324" s="36"/>
      <c r="DX324" s="36"/>
      <c r="DY324" s="36"/>
      <c r="DZ324" s="36"/>
      <c r="EA324" s="36"/>
      <c r="EB324" s="36"/>
      <c r="EC324" s="36"/>
      <c r="ED324" s="36"/>
      <c r="EE324" s="36"/>
      <c r="EF324" s="37"/>
      <c r="EG324" s="44"/>
      <c r="EH324" s="36"/>
      <c r="EI324" s="36"/>
      <c r="EJ324" s="36"/>
      <c r="EK324" s="36"/>
      <c r="EL324" s="36"/>
      <c r="EM324" s="36"/>
      <c r="EN324" s="36"/>
      <c r="EO324" s="36"/>
      <c r="EP324" s="36"/>
      <c r="EQ324" s="36"/>
      <c r="ER324" s="36"/>
      <c r="ES324" s="36"/>
      <c r="ET324" s="36"/>
      <c r="EU324" s="36"/>
      <c r="EV324" s="36"/>
      <c r="EW324" s="37"/>
      <c r="EX324" s="44"/>
      <c r="EY324" s="36"/>
      <c r="EZ324" s="36"/>
      <c r="FA324" s="36"/>
      <c r="FB324" s="36"/>
      <c r="FC324" s="36"/>
      <c r="FD324" s="36"/>
      <c r="FE324" s="36"/>
      <c r="FF324" s="36"/>
      <c r="FG324" s="36"/>
      <c r="FH324" s="36"/>
      <c r="FI324" s="36"/>
      <c r="FJ324" s="36"/>
      <c r="FK324" s="36"/>
      <c r="FL324" s="36"/>
      <c r="FM324" s="36"/>
      <c r="FN324" s="37"/>
      <c r="FO324" s="44"/>
      <c r="FP324" s="36"/>
      <c r="FQ324" s="36"/>
      <c r="FR324" s="36"/>
      <c r="FS324" s="36"/>
      <c r="FT324" s="36"/>
      <c r="FU324" s="36"/>
      <c r="FV324" s="36"/>
      <c r="FW324" s="36"/>
      <c r="FX324" s="36"/>
      <c r="FY324" s="36"/>
      <c r="FZ324" s="36"/>
      <c r="GA324" s="36"/>
      <c r="GB324" s="36"/>
      <c r="GC324" s="36"/>
      <c r="GD324" s="36"/>
      <c r="GE324" s="37"/>
      <c r="GF324" s="44"/>
      <c r="GG324" s="36"/>
      <c r="GH324" s="36"/>
      <c r="GI324" s="36"/>
      <c r="GJ324" s="36"/>
      <c r="GK324" s="36"/>
      <c r="GL324" s="36"/>
      <c r="GM324" s="36"/>
      <c r="GN324" s="36"/>
      <c r="GO324" s="36"/>
      <c r="GP324" s="36"/>
      <c r="GQ324" s="36"/>
      <c r="GR324" s="36"/>
      <c r="GS324" s="36"/>
      <c r="GT324" s="36"/>
      <c r="GU324" s="36"/>
      <c r="GV324" s="37"/>
      <c r="GW324" s="44"/>
      <c r="GX324" s="36"/>
      <c r="GY324" s="36"/>
      <c r="GZ324" s="36"/>
      <c r="HA324" s="36"/>
      <c r="HB324" s="36"/>
      <c r="HC324" s="36"/>
      <c r="HD324" s="36"/>
      <c r="HE324" s="36"/>
      <c r="HF324" s="36"/>
      <c r="HG324" s="36"/>
      <c r="HH324" s="36"/>
      <c r="HI324" s="36"/>
      <c r="HJ324" s="36"/>
      <c r="HK324" s="36"/>
      <c r="HL324" s="36"/>
      <c r="HM324" s="37"/>
      <c r="HN324" s="44"/>
      <c r="HO324" s="36"/>
      <c r="HP324" s="36"/>
      <c r="HQ324" s="36"/>
      <c r="HR324" s="36"/>
      <c r="HS324" s="36"/>
      <c r="HT324" s="36"/>
      <c r="HU324" s="36"/>
      <c r="HV324" s="36"/>
      <c r="HW324" s="36"/>
      <c r="HX324" s="36"/>
      <c r="HY324" s="36"/>
      <c r="HZ324" s="36"/>
      <c r="IA324" s="36"/>
      <c r="IB324" s="36"/>
      <c r="IC324" s="36"/>
      <c r="ID324" s="37"/>
      <c r="IE324" s="44"/>
      <c r="IF324" s="36"/>
      <c r="IG324" s="36"/>
      <c r="IH324" s="36"/>
      <c r="II324" s="36"/>
      <c r="IJ324" s="36"/>
      <c r="IK324" s="36"/>
      <c r="IL324" s="36"/>
      <c r="IM324" s="36"/>
      <c r="IN324" s="36"/>
      <c r="IO324" s="36"/>
      <c r="IP324" s="36"/>
      <c r="IQ324" s="36"/>
      <c r="IR324" s="36"/>
      <c r="IS324" s="36"/>
      <c r="IT324" s="36"/>
      <c r="IU324" s="37"/>
      <c r="IV324" s="44"/>
      <c r="IW324" s="36"/>
      <c r="IX324" s="36"/>
      <c r="IY324" s="36"/>
      <c r="IZ324" s="36"/>
      <c r="JA324" s="36"/>
      <c r="JB324" s="36"/>
      <c r="JC324" s="36"/>
      <c r="JD324" s="36"/>
      <c r="JE324" s="36"/>
      <c r="JF324" s="36"/>
      <c r="JG324" s="36"/>
      <c r="JH324" s="36"/>
      <c r="JI324" s="36"/>
      <c r="JJ324" s="36"/>
      <c r="JK324" s="36"/>
      <c r="JL324" s="37"/>
      <c r="JM324" s="44"/>
      <c r="JN324" s="36"/>
      <c r="JO324" s="36"/>
      <c r="JP324" s="36"/>
      <c r="JQ324" s="36"/>
      <c r="JR324" s="36"/>
      <c r="JS324" s="36"/>
      <c r="JT324" s="36"/>
      <c r="JU324" s="36"/>
      <c r="JV324" s="36"/>
      <c r="JW324" s="36"/>
      <c r="JX324" s="36"/>
      <c r="JY324" s="36"/>
      <c r="JZ324" s="36"/>
      <c r="KA324" s="36"/>
      <c r="KB324" s="36"/>
      <c r="KC324" s="37"/>
      <c r="KD324" s="44"/>
      <c r="KE324" s="36"/>
      <c r="KF324" s="36"/>
      <c r="KG324" s="36"/>
      <c r="KH324" s="36"/>
      <c r="KI324" s="36"/>
      <c r="KJ324" s="36"/>
      <c r="KK324" s="36"/>
      <c r="KL324" s="36"/>
      <c r="KM324" s="36"/>
      <c r="KN324" s="36"/>
      <c r="KO324" s="36"/>
      <c r="KP324" s="36"/>
      <c r="KQ324" s="36"/>
      <c r="KR324" s="36"/>
      <c r="KS324" s="36"/>
      <c r="KT324" s="37"/>
      <c r="KU324" s="36"/>
    </row>
    <row r="325" ht="15.0" customHeight="1">
      <c r="A325" s="44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7"/>
      <c r="R325" s="44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7"/>
      <c r="AI325" s="44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36"/>
      <c r="AU325" s="36"/>
      <c r="AV325" s="36"/>
      <c r="AW325" s="36"/>
      <c r="AX325" s="36"/>
      <c r="AY325" s="37"/>
      <c r="AZ325" s="44"/>
      <c r="BA325" s="36"/>
      <c r="BB325" s="36"/>
      <c r="BC325" s="36"/>
      <c r="BD325" s="36"/>
      <c r="BE325" s="36"/>
      <c r="BF325" s="36"/>
      <c r="BG325" s="36"/>
      <c r="BH325" s="36"/>
      <c r="BI325" s="36"/>
      <c r="BJ325" s="36"/>
      <c r="BK325" s="36"/>
      <c r="BL325" s="36"/>
      <c r="BM325" s="36"/>
      <c r="BN325" s="36"/>
      <c r="BO325" s="36"/>
      <c r="BP325" s="37"/>
      <c r="BQ325" s="44"/>
      <c r="BR325" s="36"/>
      <c r="BS325" s="36"/>
      <c r="BT325" s="36"/>
      <c r="BU325" s="36"/>
      <c r="BV325" s="36"/>
      <c r="BW325" s="36"/>
      <c r="BX325" s="36"/>
      <c r="BY325" s="36"/>
      <c r="BZ325" s="36"/>
      <c r="CA325" s="36"/>
      <c r="CB325" s="36"/>
      <c r="CC325" s="36"/>
      <c r="CD325" s="36"/>
      <c r="CE325" s="36"/>
      <c r="CF325" s="36"/>
      <c r="CG325" s="37"/>
      <c r="CH325" s="44"/>
      <c r="CI325" s="36"/>
      <c r="CJ325" s="36"/>
      <c r="CK325" s="36"/>
      <c r="CL325" s="36"/>
      <c r="CM325" s="36"/>
      <c r="CN325" s="36"/>
      <c r="CO325" s="36"/>
      <c r="CP325" s="36"/>
      <c r="CQ325" s="36"/>
      <c r="CR325" s="36"/>
      <c r="CS325" s="36"/>
      <c r="CT325" s="36"/>
      <c r="CU325" s="36"/>
      <c r="CV325" s="36"/>
      <c r="CW325" s="36"/>
      <c r="CX325" s="37"/>
      <c r="CY325" s="44"/>
      <c r="CZ325" s="36"/>
      <c r="DA325" s="36"/>
      <c r="DB325" s="36"/>
      <c r="DC325" s="36"/>
      <c r="DD325" s="36"/>
      <c r="DE325" s="36"/>
      <c r="DF325" s="36"/>
      <c r="DG325" s="36"/>
      <c r="DH325" s="36"/>
      <c r="DI325" s="36"/>
      <c r="DJ325" s="36"/>
      <c r="DK325" s="36"/>
      <c r="DL325" s="36"/>
      <c r="DM325" s="36"/>
      <c r="DN325" s="36"/>
      <c r="DO325" s="37"/>
      <c r="DP325" s="44"/>
      <c r="DQ325" s="36"/>
      <c r="DR325" s="36"/>
      <c r="DS325" s="36"/>
      <c r="DT325" s="36"/>
      <c r="DU325" s="36"/>
      <c r="DV325" s="36"/>
      <c r="DW325" s="36"/>
      <c r="DX325" s="36"/>
      <c r="DY325" s="36"/>
      <c r="DZ325" s="36"/>
      <c r="EA325" s="36"/>
      <c r="EB325" s="36"/>
      <c r="EC325" s="36"/>
      <c r="ED325" s="36"/>
      <c r="EE325" s="36"/>
      <c r="EF325" s="37"/>
      <c r="EG325" s="44"/>
      <c r="EH325" s="36"/>
      <c r="EI325" s="36"/>
      <c r="EJ325" s="36"/>
      <c r="EK325" s="36"/>
      <c r="EL325" s="36"/>
      <c r="EM325" s="36"/>
      <c r="EN325" s="36"/>
      <c r="EO325" s="36"/>
      <c r="EP325" s="36"/>
      <c r="EQ325" s="36"/>
      <c r="ER325" s="36"/>
      <c r="ES325" s="36"/>
      <c r="ET325" s="36"/>
      <c r="EU325" s="36"/>
      <c r="EV325" s="36"/>
      <c r="EW325" s="37"/>
      <c r="EX325" s="44"/>
      <c r="EY325" s="36"/>
      <c r="EZ325" s="36"/>
      <c r="FA325" s="36"/>
      <c r="FB325" s="36"/>
      <c r="FC325" s="36"/>
      <c r="FD325" s="36"/>
      <c r="FE325" s="36"/>
      <c r="FF325" s="36"/>
      <c r="FG325" s="36"/>
      <c r="FH325" s="36"/>
      <c r="FI325" s="36"/>
      <c r="FJ325" s="36"/>
      <c r="FK325" s="36"/>
      <c r="FL325" s="36"/>
      <c r="FM325" s="36"/>
      <c r="FN325" s="37"/>
      <c r="FO325" s="44"/>
      <c r="FP325" s="36"/>
      <c r="FQ325" s="36"/>
      <c r="FR325" s="36"/>
      <c r="FS325" s="36"/>
      <c r="FT325" s="36"/>
      <c r="FU325" s="36"/>
      <c r="FV325" s="36"/>
      <c r="FW325" s="36"/>
      <c r="FX325" s="36"/>
      <c r="FY325" s="36"/>
      <c r="FZ325" s="36"/>
      <c r="GA325" s="36"/>
      <c r="GB325" s="36"/>
      <c r="GC325" s="36"/>
      <c r="GD325" s="36"/>
      <c r="GE325" s="37"/>
      <c r="GF325" s="44"/>
      <c r="GG325" s="36"/>
      <c r="GH325" s="36"/>
      <c r="GI325" s="36"/>
      <c r="GJ325" s="36"/>
      <c r="GK325" s="36"/>
      <c r="GL325" s="36"/>
      <c r="GM325" s="36"/>
      <c r="GN325" s="36"/>
      <c r="GO325" s="36"/>
      <c r="GP325" s="36"/>
      <c r="GQ325" s="36"/>
      <c r="GR325" s="36"/>
      <c r="GS325" s="36"/>
      <c r="GT325" s="36"/>
      <c r="GU325" s="36"/>
      <c r="GV325" s="37"/>
      <c r="GW325" s="44"/>
      <c r="GX325" s="36"/>
      <c r="GY325" s="36"/>
      <c r="GZ325" s="36"/>
      <c r="HA325" s="36"/>
      <c r="HB325" s="36"/>
      <c r="HC325" s="36"/>
      <c r="HD325" s="36"/>
      <c r="HE325" s="36"/>
      <c r="HF325" s="36"/>
      <c r="HG325" s="36"/>
      <c r="HH325" s="36"/>
      <c r="HI325" s="36"/>
      <c r="HJ325" s="36"/>
      <c r="HK325" s="36"/>
      <c r="HL325" s="36"/>
      <c r="HM325" s="37"/>
      <c r="HN325" s="44"/>
      <c r="HO325" s="36"/>
      <c r="HP325" s="36"/>
      <c r="HQ325" s="36"/>
      <c r="HR325" s="36"/>
      <c r="HS325" s="36"/>
      <c r="HT325" s="36"/>
      <c r="HU325" s="36"/>
      <c r="HV325" s="36"/>
      <c r="HW325" s="36"/>
      <c r="HX325" s="36"/>
      <c r="HY325" s="36"/>
      <c r="HZ325" s="36"/>
      <c r="IA325" s="36"/>
      <c r="IB325" s="36"/>
      <c r="IC325" s="36"/>
      <c r="ID325" s="37"/>
      <c r="IE325" s="44"/>
      <c r="IF325" s="36"/>
      <c r="IG325" s="36"/>
      <c r="IH325" s="36"/>
      <c r="II325" s="36"/>
      <c r="IJ325" s="36"/>
      <c r="IK325" s="36"/>
      <c r="IL325" s="36"/>
      <c r="IM325" s="36"/>
      <c r="IN325" s="36"/>
      <c r="IO325" s="36"/>
      <c r="IP325" s="36"/>
      <c r="IQ325" s="36"/>
      <c r="IR325" s="36"/>
      <c r="IS325" s="36"/>
      <c r="IT325" s="36"/>
      <c r="IU325" s="37"/>
      <c r="IV325" s="44"/>
      <c r="IW325" s="36"/>
      <c r="IX325" s="36"/>
      <c r="IY325" s="36"/>
      <c r="IZ325" s="36"/>
      <c r="JA325" s="36"/>
      <c r="JB325" s="36"/>
      <c r="JC325" s="36"/>
      <c r="JD325" s="36"/>
      <c r="JE325" s="36"/>
      <c r="JF325" s="36"/>
      <c r="JG325" s="36"/>
      <c r="JH325" s="36"/>
      <c r="JI325" s="36"/>
      <c r="JJ325" s="36"/>
      <c r="JK325" s="36"/>
      <c r="JL325" s="37"/>
      <c r="JM325" s="44"/>
      <c r="JN325" s="36"/>
      <c r="JO325" s="36"/>
      <c r="JP325" s="36"/>
      <c r="JQ325" s="36"/>
      <c r="JR325" s="36"/>
      <c r="JS325" s="36"/>
      <c r="JT325" s="36"/>
      <c r="JU325" s="36"/>
      <c r="JV325" s="36"/>
      <c r="JW325" s="36"/>
      <c r="JX325" s="36"/>
      <c r="JY325" s="36"/>
      <c r="JZ325" s="36"/>
      <c r="KA325" s="36"/>
      <c r="KB325" s="36"/>
      <c r="KC325" s="37"/>
      <c r="KD325" s="44"/>
      <c r="KE325" s="36"/>
      <c r="KF325" s="36"/>
      <c r="KG325" s="36"/>
      <c r="KH325" s="36"/>
      <c r="KI325" s="36"/>
      <c r="KJ325" s="36"/>
      <c r="KK325" s="36"/>
      <c r="KL325" s="36"/>
      <c r="KM325" s="36"/>
      <c r="KN325" s="36"/>
      <c r="KO325" s="36"/>
      <c r="KP325" s="36"/>
      <c r="KQ325" s="36"/>
      <c r="KR325" s="36"/>
      <c r="KS325" s="36"/>
      <c r="KT325" s="37"/>
      <c r="KU325" s="36"/>
    </row>
    <row r="326" ht="15.0" customHeight="1">
      <c r="A326" s="44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7"/>
      <c r="R326" s="44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7"/>
      <c r="AI326" s="44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  <c r="AU326" s="36"/>
      <c r="AV326" s="36"/>
      <c r="AW326" s="36"/>
      <c r="AX326" s="36"/>
      <c r="AY326" s="37"/>
      <c r="AZ326" s="44"/>
      <c r="BA326" s="36"/>
      <c r="BB326" s="36"/>
      <c r="BC326" s="36"/>
      <c r="BD326" s="36"/>
      <c r="BE326" s="36"/>
      <c r="BF326" s="36"/>
      <c r="BG326" s="36"/>
      <c r="BH326" s="36"/>
      <c r="BI326" s="36"/>
      <c r="BJ326" s="36"/>
      <c r="BK326" s="36"/>
      <c r="BL326" s="36"/>
      <c r="BM326" s="36"/>
      <c r="BN326" s="36"/>
      <c r="BO326" s="36"/>
      <c r="BP326" s="37"/>
      <c r="BQ326" s="44"/>
      <c r="BR326" s="36"/>
      <c r="BS326" s="36"/>
      <c r="BT326" s="36"/>
      <c r="BU326" s="36"/>
      <c r="BV326" s="36"/>
      <c r="BW326" s="36"/>
      <c r="BX326" s="36"/>
      <c r="BY326" s="36"/>
      <c r="BZ326" s="36"/>
      <c r="CA326" s="36"/>
      <c r="CB326" s="36"/>
      <c r="CC326" s="36"/>
      <c r="CD326" s="36"/>
      <c r="CE326" s="36"/>
      <c r="CF326" s="36"/>
      <c r="CG326" s="37"/>
      <c r="CH326" s="44"/>
      <c r="CI326" s="36"/>
      <c r="CJ326" s="36"/>
      <c r="CK326" s="36"/>
      <c r="CL326" s="36"/>
      <c r="CM326" s="36"/>
      <c r="CN326" s="36"/>
      <c r="CO326" s="36"/>
      <c r="CP326" s="36"/>
      <c r="CQ326" s="36"/>
      <c r="CR326" s="36"/>
      <c r="CS326" s="36"/>
      <c r="CT326" s="36"/>
      <c r="CU326" s="36"/>
      <c r="CV326" s="36"/>
      <c r="CW326" s="36"/>
      <c r="CX326" s="37"/>
      <c r="CY326" s="44"/>
      <c r="CZ326" s="36"/>
      <c r="DA326" s="36"/>
      <c r="DB326" s="36"/>
      <c r="DC326" s="36"/>
      <c r="DD326" s="36"/>
      <c r="DE326" s="36"/>
      <c r="DF326" s="36"/>
      <c r="DG326" s="36"/>
      <c r="DH326" s="36"/>
      <c r="DI326" s="36"/>
      <c r="DJ326" s="36"/>
      <c r="DK326" s="36"/>
      <c r="DL326" s="36"/>
      <c r="DM326" s="36"/>
      <c r="DN326" s="36"/>
      <c r="DO326" s="37"/>
      <c r="DP326" s="44"/>
      <c r="DQ326" s="36"/>
      <c r="DR326" s="36"/>
      <c r="DS326" s="36"/>
      <c r="DT326" s="36"/>
      <c r="DU326" s="36"/>
      <c r="DV326" s="36"/>
      <c r="DW326" s="36"/>
      <c r="DX326" s="36"/>
      <c r="DY326" s="36"/>
      <c r="DZ326" s="36"/>
      <c r="EA326" s="36"/>
      <c r="EB326" s="36"/>
      <c r="EC326" s="36"/>
      <c r="ED326" s="36"/>
      <c r="EE326" s="36"/>
      <c r="EF326" s="37"/>
      <c r="EG326" s="44"/>
      <c r="EH326" s="36"/>
      <c r="EI326" s="36"/>
      <c r="EJ326" s="36"/>
      <c r="EK326" s="36"/>
      <c r="EL326" s="36"/>
      <c r="EM326" s="36"/>
      <c r="EN326" s="36"/>
      <c r="EO326" s="36"/>
      <c r="EP326" s="36"/>
      <c r="EQ326" s="36"/>
      <c r="ER326" s="36"/>
      <c r="ES326" s="36"/>
      <c r="ET326" s="36"/>
      <c r="EU326" s="36"/>
      <c r="EV326" s="36"/>
      <c r="EW326" s="37"/>
      <c r="EX326" s="44"/>
      <c r="EY326" s="36"/>
      <c r="EZ326" s="36"/>
      <c r="FA326" s="36"/>
      <c r="FB326" s="36"/>
      <c r="FC326" s="36"/>
      <c r="FD326" s="36"/>
      <c r="FE326" s="36"/>
      <c r="FF326" s="36"/>
      <c r="FG326" s="36"/>
      <c r="FH326" s="36"/>
      <c r="FI326" s="36"/>
      <c r="FJ326" s="36"/>
      <c r="FK326" s="36"/>
      <c r="FL326" s="36"/>
      <c r="FM326" s="36"/>
      <c r="FN326" s="37"/>
      <c r="FO326" s="44"/>
      <c r="FP326" s="36"/>
      <c r="FQ326" s="36"/>
      <c r="FR326" s="36"/>
      <c r="FS326" s="36"/>
      <c r="FT326" s="36"/>
      <c r="FU326" s="36"/>
      <c r="FV326" s="36"/>
      <c r="FW326" s="36"/>
      <c r="FX326" s="36"/>
      <c r="FY326" s="36"/>
      <c r="FZ326" s="36"/>
      <c r="GA326" s="36"/>
      <c r="GB326" s="36"/>
      <c r="GC326" s="36"/>
      <c r="GD326" s="36"/>
      <c r="GE326" s="37"/>
      <c r="GF326" s="44"/>
      <c r="GG326" s="36"/>
      <c r="GH326" s="36"/>
      <c r="GI326" s="36"/>
      <c r="GJ326" s="36"/>
      <c r="GK326" s="36"/>
      <c r="GL326" s="36"/>
      <c r="GM326" s="36"/>
      <c r="GN326" s="36"/>
      <c r="GO326" s="36"/>
      <c r="GP326" s="36"/>
      <c r="GQ326" s="36"/>
      <c r="GR326" s="36"/>
      <c r="GS326" s="36"/>
      <c r="GT326" s="36"/>
      <c r="GU326" s="36"/>
      <c r="GV326" s="37"/>
      <c r="GW326" s="44"/>
      <c r="GX326" s="36"/>
      <c r="GY326" s="36"/>
      <c r="GZ326" s="36"/>
      <c r="HA326" s="36"/>
      <c r="HB326" s="36"/>
      <c r="HC326" s="36"/>
      <c r="HD326" s="36"/>
      <c r="HE326" s="36"/>
      <c r="HF326" s="36"/>
      <c r="HG326" s="36"/>
      <c r="HH326" s="36"/>
      <c r="HI326" s="36"/>
      <c r="HJ326" s="36"/>
      <c r="HK326" s="36"/>
      <c r="HL326" s="36"/>
      <c r="HM326" s="37"/>
      <c r="HN326" s="44"/>
      <c r="HO326" s="36"/>
      <c r="HP326" s="36"/>
      <c r="HQ326" s="36"/>
      <c r="HR326" s="36"/>
      <c r="HS326" s="36"/>
      <c r="HT326" s="36"/>
      <c r="HU326" s="36"/>
      <c r="HV326" s="36"/>
      <c r="HW326" s="36"/>
      <c r="HX326" s="36"/>
      <c r="HY326" s="36"/>
      <c r="HZ326" s="36"/>
      <c r="IA326" s="36"/>
      <c r="IB326" s="36"/>
      <c r="IC326" s="36"/>
      <c r="ID326" s="37"/>
      <c r="IE326" s="44"/>
      <c r="IF326" s="36"/>
      <c r="IG326" s="36"/>
      <c r="IH326" s="36"/>
      <c r="II326" s="36"/>
      <c r="IJ326" s="36"/>
      <c r="IK326" s="36"/>
      <c r="IL326" s="36"/>
      <c r="IM326" s="36"/>
      <c r="IN326" s="36"/>
      <c r="IO326" s="36"/>
      <c r="IP326" s="36"/>
      <c r="IQ326" s="36"/>
      <c r="IR326" s="36"/>
      <c r="IS326" s="36"/>
      <c r="IT326" s="36"/>
      <c r="IU326" s="37"/>
      <c r="IV326" s="44"/>
      <c r="IW326" s="36"/>
      <c r="IX326" s="36"/>
      <c r="IY326" s="36"/>
      <c r="IZ326" s="36"/>
      <c r="JA326" s="36"/>
      <c r="JB326" s="36"/>
      <c r="JC326" s="36"/>
      <c r="JD326" s="36"/>
      <c r="JE326" s="36"/>
      <c r="JF326" s="36"/>
      <c r="JG326" s="36"/>
      <c r="JH326" s="36"/>
      <c r="JI326" s="36"/>
      <c r="JJ326" s="36"/>
      <c r="JK326" s="36"/>
      <c r="JL326" s="37"/>
      <c r="JM326" s="44"/>
      <c r="JN326" s="36"/>
      <c r="JO326" s="36"/>
      <c r="JP326" s="36"/>
      <c r="JQ326" s="36"/>
      <c r="JR326" s="36"/>
      <c r="JS326" s="36"/>
      <c r="JT326" s="36"/>
      <c r="JU326" s="36"/>
      <c r="JV326" s="36"/>
      <c r="JW326" s="36"/>
      <c r="JX326" s="36"/>
      <c r="JY326" s="36"/>
      <c r="JZ326" s="36"/>
      <c r="KA326" s="36"/>
      <c r="KB326" s="36"/>
      <c r="KC326" s="37"/>
      <c r="KD326" s="44"/>
      <c r="KE326" s="36"/>
      <c r="KF326" s="36"/>
      <c r="KG326" s="36"/>
      <c r="KH326" s="36"/>
      <c r="KI326" s="36"/>
      <c r="KJ326" s="36"/>
      <c r="KK326" s="36"/>
      <c r="KL326" s="36"/>
      <c r="KM326" s="36"/>
      <c r="KN326" s="36"/>
      <c r="KO326" s="36"/>
      <c r="KP326" s="36"/>
      <c r="KQ326" s="36"/>
      <c r="KR326" s="36"/>
      <c r="KS326" s="36"/>
      <c r="KT326" s="37"/>
      <c r="KU326" s="36"/>
    </row>
    <row r="327" ht="15.0" customHeight="1">
      <c r="A327" s="44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7"/>
      <c r="R327" s="44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7"/>
      <c r="AI327" s="44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36"/>
      <c r="AU327" s="36"/>
      <c r="AV327" s="36"/>
      <c r="AW327" s="36"/>
      <c r="AX327" s="36"/>
      <c r="AY327" s="37"/>
      <c r="AZ327" s="44"/>
      <c r="BA327" s="36"/>
      <c r="BB327" s="36"/>
      <c r="BC327" s="36"/>
      <c r="BD327" s="36"/>
      <c r="BE327" s="36"/>
      <c r="BF327" s="36"/>
      <c r="BG327" s="36"/>
      <c r="BH327" s="36"/>
      <c r="BI327" s="36"/>
      <c r="BJ327" s="36"/>
      <c r="BK327" s="36"/>
      <c r="BL327" s="36"/>
      <c r="BM327" s="36"/>
      <c r="BN327" s="36"/>
      <c r="BO327" s="36"/>
      <c r="BP327" s="37"/>
      <c r="BQ327" s="44"/>
      <c r="BR327" s="36"/>
      <c r="BS327" s="36"/>
      <c r="BT327" s="36"/>
      <c r="BU327" s="36"/>
      <c r="BV327" s="36"/>
      <c r="BW327" s="36"/>
      <c r="BX327" s="36"/>
      <c r="BY327" s="36"/>
      <c r="BZ327" s="36"/>
      <c r="CA327" s="36"/>
      <c r="CB327" s="36"/>
      <c r="CC327" s="36"/>
      <c r="CD327" s="36"/>
      <c r="CE327" s="36"/>
      <c r="CF327" s="36"/>
      <c r="CG327" s="37"/>
      <c r="CH327" s="44"/>
      <c r="CI327" s="36"/>
      <c r="CJ327" s="36"/>
      <c r="CK327" s="36"/>
      <c r="CL327" s="36"/>
      <c r="CM327" s="36"/>
      <c r="CN327" s="36"/>
      <c r="CO327" s="36"/>
      <c r="CP327" s="36"/>
      <c r="CQ327" s="36"/>
      <c r="CR327" s="36"/>
      <c r="CS327" s="36"/>
      <c r="CT327" s="36"/>
      <c r="CU327" s="36"/>
      <c r="CV327" s="36"/>
      <c r="CW327" s="36"/>
      <c r="CX327" s="37"/>
      <c r="CY327" s="44"/>
      <c r="CZ327" s="36"/>
      <c r="DA327" s="36"/>
      <c r="DB327" s="36"/>
      <c r="DC327" s="36"/>
      <c r="DD327" s="36"/>
      <c r="DE327" s="36"/>
      <c r="DF327" s="36"/>
      <c r="DG327" s="36"/>
      <c r="DH327" s="36"/>
      <c r="DI327" s="36"/>
      <c r="DJ327" s="36"/>
      <c r="DK327" s="36"/>
      <c r="DL327" s="36"/>
      <c r="DM327" s="36"/>
      <c r="DN327" s="36"/>
      <c r="DO327" s="37"/>
      <c r="DP327" s="44"/>
      <c r="DQ327" s="36"/>
      <c r="DR327" s="36"/>
      <c r="DS327" s="36"/>
      <c r="DT327" s="36"/>
      <c r="DU327" s="36"/>
      <c r="DV327" s="36"/>
      <c r="DW327" s="36"/>
      <c r="DX327" s="36"/>
      <c r="DY327" s="36"/>
      <c r="DZ327" s="36"/>
      <c r="EA327" s="36"/>
      <c r="EB327" s="36"/>
      <c r="EC327" s="36"/>
      <c r="ED327" s="36"/>
      <c r="EE327" s="36"/>
      <c r="EF327" s="37"/>
      <c r="EG327" s="44"/>
      <c r="EH327" s="36"/>
      <c r="EI327" s="36"/>
      <c r="EJ327" s="36"/>
      <c r="EK327" s="36"/>
      <c r="EL327" s="36"/>
      <c r="EM327" s="36"/>
      <c r="EN327" s="36"/>
      <c r="EO327" s="36"/>
      <c r="EP327" s="36"/>
      <c r="EQ327" s="36"/>
      <c r="ER327" s="36"/>
      <c r="ES327" s="36"/>
      <c r="ET327" s="36"/>
      <c r="EU327" s="36"/>
      <c r="EV327" s="36"/>
      <c r="EW327" s="37"/>
      <c r="EX327" s="44"/>
      <c r="EY327" s="36"/>
      <c r="EZ327" s="36"/>
      <c r="FA327" s="36"/>
      <c r="FB327" s="36"/>
      <c r="FC327" s="36"/>
      <c r="FD327" s="36"/>
      <c r="FE327" s="36"/>
      <c r="FF327" s="36"/>
      <c r="FG327" s="36"/>
      <c r="FH327" s="36"/>
      <c r="FI327" s="36"/>
      <c r="FJ327" s="36"/>
      <c r="FK327" s="36"/>
      <c r="FL327" s="36"/>
      <c r="FM327" s="36"/>
      <c r="FN327" s="37"/>
      <c r="FO327" s="44"/>
      <c r="FP327" s="36"/>
      <c r="FQ327" s="36"/>
      <c r="FR327" s="36"/>
      <c r="FS327" s="36"/>
      <c r="FT327" s="36"/>
      <c r="FU327" s="36"/>
      <c r="FV327" s="36"/>
      <c r="FW327" s="36"/>
      <c r="FX327" s="36"/>
      <c r="FY327" s="36"/>
      <c r="FZ327" s="36"/>
      <c r="GA327" s="36"/>
      <c r="GB327" s="36"/>
      <c r="GC327" s="36"/>
      <c r="GD327" s="36"/>
      <c r="GE327" s="37"/>
      <c r="GF327" s="44"/>
      <c r="GG327" s="36"/>
      <c r="GH327" s="36"/>
      <c r="GI327" s="36"/>
      <c r="GJ327" s="36"/>
      <c r="GK327" s="36"/>
      <c r="GL327" s="36"/>
      <c r="GM327" s="36"/>
      <c r="GN327" s="36"/>
      <c r="GO327" s="36"/>
      <c r="GP327" s="36"/>
      <c r="GQ327" s="36"/>
      <c r="GR327" s="36"/>
      <c r="GS327" s="36"/>
      <c r="GT327" s="36"/>
      <c r="GU327" s="36"/>
      <c r="GV327" s="37"/>
      <c r="GW327" s="44"/>
      <c r="GX327" s="36"/>
      <c r="GY327" s="36"/>
      <c r="GZ327" s="36"/>
      <c r="HA327" s="36"/>
      <c r="HB327" s="36"/>
      <c r="HC327" s="36"/>
      <c r="HD327" s="36"/>
      <c r="HE327" s="36"/>
      <c r="HF327" s="36"/>
      <c r="HG327" s="36"/>
      <c r="HH327" s="36"/>
      <c r="HI327" s="36"/>
      <c r="HJ327" s="36"/>
      <c r="HK327" s="36"/>
      <c r="HL327" s="36"/>
      <c r="HM327" s="37"/>
      <c r="HN327" s="44"/>
      <c r="HO327" s="36"/>
      <c r="HP327" s="36"/>
      <c r="HQ327" s="36"/>
      <c r="HR327" s="36"/>
      <c r="HS327" s="36"/>
      <c r="HT327" s="36"/>
      <c r="HU327" s="36"/>
      <c r="HV327" s="36"/>
      <c r="HW327" s="36"/>
      <c r="HX327" s="36"/>
      <c r="HY327" s="36"/>
      <c r="HZ327" s="36"/>
      <c r="IA327" s="36"/>
      <c r="IB327" s="36"/>
      <c r="IC327" s="36"/>
      <c r="ID327" s="37"/>
      <c r="IE327" s="44"/>
      <c r="IF327" s="36"/>
      <c r="IG327" s="36"/>
      <c r="IH327" s="36"/>
      <c r="II327" s="36"/>
      <c r="IJ327" s="36"/>
      <c r="IK327" s="36"/>
      <c r="IL327" s="36"/>
      <c r="IM327" s="36"/>
      <c r="IN327" s="36"/>
      <c r="IO327" s="36"/>
      <c r="IP327" s="36"/>
      <c r="IQ327" s="36"/>
      <c r="IR327" s="36"/>
      <c r="IS327" s="36"/>
      <c r="IT327" s="36"/>
      <c r="IU327" s="37"/>
      <c r="IV327" s="44"/>
      <c r="IW327" s="36"/>
      <c r="IX327" s="36"/>
      <c r="IY327" s="36"/>
      <c r="IZ327" s="36"/>
      <c r="JA327" s="36"/>
      <c r="JB327" s="36"/>
      <c r="JC327" s="36"/>
      <c r="JD327" s="36"/>
      <c r="JE327" s="36"/>
      <c r="JF327" s="36"/>
      <c r="JG327" s="36"/>
      <c r="JH327" s="36"/>
      <c r="JI327" s="36"/>
      <c r="JJ327" s="36"/>
      <c r="JK327" s="36"/>
      <c r="JL327" s="37"/>
      <c r="JM327" s="44"/>
      <c r="JN327" s="36"/>
      <c r="JO327" s="36"/>
      <c r="JP327" s="36"/>
      <c r="JQ327" s="36"/>
      <c r="JR327" s="36"/>
      <c r="JS327" s="36"/>
      <c r="JT327" s="36"/>
      <c r="JU327" s="36"/>
      <c r="JV327" s="36"/>
      <c r="JW327" s="36"/>
      <c r="JX327" s="36"/>
      <c r="JY327" s="36"/>
      <c r="JZ327" s="36"/>
      <c r="KA327" s="36"/>
      <c r="KB327" s="36"/>
      <c r="KC327" s="37"/>
      <c r="KD327" s="44"/>
      <c r="KE327" s="36"/>
      <c r="KF327" s="36"/>
      <c r="KG327" s="36"/>
      <c r="KH327" s="36"/>
      <c r="KI327" s="36"/>
      <c r="KJ327" s="36"/>
      <c r="KK327" s="36"/>
      <c r="KL327" s="36"/>
      <c r="KM327" s="36"/>
      <c r="KN327" s="36"/>
      <c r="KO327" s="36"/>
      <c r="KP327" s="36"/>
      <c r="KQ327" s="36"/>
      <c r="KR327" s="36"/>
      <c r="KS327" s="36"/>
      <c r="KT327" s="37"/>
      <c r="KU327" s="36"/>
    </row>
    <row r="328" ht="15.0" customHeight="1">
      <c r="A328" s="44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7"/>
      <c r="R328" s="44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7"/>
      <c r="AI328" s="44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  <c r="AU328" s="36"/>
      <c r="AV328" s="36"/>
      <c r="AW328" s="36"/>
      <c r="AX328" s="36"/>
      <c r="AY328" s="37"/>
      <c r="AZ328" s="44"/>
      <c r="BA328" s="36"/>
      <c r="BB328" s="36"/>
      <c r="BC328" s="36"/>
      <c r="BD328" s="36"/>
      <c r="BE328" s="36"/>
      <c r="BF328" s="36"/>
      <c r="BG328" s="36"/>
      <c r="BH328" s="36"/>
      <c r="BI328" s="36"/>
      <c r="BJ328" s="36"/>
      <c r="BK328" s="36"/>
      <c r="BL328" s="36"/>
      <c r="BM328" s="36"/>
      <c r="BN328" s="36"/>
      <c r="BO328" s="36"/>
      <c r="BP328" s="37"/>
      <c r="BQ328" s="44"/>
      <c r="BR328" s="36"/>
      <c r="BS328" s="36"/>
      <c r="BT328" s="36"/>
      <c r="BU328" s="36"/>
      <c r="BV328" s="36"/>
      <c r="BW328" s="36"/>
      <c r="BX328" s="36"/>
      <c r="BY328" s="36"/>
      <c r="BZ328" s="36"/>
      <c r="CA328" s="36"/>
      <c r="CB328" s="36"/>
      <c r="CC328" s="36"/>
      <c r="CD328" s="36"/>
      <c r="CE328" s="36"/>
      <c r="CF328" s="36"/>
      <c r="CG328" s="37"/>
      <c r="CH328" s="44"/>
      <c r="CI328" s="36"/>
      <c r="CJ328" s="36"/>
      <c r="CK328" s="36"/>
      <c r="CL328" s="36"/>
      <c r="CM328" s="36"/>
      <c r="CN328" s="36"/>
      <c r="CO328" s="36"/>
      <c r="CP328" s="36"/>
      <c r="CQ328" s="36"/>
      <c r="CR328" s="36"/>
      <c r="CS328" s="36"/>
      <c r="CT328" s="36"/>
      <c r="CU328" s="36"/>
      <c r="CV328" s="36"/>
      <c r="CW328" s="36"/>
      <c r="CX328" s="37"/>
      <c r="CY328" s="44"/>
      <c r="CZ328" s="36"/>
      <c r="DA328" s="36"/>
      <c r="DB328" s="36"/>
      <c r="DC328" s="36"/>
      <c r="DD328" s="36"/>
      <c r="DE328" s="36"/>
      <c r="DF328" s="36"/>
      <c r="DG328" s="36"/>
      <c r="DH328" s="36"/>
      <c r="DI328" s="36"/>
      <c r="DJ328" s="36"/>
      <c r="DK328" s="36"/>
      <c r="DL328" s="36"/>
      <c r="DM328" s="36"/>
      <c r="DN328" s="36"/>
      <c r="DO328" s="37"/>
      <c r="DP328" s="44"/>
      <c r="DQ328" s="36"/>
      <c r="DR328" s="36"/>
      <c r="DS328" s="36"/>
      <c r="DT328" s="36"/>
      <c r="DU328" s="36"/>
      <c r="DV328" s="36"/>
      <c r="DW328" s="36"/>
      <c r="DX328" s="36"/>
      <c r="DY328" s="36"/>
      <c r="DZ328" s="36"/>
      <c r="EA328" s="36"/>
      <c r="EB328" s="36"/>
      <c r="EC328" s="36"/>
      <c r="ED328" s="36"/>
      <c r="EE328" s="36"/>
      <c r="EF328" s="37"/>
      <c r="EG328" s="44"/>
      <c r="EH328" s="36"/>
      <c r="EI328" s="36"/>
      <c r="EJ328" s="36"/>
      <c r="EK328" s="36"/>
      <c r="EL328" s="36"/>
      <c r="EM328" s="36"/>
      <c r="EN328" s="36"/>
      <c r="EO328" s="36"/>
      <c r="EP328" s="36"/>
      <c r="EQ328" s="36"/>
      <c r="ER328" s="36"/>
      <c r="ES328" s="36"/>
      <c r="ET328" s="36"/>
      <c r="EU328" s="36"/>
      <c r="EV328" s="36"/>
      <c r="EW328" s="37"/>
      <c r="EX328" s="44"/>
      <c r="EY328" s="36"/>
      <c r="EZ328" s="36"/>
      <c r="FA328" s="36"/>
      <c r="FB328" s="36"/>
      <c r="FC328" s="36"/>
      <c r="FD328" s="36"/>
      <c r="FE328" s="36"/>
      <c r="FF328" s="36"/>
      <c r="FG328" s="36"/>
      <c r="FH328" s="36"/>
      <c r="FI328" s="36"/>
      <c r="FJ328" s="36"/>
      <c r="FK328" s="36"/>
      <c r="FL328" s="36"/>
      <c r="FM328" s="36"/>
      <c r="FN328" s="37"/>
      <c r="FO328" s="44"/>
      <c r="FP328" s="36"/>
      <c r="FQ328" s="36"/>
      <c r="FR328" s="36"/>
      <c r="FS328" s="36"/>
      <c r="FT328" s="36"/>
      <c r="FU328" s="36"/>
      <c r="FV328" s="36"/>
      <c r="FW328" s="36"/>
      <c r="FX328" s="36"/>
      <c r="FY328" s="36"/>
      <c r="FZ328" s="36"/>
      <c r="GA328" s="36"/>
      <c r="GB328" s="36"/>
      <c r="GC328" s="36"/>
      <c r="GD328" s="36"/>
      <c r="GE328" s="37"/>
      <c r="GF328" s="44"/>
      <c r="GG328" s="36"/>
      <c r="GH328" s="36"/>
      <c r="GI328" s="36"/>
      <c r="GJ328" s="36"/>
      <c r="GK328" s="36"/>
      <c r="GL328" s="36"/>
      <c r="GM328" s="36"/>
      <c r="GN328" s="36"/>
      <c r="GO328" s="36"/>
      <c r="GP328" s="36"/>
      <c r="GQ328" s="36"/>
      <c r="GR328" s="36"/>
      <c r="GS328" s="36"/>
      <c r="GT328" s="36"/>
      <c r="GU328" s="36"/>
      <c r="GV328" s="37"/>
      <c r="GW328" s="44"/>
      <c r="GX328" s="36"/>
      <c r="GY328" s="36"/>
      <c r="GZ328" s="36"/>
      <c r="HA328" s="36"/>
      <c r="HB328" s="36"/>
      <c r="HC328" s="36"/>
      <c r="HD328" s="36"/>
      <c r="HE328" s="36"/>
      <c r="HF328" s="36"/>
      <c r="HG328" s="36"/>
      <c r="HH328" s="36"/>
      <c r="HI328" s="36"/>
      <c r="HJ328" s="36"/>
      <c r="HK328" s="36"/>
      <c r="HL328" s="36"/>
      <c r="HM328" s="37"/>
      <c r="HN328" s="44"/>
      <c r="HO328" s="36"/>
      <c r="HP328" s="36"/>
      <c r="HQ328" s="36"/>
      <c r="HR328" s="36"/>
      <c r="HS328" s="36"/>
      <c r="HT328" s="36"/>
      <c r="HU328" s="36"/>
      <c r="HV328" s="36"/>
      <c r="HW328" s="36"/>
      <c r="HX328" s="36"/>
      <c r="HY328" s="36"/>
      <c r="HZ328" s="36"/>
      <c r="IA328" s="36"/>
      <c r="IB328" s="36"/>
      <c r="IC328" s="36"/>
      <c r="ID328" s="37"/>
      <c r="IE328" s="44"/>
      <c r="IF328" s="36"/>
      <c r="IG328" s="36"/>
      <c r="IH328" s="36"/>
      <c r="II328" s="36"/>
      <c r="IJ328" s="36"/>
      <c r="IK328" s="36"/>
      <c r="IL328" s="36"/>
      <c r="IM328" s="36"/>
      <c r="IN328" s="36"/>
      <c r="IO328" s="36"/>
      <c r="IP328" s="36"/>
      <c r="IQ328" s="36"/>
      <c r="IR328" s="36"/>
      <c r="IS328" s="36"/>
      <c r="IT328" s="36"/>
      <c r="IU328" s="37"/>
      <c r="IV328" s="44"/>
      <c r="IW328" s="36"/>
      <c r="IX328" s="36"/>
      <c r="IY328" s="36"/>
      <c r="IZ328" s="36"/>
      <c r="JA328" s="36"/>
      <c r="JB328" s="36"/>
      <c r="JC328" s="36"/>
      <c r="JD328" s="36"/>
      <c r="JE328" s="36"/>
      <c r="JF328" s="36"/>
      <c r="JG328" s="36"/>
      <c r="JH328" s="36"/>
      <c r="JI328" s="36"/>
      <c r="JJ328" s="36"/>
      <c r="JK328" s="36"/>
      <c r="JL328" s="37"/>
      <c r="JM328" s="44"/>
      <c r="JN328" s="36"/>
      <c r="JO328" s="36"/>
      <c r="JP328" s="36"/>
      <c r="JQ328" s="36"/>
      <c r="JR328" s="36"/>
      <c r="JS328" s="36"/>
      <c r="JT328" s="36"/>
      <c r="JU328" s="36"/>
      <c r="JV328" s="36"/>
      <c r="JW328" s="36"/>
      <c r="JX328" s="36"/>
      <c r="JY328" s="36"/>
      <c r="JZ328" s="36"/>
      <c r="KA328" s="36"/>
      <c r="KB328" s="36"/>
      <c r="KC328" s="37"/>
      <c r="KD328" s="44"/>
      <c r="KE328" s="36"/>
      <c r="KF328" s="36"/>
      <c r="KG328" s="36"/>
      <c r="KH328" s="36"/>
      <c r="KI328" s="36"/>
      <c r="KJ328" s="36"/>
      <c r="KK328" s="36"/>
      <c r="KL328" s="36"/>
      <c r="KM328" s="36"/>
      <c r="KN328" s="36"/>
      <c r="KO328" s="36"/>
      <c r="KP328" s="36"/>
      <c r="KQ328" s="36"/>
      <c r="KR328" s="36"/>
      <c r="KS328" s="36"/>
      <c r="KT328" s="37"/>
      <c r="KU328" s="36"/>
    </row>
    <row r="329" ht="15.0" customHeight="1">
      <c r="A329" s="44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7"/>
      <c r="R329" s="44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7"/>
      <c r="AI329" s="44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  <c r="AU329" s="36"/>
      <c r="AV329" s="36"/>
      <c r="AW329" s="36"/>
      <c r="AX329" s="36"/>
      <c r="AY329" s="37"/>
      <c r="AZ329" s="44"/>
      <c r="BA329" s="36"/>
      <c r="BB329" s="36"/>
      <c r="BC329" s="36"/>
      <c r="BD329" s="36"/>
      <c r="BE329" s="36"/>
      <c r="BF329" s="36"/>
      <c r="BG329" s="36"/>
      <c r="BH329" s="36"/>
      <c r="BI329" s="36"/>
      <c r="BJ329" s="36"/>
      <c r="BK329" s="36"/>
      <c r="BL329" s="36"/>
      <c r="BM329" s="36"/>
      <c r="BN329" s="36"/>
      <c r="BO329" s="36"/>
      <c r="BP329" s="37"/>
      <c r="BQ329" s="44"/>
      <c r="BR329" s="36"/>
      <c r="BS329" s="36"/>
      <c r="BT329" s="36"/>
      <c r="BU329" s="36"/>
      <c r="BV329" s="36"/>
      <c r="BW329" s="36"/>
      <c r="BX329" s="36"/>
      <c r="BY329" s="36"/>
      <c r="BZ329" s="36"/>
      <c r="CA329" s="36"/>
      <c r="CB329" s="36"/>
      <c r="CC329" s="36"/>
      <c r="CD329" s="36"/>
      <c r="CE329" s="36"/>
      <c r="CF329" s="36"/>
      <c r="CG329" s="37"/>
      <c r="CH329" s="44"/>
      <c r="CI329" s="36"/>
      <c r="CJ329" s="36"/>
      <c r="CK329" s="36"/>
      <c r="CL329" s="36"/>
      <c r="CM329" s="36"/>
      <c r="CN329" s="36"/>
      <c r="CO329" s="36"/>
      <c r="CP329" s="36"/>
      <c r="CQ329" s="36"/>
      <c r="CR329" s="36"/>
      <c r="CS329" s="36"/>
      <c r="CT329" s="36"/>
      <c r="CU329" s="36"/>
      <c r="CV329" s="36"/>
      <c r="CW329" s="36"/>
      <c r="CX329" s="37"/>
      <c r="CY329" s="44"/>
      <c r="CZ329" s="36"/>
      <c r="DA329" s="36"/>
      <c r="DB329" s="36"/>
      <c r="DC329" s="36"/>
      <c r="DD329" s="36"/>
      <c r="DE329" s="36"/>
      <c r="DF329" s="36"/>
      <c r="DG329" s="36"/>
      <c r="DH329" s="36"/>
      <c r="DI329" s="36"/>
      <c r="DJ329" s="36"/>
      <c r="DK329" s="36"/>
      <c r="DL329" s="36"/>
      <c r="DM329" s="36"/>
      <c r="DN329" s="36"/>
      <c r="DO329" s="37"/>
      <c r="DP329" s="44"/>
      <c r="DQ329" s="36"/>
      <c r="DR329" s="36"/>
      <c r="DS329" s="36"/>
      <c r="DT329" s="36"/>
      <c r="DU329" s="36"/>
      <c r="DV329" s="36"/>
      <c r="DW329" s="36"/>
      <c r="DX329" s="36"/>
      <c r="DY329" s="36"/>
      <c r="DZ329" s="36"/>
      <c r="EA329" s="36"/>
      <c r="EB329" s="36"/>
      <c r="EC329" s="36"/>
      <c r="ED329" s="36"/>
      <c r="EE329" s="36"/>
      <c r="EF329" s="37"/>
      <c r="EG329" s="44"/>
      <c r="EH329" s="36"/>
      <c r="EI329" s="36"/>
      <c r="EJ329" s="36"/>
      <c r="EK329" s="36"/>
      <c r="EL329" s="36"/>
      <c r="EM329" s="36"/>
      <c r="EN329" s="36"/>
      <c r="EO329" s="36"/>
      <c r="EP329" s="36"/>
      <c r="EQ329" s="36"/>
      <c r="ER329" s="36"/>
      <c r="ES329" s="36"/>
      <c r="ET329" s="36"/>
      <c r="EU329" s="36"/>
      <c r="EV329" s="36"/>
      <c r="EW329" s="37"/>
      <c r="EX329" s="44"/>
      <c r="EY329" s="36"/>
      <c r="EZ329" s="36"/>
      <c r="FA329" s="36"/>
      <c r="FB329" s="36"/>
      <c r="FC329" s="36"/>
      <c r="FD329" s="36"/>
      <c r="FE329" s="36"/>
      <c r="FF329" s="36"/>
      <c r="FG329" s="36"/>
      <c r="FH329" s="36"/>
      <c r="FI329" s="36"/>
      <c r="FJ329" s="36"/>
      <c r="FK329" s="36"/>
      <c r="FL329" s="36"/>
      <c r="FM329" s="36"/>
      <c r="FN329" s="37"/>
      <c r="FO329" s="44"/>
      <c r="FP329" s="36"/>
      <c r="FQ329" s="36"/>
      <c r="FR329" s="36"/>
      <c r="FS329" s="36"/>
      <c r="FT329" s="36"/>
      <c r="FU329" s="36"/>
      <c r="FV329" s="36"/>
      <c r="FW329" s="36"/>
      <c r="FX329" s="36"/>
      <c r="FY329" s="36"/>
      <c r="FZ329" s="36"/>
      <c r="GA329" s="36"/>
      <c r="GB329" s="36"/>
      <c r="GC329" s="36"/>
      <c r="GD329" s="36"/>
      <c r="GE329" s="37"/>
      <c r="GF329" s="44"/>
      <c r="GG329" s="36"/>
      <c r="GH329" s="36"/>
      <c r="GI329" s="36"/>
      <c r="GJ329" s="36"/>
      <c r="GK329" s="36"/>
      <c r="GL329" s="36"/>
      <c r="GM329" s="36"/>
      <c r="GN329" s="36"/>
      <c r="GO329" s="36"/>
      <c r="GP329" s="36"/>
      <c r="GQ329" s="36"/>
      <c r="GR329" s="36"/>
      <c r="GS329" s="36"/>
      <c r="GT329" s="36"/>
      <c r="GU329" s="36"/>
      <c r="GV329" s="37"/>
      <c r="GW329" s="44"/>
      <c r="GX329" s="36"/>
      <c r="GY329" s="36"/>
      <c r="GZ329" s="36"/>
      <c r="HA329" s="36"/>
      <c r="HB329" s="36"/>
      <c r="HC329" s="36"/>
      <c r="HD329" s="36"/>
      <c r="HE329" s="36"/>
      <c r="HF329" s="36"/>
      <c r="HG329" s="36"/>
      <c r="HH329" s="36"/>
      <c r="HI329" s="36"/>
      <c r="HJ329" s="36"/>
      <c r="HK329" s="36"/>
      <c r="HL329" s="36"/>
      <c r="HM329" s="37"/>
      <c r="HN329" s="44"/>
      <c r="HO329" s="36"/>
      <c r="HP329" s="36"/>
      <c r="HQ329" s="36"/>
      <c r="HR329" s="36"/>
      <c r="HS329" s="36"/>
      <c r="HT329" s="36"/>
      <c r="HU329" s="36"/>
      <c r="HV329" s="36"/>
      <c r="HW329" s="36"/>
      <c r="HX329" s="36"/>
      <c r="HY329" s="36"/>
      <c r="HZ329" s="36"/>
      <c r="IA329" s="36"/>
      <c r="IB329" s="36"/>
      <c r="IC329" s="36"/>
      <c r="ID329" s="37"/>
      <c r="IE329" s="44"/>
      <c r="IF329" s="36"/>
      <c r="IG329" s="36"/>
      <c r="IH329" s="36"/>
      <c r="II329" s="36"/>
      <c r="IJ329" s="36"/>
      <c r="IK329" s="36"/>
      <c r="IL329" s="36"/>
      <c r="IM329" s="36"/>
      <c r="IN329" s="36"/>
      <c r="IO329" s="36"/>
      <c r="IP329" s="36"/>
      <c r="IQ329" s="36"/>
      <c r="IR329" s="36"/>
      <c r="IS329" s="36"/>
      <c r="IT329" s="36"/>
      <c r="IU329" s="37"/>
      <c r="IV329" s="44"/>
      <c r="IW329" s="36"/>
      <c r="IX329" s="36"/>
      <c r="IY329" s="36"/>
      <c r="IZ329" s="36"/>
      <c r="JA329" s="36"/>
      <c r="JB329" s="36"/>
      <c r="JC329" s="36"/>
      <c r="JD329" s="36"/>
      <c r="JE329" s="36"/>
      <c r="JF329" s="36"/>
      <c r="JG329" s="36"/>
      <c r="JH329" s="36"/>
      <c r="JI329" s="36"/>
      <c r="JJ329" s="36"/>
      <c r="JK329" s="36"/>
      <c r="JL329" s="37"/>
      <c r="JM329" s="44"/>
      <c r="JN329" s="36"/>
      <c r="JO329" s="36"/>
      <c r="JP329" s="36"/>
      <c r="JQ329" s="36"/>
      <c r="JR329" s="36"/>
      <c r="JS329" s="36"/>
      <c r="JT329" s="36"/>
      <c r="JU329" s="36"/>
      <c r="JV329" s="36"/>
      <c r="JW329" s="36"/>
      <c r="JX329" s="36"/>
      <c r="JY329" s="36"/>
      <c r="JZ329" s="36"/>
      <c r="KA329" s="36"/>
      <c r="KB329" s="36"/>
      <c r="KC329" s="37"/>
      <c r="KD329" s="44"/>
      <c r="KE329" s="36"/>
      <c r="KF329" s="36"/>
      <c r="KG329" s="36"/>
      <c r="KH329" s="36"/>
      <c r="KI329" s="36"/>
      <c r="KJ329" s="36"/>
      <c r="KK329" s="36"/>
      <c r="KL329" s="36"/>
      <c r="KM329" s="36"/>
      <c r="KN329" s="36"/>
      <c r="KO329" s="36"/>
      <c r="KP329" s="36"/>
      <c r="KQ329" s="36"/>
      <c r="KR329" s="36"/>
      <c r="KS329" s="36"/>
      <c r="KT329" s="37"/>
      <c r="KU329" s="36"/>
    </row>
    <row r="330" ht="15.0" customHeight="1">
      <c r="A330" s="44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7"/>
      <c r="R330" s="44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7"/>
      <c r="AI330" s="44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  <c r="AU330" s="36"/>
      <c r="AV330" s="36"/>
      <c r="AW330" s="36"/>
      <c r="AX330" s="36"/>
      <c r="AY330" s="37"/>
      <c r="AZ330" s="44"/>
      <c r="BA330" s="36"/>
      <c r="BB330" s="36"/>
      <c r="BC330" s="36"/>
      <c r="BD330" s="36"/>
      <c r="BE330" s="36"/>
      <c r="BF330" s="36"/>
      <c r="BG330" s="36"/>
      <c r="BH330" s="36"/>
      <c r="BI330" s="36"/>
      <c r="BJ330" s="36"/>
      <c r="BK330" s="36"/>
      <c r="BL330" s="36"/>
      <c r="BM330" s="36"/>
      <c r="BN330" s="36"/>
      <c r="BO330" s="36"/>
      <c r="BP330" s="37"/>
      <c r="BQ330" s="44"/>
      <c r="BR330" s="36"/>
      <c r="BS330" s="36"/>
      <c r="BT330" s="36"/>
      <c r="BU330" s="36"/>
      <c r="BV330" s="36"/>
      <c r="BW330" s="36"/>
      <c r="BX330" s="36"/>
      <c r="BY330" s="36"/>
      <c r="BZ330" s="36"/>
      <c r="CA330" s="36"/>
      <c r="CB330" s="36"/>
      <c r="CC330" s="36"/>
      <c r="CD330" s="36"/>
      <c r="CE330" s="36"/>
      <c r="CF330" s="36"/>
      <c r="CG330" s="37"/>
      <c r="CH330" s="44"/>
      <c r="CI330" s="36"/>
      <c r="CJ330" s="36"/>
      <c r="CK330" s="36"/>
      <c r="CL330" s="36"/>
      <c r="CM330" s="36"/>
      <c r="CN330" s="36"/>
      <c r="CO330" s="36"/>
      <c r="CP330" s="36"/>
      <c r="CQ330" s="36"/>
      <c r="CR330" s="36"/>
      <c r="CS330" s="36"/>
      <c r="CT330" s="36"/>
      <c r="CU330" s="36"/>
      <c r="CV330" s="36"/>
      <c r="CW330" s="36"/>
      <c r="CX330" s="37"/>
      <c r="CY330" s="44"/>
      <c r="CZ330" s="36"/>
      <c r="DA330" s="36"/>
      <c r="DB330" s="36"/>
      <c r="DC330" s="36"/>
      <c r="DD330" s="36"/>
      <c r="DE330" s="36"/>
      <c r="DF330" s="36"/>
      <c r="DG330" s="36"/>
      <c r="DH330" s="36"/>
      <c r="DI330" s="36"/>
      <c r="DJ330" s="36"/>
      <c r="DK330" s="36"/>
      <c r="DL330" s="36"/>
      <c r="DM330" s="36"/>
      <c r="DN330" s="36"/>
      <c r="DO330" s="37"/>
      <c r="DP330" s="44"/>
      <c r="DQ330" s="36"/>
      <c r="DR330" s="36"/>
      <c r="DS330" s="36"/>
      <c r="DT330" s="36"/>
      <c r="DU330" s="36"/>
      <c r="DV330" s="36"/>
      <c r="DW330" s="36"/>
      <c r="DX330" s="36"/>
      <c r="DY330" s="36"/>
      <c r="DZ330" s="36"/>
      <c r="EA330" s="36"/>
      <c r="EB330" s="36"/>
      <c r="EC330" s="36"/>
      <c r="ED330" s="36"/>
      <c r="EE330" s="36"/>
      <c r="EF330" s="37"/>
      <c r="EG330" s="44"/>
      <c r="EH330" s="36"/>
      <c r="EI330" s="36"/>
      <c r="EJ330" s="36"/>
      <c r="EK330" s="36"/>
      <c r="EL330" s="36"/>
      <c r="EM330" s="36"/>
      <c r="EN330" s="36"/>
      <c r="EO330" s="36"/>
      <c r="EP330" s="36"/>
      <c r="EQ330" s="36"/>
      <c r="ER330" s="36"/>
      <c r="ES330" s="36"/>
      <c r="ET330" s="36"/>
      <c r="EU330" s="36"/>
      <c r="EV330" s="36"/>
      <c r="EW330" s="37"/>
      <c r="EX330" s="44"/>
      <c r="EY330" s="36"/>
      <c r="EZ330" s="36"/>
      <c r="FA330" s="36"/>
      <c r="FB330" s="36"/>
      <c r="FC330" s="36"/>
      <c r="FD330" s="36"/>
      <c r="FE330" s="36"/>
      <c r="FF330" s="36"/>
      <c r="FG330" s="36"/>
      <c r="FH330" s="36"/>
      <c r="FI330" s="36"/>
      <c r="FJ330" s="36"/>
      <c r="FK330" s="36"/>
      <c r="FL330" s="36"/>
      <c r="FM330" s="36"/>
      <c r="FN330" s="37"/>
      <c r="FO330" s="44"/>
      <c r="FP330" s="36"/>
      <c r="FQ330" s="36"/>
      <c r="FR330" s="36"/>
      <c r="FS330" s="36"/>
      <c r="FT330" s="36"/>
      <c r="FU330" s="36"/>
      <c r="FV330" s="36"/>
      <c r="FW330" s="36"/>
      <c r="FX330" s="36"/>
      <c r="FY330" s="36"/>
      <c r="FZ330" s="36"/>
      <c r="GA330" s="36"/>
      <c r="GB330" s="36"/>
      <c r="GC330" s="36"/>
      <c r="GD330" s="36"/>
      <c r="GE330" s="37"/>
      <c r="GF330" s="44"/>
      <c r="GG330" s="36"/>
      <c r="GH330" s="36"/>
      <c r="GI330" s="36"/>
      <c r="GJ330" s="36"/>
      <c r="GK330" s="36"/>
      <c r="GL330" s="36"/>
      <c r="GM330" s="36"/>
      <c r="GN330" s="36"/>
      <c r="GO330" s="36"/>
      <c r="GP330" s="36"/>
      <c r="GQ330" s="36"/>
      <c r="GR330" s="36"/>
      <c r="GS330" s="36"/>
      <c r="GT330" s="36"/>
      <c r="GU330" s="36"/>
      <c r="GV330" s="37"/>
      <c r="GW330" s="44"/>
      <c r="GX330" s="36"/>
      <c r="GY330" s="36"/>
      <c r="GZ330" s="36"/>
      <c r="HA330" s="36"/>
      <c r="HB330" s="36"/>
      <c r="HC330" s="36"/>
      <c r="HD330" s="36"/>
      <c r="HE330" s="36"/>
      <c r="HF330" s="36"/>
      <c r="HG330" s="36"/>
      <c r="HH330" s="36"/>
      <c r="HI330" s="36"/>
      <c r="HJ330" s="36"/>
      <c r="HK330" s="36"/>
      <c r="HL330" s="36"/>
      <c r="HM330" s="37"/>
      <c r="HN330" s="44"/>
      <c r="HO330" s="36"/>
      <c r="HP330" s="36"/>
      <c r="HQ330" s="36"/>
      <c r="HR330" s="36"/>
      <c r="HS330" s="36"/>
      <c r="HT330" s="36"/>
      <c r="HU330" s="36"/>
      <c r="HV330" s="36"/>
      <c r="HW330" s="36"/>
      <c r="HX330" s="36"/>
      <c r="HY330" s="36"/>
      <c r="HZ330" s="36"/>
      <c r="IA330" s="36"/>
      <c r="IB330" s="36"/>
      <c r="IC330" s="36"/>
      <c r="ID330" s="37"/>
      <c r="IE330" s="44"/>
      <c r="IF330" s="36"/>
      <c r="IG330" s="36"/>
      <c r="IH330" s="36"/>
      <c r="II330" s="36"/>
      <c r="IJ330" s="36"/>
      <c r="IK330" s="36"/>
      <c r="IL330" s="36"/>
      <c r="IM330" s="36"/>
      <c r="IN330" s="36"/>
      <c r="IO330" s="36"/>
      <c r="IP330" s="36"/>
      <c r="IQ330" s="36"/>
      <c r="IR330" s="36"/>
      <c r="IS330" s="36"/>
      <c r="IT330" s="36"/>
      <c r="IU330" s="37"/>
      <c r="IV330" s="44"/>
      <c r="IW330" s="36"/>
      <c r="IX330" s="36"/>
      <c r="IY330" s="36"/>
      <c r="IZ330" s="36"/>
      <c r="JA330" s="36"/>
      <c r="JB330" s="36"/>
      <c r="JC330" s="36"/>
      <c r="JD330" s="36"/>
      <c r="JE330" s="36"/>
      <c r="JF330" s="36"/>
      <c r="JG330" s="36"/>
      <c r="JH330" s="36"/>
      <c r="JI330" s="36"/>
      <c r="JJ330" s="36"/>
      <c r="JK330" s="36"/>
      <c r="JL330" s="37"/>
      <c r="JM330" s="44"/>
      <c r="JN330" s="36"/>
      <c r="JO330" s="36"/>
      <c r="JP330" s="36"/>
      <c r="JQ330" s="36"/>
      <c r="JR330" s="36"/>
      <c r="JS330" s="36"/>
      <c r="JT330" s="36"/>
      <c r="JU330" s="36"/>
      <c r="JV330" s="36"/>
      <c r="JW330" s="36"/>
      <c r="JX330" s="36"/>
      <c r="JY330" s="36"/>
      <c r="JZ330" s="36"/>
      <c r="KA330" s="36"/>
      <c r="KB330" s="36"/>
      <c r="KC330" s="37"/>
      <c r="KD330" s="44"/>
      <c r="KE330" s="36"/>
      <c r="KF330" s="36"/>
      <c r="KG330" s="36"/>
      <c r="KH330" s="36"/>
      <c r="KI330" s="36"/>
      <c r="KJ330" s="36"/>
      <c r="KK330" s="36"/>
      <c r="KL330" s="36"/>
      <c r="KM330" s="36"/>
      <c r="KN330" s="36"/>
      <c r="KO330" s="36"/>
      <c r="KP330" s="36"/>
      <c r="KQ330" s="36"/>
      <c r="KR330" s="36"/>
      <c r="KS330" s="36"/>
      <c r="KT330" s="37"/>
      <c r="KU330" s="36"/>
    </row>
    <row r="331" ht="15.0" customHeight="1">
      <c r="A331" s="44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7"/>
      <c r="R331" s="44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7"/>
      <c r="AI331" s="44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  <c r="AU331" s="36"/>
      <c r="AV331" s="36"/>
      <c r="AW331" s="36"/>
      <c r="AX331" s="36"/>
      <c r="AY331" s="37"/>
      <c r="AZ331" s="44"/>
      <c r="BA331" s="36"/>
      <c r="BB331" s="36"/>
      <c r="BC331" s="36"/>
      <c r="BD331" s="36"/>
      <c r="BE331" s="36"/>
      <c r="BF331" s="36"/>
      <c r="BG331" s="36"/>
      <c r="BH331" s="36"/>
      <c r="BI331" s="36"/>
      <c r="BJ331" s="36"/>
      <c r="BK331" s="36"/>
      <c r="BL331" s="36"/>
      <c r="BM331" s="36"/>
      <c r="BN331" s="36"/>
      <c r="BO331" s="36"/>
      <c r="BP331" s="37"/>
      <c r="BQ331" s="44"/>
      <c r="BR331" s="36"/>
      <c r="BS331" s="36"/>
      <c r="BT331" s="36"/>
      <c r="BU331" s="36"/>
      <c r="BV331" s="36"/>
      <c r="BW331" s="36"/>
      <c r="BX331" s="36"/>
      <c r="BY331" s="36"/>
      <c r="BZ331" s="36"/>
      <c r="CA331" s="36"/>
      <c r="CB331" s="36"/>
      <c r="CC331" s="36"/>
      <c r="CD331" s="36"/>
      <c r="CE331" s="36"/>
      <c r="CF331" s="36"/>
      <c r="CG331" s="37"/>
      <c r="CH331" s="44"/>
      <c r="CI331" s="36"/>
      <c r="CJ331" s="36"/>
      <c r="CK331" s="36"/>
      <c r="CL331" s="36"/>
      <c r="CM331" s="36"/>
      <c r="CN331" s="36"/>
      <c r="CO331" s="36"/>
      <c r="CP331" s="36"/>
      <c r="CQ331" s="36"/>
      <c r="CR331" s="36"/>
      <c r="CS331" s="36"/>
      <c r="CT331" s="36"/>
      <c r="CU331" s="36"/>
      <c r="CV331" s="36"/>
      <c r="CW331" s="36"/>
      <c r="CX331" s="37"/>
      <c r="CY331" s="44"/>
      <c r="CZ331" s="36"/>
      <c r="DA331" s="36"/>
      <c r="DB331" s="36"/>
      <c r="DC331" s="36"/>
      <c r="DD331" s="36"/>
      <c r="DE331" s="36"/>
      <c r="DF331" s="36"/>
      <c r="DG331" s="36"/>
      <c r="DH331" s="36"/>
      <c r="DI331" s="36"/>
      <c r="DJ331" s="36"/>
      <c r="DK331" s="36"/>
      <c r="DL331" s="36"/>
      <c r="DM331" s="36"/>
      <c r="DN331" s="36"/>
      <c r="DO331" s="37"/>
      <c r="DP331" s="44"/>
      <c r="DQ331" s="36"/>
      <c r="DR331" s="36"/>
      <c r="DS331" s="36"/>
      <c r="DT331" s="36"/>
      <c r="DU331" s="36"/>
      <c r="DV331" s="36"/>
      <c r="DW331" s="36"/>
      <c r="DX331" s="36"/>
      <c r="DY331" s="36"/>
      <c r="DZ331" s="36"/>
      <c r="EA331" s="36"/>
      <c r="EB331" s="36"/>
      <c r="EC331" s="36"/>
      <c r="ED331" s="36"/>
      <c r="EE331" s="36"/>
      <c r="EF331" s="37"/>
      <c r="EG331" s="44"/>
      <c r="EH331" s="36"/>
      <c r="EI331" s="36"/>
      <c r="EJ331" s="36"/>
      <c r="EK331" s="36"/>
      <c r="EL331" s="36"/>
      <c r="EM331" s="36"/>
      <c r="EN331" s="36"/>
      <c r="EO331" s="36"/>
      <c r="EP331" s="36"/>
      <c r="EQ331" s="36"/>
      <c r="ER331" s="36"/>
      <c r="ES331" s="36"/>
      <c r="ET331" s="36"/>
      <c r="EU331" s="36"/>
      <c r="EV331" s="36"/>
      <c r="EW331" s="37"/>
      <c r="EX331" s="44"/>
      <c r="EY331" s="36"/>
      <c r="EZ331" s="36"/>
      <c r="FA331" s="36"/>
      <c r="FB331" s="36"/>
      <c r="FC331" s="36"/>
      <c r="FD331" s="36"/>
      <c r="FE331" s="36"/>
      <c r="FF331" s="36"/>
      <c r="FG331" s="36"/>
      <c r="FH331" s="36"/>
      <c r="FI331" s="36"/>
      <c r="FJ331" s="36"/>
      <c r="FK331" s="36"/>
      <c r="FL331" s="36"/>
      <c r="FM331" s="36"/>
      <c r="FN331" s="37"/>
      <c r="FO331" s="44"/>
      <c r="FP331" s="36"/>
      <c r="FQ331" s="36"/>
      <c r="FR331" s="36"/>
      <c r="FS331" s="36"/>
      <c r="FT331" s="36"/>
      <c r="FU331" s="36"/>
      <c r="FV331" s="36"/>
      <c r="FW331" s="36"/>
      <c r="FX331" s="36"/>
      <c r="FY331" s="36"/>
      <c r="FZ331" s="36"/>
      <c r="GA331" s="36"/>
      <c r="GB331" s="36"/>
      <c r="GC331" s="36"/>
      <c r="GD331" s="36"/>
      <c r="GE331" s="37"/>
      <c r="GF331" s="44"/>
      <c r="GG331" s="36"/>
      <c r="GH331" s="36"/>
      <c r="GI331" s="36"/>
      <c r="GJ331" s="36"/>
      <c r="GK331" s="36"/>
      <c r="GL331" s="36"/>
      <c r="GM331" s="36"/>
      <c r="GN331" s="36"/>
      <c r="GO331" s="36"/>
      <c r="GP331" s="36"/>
      <c r="GQ331" s="36"/>
      <c r="GR331" s="36"/>
      <c r="GS331" s="36"/>
      <c r="GT331" s="36"/>
      <c r="GU331" s="36"/>
      <c r="GV331" s="37"/>
      <c r="GW331" s="44"/>
      <c r="GX331" s="36"/>
      <c r="GY331" s="36"/>
      <c r="GZ331" s="36"/>
      <c r="HA331" s="36"/>
      <c r="HB331" s="36"/>
      <c r="HC331" s="36"/>
      <c r="HD331" s="36"/>
      <c r="HE331" s="36"/>
      <c r="HF331" s="36"/>
      <c r="HG331" s="36"/>
      <c r="HH331" s="36"/>
      <c r="HI331" s="36"/>
      <c r="HJ331" s="36"/>
      <c r="HK331" s="36"/>
      <c r="HL331" s="36"/>
      <c r="HM331" s="37"/>
      <c r="HN331" s="44"/>
      <c r="HO331" s="36"/>
      <c r="HP331" s="36"/>
      <c r="HQ331" s="36"/>
      <c r="HR331" s="36"/>
      <c r="HS331" s="36"/>
      <c r="HT331" s="36"/>
      <c r="HU331" s="36"/>
      <c r="HV331" s="36"/>
      <c r="HW331" s="36"/>
      <c r="HX331" s="36"/>
      <c r="HY331" s="36"/>
      <c r="HZ331" s="36"/>
      <c r="IA331" s="36"/>
      <c r="IB331" s="36"/>
      <c r="IC331" s="36"/>
      <c r="ID331" s="37"/>
      <c r="IE331" s="44"/>
      <c r="IF331" s="36"/>
      <c r="IG331" s="36"/>
      <c r="IH331" s="36"/>
      <c r="II331" s="36"/>
      <c r="IJ331" s="36"/>
      <c r="IK331" s="36"/>
      <c r="IL331" s="36"/>
      <c r="IM331" s="36"/>
      <c r="IN331" s="36"/>
      <c r="IO331" s="36"/>
      <c r="IP331" s="36"/>
      <c r="IQ331" s="36"/>
      <c r="IR331" s="36"/>
      <c r="IS331" s="36"/>
      <c r="IT331" s="36"/>
      <c r="IU331" s="37"/>
      <c r="IV331" s="44"/>
      <c r="IW331" s="36"/>
      <c r="IX331" s="36"/>
      <c r="IY331" s="36"/>
      <c r="IZ331" s="36"/>
      <c r="JA331" s="36"/>
      <c r="JB331" s="36"/>
      <c r="JC331" s="36"/>
      <c r="JD331" s="36"/>
      <c r="JE331" s="36"/>
      <c r="JF331" s="36"/>
      <c r="JG331" s="36"/>
      <c r="JH331" s="36"/>
      <c r="JI331" s="36"/>
      <c r="JJ331" s="36"/>
      <c r="JK331" s="36"/>
      <c r="JL331" s="37"/>
      <c r="JM331" s="44"/>
      <c r="JN331" s="36"/>
      <c r="JO331" s="36"/>
      <c r="JP331" s="36"/>
      <c r="JQ331" s="36"/>
      <c r="JR331" s="36"/>
      <c r="JS331" s="36"/>
      <c r="JT331" s="36"/>
      <c r="JU331" s="36"/>
      <c r="JV331" s="36"/>
      <c r="JW331" s="36"/>
      <c r="JX331" s="36"/>
      <c r="JY331" s="36"/>
      <c r="JZ331" s="36"/>
      <c r="KA331" s="36"/>
      <c r="KB331" s="36"/>
      <c r="KC331" s="37"/>
      <c r="KD331" s="44"/>
      <c r="KE331" s="36"/>
      <c r="KF331" s="36"/>
      <c r="KG331" s="36"/>
      <c r="KH331" s="36"/>
      <c r="KI331" s="36"/>
      <c r="KJ331" s="36"/>
      <c r="KK331" s="36"/>
      <c r="KL331" s="36"/>
      <c r="KM331" s="36"/>
      <c r="KN331" s="36"/>
      <c r="KO331" s="36"/>
      <c r="KP331" s="36"/>
      <c r="KQ331" s="36"/>
      <c r="KR331" s="36"/>
      <c r="KS331" s="36"/>
      <c r="KT331" s="37"/>
      <c r="KU331" s="36"/>
    </row>
    <row r="332" ht="15.0" customHeight="1">
      <c r="A332" s="44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7"/>
      <c r="R332" s="44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7"/>
      <c r="AI332" s="44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  <c r="AU332" s="36"/>
      <c r="AV332" s="36"/>
      <c r="AW332" s="36"/>
      <c r="AX332" s="36"/>
      <c r="AY332" s="37"/>
      <c r="AZ332" s="44"/>
      <c r="BA332" s="36"/>
      <c r="BB332" s="36"/>
      <c r="BC332" s="36"/>
      <c r="BD332" s="36"/>
      <c r="BE332" s="36"/>
      <c r="BF332" s="36"/>
      <c r="BG332" s="36"/>
      <c r="BH332" s="36"/>
      <c r="BI332" s="36"/>
      <c r="BJ332" s="36"/>
      <c r="BK332" s="36"/>
      <c r="BL332" s="36"/>
      <c r="BM332" s="36"/>
      <c r="BN332" s="36"/>
      <c r="BO332" s="36"/>
      <c r="BP332" s="37"/>
      <c r="BQ332" s="44"/>
      <c r="BR332" s="36"/>
      <c r="BS332" s="36"/>
      <c r="BT332" s="36"/>
      <c r="BU332" s="36"/>
      <c r="BV332" s="36"/>
      <c r="BW332" s="36"/>
      <c r="BX332" s="36"/>
      <c r="BY332" s="36"/>
      <c r="BZ332" s="36"/>
      <c r="CA332" s="36"/>
      <c r="CB332" s="36"/>
      <c r="CC332" s="36"/>
      <c r="CD332" s="36"/>
      <c r="CE332" s="36"/>
      <c r="CF332" s="36"/>
      <c r="CG332" s="37"/>
      <c r="CH332" s="44"/>
      <c r="CI332" s="36"/>
      <c r="CJ332" s="36"/>
      <c r="CK332" s="36"/>
      <c r="CL332" s="36"/>
      <c r="CM332" s="36"/>
      <c r="CN332" s="36"/>
      <c r="CO332" s="36"/>
      <c r="CP332" s="36"/>
      <c r="CQ332" s="36"/>
      <c r="CR332" s="36"/>
      <c r="CS332" s="36"/>
      <c r="CT332" s="36"/>
      <c r="CU332" s="36"/>
      <c r="CV332" s="36"/>
      <c r="CW332" s="36"/>
      <c r="CX332" s="37"/>
      <c r="CY332" s="44"/>
      <c r="CZ332" s="36"/>
      <c r="DA332" s="36"/>
      <c r="DB332" s="36"/>
      <c r="DC332" s="36"/>
      <c r="DD332" s="36"/>
      <c r="DE332" s="36"/>
      <c r="DF332" s="36"/>
      <c r="DG332" s="36"/>
      <c r="DH332" s="36"/>
      <c r="DI332" s="36"/>
      <c r="DJ332" s="36"/>
      <c r="DK332" s="36"/>
      <c r="DL332" s="36"/>
      <c r="DM332" s="36"/>
      <c r="DN332" s="36"/>
      <c r="DO332" s="37"/>
      <c r="DP332" s="44"/>
      <c r="DQ332" s="36"/>
      <c r="DR332" s="36"/>
      <c r="DS332" s="36"/>
      <c r="DT332" s="36"/>
      <c r="DU332" s="36"/>
      <c r="DV332" s="36"/>
      <c r="DW332" s="36"/>
      <c r="DX332" s="36"/>
      <c r="DY332" s="36"/>
      <c r="DZ332" s="36"/>
      <c r="EA332" s="36"/>
      <c r="EB332" s="36"/>
      <c r="EC332" s="36"/>
      <c r="ED332" s="36"/>
      <c r="EE332" s="36"/>
      <c r="EF332" s="37"/>
      <c r="EG332" s="44"/>
      <c r="EH332" s="36"/>
      <c r="EI332" s="36"/>
      <c r="EJ332" s="36"/>
      <c r="EK332" s="36"/>
      <c r="EL332" s="36"/>
      <c r="EM332" s="36"/>
      <c r="EN332" s="36"/>
      <c r="EO332" s="36"/>
      <c r="EP332" s="36"/>
      <c r="EQ332" s="36"/>
      <c r="ER332" s="36"/>
      <c r="ES332" s="36"/>
      <c r="ET332" s="36"/>
      <c r="EU332" s="36"/>
      <c r="EV332" s="36"/>
      <c r="EW332" s="37"/>
      <c r="EX332" s="44"/>
      <c r="EY332" s="36"/>
      <c r="EZ332" s="36"/>
      <c r="FA332" s="36"/>
      <c r="FB332" s="36"/>
      <c r="FC332" s="36"/>
      <c r="FD332" s="36"/>
      <c r="FE332" s="36"/>
      <c r="FF332" s="36"/>
      <c r="FG332" s="36"/>
      <c r="FH332" s="36"/>
      <c r="FI332" s="36"/>
      <c r="FJ332" s="36"/>
      <c r="FK332" s="36"/>
      <c r="FL332" s="36"/>
      <c r="FM332" s="36"/>
      <c r="FN332" s="37"/>
      <c r="FO332" s="44"/>
      <c r="FP332" s="36"/>
      <c r="FQ332" s="36"/>
      <c r="FR332" s="36"/>
      <c r="FS332" s="36"/>
      <c r="FT332" s="36"/>
      <c r="FU332" s="36"/>
      <c r="FV332" s="36"/>
      <c r="FW332" s="36"/>
      <c r="FX332" s="36"/>
      <c r="FY332" s="36"/>
      <c r="FZ332" s="36"/>
      <c r="GA332" s="36"/>
      <c r="GB332" s="36"/>
      <c r="GC332" s="36"/>
      <c r="GD332" s="36"/>
      <c r="GE332" s="37"/>
      <c r="GF332" s="44"/>
      <c r="GG332" s="36"/>
      <c r="GH332" s="36"/>
      <c r="GI332" s="36"/>
      <c r="GJ332" s="36"/>
      <c r="GK332" s="36"/>
      <c r="GL332" s="36"/>
      <c r="GM332" s="36"/>
      <c r="GN332" s="36"/>
      <c r="GO332" s="36"/>
      <c r="GP332" s="36"/>
      <c r="GQ332" s="36"/>
      <c r="GR332" s="36"/>
      <c r="GS332" s="36"/>
      <c r="GT332" s="36"/>
      <c r="GU332" s="36"/>
      <c r="GV332" s="37"/>
      <c r="GW332" s="44"/>
      <c r="GX332" s="36"/>
      <c r="GY332" s="36"/>
      <c r="GZ332" s="36"/>
      <c r="HA332" s="36"/>
      <c r="HB332" s="36"/>
      <c r="HC332" s="36"/>
      <c r="HD332" s="36"/>
      <c r="HE332" s="36"/>
      <c r="HF332" s="36"/>
      <c r="HG332" s="36"/>
      <c r="HH332" s="36"/>
      <c r="HI332" s="36"/>
      <c r="HJ332" s="36"/>
      <c r="HK332" s="36"/>
      <c r="HL332" s="36"/>
      <c r="HM332" s="37"/>
      <c r="HN332" s="44"/>
      <c r="HO332" s="36"/>
      <c r="HP332" s="36"/>
      <c r="HQ332" s="36"/>
      <c r="HR332" s="36"/>
      <c r="HS332" s="36"/>
      <c r="HT332" s="36"/>
      <c r="HU332" s="36"/>
      <c r="HV332" s="36"/>
      <c r="HW332" s="36"/>
      <c r="HX332" s="36"/>
      <c r="HY332" s="36"/>
      <c r="HZ332" s="36"/>
      <c r="IA332" s="36"/>
      <c r="IB332" s="36"/>
      <c r="IC332" s="36"/>
      <c r="ID332" s="37"/>
      <c r="IE332" s="44"/>
      <c r="IF332" s="36"/>
      <c r="IG332" s="36"/>
      <c r="IH332" s="36"/>
      <c r="II332" s="36"/>
      <c r="IJ332" s="36"/>
      <c r="IK332" s="36"/>
      <c r="IL332" s="36"/>
      <c r="IM332" s="36"/>
      <c r="IN332" s="36"/>
      <c r="IO332" s="36"/>
      <c r="IP332" s="36"/>
      <c r="IQ332" s="36"/>
      <c r="IR332" s="36"/>
      <c r="IS332" s="36"/>
      <c r="IT332" s="36"/>
      <c r="IU332" s="37"/>
      <c r="IV332" s="44"/>
      <c r="IW332" s="36"/>
      <c r="IX332" s="36"/>
      <c r="IY332" s="36"/>
      <c r="IZ332" s="36"/>
      <c r="JA332" s="36"/>
      <c r="JB332" s="36"/>
      <c r="JC332" s="36"/>
      <c r="JD332" s="36"/>
      <c r="JE332" s="36"/>
      <c r="JF332" s="36"/>
      <c r="JG332" s="36"/>
      <c r="JH332" s="36"/>
      <c r="JI332" s="36"/>
      <c r="JJ332" s="36"/>
      <c r="JK332" s="36"/>
      <c r="JL332" s="37"/>
      <c r="JM332" s="44"/>
      <c r="JN332" s="36"/>
      <c r="JO332" s="36"/>
      <c r="JP332" s="36"/>
      <c r="JQ332" s="36"/>
      <c r="JR332" s="36"/>
      <c r="JS332" s="36"/>
      <c r="JT332" s="36"/>
      <c r="JU332" s="36"/>
      <c r="JV332" s="36"/>
      <c r="JW332" s="36"/>
      <c r="JX332" s="36"/>
      <c r="JY332" s="36"/>
      <c r="JZ332" s="36"/>
      <c r="KA332" s="36"/>
      <c r="KB332" s="36"/>
      <c r="KC332" s="37"/>
      <c r="KD332" s="44"/>
      <c r="KE332" s="36"/>
      <c r="KF332" s="36"/>
      <c r="KG332" s="36"/>
      <c r="KH332" s="36"/>
      <c r="KI332" s="36"/>
      <c r="KJ332" s="36"/>
      <c r="KK332" s="36"/>
      <c r="KL332" s="36"/>
      <c r="KM332" s="36"/>
      <c r="KN332" s="36"/>
      <c r="KO332" s="36"/>
      <c r="KP332" s="36"/>
      <c r="KQ332" s="36"/>
      <c r="KR332" s="36"/>
      <c r="KS332" s="36"/>
      <c r="KT332" s="37"/>
      <c r="KU332" s="36"/>
    </row>
    <row r="333" ht="15.0" customHeight="1">
      <c r="A333" s="44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7"/>
      <c r="R333" s="44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7"/>
      <c r="AI333" s="44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  <c r="AU333" s="36"/>
      <c r="AV333" s="36"/>
      <c r="AW333" s="36"/>
      <c r="AX333" s="36"/>
      <c r="AY333" s="37"/>
      <c r="AZ333" s="44"/>
      <c r="BA333" s="36"/>
      <c r="BB333" s="36"/>
      <c r="BC333" s="36"/>
      <c r="BD333" s="36"/>
      <c r="BE333" s="36"/>
      <c r="BF333" s="36"/>
      <c r="BG333" s="36"/>
      <c r="BH333" s="36"/>
      <c r="BI333" s="36"/>
      <c r="BJ333" s="36"/>
      <c r="BK333" s="36"/>
      <c r="BL333" s="36"/>
      <c r="BM333" s="36"/>
      <c r="BN333" s="36"/>
      <c r="BO333" s="36"/>
      <c r="BP333" s="37"/>
      <c r="BQ333" s="44"/>
      <c r="BR333" s="36"/>
      <c r="BS333" s="36"/>
      <c r="BT333" s="36"/>
      <c r="BU333" s="36"/>
      <c r="BV333" s="36"/>
      <c r="BW333" s="36"/>
      <c r="BX333" s="36"/>
      <c r="BY333" s="36"/>
      <c r="BZ333" s="36"/>
      <c r="CA333" s="36"/>
      <c r="CB333" s="36"/>
      <c r="CC333" s="36"/>
      <c r="CD333" s="36"/>
      <c r="CE333" s="36"/>
      <c r="CF333" s="36"/>
      <c r="CG333" s="37"/>
      <c r="CH333" s="44"/>
      <c r="CI333" s="36"/>
      <c r="CJ333" s="36"/>
      <c r="CK333" s="36"/>
      <c r="CL333" s="36"/>
      <c r="CM333" s="36"/>
      <c r="CN333" s="36"/>
      <c r="CO333" s="36"/>
      <c r="CP333" s="36"/>
      <c r="CQ333" s="36"/>
      <c r="CR333" s="36"/>
      <c r="CS333" s="36"/>
      <c r="CT333" s="36"/>
      <c r="CU333" s="36"/>
      <c r="CV333" s="36"/>
      <c r="CW333" s="36"/>
      <c r="CX333" s="37"/>
      <c r="CY333" s="44"/>
      <c r="CZ333" s="36"/>
      <c r="DA333" s="36"/>
      <c r="DB333" s="36"/>
      <c r="DC333" s="36"/>
      <c r="DD333" s="36"/>
      <c r="DE333" s="36"/>
      <c r="DF333" s="36"/>
      <c r="DG333" s="36"/>
      <c r="DH333" s="36"/>
      <c r="DI333" s="36"/>
      <c r="DJ333" s="36"/>
      <c r="DK333" s="36"/>
      <c r="DL333" s="36"/>
      <c r="DM333" s="36"/>
      <c r="DN333" s="36"/>
      <c r="DO333" s="37"/>
      <c r="DP333" s="44"/>
      <c r="DQ333" s="36"/>
      <c r="DR333" s="36"/>
      <c r="DS333" s="36"/>
      <c r="DT333" s="36"/>
      <c r="DU333" s="36"/>
      <c r="DV333" s="36"/>
      <c r="DW333" s="36"/>
      <c r="DX333" s="36"/>
      <c r="DY333" s="36"/>
      <c r="DZ333" s="36"/>
      <c r="EA333" s="36"/>
      <c r="EB333" s="36"/>
      <c r="EC333" s="36"/>
      <c r="ED333" s="36"/>
      <c r="EE333" s="36"/>
      <c r="EF333" s="37"/>
      <c r="EG333" s="44"/>
      <c r="EH333" s="36"/>
      <c r="EI333" s="36"/>
      <c r="EJ333" s="36"/>
      <c r="EK333" s="36"/>
      <c r="EL333" s="36"/>
      <c r="EM333" s="36"/>
      <c r="EN333" s="36"/>
      <c r="EO333" s="36"/>
      <c r="EP333" s="36"/>
      <c r="EQ333" s="36"/>
      <c r="ER333" s="36"/>
      <c r="ES333" s="36"/>
      <c r="ET333" s="36"/>
      <c r="EU333" s="36"/>
      <c r="EV333" s="36"/>
      <c r="EW333" s="37"/>
      <c r="EX333" s="44"/>
      <c r="EY333" s="36"/>
      <c r="EZ333" s="36"/>
      <c r="FA333" s="36"/>
      <c r="FB333" s="36"/>
      <c r="FC333" s="36"/>
      <c r="FD333" s="36"/>
      <c r="FE333" s="36"/>
      <c r="FF333" s="36"/>
      <c r="FG333" s="36"/>
      <c r="FH333" s="36"/>
      <c r="FI333" s="36"/>
      <c r="FJ333" s="36"/>
      <c r="FK333" s="36"/>
      <c r="FL333" s="36"/>
      <c r="FM333" s="36"/>
      <c r="FN333" s="37"/>
      <c r="FO333" s="44"/>
      <c r="FP333" s="36"/>
      <c r="FQ333" s="36"/>
      <c r="FR333" s="36"/>
      <c r="FS333" s="36"/>
      <c r="FT333" s="36"/>
      <c r="FU333" s="36"/>
      <c r="FV333" s="36"/>
      <c r="FW333" s="36"/>
      <c r="FX333" s="36"/>
      <c r="FY333" s="36"/>
      <c r="FZ333" s="36"/>
      <c r="GA333" s="36"/>
      <c r="GB333" s="36"/>
      <c r="GC333" s="36"/>
      <c r="GD333" s="36"/>
      <c r="GE333" s="37"/>
      <c r="GF333" s="44"/>
      <c r="GG333" s="36"/>
      <c r="GH333" s="36"/>
      <c r="GI333" s="36"/>
      <c r="GJ333" s="36"/>
      <c r="GK333" s="36"/>
      <c r="GL333" s="36"/>
      <c r="GM333" s="36"/>
      <c r="GN333" s="36"/>
      <c r="GO333" s="36"/>
      <c r="GP333" s="36"/>
      <c r="GQ333" s="36"/>
      <c r="GR333" s="36"/>
      <c r="GS333" s="36"/>
      <c r="GT333" s="36"/>
      <c r="GU333" s="36"/>
      <c r="GV333" s="37"/>
      <c r="GW333" s="44"/>
      <c r="GX333" s="36"/>
      <c r="GY333" s="36"/>
      <c r="GZ333" s="36"/>
      <c r="HA333" s="36"/>
      <c r="HB333" s="36"/>
      <c r="HC333" s="36"/>
      <c r="HD333" s="36"/>
      <c r="HE333" s="36"/>
      <c r="HF333" s="36"/>
      <c r="HG333" s="36"/>
      <c r="HH333" s="36"/>
      <c r="HI333" s="36"/>
      <c r="HJ333" s="36"/>
      <c r="HK333" s="36"/>
      <c r="HL333" s="36"/>
      <c r="HM333" s="37"/>
      <c r="HN333" s="44"/>
      <c r="HO333" s="36"/>
      <c r="HP333" s="36"/>
      <c r="HQ333" s="36"/>
      <c r="HR333" s="36"/>
      <c r="HS333" s="36"/>
      <c r="HT333" s="36"/>
      <c r="HU333" s="36"/>
      <c r="HV333" s="36"/>
      <c r="HW333" s="36"/>
      <c r="HX333" s="36"/>
      <c r="HY333" s="36"/>
      <c r="HZ333" s="36"/>
      <c r="IA333" s="36"/>
      <c r="IB333" s="36"/>
      <c r="IC333" s="36"/>
      <c r="ID333" s="37"/>
      <c r="IE333" s="44"/>
      <c r="IF333" s="36"/>
      <c r="IG333" s="36"/>
      <c r="IH333" s="36"/>
      <c r="II333" s="36"/>
      <c r="IJ333" s="36"/>
      <c r="IK333" s="36"/>
      <c r="IL333" s="36"/>
      <c r="IM333" s="36"/>
      <c r="IN333" s="36"/>
      <c r="IO333" s="36"/>
      <c r="IP333" s="36"/>
      <c r="IQ333" s="36"/>
      <c r="IR333" s="36"/>
      <c r="IS333" s="36"/>
      <c r="IT333" s="36"/>
      <c r="IU333" s="37"/>
      <c r="IV333" s="44"/>
      <c r="IW333" s="36"/>
      <c r="IX333" s="36"/>
      <c r="IY333" s="36"/>
      <c r="IZ333" s="36"/>
      <c r="JA333" s="36"/>
      <c r="JB333" s="36"/>
      <c r="JC333" s="36"/>
      <c r="JD333" s="36"/>
      <c r="JE333" s="36"/>
      <c r="JF333" s="36"/>
      <c r="JG333" s="36"/>
      <c r="JH333" s="36"/>
      <c r="JI333" s="36"/>
      <c r="JJ333" s="36"/>
      <c r="JK333" s="36"/>
      <c r="JL333" s="37"/>
      <c r="JM333" s="44"/>
      <c r="JN333" s="36"/>
      <c r="JO333" s="36"/>
      <c r="JP333" s="36"/>
      <c r="JQ333" s="36"/>
      <c r="JR333" s="36"/>
      <c r="JS333" s="36"/>
      <c r="JT333" s="36"/>
      <c r="JU333" s="36"/>
      <c r="JV333" s="36"/>
      <c r="JW333" s="36"/>
      <c r="JX333" s="36"/>
      <c r="JY333" s="36"/>
      <c r="JZ333" s="36"/>
      <c r="KA333" s="36"/>
      <c r="KB333" s="36"/>
      <c r="KC333" s="37"/>
      <c r="KD333" s="44"/>
      <c r="KE333" s="36"/>
      <c r="KF333" s="36"/>
      <c r="KG333" s="36"/>
      <c r="KH333" s="36"/>
      <c r="KI333" s="36"/>
      <c r="KJ333" s="36"/>
      <c r="KK333" s="36"/>
      <c r="KL333" s="36"/>
      <c r="KM333" s="36"/>
      <c r="KN333" s="36"/>
      <c r="KO333" s="36"/>
      <c r="KP333" s="36"/>
      <c r="KQ333" s="36"/>
      <c r="KR333" s="36"/>
      <c r="KS333" s="36"/>
      <c r="KT333" s="37"/>
      <c r="KU333" s="36"/>
    </row>
    <row r="334" ht="15.0" customHeight="1">
      <c r="A334" s="44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7"/>
      <c r="R334" s="44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7"/>
      <c r="AI334" s="44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  <c r="AU334" s="36"/>
      <c r="AV334" s="36"/>
      <c r="AW334" s="36"/>
      <c r="AX334" s="36"/>
      <c r="AY334" s="37"/>
      <c r="AZ334" s="44"/>
      <c r="BA334" s="36"/>
      <c r="BB334" s="36"/>
      <c r="BC334" s="36"/>
      <c r="BD334" s="36"/>
      <c r="BE334" s="36"/>
      <c r="BF334" s="36"/>
      <c r="BG334" s="36"/>
      <c r="BH334" s="36"/>
      <c r="BI334" s="36"/>
      <c r="BJ334" s="36"/>
      <c r="BK334" s="36"/>
      <c r="BL334" s="36"/>
      <c r="BM334" s="36"/>
      <c r="BN334" s="36"/>
      <c r="BO334" s="36"/>
      <c r="BP334" s="37"/>
      <c r="BQ334" s="44"/>
      <c r="BR334" s="36"/>
      <c r="BS334" s="36"/>
      <c r="BT334" s="36"/>
      <c r="BU334" s="36"/>
      <c r="BV334" s="36"/>
      <c r="BW334" s="36"/>
      <c r="BX334" s="36"/>
      <c r="BY334" s="36"/>
      <c r="BZ334" s="36"/>
      <c r="CA334" s="36"/>
      <c r="CB334" s="36"/>
      <c r="CC334" s="36"/>
      <c r="CD334" s="36"/>
      <c r="CE334" s="36"/>
      <c r="CF334" s="36"/>
      <c r="CG334" s="37"/>
      <c r="CH334" s="44"/>
      <c r="CI334" s="36"/>
      <c r="CJ334" s="36"/>
      <c r="CK334" s="36"/>
      <c r="CL334" s="36"/>
      <c r="CM334" s="36"/>
      <c r="CN334" s="36"/>
      <c r="CO334" s="36"/>
      <c r="CP334" s="36"/>
      <c r="CQ334" s="36"/>
      <c r="CR334" s="36"/>
      <c r="CS334" s="36"/>
      <c r="CT334" s="36"/>
      <c r="CU334" s="36"/>
      <c r="CV334" s="36"/>
      <c r="CW334" s="36"/>
      <c r="CX334" s="37"/>
      <c r="CY334" s="44"/>
      <c r="CZ334" s="36"/>
      <c r="DA334" s="36"/>
      <c r="DB334" s="36"/>
      <c r="DC334" s="36"/>
      <c r="DD334" s="36"/>
      <c r="DE334" s="36"/>
      <c r="DF334" s="36"/>
      <c r="DG334" s="36"/>
      <c r="DH334" s="36"/>
      <c r="DI334" s="36"/>
      <c r="DJ334" s="36"/>
      <c r="DK334" s="36"/>
      <c r="DL334" s="36"/>
      <c r="DM334" s="36"/>
      <c r="DN334" s="36"/>
      <c r="DO334" s="37"/>
      <c r="DP334" s="44"/>
      <c r="DQ334" s="36"/>
      <c r="DR334" s="36"/>
      <c r="DS334" s="36"/>
      <c r="DT334" s="36"/>
      <c r="DU334" s="36"/>
      <c r="DV334" s="36"/>
      <c r="DW334" s="36"/>
      <c r="DX334" s="36"/>
      <c r="DY334" s="36"/>
      <c r="DZ334" s="36"/>
      <c r="EA334" s="36"/>
      <c r="EB334" s="36"/>
      <c r="EC334" s="36"/>
      <c r="ED334" s="36"/>
      <c r="EE334" s="36"/>
      <c r="EF334" s="37"/>
      <c r="EG334" s="44"/>
      <c r="EH334" s="36"/>
      <c r="EI334" s="36"/>
      <c r="EJ334" s="36"/>
      <c r="EK334" s="36"/>
      <c r="EL334" s="36"/>
      <c r="EM334" s="36"/>
      <c r="EN334" s="36"/>
      <c r="EO334" s="36"/>
      <c r="EP334" s="36"/>
      <c r="EQ334" s="36"/>
      <c r="ER334" s="36"/>
      <c r="ES334" s="36"/>
      <c r="ET334" s="36"/>
      <c r="EU334" s="36"/>
      <c r="EV334" s="36"/>
      <c r="EW334" s="37"/>
      <c r="EX334" s="44"/>
      <c r="EY334" s="36"/>
      <c r="EZ334" s="36"/>
      <c r="FA334" s="36"/>
      <c r="FB334" s="36"/>
      <c r="FC334" s="36"/>
      <c r="FD334" s="36"/>
      <c r="FE334" s="36"/>
      <c r="FF334" s="36"/>
      <c r="FG334" s="36"/>
      <c r="FH334" s="36"/>
      <c r="FI334" s="36"/>
      <c r="FJ334" s="36"/>
      <c r="FK334" s="36"/>
      <c r="FL334" s="36"/>
      <c r="FM334" s="36"/>
      <c r="FN334" s="37"/>
      <c r="FO334" s="44"/>
      <c r="FP334" s="36"/>
      <c r="FQ334" s="36"/>
      <c r="FR334" s="36"/>
      <c r="FS334" s="36"/>
      <c r="FT334" s="36"/>
      <c r="FU334" s="36"/>
      <c r="FV334" s="36"/>
      <c r="FW334" s="36"/>
      <c r="FX334" s="36"/>
      <c r="FY334" s="36"/>
      <c r="FZ334" s="36"/>
      <c r="GA334" s="36"/>
      <c r="GB334" s="36"/>
      <c r="GC334" s="36"/>
      <c r="GD334" s="36"/>
      <c r="GE334" s="37"/>
      <c r="GF334" s="44"/>
      <c r="GG334" s="36"/>
      <c r="GH334" s="36"/>
      <c r="GI334" s="36"/>
      <c r="GJ334" s="36"/>
      <c r="GK334" s="36"/>
      <c r="GL334" s="36"/>
      <c r="GM334" s="36"/>
      <c r="GN334" s="36"/>
      <c r="GO334" s="36"/>
      <c r="GP334" s="36"/>
      <c r="GQ334" s="36"/>
      <c r="GR334" s="36"/>
      <c r="GS334" s="36"/>
      <c r="GT334" s="36"/>
      <c r="GU334" s="36"/>
      <c r="GV334" s="37"/>
      <c r="GW334" s="44"/>
      <c r="GX334" s="36"/>
      <c r="GY334" s="36"/>
      <c r="GZ334" s="36"/>
      <c r="HA334" s="36"/>
      <c r="HB334" s="36"/>
      <c r="HC334" s="36"/>
      <c r="HD334" s="36"/>
      <c r="HE334" s="36"/>
      <c r="HF334" s="36"/>
      <c r="HG334" s="36"/>
      <c r="HH334" s="36"/>
      <c r="HI334" s="36"/>
      <c r="HJ334" s="36"/>
      <c r="HK334" s="36"/>
      <c r="HL334" s="36"/>
      <c r="HM334" s="37"/>
      <c r="HN334" s="44"/>
      <c r="HO334" s="36"/>
      <c r="HP334" s="36"/>
      <c r="HQ334" s="36"/>
      <c r="HR334" s="36"/>
      <c r="HS334" s="36"/>
      <c r="HT334" s="36"/>
      <c r="HU334" s="36"/>
      <c r="HV334" s="36"/>
      <c r="HW334" s="36"/>
      <c r="HX334" s="36"/>
      <c r="HY334" s="36"/>
      <c r="HZ334" s="36"/>
      <c r="IA334" s="36"/>
      <c r="IB334" s="36"/>
      <c r="IC334" s="36"/>
      <c r="ID334" s="37"/>
      <c r="IE334" s="44"/>
      <c r="IF334" s="36"/>
      <c r="IG334" s="36"/>
      <c r="IH334" s="36"/>
      <c r="II334" s="36"/>
      <c r="IJ334" s="36"/>
      <c r="IK334" s="36"/>
      <c r="IL334" s="36"/>
      <c r="IM334" s="36"/>
      <c r="IN334" s="36"/>
      <c r="IO334" s="36"/>
      <c r="IP334" s="36"/>
      <c r="IQ334" s="36"/>
      <c r="IR334" s="36"/>
      <c r="IS334" s="36"/>
      <c r="IT334" s="36"/>
      <c r="IU334" s="37"/>
      <c r="IV334" s="44"/>
      <c r="IW334" s="36"/>
      <c r="IX334" s="36"/>
      <c r="IY334" s="36"/>
      <c r="IZ334" s="36"/>
      <c r="JA334" s="36"/>
      <c r="JB334" s="36"/>
      <c r="JC334" s="36"/>
      <c r="JD334" s="36"/>
      <c r="JE334" s="36"/>
      <c r="JF334" s="36"/>
      <c r="JG334" s="36"/>
      <c r="JH334" s="36"/>
      <c r="JI334" s="36"/>
      <c r="JJ334" s="36"/>
      <c r="JK334" s="36"/>
      <c r="JL334" s="37"/>
      <c r="JM334" s="44"/>
      <c r="JN334" s="36"/>
      <c r="JO334" s="36"/>
      <c r="JP334" s="36"/>
      <c r="JQ334" s="36"/>
      <c r="JR334" s="36"/>
      <c r="JS334" s="36"/>
      <c r="JT334" s="36"/>
      <c r="JU334" s="36"/>
      <c r="JV334" s="36"/>
      <c r="JW334" s="36"/>
      <c r="JX334" s="36"/>
      <c r="JY334" s="36"/>
      <c r="JZ334" s="36"/>
      <c r="KA334" s="36"/>
      <c r="KB334" s="36"/>
      <c r="KC334" s="37"/>
      <c r="KD334" s="44"/>
      <c r="KE334" s="36"/>
      <c r="KF334" s="36"/>
      <c r="KG334" s="36"/>
      <c r="KH334" s="36"/>
      <c r="KI334" s="36"/>
      <c r="KJ334" s="36"/>
      <c r="KK334" s="36"/>
      <c r="KL334" s="36"/>
      <c r="KM334" s="36"/>
      <c r="KN334" s="36"/>
      <c r="KO334" s="36"/>
      <c r="KP334" s="36"/>
      <c r="KQ334" s="36"/>
      <c r="KR334" s="36"/>
      <c r="KS334" s="36"/>
      <c r="KT334" s="37"/>
      <c r="KU334" s="36"/>
    </row>
    <row r="335" ht="15.0" customHeight="1">
      <c r="A335" s="44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7"/>
      <c r="R335" s="44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7"/>
      <c r="AI335" s="44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36"/>
      <c r="AU335" s="36"/>
      <c r="AV335" s="36"/>
      <c r="AW335" s="36"/>
      <c r="AX335" s="36"/>
      <c r="AY335" s="37"/>
      <c r="AZ335" s="44"/>
      <c r="BA335" s="36"/>
      <c r="BB335" s="36"/>
      <c r="BC335" s="36"/>
      <c r="BD335" s="36"/>
      <c r="BE335" s="36"/>
      <c r="BF335" s="36"/>
      <c r="BG335" s="36"/>
      <c r="BH335" s="36"/>
      <c r="BI335" s="36"/>
      <c r="BJ335" s="36"/>
      <c r="BK335" s="36"/>
      <c r="BL335" s="36"/>
      <c r="BM335" s="36"/>
      <c r="BN335" s="36"/>
      <c r="BO335" s="36"/>
      <c r="BP335" s="37"/>
      <c r="BQ335" s="44"/>
      <c r="BR335" s="36"/>
      <c r="BS335" s="36"/>
      <c r="BT335" s="36"/>
      <c r="BU335" s="36"/>
      <c r="BV335" s="36"/>
      <c r="BW335" s="36"/>
      <c r="BX335" s="36"/>
      <c r="BY335" s="36"/>
      <c r="BZ335" s="36"/>
      <c r="CA335" s="36"/>
      <c r="CB335" s="36"/>
      <c r="CC335" s="36"/>
      <c r="CD335" s="36"/>
      <c r="CE335" s="36"/>
      <c r="CF335" s="36"/>
      <c r="CG335" s="37"/>
      <c r="CH335" s="44"/>
      <c r="CI335" s="36"/>
      <c r="CJ335" s="36"/>
      <c r="CK335" s="36"/>
      <c r="CL335" s="36"/>
      <c r="CM335" s="36"/>
      <c r="CN335" s="36"/>
      <c r="CO335" s="36"/>
      <c r="CP335" s="36"/>
      <c r="CQ335" s="36"/>
      <c r="CR335" s="36"/>
      <c r="CS335" s="36"/>
      <c r="CT335" s="36"/>
      <c r="CU335" s="36"/>
      <c r="CV335" s="36"/>
      <c r="CW335" s="36"/>
      <c r="CX335" s="37"/>
      <c r="CY335" s="44"/>
      <c r="CZ335" s="36"/>
      <c r="DA335" s="36"/>
      <c r="DB335" s="36"/>
      <c r="DC335" s="36"/>
      <c r="DD335" s="36"/>
      <c r="DE335" s="36"/>
      <c r="DF335" s="36"/>
      <c r="DG335" s="36"/>
      <c r="DH335" s="36"/>
      <c r="DI335" s="36"/>
      <c r="DJ335" s="36"/>
      <c r="DK335" s="36"/>
      <c r="DL335" s="36"/>
      <c r="DM335" s="36"/>
      <c r="DN335" s="36"/>
      <c r="DO335" s="37"/>
      <c r="DP335" s="44"/>
      <c r="DQ335" s="36"/>
      <c r="DR335" s="36"/>
      <c r="DS335" s="36"/>
      <c r="DT335" s="36"/>
      <c r="DU335" s="36"/>
      <c r="DV335" s="36"/>
      <c r="DW335" s="36"/>
      <c r="DX335" s="36"/>
      <c r="DY335" s="36"/>
      <c r="DZ335" s="36"/>
      <c r="EA335" s="36"/>
      <c r="EB335" s="36"/>
      <c r="EC335" s="36"/>
      <c r="ED335" s="36"/>
      <c r="EE335" s="36"/>
      <c r="EF335" s="37"/>
      <c r="EG335" s="44"/>
      <c r="EH335" s="36"/>
      <c r="EI335" s="36"/>
      <c r="EJ335" s="36"/>
      <c r="EK335" s="36"/>
      <c r="EL335" s="36"/>
      <c r="EM335" s="36"/>
      <c r="EN335" s="36"/>
      <c r="EO335" s="36"/>
      <c r="EP335" s="36"/>
      <c r="EQ335" s="36"/>
      <c r="ER335" s="36"/>
      <c r="ES335" s="36"/>
      <c r="ET335" s="36"/>
      <c r="EU335" s="36"/>
      <c r="EV335" s="36"/>
      <c r="EW335" s="37"/>
      <c r="EX335" s="44"/>
      <c r="EY335" s="36"/>
      <c r="EZ335" s="36"/>
      <c r="FA335" s="36"/>
      <c r="FB335" s="36"/>
      <c r="FC335" s="36"/>
      <c r="FD335" s="36"/>
      <c r="FE335" s="36"/>
      <c r="FF335" s="36"/>
      <c r="FG335" s="36"/>
      <c r="FH335" s="36"/>
      <c r="FI335" s="36"/>
      <c r="FJ335" s="36"/>
      <c r="FK335" s="36"/>
      <c r="FL335" s="36"/>
      <c r="FM335" s="36"/>
      <c r="FN335" s="37"/>
      <c r="FO335" s="44"/>
      <c r="FP335" s="36"/>
      <c r="FQ335" s="36"/>
      <c r="FR335" s="36"/>
      <c r="FS335" s="36"/>
      <c r="FT335" s="36"/>
      <c r="FU335" s="36"/>
      <c r="FV335" s="36"/>
      <c r="FW335" s="36"/>
      <c r="FX335" s="36"/>
      <c r="FY335" s="36"/>
      <c r="FZ335" s="36"/>
      <c r="GA335" s="36"/>
      <c r="GB335" s="36"/>
      <c r="GC335" s="36"/>
      <c r="GD335" s="36"/>
      <c r="GE335" s="37"/>
      <c r="GF335" s="44"/>
      <c r="GG335" s="36"/>
      <c r="GH335" s="36"/>
      <c r="GI335" s="36"/>
      <c r="GJ335" s="36"/>
      <c r="GK335" s="36"/>
      <c r="GL335" s="36"/>
      <c r="GM335" s="36"/>
      <c r="GN335" s="36"/>
      <c r="GO335" s="36"/>
      <c r="GP335" s="36"/>
      <c r="GQ335" s="36"/>
      <c r="GR335" s="36"/>
      <c r="GS335" s="36"/>
      <c r="GT335" s="36"/>
      <c r="GU335" s="36"/>
      <c r="GV335" s="37"/>
      <c r="GW335" s="44"/>
      <c r="GX335" s="36"/>
      <c r="GY335" s="36"/>
      <c r="GZ335" s="36"/>
      <c r="HA335" s="36"/>
      <c r="HB335" s="36"/>
      <c r="HC335" s="36"/>
      <c r="HD335" s="36"/>
      <c r="HE335" s="36"/>
      <c r="HF335" s="36"/>
      <c r="HG335" s="36"/>
      <c r="HH335" s="36"/>
      <c r="HI335" s="36"/>
      <c r="HJ335" s="36"/>
      <c r="HK335" s="36"/>
      <c r="HL335" s="36"/>
      <c r="HM335" s="37"/>
      <c r="HN335" s="44"/>
      <c r="HO335" s="36"/>
      <c r="HP335" s="36"/>
      <c r="HQ335" s="36"/>
      <c r="HR335" s="36"/>
      <c r="HS335" s="36"/>
      <c r="HT335" s="36"/>
      <c r="HU335" s="36"/>
      <c r="HV335" s="36"/>
      <c r="HW335" s="36"/>
      <c r="HX335" s="36"/>
      <c r="HY335" s="36"/>
      <c r="HZ335" s="36"/>
      <c r="IA335" s="36"/>
      <c r="IB335" s="36"/>
      <c r="IC335" s="36"/>
      <c r="ID335" s="37"/>
      <c r="IE335" s="44"/>
      <c r="IF335" s="36"/>
      <c r="IG335" s="36"/>
      <c r="IH335" s="36"/>
      <c r="II335" s="36"/>
      <c r="IJ335" s="36"/>
      <c r="IK335" s="36"/>
      <c r="IL335" s="36"/>
      <c r="IM335" s="36"/>
      <c r="IN335" s="36"/>
      <c r="IO335" s="36"/>
      <c r="IP335" s="36"/>
      <c r="IQ335" s="36"/>
      <c r="IR335" s="36"/>
      <c r="IS335" s="36"/>
      <c r="IT335" s="36"/>
      <c r="IU335" s="37"/>
      <c r="IV335" s="44"/>
      <c r="IW335" s="36"/>
      <c r="IX335" s="36"/>
      <c r="IY335" s="36"/>
      <c r="IZ335" s="36"/>
      <c r="JA335" s="36"/>
      <c r="JB335" s="36"/>
      <c r="JC335" s="36"/>
      <c r="JD335" s="36"/>
      <c r="JE335" s="36"/>
      <c r="JF335" s="36"/>
      <c r="JG335" s="36"/>
      <c r="JH335" s="36"/>
      <c r="JI335" s="36"/>
      <c r="JJ335" s="36"/>
      <c r="JK335" s="36"/>
      <c r="JL335" s="37"/>
      <c r="JM335" s="44"/>
      <c r="JN335" s="36"/>
      <c r="JO335" s="36"/>
      <c r="JP335" s="36"/>
      <c r="JQ335" s="36"/>
      <c r="JR335" s="36"/>
      <c r="JS335" s="36"/>
      <c r="JT335" s="36"/>
      <c r="JU335" s="36"/>
      <c r="JV335" s="36"/>
      <c r="JW335" s="36"/>
      <c r="JX335" s="36"/>
      <c r="JY335" s="36"/>
      <c r="JZ335" s="36"/>
      <c r="KA335" s="36"/>
      <c r="KB335" s="36"/>
      <c r="KC335" s="37"/>
      <c r="KD335" s="44"/>
      <c r="KE335" s="36"/>
      <c r="KF335" s="36"/>
      <c r="KG335" s="36"/>
      <c r="KH335" s="36"/>
      <c r="KI335" s="36"/>
      <c r="KJ335" s="36"/>
      <c r="KK335" s="36"/>
      <c r="KL335" s="36"/>
      <c r="KM335" s="36"/>
      <c r="KN335" s="36"/>
      <c r="KO335" s="36"/>
      <c r="KP335" s="36"/>
      <c r="KQ335" s="36"/>
      <c r="KR335" s="36"/>
      <c r="KS335" s="36"/>
      <c r="KT335" s="37"/>
      <c r="KU335" s="36"/>
    </row>
    <row r="336" ht="15.0" customHeight="1">
      <c r="A336" s="44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7"/>
      <c r="R336" s="44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7"/>
      <c r="AI336" s="44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  <c r="AU336" s="36"/>
      <c r="AV336" s="36"/>
      <c r="AW336" s="36"/>
      <c r="AX336" s="36"/>
      <c r="AY336" s="37"/>
      <c r="AZ336" s="44"/>
      <c r="BA336" s="36"/>
      <c r="BB336" s="36"/>
      <c r="BC336" s="36"/>
      <c r="BD336" s="36"/>
      <c r="BE336" s="36"/>
      <c r="BF336" s="36"/>
      <c r="BG336" s="36"/>
      <c r="BH336" s="36"/>
      <c r="BI336" s="36"/>
      <c r="BJ336" s="36"/>
      <c r="BK336" s="36"/>
      <c r="BL336" s="36"/>
      <c r="BM336" s="36"/>
      <c r="BN336" s="36"/>
      <c r="BO336" s="36"/>
      <c r="BP336" s="37"/>
      <c r="BQ336" s="44"/>
      <c r="BR336" s="36"/>
      <c r="BS336" s="36"/>
      <c r="BT336" s="36"/>
      <c r="BU336" s="36"/>
      <c r="BV336" s="36"/>
      <c r="BW336" s="36"/>
      <c r="BX336" s="36"/>
      <c r="BY336" s="36"/>
      <c r="BZ336" s="36"/>
      <c r="CA336" s="36"/>
      <c r="CB336" s="36"/>
      <c r="CC336" s="36"/>
      <c r="CD336" s="36"/>
      <c r="CE336" s="36"/>
      <c r="CF336" s="36"/>
      <c r="CG336" s="37"/>
      <c r="CH336" s="44"/>
      <c r="CI336" s="36"/>
      <c r="CJ336" s="36"/>
      <c r="CK336" s="36"/>
      <c r="CL336" s="36"/>
      <c r="CM336" s="36"/>
      <c r="CN336" s="36"/>
      <c r="CO336" s="36"/>
      <c r="CP336" s="36"/>
      <c r="CQ336" s="36"/>
      <c r="CR336" s="36"/>
      <c r="CS336" s="36"/>
      <c r="CT336" s="36"/>
      <c r="CU336" s="36"/>
      <c r="CV336" s="36"/>
      <c r="CW336" s="36"/>
      <c r="CX336" s="37"/>
      <c r="CY336" s="44"/>
      <c r="CZ336" s="36"/>
      <c r="DA336" s="36"/>
      <c r="DB336" s="36"/>
      <c r="DC336" s="36"/>
      <c r="DD336" s="36"/>
      <c r="DE336" s="36"/>
      <c r="DF336" s="36"/>
      <c r="DG336" s="36"/>
      <c r="DH336" s="36"/>
      <c r="DI336" s="36"/>
      <c r="DJ336" s="36"/>
      <c r="DK336" s="36"/>
      <c r="DL336" s="36"/>
      <c r="DM336" s="36"/>
      <c r="DN336" s="36"/>
      <c r="DO336" s="37"/>
      <c r="DP336" s="44"/>
      <c r="DQ336" s="36"/>
      <c r="DR336" s="36"/>
      <c r="DS336" s="36"/>
      <c r="DT336" s="36"/>
      <c r="DU336" s="36"/>
      <c r="DV336" s="36"/>
      <c r="DW336" s="36"/>
      <c r="DX336" s="36"/>
      <c r="DY336" s="36"/>
      <c r="DZ336" s="36"/>
      <c r="EA336" s="36"/>
      <c r="EB336" s="36"/>
      <c r="EC336" s="36"/>
      <c r="ED336" s="36"/>
      <c r="EE336" s="36"/>
      <c r="EF336" s="37"/>
      <c r="EG336" s="44"/>
      <c r="EH336" s="36"/>
      <c r="EI336" s="36"/>
      <c r="EJ336" s="36"/>
      <c r="EK336" s="36"/>
      <c r="EL336" s="36"/>
      <c r="EM336" s="36"/>
      <c r="EN336" s="36"/>
      <c r="EO336" s="36"/>
      <c r="EP336" s="36"/>
      <c r="EQ336" s="36"/>
      <c r="ER336" s="36"/>
      <c r="ES336" s="36"/>
      <c r="ET336" s="36"/>
      <c r="EU336" s="36"/>
      <c r="EV336" s="36"/>
      <c r="EW336" s="37"/>
      <c r="EX336" s="44"/>
      <c r="EY336" s="36"/>
      <c r="EZ336" s="36"/>
      <c r="FA336" s="36"/>
      <c r="FB336" s="36"/>
      <c r="FC336" s="36"/>
      <c r="FD336" s="36"/>
      <c r="FE336" s="36"/>
      <c r="FF336" s="36"/>
      <c r="FG336" s="36"/>
      <c r="FH336" s="36"/>
      <c r="FI336" s="36"/>
      <c r="FJ336" s="36"/>
      <c r="FK336" s="36"/>
      <c r="FL336" s="36"/>
      <c r="FM336" s="36"/>
      <c r="FN336" s="37"/>
      <c r="FO336" s="44"/>
      <c r="FP336" s="36"/>
      <c r="FQ336" s="36"/>
      <c r="FR336" s="36"/>
      <c r="FS336" s="36"/>
      <c r="FT336" s="36"/>
      <c r="FU336" s="36"/>
      <c r="FV336" s="36"/>
      <c r="FW336" s="36"/>
      <c r="FX336" s="36"/>
      <c r="FY336" s="36"/>
      <c r="FZ336" s="36"/>
      <c r="GA336" s="36"/>
      <c r="GB336" s="36"/>
      <c r="GC336" s="36"/>
      <c r="GD336" s="36"/>
      <c r="GE336" s="37"/>
      <c r="GF336" s="44"/>
      <c r="GG336" s="36"/>
      <c r="GH336" s="36"/>
      <c r="GI336" s="36"/>
      <c r="GJ336" s="36"/>
      <c r="GK336" s="36"/>
      <c r="GL336" s="36"/>
      <c r="GM336" s="36"/>
      <c r="GN336" s="36"/>
      <c r="GO336" s="36"/>
      <c r="GP336" s="36"/>
      <c r="GQ336" s="36"/>
      <c r="GR336" s="36"/>
      <c r="GS336" s="36"/>
      <c r="GT336" s="36"/>
      <c r="GU336" s="36"/>
      <c r="GV336" s="37"/>
      <c r="GW336" s="44"/>
      <c r="GX336" s="36"/>
      <c r="GY336" s="36"/>
      <c r="GZ336" s="36"/>
      <c r="HA336" s="36"/>
      <c r="HB336" s="36"/>
      <c r="HC336" s="36"/>
      <c r="HD336" s="36"/>
      <c r="HE336" s="36"/>
      <c r="HF336" s="36"/>
      <c r="HG336" s="36"/>
      <c r="HH336" s="36"/>
      <c r="HI336" s="36"/>
      <c r="HJ336" s="36"/>
      <c r="HK336" s="36"/>
      <c r="HL336" s="36"/>
      <c r="HM336" s="37"/>
      <c r="HN336" s="44"/>
      <c r="HO336" s="36"/>
      <c r="HP336" s="36"/>
      <c r="HQ336" s="36"/>
      <c r="HR336" s="36"/>
      <c r="HS336" s="36"/>
      <c r="HT336" s="36"/>
      <c r="HU336" s="36"/>
      <c r="HV336" s="36"/>
      <c r="HW336" s="36"/>
      <c r="HX336" s="36"/>
      <c r="HY336" s="36"/>
      <c r="HZ336" s="36"/>
      <c r="IA336" s="36"/>
      <c r="IB336" s="36"/>
      <c r="IC336" s="36"/>
      <c r="ID336" s="37"/>
      <c r="IE336" s="44"/>
      <c r="IF336" s="36"/>
      <c r="IG336" s="36"/>
      <c r="IH336" s="36"/>
      <c r="II336" s="36"/>
      <c r="IJ336" s="36"/>
      <c r="IK336" s="36"/>
      <c r="IL336" s="36"/>
      <c r="IM336" s="36"/>
      <c r="IN336" s="36"/>
      <c r="IO336" s="36"/>
      <c r="IP336" s="36"/>
      <c r="IQ336" s="36"/>
      <c r="IR336" s="36"/>
      <c r="IS336" s="36"/>
      <c r="IT336" s="36"/>
      <c r="IU336" s="37"/>
      <c r="IV336" s="44"/>
      <c r="IW336" s="36"/>
      <c r="IX336" s="36"/>
      <c r="IY336" s="36"/>
      <c r="IZ336" s="36"/>
      <c r="JA336" s="36"/>
      <c r="JB336" s="36"/>
      <c r="JC336" s="36"/>
      <c r="JD336" s="36"/>
      <c r="JE336" s="36"/>
      <c r="JF336" s="36"/>
      <c r="JG336" s="36"/>
      <c r="JH336" s="36"/>
      <c r="JI336" s="36"/>
      <c r="JJ336" s="36"/>
      <c r="JK336" s="36"/>
      <c r="JL336" s="37"/>
      <c r="JM336" s="44"/>
      <c r="JN336" s="36"/>
      <c r="JO336" s="36"/>
      <c r="JP336" s="36"/>
      <c r="JQ336" s="36"/>
      <c r="JR336" s="36"/>
      <c r="JS336" s="36"/>
      <c r="JT336" s="36"/>
      <c r="JU336" s="36"/>
      <c r="JV336" s="36"/>
      <c r="JW336" s="36"/>
      <c r="JX336" s="36"/>
      <c r="JY336" s="36"/>
      <c r="JZ336" s="36"/>
      <c r="KA336" s="36"/>
      <c r="KB336" s="36"/>
      <c r="KC336" s="37"/>
      <c r="KD336" s="44"/>
      <c r="KE336" s="36"/>
      <c r="KF336" s="36"/>
      <c r="KG336" s="36"/>
      <c r="KH336" s="36"/>
      <c r="KI336" s="36"/>
      <c r="KJ336" s="36"/>
      <c r="KK336" s="36"/>
      <c r="KL336" s="36"/>
      <c r="KM336" s="36"/>
      <c r="KN336" s="36"/>
      <c r="KO336" s="36"/>
      <c r="KP336" s="36"/>
      <c r="KQ336" s="36"/>
      <c r="KR336" s="36"/>
      <c r="KS336" s="36"/>
      <c r="KT336" s="37"/>
      <c r="KU336" s="36"/>
    </row>
    <row r="337" ht="15.0" customHeight="1">
      <c r="A337" s="44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7"/>
      <c r="R337" s="44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7"/>
      <c r="AI337" s="44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  <c r="AU337" s="36"/>
      <c r="AV337" s="36"/>
      <c r="AW337" s="36"/>
      <c r="AX337" s="36"/>
      <c r="AY337" s="37"/>
      <c r="AZ337" s="44"/>
      <c r="BA337" s="36"/>
      <c r="BB337" s="36"/>
      <c r="BC337" s="36"/>
      <c r="BD337" s="36"/>
      <c r="BE337" s="36"/>
      <c r="BF337" s="36"/>
      <c r="BG337" s="36"/>
      <c r="BH337" s="36"/>
      <c r="BI337" s="36"/>
      <c r="BJ337" s="36"/>
      <c r="BK337" s="36"/>
      <c r="BL337" s="36"/>
      <c r="BM337" s="36"/>
      <c r="BN337" s="36"/>
      <c r="BO337" s="36"/>
      <c r="BP337" s="37"/>
      <c r="BQ337" s="44"/>
      <c r="BR337" s="36"/>
      <c r="BS337" s="36"/>
      <c r="BT337" s="36"/>
      <c r="BU337" s="36"/>
      <c r="BV337" s="36"/>
      <c r="BW337" s="36"/>
      <c r="BX337" s="36"/>
      <c r="BY337" s="36"/>
      <c r="BZ337" s="36"/>
      <c r="CA337" s="36"/>
      <c r="CB337" s="36"/>
      <c r="CC337" s="36"/>
      <c r="CD337" s="36"/>
      <c r="CE337" s="36"/>
      <c r="CF337" s="36"/>
      <c r="CG337" s="37"/>
      <c r="CH337" s="44"/>
      <c r="CI337" s="36"/>
      <c r="CJ337" s="36"/>
      <c r="CK337" s="36"/>
      <c r="CL337" s="36"/>
      <c r="CM337" s="36"/>
      <c r="CN337" s="36"/>
      <c r="CO337" s="36"/>
      <c r="CP337" s="36"/>
      <c r="CQ337" s="36"/>
      <c r="CR337" s="36"/>
      <c r="CS337" s="36"/>
      <c r="CT337" s="36"/>
      <c r="CU337" s="36"/>
      <c r="CV337" s="36"/>
      <c r="CW337" s="36"/>
      <c r="CX337" s="37"/>
      <c r="CY337" s="44"/>
      <c r="CZ337" s="36"/>
      <c r="DA337" s="36"/>
      <c r="DB337" s="36"/>
      <c r="DC337" s="36"/>
      <c r="DD337" s="36"/>
      <c r="DE337" s="36"/>
      <c r="DF337" s="36"/>
      <c r="DG337" s="36"/>
      <c r="DH337" s="36"/>
      <c r="DI337" s="36"/>
      <c r="DJ337" s="36"/>
      <c r="DK337" s="36"/>
      <c r="DL337" s="36"/>
      <c r="DM337" s="36"/>
      <c r="DN337" s="36"/>
      <c r="DO337" s="37"/>
      <c r="DP337" s="44"/>
      <c r="DQ337" s="36"/>
      <c r="DR337" s="36"/>
      <c r="DS337" s="36"/>
      <c r="DT337" s="36"/>
      <c r="DU337" s="36"/>
      <c r="DV337" s="36"/>
      <c r="DW337" s="36"/>
      <c r="DX337" s="36"/>
      <c r="DY337" s="36"/>
      <c r="DZ337" s="36"/>
      <c r="EA337" s="36"/>
      <c r="EB337" s="36"/>
      <c r="EC337" s="36"/>
      <c r="ED337" s="36"/>
      <c r="EE337" s="36"/>
      <c r="EF337" s="37"/>
      <c r="EG337" s="44"/>
      <c r="EH337" s="36"/>
      <c r="EI337" s="36"/>
      <c r="EJ337" s="36"/>
      <c r="EK337" s="36"/>
      <c r="EL337" s="36"/>
      <c r="EM337" s="36"/>
      <c r="EN337" s="36"/>
      <c r="EO337" s="36"/>
      <c r="EP337" s="36"/>
      <c r="EQ337" s="36"/>
      <c r="ER337" s="36"/>
      <c r="ES337" s="36"/>
      <c r="ET337" s="36"/>
      <c r="EU337" s="36"/>
      <c r="EV337" s="36"/>
      <c r="EW337" s="37"/>
      <c r="EX337" s="44"/>
      <c r="EY337" s="36"/>
      <c r="EZ337" s="36"/>
      <c r="FA337" s="36"/>
      <c r="FB337" s="36"/>
      <c r="FC337" s="36"/>
      <c r="FD337" s="36"/>
      <c r="FE337" s="36"/>
      <c r="FF337" s="36"/>
      <c r="FG337" s="36"/>
      <c r="FH337" s="36"/>
      <c r="FI337" s="36"/>
      <c r="FJ337" s="36"/>
      <c r="FK337" s="36"/>
      <c r="FL337" s="36"/>
      <c r="FM337" s="36"/>
      <c r="FN337" s="37"/>
      <c r="FO337" s="44"/>
      <c r="FP337" s="36"/>
      <c r="FQ337" s="36"/>
      <c r="FR337" s="36"/>
      <c r="FS337" s="36"/>
      <c r="FT337" s="36"/>
      <c r="FU337" s="36"/>
      <c r="FV337" s="36"/>
      <c r="FW337" s="36"/>
      <c r="FX337" s="36"/>
      <c r="FY337" s="36"/>
      <c r="FZ337" s="36"/>
      <c r="GA337" s="36"/>
      <c r="GB337" s="36"/>
      <c r="GC337" s="36"/>
      <c r="GD337" s="36"/>
      <c r="GE337" s="37"/>
      <c r="GF337" s="44"/>
      <c r="GG337" s="36"/>
      <c r="GH337" s="36"/>
      <c r="GI337" s="36"/>
      <c r="GJ337" s="36"/>
      <c r="GK337" s="36"/>
      <c r="GL337" s="36"/>
      <c r="GM337" s="36"/>
      <c r="GN337" s="36"/>
      <c r="GO337" s="36"/>
      <c r="GP337" s="36"/>
      <c r="GQ337" s="36"/>
      <c r="GR337" s="36"/>
      <c r="GS337" s="36"/>
      <c r="GT337" s="36"/>
      <c r="GU337" s="36"/>
      <c r="GV337" s="37"/>
      <c r="GW337" s="44"/>
      <c r="GX337" s="36"/>
      <c r="GY337" s="36"/>
      <c r="GZ337" s="36"/>
      <c r="HA337" s="36"/>
      <c r="HB337" s="36"/>
      <c r="HC337" s="36"/>
      <c r="HD337" s="36"/>
      <c r="HE337" s="36"/>
      <c r="HF337" s="36"/>
      <c r="HG337" s="36"/>
      <c r="HH337" s="36"/>
      <c r="HI337" s="36"/>
      <c r="HJ337" s="36"/>
      <c r="HK337" s="36"/>
      <c r="HL337" s="36"/>
      <c r="HM337" s="37"/>
      <c r="HN337" s="44"/>
      <c r="HO337" s="36"/>
      <c r="HP337" s="36"/>
      <c r="HQ337" s="36"/>
      <c r="HR337" s="36"/>
      <c r="HS337" s="36"/>
      <c r="HT337" s="36"/>
      <c r="HU337" s="36"/>
      <c r="HV337" s="36"/>
      <c r="HW337" s="36"/>
      <c r="HX337" s="36"/>
      <c r="HY337" s="36"/>
      <c r="HZ337" s="36"/>
      <c r="IA337" s="36"/>
      <c r="IB337" s="36"/>
      <c r="IC337" s="36"/>
      <c r="ID337" s="37"/>
      <c r="IE337" s="44"/>
      <c r="IF337" s="36"/>
      <c r="IG337" s="36"/>
      <c r="IH337" s="36"/>
      <c r="II337" s="36"/>
      <c r="IJ337" s="36"/>
      <c r="IK337" s="36"/>
      <c r="IL337" s="36"/>
      <c r="IM337" s="36"/>
      <c r="IN337" s="36"/>
      <c r="IO337" s="36"/>
      <c r="IP337" s="36"/>
      <c r="IQ337" s="36"/>
      <c r="IR337" s="36"/>
      <c r="IS337" s="36"/>
      <c r="IT337" s="36"/>
      <c r="IU337" s="37"/>
      <c r="IV337" s="44"/>
      <c r="IW337" s="36"/>
      <c r="IX337" s="36"/>
      <c r="IY337" s="36"/>
      <c r="IZ337" s="36"/>
      <c r="JA337" s="36"/>
      <c r="JB337" s="36"/>
      <c r="JC337" s="36"/>
      <c r="JD337" s="36"/>
      <c r="JE337" s="36"/>
      <c r="JF337" s="36"/>
      <c r="JG337" s="36"/>
      <c r="JH337" s="36"/>
      <c r="JI337" s="36"/>
      <c r="JJ337" s="36"/>
      <c r="JK337" s="36"/>
      <c r="JL337" s="37"/>
      <c r="JM337" s="44"/>
      <c r="JN337" s="36"/>
      <c r="JO337" s="36"/>
      <c r="JP337" s="36"/>
      <c r="JQ337" s="36"/>
      <c r="JR337" s="36"/>
      <c r="JS337" s="36"/>
      <c r="JT337" s="36"/>
      <c r="JU337" s="36"/>
      <c r="JV337" s="36"/>
      <c r="JW337" s="36"/>
      <c r="JX337" s="36"/>
      <c r="JY337" s="36"/>
      <c r="JZ337" s="36"/>
      <c r="KA337" s="36"/>
      <c r="KB337" s="36"/>
      <c r="KC337" s="37"/>
      <c r="KD337" s="44"/>
      <c r="KE337" s="36"/>
      <c r="KF337" s="36"/>
      <c r="KG337" s="36"/>
      <c r="KH337" s="36"/>
      <c r="KI337" s="36"/>
      <c r="KJ337" s="36"/>
      <c r="KK337" s="36"/>
      <c r="KL337" s="36"/>
      <c r="KM337" s="36"/>
      <c r="KN337" s="36"/>
      <c r="KO337" s="36"/>
      <c r="KP337" s="36"/>
      <c r="KQ337" s="36"/>
      <c r="KR337" s="36"/>
      <c r="KS337" s="36"/>
      <c r="KT337" s="37"/>
      <c r="KU337" s="36"/>
    </row>
    <row r="338" ht="15.0" customHeight="1">
      <c r="A338" s="44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7"/>
      <c r="R338" s="44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7"/>
      <c r="AI338" s="44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  <c r="AU338" s="36"/>
      <c r="AV338" s="36"/>
      <c r="AW338" s="36"/>
      <c r="AX338" s="36"/>
      <c r="AY338" s="37"/>
      <c r="AZ338" s="44"/>
      <c r="BA338" s="36"/>
      <c r="BB338" s="36"/>
      <c r="BC338" s="36"/>
      <c r="BD338" s="36"/>
      <c r="BE338" s="36"/>
      <c r="BF338" s="36"/>
      <c r="BG338" s="36"/>
      <c r="BH338" s="36"/>
      <c r="BI338" s="36"/>
      <c r="BJ338" s="36"/>
      <c r="BK338" s="36"/>
      <c r="BL338" s="36"/>
      <c r="BM338" s="36"/>
      <c r="BN338" s="36"/>
      <c r="BO338" s="36"/>
      <c r="BP338" s="37"/>
      <c r="BQ338" s="44"/>
      <c r="BR338" s="36"/>
      <c r="BS338" s="36"/>
      <c r="BT338" s="36"/>
      <c r="BU338" s="36"/>
      <c r="BV338" s="36"/>
      <c r="BW338" s="36"/>
      <c r="BX338" s="36"/>
      <c r="BY338" s="36"/>
      <c r="BZ338" s="36"/>
      <c r="CA338" s="36"/>
      <c r="CB338" s="36"/>
      <c r="CC338" s="36"/>
      <c r="CD338" s="36"/>
      <c r="CE338" s="36"/>
      <c r="CF338" s="36"/>
      <c r="CG338" s="37"/>
      <c r="CH338" s="44"/>
      <c r="CI338" s="36"/>
      <c r="CJ338" s="36"/>
      <c r="CK338" s="36"/>
      <c r="CL338" s="36"/>
      <c r="CM338" s="36"/>
      <c r="CN338" s="36"/>
      <c r="CO338" s="36"/>
      <c r="CP338" s="36"/>
      <c r="CQ338" s="36"/>
      <c r="CR338" s="36"/>
      <c r="CS338" s="36"/>
      <c r="CT338" s="36"/>
      <c r="CU338" s="36"/>
      <c r="CV338" s="36"/>
      <c r="CW338" s="36"/>
      <c r="CX338" s="37"/>
      <c r="CY338" s="44"/>
      <c r="CZ338" s="36"/>
      <c r="DA338" s="36"/>
      <c r="DB338" s="36"/>
      <c r="DC338" s="36"/>
      <c r="DD338" s="36"/>
      <c r="DE338" s="36"/>
      <c r="DF338" s="36"/>
      <c r="DG338" s="36"/>
      <c r="DH338" s="36"/>
      <c r="DI338" s="36"/>
      <c r="DJ338" s="36"/>
      <c r="DK338" s="36"/>
      <c r="DL338" s="36"/>
      <c r="DM338" s="36"/>
      <c r="DN338" s="36"/>
      <c r="DO338" s="37"/>
      <c r="DP338" s="44"/>
      <c r="DQ338" s="36"/>
      <c r="DR338" s="36"/>
      <c r="DS338" s="36"/>
      <c r="DT338" s="36"/>
      <c r="DU338" s="36"/>
      <c r="DV338" s="36"/>
      <c r="DW338" s="36"/>
      <c r="DX338" s="36"/>
      <c r="DY338" s="36"/>
      <c r="DZ338" s="36"/>
      <c r="EA338" s="36"/>
      <c r="EB338" s="36"/>
      <c r="EC338" s="36"/>
      <c r="ED338" s="36"/>
      <c r="EE338" s="36"/>
      <c r="EF338" s="37"/>
      <c r="EG338" s="44"/>
      <c r="EH338" s="36"/>
      <c r="EI338" s="36"/>
      <c r="EJ338" s="36"/>
      <c r="EK338" s="36"/>
      <c r="EL338" s="36"/>
      <c r="EM338" s="36"/>
      <c r="EN338" s="36"/>
      <c r="EO338" s="36"/>
      <c r="EP338" s="36"/>
      <c r="EQ338" s="36"/>
      <c r="ER338" s="36"/>
      <c r="ES338" s="36"/>
      <c r="ET338" s="36"/>
      <c r="EU338" s="36"/>
      <c r="EV338" s="36"/>
      <c r="EW338" s="37"/>
      <c r="EX338" s="44"/>
      <c r="EY338" s="36"/>
      <c r="EZ338" s="36"/>
      <c r="FA338" s="36"/>
      <c r="FB338" s="36"/>
      <c r="FC338" s="36"/>
      <c r="FD338" s="36"/>
      <c r="FE338" s="36"/>
      <c r="FF338" s="36"/>
      <c r="FG338" s="36"/>
      <c r="FH338" s="36"/>
      <c r="FI338" s="36"/>
      <c r="FJ338" s="36"/>
      <c r="FK338" s="36"/>
      <c r="FL338" s="36"/>
      <c r="FM338" s="36"/>
      <c r="FN338" s="37"/>
      <c r="FO338" s="44"/>
      <c r="FP338" s="36"/>
      <c r="FQ338" s="36"/>
      <c r="FR338" s="36"/>
      <c r="FS338" s="36"/>
      <c r="FT338" s="36"/>
      <c r="FU338" s="36"/>
      <c r="FV338" s="36"/>
      <c r="FW338" s="36"/>
      <c r="FX338" s="36"/>
      <c r="FY338" s="36"/>
      <c r="FZ338" s="36"/>
      <c r="GA338" s="36"/>
      <c r="GB338" s="36"/>
      <c r="GC338" s="36"/>
      <c r="GD338" s="36"/>
      <c r="GE338" s="37"/>
      <c r="GF338" s="44"/>
      <c r="GG338" s="36"/>
      <c r="GH338" s="36"/>
      <c r="GI338" s="36"/>
      <c r="GJ338" s="36"/>
      <c r="GK338" s="36"/>
      <c r="GL338" s="36"/>
      <c r="GM338" s="36"/>
      <c r="GN338" s="36"/>
      <c r="GO338" s="36"/>
      <c r="GP338" s="36"/>
      <c r="GQ338" s="36"/>
      <c r="GR338" s="36"/>
      <c r="GS338" s="36"/>
      <c r="GT338" s="36"/>
      <c r="GU338" s="36"/>
      <c r="GV338" s="37"/>
      <c r="GW338" s="44"/>
      <c r="GX338" s="36"/>
      <c r="GY338" s="36"/>
      <c r="GZ338" s="36"/>
      <c r="HA338" s="36"/>
      <c r="HB338" s="36"/>
      <c r="HC338" s="36"/>
      <c r="HD338" s="36"/>
      <c r="HE338" s="36"/>
      <c r="HF338" s="36"/>
      <c r="HG338" s="36"/>
      <c r="HH338" s="36"/>
      <c r="HI338" s="36"/>
      <c r="HJ338" s="36"/>
      <c r="HK338" s="36"/>
      <c r="HL338" s="36"/>
      <c r="HM338" s="37"/>
      <c r="HN338" s="44"/>
      <c r="HO338" s="36"/>
      <c r="HP338" s="36"/>
      <c r="HQ338" s="36"/>
      <c r="HR338" s="36"/>
      <c r="HS338" s="36"/>
      <c r="HT338" s="36"/>
      <c r="HU338" s="36"/>
      <c r="HV338" s="36"/>
      <c r="HW338" s="36"/>
      <c r="HX338" s="36"/>
      <c r="HY338" s="36"/>
      <c r="HZ338" s="36"/>
      <c r="IA338" s="36"/>
      <c r="IB338" s="36"/>
      <c r="IC338" s="36"/>
      <c r="ID338" s="37"/>
      <c r="IE338" s="44"/>
      <c r="IF338" s="36"/>
      <c r="IG338" s="36"/>
      <c r="IH338" s="36"/>
      <c r="II338" s="36"/>
      <c r="IJ338" s="36"/>
      <c r="IK338" s="36"/>
      <c r="IL338" s="36"/>
      <c r="IM338" s="36"/>
      <c r="IN338" s="36"/>
      <c r="IO338" s="36"/>
      <c r="IP338" s="36"/>
      <c r="IQ338" s="36"/>
      <c r="IR338" s="36"/>
      <c r="IS338" s="36"/>
      <c r="IT338" s="36"/>
      <c r="IU338" s="37"/>
      <c r="IV338" s="44"/>
      <c r="IW338" s="36"/>
      <c r="IX338" s="36"/>
      <c r="IY338" s="36"/>
      <c r="IZ338" s="36"/>
      <c r="JA338" s="36"/>
      <c r="JB338" s="36"/>
      <c r="JC338" s="36"/>
      <c r="JD338" s="36"/>
      <c r="JE338" s="36"/>
      <c r="JF338" s="36"/>
      <c r="JG338" s="36"/>
      <c r="JH338" s="36"/>
      <c r="JI338" s="36"/>
      <c r="JJ338" s="36"/>
      <c r="JK338" s="36"/>
      <c r="JL338" s="37"/>
      <c r="JM338" s="44"/>
      <c r="JN338" s="36"/>
      <c r="JO338" s="36"/>
      <c r="JP338" s="36"/>
      <c r="JQ338" s="36"/>
      <c r="JR338" s="36"/>
      <c r="JS338" s="36"/>
      <c r="JT338" s="36"/>
      <c r="JU338" s="36"/>
      <c r="JV338" s="36"/>
      <c r="JW338" s="36"/>
      <c r="JX338" s="36"/>
      <c r="JY338" s="36"/>
      <c r="JZ338" s="36"/>
      <c r="KA338" s="36"/>
      <c r="KB338" s="36"/>
      <c r="KC338" s="37"/>
      <c r="KD338" s="44"/>
      <c r="KE338" s="36"/>
      <c r="KF338" s="36"/>
      <c r="KG338" s="36"/>
      <c r="KH338" s="36"/>
      <c r="KI338" s="36"/>
      <c r="KJ338" s="36"/>
      <c r="KK338" s="36"/>
      <c r="KL338" s="36"/>
      <c r="KM338" s="36"/>
      <c r="KN338" s="36"/>
      <c r="KO338" s="36"/>
      <c r="KP338" s="36"/>
      <c r="KQ338" s="36"/>
      <c r="KR338" s="36"/>
      <c r="KS338" s="36"/>
      <c r="KT338" s="37"/>
      <c r="KU338" s="36"/>
    </row>
    <row r="339" ht="15.0" customHeight="1">
      <c r="A339" s="44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7"/>
      <c r="R339" s="44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7"/>
      <c r="AI339" s="44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  <c r="AU339" s="36"/>
      <c r="AV339" s="36"/>
      <c r="AW339" s="36"/>
      <c r="AX339" s="36"/>
      <c r="AY339" s="37"/>
      <c r="AZ339" s="44"/>
      <c r="BA339" s="36"/>
      <c r="BB339" s="36"/>
      <c r="BC339" s="36"/>
      <c r="BD339" s="36"/>
      <c r="BE339" s="36"/>
      <c r="BF339" s="36"/>
      <c r="BG339" s="36"/>
      <c r="BH339" s="36"/>
      <c r="BI339" s="36"/>
      <c r="BJ339" s="36"/>
      <c r="BK339" s="36"/>
      <c r="BL339" s="36"/>
      <c r="BM339" s="36"/>
      <c r="BN339" s="36"/>
      <c r="BO339" s="36"/>
      <c r="BP339" s="37"/>
      <c r="BQ339" s="44"/>
      <c r="BR339" s="36"/>
      <c r="BS339" s="36"/>
      <c r="BT339" s="36"/>
      <c r="BU339" s="36"/>
      <c r="BV339" s="36"/>
      <c r="BW339" s="36"/>
      <c r="BX339" s="36"/>
      <c r="BY339" s="36"/>
      <c r="BZ339" s="36"/>
      <c r="CA339" s="36"/>
      <c r="CB339" s="36"/>
      <c r="CC339" s="36"/>
      <c r="CD339" s="36"/>
      <c r="CE339" s="36"/>
      <c r="CF339" s="36"/>
      <c r="CG339" s="37"/>
      <c r="CH339" s="44"/>
      <c r="CI339" s="36"/>
      <c r="CJ339" s="36"/>
      <c r="CK339" s="36"/>
      <c r="CL339" s="36"/>
      <c r="CM339" s="36"/>
      <c r="CN339" s="36"/>
      <c r="CO339" s="36"/>
      <c r="CP339" s="36"/>
      <c r="CQ339" s="36"/>
      <c r="CR339" s="36"/>
      <c r="CS339" s="36"/>
      <c r="CT339" s="36"/>
      <c r="CU339" s="36"/>
      <c r="CV339" s="36"/>
      <c r="CW339" s="36"/>
      <c r="CX339" s="37"/>
      <c r="CY339" s="44"/>
      <c r="CZ339" s="36"/>
      <c r="DA339" s="36"/>
      <c r="DB339" s="36"/>
      <c r="DC339" s="36"/>
      <c r="DD339" s="36"/>
      <c r="DE339" s="36"/>
      <c r="DF339" s="36"/>
      <c r="DG339" s="36"/>
      <c r="DH339" s="36"/>
      <c r="DI339" s="36"/>
      <c r="DJ339" s="36"/>
      <c r="DK339" s="36"/>
      <c r="DL339" s="36"/>
      <c r="DM339" s="36"/>
      <c r="DN339" s="36"/>
      <c r="DO339" s="37"/>
      <c r="DP339" s="44"/>
      <c r="DQ339" s="36"/>
      <c r="DR339" s="36"/>
      <c r="DS339" s="36"/>
      <c r="DT339" s="36"/>
      <c r="DU339" s="36"/>
      <c r="DV339" s="36"/>
      <c r="DW339" s="36"/>
      <c r="DX339" s="36"/>
      <c r="DY339" s="36"/>
      <c r="DZ339" s="36"/>
      <c r="EA339" s="36"/>
      <c r="EB339" s="36"/>
      <c r="EC339" s="36"/>
      <c r="ED339" s="36"/>
      <c r="EE339" s="36"/>
      <c r="EF339" s="37"/>
      <c r="EG339" s="44"/>
      <c r="EH339" s="36"/>
      <c r="EI339" s="36"/>
      <c r="EJ339" s="36"/>
      <c r="EK339" s="36"/>
      <c r="EL339" s="36"/>
      <c r="EM339" s="36"/>
      <c r="EN339" s="36"/>
      <c r="EO339" s="36"/>
      <c r="EP339" s="36"/>
      <c r="EQ339" s="36"/>
      <c r="ER339" s="36"/>
      <c r="ES339" s="36"/>
      <c r="ET339" s="36"/>
      <c r="EU339" s="36"/>
      <c r="EV339" s="36"/>
      <c r="EW339" s="37"/>
      <c r="EX339" s="44"/>
      <c r="EY339" s="36"/>
      <c r="EZ339" s="36"/>
      <c r="FA339" s="36"/>
      <c r="FB339" s="36"/>
      <c r="FC339" s="36"/>
      <c r="FD339" s="36"/>
      <c r="FE339" s="36"/>
      <c r="FF339" s="36"/>
      <c r="FG339" s="36"/>
      <c r="FH339" s="36"/>
      <c r="FI339" s="36"/>
      <c r="FJ339" s="36"/>
      <c r="FK339" s="36"/>
      <c r="FL339" s="36"/>
      <c r="FM339" s="36"/>
      <c r="FN339" s="37"/>
      <c r="FO339" s="44"/>
      <c r="FP339" s="36"/>
      <c r="FQ339" s="36"/>
      <c r="FR339" s="36"/>
      <c r="FS339" s="36"/>
      <c r="FT339" s="36"/>
      <c r="FU339" s="36"/>
      <c r="FV339" s="36"/>
      <c r="FW339" s="36"/>
      <c r="FX339" s="36"/>
      <c r="FY339" s="36"/>
      <c r="FZ339" s="36"/>
      <c r="GA339" s="36"/>
      <c r="GB339" s="36"/>
      <c r="GC339" s="36"/>
      <c r="GD339" s="36"/>
      <c r="GE339" s="37"/>
      <c r="GF339" s="44"/>
      <c r="GG339" s="36"/>
      <c r="GH339" s="36"/>
      <c r="GI339" s="36"/>
      <c r="GJ339" s="36"/>
      <c r="GK339" s="36"/>
      <c r="GL339" s="36"/>
      <c r="GM339" s="36"/>
      <c r="GN339" s="36"/>
      <c r="GO339" s="36"/>
      <c r="GP339" s="36"/>
      <c r="GQ339" s="36"/>
      <c r="GR339" s="36"/>
      <c r="GS339" s="36"/>
      <c r="GT339" s="36"/>
      <c r="GU339" s="36"/>
      <c r="GV339" s="37"/>
      <c r="GW339" s="44"/>
      <c r="GX339" s="36"/>
      <c r="GY339" s="36"/>
      <c r="GZ339" s="36"/>
      <c r="HA339" s="36"/>
      <c r="HB339" s="36"/>
      <c r="HC339" s="36"/>
      <c r="HD339" s="36"/>
      <c r="HE339" s="36"/>
      <c r="HF339" s="36"/>
      <c r="HG339" s="36"/>
      <c r="HH339" s="36"/>
      <c r="HI339" s="36"/>
      <c r="HJ339" s="36"/>
      <c r="HK339" s="36"/>
      <c r="HL339" s="36"/>
      <c r="HM339" s="37"/>
      <c r="HN339" s="44"/>
      <c r="HO339" s="36"/>
      <c r="HP339" s="36"/>
      <c r="HQ339" s="36"/>
      <c r="HR339" s="36"/>
      <c r="HS339" s="36"/>
      <c r="HT339" s="36"/>
      <c r="HU339" s="36"/>
      <c r="HV339" s="36"/>
      <c r="HW339" s="36"/>
      <c r="HX339" s="36"/>
      <c r="HY339" s="36"/>
      <c r="HZ339" s="36"/>
      <c r="IA339" s="36"/>
      <c r="IB339" s="36"/>
      <c r="IC339" s="36"/>
      <c r="ID339" s="37"/>
      <c r="IE339" s="44"/>
      <c r="IF339" s="36"/>
      <c r="IG339" s="36"/>
      <c r="IH339" s="36"/>
      <c r="II339" s="36"/>
      <c r="IJ339" s="36"/>
      <c r="IK339" s="36"/>
      <c r="IL339" s="36"/>
      <c r="IM339" s="36"/>
      <c r="IN339" s="36"/>
      <c r="IO339" s="36"/>
      <c r="IP339" s="36"/>
      <c r="IQ339" s="36"/>
      <c r="IR339" s="36"/>
      <c r="IS339" s="36"/>
      <c r="IT339" s="36"/>
      <c r="IU339" s="37"/>
      <c r="IV339" s="44"/>
      <c r="IW339" s="36"/>
      <c r="IX339" s="36"/>
      <c r="IY339" s="36"/>
      <c r="IZ339" s="36"/>
      <c r="JA339" s="36"/>
      <c r="JB339" s="36"/>
      <c r="JC339" s="36"/>
      <c r="JD339" s="36"/>
      <c r="JE339" s="36"/>
      <c r="JF339" s="36"/>
      <c r="JG339" s="36"/>
      <c r="JH339" s="36"/>
      <c r="JI339" s="36"/>
      <c r="JJ339" s="36"/>
      <c r="JK339" s="36"/>
      <c r="JL339" s="37"/>
      <c r="JM339" s="44"/>
      <c r="JN339" s="36"/>
      <c r="JO339" s="36"/>
      <c r="JP339" s="36"/>
      <c r="JQ339" s="36"/>
      <c r="JR339" s="36"/>
      <c r="JS339" s="36"/>
      <c r="JT339" s="36"/>
      <c r="JU339" s="36"/>
      <c r="JV339" s="36"/>
      <c r="JW339" s="36"/>
      <c r="JX339" s="36"/>
      <c r="JY339" s="36"/>
      <c r="JZ339" s="36"/>
      <c r="KA339" s="36"/>
      <c r="KB339" s="36"/>
      <c r="KC339" s="37"/>
      <c r="KD339" s="44"/>
      <c r="KE339" s="36"/>
      <c r="KF339" s="36"/>
      <c r="KG339" s="36"/>
      <c r="KH339" s="36"/>
      <c r="KI339" s="36"/>
      <c r="KJ339" s="36"/>
      <c r="KK339" s="36"/>
      <c r="KL339" s="36"/>
      <c r="KM339" s="36"/>
      <c r="KN339" s="36"/>
      <c r="KO339" s="36"/>
      <c r="KP339" s="36"/>
      <c r="KQ339" s="36"/>
      <c r="KR339" s="36"/>
      <c r="KS339" s="36"/>
      <c r="KT339" s="37"/>
      <c r="KU339" s="36"/>
    </row>
    <row r="340" ht="15.0" customHeight="1">
      <c r="A340" s="44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7"/>
      <c r="R340" s="44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7"/>
      <c r="AI340" s="44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  <c r="AU340" s="36"/>
      <c r="AV340" s="36"/>
      <c r="AW340" s="36"/>
      <c r="AX340" s="36"/>
      <c r="AY340" s="37"/>
      <c r="AZ340" s="44"/>
      <c r="BA340" s="36"/>
      <c r="BB340" s="36"/>
      <c r="BC340" s="36"/>
      <c r="BD340" s="36"/>
      <c r="BE340" s="36"/>
      <c r="BF340" s="36"/>
      <c r="BG340" s="36"/>
      <c r="BH340" s="36"/>
      <c r="BI340" s="36"/>
      <c r="BJ340" s="36"/>
      <c r="BK340" s="36"/>
      <c r="BL340" s="36"/>
      <c r="BM340" s="36"/>
      <c r="BN340" s="36"/>
      <c r="BO340" s="36"/>
      <c r="BP340" s="37"/>
      <c r="BQ340" s="44"/>
      <c r="BR340" s="36"/>
      <c r="BS340" s="36"/>
      <c r="BT340" s="36"/>
      <c r="BU340" s="36"/>
      <c r="BV340" s="36"/>
      <c r="BW340" s="36"/>
      <c r="BX340" s="36"/>
      <c r="BY340" s="36"/>
      <c r="BZ340" s="36"/>
      <c r="CA340" s="36"/>
      <c r="CB340" s="36"/>
      <c r="CC340" s="36"/>
      <c r="CD340" s="36"/>
      <c r="CE340" s="36"/>
      <c r="CF340" s="36"/>
      <c r="CG340" s="37"/>
      <c r="CH340" s="44"/>
      <c r="CI340" s="36"/>
      <c r="CJ340" s="36"/>
      <c r="CK340" s="36"/>
      <c r="CL340" s="36"/>
      <c r="CM340" s="36"/>
      <c r="CN340" s="36"/>
      <c r="CO340" s="36"/>
      <c r="CP340" s="36"/>
      <c r="CQ340" s="36"/>
      <c r="CR340" s="36"/>
      <c r="CS340" s="36"/>
      <c r="CT340" s="36"/>
      <c r="CU340" s="36"/>
      <c r="CV340" s="36"/>
      <c r="CW340" s="36"/>
      <c r="CX340" s="37"/>
      <c r="CY340" s="44"/>
      <c r="CZ340" s="36"/>
      <c r="DA340" s="36"/>
      <c r="DB340" s="36"/>
      <c r="DC340" s="36"/>
      <c r="DD340" s="36"/>
      <c r="DE340" s="36"/>
      <c r="DF340" s="36"/>
      <c r="DG340" s="36"/>
      <c r="DH340" s="36"/>
      <c r="DI340" s="36"/>
      <c r="DJ340" s="36"/>
      <c r="DK340" s="36"/>
      <c r="DL340" s="36"/>
      <c r="DM340" s="36"/>
      <c r="DN340" s="36"/>
      <c r="DO340" s="37"/>
      <c r="DP340" s="44"/>
      <c r="DQ340" s="36"/>
      <c r="DR340" s="36"/>
      <c r="DS340" s="36"/>
      <c r="DT340" s="36"/>
      <c r="DU340" s="36"/>
      <c r="DV340" s="36"/>
      <c r="DW340" s="36"/>
      <c r="DX340" s="36"/>
      <c r="DY340" s="36"/>
      <c r="DZ340" s="36"/>
      <c r="EA340" s="36"/>
      <c r="EB340" s="36"/>
      <c r="EC340" s="36"/>
      <c r="ED340" s="36"/>
      <c r="EE340" s="36"/>
      <c r="EF340" s="37"/>
      <c r="EG340" s="44"/>
      <c r="EH340" s="36"/>
      <c r="EI340" s="36"/>
      <c r="EJ340" s="36"/>
      <c r="EK340" s="36"/>
      <c r="EL340" s="36"/>
      <c r="EM340" s="36"/>
      <c r="EN340" s="36"/>
      <c r="EO340" s="36"/>
      <c r="EP340" s="36"/>
      <c r="EQ340" s="36"/>
      <c r="ER340" s="36"/>
      <c r="ES340" s="36"/>
      <c r="ET340" s="36"/>
      <c r="EU340" s="36"/>
      <c r="EV340" s="36"/>
      <c r="EW340" s="37"/>
      <c r="EX340" s="44"/>
      <c r="EY340" s="36"/>
      <c r="EZ340" s="36"/>
      <c r="FA340" s="36"/>
      <c r="FB340" s="36"/>
      <c r="FC340" s="36"/>
      <c r="FD340" s="36"/>
      <c r="FE340" s="36"/>
      <c r="FF340" s="36"/>
      <c r="FG340" s="36"/>
      <c r="FH340" s="36"/>
      <c r="FI340" s="36"/>
      <c r="FJ340" s="36"/>
      <c r="FK340" s="36"/>
      <c r="FL340" s="36"/>
      <c r="FM340" s="36"/>
      <c r="FN340" s="37"/>
      <c r="FO340" s="44"/>
      <c r="FP340" s="36"/>
      <c r="FQ340" s="36"/>
      <c r="FR340" s="36"/>
      <c r="FS340" s="36"/>
      <c r="FT340" s="36"/>
      <c r="FU340" s="36"/>
      <c r="FV340" s="36"/>
      <c r="FW340" s="36"/>
      <c r="FX340" s="36"/>
      <c r="FY340" s="36"/>
      <c r="FZ340" s="36"/>
      <c r="GA340" s="36"/>
      <c r="GB340" s="36"/>
      <c r="GC340" s="36"/>
      <c r="GD340" s="36"/>
      <c r="GE340" s="37"/>
      <c r="GF340" s="44"/>
      <c r="GG340" s="36"/>
      <c r="GH340" s="36"/>
      <c r="GI340" s="36"/>
      <c r="GJ340" s="36"/>
      <c r="GK340" s="36"/>
      <c r="GL340" s="36"/>
      <c r="GM340" s="36"/>
      <c r="GN340" s="36"/>
      <c r="GO340" s="36"/>
      <c r="GP340" s="36"/>
      <c r="GQ340" s="36"/>
      <c r="GR340" s="36"/>
      <c r="GS340" s="36"/>
      <c r="GT340" s="36"/>
      <c r="GU340" s="36"/>
      <c r="GV340" s="37"/>
      <c r="GW340" s="44"/>
      <c r="GX340" s="36"/>
      <c r="GY340" s="36"/>
      <c r="GZ340" s="36"/>
      <c r="HA340" s="36"/>
      <c r="HB340" s="36"/>
      <c r="HC340" s="36"/>
      <c r="HD340" s="36"/>
      <c r="HE340" s="36"/>
      <c r="HF340" s="36"/>
      <c r="HG340" s="36"/>
      <c r="HH340" s="36"/>
      <c r="HI340" s="36"/>
      <c r="HJ340" s="36"/>
      <c r="HK340" s="36"/>
      <c r="HL340" s="36"/>
      <c r="HM340" s="37"/>
      <c r="HN340" s="44"/>
      <c r="HO340" s="36"/>
      <c r="HP340" s="36"/>
      <c r="HQ340" s="36"/>
      <c r="HR340" s="36"/>
      <c r="HS340" s="36"/>
      <c r="HT340" s="36"/>
      <c r="HU340" s="36"/>
      <c r="HV340" s="36"/>
      <c r="HW340" s="36"/>
      <c r="HX340" s="36"/>
      <c r="HY340" s="36"/>
      <c r="HZ340" s="36"/>
      <c r="IA340" s="36"/>
      <c r="IB340" s="36"/>
      <c r="IC340" s="36"/>
      <c r="ID340" s="37"/>
      <c r="IE340" s="44"/>
      <c r="IF340" s="36"/>
      <c r="IG340" s="36"/>
      <c r="IH340" s="36"/>
      <c r="II340" s="36"/>
      <c r="IJ340" s="36"/>
      <c r="IK340" s="36"/>
      <c r="IL340" s="36"/>
      <c r="IM340" s="36"/>
      <c r="IN340" s="36"/>
      <c r="IO340" s="36"/>
      <c r="IP340" s="36"/>
      <c r="IQ340" s="36"/>
      <c r="IR340" s="36"/>
      <c r="IS340" s="36"/>
      <c r="IT340" s="36"/>
      <c r="IU340" s="37"/>
      <c r="IV340" s="44"/>
      <c r="IW340" s="36"/>
      <c r="IX340" s="36"/>
      <c r="IY340" s="36"/>
      <c r="IZ340" s="36"/>
      <c r="JA340" s="36"/>
      <c r="JB340" s="36"/>
      <c r="JC340" s="36"/>
      <c r="JD340" s="36"/>
      <c r="JE340" s="36"/>
      <c r="JF340" s="36"/>
      <c r="JG340" s="36"/>
      <c r="JH340" s="36"/>
      <c r="JI340" s="36"/>
      <c r="JJ340" s="36"/>
      <c r="JK340" s="36"/>
      <c r="JL340" s="37"/>
      <c r="JM340" s="44"/>
      <c r="JN340" s="36"/>
      <c r="JO340" s="36"/>
      <c r="JP340" s="36"/>
      <c r="JQ340" s="36"/>
      <c r="JR340" s="36"/>
      <c r="JS340" s="36"/>
      <c r="JT340" s="36"/>
      <c r="JU340" s="36"/>
      <c r="JV340" s="36"/>
      <c r="JW340" s="36"/>
      <c r="JX340" s="36"/>
      <c r="JY340" s="36"/>
      <c r="JZ340" s="36"/>
      <c r="KA340" s="36"/>
      <c r="KB340" s="36"/>
      <c r="KC340" s="37"/>
      <c r="KD340" s="44"/>
      <c r="KE340" s="36"/>
      <c r="KF340" s="36"/>
      <c r="KG340" s="36"/>
      <c r="KH340" s="36"/>
      <c r="KI340" s="36"/>
      <c r="KJ340" s="36"/>
      <c r="KK340" s="36"/>
      <c r="KL340" s="36"/>
      <c r="KM340" s="36"/>
      <c r="KN340" s="36"/>
      <c r="KO340" s="36"/>
      <c r="KP340" s="36"/>
      <c r="KQ340" s="36"/>
      <c r="KR340" s="36"/>
      <c r="KS340" s="36"/>
      <c r="KT340" s="37"/>
      <c r="KU340" s="36"/>
    </row>
    <row r="341" ht="15.0" customHeight="1">
      <c r="A341" s="44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7"/>
      <c r="R341" s="44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7"/>
      <c r="AI341" s="44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  <c r="AU341" s="36"/>
      <c r="AV341" s="36"/>
      <c r="AW341" s="36"/>
      <c r="AX341" s="36"/>
      <c r="AY341" s="37"/>
      <c r="AZ341" s="44"/>
      <c r="BA341" s="36"/>
      <c r="BB341" s="36"/>
      <c r="BC341" s="36"/>
      <c r="BD341" s="36"/>
      <c r="BE341" s="36"/>
      <c r="BF341" s="36"/>
      <c r="BG341" s="36"/>
      <c r="BH341" s="36"/>
      <c r="BI341" s="36"/>
      <c r="BJ341" s="36"/>
      <c r="BK341" s="36"/>
      <c r="BL341" s="36"/>
      <c r="BM341" s="36"/>
      <c r="BN341" s="36"/>
      <c r="BO341" s="36"/>
      <c r="BP341" s="37"/>
      <c r="BQ341" s="44"/>
      <c r="BR341" s="36"/>
      <c r="BS341" s="36"/>
      <c r="BT341" s="36"/>
      <c r="BU341" s="36"/>
      <c r="BV341" s="36"/>
      <c r="BW341" s="36"/>
      <c r="BX341" s="36"/>
      <c r="BY341" s="36"/>
      <c r="BZ341" s="36"/>
      <c r="CA341" s="36"/>
      <c r="CB341" s="36"/>
      <c r="CC341" s="36"/>
      <c r="CD341" s="36"/>
      <c r="CE341" s="36"/>
      <c r="CF341" s="36"/>
      <c r="CG341" s="37"/>
      <c r="CH341" s="44"/>
      <c r="CI341" s="36"/>
      <c r="CJ341" s="36"/>
      <c r="CK341" s="36"/>
      <c r="CL341" s="36"/>
      <c r="CM341" s="36"/>
      <c r="CN341" s="36"/>
      <c r="CO341" s="36"/>
      <c r="CP341" s="36"/>
      <c r="CQ341" s="36"/>
      <c r="CR341" s="36"/>
      <c r="CS341" s="36"/>
      <c r="CT341" s="36"/>
      <c r="CU341" s="36"/>
      <c r="CV341" s="36"/>
      <c r="CW341" s="36"/>
      <c r="CX341" s="37"/>
      <c r="CY341" s="44"/>
      <c r="CZ341" s="36"/>
      <c r="DA341" s="36"/>
      <c r="DB341" s="36"/>
      <c r="DC341" s="36"/>
      <c r="DD341" s="36"/>
      <c r="DE341" s="36"/>
      <c r="DF341" s="36"/>
      <c r="DG341" s="36"/>
      <c r="DH341" s="36"/>
      <c r="DI341" s="36"/>
      <c r="DJ341" s="36"/>
      <c r="DK341" s="36"/>
      <c r="DL341" s="36"/>
      <c r="DM341" s="36"/>
      <c r="DN341" s="36"/>
      <c r="DO341" s="37"/>
      <c r="DP341" s="44"/>
      <c r="DQ341" s="36"/>
      <c r="DR341" s="36"/>
      <c r="DS341" s="36"/>
      <c r="DT341" s="36"/>
      <c r="DU341" s="36"/>
      <c r="DV341" s="36"/>
      <c r="DW341" s="36"/>
      <c r="DX341" s="36"/>
      <c r="DY341" s="36"/>
      <c r="DZ341" s="36"/>
      <c r="EA341" s="36"/>
      <c r="EB341" s="36"/>
      <c r="EC341" s="36"/>
      <c r="ED341" s="36"/>
      <c r="EE341" s="36"/>
      <c r="EF341" s="37"/>
      <c r="EG341" s="44"/>
      <c r="EH341" s="36"/>
      <c r="EI341" s="36"/>
      <c r="EJ341" s="36"/>
      <c r="EK341" s="36"/>
      <c r="EL341" s="36"/>
      <c r="EM341" s="36"/>
      <c r="EN341" s="36"/>
      <c r="EO341" s="36"/>
      <c r="EP341" s="36"/>
      <c r="EQ341" s="36"/>
      <c r="ER341" s="36"/>
      <c r="ES341" s="36"/>
      <c r="ET341" s="36"/>
      <c r="EU341" s="36"/>
      <c r="EV341" s="36"/>
      <c r="EW341" s="37"/>
      <c r="EX341" s="44"/>
      <c r="EY341" s="36"/>
      <c r="EZ341" s="36"/>
      <c r="FA341" s="36"/>
      <c r="FB341" s="36"/>
      <c r="FC341" s="36"/>
      <c r="FD341" s="36"/>
      <c r="FE341" s="36"/>
      <c r="FF341" s="36"/>
      <c r="FG341" s="36"/>
      <c r="FH341" s="36"/>
      <c r="FI341" s="36"/>
      <c r="FJ341" s="36"/>
      <c r="FK341" s="36"/>
      <c r="FL341" s="36"/>
      <c r="FM341" s="36"/>
      <c r="FN341" s="37"/>
      <c r="FO341" s="44"/>
      <c r="FP341" s="36"/>
      <c r="FQ341" s="36"/>
      <c r="FR341" s="36"/>
      <c r="FS341" s="36"/>
      <c r="FT341" s="36"/>
      <c r="FU341" s="36"/>
      <c r="FV341" s="36"/>
      <c r="FW341" s="36"/>
      <c r="FX341" s="36"/>
      <c r="FY341" s="36"/>
      <c r="FZ341" s="36"/>
      <c r="GA341" s="36"/>
      <c r="GB341" s="36"/>
      <c r="GC341" s="36"/>
      <c r="GD341" s="36"/>
      <c r="GE341" s="37"/>
      <c r="GF341" s="44"/>
      <c r="GG341" s="36"/>
      <c r="GH341" s="36"/>
      <c r="GI341" s="36"/>
      <c r="GJ341" s="36"/>
      <c r="GK341" s="36"/>
      <c r="GL341" s="36"/>
      <c r="GM341" s="36"/>
      <c r="GN341" s="36"/>
      <c r="GO341" s="36"/>
      <c r="GP341" s="36"/>
      <c r="GQ341" s="36"/>
      <c r="GR341" s="36"/>
      <c r="GS341" s="36"/>
      <c r="GT341" s="36"/>
      <c r="GU341" s="36"/>
      <c r="GV341" s="37"/>
      <c r="GW341" s="44"/>
      <c r="GX341" s="36"/>
      <c r="GY341" s="36"/>
      <c r="GZ341" s="36"/>
      <c r="HA341" s="36"/>
      <c r="HB341" s="36"/>
      <c r="HC341" s="36"/>
      <c r="HD341" s="36"/>
      <c r="HE341" s="36"/>
      <c r="HF341" s="36"/>
      <c r="HG341" s="36"/>
      <c r="HH341" s="36"/>
      <c r="HI341" s="36"/>
      <c r="HJ341" s="36"/>
      <c r="HK341" s="36"/>
      <c r="HL341" s="36"/>
      <c r="HM341" s="37"/>
      <c r="HN341" s="44"/>
      <c r="HO341" s="36"/>
      <c r="HP341" s="36"/>
      <c r="HQ341" s="36"/>
      <c r="HR341" s="36"/>
      <c r="HS341" s="36"/>
      <c r="HT341" s="36"/>
      <c r="HU341" s="36"/>
      <c r="HV341" s="36"/>
      <c r="HW341" s="36"/>
      <c r="HX341" s="36"/>
      <c r="HY341" s="36"/>
      <c r="HZ341" s="36"/>
      <c r="IA341" s="36"/>
      <c r="IB341" s="36"/>
      <c r="IC341" s="36"/>
      <c r="ID341" s="37"/>
      <c r="IE341" s="44"/>
      <c r="IF341" s="36"/>
      <c r="IG341" s="36"/>
      <c r="IH341" s="36"/>
      <c r="II341" s="36"/>
      <c r="IJ341" s="36"/>
      <c r="IK341" s="36"/>
      <c r="IL341" s="36"/>
      <c r="IM341" s="36"/>
      <c r="IN341" s="36"/>
      <c r="IO341" s="36"/>
      <c r="IP341" s="36"/>
      <c r="IQ341" s="36"/>
      <c r="IR341" s="36"/>
      <c r="IS341" s="36"/>
      <c r="IT341" s="36"/>
      <c r="IU341" s="37"/>
      <c r="IV341" s="44"/>
      <c r="IW341" s="36"/>
      <c r="IX341" s="36"/>
      <c r="IY341" s="36"/>
      <c r="IZ341" s="36"/>
      <c r="JA341" s="36"/>
      <c r="JB341" s="36"/>
      <c r="JC341" s="36"/>
      <c r="JD341" s="36"/>
      <c r="JE341" s="36"/>
      <c r="JF341" s="36"/>
      <c r="JG341" s="36"/>
      <c r="JH341" s="36"/>
      <c r="JI341" s="36"/>
      <c r="JJ341" s="36"/>
      <c r="JK341" s="36"/>
      <c r="JL341" s="37"/>
      <c r="JM341" s="44"/>
      <c r="JN341" s="36"/>
      <c r="JO341" s="36"/>
      <c r="JP341" s="36"/>
      <c r="JQ341" s="36"/>
      <c r="JR341" s="36"/>
      <c r="JS341" s="36"/>
      <c r="JT341" s="36"/>
      <c r="JU341" s="36"/>
      <c r="JV341" s="36"/>
      <c r="JW341" s="36"/>
      <c r="JX341" s="36"/>
      <c r="JY341" s="36"/>
      <c r="JZ341" s="36"/>
      <c r="KA341" s="36"/>
      <c r="KB341" s="36"/>
      <c r="KC341" s="37"/>
      <c r="KD341" s="44"/>
      <c r="KE341" s="36"/>
      <c r="KF341" s="36"/>
      <c r="KG341" s="36"/>
      <c r="KH341" s="36"/>
      <c r="KI341" s="36"/>
      <c r="KJ341" s="36"/>
      <c r="KK341" s="36"/>
      <c r="KL341" s="36"/>
      <c r="KM341" s="36"/>
      <c r="KN341" s="36"/>
      <c r="KO341" s="36"/>
      <c r="KP341" s="36"/>
      <c r="KQ341" s="36"/>
      <c r="KR341" s="36"/>
      <c r="KS341" s="36"/>
      <c r="KT341" s="37"/>
      <c r="KU341" s="36"/>
    </row>
    <row r="342" ht="15.0" customHeight="1">
      <c r="A342" s="44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7"/>
      <c r="R342" s="44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7"/>
      <c r="AI342" s="44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36"/>
      <c r="AU342" s="36"/>
      <c r="AV342" s="36"/>
      <c r="AW342" s="36"/>
      <c r="AX342" s="36"/>
      <c r="AY342" s="37"/>
      <c r="AZ342" s="44"/>
      <c r="BA342" s="36"/>
      <c r="BB342" s="36"/>
      <c r="BC342" s="36"/>
      <c r="BD342" s="36"/>
      <c r="BE342" s="36"/>
      <c r="BF342" s="36"/>
      <c r="BG342" s="36"/>
      <c r="BH342" s="36"/>
      <c r="BI342" s="36"/>
      <c r="BJ342" s="36"/>
      <c r="BK342" s="36"/>
      <c r="BL342" s="36"/>
      <c r="BM342" s="36"/>
      <c r="BN342" s="36"/>
      <c r="BO342" s="36"/>
      <c r="BP342" s="37"/>
      <c r="BQ342" s="44"/>
      <c r="BR342" s="36"/>
      <c r="BS342" s="36"/>
      <c r="BT342" s="36"/>
      <c r="BU342" s="36"/>
      <c r="BV342" s="36"/>
      <c r="BW342" s="36"/>
      <c r="BX342" s="36"/>
      <c r="BY342" s="36"/>
      <c r="BZ342" s="36"/>
      <c r="CA342" s="36"/>
      <c r="CB342" s="36"/>
      <c r="CC342" s="36"/>
      <c r="CD342" s="36"/>
      <c r="CE342" s="36"/>
      <c r="CF342" s="36"/>
      <c r="CG342" s="37"/>
      <c r="CH342" s="44"/>
      <c r="CI342" s="36"/>
      <c r="CJ342" s="36"/>
      <c r="CK342" s="36"/>
      <c r="CL342" s="36"/>
      <c r="CM342" s="36"/>
      <c r="CN342" s="36"/>
      <c r="CO342" s="36"/>
      <c r="CP342" s="36"/>
      <c r="CQ342" s="36"/>
      <c r="CR342" s="36"/>
      <c r="CS342" s="36"/>
      <c r="CT342" s="36"/>
      <c r="CU342" s="36"/>
      <c r="CV342" s="36"/>
      <c r="CW342" s="36"/>
      <c r="CX342" s="37"/>
      <c r="CY342" s="44"/>
      <c r="CZ342" s="36"/>
      <c r="DA342" s="36"/>
      <c r="DB342" s="36"/>
      <c r="DC342" s="36"/>
      <c r="DD342" s="36"/>
      <c r="DE342" s="36"/>
      <c r="DF342" s="36"/>
      <c r="DG342" s="36"/>
      <c r="DH342" s="36"/>
      <c r="DI342" s="36"/>
      <c r="DJ342" s="36"/>
      <c r="DK342" s="36"/>
      <c r="DL342" s="36"/>
      <c r="DM342" s="36"/>
      <c r="DN342" s="36"/>
      <c r="DO342" s="37"/>
      <c r="DP342" s="44"/>
      <c r="DQ342" s="36"/>
      <c r="DR342" s="36"/>
      <c r="DS342" s="36"/>
      <c r="DT342" s="36"/>
      <c r="DU342" s="36"/>
      <c r="DV342" s="36"/>
      <c r="DW342" s="36"/>
      <c r="DX342" s="36"/>
      <c r="DY342" s="36"/>
      <c r="DZ342" s="36"/>
      <c r="EA342" s="36"/>
      <c r="EB342" s="36"/>
      <c r="EC342" s="36"/>
      <c r="ED342" s="36"/>
      <c r="EE342" s="36"/>
      <c r="EF342" s="37"/>
      <c r="EG342" s="44"/>
      <c r="EH342" s="36"/>
      <c r="EI342" s="36"/>
      <c r="EJ342" s="36"/>
      <c r="EK342" s="36"/>
      <c r="EL342" s="36"/>
      <c r="EM342" s="36"/>
      <c r="EN342" s="36"/>
      <c r="EO342" s="36"/>
      <c r="EP342" s="36"/>
      <c r="EQ342" s="36"/>
      <c r="ER342" s="36"/>
      <c r="ES342" s="36"/>
      <c r="ET342" s="36"/>
      <c r="EU342" s="36"/>
      <c r="EV342" s="36"/>
      <c r="EW342" s="37"/>
      <c r="EX342" s="44"/>
      <c r="EY342" s="36"/>
      <c r="EZ342" s="36"/>
      <c r="FA342" s="36"/>
      <c r="FB342" s="36"/>
      <c r="FC342" s="36"/>
      <c r="FD342" s="36"/>
      <c r="FE342" s="36"/>
      <c r="FF342" s="36"/>
      <c r="FG342" s="36"/>
      <c r="FH342" s="36"/>
      <c r="FI342" s="36"/>
      <c r="FJ342" s="36"/>
      <c r="FK342" s="36"/>
      <c r="FL342" s="36"/>
      <c r="FM342" s="36"/>
      <c r="FN342" s="37"/>
      <c r="FO342" s="44"/>
      <c r="FP342" s="36"/>
      <c r="FQ342" s="36"/>
      <c r="FR342" s="36"/>
      <c r="FS342" s="36"/>
      <c r="FT342" s="36"/>
      <c r="FU342" s="36"/>
      <c r="FV342" s="36"/>
      <c r="FW342" s="36"/>
      <c r="FX342" s="36"/>
      <c r="FY342" s="36"/>
      <c r="FZ342" s="36"/>
      <c r="GA342" s="36"/>
      <c r="GB342" s="36"/>
      <c r="GC342" s="36"/>
      <c r="GD342" s="36"/>
      <c r="GE342" s="37"/>
      <c r="GF342" s="44"/>
      <c r="GG342" s="36"/>
      <c r="GH342" s="36"/>
      <c r="GI342" s="36"/>
      <c r="GJ342" s="36"/>
      <c r="GK342" s="36"/>
      <c r="GL342" s="36"/>
      <c r="GM342" s="36"/>
      <c r="GN342" s="36"/>
      <c r="GO342" s="36"/>
      <c r="GP342" s="36"/>
      <c r="GQ342" s="36"/>
      <c r="GR342" s="36"/>
      <c r="GS342" s="36"/>
      <c r="GT342" s="36"/>
      <c r="GU342" s="36"/>
      <c r="GV342" s="37"/>
      <c r="GW342" s="44"/>
      <c r="GX342" s="36"/>
      <c r="GY342" s="36"/>
      <c r="GZ342" s="36"/>
      <c r="HA342" s="36"/>
      <c r="HB342" s="36"/>
      <c r="HC342" s="36"/>
      <c r="HD342" s="36"/>
      <c r="HE342" s="36"/>
      <c r="HF342" s="36"/>
      <c r="HG342" s="36"/>
      <c r="HH342" s="36"/>
      <c r="HI342" s="36"/>
      <c r="HJ342" s="36"/>
      <c r="HK342" s="36"/>
      <c r="HL342" s="36"/>
      <c r="HM342" s="37"/>
      <c r="HN342" s="44"/>
      <c r="HO342" s="36"/>
      <c r="HP342" s="36"/>
      <c r="HQ342" s="36"/>
      <c r="HR342" s="36"/>
      <c r="HS342" s="36"/>
      <c r="HT342" s="36"/>
      <c r="HU342" s="36"/>
      <c r="HV342" s="36"/>
      <c r="HW342" s="36"/>
      <c r="HX342" s="36"/>
      <c r="HY342" s="36"/>
      <c r="HZ342" s="36"/>
      <c r="IA342" s="36"/>
      <c r="IB342" s="36"/>
      <c r="IC342" s="36"/>
      <c r="ID342" s="37"/>
      <c r="IE342" s="44"/>
      <c r="IF342" s="36"/>
      <c r="IG342" s="36"/>
      <c r="IH342" s="36"/>
      <c r="II342" s="36"/>
      <c r="IJ342" s="36"/>
      <c r="IK342" s="36"/>
      <c r="IL342" s="36"/>
      <c r="IM342" s="36"/>
      <c r="IN342" s="36"/>
      <c r="IO342" s="36"/>
      <c r="IP342" s="36"/>
      <c r="IQ342" s="36"/>
      <c r="IR342" s="36"/>
      <c r="IS342" s="36"/>
      <c r="IT342" s="36"/>
      <c r="IU342" s="37"/>
      <c r="IV342" s="44"/>
      <c r="IW342" s="36"/>
      <c r="IX342" s="36"/>
      <c r="IY342" s="36"/>
      <c r="IZ342" s="36"/>
      <c r="JA342" s="36"/>
      <c r="JB342" s="36"/>
      <c r="JC342" s="36"/>
      <c r="JD342" s="36"/>
      <c r="JE342" s="36"/>
      <c r="JF342" s="36"/>
      <c r="JG342" s="36"/>
      <c r="JH342" s="36"/>
      <c r="JI342" s="36"/>
      <c r="JJ342" s="36"/>
      <c r="JK342" s="36"/>
      <c r="JL342" s="37"/>
      <c r="JM342" s="44"/>
      <c r="JN342" s="36"/>
      <c r="JO342" s="36"/>
      <c r="JP342" s="36"/>
      <c r="JQ342" s="36"/>
      <c r="JR342" s="36"/>
      <c r="JS342" s="36"/>
      <c r="JT342" s="36"/>
      <c r="JU342" s="36"/>
      <c r="JV342" s="36"/>
      <c r="JW342" s="36"/>
      <c r="JX342" s="36"/>
      <c r="JY342" s="36"/>
      <c r="JZ342" s="36"/>
      <c r="KA342" s="36"/>
      <c r="KB342" s="36"/>
      <c r="KC342" s="37"/>
      <c r="KD342" s="44"/>
      <c r="KE342" s="36"/>
      <c r="KF342" s="36"/>
      <c r="KG342" s="36"/>
      <c r="KH342" s="36"/>
      <c r="KI342" s="36"/>
      <c r="KJ342" s="36"/>
      <c r="KK342" s="36"/>
      <c r="KL342" s="36"/>
      <c r="KM342" s="36"/>
      <c r="KN342" s="36"/>
      <c r="KO342" s="36"/>
      <c r="KP342" s="36"/>
      <c r="KQ342" s="36"/>
      <c r="KR342" s="36"/>
      <c r="KS342" s="36"/>
      <c r="KT342" s="37"/>
      <c r="KU342" s="36"/>
    </row>
    <row r="343" ht="15.0" customHeight="1">
      <c r="A343" s="44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7"/>
      <c r="R343" s="44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7"/>
      <c r="AI343" s="44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36"/>
      <c r="AU343" s="36"/>
      <c r="AV343" s="36"/>
      <c r="AW343" s="36"/>
      <c r="AX343" s="36"/>
      <c r="AY343" s="37"/>
      <c r="AZ343" s="44"/>
      <c r="BA343" s="36"/>
      <c r="BB343" s="36"/>
      <c r="BC343" s="36"/>
      <c r="BD343" s="36"/>
      <c r="BE343" s="36"/>
      <c r="BF343" s="36"/>
      <c r="BG343" s="36"/>
      <c r="BH343" s="36"/>
      <c r="BI343" s="36"/>
      <c r="BJ343" s="36"/>
      <c r="BK343" s="36"/>
      <c r="BL343" s="36"/>
      <c r="BM343" s="36"/>
      <c r="BN343" s="36"/>
      <c r="BO343" s="36"/>
      <c r="BP343" s="37"/>
      <c r="BQ343" s="44"/>
      <c r="BR343" s="36"/>
      <c r="BS343" s="36"/>
      <c r="BT343" s="36"/>
      <c r="BU343" s="36"/>
      <c r="BV343" s="36"/>
      <c r="BW343" s="36"/>
      <c r="BX343" s="36"/>
      <c r="BY343" s="36"/>
      <c r="BZ343" s="36"/>
      <c r="CA343" s="36"/>
      <c r="CB343" s="36"/>
      <c r="CC343" s="36"/>
      <c r="CD343" s="36"/>
      <c r="CE343" s="36"/>
      <c r="CF343" s="36"/>
      <c r="CG343" s="37"/>
      <c r="CH343" s="44"/>
      <c r="CI343" s="36"/>
      <c r="CJ343" s="36"/>
      <c r="CK343" s="36"/>
      <c r="CL343" s="36"/>
      <c r="CM343" s="36"/>
      <c r="CN343" s="36"/>
      <c r="CO343" s="36"/>
      <c r="CP343" s="36"/>
      <c r="CQ343" s="36"/>
      <c r="CR343" s="36"/>
      <c r="CS343" s="36"/>
      <c r="CT343" s="36"/>
      <c r="CU343" s="36"/>
      <c r="CV343" s="36"/>
      <c r="CW343" s="36"/>
      <c r="CX343" s="37"/>
      <c r="CY343" s="44"/>
      <c r="CZ343" s="36"/>
      <c r="DA343" s="36"/>
      <c r="DB343" s="36"/>
      <c r="DC343" s="36"/>
      <c r="DD343" s="36"/>
      <c r="DE343" s="36"/>
      <c r="DF343" s="36"/>
      <c r="DG343" s="36"/>
      <c r="DH343" s="36"/>
      <c r="DI343" s="36"/>
      <c r="DJ343" s="36"/>
      <c r="DK343" s="36"/>
      <c r="DL343" s="36"/>
      <c r="DM343" s="36"/>
      <c r="DN343" s="36"/>
      <c r="DO343" s="37"/>
      <c r="DP343" s="44"/>
      <c r="DQ343" s="36"/>
      <c r="DR343" s="36"/>
      <c r="DS343" s="36"/>
      <c r="DT343" s="36"/>
      <c r="DU343" s="36"/>
      <c r="DV343" s="36"/>
      <c r="DW343" s="36"/>
      <c r="DX343" s="36"/>
      <c r="DY343" s="36"/>
      <c r="DZ343" s="36"/>
      <c r="EA343" s="36"/>
      <c r="EB343" s="36"/>
      <c r="EC343" s="36"/>
      <c r="ED343" s="36"/>
      <c r="EE343" s="36"/>
      <c r="EF343" s="37"/>
      <c r="EG343" s="44"/>
      <c r="EH343" s="36"/>
      <c r="EI343" s="36"/>
      <c r="EJ343" s="36"/>
      <c r="EK343" s="36"/>
      <c r="EL343" s="36"/>
      <c r="EM343" s="36"/>
      <c r="EN343" s="36"/>
      <c r="EO343" s="36"/>
      <c r="EP343" s="36"/>
      <c r="EQ343" s="36"/>
      <c r="ER343" s="36"/>
      <c r="ES343" s="36"/>
      <c r="ET343" s="36"/>
      <c r="EU343" s="36"/>
      <c r="EV343" s="36"/>
      <c r="EW343" s="37"/>
      <c r="EX343" s="44"/>
      <c r="EY343" s="36"/>
      <c r="EZ343" s="36"/>
      <c r="FA343" s="36"/>
      <c r="FB343" s="36"/>
      <c r="FC343" s="36"/>
      <c r="FD343" s="36"/>
      <c r="FE343" s="36"/>
      <c r="FF343" s="36"/>
      <c r="FG343" s="36"/>
      <c r="FH343" s="36"/>
      <c r="FI343" s="36"/>
      <c r="FJ343" s="36"/>
      <c r="FK343" s="36"/>
      <c r="FL343" s="36"/>
      <c r="FM343" s="36"/>
      <c r="FN343" s="37"/>
      <c r="FO343" s="44"/>
      <c r="FP343" s="36"/>
      <c r="FQ343" s="36"/>
      <c r="FR343" s="36"/>
      <c r="FS343" s="36"/>
      <c r="FT343" s="36"/>
      <c r="FU343" s="36"/>
      <c r="FV343" s="36"/>
      <c r="FW343" s="36"/>
      <c r="FX343" s="36"/>
      <c r="FY343" s="36"/>
      <c r="FZ343" s="36"/>
      <c r="GA343" s="36"/>
      <c r="GB343" s="36"/>
      <c r="GC343" s="36"/>
      <c r="GD343" s="36"/>
      <c r="GE343" s="37"/>
      <c r="GF343" s="44"/>
      <c r="GG343" s="36"/>
      <c r="GH343" s="36"/>
      <c r="GI343" s="36"/>
      <c r="GJ343" s="36"/>
      <c r="GK343" s="36"/>
      <c r="GL343" s="36"/>
      <c r="GM343" s="36"/>
      <c r="GN343" s="36"/>
      <c r="GO343" s="36"/>
      <c r="GP343" s="36"/>
      <c r="GQ343" s="36"/>
      <c r="GR343" s="36"/>
      <c r="GS343" s="36"/>
      <c r="GT343" s="36"/>
      <c r="GU343" s="36"/>
      <c r="GV343" s="37"/>
      <c r="GW343" s="44"/>
      <c r="GX343" s="36"/>
      <c r="GY343" s="36"/>
      <c r="GZ343" s="36"/>
      <c r="HA343" s="36"/>
      <c r="HB343" s="36"/>
      <c r="HC343" s="36"/>
      <c r="HD343" s="36"/>
      <c r="HE343" s="36"/>
      <c r="HF343" s="36"/>
      <c r="HG343" s="36"/>
      <c r="HH343" s="36"/>
      <c r="HI343" s="36"/>
      <c r="HJ343" s="36"/>
      <c r="HK343" s="36"/>
      <c r="HL343" s="36"/>
      <c r="HM343" s="37"/>
      <c r="HN343" s="44"/>
      <c r="HO343" s="36"/>
      <c r="HP343" s="36"/>
      <c r="HQ343" s="36"/>
      <c r="HR343" s="36"/>
      <c r="HS343" s="36"/>
      <c r="HT343" s="36"/>
      <c r="HU343" s="36"/>
      <c r="HV343" s="36"/>
      <c r="HW343" s="36"/>
      <c r="HX343" s="36"/>
      <c r="HY343" s="36"/>
      <c r="HZ343" s="36"/>
      <c r="IA343" s="36"/>
      <c r="IB343" s="36"/>
      <c r="IC343" s="36"/>
      <c r="ID343" s="37"/>
      <c r="IE343" s="44"/>
      <c r="IF343" s="36"/>
      <c r="IG343" s="36"/>
      <c r="IH343" s="36"/>
      <c r="II343" s="36"/>
      <c r="IJ343" s="36"/>
      <c r="IK343" s="36"/>
      <c r="IL343" s="36"/>
      <c r="IM343" s="36"/>
      <c r="IN343" s="36"/>
      <c r="IO343" s="36"/>
      <c r="IP343" s="36"/>
      <c r="IQ343" s="36"/>
      <c r="IR343" s="36"/>
      <c r="IS343" s="36"/>
      <c r="IT343" s="36"/>
      <c r="IU343" s="37"/>
      <c r="IV343" s="44"/>
      <c r="IW343" s="36"/>
      <c r="IX343" s="36"/>
      <c r="IY343" s="36"/>
      <c r="IZ343" s="36"/>
      <c r="JA343" s="36"/>
      <c r="JB343" s="36"/>
      <c r="JC343" s="36"/>
      <c r="JD343" s="36"/>
      <c r="JE343" s="36"/>
      <c r="JF343" s="36"/>
      <c r="JG343" s="36"/>
      <c r="JH343" s="36"/>
      <c r="JI343" s="36"/>
      <c r="JJ343" s="36"/>
      <c r="JK343" s="36"/>
      <c r="JL343" s="37"/>
      <c r="JM343" s="44"/>
      <c r="JN343" s="36"/>
      <c r="JO343" s="36"/>
      <c r="JP343" s="36"/>
      <c r="JQ343" s="36"/>
      <c r="JR343" s="36"/>
      <c r="JS343" s="36"/>
      <c r="JT343" s="36"/>
      <c r="JU343" s="36"/>
      <c r="JV343" s="36"/>
      <c r="JW343" s="36"/>
      <c r="JX343" s="36"/>
      <c r="JY343" s="36"/>
      <c r="JZ343" s="36"/>
      <c r="KA343" s="36"/>
      <c r="KB343" s="36"/>
      <c r="KC343" s="37"/>
      <c r="KD343" s="44"/>
      <c r="KE343" s="36"/>
      <c r="KF343" s="36"/>
      <c r="KG343" s="36"/>
      <c r="KH343" s="36"/>
      <c r="KI343" s="36"/>
      <c r="KJ343" s="36"/>
      <c r="KK343" s="36"/>
      <c r="KL343" s="36"/>
      <c r="KM343" s="36"/>
      <c r="KN343" s="36"/>
      <c r="KO343" s="36"/>
      <c r="KP343" s="36"/>
      <c r="KQ343" s="36"/>
      <c r="KR343" s="36"/>
      <c r="KS343" s="36"/>
      <c r="KT343" s="37"/>
      <c r="KU343" s="36"/>
    </row>
    <row r="344" ht="15.0" customHeight="1">
      <c r="A344" s="44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7"/>
      <c r="R344" s="44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7"/>
      <c r="AI344" s="44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36"/>
      <c r="AU344" s="36"/>
      <c r="AV344" s="36"/>
      <c r="AW344" s="36"/>
      <c r="AX344" s="36"/>
      <c r="AY344" s="37"/>
      <c r="AZ344" s="44"/>
      <c r="BA344" s="36"/>
      <c r="BB344" s="36"/>
      <c r="BC344" s="36"/>
      <c r="BD344" s="36"/>
      <c r="BE344" s="36"/>
      <c r="BF344" s="36"/>
      <c r="BG344" s="36"/>
      <c r="BH344" s="36"/>
      <c r="BI344" s="36"/>
      <c r="BJ344" s="36"/>
      <c r="BK344" s="36"/>
      <c r="BL344" s="36"/>
      <c r="BM344" s="36"/>
      <c r="BN344" s="36"/>
      <c r="BO344" s="36"/>
      <c r="BP344" s="37"/>
      <c r="BQ344" s="44"/>
      <c r="BR344" s="36"/>
      <c r="BS344" s="36"/>
      <c r="BT344" s="36"/>
      <c r="BU344" s="36"/>
      <c r="BV344" s="36"/>
      <c r="BW344" s="36"/>
      <c r="BX344" s="36"/>
      <c r="BY344" s="36"/>
      <c r="BZ344" s="36"/>
      <c r="CA344" s="36"/>
      <c r="CB344" s="36"/>
      <c r="CC344" s="36"/>
      <c r="CD344" s="36"/>
      <c r="CE344" s="36"/>
      <c r="CF344" s="36"/>
      <c r="CG344" s="37"/>
      <c r="CH344" s="44"/>
      <c r="CI344" s="36"/>
      <c r="CJ344" s="36"/>
      <c r="CK344" s="36"/>
      <c r="CL344" s="36"/>
      <c r="CM344" s="36"/>
      <c r="CN344" s="36"/>
      <c r="CO344" s="36"/>
      <c r="CP344" s="36"/>
      <c r="CQ344" s="36"/>
      <c r="CR344" s="36"/>
      <c r="CS344" s="36"/>
      <c r="CT344" s="36"/>
      <c r="CU344" s="36"/>
      <c r="CV344" s="36"/>
      <c r="CW344" s="36"/>
      <c r="CX344" s="37"/>
      <c r="CY344" s="44"/>
      <c r="CZ344" s="36"/>
      <c r="DA344" s="36"/>
      <c r="DB344" s="36"/>
      <c r="DC344" s="36"/>
      <c r="DD344" s="36"/>
      <c r="DE344" s="36"/>
      <c r="DF344" s="36"/>
      <c r="DG344" s="36"/>
      <c r="DH344" s="36"/>
      <c r="DI344" s="36"/>
      <c r="DJ344" s="36"/>
      <c r="DK344" s="36"/>
      <c r="DL344" s="36"/>
      <c r="DM344" s="36"/>
      <c r="DN344" s="36"/>
      <c r="DO344" s="37"/>
      <c r="DP344" s="44"/>
      <c r="DQ344" s="36"/>
      <c r="DR344" s="36"/>
      <c r="DS344" s="36"/>
      <c r="DT344" s="36"/>
      <c r="DU344" s="36"/>
      <c r="DV344" s="36"/>
      <c r="DW344" s="36"/>
      <c r="DX344" s="36"/>
      <c r="DY344" s="36"/>
      <c r="DZ344" s="36"/>
      <c r="EA344" s="36"/>
      <c r="EB344" s="36"/>
      <c r="EC344" s="36"/>
      <c r="ED344" s="36"/>
      <c r="EE344" s="36"/>
      <c r="EF344" s="37"/>
      <c r="EG344" s="44"/>
      <c r="EH344" s="36"/>
      <c r="EI344" s="36"/>
      <c r="EJ344" s="36"/>
      <c r="EK344" s="36"/>
      <c r="EL344" s="36"/>
      <c r="EM344" s="36"/>
      <c r="EN344" s="36"/>
      <c r="EO344" s="36"/>
      <c r="EP344" s="36"/>
      <c r="EQ344" s="36"/>
      <c r="ER344" s="36"/>
      <c r="ES344" s="36"/>
      <c r="ET344" s="36"/>
      <c r="EU344" s="36"/>
      <c r="EV344" s="36"/>
      <c r="EW344" s="37"/>
      <c r="EX344" s="44"/>
      <c r="EY344" s="36"/>
      <c r="EZ344" s="36"/>
      <c r="FA344" s="36"/>
      <c r="FB344" s="36"/>
      <c r="FC344" s="36"/>
      <c r="FD344" s="36"/>
      <c r="FE344" s="36"/>
      <c r="FF344" s="36"/>
      <c r="FG344" s="36"/>
      <c r="FH344" s="36"/>
      <c r="FI344" s="36"/>
      <c r="FJ344" s="36"/>
      <c r="FK344" s="36"/>
      <c r="FL344" s="36"/>
      <c r="FM344" s="36"/>
      <c r="FN344" s="37"/>
      <c r="FO344" s="44"/>
      <c r="FP344" s="36"/>
      <c r="FQ344" s="36"/>
      <c r="FR344" s="36"/>
      <c r="FS344" s="36"/>
      <c r="FT344" s="36"/>
      <c r="FU344" s="36"/>
      <c r="FV344" s="36"/>
      <c r="FW344" s="36"/>
      <c r="FX344" s="36"/>
      <c r="FY344" s="36"/>
      <c r="FZ344" s="36"/>
      <c r="GA344" s="36"/>
      <c r="GB344" s="36"/>
      <c r="GC344" s="36"/>
      <c r="GD344" s="36"/>
      <c r="GE344" s="37"/>
      <c r="GF344" s="44"/>
      <c r="GG344" s="36"/>
      <c r="GH344" s="36"/>
      <c r="GI344" s="36"/>
      <c r="GJ344" s="36"/>
      <c r="GK344" s="36"/>
      <c r="GL344" s="36"/>
      <c r="GM344" s="36"/>
      <c r="GN344" s="36"/>
      <c r="GO344" s="36"/>
      <c r="GP344" s="36"/>
      <c r="GQ344" s="36"/>
      <c r="GR344" s="36"/>
      <c r="GS344" s="36"/>
      <c r="GT344" s="36"/>
      <c r="GU344" s="36"/>
      <c r="GV344" s="37"/>
      <c r="GW344" s="44"/>
      <c r="GX344" s="36"/>
      <c r="GY344" s="36"/>
      <c r="GZ344" s="36"/>
      <c r="HA344" s="36"/>
      <c r="HB344" s="36"/>
      <c r="HC344" s="36"/>
      <c r="HD344" s="36"/>
      <c r="HE344" s="36"/>
      <c r="HF344" s="36"/>
      <c r="HG344" s="36"/>
      <c r="HH344" s="36"/>
      <c r="HI344" s="36"/>
      <c r="HJ344" s="36"/>
      <c r="HK344" s="36"/>
      <c r="HL344" s="36"/>
      <c r="HM344" s="37"/>
      <c r="HN344" s="44"/>
      <c r="HO344" s="36"/>
      <c r="HP344" s="36"/>
      <c r="HQ344" s="36"/>
      <c r="HR344" s="36"/>
      <c r="HS344" s="36"/>
      <c r="HT344" s="36"/>
      <c r="HU344" s="36"/>
      <c r="HV344" s="36"/>
      <c r="HW344" s="36"/>
      <c r="HX344" s="36"/>
      <c r="HY344" s="36"/>
      <c r="HZ344" s="36"/>
      <c r="IA344" s="36"/>
      <c r="IB344" s="36"/>
      <c r="IC344" s="36"/>
      <c r="ID344" s="37"/>
      <c r="IE344" s="44"/>
      <c r="IF344" s="36"/>
      <c r="IG344" s="36"/>
      <c r="IH344" s="36"/>
      <c r="II344" s="36"/>
      <c r="IJ344" s="36"/>
      <c r="IK344" s="36"/>
      <c r="IL344" s="36"/>
      <c r="IM344" s="36"/>
      <c r="IN344" s="36"/>
      <c r="IO344" s="36"/>
      <c r="IP344" s="36"/>
      <c r="IQ344" s="36"/>
      <c r="IR344" s="36"/>
      <c r="IS344" s="36"/>
      <c r="IT344" s="36"/>
      <c r="IU344" s="37"/>
      <c r="IV344" s="44"/>
      <c r="IW344" s="36"/>
      <c r="IX344" s="36"/>
      <c r="IY344" s="36"/>
      <c r="IZ344" s="36"/>
      <c r="JA344" s="36"/>
      <c r="JB344" s="36"/>
      <c r="JC344" s="36"/>
      <c r="JD344" s="36"/>
      <c r="JE344" s="36"/>
      <c r="JF344" s="36"/>
      <c r="JG344" s="36"/>
      <c r="JH344" s="36"/>
      <c r="JI344" s="36"/>
      <c r="JJ344" s="36"/>
      <c r="JK344" s="36"/>
      <c r="JL344" s="37"/>
      <c r="JM344" s="44"/>
      <c r="JN344" s="36"/>
      <c r="JO344" s="36"/>
      <c r="JP344" s="36"/>
      <c r="JQ344" s="36"/>
      <c r="JR344" s="36"/>
      <c r="JS344" s="36"/>
      <c r="JT344" s="36"/>
      <c r="JU344" s="36"/>
      <c r="JV344" s="36"/>
      <c r="JW344" s="36"/>
      <c r="JX344" s="36"/>
      <c r="JY344" s="36"/>
      <c r="JZ344" s="36"/>
      <c r="KA344" s="36"/>
      <c r="KB344" s="36"/>
      <c r="KC344" s="37"/>
      <c r="KD344" s="44"/>
      <c r="KE344" s="36"/>
      <c r="KF344" s="36"/>
      <c r="KG344" s="36"/>
      <c r="KH344" s="36"/>
      <c r="KI344" s="36"/>
      <c r="KJ344" s="36"/>
      <c r="KK344" s="36"/>
      <c r="KL344" s="36"/>
      <c r="KM344" s="36"/>
      <c r="KN344" s="36"/>
      <c r="KO344" s="36"/>
      <c r="KP344" s="36"/>
      <c r="KQ344" s="36"/>
      <c r="KR344" s="36"/>
      <c r="KS344" s="36"/>
      <c r="KT344" s="37"/>
      <c r="KU344" s="36"/>
    </row>
    <row r="345" ht="15.0" customHeight="1">
      <c r="A345" s="44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7"/>
      <c r="R345" s="44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7"/>
      <c r="AI345" s="44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  <c r="AU345" s="36"/>
      <c r="AV345" s="36"/>
      <c r="AW345" s="36"/>
      <c r="AX345" s="36"/>
      <c r="AY345" s="37"/>
      <c r="AZ345" s="44"/>
      <c r="BA345" s="36"/>
      <c r="BB345" s="36"/>
      <c r="BC345" s="36"/>
      <c r="BD345" s="36"/>
      <c r="BE345" s="36"/>
      <c r="BF345" s="36"/>
      <c r="BG345" s="36"/>
      <c r="BH345" s="36"/>
      <c r="BI345" s="36"/>
      <c r="BJ345" s="36"/>
      <c r="BK345" s="36"/>
      <c r="BL345" s="36"/>
      <c r="BM345" s="36"/>
      <c r="BN345" s="36"/>
      <c r="BO345" s="36"/>
      <c r="BP345" s="37"/>
      <c r="BQ345" s="44"/>
      <c r="BR345" s="36"/>
      <c r="BS345" s="36"/>
      <c r="BT345" s="36"/>
      <c r="BU345" s="36"/>
      <c r="BV345" s="36"/>
      <c r="BW345" s="36"/>
      <c r="BX345" s="36"/>
      <c r="BY345" s="36"/>
      <c r="BZ345" s="36"/>
      <c r="CA345" s="36"/>
      <c r="CB345" s="36"/>
      <c r="CC345" s="36"/>
      <c r="CD345" s="36"/>
      <c r="CE345" s="36"/>
      <c r="CF345" s="36"/>
      <c r="CG345" s="37"/>
      <c r="CH345" s="44"/>
      <c r="CI345" s="36"/>
      <c r="CJ345" s="36"/>
      <c r="CK345" s="36"/>
      <c r="CL345" s="36"/>
      <c r="CM345" s="36"/>
      <c r="CN345" s="36"/>
      <c r="CO345" s="36"/>
      <c r="CP345" s="36"/>
      <c r="CQ345" s="36"/>
      <c r="CR345" s="36"/>
      <c r="CS345" s="36"/>
      <c r="CT345" s="36"/>
      <c r="CU345" s="36"/>
      <c r="CV345" s="36"/>
      <c r="CW345" s="36"/>
      <c r="CX345" s="37"/>
      <c r="CY345" s="44"/>
      <c r="CZ345" s="36"/>
      <c r="DA345" s="36"/>
      <c r="DB345" s="36"/>
      <c r="DC345" s="36"/>
      <c r="DD345" s="36"/>
      <c r="DE345" s="36"/>
      <c r="DF345" s="36"/>
      <c r="DG345" s="36"/>
      <c r="DH345" s="36"/>
      <c r="DI345" s="36"/>
      <c r="DJ345" s="36"/>
      <c r="DK345" s="36"/>
      <c r="DL345" s="36"/>
      <c r="DM345" s="36"/>
      <c r="DN345" s="36"/>
      <c r="DO345" s="37"/>
      <c r="DP345" s="44"/>
      <c r="DQ345" s="36"/>
      <c r="DR345" s="36"/>
      <c r="DS345" s="36"/>
      <c r="DT345" s="36"/>
      <c r="DU345" s="36"/>
      <c r="DV345" s="36"/>
      <c r="DW345" s="36"/>
      <c r="DX345" s="36"/>
      <c r="DY345" s="36"/>
      <c r="DZ345" s="36"/>
      <c r="EA345" s="36"/>
      <c r="EB345" s="36"/>
      <c r="EC345" s="36"/>
      <c r="ED345" s="36"/>
      <c r="EE345" s="36"/>
      <c r="EF345" s="37"/>
      <c r="EG345" s="44"/>
      <c r="EH345" s="36"/>
      <c r="EI345" s="36"/>
      <c r="EJ345" s="36"/>
      <c r="EK345" s="36"/>
      <c r="EL345" s="36"/>
      <c r="EM345" s="36"/>
      <c r="EN345" s="36"/>
      <c r="EO345" s="36"/>
      <c r="EP345" s="36"/>
      <c r="EQ345" s="36"/>
      <c r="ER345" s="36"/>
      <c r="ES345" s="36"/>
      <c r="ET345" s="36"/>
      <c r="EU345" s="36"/>
      <c r="EV345" s="36"/>
      <c r="EW345" s="37"/>
      <c r="EX345" s="44"/>
      <c r="EY345" s="36"/>
      <c r="EZ345" s="36"/>
      <c r="FA345" s="36"/>
      <c r="FB345" s="36"/>
      <c r="FC345" s="36"/>
      <c r="FD345" s="36"/>
      <c r="FE345" s="36"/>
      <c r="FF345" s="36"/>
      <c r="FG345" s="36"/>
      <c r="FH345" s="36"/>
      <c r="FI345" s="36"/>
      <c r="FJ345" s="36"/>
      <c r="FK345" s="36"/>
      <c r="FL345" s="36"/>
      <c r="FM345" s="36"/>
      <c r="FN345" s="37"/>
      <c r="FO345" s="44"/>
      <c r="FP345" s="36"/>
      <c r="FQ345" s="36"/>
      <c r="FR345" s="36"/>
      <c r="FS345" s="36"/>
      <c r="FT345" s="36"/>
      <c r="FU345" s="36"/>
      <c r="FV345" s="36"/>
      <c r="FW345" s="36"/>
      <c r="FX345" s="36"/>
      <c r="FY345" s="36"/>
      <c r="FZ345" s="36"/>
      <c r="GA345" s="36"/>
      <c r="GB345" s="36"/>
      <c r="GC345" s="36"/>
      <c r="GD345" s="36"/>
      <c r="GE345" s="37"/>
      <c r="GF345" s="44"/>
      <c r="GG345" s="36"/>
      <c r="GH345" s="36"/>
      <c r="GI345" s="36"/>
      <c r="GJ345" s="36"/>
      <c r="GK345" s="36"/>
      <c r="GL345" s="36"/>
      <c r="GM345" s="36"/>
      <c r="GN345" s="36"/>
      <c r="GO345" s="36"/>
      <c r="GP345" s="36"/>
      <c r="GQ345" s="36"/>
      <c r="GR345" s="36"/>
      <c r="GS345" s="36"/>
      <c r="GT345" s="36"/>
      <c r="GU345" s="36"/>
      <c r="GV345" s="37"/>
      <c r="GW345" s="44"/>
      <c r="GX345" s="36"/>
      <c r="GY345" s="36"/>
      <c r="GZ345" s="36"/>
      <c r="HA345" s="36"/>
      <c r="HB345" s="36"/>
      <c r="HC345" s="36"/>
      <c r="HD345" s="36"/>
      <c r="HE345" s="36"/>
      <c r="HF345" s="36"/>
      <c r="HG345" s="36"/>
      <c r="HH345" s="36"/>
      <c r="HI345" s="36"/>
      <c r="HJ345" s="36"/>
      <c r="HK345" s="36"/>
      <c r="HL345" s="36"/>
      <c r="HM345" s="37"/>
      <c r="HN345" s="44"/>
      <c r="HO345" s="36"/>
      <c r="HP345" s="36"/>
      <c r="HQ345" s="36"/>
      <c r="HR345" s="36"/>
      <c r="HS345" s="36"/>
      <c r="HT345" s="36"/>
      <c r="HU345" s="36"/>
      <c r="HV345" s="36"/>
      <c r="HW345" s="36"/>
      <c r="HX345" s="36"/>
      <c r="HY345" s="36"/>
      <c r="HZ345" s="36"/>
      <c r="IA345" s="36"/>
      <c r="IB345" s="36"/>
      <c r="IC345" s="36"/>
      <c r="ID345" s="37"/>
      <c r="IE345" s="44"/>
      <c r="IF345" s="36"/>
      <c r="IG345" s="36"/>
      <c r="IH345" s="36"/>
      <c r="II345" s="36"/>
      <c r="IJ345" s="36"/>
      <c r="IK345" s="36"/>
      <c r="IL345" s="36"/>
      <c r="IM345" s="36"/>
      <c r="IN345" s="36"/>
      <c r="IO345" s="36"/>
      <c r="IP345" s="36"/>
      <c r="IQ345" s="36"/>
      <c r="IR345" s="36"/>
      <c r="IS345" s="36"/>
      <c r="IT345" s="36"/>
      <c r="IU345" s="37"/>
      <c r="IV345" s="44"/>
      <c r="IW345" s="36"/>
      <c r="IX345" s="36"/>
      <c r="IY345" s="36"/>
      <c r="IZ345" s="36"/>
      <c r="JA345" s="36"/>
      <c r="JB345" s="36"/>
      <c r="JC345" s="36"/>
      <c r="JD345" s="36"/>
      <c r="JE345" s="36"/>
      <c r="JF345" s="36"/>
      <c r="JG345" s="36"/>
      <c r="JH345" s="36"/>
      <c r="JI345" s="36"/>
      <c r="JJ345" s="36"/>
      <c r="JK345" s="36"/>
      <c r="JL345" s="37"/>
      <c r="JM345" s="44"/>
      <c r="JN345" s="36"/>
      <c r="JO345" s="36"/>
      <c r="JP345" s="36"/>
      <c r="JQ345" s="36"/>
      <c r="JR345" s="36"/>
      <c r="JS345" s="36"/>
      <c r="JT345" s="36"/>
      <c r="JU345" s="36"/>
      <c r="JV345" s="36"/>
      <c r="JW345" s="36"/>
      <c r="JX345" s="36"/>
      <c r="JY345" s="36"/>
      <c r="JZ345" s="36"/>
      <c r="KA345" s="36"/>
      <c r="KB345" s="36"/>
      <c r="KC345" s="37"/>
      <c r="KD345" s="44"/>
      <c r="KE345" s="36"/>
      <c r="KF345" s="36"/>
      <c r="KG345" s="36"/>
      <c r="KH345" s="36"/>
      <c r="KI345" s="36"/>
      <c r="KJ345" s="36"/>
      <c r="KK345" s="36"/>
      <c r="KL345" s="36"/>
      <c r="KM345" s="36"/>
      <c r="KN345" s="36"/>
      <c r="KO345" s="36"/>
      <c r="KP345" s="36"/>
      <c r="KQ345" s="36"/>
      <c r="KR345" s="36"/>
      <c r="KS345" s="36"/>
      <c r="KT345" s="37"/>
      <c r="KU345" s="36"/>
    </row>
    <row r="346" ht="15.0" customHeight="1">
      <c r="A346" s="44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7"/>
      <c r="R346" s="44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7"/>
      <c r="AI346" s="44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  <c r="AU346" s="36"/>
      <c r="AV346" s="36"/>
      <c r="AW346" s="36"/>
      <c r="AX346" s="36"/>
      <c r="AY346" s="37"/>
      <c r="AZ346" s="44"/>
      <c r="BA346" s="36"/>
      <c r="BB346" s="36"/>
      <c r="BC346" s="36"/>
      <c r="BD346" s="36"/>
      <c r="BE346" s="36"/>
      <c r="BF346" s="36"/>
      <c r="BG346" s="36"/>
      <c r="BH346" s="36"/>
      <c r="BI346" s="36"/>
      <c r="BJ346" s="36"/>
      <c r="BK346" s="36"/>
      <c r="BL346" s="36"/>
      <c r="BM346" s="36"/>
      <c r="BN346" s="36"/>
      <c r="BO346" s="36"/>
      <c r="BP346" s="37"/>
      <c r="BQ346" s="44"/>
      <c r="BR346" s="36"/>
      <c r="BS346" s="36"/>
      <c r="BT346" s="36"/>
      <c r="BU346" s="36"/>
      <c r="BV346" s="36"/>
      <c r="BW346" s="36"/>
      <c r="BX346" s="36"/>
      <c r="BY346" s="36"/>
      <c r="BZ346" s="36"/>
      <c r="CA346" s="36"/>
      <c r="CB346" s="36"/>
      <c r="CC346" s="36"/>
      <c r="CD346" s="36"/>
      <c r="CE346" s="36"/>
      <c r="CF346" s="36"/>
      <c r="CG346" s="37"/>
      <c r="CH346" s="44"/>
      <c r="CI346" s="36"/>
      <c r="CJ346" s="36"/>
      <c r="CK346" s="36"/>
      <c r="CL346" s="36"/>
      <c r="CM346" s="36"/>
      <c r="CN346" s="36"/>
      <c r="CO346" s="36"/>
      <c r="CP346" s="36"/>
      <c r="CQ346" s="36"/>
      <c r="CR346" s="36"/>
      <c r="CS346" s="36"/>
      <c r="CT346" s="36"/>
      <c r="CU346" s="36"/>
      <c r="CV346" s="36"/>
      <c r="CW346" s="36"/>
      <c r="CX346" s="37"/>
      <c r="CY346" s="44"/>
      <c r="CZ346" s="36"/>
      <c r="DA346" s="36"/>
      <c r="DB346" s="36"/>
      <c r="DC346" s="36"/>
      <c r="DD346" s="36"/>
      <c r="DE346" s="36"/>
      <c r="DF346" s="36"/>
      <c r="DG346" s="36"/>
      <c r="DH346" s="36"/>
      <c r="DI346" s="36"/>
      <c r="DJ346" s="36"/>
      <c r="DK346" s="36"/>
      <c r="DL346" s="36"/>
      <c r="DM346" s="36"/>
      <c r="DN346" s="36"/>
      <c r="DO346" s="37"/>
      <c r="DP346" s="44"/>
      <c r="DQ346" s="36"/>
      <c r="DR346" s="36"/>
      <c r="DS346" s="36"/>
      <c r="DT346" s="36"/>
      <c r="DU346" s="36"/>
      <c r="DV346" s="36"/>
      <c r="DW346" s="36"/>
      <c r="DX346" s="36"/>
      <c r="DY346" s="36"/>
      <c r="DZ346" s="36"/>
      <c r="EA346" s="36"/>
      <c r="EB346" s="36"/>
      <c r="EC346" s="36"/>
      <c r="ED346" s="36"/>
      <c r="EE346" s="36"/>
      <c r="EF346" s="37"/>
      <c r="EG346" s="44"/>
      <c r="EH346" s="36"/>
      <c r="EI346" s="36"/>
      <c r="EJ346" s="36"/>
      <c r="EK346" s="36"/>
      <c r="EL346" s="36"/>
      <c r="EM346" s="36"/>
      <c r="EN346" s="36"/>
      <c r="EO346" s="36"/>
      <c r="EP346" s="36"/>
      <c r="EQ346" s="36"/>
      <c r="ER346" s="36"/>
      <c r="ES346" s="36"/>
      <c r="ET346" s="36"/>
      <c r="EU346" s="36"/>
      <c r="EV346" s="36"/>
      <c r="EW346" s="37"/>
      <c r="EX346" s="44"/>
      <c r="EY346" s="36"/>
      <c r="EZ346" s="36"/>
      <c r="FA346" s="36"/>
      <c r="FB346" s="36"/>
      <c r="FC346" s="36"/>
      <c r="FD346" s="36"/>
      <c r="FE346" s="36"/>
      <c r="FF346" s="36"/>
      <c r="FG346" s="36"/>
      <c r="FH346" s="36"/>
      <c r="FI346" s="36"/>
      <c r="FJ346" s="36"/>
      <c r="FK346" s="36"/>
      <c r="FL346" s="36"/>
      <c r="FM346" s="36"/>
      <c r="FN346" s="37"/>
      <c r="FO346" s="44"/>
      <c r="FP346" s="36"/>
      <c r="FQ346" s="36"/>
      <c r="FR346" s="36"/>
      <c r="FS346" s="36"/>
      <c r="FT346" s="36"/>
      <c r="FU346" s="36"/>
      <c r="FV346" s="36"/>
      <c r="FW346" s="36"/>
      <c r="FX346" s="36"/>
      <c r="FY346" s="36"/>
      <c r="FZ346" s="36"/>
      <c r="GA346" s="36"/>
      <c r="GB346" s="36"/>
      <c r="GC346" s="36"/>
      <c r="GD346" s="36"/>
      <c r="GE346" s="37"/>
      <c r="GF346" s="44"/>
      <c r="GG346" s="36"/>
      <c r="GH346" s="36"/>
      <c r="GI346" s="36"/>
      <c r="GJ346" s="36"/>
      <c r="GK346" s="36"/>
      <c r="GL346" s="36"/>
      <c r="GM346" s="36"/>
      <c r="GN346" s="36"/>
      <c r="GO346" s="36"/>
      <c r="GP346" s="36"/>
      <c r="GQ346" s="36"/>
      <c r="GR346" s="36"/>
      <c r="GS346" s="36"/>
      <c r="GT346" s="36"/>
      <c r="GU346" s="36"/>
      <c r="GV346" s="37"/>
      <c r="GW346" s="44"/>
      <c r="GX346" s="36"/>
      <c r="GY346" s="36"/>
      <c r="GZ346" s="36"/>
      <c r="HA346" s="36"/>
      <c r="HB346" s="36"/>
      <c r="HC346" s="36"/>
      <c r="HD346" s="36"/>
      <c r="HE346" s="36"/>
      <c r="HF346" s="36"/>
      <c r="HG346" s="36"/>
      <c r="HH346" s="36"/>
      <c r="HI346" s="36"/>
      <c r="HJ346" s="36"/>
      <c r="HK346" s="36"/>
      <c r="HL346" s="36"/>
      <c r="HM346" s="37"/>
      <c r="HN346" s="44"/>
      <c r="HO346" s="36"/>
      <c r="HP346" s="36"/>
      <c r="HQ346" s="36"/>
      <c r="HR346" s="36"/>
      <c r="HS346" s="36"/>
      <c r="HT346" s="36"/>
      <c r="HU346" s="36"/>
      <c r="HV346" s="36"/>
      <c r="HW346" s="36"/>
      <c r="HX346" s="36"/>
      <c r="HY346" s="36"/>
      <c r="HZ346" s="36"/>
      <c r="IA346" s="36"/>
      <c r="IB346" s="36"/>
      <c r="IC346" s="36"/>
      <c r="ID346" s="37"/>
      <c r="IE346" s="44"/>
      <c r="IF346" s="36"/>
      <c r="IG346" s="36"/>
      <c r="IH346" s="36"/>
      <c r="II346" s="36"/>
      <c r="IJ346" s="36"/>
      <c r="IK346" s="36"/>
      <c r="IL346" s="36"/>
      <c r="IM346" s="36"/>
      <c r="IN346" s="36"/>
      <c r="IO346" s="36"/>
      <c r="IP346" s="36"/>
      <c r="IQ346" s="36"/>
      <c r="IR346" s="36"/>
      <c r="IS346" s="36"/>
      <c r="IT346" s="36"/>
      <c r="IU346" s="37"/>
      <c r="IV346" s="44"/>
      <c r="IW346" s="36"/>
      <c r="IX346" s="36"/>
      <c r="IY346" s="36"/>
      <c r="IZ346" s="36"/>
      <c r="JA346" s="36"/>
      <c r="JB346" s="36"/>
      <c r="JC346" s="36"/>
      <c r="JD346" s="36"/>
      <c r="JE346" s="36"/>
      <c r="JF346" s="36"/>
      <c r="JG346" s="36"/>
      <c r="JH346" s="36"/>
      <c r="JI346" s="36"/>
      <c r="JJ346" s="36"/>
      <c r="JK346" s="36"/>
      <c r="JL346" s="37"/>
      <c r="JM346" s="44"/>
      <c r="JN346" s="36"/>
      <c r="JO346" s="36"/>
      <c r="JP346" s="36"/>
      <c r="JQ346" s="36"/>
      <c r="JR346" s="36"/>
      <c r="JS346" s="36"/>
      <c r="JT346" s="36"/>
      <c r="JU346" s="36"/>
      <c r="JV346" s="36"/>
      <c r="JW346" s="36"/>
      <c r="JX346" s="36"/>
      <c r="JY346" s="36"/>
      <c r="JZ346" s="36"/>
      <c r="KA346" s="36"/>
      <c r="KB346" s="36"/>
      <c r="KC346" s="37"/>
      <c r="KD346" s="44"/>
      <c r="KE346" s="36"/>
      <c r="KF346" s="36"/>
      <c r="KG346" s="36"/>
      <c r="KH346" s="36"/>
      <c r="KI346" s="36"/>
      <c r="KJ346" s="36"/>
      <c r="KK346" s="36"/>
      <c r="KL346" s="36"/>
      <c r="KM346" s="36"/>
      <c r="KN346" s="36"/>
      <c r="KO346" s="36"/>
      <c r="KP346" s="36"/>
      <c r="KQ346" s="36"/>
      <c r="KR346" s="36"/>
      <c r="KS346" s="36"/>
      <c r="KT346" s="37"/>
      <c r="KU346" s="36"/>
    </row>
    <row r="347" ht="15.0" customHeight="1">
      <c r="A347" s="44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7"/>
      <c r="R347" s="44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7"/>
      <c r="AI347" s="44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36"/>
      <c r="AU347" s="36"/>
      <c r="AV347" s="36"/>
      <c r="AW347" s="36"/>
      <c r="AX347" s="36"/>
      <c r="AY347" s="37"/>
      <c r="AZ347" s="44"/>
      <c r="BA347" s="36"/>
      <c r="BB347" s="36"/>
      <c r="BC347" s="36"/>
      <c r="BD347" s="36"/>
      <c r="BE347" s="36"/>
      <c r="BF347" s="36"/>
      <c r="BG347" s="36"/>
      <c r="BH347" s="36"/>
      <c r="BI347" s="36"/>
      <c r="BJ347" s="36"/>
      <c r="BK347" s="36"/>
      <c r="BL347" s="36"/>
      <c r="BM347" s="36"/>
      <c r="BN347" s="36"/>
      <c r="BO347" s="36"/>
      <c r="BP347" s="37"/>
      <c r="BQ347" s="44"/>
      <c r="BR347" s="36"/>
      <c r="BS347" s="36"/>
      <c r="BT347" s="36"/>
      <c r="BU347" s="36"/>
      <c r="BV347" s="36"/>
      <c r="BW347" s="36"/>
      <c r="BX347" s="36"/>
      <c r="BY347" s="36"/>
      <c r="BZ347" s="36"/>
      <c r="CA347" s="36"/>
      <c r="CB347" s="36"/>
      <c r="CC347" s="36"/>
      <c r="CD347" s="36"/>
      <c r="CE347" s="36"/>
      <c r="CF347" s="36"/>
      <c r="CG347" s="37"/>
      <c r="CH347" s="44"/>
      <c r="CI347" s="36"/>
      <c r="CJ347" s="36"/>
      <c r="CK347" s="36"/>
      <c r="CL347" s="36"/>
      <c r="CM347" s="36"/>
      <c r="CN347" s="36"/>
      <c r="CO347" s="36"/>
      <c r="CP347" s="36"/>
      <c r="CQ347" s="36"/>
      <c r="CR347" s="36"/>
      <c r="CS347" s="36"/>
      <c r="CT347" s="36"/>
      <c r="CU347" s="36"/>
      <c r="CV347" s="36"/>
      <c r="CW347" s="36"/>
      <c r="CX347" s="37"/>
      <c r="CY347" s="44"/>
      <c r="CZ347" s="36"/>
      <c r="DA347" s="36"/>
      <c r="DB347" s="36"/>
      <c r="DC347" s="36"/>
      <c r="DD347" s="36"/>
      <c r="DE347" s="36"/>
      <c r="DF347" s="36"/>
      <c r="DG347" s="36"/>
      <c r="DH347" s="36"/>
      <c r="DI347" s="36"/>
      <c r="DJ347" s="36"/>
      <c r="DK347" s="36"/>
      <c r="DL347" s="36"/>
      <c r="DM347" s="36"/>
      <c r="DN347" s="36"/>
      <c r="DO347" s="37"/>
      <c r="DP347" s="44"/>
      <c r="DQ347" s="36"/>
      <c r="DR347" s="36"/>
      <c r="DS347" s="36"/>
      <c r="DT347" s="36"/>
      <c r="DU347" s="36"/>
      <c r="DV347" s="36"/>
      <c r="DW347" s="36"/>
      <c r="DX347" s="36"/>
      <c r="DY347" s="36"/>
      <c r="DZ347" s="36"/>
      <c r="EA347" s="36"/>
      <c r="EB347" s="36"/>
      <c r="EC347" s="36"/>
      <c r="ED347" s="36"/>
      <c r="EE347" s="36"/>
      <c r="EF347" s="37"/>
      <c r="EG347" s="44"/>
      <c r="EH347" s="36"/>
      <c r="EI347" s="36"/>
      <c r="EJ347" s="36"/>
      <c r="EK347" s="36"/>
      <c r="EL347" s="36"/>
      <c r="EM347" s="36"/>
      <c r="EN347" s="36"/>
      <c r="EO347" s="36"/>
      <c r="EP347" s="36"/>
      <c r="EQ347" s="36"/>
      <c r="ER347" s="36"/>
      <c r="ES347" s="36"/>
      <c r="ET347" s="36"/>
      <c r="EU347" s="36"/>
      <c r="EV347" s="36"/>
      <c r="EW347" s="37"/>
      <c r="EX347" s="44"/>
      <c r="EY347" s="36"/>
      <c r="EZ347" s="36"/>
      <c r="FA347" s="36"/>
      <c r="FB347" s="36"/>
      <c r="FC347" s="36"/>
      <c r="FD347" s="36"/>
      <c r="FE347" s="36"/>
      <c r="FF347" s="36"/>
      <c r="FG347" s="36"/>
      <c r="FH347" s="36"/>
      <c r="FI347" s="36"/>
      <c r="FJ347" s="36"/>
      <c r="FK347" s="36"/>
      <c r="FL347" s="36"/>
      <c r="FM347" s="36"/>
      <c r="FN347" s="37"/>
      <c r="FO347" s="44"/>
      <c r="FP347" s="36"/>
      <c r="FQ347" s="36"/>
      <c r="FR347" s="36"/>
      <c r="FS347" s="36"/>
      <c r="FT347" s="36"/>
      <c r="FU347" s="36"/>
      <c r="FV347" s="36"/>
      <c r="FW347" s="36"/>
      <c r="FX347" s="36"/>
      <c r="FY347" s="36"/>
      <c r="FZ347" s="36"/>
      <c r="GA347" s="36"/>
      <c r="GB347" s="36"/>
      <c r="GC347" s="36"/>
      <c r="GD347" s="36"/>
      <c r="GE347" s="37"/>
      <c r="GF347" s="44"/>
      <c r="GG347" s="36"/>
      <c r="GH347" s="36"/>
      <c r="GI347" s="36"/>
      <c r="GJ347" s="36"/>
      <c r="GK347" s="36"/>
      <c r="GL347" s="36"/>
      <c r="GM347" s="36"/>
      <c r="GN347" s="36"/>
      <c r="GO347" s="36"/>
      <c r="GP347" s="36"/>
      <c r="GQ347" s="36"/>
      <c r="GR347" s="36"/>
      <c r="GS347" s="36"/>
      <c r="GT347" s="36"/>
      <c r="GU347" s="36"/>
      <c r="GV347" s="37"/>
      <c r="GW347" s="44"/>
      <c r="GX347" s="36"/>
      <c r="GY347" s="36"/>
      <c r="GZ347" s="36"/>
      <c r="HA347" s="36"/>
      <c r="HB347" s="36"/>
      <c r="HC347" s="36"/>
      <c r="HD347" s="36"/>
      <c r="HE347" s="36"/>
      <c r="HF347" s="36"/>
      <c r="HG347" s="36"/>
      <c r="HH347" s="36"/>
      <c r="HI347" s="36"/>
      <c r="HJ347" s="36"/>
      <c r="HK347" s="36"/>
      <c r="HL347" s="36"/>
      <c r="HM347" s="37"/>
      <c r="HN347" s="44"/>
      <c r="HO347" s="36"/>
      <c r="HP347" s="36"/>
      <c r="HQ347" s="36"/>
      <c r="HR347" s="36"/>
      <c r="HS347" s="36"/>
      <c r="HT347" s="36"/>
      <c r="HU347" s="36"/>
      <c r="HV347" s="36"/>
      <c r="HW347" s="36"/>
      <c r="HX347" s="36"/>
      <c r="HY347" s="36"/>
      <c r="HZ347" s="36"/>
      <c r="IA347" s="36"/>
      <c r="IB347" s="36"/>
      <c r="IC347" s="36"/>
      <c r="ID347" s="37"/>
      <c r="IE347" s="44"/>
      <c r="IF347" s="36"/>
      <c r="IG347" s="36"/>
      <c r="IH347" s="36"/>
      <c r="II347" s="36"/>
      <c r="IJ347" s="36"/>
      <c r="IK347" s="36"/>
      <c r="IL347" s="36"/>
      <c r="IM347" s="36"/>
      <c r="IN347" s="36"/>
      <c r="IO347" s="36"/>
      <c r="IP347" s="36"/>
      <c r="IQ347" s="36"/>
      <c r="IR347" s="36"/>
      <c r="IS347" s="36"/>
      <c r="IT347" s="36"/>
      <c r="IU347" s="37"/>
      <c r="IV347" s="44"/>
      <c r="IW347" s="36"/>
      <c r="IX347" s="36"/>
      <c r="IY347" s="36"/>
      <c r="IZ347" s="36"/>
      <c r="JA347" s="36"/>
      <c r="JB347" s="36"/>
      <c r="JC347" s="36"/>
      <c r="JD347" s="36"/>
      <c r="JE347" s="36"/>
      <c r="JF347" s="36"/>
      <c r="JG347" s="36"/>
      <c r="JH347" s="36"/>
      <c r="JI347" s="36"/>
      <c r="JJ347" s="36"/>
      <c r="JK347" s="36"/>
      <c r="JL347" s="37"/>
      <c r="JM347" s="44"/>
      <c r="JN347" s="36"/>
      <c r="JO347" s="36"/>
      <c r="JP347" s="36"/>
      <c r="JQ347" s="36"/>
      <c r="JR347" s="36"/>
      <c r="JS347" s="36"/>
      <c r="JT347" s="36"/>
      <c r="JU347" s="36"/>
      <c r="JV347" s="36"/>
      <c r="JW347" s="36"/>
      <c r="JX347" s="36"/>
      <c r="JY347" s="36"/>
      <c r="JZ347" s="36"/>
      <c r="KA347" s="36"/>
      <c r="KB347" s="36"/>
      <c r="KC347" s="37"/>
      <c r="KD347" s="44"/>
      <c r="KE347" s="36"/>
      <c r="KF347" s="36"/>
      <c r="KG347" s="36"/>
      <c r="KH347" s="36"/>
      <c r="KI347" s="36"/>
      <c r="KJ347" s="36"/>
      <c r="KK347" s="36"/>
      <c r="KL347" s="36"/>
      <c r="KM347" s="36"/>
      <c r="KN347" s="36"/>
      <c r="KO347" s="36"/>
      <c r="KP347" s="36"/>
      <c r="KQ347" s="36"/>
      <c r="KR347" s="36"/>
      <c r="KS347" s="36"/>
      <c r="KT347" s="37"/>
      <c r="KU347" s="36"/>
    </row>
    <row r="348" ht="15.0" customHeight="1">
      <c r="A348" s="44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7"/>
      <c r="R348" s="44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7"/>
      <c r="AI348" s="44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36"/>
      <c r="AU348" s="36"/>
      <c r="AV348" s="36"/>
      <c r="AW348" s="36"/>
      <c r="AX348" s="36"/>
      <c r="AY348" s="37"/>
      <c r="AZ348" s="44"/>
      <c r="BA348" s="36"/>
      <c r="BB348" s="36"/>
      <c r="BC348" s="36"/>
      <c r="BD348" s="36"/>
      <c r="BE348" s="36"/>
      <c r="BF348" s="36"/>
      <c r="BG348" s="36"/>
      <c r="BH348" s="36"/>
      <c r="BI348" s="36"/>
      <c r="BJ348" s="36"/>
      <c r="BK348" s="36"/>
      <c r="BL348" s="36"/>
      <c r="BM348" s="36"/>
      <c r="BN348" s="36"/>
      <c r="BO348" s="36"/>
      <c r="BP348" s="37"/>
      <c r="BQ348" s="44"/>
      <c r="BR348" s="36"/>
      <c r="BS348" s="36"/>
      <c r="BT348" s="36"/>
      <c r="BU348" s="36"/>
      <c r="BV348" s="36"/>
      <c r="BW348" s="36"/>
      <c r="BX348" s="36"/>
      <c r="BY348" s="36"/>
      <c r="BZ348" s="36"/>
      <c r="CA348" s="36"/>
      <c r="CB348" s="36"/>
      <c r="CC348" s="36"/>
      <c r="CD348" s="36"/>
      <c r="CE348" s="36"/>
      <c r="CF348" s="36"/>
      <c r="CG348" s="37"/>
      <c r="CH348" s="44"/>
      <c r="CI348" s="36"/>
      <c r="CJ348" s="36"/>
      <c r="CK348" s="36"/>
      <c r="CL348" s="36"/>
      <c r="CM348" s="36"/>
      <c r="CN348" s="36"/>
      <c r="CO348" s="36"/>
      <c r="CP348" s="36"/>
      <c r="CQ348" s="36"/>
      <c r="CR348" s="36"/>
      <c r="CS348" s="36"/>
      <c r="CT348" s="36"/>
      <c r="CU348" s="36"/>
      <c r="CV348" s="36"/>
      <c r="CW348" s="36"/>
      <c r="CX348" s="37"/>
      <c r="CY348" s="44"/>
      <c r="CZ348" s="36"/>
      <c r="DA348" s="36"/>
      <c r="DB348" s="36"/>
      <c r="DC348" s="36"/>
      <c r="DD348" s="36"/>
      <c r="DE348" s="36"/>
      <c r="DF348" s="36"/>
      <c r="DG348" s="36"/>
      <c r="DH348" s="36"/>
      <c r="DI348" s="36"/>
      <c r="DJ348" s="36"/>
      <c r="DK348" s="36"/>
      <c r="DL348" s="36"/>
      <c r="DM348" s="36"/>
      <c r="DN348" s="36"/>
      <c r="DO348" s="37"/>
      <c r="DP348" s="44"/>
      <c r="DQ348" s="36"/>
      <c r="DR348" s="36"/>
      <c r="DS348" s="36"/>
      <c r="DT348" s="36"/>
      <c r="DU348" s="36"/>
      <c r="DV348" s="36"/>
      <c r="DW348" s="36"/>
      <c r="DX348" s="36"/>
      <c r="DY348" s="36"/>
      <c r="DZ348" s="36"/>
      <c r="EA348" s="36"/>
      <c r="EB348" s="36"/>
      <c r="EC348" s="36"/>
      <c r="ED348" s="36"/>
      <c r="EE348" s="36"/>
      <c r="EF348" s="37"/>
      <c r="EG348" s="44"/>
      <c r="EH348" s="36"/>
      <c r="EI348" s="36"/>
      <c r="EJ348" s="36"/>
      <c r="EK348" s="36"/>
      <c r="EL348" s="36"/>
      <c r="EM348" s="36"/>
      <c r="EN348" s="36"/>
      <c r="EO348" s="36"/>
      <c r="EP348" s="36"/>
      <c r="EQ348" s="36"/>
      <c r="ER348" s="36"/>
      <c r="ES348" s="36"/>
      <c r="ET348" s="36"/>
      <c r="EU348" s="36"/>
      <c r="EV348" s="36"/>
      <c r="EW348" s="37"/>
      <c r="EX348" s="44"/>
      <c r="EY348" s="36"/>
      <c r="EZ348" s="36"/>
      <c r="FA348" s="36"/>
      <c r="FB348" s="36"/>
      <c r="FC348" s="36"/>
      <c r="FD348" s="36"/>
      <c r="FE348" s="36"/>
      <c r="FF348" s="36"/>
      <c r="FG348" s="36"/>
      <c r="FH348" s="36"/>
      <c r="FI348" s="36"/>
      <c r="FJ348" s="36"/>
      <c r="FK348" s="36"/>
      <c r="FL348" s="36"/>
      <c r="FM348" s="36"/>
      <c r="FN348" s="37"/>
      <c r="FO348" s="44"/>
      <c r="FP348" s="36"/>
      <c r="FQ348" s="36"/>
      <c r="FR348" s="36"/>
      <c r="FS348" s="36"/>
      <c r="FT348" s="36"/>
      <c r="FU348" s="36"/>
      <c r="FV348" s="36"/>
      <c r="FW348" s="36"/>
      <c r="FX348" s="36"/>
      <c r="FY348" s="36"/>
      <c r="FZ348" s="36"/>
      <c r="GA348" s="36"/>
      <c r="GB348" s="36"/>
      <c r="GC348" s="36"/>
      <c r="GD348" s="36"/>
      <c r="GE348" s="37"/>
      <c r="GF348" s="44"/>
      <c r="GG348" s="36"/>
      <c r="GH348" s="36"/>
      <c r="GI348" s="36"/>
      <c r="GJ348" s="36"/>
      <c r="GK348" s="36"/>
      <c r="GL348" s="36"/>
      <c r="GM348" s="36"/>
      <c r="GN348" s="36"/>
      <c r="GO348" s="36"/>
      <c r="GP348" s="36"/>
      <c r="GQ348" s="36"/>
      <c r="GR348" s="36"/>
      <c r="GS348" s="36"/>
      <c r="GT348" s="36"/>
      <c r="GU348" s="36"/>
      <c r="GV348" s="37"/>
      <c r="GW348" s="44"/>
      <c r="GX348" s="36"/>
      <c r="GY348" s="36"/>
      <c r="GZ348" s="36"/>
      <c r="HA348" s="36"/>
      <c r="HB348" s="36"/>
      <c r="HC348" s="36"/>
      <c r="HD348" s="36"/>
      <c r="HE348" s="36"/>
      <c r="HF348" s="36"/>
      <c r="HG348" s="36"/>
      <c r="HH348" s="36"/>
      <c r="HI348" s="36"/>
      <c r="HJ348" s="36"/>
      <c r="HK348" s="36"/>
      <c r="HL348" s="36"/>
      <c r="HM348" s="37"/>
      <c r="HN348" s="44"/>
      <c r="HO348" s="36"/>
      <c r="HP348" s="36"/>
      <c r="HQ348" s="36"/>
      <c r="HR348" s="36"/>
      <c r="HS348" s="36"/>
      <c r="HT348" s="36"/>
      <c r="HU348" s="36"/>
      <c r="HV348" s="36"/>
      <c r="HW348" s="36"/>
      <c r="HX348" s="36"/>
      <c r="HY348" s="36"/>
      <c r="HZ348" s="36"/>
      <c r="IA348" s="36"/>
      <c r="IB348" s="36"/>
      <c r="IC348" s="36"/>
      <c r="ID348" s="37"/>
      <c r="IE348" s="44"/>
      <c r="IF348" s="36"/>
      <c r="IG348" s="36"/>
      <c r="IH348" s="36"/>
      <c r="II348" s="36"/>
      <c r="IJ348" s="36"/>
      <c r="IK348" s="36"/>
      <c r="IL348" s="36"/>
      <c r="IM348" s="36"/>
      <c r="IN348" s="36"/>
      <c r="IO348" s="36"/>
      <c r="IP348" s="36"/>
      <c r="IQ348" s="36"/>
      <c r="IR348" s="36"/>
      <c r="IS348" s="36"/>
      <c r="IT348" s="36"/>
      <c r="IU348" s="37"/>
      <c r="IV348" s="44"/>
      <c r="IW348" s="36"/>
      <c r="IX348" s="36"/>
      <c r="IY348" s="36"/>
      <c r="IZ348" s="36"/>
      <c r="JA348" s="36"/>
      <c r="JB348" s="36"/>
      <c r="JC348" s="36"/>
      <c r="JD348" s="36"/>
      <c r="JE348" s="36"/>
      <c r="JF348" s="36"/>
      <c r="JG348" s="36"/>
      <c r="JH348" s="36"/>
      <c r="JI348" s="36"/>
      <c r="JJ348" s="36"/>
      <c r="JK348" s="36"/>
      <c r="JL348" s="37"/>
      <c r="JM348" s="44"/>
      <c r="JN348" s="36"/>
      <c r="JO348" s="36"/>
      <c r="JP348" s="36"/>
      <c r="JQ348" s="36"/>
      <c r="JR348" s="36"/>
      <c r="JS348" s="36"/>
      <c r="JT348" s="36"/>
      <c r="JU348" s="36"/>
      <c r="JV348" s="36"/>
      <c r="JW348" s="36"/>
      <c r="JX348" s="36"/>
      <c r="JY348" s="36"/>
      <c r="JZ348" s="36"/>
      <c r="KA348" s="36"/>
      <c r="KB348" s="36"/>
      <c r="KC348" s="37"/>
      <c r="KD348" s="44"/>
      <c r="KE348" s="36"/>
      <c r="KF348" s="36"/>
      <c r="KG348" s="36"/>
      <c r="KH348" s="36"/>
      <c r="KI348" s="36"/>
      <c r="KJ348" s="36"/>
      <c r="KK348" s="36"/>
      <c r="KL348" s="36"/>
      <c r="KM348" s="36"/>
      <c r="KN348" s="36"/>
      <c r="KO348" s="36"/>
      <c r="KP348" s="36"/>
      <c r="KQ348" s="36"/>
      <c r="KR348" s="36"/>
      <c r="KS348" s="36"/>
      <c r="KT348" s="37"/>
      <c r="KU348" s="36"/>
    </row>
    <row r="349" ht="15.0" customHeight="1">
      <c r="A349" s="44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7"/>
      <c r="R349" s="44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7"/>
      <c r="AI349" s="44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36"/>
      <c r="AU349" s="36"/>
      <c r="AV349" s="36"/>
      <c r="AW349" s="36"/>
      <c r="AX349" s="36"/>
      <c r="AY349" s="37"/>
      <c r="AZ349" s="44"/>
      <c r="BA349" s="36"/>
      <c r="BB349" s="36"/>
      <c r="BC349" s="36"/>
      <c r="BD349" s="36"/>
      <c r="BE349" s="36"/>
      <c r="BF349" s="36"/>
      <c r="BG349" s="36"/>
      <c r="BH349" s="36"/>
      <c r="BI349" s="36"/>
      <c r="BJ349" s="36"/>
      <c r="BK349" s="36"/>
      <c r="BL349" s="36"/>
      <c r="BM349" s="36"/>
      <c r="BN349" s="36"/>
      <c r="BO349" s="36"/>
      <c r="BP349" s="37"/>
      <c r="BQ349" s="44"/>
      <c r="BR349" s="36"/>
      <c r="BS349" s="36"/>
      <c r="BT349" s="36"/>
      <c r="BU349" s="36"/>
      <c r="BV349" s="36"/>
      <c r="BW349" s="36"/>
      <c r="BX349" s="36"/>
      <c r="BY349" s="36"/>
      <c r="BZ349" s="36"/>
      <c r="CA349" s="36"/>
      <c r="CB349" s="36"/>
      <c r="CC349" s="36"/>
      <c r="CD349" s="36"/>
      <c r="CE349" s="36"/>
      <c r="CF349" s="36"/>
      <c r="CG349" s="37"/>
      <c r="CH349" s="44"/>
      <c r="CI349" s="36"/>
      <c r="CJ349" s="36"/>
      <c r="CK349" s="36"/>
      <c r="CL349" s="36"/>
      <c r="CM349" s="36"/>
      <c r="CN349" s="36"/>
      <c r="CO349" s="36"/>
      <c r="CP349" s="36"/>
      <c r="CQ349" s="36"/>
      <c r="CR349" s="36"/>
      <c r="CS349" s="36"/>
      <c r="CT349" s="36"/>
      <c r="CU349" s="36"/>
      <c r="CV349" s="36"/>
      <c r="CW349" s="36"/>
      <c r="CX349" s="37"/>
      <c r="CY349" s="44"/>
      <c r="CZ349" s="36"/>
      <c r="DA349" s="36"/>
      <c r="DB349" s="36"/>
      <c r="DC349" s="36"/>
      <c r="DD349" s="36"/>
      <c r="DE349" s="36"/>
      <c r="DF349" s="36"/>
      <c r="DG349" s="36"/>
      <c r="DH349" s="36"/>
      <c r="DI349" s="36"/>
      <c r="DJ349" s="36"/>
      <c r="DK349" s="36"/>
      <c r="DL349" s="36"/>
      <c r="DM349" s="36"/>
      <c r="DN349" s="36"/>
      <c r="DO349" s="37"/>
      <c r="DP349" s="44"/>
      <c r="DQ349" s="36"/>
      <c r="DR349" s="36"/>
      <c r="DS349" s="36"/>
      <c r="DT349" s="36"/>
      <c r="DU349" s="36"/>
      <c r="DV349" s="36"/>
      <c r="DW349" s="36"/>
      <c r="DX349" s="36"/>
      <c r="DY349" s="36"/>
      <c r="DZ349" s="36"/>
      <c r="EA349" s="36"/>
      <c r="EB349" s="36"/>
      <c r="EC349" s="36"/>
      <c r="ED349" s="36"/>
      <c r="EE349" s="36"/>
      <c r="EF349" s="37"/>
      <c r="EG349" s="44"/>
      <c r="EH349" s="36"/>
      <c r="EI349" s="36"/>
      <c r="EJ349" s="36"/>
      <c r="EK349" s="36"/>
      <c r="EL349" s="36"/>
      <c r="EM349" s="36"/>
      <c r="EN349" s="36"/>
      <c r="EO349" s="36"/>
      <c r="EP349" s="36"/>
      <c r="EQ349" s="36"/>
      <c r="ER349" s="36"/>
      <c r="ES349" s="36"/>
      <c r="ET349" s="36"/>
      <c r="EU349" s="36"/>
      <c r="EV349" s="36"/>
      <c r="EW349" s="37"/>
      <c r="EX349" s="44"/>
      <c r="EY349" s="36"/>
      <c r="EZ349" s="36"/>
      <c r="FA349" s="36"/>
      <c r="FB349" s="36"/>
      <c r="FC349" s="36"/>
      <c r="FD349" s="36"/>
      <c r="FE349" s="36"/>
      <c r="FF349" s="36"/>
      <c r="FG349" s="36"/>
      <c r="FH349" s="36"/>
      <c r="FI349" s="36"/>
      <c r="FJ349" s="36"/>
      <c r="FK349" s="36"/>
      <c r="FL349" s="36"/>
      <c r="FM349" s="36"/>
      <c r="FN349" s="37"/>
      <c r="FO349" s="44"/>
      <c r="FP349" s="36"/>
      <c r="FQ349" s="36"/>
      <c r="FR349" s="36"/>
      <c r="FS349" s="36"/>
      <c r="FT349" s="36"/>
      <c r="FU349" s="36"/>
      <c r="FV349" s="36"/>
      <c r="FW349" s="36"/>
      <c r="FX349" s="36"/>
      <c r="FY349" s="36"/>
      <c r="FZ349" s="36"/>
      <c r="GA349" s="36"/>
      <c r="GB349" s="36"/>
      <c r="GC349" s="36"/>
      <c r="GD349" s="36"/>
      <c r="GE349" s="37"/>
      <c r="GF349" s="44"/>
      <c r="GG349" s="36"/>
      <c r="GH349" s="36"/>
      <c r="GI349" s="36"/>
      <c r="GJ349" s="36"/>
      <c r="GK349" s="36"/>
      <c r="GL349" s="36"/>
      <c r="GM349" s="36"/>
      <c r="GN349" s="36"/>
      <c r="GO349" s="36"/>
      <c r="GP349" s="36"/>
      <c r="GQ349" s="36"/>
      <c r="GR349" s="36"/>
      <c r="GS349" s="36"/>
      <c r="GT349" s="36"/>
      <c r="GU349" s="36"/>
      <c r="GV349" s="37"/>
      <c r="GW349" s="44"/>
      <c r="GX349" s="36"/>
      <c r="GY349" s="36"/>
      <c r="GZ349" s="36"/>
      <c r="HA349" s="36"/>
      <c r="HB349" s="36"/>
      <c r="HC349" s="36"/>
      <c r="HD349" s="36"/>
      <c r="HE349" s="36"/>
      <c r="HF349" s="36"/>
      <c r="HG349" s="36"/>
      <c r="HH349" s="36"/>
      <c r="HI349" s="36"/>
      <c r="HJ349" s="36"/>
      <c r="HK349" s="36"/>
      <c r="HL349" s="36"/>
      <c r="HM349" s="37"/>
      <c r="HN349" s="44"/>
      <c r="HO349" s="36"/>
      <c r="HP349" s="36"/>
      <c r="HQ349" s="36"/>
      <c r="HR349" s="36"/>
      <c r="HS349" s="36"/>
      <c r="HT349" s="36"/>
      <c r="HU349" s="36"/>
      <c r="HV349" s="36"/>
      <c r="HW349" s="36"/>
      <c r="HX349" s="36"/>
      <c r="HY349" s="36"/>
      <c r="HZ349" s="36"/>
      <c r="IA349" s="36"/>
      <c r="IB349" s="36"/>
      <c r="IC349" s="36"/>
      <c r="ID349" s="37"/>
      <c r="IE349" s="44"/>
      <c r="IF349" s="36"/>
      <c r="IG349" s="36"/>
      <c r="IH349" s="36"/>
      <c r="II349" s="36"/>
      <c r="IJ349" s="36"/>
      <c r="IK349" s="36"/>
      <c r="IL349" s="36"/>
      <c r="IM349" s="36"/>
      <c r="IN349" s="36"/>
      <c r="IO349" s="36"/>
      <c r="IP349" s="36"/>
      <c r="IQ349" s="36"/>
      <c r="IR349" s="36"/>
      <c r="IS349" s="36"/>
      <c r="IT349" s="36"/>
      <c r="IU349" s="37"/>
      <c r="IV349" s="44"/>
      <c r="IW349" s="36"/>
      <c r="IX349" s="36"/>
      <c r="IY349" s="36"/>
      <c r="IZ349" s="36"/>
      <c r="JA349" s="36"/>
      <c r="JB349" s="36"/>
      <c r="JC349" s="36"/>
      <c r="JD349" s="36"/>
      <c r="JE349" s="36"/>
      <c r="JF349" s="36"/>
      <c r="JG349" s="36"/>
      <c r="JH349" s="36"/>
      <c r="JI349" s="36"/>
      <c r="JJ349" s="36"/>
      <c r="JK349" s="36"/>
      <c r="JL349" s="37"/>
      <c r="JM349" s="44"/>
      <c r="JN349" s="36"/>
      <c r="JO349" s="36"/>
      <c r="JP349" s="36"/>
      <c r="JQ349" s="36"/>
      <c r="JR349" s="36"/>
      <c r="JS349" s="36"/>
      <c r="JT349" s="36"/>
      <c r="JU349" s="36"/>
      <c r="JV349" s="36"/>
      <c r="JW349" s="36"/>
      <c r="JX349" s="36"/>
      <c r="JY349" s="36"/>
      <c r="JZ349" s="36"/>
      <c r="KA349" s="36"/>
      <c r="KB349" s="36"/>
      <c r="KC349" s="37"/>
      <c r="KD349" s="44"/>
      <c r="KE349" s="36"/>
      <c r="KF349" s="36"/>
      <c r="KG349" s="36"/>
      <c r="KH349" s="36"/>
      <c r="KI349" s="36"/>
      <c r="KJ349" s="36"/>
      <c r="KK349" s="36"/>
      <c r="KL349" s="36"/>
      <c r="KM349" s="36"/>
      <c r="KN349" s="36"/>
      <c r="KO349" s="36"/>
      <c r="KP349" s="36"/>
      <c r="KQ349" s="36"/>
      <c r="KR349" s="36"/>
      <c r="KS349" s="36"/>
      <c r="KT349" s="37"/>
      <c r="KU349" s="36"/>
    </row>
    <row r="350" ht="15.0" customHeight="1">
      <c r="A350" s="44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7"/>
      <c r="R350" s="44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7"/>
      <c r="AI350" s="44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  <c r="AU350" s="36"/>
      <c r="AV350" s="36"/>
      <c r="AW350" s="36"/>
      <c r="AX350" s="36"/>
      <c r="AY350" s="37"/>
      <c r="AZ350" s="44"/>
      <c r="BA350" s="36"/>
      <c r="BB350" s="36"/>
      <c r="BC350" s="36"/>
      <c r="BD350" s="36"/>
      <c r="BE350" s="36"/>
      <c r="BF350" s="36"/>
      <c r="BG350" s="36"/>
      <c r="BH350" s="36"/>
      <c r="BI350" s="36"/>
      <c r="BJ350" s="36"/>
      <c r="BK350" s="36"/>
      <c r="BL350" s="36"/>
      <c r="BM350" s="36"/>
      <c r="BN350" s="36"/>
      <c r="BO350" s="36"/>
      <c r="BP350" s="37"/>
      <c r="BQ350" s="44"/>
      <c r="BR350" s="36"/>
      <c r="BS350" s="36"/>
      <c r="BT350" s="36"/>
      <c r="BU350" s="36"/>
      <c r="BV350" s="36"/>
      <c r="BW350" s="36"/>
      <c r="BX350" s="36"/>
      <c r="BY350" s="36"/>
      <c r="BZ350" s="36"/>
      <c r="CA350" s="36"/>
      <c r="CB350" s="36"/>
      <c r="CC350" s="36"/>
      <c r="CD350" s="36"/>
      <c r="CE350" s="36"/>
      <c r="CF350" s="36"/>
      <c r="CG350" s="37"/>
      <c r="CH350" s="44"/>
      <c r="CI350" s="36"/>
      <c r="CJ350" s="36"/>
      <c r="CK350" s="36"/>
      <c r="CL350" s="36"/>
      <c r="CM350" s="36"/>
      <c r="CN350" s="36"/>
      <c r="CO350" s="36"/>
      <c r="CP350" s="36"/>
      <c r="CQ350" s="36"/>
      <c r="CR350" s="36"/>
      <c r="CS350" s="36"/>
      <c r="CT350" s="36"/>
      <c r="CU350" s="36"/>
      <c r="CV350" s="36"/>
      <c r="CW350" s="36"/>
      <c r="CX350" s="37"/>
      <c r="CY350" s="44"/>
      <c r="CZ350" s="36"/>
      <c r="DA350" s="36"/>
      <c r="DB350" s="36"/>
      <c r="DC350" s="36"/>
      <c r="DD350" s="36"/>
      <c r="DE350" s="36"/>
      <c r="DF350" s="36"/>
      <c r="DG350" s="36"/>
      <c r="DH350" s="36"/>
      <c r="DI350" s="36"/>
      <c r="DJ350" s="36"/>
      <c r="DK350" s="36"/>
      <c r="DL350" s="36"/>
      <c r="DM350" s="36"/>
      <c r="DN350" s="36"/>
      <c r="DO350" s="37"/>
      <c r="DP350" s="44"/>
      <c r="DQ350" s="36"/>
      <c r="DR350" s="36"/>
      <c r="DS350" s="36"/>
      <c r="DT350" s="36"/>
      <c r="DU350" s="36"/>
      <c r="DV350" s="36"/>
      <c r="DW350" s="36"/>
      <c r="DX350" s="36"/>
      <c r="DY350" s="36"/>
      <c r="DZ350" s="36"/>
      <c r="EA350" s="36"/>
      <c r="EB350" s="36"/>
      <c r="EC350" s="36"/>
      <c r="ED350" s="36"/>
      <c r="EE350" s="36"/>
      <c r="EF350" s="37"/>
      <c r="EG350" s="44"/>
      <c r="EH350" s="36"/>
      <c r="EI350" s="36"/>
      <c r="EJ350" s="36"/>
      <c r="EK350" s="36"/>
      <c r="EL350" s="36"/>
      <c r="EM350" s="36"/>
      <c r="EN350" s="36"/>
      <c r="EO350" s="36"/>
      <c r="EP350" s="36"/>
      <c r="EQ350" s="36"/>
      <c r="ER350" s="36"/>
      <c r="ES350" s="36"/>
      <c r="ET350" s="36"/>
      <c r="EU350" s="36"/>
      <c r="EV350" s="36"/>
      <c r="EW350" s="37"/>
      <c r="EX350" s="44"/>
      <c r="EY350" s="36"/>
      <c r="EZ350" s="36"/>
      <c r="FA350" s="36"/>
      <c r="FB350" s="36"/>
      <c r="FC350" s="36"/>
      <c r="FD350" s="36"/>
      <c r="FE350" s="36"/>
      <c r="FF350" s="36"/>
      <c r="FG350" s="36"/>
      <c r="FH350" s="36"/>
      <c r="FI350" s="36"/>
      <c r="FJ350" s="36"/>
      <c r="FK350" s="36"/>
      <c r="FL350" s="36"/>
      <c r="FM350" s="36"/>
      <c r="FN350" s="37"/>
      <c r="FO350" s="44"/>
      <c r="FP350" s="36"/>
      <c r="FQ350" s="36"/>
      <c r="FR350" s="36"/>
      <c r="FS350" s="36"/>
      <c r="FT350" s="36"/>
      <c r="FU350" s="36"/>
      <c r="FV350" s="36"/>
      <c r="FW350" s="36"/>
      <c r="FX350" s="36"/>
      <c r="FY350" s="36"/>
      <c r="FZ350" s="36"/>
      <c r="GA350" s="36"/>
      <c r="GB350" s="36"/>
      <c r="GC350" s="36"/>
      <c r="GD350" s="36"/>
      <c r="GE350" s="37"/>
      <c r="GF350" s="44"/>
      <c r="GG350" s="36"/>
      <c r="GH350" s="36"/>
      <c r="GI350" s="36"/>
      <c r="GJ350" s="36"/>
      <c r="GK350" s="36"/>
      <c r="GL350" s="36"/>
      <c r="GM350" s="36"/>
      <c r="GN350" s="36"/>
      <c r="GO350" s="36"/>
      <c r="GP350" s="36"/>
      <c r="GQ350" s="36"/>
      <c r="GR350" s="36"/>
      <c r="GS350" s="36"/>
      <c r="GT350" s="36"/>
      <c r="GU350" s="36"/>
      <c r="GV350" s="37"/>
      <c r="GW350" s="44"/>
      <c r="GX350" s="36"/>
      <c r="GY350" s="36"/>
      <c r="GZ350" s="36"/>
      <c r="HA350" s="36"/>
      <c r="HB350" s="36"/>
      <c r="HC350" s="36"/>
      <c r="HD350" s="36"/>
      <c r="HE350" s="36"/>
      <c r="HF350" s="36"/>
      <c r="HG350" s="36"/>
      <c r="HH350" s="36"/>
      <c r="HI350" s="36"/>
      <c r="HJ350" s="36"/>
      <c r="HK350" s="36"/>
      <c r="HL350" s="36"/>
      <c r="HM350" s="37"/>
      <c r="HN350" s="44"/>
      <c r="HO350" s="36"/>
      <c r="HP350" s="36"/>
      <c r="HQ350" s="36"/>
      <c r="HR350" s="36"/>
      <c r="HS350" s="36"/>
      <c r="HT350" s="36"/>
      <c r="HU350" s="36"/>
      <c r="HV350" s="36"/>
      <c r="HW350" s="36"/>
      <c r="HX350" s="36"/>
      <c r="HY350" s="36"/>
      <c r="HZ350" s="36"/>
      <c r="IA350" s="36"/>
      <c r="IB350" s="36"/>
      <c r="IC350" s="36"/>
      <c r="ID350" s="37"/>
      <c r="IE350" s="44"/>
      <c r="IF350" s="36"/>
      <c r="IG350" s="36"/>
      <c r="IH350" s="36"/>
      <c r="II350" s="36"/>
      <c r="IJ350" s="36"/>
      <c r="IK350" s="36"/>
      <c r="IL350" s="36"/>
      <c r="IM350" s="36"/>
      <c r="IN350" s="36"/>
      <c r="IO350" s="36"/>
      <c r="IP350" s="36"/>
      <c r="IQ350" s="36"/>
      <c r="IR350" s="36"/>
      <c r="IS350" s="36"/>
      <c r="IT350" s="36"/>
      <c r="IU350" s="37"/>
      <c r="IV350" s="44"/>
      <c r="IW350" s="36"/>
      <c r="IX350" s="36"/>
      <c r="IY350" s="36"/>
      <c r="IZ350" s="36"/>
      <c r="JA350" s="36"/>
      <c r="JB350" s="36"/>
      <c r="JC350" s="36"/>
      <c r="JD350" s="36"/>
      <c r="JE350" s="36"/>
      <c r="JF350" s="36"/>
      <c r="JG350" s="36"/>
      <c r="JH350" s="36"/>
      <c r="JI350" s="36"/>
      <c r="JJ350" s="36"/>
      <c r="JK350" s="36"/>
      <c r="JL350" s="37"/>
      <c r="JM350" s="44"/>
      <c r="JN350" s="36"/>
      <c r="JO350" s="36"/>
      <c r="JP350" s="36"/>
      <c r="JQ350" s="36"/>
      <c r="JR350" s="36"/>
      <c r="JS350" s="36"/>
      <c r="JT350" s="36"/>
      <c r="JU350" s="36"/>
      <c r="JV350" s="36"/>
      <c r="JW350" s="36"/>
      <c r="JX350" s="36"/>
      <c r="JY350" s="36"/>
      <c r="JZ350" s="36"/>
      <c r="KA350" s="36"/>
      <c r="KB350" s="36"/>
      <c r="KC350" s="37"/>
      <c r="KD350" s="44"/>
      <c r="KE350" s="36"/>
      <c r="KF350" s="36"/>
      <c r="KG350" s="36"/>
      <c r="KH350" s="36"/>
      <c r="KI350" s="36"/>
      <c r="KJ350" s="36"/>
      <c r="KK350" s="36"/>
      <c r="KL350" s="36"/>
      <c r="KM350" s="36"/>
      <c r="KN350" s="36"/>
      <c r="KO350" s="36"/>
      <c r="KP350" s="36"/>
      <c r="KQ350" s="36"/>
      <c r="KR350" s="36"/>
      <c r="KS350" s="36"/>
      <c r="KT350" s="37"/>
      <c r="KU350" s="36"/>
    </row>
    <row r="351" ht="15.0" customHeight="1">
      <c r="A351" s="44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7"/>
      <c r="R351" s="44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7"/>
      <c r="AI351" s="44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  <c r="AU351" s="36"/>
      <c r="AV351" s="36"/>
      <c r="AW351" s="36"/>
      <c r="AX351" s="36"/>
      <c r="AY351" s="37"/>
      <c r="AZ351" s="44"/>
      <c r="BA351" s="36"/>
      <c r="BB351" s="36"/>
      <c r="BC351" s="36"/>
      <c r="BD351" s="36"/>
      <c r="BE351" s="36"/>
      <c r="BF351" s="36"/>
      <c r="BG351" s="36"/>
      <c r="BH351" s="36"/>
      <c r="BI351" s="36"/>
      <c r="BJ351" s="36"/>
      <c r="BK351" s="36"/>
      <c r="BL351" s="36"/>
      <c r="BM351" s="36"/>
      <c r="BN351" s="36"/>
      <c r="BO351" s="36"/>
      <c r="BP351" s="37"/>
      <c r="BQ351" s="44"/>
      <c r="BR351" s="36"/>
      <c r="BS351" s="36"/>
      <c r="BT351" s="36"/>
      <c r="BU351" s="36"/>
      <c r="BV351" s="36"/>
      <c r="BW351" s="36"/>
      <c r="BX351" s="36"/>
      <c r="BY351" s="36"/>
      <c r="BZ351" s="36"/>
      <c r="CA351" s="36"/>
      <c r="CB351" s="36"/>
      <c r="CC351" s="36"/>
      <c r="CD351" s="36"/>
      <c r="CE351" s="36"/>
      <c r="CF351" s="36"/>
      <c r="CG351" s="37"/>
      <c r="CH351" s="44"/>
      <c r="CI351" s="36"/>
      <c r="CJ351" s="36"/>
      <c r="CK351" s="36"/>
      <c r="CL351" s="36"/>
      <c r="CM351" s="36"/>
      <c r="CN351" s="36"/>
      <c r="CO351" s="36"/>
      <c r="CP351" s="36"/>
      <c r="CQ351" s="36"/>
      <c r="CR351" s="36"/>
      <c r="CS351" s="36"/>
      <c r="CT351" s="36"/>
      <c r="CU351" s="36"/>
      <c r="CV351" s="36"/>
      <c r="CW351" s="36"/>
      <c r="CX351" s="37"/>
      <c r="CY351" s="44"/>
      <c r="CZ351" s="36"/>
      <c r="DA351" s="36"/>
      <c r="DB351" s="36"/>
      <c r="DC351" s="36"/>
      <c r="DD351" s="36"/>
      <c r="DE351" s="36"/>
      <c r="DF351" s="36"/>
      <c r="DG351" s="36"/>
      <c r="DH351" s="36"/>
      <c r="DI351" s="36"/>
      <c r="DJ351" s="36"/>
      <c r="DK351" s="36"/>
      <c r="DL351" s="36"/>
      <c r="DM351" s="36"/>
      <c r="DN351" s="36"/>
      <c r="DO351" s="37"/>
      <c r="DP351" s="44"/>
      <c r="DQ351" s="36"/>
      <c r="DR351" s="36"/>
      <c r="DS351" s="36"/>
      <c r="DT351" s="36"/>
      <c r="DU351" s="36"/>
      <c r="DV351" s="36"/>
      <c r="DW351" s="36"/>
      <c r="DX351" s="36"/>
      <c r="DY351" s="36"/>
      <c r="DZ351" s="36"/>
      <c r="EA351" s="36"/>
      <c r="EB351" s="36"/>
      <c r="EC351" s="36"/>
      <c r="ED351" s="36"/>
      <c r="EE351" s="36"/>
      <c r="EF351" s="37"/>
      <c r="EG351" s="44"/>
      <c r="EH351" s="36"/>
      <c r="EI351" s="36"/>
      <c r="EJ351" s="36"/>
      <c r="EK351" s="36"/>
      <c r="EL351" s="36"/>
      <c r="EM351" s="36"/>
      <c r="EN351" s="36"/>
      <c r="EO351" s="36"/>
      <c r="EP351" s="36"/>
      <c r="EQ351" s="36"/>
      <c r="ER351" s="36"/>
      <c r="ES351" s="36"/>
      <c r="ET351" s="36"/>
      <c r="EU351" s="36"/>
      <c r="EV351" s="36"/>
      <c r="EW351" s="37"/>
      <c r="EX351" s="44"/>
      <c r="EY351" s="36"/>
      <c r="EZ351" s="36"/>
      <c r="FA351" s="36"/>
      <c r="FB351" s="36"/>
      <c r="FC351" s="36"/>
      <c r="FD351" s="36"/>
      <c r="FE351" s="36"/>
      <c r="FF351" s="36"/>
      <c r="FG351" s="36"/>
      <c r="FH351" s="36"/>
      <c r="FI351" s="36"/>
      <c r="FJ351" s="36"/>
      <c r="FK351" s="36"/>
      <c r="FL351" s="36"/>
      <c r="FM351" s="36"/>
      <c r="FN351" s="37"/>
      <c r="FO351" s="44"/>
      <c r="FP351" s="36"/>
      <c r="FQ351" s="36"/>
      <c r="FR351" s="36"/>
      <c r="FS351" s="36"/>
      <c r="FT351" s="36"/>
      <c r="FU351" s="36"/>
      <c r="FV351" s="36"/>
      <c r="FW351" s="36"/>
      <c r="FX351" s="36"/>
      <c r="FY351" s="36"/>
      <c r="FZ351" s="36"/>
      <c r="GA351" s="36"/>
      <c r="GB351" s="36"/>
      <c r="GC351" s="36"/>
      <c r="GD351" s="36"/>
      <c r="GE351" s="37"/>
      <c r="GF351" s="44"/>
      <c r="GG351" s="36"/>
      <c r="GH351" s="36"/>
      <c r="GI351" s="36"/>
      <c r="GJ351" s="36"/>
      <c r="GK351" s="36"/>
      <c r="GL351" s="36"/>
      <c r="GM351" s="36"/>
      <c r="GN351" s="36"/>
      <c r="GO351" s="36"/>
      <c r="GP351" s="36"/>
      <c r="GQ351" s="36"/>
      <c r="GR351" s="36"/>
      <c r="GS351" s="36"/>
      <c r="GT351" s="36"/>
      <c r="GU351" s="36"/>
      <c r="GV351" s="37"/>
      <c r="GW351" s="44"/>
      <c r="GX351" s="36"/>
      <c r="GY351" s="36"/>
      <c r="GZ351" s="36"/>
      <c r="HA351" s="36"/>
      <c r="HB351" s="36"/>
      <c r="HC351" s="36"/>
      <c r="HD351" s="36"/>
      <c r="HE351" s="36"/>
      <c r="HF351" s="36"/>
      <c r="HG351" s="36"/>
      <c r="HH351" s="36"/>
      <c r="HI351" s="36"/>
      <c r="HJ351" s="36"/>
      <c r="HK351" s="36"/>
      <c r="HL351" s="36"/>
      <c r="HM351" s="37"/>
      <c r="HN351" s="44"/>
      <c r="HO351" s="36"/>
      <c r="HP351" s="36"/>
      <c r="HQ351" s="36"/>
      <c r="HR351" s="36"/>
      <c r="HS351" s="36"/>
      <c r="HT351" s="36"/>
      <c r="HU351" s="36"/>
      <c r="HV351" s="36"/>
      <c r="HW351" s="36"/>
      <c r="HX351" s="36"/>
      <c r="HY351" s="36"/>
      <c r="HZ351" s="36"/>
      <c r="IA351" s="36"/>
      <c r="IB351" s="36"/>
      <c r="IC351" s="36"/>
      <c r="ID351" s="37"/>
      <c r="IE351" s="44"/>
      <c r="IF351" s="36"/>
      <c r="IG351" s="36"/>
      <c r="IH351" s="36"/>
      <c r="II351" s="36"/>
      <c r="IJ351" s="36"/>
      <c r="IK351" s="36"/>
      <c r="IL351" s="36"/>
      <c r="IM351" s="36"/>
      <c r="IN351" s="36"/>
      <c r="IO351" s="36"/>
      <c r="IP351" s="36"/>
      <c r="IQ351" s="36"/>
      <c r="IR351" s="36"/>
      <c r="IS351" s="36"/>
      <c r="IT351" s="36"/>
      <c r="IU351" s="37"/>
      <c r="IV351" s="44"/>
      <c r="IW351" s="36"/>
      <c r="IX351" s="36"/>
      <c r="IY351" s="36"/>
      <c r="IZ351" s="36"/>
      <c r="JA351" s="36"/>
      <c r="JB351" s="36"/>
      <c r="JC351" s="36"/>
      <c r="JD351" s="36"/>
      <c r="JE351" s="36"/>
      <c r="JF351" s="36"/>
      <c r="JG351" s="36"/>
      <c r="JH351" s="36"/>
      <c r="JI351" s="36"/>
      <c r="JJ351" s="36"/>
      <c r="JK351" s="36"/>
      <c r="JL351" s="37"/>
      <c r="JM351" s="44"/>
      <c r="JN351" s="36"/>
      <c r="JO351" s="36"/>
      <c r="JP351" s="36"/>
      <c r="JQ351" s="36"/>
      <c r="JR351" s="36"/>
      <c r="JS351" s="36"/>
      <c r="JT351" s="36"/>
      <c r="JU351" s="36"/>
      <c r="JV351" s="36"/>
      <c r="JW351" s="36"/>
      <c r="JX351" s="36"/>
      <c r="JY351" s="36"/>
      <c r="JZ351" s="36"/>
      <c r="KA351" s="36"/>
      <c r="KB351" s="36"/>
      <c r="KC351" s="37"/>
      <c r="KD351" s="44"/>
      <c r="KE351" s="36"/>
      <c r="KF351" s="36"/>
      <c r="KG351" s="36"/>
      <c r="KH351" s="36"/>
      <c r="KI351" s="36"/>
      <c r="KJ351" s="36"/>
      <c r="KK351" s="36"/>
      <c r="KL351" s="36"/>
      <c r="KM351" s="36"/>
      <c r="KN351" s="36"/>
      <c r="KO351" s="36"/>
      <c r="KP351" s="36"/>
      <c r="KQ351" s="36"/>
      <c r="KR351" s="36"/>
      <c r="KS351" s="36"/>
      <c r="KT351" s="37"/>
      <c r="KU351" s="36"/>
    </row>
    <row r="352" ht="15.0" customHeight="1">
      <c r="A352" s="44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7"/>
      <c r="R352" s="44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7"/>
      <c r="AI352" s="44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  <c r="AU352" s="36"/>
      <c r="AV352" s="36"/>
      <c r="AW352" s="36"/>
      <c r="AX352" s="36"/>
      <c r="AY352" s="37"/>
      <c r="AZ352" s="44"/>
      <c r="BA352" s="36"/>
      <c r="BB352" s="36"/>
      <c r="BC352" s="36"/>
      <c r="BD352" s="36"/>
      <c r="BE352" s="36"/>
      <c r="BF352" s="36"/>
      <c r="BG352" s="36"/>
      <c r="BH352" s="36"/>
      <c r="BI352" s="36"/>
      <c r="BJ352" s="36"/>
      <c r="BK352" s="36"/>
      <c r="BL352" s="36"/>
      <c r="BM352" s="36"/>
      <c r="BN352" s="36"/>
      <c r="BO352" s="36"/>
      <c r="BP352" s="37"/>
      <c r="BQ352" s="44"/>
      <c r="BR352" s="36"/>
      <c r="BS352" s="36"/>
      <c r="BT352" s="36"/>
      <c r="BU352" s="36"/>
      <c r="BV352" s="36"/>
      <c r="BW352" s="36"/>
      <c r="BX352" s="36"/>
      <c r="BY352" s="36"/>
      <c r="BZ352" s="36"/>
      <c r="CA352" s="36"/>
      <c r="CB352" s="36"/>
      <c r="CC352" s="36"/>
      <c r="CD352" s="36"/>
      <c r="CE352" s="36"/>
      <c r="CF352" s="36"/>
      <c r="CG352" s="37"/>
      <c r="CH352" s="44"/>
      <c r="CI352" s="36"/>
      <c r="CJ352" s="36"/>
      <c r="CK352" s="36"/>
      <c r="CL352" s="36"/>
      <c r="CM352" s="36"/>
      <c r="CN352" s="36"/>
      <c r="CO352" s="36"/>
      <c r="CP352" s="36"/>
      <c r="CQ352" s="36"/>
      <c r="CR352" s="36"/>
      <c r="CS352" s="36"/>
      <c r="CT352" s="36"/>
      <c r="CU352" s="36"/>
      <c r="CV352" s="36"/>
      <c r="CW352" s="36"/>
      <c r="CX352" s="37"/>
      <c r="CY352" s="44"/>
      <c r="CZ352" s="36"/>
      <c r="DA352" s="36"/>
      <c r="DB352" s="36"/>
      <c r="DC352" s="36"/>
      <c r="DD352" s="36"/>
      <c r="DE352" s="36"/>
      <c r="DF352" s="36"/>
      <c r="DG352" s="36"/>
      <c r="DH352" s="36"/>
      <c r="DI352" s="36"/>
      <c r="DJ352" s="36"/>
      <c r="DK352" s="36"/>
      <c r="DL352" s="36"/>
      <c r="DM352" s="36"/>
      <c r="DN352" s="36"/>
      <c r="DO352" s="37"/>
      <c r="DP352" s="44"/>
      <c r="DQ352" s="36"/>
      <c r="DR352" s="36"/>
      <c r="DS352" s="36"/>
      <c r="DT352" s="36"/>
      <c r="DU352" s="36"/>
      <c r="DV352" s="36"/>
      <c r="DW352" s="36"/>
      <c r="DX352" s="36"/>
      <c r="DY352" s="36"/>
      <c r="DZ352" s="36"/>
      <c r="EA352" s="36"/>
      <c r="EB352" s="36"/>
      <c r="EC352" s="36"/>
      <c r="ED352" s="36"/>
      <c r="EE352" s="36"/>
      <c r="EF352" s="37"/>
      <c r="EG352" s="44"/>
      <c r="EH352" s="36"/>
      <c r="EI352" s="36"/>
      <c r="EJ352" s="36"/>
      <c r="EK352" s="36"/>
      <c r="EL352" s="36"/>
      <c r="EM352" s="36"/>
      <c r="EN352" s="36"/>
      <c r="EO352" s="36"/>
      <c r="EP352" s="36"/>
      <c r="EQ352" s="36"/>
      <c r="ER352" s="36"/>
      <c r="ES352" s="36"/>
      <c r="ET352" s="36"/>
      <c r="EU352" s="36"/>
      <c r="EV352" s="36"/>
      <c r="EW352" s="37"/>
      <c r="EX352" s="44"/>
      <c r="EY352" s="36"/>
      <c r="EZ352" s="36"/>
      <c r="FA352" s="36"/>
      <c r="FB352" s="36"/>
      <c r="FC352" s="36"/>
      <c r="FD352" s="36"/>
      <c r="FE352" s="36"/>
      <c r="FF352" s="36"/>
      <c r="FG352" s="36"/>
      <c r="FH352" s="36"/>
      <c r="FI352" s="36"/>
      <c r="FJ352" s="36"/>
      <c r="FK352" s="36"/>
      <c r="FL352" s="36"/>
      <c r="FM352" s="36"/>
      <c r="FN352" s="37"/>
      <c r="FO352" s="44"/>
      <c r="FP352" s="36"/>
      <c r="FQ352" s="36"/>
      <c r="FR352" s="36"/>
      <c r="FS352" s="36"/>
      <c r="FT352" s="36"/>
      <c r="FU352" s="36"/>
      <c r="FV352" s="36"/>
      <c r="FW352" s="36"/>
      <c r="FX352" s="36"/>
      <c r="FY352" s="36"/>
      <c r="FZ352" s="36"/>
      <c r="GA352" s="36"/>
      <c r="GB352" s="36"/>
      <c r="GC352" s="36"/>
      <c r="GD352" s="36"/>
      <c r="GE352" s="37"/>
      <c r="GF352" s="44"/>
      <c r="GG352" s="36"/>
      <c r="GH352" s="36"/>
      <c r="GI352" s="36"/>
      <c r="GJ352" s="36"/>
      <c r="GK352" s="36"/>
      <c r="GL352" s="36"/>
      <c r="GM352" s="36"/>
      <c r="GN352" s="36"/>
      <c r="GO352" s="36"/>
      <c r="GP352" s="36"/>
      <c r="GQ352" s="36"/>
      <c r="GR352" s="36"/>
      <c r="GS352" s="36"/>
      <c r="GT352" s="36"/>
      <c r="GU352" s="36"/>
      <c r="GV352" s="37"/>
      <c r="GW352" s="44"/>
      <c r="GX352" s="36"/>
      <c r="GY352" s="36"/>
      <c r="GZ352" s="36"/>
      <c r="HA352" s="36"/>
      <c r="HB352" s="36"/>
      <c r="HC352" s="36"/>
      <c r="HD352" s="36"/>
      <c r="HE352" s="36"/>
      <c r="HF352" s="36"/>
      <c r="HG352" s="36"/>
      <c r="HH352" s="36"/>
      <c r="HI352" s="36"/>
      <c r="HJ352" s="36"/>
      <c r="HK352" s="36"/>
      <c r="HL352" s="36"/>
      <c r="HM352" s="37"/>
      <c r="HN352" s="44"/>
      <c r="HO352" s="36"/>
      <c r="HP352" s="36"/>
      <c r="HQ352" s="36"/>
      <c r="HR352" s="36"/>
      <c r="HS352" s="36"/>
      <c r="HT352" s="36"/>
      <c r="HU352" s="36"/>
      <c r="HV352" s="36"/>
      <c r="HW352" s="36"/>
      <c r="HX352" s="36"/>
      <c r="HY352" s="36"/>
      <c r="HZ352" s="36"/>
      <c r="IA352" s="36"/>
      <c r="IB352" s="36"/>
      <c r="IC352" s="36"/>
      <c r="ID352" s="37"/>
      <c r="IE352" s="44"/>
      <c r="IF352" s="36"/>
      <c r="IG352" s="36"/>
      <c r="IH352" s="36"/>
      <c r="II352" s="36"/>
      <c r="IJ352" s="36"/>
      <c r="IK352" s="36"/>
      <c r="IL352" s="36"/>
      <c r="IM352" s="36"/>
      <c r="IN352" s="36"/>
      <c r="IO352" s="36"/>
      <c r="IP352" s="36"/>
      <c r="IQ352" s="36"/>
      <c r="IR352" s="36"/>
      <c r="IS352" s="36"/>
      <c r="IT352" s="36"/>
      <c r="IU352" s="37"/>
      <c r="IV352" s="44"/>
      <c r="IW352" s="36"/>
      <c r="IX352" s="36"/>
      <c r="IY352" s="36"/>
      <c r="IZ352" s="36"/>
      <c r="JA352" s="36"/>
      <c r="JB352" s="36"/>
      <c r="JC352" s="36"/>
      <c r="JD352" s="36"/>
      <c r="JE352" s="36"/>
      <c r="JF352" s="36"/>
      <c r="JG352" s="36"/>
      <c r="JH352" s="36"/>
      <c r="JI352" s="36"/>
      <c r="JJ352" s="36"/>
      <c r="JK352" s="36"/>
      <c r="JL352" s="37"/>
      <c r="JM352" s="44"/>
      <c r="JN352" s="36"/>
      <c r="JO352" s="36"/>
      <c r="JP352" s="36"/>
      <c r="JQ352" s="36"/>
      <c r="JR352" s="36"/>
      <c r="JS352" s="36"/>
      <c r="JT352" s="36"/>
      <c r="JU352" s="36"/>
      <c r="JV352" s="36"/>
      <c r="JW352" s="36"/>
      <c r="JX352" s="36"/>
      <c r="JY352" s="36"/>
      <c r="JZ352" s="36"/>
      <c r="KA352" s="36"/>
      <c r="KB352" s="36"/>
      <c r="KC352" s="37"/>
      <c r="KD352" s="44"/>
      <c r="KE352" s="36"/>
      <c r="KF352" s="36"/>
      <c r="KG352" s="36"/>
      <c r="KH352" s="36"/>
      <c r="KI352" s="36"/>
      <c r="KJ352" s="36"/>
      <c r="KK352" s="36"/>
      <c r="KL352" s="36"/>
      <c r="KM352" s="36"/>
      <c r="KN352" s="36"/>
      <c r="KO352" s="36"/>
      <c r="KP352" s="36"/>
      <c r="KQ352" s="36"/>
      <c r="KR352" s="36"/>
      <c r="KS352" s="36"/>
      <c r="KT352" s="37"/>
      <c r="KU352" s="36"/>
    </row>
    <row r="353" ht="15.0" customHeight="1">
      <c r="A353" s="44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7"/>
      <c r="R353" s="44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7"/>
      <c r="AI353" s="44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36"/>
      <c r="AU353" s="36"/>
      <c r="AV353" s="36"/>
      <c r="AW353" s="36"/>
      <c r="AX353" s="36"/>
      <c r="AY353" s="37"/>
      <c r="AZ353" s="44"/>
      <c r="BA353" s="36"/>
      <c r="BB353" s="36"/>
      <c r="BC353" s="36"/>
      <c r="BD353" s="36"/>
      <c r="BE353" s="36"/>
      <c r="BF353" s="36"/>
      <c r="BG353" s="36"/>
      <c r="BH353" s="36"/>
      <c r="BI353" s="36"/>
      <c r="BJ353" s="36"/>
      <c r="BK353" s="36"/>
      <c r="BL353" s="36"/>
      <c r="BM353" s="36"/>
      <c r="BN353" s="36"/>
      <c r="BO353" s="36"/>
      <c r="BP353" s="37"/>
      <c r="BQ353" s="44"/>
      <c r="BR353" s="36"/>
      <c r="BS353" s="36"/>
      <c r="BT353" s="36"/>
      <c r="BU353" s="36"/>
      <c r="BV353" s="36"/>
      <c r="BW353" s="36"/>
      <c r="BX353" s="36"/>
      <c r="BY353" s="36"/>
      <c r="BZ353" s="36"/>
      <c r="CA353" s="36"/>
      <c r="CB353" s="36"/>
      <c r="CC353" s="36"/>
      <c r="CD353" s="36"/>
      <c r="CE353" s="36"/>
      <c r="CF353" s="36"/>
      <c r="CG353" s="37"/>
      <c r="CH353" s="44"/>
      <c r="CI353" s="36"/>
      <c r="CJ353" s="36"/>
      <c r="CK353" s="36"/>
      <c r="CL353" s="36"/>
      <c r="CM353" s="36"/>
      <c r="CN353" s="36"/>
      <c r="CO353" s="36"/>
      <c r="CP353" s="36"/>
      <c r="CQ353" s="36"/>
      <c r="CR353" s="36"/>
      <c r="CS353" s="36"/>
      <c r="CT353" s="36"/>
      <c r="CU353" s="36"/>
      <c r="CV353" s="36"/>
      <c r="CW353" s="36"/>
      <c r="CX353" s="37"/>
      <c r="CY353" s="44"/>
      <c r="CZ353" s="36"/>
      <c r="DA353" s="36"/>
      <c r="DB353" s="36"/>
      <c r="DC353" s="36"/>
      <c r="DD353" s="36"/>
      <c r="DE353" s="36"/>
      <c r="DF353" s="36"/>
      <c r="DG353" s="36"/>
      <c r="DH353" s="36"/>
      <c r="DI353" s="36"/>
      <c r="DJ353" s="36"/>
      <c r="DK353" s="36"/>
      <c r="DL353" s="36"/>
      <c r="DM353" s="36"/>
      <c r="DN353" s="36"/>
      <c r="DO353" s="37"/>
      <c r="DP353" s="44"/>
      <c r="DQ353" s="36"/>
      <c r="DR353" s="36"/>
      <c r="DS353" s="36"/>
      <c r="DT353" s="36"/>
      <c r="DU353" s="36"/>
      <c r="DV353" s="36"/>
      <c r="DW353" s="36"/>
      <c r="DX353" s="36"/>
      <c r="DY353" s="36"/>
      <c r="DZ353" s="36"/>
      <c r="EA353" s="36"/>
      <c r="EB353" s="36"/>
      <c r="EC353" s="36"/>
      <c r="ED353" s="36"/>
      <c r="EE353" s="36"/>
      <c r="EF353" s="37"/>
      <c r="EG353" s="44"/>
      <c r="EH353" s="36"/>
      <c r="EI353" s="36"/>
      <c r="EJ353" s="36"/>
      <c r="EK353" s="36"/>
      <c r="EL353" s="36"/>
      <c r="EM353" s="36"/>
      <c r="EN353" s="36"/>
      <c r="EO353" s="36"/>
      <c r="EP353" s="36"/>
      <c r="EQ353" s="36"/>
      <c r="ER353" s="36"/>
      <c r="ES353" s="36"/>
      <c r="ET353" s="36"/>
      <c r="EU353" s="36"/>
      <c r="EV353" s="36"/>
      <c r="EW353" s="37"/>
      <c r="EX353" s="44"/>
      <c r="EY353" s="36"/>
      <c r="EZ353" s="36"/>
      <c r="FA353" s="36"/>
      <c r="FB353" s="36"/>
      <c r="FC353" s="36"/>
      <c r="FD353" s="36"/>
      <c r="FE353" s="36"/>
      <c r="FF353" s="36"/>
      <c r="FG353" s="36"/>
      <c r="FH353" s="36"/>
      <c r="FI353" s="36"/>
      <c r="FJ353" s="36"/>
      <c r="FK353" s="36"/>
      <c r="FL353" s="36"/>
      <c r="FM353" s="36"/>
      <c r="FN353" s="37"/>
      <c r="FO353" s="44"/>
      <c r="FP353" s="36"/>
      <c r="FQ353" s="36"/>
      <c r="FR353" s="36"/>
      <c r="FS353" s="36"/>
      <c r="FT353" s="36"/>
      <c r="FU353" s="36"/>
      <c r="FV353" s="36"/>
      <c r="FW353" s="36"/>
      <c r="FX353" s="36"/>
      <c r="FY353" s="36"/>
      <c r="FZ353" s="36"/>
      <c r="GA353" s="36"/>
      <c r="GB353" s="36"/>
      <c r="GC353" s="36"/>
      <c r="GD353" s="36"/>
      <c r="GE353" s="37"/>
      <c r="GF353" s="44"/>
      <c r="GG353" s="36"/>
      <c r="GH353" s="36"/>
      <c r="GI353" s="36"/>
      <c r="GJ353" s="36"/>
      <c r="GK353" s="36"/>
      <c r="GL353" s="36"/>
      <c r="GM353" s="36"/>
      <c r="GN353" s="36"/>
      <c r="GO353" s="36"/>
      <c r="GP353" s="36"/>
      <c r="GQ353" s="36"/>
      <c r="GR353" s="36"/>
      <c r="GS353" s="36"/>
      <c r="GT353" s="36"/>
      <c r="GU353" s="36"/>
      <c r="GV353" s="37"/>
      <c r="GW353" s="44"/>
      <c r="GX353" s="36"/>
      <c r="GY353" s="36"/>
      <c r="GZ353" s="36"/>
      <c r="HA353" s="36"/>
      <c r="HB353" s="36"/>
      <c r="HC353" s="36"/>
      <c r="HD353" s="36"/>
      <c r="HE353" s="36"/>
      <c r="HF353" s="36"/>
      <c r="HG353" s="36"/>
      <c r="HH353" s="36"/>
      <c r="HI353" s="36"/>
      <c r="HJ353" s="36"/>
      <c r="HK353" s="36"/>
      <c r="HL353" s="36"/>
      <c r="HM353" s="37"/>
      <c r="HN353" s="44"/>
      <c r="HO353" s="36"/>
      <c r="HP353" s="36"/>
      <c r="HQ353" s="36"/>
      <c r="HR353" s="36"/>
      <c r="HS353" s="36"/>
      <c r="HT353" s="36"/>
      <c r="HU353" s="36"/>
      <c r="HV353" s="36"/>
      <c r="HW353" s="36"/>
      <c r="HX353" s="36"/>
      <c r="HY353" s="36"/>
      <c r="HZ353" s="36"/>
      <c r="IA353" s="36"/>
      <c r="IB353" s="36"/>
      <c r="IC353" s="36"/>
      <c r="ID353" s="37"/>
      <c r="IE353" s="44"/>
      <c r="IF353" s="36"/>
      <c r="IG353" s="36"/>
      <c r="IH353" s="36"/>
      <c r="II353" s="36"/>
      <c r="IJ353" s="36"/>
      <c r="IK353" s="36"/>
      <c r="IL353" s="36"/>
      <c r="IM353" s="36"/>
      <c r="IN353" s="36"/>
      <c r="IO353" s="36"/>
      <c r="IP353" s="36"/>
      <c r="IQ353" s="36"/>
      <c r="IR353" s="36"/>
      <c r="IS353" s="36"/>
      <c r="IT353" s="36"/>
      <c r="IU353" s="37"/>
      <c r="IV353" s="44"/>
      <c r="IW353" s="36"/>
      <c r="IX353" s="36"/>
      <c r="IY353" s="36"/>
      <c r="IZ353" s="36"/>
      <c r="JA353" s="36"/>
      <c r="JB353" s="36"/>
      <c r="JC353" s="36"/>
      <c r="JD353" s="36"/>
      <c r="JE353" s="36"/>
      <c r="JF353" s="36"/>
      <c r="JG353" s="36"/>
      <c r="JH353" s="36"/>
      <c r="JI353" s="36"/>
      <c r="JJ353" s="36"/>
      <c r="JK353" s="36"/>
      <c r="JL353" s="37"/>
      <c r="JM353" s="44"/>
      <c r="JN353" s="36"/>
      <c r="JO353" s="36"/>
      <c r="JP353" s="36"/>
      <c r="JQ353" s="36"/>
      <c r="JR353" s="36"/>
      <c r="JS353" s="36"/>
      <c r="JT353" s="36"/>
      <c r="JU353" s="36"/>
      <c r="JV353" s="36"/>
      <c r="JW353" s="36"/>
      <c r="JX353" s="36"/>
      <c r="JY353" s="36"/>
      <c r="JZ353" s="36"/>
      <c r="KA353" s="36"/>
      <c r="KB353" s="36"/>
      <c r="KC353" s="37"/>
      <c r="KD353" s="44"/>
      <c r="KE353" s="36"/>
      <c r="KF353" s="36"/>
      <c r="KG353" s="36"/>
      <c r="KH353" s="36"/>
      <c r="KI353" s="36"/>
      <c r="KJ353" s="36"/>
      <c r="KK353" s="36"/>
      <c r="KL353" s="36"/>
      <c r="KM353" s="36"/>
      <c r="KN353" s="36"/>
      <c r="KO353" s="36"/>
      <c r="KP353" s="36"/>
      <c r="KQ353" s="36"/>
      <c r="KR353" s="36"/>
      <c r="KS353" s="36"/>
      <c r="KT353" s="37"/>
      <c r="KU353" s="36"/>
    </row>
    <row r="354" ht="15.0" customHeight="1">
      <c r="A354" s="44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7"/>
      <c r="R354" s="44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7"/>
      <c r="AI354" s="44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36"/>
      <c r="AU354" s="36"/>
      <c r="AV354" s="36"/>
      <c r="AW354" s="36"/>
      <c r="AX354" s="36"/>
      <c r="AY354" s="37"/>
      <c r="AZ354" s="44"/>
      <c r="BA354" s="36"/>
      <c r="BB354" s="36"/>
      <c r="BC354" s="36"/>
      <c r="BD354" s="36"/>
      <c r="BE354" s="36"/>
      <c r="BF354" s="36"/>
      <c r="BG354" s="36"/>
      <c r="BH354" s="36"/>
      <c r="BI354" s="36"/>
      <c r="BJ354" s="36"/>
      <c r="BK354" s="36"/>
      <c r="BL354" s="36"/>
      <c r="BM354" s="36"/>
      <c r="BN354" s="36"/>
      <c r="BO354" s="36"/>
      <c r="BP354" s="37"/>
      <c r="BQ354" s="44"/>
      <c r="BR354" s="36"/>
      <c r="BS354" s="36"/>
      <c r="BT354" s="36"/>
      <c r="BU354" s="36"/>
      <c r="BV354" s="36"/>
      <c r="BW354" s="36"/>
      <c r="BX354" s="36"/>
      <c r="BY354" s="36"/>
      <c r="BZ354" s="36"/>
      <c r="CA354" s="36"/>
      <c r="CB354" s="36"/>
      <c r="CC354" s="36"/>
      <c r="CD354" s="36"/>
      <c r="CE354" s="36"/>
      <c r="CF354" s="36"/>
      <c r="CG354" s="37"/>
      <c r="CH354" s="44"/>
      <c r="CI354" s="36"/>
      <c r="CJ354" s="36"/>
      <c r="CK354" s="36"/>
      <c r="CL354" s="36"/>
      <c r="CM354" s="36"/>
      <c r="CN354" s="36"/>
      <c r="CO354" s="36"/>
      <c r="CP354" s="36"/>
      <c r="CQ354" s="36"/>
      <c r="CR354" s="36"/>
      <c r="CS354" s="36"/>
      <c r="CT354" s="36"/>
      <c r="CU354" s="36"/>
      <c r="CV354" s="36"/>
      <c r="CW354" s="36"/>
      <c r="CX354" s="37"/>
      <c r="CY354" s="44"/>
      <c r="CZ354" s="36"/>
      <c r="DA354" s="36"/>
      <c r="DB354" s="36"/>
      <c r="DC354" s="36"/>
      <c r="DD354" s="36"/>
      <c r="DE354" s="36"/>
      <c r="DF354" s="36"/>
      <c r="DG354" s="36"/>
      <c r="DH354" s="36"/>
      <c r="DI354" s="36"/>
      <c r="DJ354" s="36"/>
      <c r="DK354" s="36"/>
      <c r="DL354" s="36"/>
      <c r="DM354" s="36"/>
      <c r="DN354" s="36"/>
      <c r="DO354" s="37"/>
      <c r="DP354" s="44"/>
      <c r="DQ354" s="36"/>
      <c r="DR354" s="36"/>
      <c r="DS354" s="36"/>
      <c r="DT354" s="36"/>
      <c r="DU354" s="36"/>
      <c r="DV354" s="36"/>
      <c r="DW354" s="36"/>
      <c r="DX354" s="36"/>
      <c r="DY354" s="36"/>
      <c r="DZ354" s="36"/>
      <c r="EA354" s="36"/>
      <c r="EB354" s="36"/>
      <c r="EC354" s="36"/>
      <c r="ED354" s="36"/>
      <c r="EE354" s="36"/>
      <c r="EF354" s="37"/>
      <c r="EG354" s="44"/>
      <c r="EH354" s="36"/>
      <c r="EI354" s="36"/>
      <c r="EJ354" s="36"/>
      <c r="EK354" s="36"/>
      <c r="EL354" s="36"/>
      <c r="EM354" s="36"/>
      <c r="EN354" s="36"/>
      <c r="EO354" s="36"/>
      <c r="EP354" s="36"/>
      <c r="EQ354" s="36"/>
      <c r="ER354" s="36"/>
      <c r="ES354" s="36"/>
      <c r="ET354" s="36"/>
      <c r="EU354" s="36"/>
      <c r="EV354" s="36"/>
      <c r="EW354" s="37"/>
      <c r="EX354" s="44"/>
      <c r="EY354" s="36"/>
      <c r="EZ354" s="36"/>
      <c r="FA354" s="36"/>
      <c r="FB354" s="36"/>
      <c r="FC354" s="36"/>
      <c r="FD354" s="36"/>
      <c r="FE354" s="36"/>
      <c r="FF354" s="36"/>
      <c r="FG354" s="36"/>
      <c r="FH354" s="36"/>
      <c r="FI354" s="36"/>
      <c r="FJ354" s="36"/>
      <c r="FK354" s="36"/>
      <c r="FL354" s="36"/>
      <c r="FM354" s="36"/>
      <c r="FN354" s="37"/>
      <c r="FO354" s="44"/>
      <c r="FP354" s="36"/>
      <c r="FQ354" s="36"/>
      <c r="FR354" s="36"/>
      <c r="FS354" s="36"/>
      <c r="FT354" s="36"/>
      <c r="FU354" s="36"/>
      <c r="FV354" s="36"/>
      <c r="FW354" s="36"/>
      <c r="FX354" s="36"/>
      <c r="FY354" s="36"/>
      <c r="FZ354" s="36"/>
      <c r="GA354" s="36"/>
      <c r="GB354" s="36"/>
      <c r="GC354" s="36"/>
      <c r="GD354" s="36"/>
      <c r="GE354" s="37"/>
      <c r="GF354" s="44"/>
      <c r="GG354" s="36"/>
      <c r="GH354" s="36"/>
      <c r="GI354" s="36"/>
      <c r="GJ354" s="36"/>
      <c r="GK354" s="36"/>
      <c r="GL354" s="36"/>
      <c r="GM354" s="36"/>
      <c r="GN354" s="36"/>
      <c r="GO354" s="36"/>
      <c r="GP354" s="36"/>
      <c r="GQ354" s="36"/>
      <c r="GR354" s="36"/>
      <c r="GS354" s="36"/>
      <c r="GT354" s="36"/>
      <c r="GU354" s="36"/>
      <c r="GV354" s="37"/>
      <c r="GW354" s="44"/>
      <c r="GX354" s="36"/>
      <c r="GY354" s="36"/>
      <c r="GZ354" s="36"/>
      <c r="HA354" s="36"/>
      <c r="HB354" s="36"/>
      <c r="HC354" s="36"/>
      <c r="HD354" s="36"/>
      <c r="HE354" s="36"/>
      <c r="HF354" s="36"/>
      <c r="HG354" s="36"/>
      <c r="HH354" s="36"/>
      <c r="HI354" s="36"/>
      <c r="HJ354" s="36"/>
      <c r="HK354" s="36"/>
      <c r="HL354" s="36"/>
      <c r="HM354" s="37"/>
      <c r="HN354" s="44"/>
      <c r="HO354" s="36"/>
      <c r="HP354" s="36"/>
      <c r="HQ354" s="36"/>
      <c r="HR354" s="36"/>
      <c r="HS354" s="36"/>
      <c r="HT354" s="36"/>
      <c r="HU354" s="36"/>
      <c r="HV354" s="36"/>
      <c r="HW354" s="36"/>
      <c r="HX354" s="36"/>
      <c r="HY354" s="36"/>
      <c r="HZ354" s="36"/>
      <c r="IA354" s="36"/>
      <c r="IB354" s="36"/>
      <c r="IC354" s="36"/>
      <c r="ID354" s="37"/>
      <c r="IE354" s="44"/>
      <c r="IF354" s="36"/>
      <c r="IG354" s="36"/>
      <c r="IH354" s="36"/>
      <c r="II354" s="36"/>
      <c r="IJ354" s="36"/>
      <c r="IK354" s="36"/>
      <c r="IL354" s="36"/>
      <c r="IM354" s="36"/>
      <c r="IN354" s="36"/>
      <c r="IO354" s="36"/>
      <c r="IP354" s="36"/>
      <c r="IQ354" s="36"/>
      <c r="IR354" s="36"/>
      <c r="IS354" s="36"/>
      <c r="IT354" s="36"/>
      <c r="IU354" s="37"/>
      <c r="IV354" s="44"/>
      <c r="IW354" s="36"/>
      <c r="IX354" s="36"/>
      <c r="IY354" s="36"/>
      <c r="IZ354" s="36"/>
      <c r="JA354" s="36"/>
      <c r="JB354" s="36"/>
      <c r="JC354" s="36"/>
      <c r="JD354" s="36"/>
      <c r="JE354" s="36"/>
      <c r="JF354" s="36"/>
      <c r="JG354" s="36"/>
      <c r="JH354" s="36"/>
      <c r="JI354" s="36"/>
      <c r="JJ354" s="36"/>
      <c r="JK354" s="36"/>
      <c r="JL354" s="37"/>
      <c r="JM354" s="44"/>
      <c r="JN354" s="36"/>
      <c r="JO354" s="36"/>
      <c r="JP354" s="36"/>
      <c r="JQ354" s="36"/>
      <c r="JR354" s="36"/>
      <c r="JS354" s="36"/>
      <c r="JT354" s="36"/>
      <c r="JU354" s="36"/>
      <c r="JV354" s="36"/>
      <c r="JW354" s="36"/>
      <c r="JX354" s="36"/>
      <c r="JY354" s="36"/>
      <c r="JZ354" s="36"/>
      <c r="KA354" s="36"/>
      <c r="KB354" s="36"/>
      <c r="KC354" s="37"/>
      <c r="KD354" s="44"/>
      <c r="KE354" s="36"/>
      <c r="KF354" s="36"/>
      <c r="KG354" s="36"/>
      <c r="KH354" s="36"/>
      <c r="KI354" s="36"/>
      <c r="KJ354" s="36"/>
      <c r="KK354" s="36"/>
      <c r="KL354" s="36"/>
      <c r="KM354" s="36"/>
      <c r="KN354" s="36"/>
      <c r="KO354" s="36"/>
      <c r="KP354" s="36"/>
      <c r="KQ354" s="36"/>
      <c r="KR354" s="36"/>
      <c r="KS354" s="36"/>
      <c r="KT354" s="37"/>
      <c r="KU354" s="36"/>
    </row>
    <row r="355" ht="15.0" customHeight="1">
      <c r="A355" s="44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7"/>
      <c r="R355" s="44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7"/>
      <c r="AI355" s="44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  <c r="AU355" s="36"/>
      <c r="AV355" s="36"/>
      <c r="AW355" s="36"/>
      <c r="AX355" s="36"/>
      <c r="AY355" s="37"/>
      <c r="AZ355" s="44"/>
      <c r="BA355" s="36"/>
      <c r="BB355" s="36"/>
      <c r="BC355" s="36"/>
      <c r="BD355" s="36"/>
      <c r="BE355" s="36"/>
      <c r="BF355" s="36"/>
      <c r="BG355" s="36"/>
      <c r="BH355" s="36"/>
      <c r="BI355" s="36"/>
      <c r="BJ355" s="36"/>
      <c r="BK355" s="36"/>
      <c r="BL355" s="36"/>
      <c r="BM355" s="36"/>
      <c r="BN355" s="36"/>
      <c r="BO355" s="36"/>
      <c r="BP355" s="37"/>
      <c r="BQ355" s="44"/>
      <c r="BR355" s="36"/>
      <c r="BS355" s="36"/>
      <c r="BT355" s="36"/>
      <c r="BU355" s="36"/>
      <c r="BV355" s="36"/>
      <c r="BW355" s="36"/>
      <c r="BX355" s="36"/>
      <c r="BY355" s="36"/>
      <c r="BZ355" s="36"/>
      <c r="CA355" s="36"/>
      <c r="CB355" s="36"/>
      <c r="CC355" s="36"/>
      <c r="CD355" s="36"/>
      <c r="CE355" s="36"/>
      <c r="CF355" s="36"/>
      <c r="CG355" s="37"/>
      <c r="CH355" s="44"/>
      <c r="CI355" s="36"/>
      <c r="CJ355" s="36"/>
      <c r="CK355" s="36"/>
      <c r="CL355" s="36"/>
      <c r="CM355" s="36"/>
      <c r="CN355" s="36"/>
      <c r="CO355" s="36"/>
      <c r="CP355" s="36"/>
      <c r="CQ355" s="36"/>
      <c r="CR355" s="36"/>
      <c r="CS355" s="36"/>
      <c r="CT355" s="36"/>
      <c r="CU355" s="36"/>
      <c r="CV355" s="36"/>
      <c r="CW355" s="36"/>
      <c r="CX355" s="37"/>
      <c r="CY355" s="44"/>
      <c r="CZ355" s="36"/>
      <c r="DA355" s="36"/>
      <c r="DB355" s="36"/>
      <c r="DC355" s="36"/>
      <c r="DD355" s="36"/>
      <c r="DE355" s="36"/>
      <c r="DF355" s="36"/>
      <c r="DG355" s="36"/>
      <c r="DH355" s="36"/>
      <c r="DI355" s="36"/>
      <c r="DJ355" s="36"/>
      <c r="DK355" s="36"/>
      <c r="DL355" s="36"/>
      <c r="DM355" s="36"/>
      <c r="DN355" s="36"/>
      <c r="DO355" s="37"/>
      <c r="DP355" s="44"/>
      <c r="DQ355" s="36"/>
      <c r="DR355" s="36"/>
      <c r="DS355" s="36"/>
      <c r="DT355" s="36"/>
      <c r="DU355" s="36"/>
      <c r="DV355" s="36"/>
      <c r="DW355" s="36"/>
      <c r="DX355" s="36"/>
      <c r="DY355" s="36"/>
      <c r="DZ355" s="36"/>
      <c r="EA355" s="36"/>
      <c r="EB355" s="36"/>
      <c r="EC355" s="36"/>
      <c r="ED355" s="36"/>
      <c r="EE355" s="36"/>
      <c r="EF355" s="37"/>
      <c r="EG355" s="44"/>
      <c r="EH355" s="36"/>
      <c r="EI355" s="36"/>
      <c r="EJ355" s="36"/>
      <c r="EK355" s="36"/>
      <c r="EL355" s="36"/>
      <c r="EM355" s="36"/>
      <c r="EN355" s="36"/>
      <c r="EO355" s="36"/>
      <c r="EP355" s="36"/>
      <c r="EQ355" s="36"/>
      <c r="ER355" s="36"/>
      <c r="ES355" s="36"/>
      <c r="ET355" s="36"/>
      <c r="EU355" s="36"/>
      <c r="EV355" s="36"/>
      <c r="EW355" s="37"/>
      <c r="EX355" s="44"/>
      <c r="EY355" s="36"/>
      <c r="EZ355" s="36"/>
      <c r="FA355" s="36"/>
      <c r="FB355" s="36"/>
      <c r="FC355" s="36"/>
      <c r="FD355" s="36"/>
      <c r="FE355" s="36"/>
      <c r="FF355" s="36"/>
      <c r="FG355" s="36"/>
      <c r="FH355" s="36"/>
      <c r="FI355" s="36"/>
      <c r="FJ355" s="36"/>
      <c r="FK355" s="36"/>
      <c r="FL355" s="36"/>
      <c r="FM355" s="36"/>
      <c r="FN355" s="37"/>
      <c r="FO355" s="44"/>
      <c r="FP355" s="36"/>
      <c r="FQ355" s="36"/>
      <c r="FR355" s="36"/>
      <c r="FS355" s="36"/>
      <c r="FT355" s="36"/>
      <c r="FU355" s="36"/>
      <c r="FV355" s="36"/>
      <c r="FW355" s="36"/>
      <c r="FX355" s="36"/>
      <c r="FY355" s="36"/>
      <c r="FZ355" s="36"/>
      <c r="GA355" s="36"/>
      <c r="GB355" s="36"/>
      <c r="GC355" s="36"/>
      <c r="GD355" s="36"/>
      <c r="GE355" s="37"/>
      <c r="GF355" s="44"/>
      <c r="GG355" s="36"/>
      <c r="GH355" s="36"/>
      <c r="GI355" s="36"/>
      <c r="GJ355" s="36"/>
      <c r="GK355" s="36"/>
      <c r="GL355" s="36"/>
      <c r="GM355" s="36"/>
      <c r="GN355" s="36"/>
      <c r="GO355" s="36"/>
      <c r="GP355" s="36"/>
      <c r="GQ355" s="36"/>
      <c r="GR355" s="36"/>
      <c r="GS355" s="36"/>
      <c r="GT355" s="36"/>
      <c r="GU355" s="36"/>
      <c r="GV355" s="37"/>
      <c r="GW355" s="44"/>
      <c r="GX355" s="36"/>
      <c r="GY355" s="36"/>
      <c r="GZ355" s="36"/>
      <c r="HA355" s="36"/>
      <c r="HB355" s="36"/>
      <c r="HC355" s="36"/>
      <c r="HD355" s="36"/>
      <c r="HE355" s="36"/>
      <c r="HF355" s="36"/>
      <c r="HG355" s="36"/>
      <c r="HH355" s="36"/>
      <c r="HI355" s="36"/>
      <c r="HJ355" s="36"/>
      <c r="HK355" s="36"/>
      <c r="HL355" s="36"/>
      <c r="HM355" s="37"/>
      <c r="HN355" s="44"/>
      <c r="HO355" s="36"/>
      <c r="HP355" s="36"/>
      <c r="HQ355" s="36"/>
      <c r="HR355" s="36"/>
      <c r="HS355" s="36"/>
      <c r="HT355" s="36"/>
      <c r="HU355" s="36"/>
      <c r="HV355" s="36"/>
      <c r="HW355" s="36"/>
      <c r="HX355" s="36"/>
      <c r="HY355" s="36"/>
      <c r="HZ355" s="36"/>
      <c r="IA355" s="36"/>
      <c r="IB355" s="36"/>
      <c r="IC355" s="36"/>
      <c r="ID355" s="37"/>
      <c r="IE355" s="44"/>
      <c r="IF355" s="36"/>
      <c r="IG355" s="36"/>
      <c r="IH355" s="36"/>
      <c r="II355" s="36"/>
      <c r="IJ355" s="36"/>
      <c r="IK355" s="36"/>
      <c r="IL355" s="36"/>
      <c r="IM355" s="36"/>
      <c r="IN355" s="36"/>
      <c r="IO355" s="36"/>
      <c r="IP355" s="36"/>
      <c r="IQ355" s="36"/>
      <c r="IR355" s="36"/>
      <c r="IS355" s="36"/>
      <c r="IT355" s="36"/>
      <c r="IU355" s="37"/>
      <c r="IV355" s="44"/>
      <c r="IW355" s="36"/>
      <c r="IX355" s="36"/>
      <c r="IY355" s="36"/>
      <c r="IZ355" s="36"/>
      <c r="JA355" s="36"/>
      <c r="JB355" s="36"/>
      <c r="JC355" s="36"/>
      <c r="JD355" s="36"/>
      <c r="JE355" s="36"/>
      <c r="JF355" s="36"/>
      <c r="JG355" s="36"/>
      <c r="JH355" s="36"/>
      <c r="JI355" s="36"/>
      <c r="JJ355" s="36"/>
      <c r="JK355" s="36"/>
      <c r="JL355" s="37"/>
      <c r="JM355" s="44"/>
      <c r="JN355" s="36"/>
      <c r="JO355" s="36"/>
      <c r="JP355" s="36"/>
      <c r="JQ355" s="36"/>
      <c r="JR355" s="36"/>
      <c r="JS355" s="36"/>
      <c r="JT355" s="36"/>
      <c r="JU355" s="36"/>
      <c r="JV355" s="36"/>
      <c r="JW355" s="36"/>
      <c r="JX355" s="36"/>
      <c r="JY355" s="36"/>
      <c r="JZ355" s="36"/>
      <c r="KA355" s="36"/>
      <c r="KB355" s="36"/>
      <c r="KC355" s="37"/>
      <c r="KD355" s="44"/>
      <c r="KE355" s="36"/>
      <c r="KF355" s="36"/>
      <c r="KG355" s="36"/>
      <c r="KH355" s="36"/>
      <c r="KI355" s="36"/>
      <c r="KJ355" s="36"/>
      <c r="KK355" s="36"/>
      <c r="KL355" s="36"/>
      <c r="KM355" s="36"/>
      <c r="KN355" s="36"/>
      <c r="KO355" s="36"/>
      <c r="KP355" s="36"/>
      <c r="KQ355" s="36"/>
      <c r="KR355" s="36"/>
      <c r="KS355" s="36"/>
      <c r="KT355" s="37"/>
      <c r="KU355" s="36"/>
    </row>
    <row r="356" ht="15.0" customHeight="1">
      <c r="A356" s="44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7"/>
      <c r="R356" s="44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7"/>
      <c r="AI356" s="44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  <c r="AU356" s="36"/>
      <c r="AV356" s="36"/>
      <c r="AW356" s="36"/>
      <c r="AX356" s="36"/>
      <c r="AY356" s="37"/>
      <c r="AZ356" s="44"/>
      <c r="BA356" s="36"/>
      <c r="BB356" s="36"/>
      <c r="BC356" s="36"/>
      <c r="BD356" s="36"/>
      <c r="BE356" s="36"/>
      <c r="BF356" s="36"/>
      <c r="BG356" s="36"/>
      <c r="BH356" s="36"/>
      <c r="BI356" s="36"/>
      <c r="BJ356" s="36"/>
      <c r="BK356" s="36"/>
      <c r="BL356" s="36"/>
      <c r="BM356" s="36"/>
      <c r="BN356" s="36"/>
      <c r="BO356" s="36"/>
      <c r="BP356" s="37"/>
      <c r="BQ356" s="44"/>
      <c r="BR356" s="36"/>
      <c r="BS356" s="36"/>
      <c r="BT356" s="36"/>
      <c r="BU356" s="36"/>
      <c r="BV356" s="36"/>
      <c r="BW356" s="36"/>
      <c r="BX356" s="36"/>
      <c r="BY356" s="36"/>
      <c r="BZ356" s="36"/>
      <c r="CA356" s="36"/>
      <c r="CB356" s="36"/>
      <c r="CC356" s="36"/>
      <c r="CD356" s="36"/>
      <c r="CE356" s="36"/>
      <c r="CF356" s="36"/>
      <c r="CG356" s="37"/>
      <c r="CH356" s="44"/>
      <c r="CI356" s="36"/>
      <c r="CJ356" s="36"/>
      <c r="CK356" s="36"/>
      <c r="CL356" s="36"/>
      <c r="CM356" s="36"/>
      <c r="CN356" s="36"/>
      <c r="CO356" s="36"/>
      <c r="CP356" s="36"/>
      <c r="CQ356" s="36"/>
      <c r="CR356" s="36"/>
      <c r="CS356" s="36"/>
      <c r="CT356" s="36"/>
      <c r="CU356" s="36"/>
      <c r="CV356" s="36"/>
      <c r="CW356" s="36"/>
      <c r="CX356" s="37"/>
      <c r="CY356" s="44"/>
      <c r="CZ356" s="36"/>
      <c r="DA356" s="36"/>
      <c r="DB356" s="36"/>
      <c r="DC356" s="36"/>
      <c r="DD356" s="36"/>
      <c r="DE356" s="36"/>
      <c r="DF356" s="36"/>
      <c r="DG356" s="36"/>
      <c r="DH356" s="36"/>
      <c r="DI356" s="36"/>
      <c r="DJ356" s="36"/>
      <c r="DK356" s="36"/>
      <c r="DL356" s="36"/>
      <c r="DM356" s="36"/>
      <c r="DN356" s="36"/>
      <c r="DO356" s="37"/>
      <c r="DP356" s="44"/>
      <c r="DQ356" s="36"/>
      <c r="DR356" s="36"/>
      <c r="DS356" s="36"/>
      <c r="DT356" s="36"/>
      <c r="DU356" s="36"/>
      <c r="DV356" s="36"/>
      <c r="DW356" s="36"/>
      <c r="DX356" s="36"/>
      <c r="DY356" s="36"/>
      <c r="DZ356" s="36"/>
      <c r="EA356" s="36"/>
      <c r="EB356" s="36"/>
      <c r="EC356" s="36"/>
      <c r="ED356" s="36"/>
      <c r="EE356" s="36"/>
      <c r="EF356" s="37"/>
      <c r="EG356" s="44"/>
      <c r="EH356" s="36"/>
      <c r="EI356" s="36"/>
      <c r="EJ356" s="36"/>
      <c r="EK356" s="36"/>
      <c r="EL356" s="36"/>
      <c r="EM356" s="36"/>
      <c r="EN356" s="36"/>
      <c r="EO356" s="36"/>
      <c r="EP356" s="36"/>
      <c r="EQ356" s="36"/>
      <c r="ER356" s="36"/>
      <c r="ES356" s="36"/>
      <c r="ET356" s="36"/>
      <c r="EU356" s="36"/>
      <c r="EV356" s="36"/>
      <c r="EW356" s="37"/>
      <c r="EX356" s="44"/>
      <c r="EY356" s="36"/>
      <c r="EZ356" s="36"/>
      <c r="FA356" s="36"/>
      <c r="FB356" s="36"/>
      <c r="FC356" s="36"/>
      <c r="FD356" s="36"/>
      <c r="FE356" s="36"/>
      <c r="FF356" s="36"/>
      <c r="FG356" s="36"/>
      <c r="FH356" s="36"/>
      <c r="FI356" s="36"/>
      <c r="FJ356" s="36"/>
      <c r="FK356" s="36"/>
      <c r="FL356" s="36"/>
      <c r="FM356" s="36"/>
      <c r="FN356" s="37"/>
      <c r="FO356" s="44"/>
      <c r="FP356" s="36"/>
      <c r="FQ356" s="36"/>
      <c r="FR356" s="36"/>
      <c r="FS356" s="36"/>
      <c r="FT356" s="36"/>
      <c r="FU356" s="36"/>
      <c r="FV356" s="36"/>
      <c r="FW356" s="36"/>
      <c r="FX356" s="36"/>
      <c r="FY356" s="36"/>
      <c r="FZ356" s="36"/>
      <c r="GA356" s="36"/>
      <c r="GB356" s="36"/>
      <c r="GC356" s="36"/>
      <c r="GD356" s="36"/>
      <c r="GE356" s="37"/>
      <c r="GF356" s="44"/>
      <c r="GG356" s="36"/>
      <c r="GH356" s="36"/>
      <c r="GI356" s="36"/>
      <c r="GJ356" s="36"/>
      <c r="GK356" s="36"/>
      <c r="GL356" s="36"/>
      <c r="GM356" s="36"/>
      <c r="GN356" s="36"/>
      <c r="GO356" s="36"/>
      <c r="GP356" s="36"/>
      <c r="GQ356" s="36"/>
      <c r="GR356" s="36"/>
      <c r="GS356" s="36"/>
      <c r="GT356" s="36"/>
      <c r="GU356" s="36"/>
      <c r="GV356" s="37"/>
      <c r="GW356" s="44"/>
      <c r="GX356" s="36"/>
      <c r="GY356" s="36"/>
      <c r="GZ356" s="36"/>
      <c r="HA356" s="36"/>
      <c r="HB356" s="36"/>
      <c r="HC356" s="36"/>
      <c r="HD356" s="36"/>
      <c r="HE356" s="36"/>
      <c r="HF356" s="36"/>
      <c r="HG356" s="36"/>
      <c r="HH356" s="36"/>
      <c r="HI356" s="36"/>
      <c r="HJ356" s="36"/>
      <c r="HK356" s="36"/>
      <c r="HL356" s="36"/>
      <c r="HM356" s="37"/>
      <c r="HN356" s="44"/>
      <c r="HO356" s="36"/>
      <c r="HP356" s="36"/>
      <c r="HQ356" s="36"/>
      <c r="HR356" s="36"/>
      <c r="HS356" s="36"/>
      <c r="HT356" s="36"/>
      <c r="HU356" s="36"/>
      <c r="HV356" s="36"/>
      <c r="HW356" s="36"/>
      <c r="HX356" s="36"/>
      <c r="HY356" s="36"/>
      <c r="HZ356" s="36"/>
      <c r="IA356" s="36"/>
      <c r="IB356" s="36"/>
      <c r="IC356" s="36"/>
      <c r="ID356" s="37"/>
      <c r="IE356" s="44"/>
      <c r="IF356" s="36"/>
      <c r="IG356" s="36"/>
      <c r="IH356" s="36"/>
      <c r="II356" s="36"/>
      <c r="IJ356" s="36"/>
      <c r="IK356" s="36"/>
      <c r="IL356" s="36"/>
      <c r="IM356" s="36"/>
      <c r="IN356" s="36"/>
      <c r="IO356" s="36"/>
      <c r="IP356" s="36"/>
      <c r="IQ356" s="36"/>
      <c r="IR356" s="36"/>
      <c r="IS356" s="36"/>
      <c r="IT356" s="36"/>
      <c r="IU356" s="37"/>
      <c r="IV356" s="44"/>
      <c r="IW356" s="36"/>
      <c r="IX356" s="36"/>
      <c r="IY356" s="36"/>
      <c r="IZ356" s="36"/>
      <c r="JA356" s="36"/>
      <c r="JB356" s="36"/>
      <c r="JC356" s="36"/>
      <c r="JD356" s="36"/>
      <c r="JE356" s="36"/>
      <c r="JF356" s="36"/>
      <c r="JG356" s="36"/>
      <c r="JH356" s="36"/>
      <c r="JI356" s="36"/>
      <c r="JJ356" s="36"/>
      <c r="JK356" s="36"/>
      <c r="JL356" s="37"/>
      <c r="JM356" s="44"/>
      <c r="JN356" s="36"/>
      <c r="JO356" s="36"/>
      <c r="JP356" s="36"/>
      <c r="JQ356" s="36"/>
      <c r="JR356" s="36"/>
      <c r="JS356" s="36"/>
      <c r="JT356" s="36"/>
      <c r="JU356" s="36"/>
      <c r="JV356" s="36"/>
      <c r="JW356" s="36"/>
      <c r="JX356" s="36"/>
      <c r="JY356" s="36"/>
      <c r="JZ356" s="36"/>
      <c r="KA356" s="36"/>
      <c r="KB356" s="36"/>
      <c r="KC356" s="37"/>
      <c r="KD356" s="44"/>
      <c r="KE356" s="36"/>
      <c r="KF356" s="36"/>
      <c r="KG356" s="36"/>
      <c r="KH356" s="36"/>
      <c r="KI356" s="36"/>
      <c r="KJ356" s="36"/>
      <c r="KK356" s="36"/>
      <c r="KL356" s="36"/>
      <c r="KM356" s="36"/>
      <c r="KN356" s="36"/>
      <c r="KO356" s="36"/>
      <c r="KP356" s="36"/>
      <c r="KQ356" s="36"/>
      <c r="KR356" s="36"/>
      <c r="KS356" s="36"/>
      <c r="KT356" s="37"/>
      <c r="KU356" s="36"/>
    </row>
    <row r="357" ht="15.0" customHeight="1">
      <c r="A357" s="44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7"/>
      <c r="R357" s="44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7"/>
      <c r="AI357" s="44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36"/>
      <c r="AU357" s="36"/>
      <c r="AV357" s="36"/>
      <c r="AW357" s="36"/>
      <c r="AX357" s="36"/>
      <c r="AY357" s="37"/>
      <c r="AZ357" s="44"/>
      <c r="BA357" s="36"/>
      <c r="BB357" s="36"/>
      <c r="BC357" s="36"/>
      <c r="BD357" s="36"/>
      <c r="BE357" s="36"/>
      <c r="BF357" s="36"/>
      <c r="BG357" s="36"/>
      <c r="BH357" s="36"/>
      <c r="BI357" s="36"/>
      <c r="BJ357" s="36"/>
      <c r="BK357" s="36"/>
      <c r="BL357" s="36"/>
      <c r="BM357" s="36"/>
      <c r="BN357" s="36"/>
      <c r="BO357" s="36"/>
      <c r="BP357" s="37"/>
      <c r="BQ357" s="44"/>
      <c r="BR357" s="36"/>
      <c r="BS357" s="36"/>
      <c r="BT357" s="36"/>
      <c r="BU357" s="36"/>
      <c r="BV357" s="36"/>
      <c r="BW357" s="36"/>
      <c r="BX357" s="36"/>
      <c r="BY357" s="36"/>
      <c r="BZ357" s="36"/>
      <c r="CA357" s="36"/>
      <c r="CB357" s="36"/>
      <c r="CC357" s="36"/>
      <c r="CD357" s="36"/>
      <c r="CE357" s="36"/>
      <c r="CF357" s="36"/>
      <c r="CG357" s="37"/>
      <c r="CH357" s="44"/>
      <c r="CI357" s="36"/>
      <c r="CJ357" s="36"/>
      <c r="CK357" s="36"/>
      <c r="CL357" s="36"/>
      <c r="CM357" s="36"/>
      <c r="CN357" s="36"/>
      <c r="CO357" s="36"/>
      <c r="CP357" s="36"/>
      <c r="CQ357" s="36"/>
      <c r="CR357" s="36"/>
      <c r="CS357" s="36"/>
      <c r="CT357" s="36"/>
      <c r="CU357" s="36"/>
      <c r="CV357" s="36"/>
      <c r="CW357" s="36"/>
      <c r="CX357" s="37"/>
      <c r="CY357" s="44"/>
      <c r="CZ357" s="36"/>
      <c r="DA357" s="36"/>
      <c r="DB357" s="36"/>
      <c r="DC357" s="36"/>
      <c r="DD357" s="36"/>
      <c r="DE357" s="36"/>
      <c r="DF357" s="36"/>
      <c r="DG357" s="36"/>
      <c r="DH357" s="36"/>
      <c r="DI357" s="36"/>
      <c r="DJ357" s="36"/>
      <c r="DK357" s="36"/>
      <c r="DL357" s="36"/>
      <c r="DM357" s="36"/>
      <c r="DN357" s="36"/>
      <c r="DO357" s="37"/>
      <c r="DP357" s="44"/>
      <c r="DQ357" s="36"/>
      <c r="DR357" s="36"/>
      <c r="DS357" s="36"/>
      <c r="DT357" s="36"/>
      <c r="DU357" s="36"/>
      <c r="DV357" s="36"/>
      <c r="DW357" s="36"/>
      <c r="DX357" s="36"/>
      <c r="DY357" s="36"/>
      <c r="DZ357" s="36"/>
      <c r="EA357" s="36"/>
      <c r="EB357" s="36"/>
      <c r="EC357" s="36"/>
      <c r="ED357" s="36"/>
      <c r="EE357" s="36"/>
      <c r="EF357" s="37"/>
      <c r="EG357" s="44"/>
      <c r="EH357" s="36"/>
      <c r="EI357" s="36"/>
      <c r="EJ357" s="36"/>
      <c r="EK357" s="36"/>
      <c r="EL357" s="36"/>
      <c r="EM357" s="36"/>
      <c r="EN357" s="36"/>
      <c r="EO357" s="36"/>
      <c r="EP357" s="36"/>
      <c r="EQ357" s="36"/>
      <c r="ER357" s="36"/>
      <c r="ES357" s="36"/>
      <c r="ET357" s="36"/>
      <c r="EU357" s="36"/>
      <c r="EV357" s="36"/>
      <c r="EW357" s="37"/>
      <c r="EX357" s="44"/>
      <c r="EY357" s="36"/>
      <c r="EZ357" s="36"/>
      <c r="FA357" s="36"/>
      <c r="FB357" s="36"/>
      <c r="FC357" s="36"/>
      <c r="FD357" s="36"/>
      <c r="FE357" s="36"/>
      <c r="FF357" s="36"/>
      <c r="FG357" s="36"/>
      <c r="FH357" s="36"/>
      <c r="FI357" s="36"/>
      <c r="FJ357" s="36"/>
      <c r="FK357" s="36"/>
      <c r="FL357" s="36"/>
      <c r="FM357" s="36"/>
      <c r="FN357" s="37"/>
      <c r="FO357" s="44"/>
      <c r="FP357" s="36"/>
      <c r="FQ357" s="36"/>
      <c r="FR357" s="36"/>
      <c r="FS357" s="36"/>
      <c r="FT357" s="36"/>
      <c r="FU357" s="36"/>
      <c r="FV357" s="36"/>
      <c r="FW357" s="36"/>
      <c r="FX357" s="36"/>
      <c r="FY357" s="36"/>
      <c r="FZ357" s="36"/>
      <c r="GA357" s="36"/>
      <c r="GB357" s="36"/>
      <c r="GC357" s="36"/>
      <c r="GD357" s="36"/>
      <c r="GE357" s="37"/>
      <c r="GF357" s="44"/>
      <c r="GG357" s="36"/>
      <c r="GH357" s="36"/>
      <c r="GI357" s="36"/>
      <c r="GJ357" s="36"/>
      <c r="GK357" s="36"/>
      <c r="GL357" s="36"/>
      <c r="GM357" s="36"/>
      <c r="GN357" s="36"/>
      <c r="GO357" s="36"/>
      <c r="GP357" s="36"/>
      <c r="GQ357" s="36"/>
      <c r="GR357" s="36"/>
      <c r="GS357" s="36"/>
      <c r="GT357" s="36"/>
      <c r="GU357" s="36"/>
      <c r="GV357" s="37"/>
      <c r="GW357" s="44"/>
      <c r="GX357" s="36"/>
      <c r="GY357" s="36"/>
      <c r="GZ357" s="36"/>
      <c r="HA357" s="36"/>
      <c r="HB357" s="36"/>
      <c r="HC357" s="36"/>
      <c r="HD357" s="36"/>
      <c r="HE357" s="36"/>
      <c r="HF357" s="36"/>
      <c r="HG357" s="36"/>
      <c r="HH357" s="36"/>
      <c r="HI357" s="36"/>
      <c r="HJ357" s="36"/>
      <c r="HK357" s="36"/>
      <c r="HL357" s="36"/>
      <c r="HM357" s="37"/>
      <c r="HN357" s="44"/>
      <c r="HO357" s="36"/>
      <c r="HP357" s="36"/>
      <c r="HQ357" s="36"/>
      <c r="HR357" s="36"/>
      <c r="HS357" s="36"/>
      <c r="HT357" s="36"/>
      <c r="HU357" s="36"/>
      <c r="HV357" s="36"/>
      <c r="HW357" s="36"/>
      <c r="HX357" s="36"/>
      <c r="HY357" s="36"/>
      <c r="HZ357" s="36"/>
      <c r="IA357" s="36"/>
      <c r="IB357" s="36"/>
      <c r="IC357" s="36"/>
      <c r="ID357" s="37"/>
      <c r="IE357" s="44"/>
      <c r="IF357" s="36"/>
      <c r="IG357" s="36"/>
      <c r="IH357" s="36"/>
      <c r="II357" s="36"/>
      <c r="IJ357" s="36"/>
      <c r="IK357" s="36"/>
      <c r="IL357" s="36"/>
      <c r="IM357" s="36"/>
      <c r="IN357" s="36"/>
      <c r="IO357" s="36"/>
      <c r="IP357" s="36"/>
      <c r="IQ357" s="36"/>
      <c r="IR357" s="36"/>
      <c r="IS357" s="36"/>
      <c r="IT357" s="36"/>
      <c r="IU357" s="37"/>
      <c r="IV357" s="44"/>
      <c r="IW357" s="36"/>
      <c r="IX357" s="36"/>
      <c r="IY357" s="36"/>
      <c r="IZ357" s="36"/>
      <c r="JA357" s="36"/>
      <c r="JB357" s="36"/>
      <c r="JC357" s="36"/>
      <c r="JD357" s="36"/>
      <c r="JE357" s="36"/>
      <c r="JF357" s="36"/>
      <c r="JG357" s="36"/>
      <c r="JH357" s="36"/>
      <c r="JI357" s="36"/>
      <c r="JJ357" s="36"/>
      <c r="JK357" s="36"/>
      <c r="JL357" s="37"/>
      <c r="JM357" s="44"/>
      <c r="JN357" s="36"/>
      <c r="JO357" s="36"/>
      <c r="JP357" s="36"/>
      <c r="JQ357" s="36"/>
      <c r="JR357" s="36"/>
      <c r="JS357" s="36"/>
      <c r="JT357" s="36"/>
      <c r="JU357" s="36"/>
      <c r="JV357" s="36"/>
      <c r="JW357" s="36"/>
      <c r="JX357" s="36"/>
      <c r="JY357" s="36"/>
      <c r="JZ357" s="36"/>
      <c r="KA357" s="36"/>
      <c r="KB357" s="36"/>
      <c r="KC357" s="37"/>
      <c r="KD357" s="44"/>
      <c r="KE357" s="36"/>
      <c r="KF357" s="36"/>
      <c r="KG357" s="36"/>
      <c r="KH357" s="36"/>
      <c r="KI357" s="36"/>
      <c r="KJ357" s="36"/>
      <c r="KK357" s="36"/>
      <c r="KL357" s="36"/>
      <c r="KM357" s="36"/>
      <c r="KN357" s="36"/>
      <c r="KO357" s="36"/>
      <c r="KP357" s="36"/>
      <c r="KQ357" s="36"/>
      <c r="KR357" s="36"/>
      <c r="KS357" s="36"/>
      <c r="KT357" s="37"/>
      <c r="KU357" s="36"/>
    </row>
    <row r="358" ht="15.0" customHeight="1">
      <c r="A358" s="44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7"/>
      <c r="R358" s="44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7"/>
      <c r="AI358" s="44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  <c r="AU358" s="36"/>
      <c r="AV358" s="36"/>
      <c r="AW358" s="36"/>
      <c r="AX358" s="36"/>
      <c r="AY358" s="37"/>
      <c r="AZ358" s="44"/>
      <c r="BA358" s="36"/>
      <c r="BB358" s="36"/>
      <c r="BC358" s="36"/>
      <c r="BD358" s="36"/>
      <c r="BE358" s="36"/>
      <c r="BF358" s="36"/>
      <c r="BG358" s="36"/>
      <c r="BH358" s="36"/>
      <c r="BI358" s="36"/>
      <c r="BJ358" s="36"/>
      <c r="BK358" s="36"/>
      <c r="BL358" s="36"/>
      <c r="BM358" s="36"/>
      <c r="BN358" s="36"/>
      <c r="BO358" s="36"/>
      <c r="BP358" s="37"/>
      <c r="BQ358" s="44"/>
      <c r="BR358" s="36"/>
      <c r="BS358" s="36"/>
      <c r="BT358" s="36"/>
      <c r="BU358" s="36"/>
      <c r="BV358" s="36"/>
      <c r="BW358" s="36"/>
      <c r="BX358" s="36"/>
      <c r="BY358" s="36"/>
      <c r="BZ358" s="36"/>
      <c r="CA358" s="36"/>
      <c r="CB358" s="36"/>
      <c r="CC358" s="36"/>
      <c r="CD358" s="36"/>
      <c r="CE358" s="36"/>
      <c r="CF358" s="36"/>
      <c r="CG358" s="37"/>
      <c r="CH358" s="44"/>
      <c r="CI358" s="36"/>
      <c r="CJ358" s="36"/>
      <c r="CK358" s="36"/>
      <c r="CL358" s="36"/>
      <c r="CM358" s="36"/>
      <c r="CN358" s="36"/>
      <c r="CO358" s="36"/>
      <c r="CP358" s="36"/>
      <c r="CQ358" s="36"/>
      <c r="CR358" s="36"/>
      <c r="CS358" s="36"/>
      <c r="CT358" s="36"/>
      <c r="CU358" s="36"/>
      <c r="CV358" s="36"/>
      <c r="CW358" s="36"/>
      <c r="CX358" s="37"/>
      <c r="CY358" s="44"/>
      <c r="CZ358" s="36"/>
      <c r="DA358" s="36"/>
      <c r="DB358" s="36"/>
      <c r="DC358" s="36"/>
      <c r="DD358" s="36"/>
      <c r="DE358" s="36"/>
      <c r="DF358" s="36"/>
      <c r="DG358" s="36"/>
      <c r="DH358" s="36"/>
      <c r="DI358" s="36"/>
      <c r="DJ358" s="36"/>
      <c r="DK358" s="36"/>
      <c r="DL358" s="36"/>
      <c r="DM358" s="36"/>
      <c r="DN358" s="36"/>
      <c r="DO358" s="37"/>
      <c r="DP358" s="44"/>
      <c r="DQ358" s="36"/>
      <c r="DR358" s="36"/>
      <c r="DS358" s="36"/>
      <c r="DT358" s="36"/>
      <c r="DU358" s="36"/>
      <c r="DV358" s="36"/>
      <c r="DW358" s="36"/>
      <c r="DX358" s="36"/>
      <c r="DY358" s="36"/>
      <c r="DZ358" s="36"/>
      <c r="EA358" s="36"/>
      <c r="EB358" s="36"/>
      <c r="EC358" s="36"/>
      <c r="ED358" s="36"/>
      <c r="EE358" s="36"/>
      <c r="EF358" s="37"/>
      <c r="EG358" s="44"/>
      <c r="EH358" s="36"/>
      <c r="EI358" s="36"/>
      <c r="EJ358" s="36"/>
      <c r="EK358" s="36"/>
      <c r="EL358" s="36"/>
      <c r="EM358" s="36"/>
      <c r="EN358" s="36"/>
      <c r="EO358" s="36"/>
      <c r="EP358" s="36"/>
      <c r="EQ358" s="36"/>
      <c r="ER358" s="36"/>
      <c r="ES358" s="36"/>
      <c r="ET358" s="36"/>
      <c r="EU358" s="36"/>
      <c r="EV358" s="36"/>
      <c r="EW358" s="37"/>
      <c r="EX358" s="44"/>
      <c r="EY358" s="36"/>
      <c r="EZ358" s="36"/>
      <c r="FA358" s="36"/>
      <c r="FB358" s="36"/>
      <c r="FC358" s="36"/>
      <c r="FD358" s="36"/>
      <c r="FE358" s="36"/>
      <c r="FF358" s="36"/>
      <c r="FG358" s="36"/>
      <c r="FH358" s="36"/>
      <c r="FI358" s="36"/>
      <c r="FJ358" s="36"/>
      <c r="FK358" s="36"/>
      <c r="FL358" s="36"/>
      <c r="FM358" s="36"/>
      <c r="FN358" s="37"/>
      <c r="FO358" s="44"/>
      <c r="FP358" s="36"/>
      <c r="FQ358" s="36"/>
      <c r="FR358" s="36"/>
      <c r="FS358" s="36"/>
      <c r="FT358" s="36"/>
      <c r="FU358" s="36"/>
      <c r="FV358" s="36"/>
      <c r="FW358" s="36"/>
      <c r="FX358" s="36"/>
      <c r="FY358" s="36"/>
      <c r="FZ358" s="36"/>
      <c r="GA358" s="36"/>
      <c r="GB358" s="36"/>
      <c r="GC358" s="36"/>
      <c r="GD358" s="36"/>
      <c r="GE358" s="37"/>
      <c r="GF358" s="44"/>
      <c r="GG358" s="36"/>
      <c r="GH358" s="36"/>
      <c r="GI358" s="36"/>
      <c r="GJ358" s="36"/>
      <c r="GK358" s="36"/>
      <c r="GL358" s="36"/>
      <c r="GM358" s="36"/>
      <c r="GN358" s="36"/>
      <c r="GO358" s="36"/>
      <c r="GP358" s="36"/>
      <c r="GQ358" s="36"/>
      <c r="GR358" s="36"/>
      <c r="GS358" s="36"/>
      <c r="GT358" s="36"/>
      <c r="GU358" s="36"/>
      <c r="GV358" s="37"/>
      <c r="GW358" s="44"/>
      <c r="GX358" s="36"/>
      <c r="GY358" s="36"/>
      <c r="GZ358" s="36"/>
      <c r="HA358" s="36"/>
      <c r="HB358" s="36"/>
      <c r="HC358" s="36"/>
      <c r="HD358" s="36"/>
      <c r="HE358" s="36"/>
      <c r="HF358" s="36"/>
      <c r="HG358" s="36"/>
      <c r="HH358" s="36"/>
      <c r="HI358" s="36"/>
      <c r="HJ358" s="36"/>
      <c r="HK358" s="36"/>
      <c r="HL358" s="36"/>
      <c r="HM358" s="37"/>
      <c r="HN358" s="44"/>
      <c r="HO358" s="36"/>
      <c r="HP358" s="36"/>
      <c r="HQ358" s="36"/>
      <c r="HR358" s="36"/>
      <c r="HS358" s="36"/>
      <c r="HT358" s="36"/>
      <c r="HU358" s="36"/>
      <c r="HV358" s="36"/>
      <c r="HW358" s="36"/>
      <c r="HX358" s="36"/>
      <c r="HY358" s="36"/>
      <c r="HZ358" s="36"/>
      <c r="IA358" s="36"/>
      <c r="IB358" s="36"/>
      <c r="IC358" s="36"/>
      <c r="ID358" s="37"/>
      <c r="IE358" s="44"/>
      <c r="IF358" s="36"/>
      <c r="IG358" s="36"/>
      <c r="IH358" s="36"/>
      <c r="II358" s="36"/>
      <c r="IJ358" s="36"/>
      <c r="IK358" s="36"/>
      <c r="IL358" s="36"/>
      <c r="IM358" s="36"/>
      <c r="IN358" s="36"/>
      <c r="IO358" s="36"/>
      <c r="IP358" s="36"/>
      <c r="IQ358" s="36"/>
      <c r="IR358" s="36"/>
      <c r="IS358" s="36"/>
      <c r="IT358" s="36"/>
      <c r="IU358" s="37"/>
      <c r="IV358" s="44"/>
      <c r="IW358" s="36"/>
      <c r="IX358" s="36"/>
      <c r="IY358" s="36"/>
      <c r="IZ358" s="36"/>
      <c r="JA358" s="36"/>
      <c r="JB358" s="36"/>
      <c r="JC358" s="36"/>
      <c r="JD358" s="36"/>
      <c r="JE358" s="36"/>
      <c r="JF358" s="36"/>
      <c r="JG358" s="36"/>
      <c r="JH358" s="36"/>
      <c r="JI358" s="36"/>
      <c r="JJ358" s="36"/>
      <c r="JK358" s="36"/>
      <c r="JL358" s="37"/>
      <c r="JM358" s="44"/>
      <c r="JN358" s="36"/>
      <c r="JO358" s="36"/>
      <c r="JP358" s="36"/>
      <c r="JQ358" s="36"/>
      <c r="JR358" s="36"/>
      <c r="JS358" s="36"/>
      <c r="JT358" s="36"/>
      <c r="JU358" s="36"/>
      <c r="JV358" s="36"/>
      <c r="JW358" s="36"/>
      <c r="JX358" s="36"/>
      <c r="JY358" s="36"/>
      <c r="JZ358" s="36"/>
      <c r="KA358" s="36"/>
      <c r="KB358" s="36"/>
      <c r="KC358" s="37"/>
      <c r="KD358" s="44"/>
      <c r="KE358" s="36"/>
      <c r="KF358" s="36"/>
      <c r="KG358" s="36"/>
      <c r="KH358" s="36"/>
      <c r="KI358" s="36"/>
      <c r="KJ358" s="36"/>
      <c r="KK358" s="36"/>
      <c r="KL358" s="36"/>
      <c r="KM358" s="36"/>
      <c r="KN358" s="36"/>
      <c r="KO358" s="36"/>
      <c r="KP358" s="36"/>
      <c r="KQ358" s="36"/>
      <c r="KR358" s="36"/>
      <c r="KS358" s="36"/>
      <c r="KT358" s="37"/>
      <c r="KU358" s="36"/>
    </row>
    <row r="359" ht="15.0" customHeight="1">
      <c r="A359" s="44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7"/>
      <c r="R359" s="44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7"/>
      <c r="AI359" s="44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36"/>
      <c r="AU359" s="36"/>
      <c r="AV359" s="36"/>
      <c r="AW359" s="36"/>
      <c r="AX359" s="36"/>
      <c r="AY359" s="37"/>
      <c r="AZ359" s="44"/>
      <c r="BA359" s="36"/>
      <c r="BB359" s="36"/>
      <c r="BC359" s="36"/>
      <c r="BD359" s="36"/>
      <c r="BE359" s="36"/>
      <c r="BF359" s="36"/>
      <c r="BG359" s="36"/>
      <c r="BH359" s="36"/>
      <c r="BI359" s="36"/>
      <c r="BJ359" s="36"/>
      <c r="BK359" s="36"/>
      <c r="BL359" s="36"/>
      <c r="BM359" s="36"/>
      <c r="BN359" s="36"/>
      <c r="BO359" s="36"/>
      <c r="BP359" s="37"/>
      <c r="BQ359" s="44"/>
      <c r="BR359" s="36"/>
      <c r="BS359" s="36"/>
      <c r="BT359" s="36"/>
      <c r="BU359" s="36"/>
      <c r="BV359" s="36"/>
      <c r="BW359" s="36"/>
      <c r="BX359" s="36"/>
      <c r="BY359" s="36"/>
      <c r="BZ359" s="36"/>
      <c r="CA359" s="36"/>
      <c r="CB359" s="36"/>
      <c r="CC359" s="36"/>
      <c r="CD359" s="36"/>
      <c r="CE359" s="36"/>
      <c r="CF359" s="36"/>
      <c r="CG359" s="37"/>
      <c r="CH359" s="44"/>
      <c r="CI359" s="36"/>
      <c r="CJ359" s="36"/>
      <c r="CK359" s="36"/>
      <c r="CL359" s="36"/>
      <c r="CM359" s="36"/>
      <c r="CN359" s="36"/>
      <c r="CO359" s="36"/>
      <c r="CP359" s="36"/>
      <c r="CQ359" s="36"/>
      <c r="CR359" s="36"/>
      <c r="CS359" s="36"/>
      <c r="CT359" s="36"/>
      <c r="CU359" s="36"/>
      <c r="CV359" s="36"/>
      <c r="CW359" s="36"/>
      <c r="CX359" s="37"/>
      <c r="CY359" s="44"/>
      <c r="CZ359" s="36"/>
      <c r="DA359" s="36"/>
      <c r="DB359" s="36"/>
      <c r="DC359" s="36"/>
      <c r="DD359" s="36"/>
      <c r="DE359" s="36"/>
      <c r="DF359" s="36"/>
      <c r="DG359" s="36"/>
      <c r="DH359" s="36"/>
      <c r="DI359" s="36"/>
      <c r="DJ359" s="36"/>
      <c r="DK359" s="36"/>
      <c r="DL359" s="36"/>
      <c r="DM359" s="36"/>
      <c r="DN359" s="36"/>
      <c r="DO359" s="37"/>
      <c r="DP359" s="44"/>
      <c r="DQ359" s="36"/>
      <c r="DR359" s="36"/>
      <c r="DS359" s="36"/>
      <c r="DT359" s="36"/>
      <c r="DU359" s="36"/>
      <c r="DV359" s="36"/>
      <c r="DW359" s="36"/>
      <c r="DX359" s="36"/>
      <c r="DY359" s="36"/>
      <c r="DZ359" s="36"/>
      <c r="EA359" s="36"/>
      <c r="EB359" s="36"/>
      <c r="EC359" s="36"/>
      <c r="ED359" s="36"/>
      <c r="EE359" s="36"/>
      <c r="EF359" s="37"/>
      <c r="EG359" s="44"/>
      <c r="EH359" s="36"/>
      <c r="EI359" s="36"/>
      <c r="EJ359" s="36"/>
      <c r="EK359" s="36"/>
      <c r="EL359" s="36"/>
      <c r="EM359" s="36"/>
      <c r="EN359" s="36"/>
      <c r="EO359" s="36"/>
      <c r="EP359" s="36"/>
      <c r="EQ359" s="36"/>
      <c r="ER359" s="36"/>
      <c r="ES359" s="36"/>
      <c r="ET359" s="36"/>
      <c r="EU359" s="36"/>
      <c r="EV359" s="36"/>
      <c r="EW359" s="37"/>
      <c r="EX359" s="44"/>
      <c r="EY359" s="36"/>
      <c r="EZ359" s="36"/>
      <c r="FA359" s="36"/>
      <c r="FB359" s="36"/>
      <c r="FC359" s="36"/>
      <c r="FD359" s="36"/>
      <c r="FE359" s="36"/>
      <c r="FF359" s="36"/>
      <c r="FG359" s="36"/>
      <c r="FH359" s="36"/>
      <c r="FI359" s="36"/>
      <c r="FJ359" s="36"/>
      <c r="FK359" s="36"/>
      <c r="FL359" s="36"/>
      <c r="FM359" s="36"/>
      <c r="FN359" s="37"/>
      <c r="FO359" s="44"/>
      <c r="FP359" s="36"/>
      <c r="FQ359" s="36"/>
      <c r="FR359" s="36"/>
      <c r="FS359" s="36"/>
      <c r="FT359" s="36"/>
      <c r="FU359" s="36"/>
      <c r="FV359" s="36"/>
      <c r="FW359" s="36"/>
      <c r="FX359" s="36"/>
      <c r="FY359" s="36"/>
      <c r="FZ359" s="36"/>
      <c r="GA359" s="36"/>
      <c r="GB359" s="36"/>
      <c r="GC359" s="36"/>
      <c r="GD359" s="36"/>
      <c r="GE359" s="37"/>
      <c r="GF359" s="44"/>
      <c r="GG359" s="36"/>
      <c r="GH359" s="36"/>
      <c r="GI359" s="36"/>
      <c r="GJ359" s="36"/>
      <c r="GK359" s="36"/>
      <c r="GL359" s="36"/>
      <c r="GM359" s="36"/>
      <c r="GN359" s="36"/>
      <c r="GO359" s="36"/>
      <c r="GP359" s="36"/>
      <c r="GQ359" s="36"/>
      <c r="GR359" s="36"/>
      <c r="GS359" s="36"/>
      <c r="GT359" s="36"/>
      <c r="GU359" s="36"/>
      <c r="GV359" s="37"/>
      <c r="GW359" s="44"/>
      <c r="GX359" s="36"/>
      <c r="GY359" s="36"/>
      <c r="GZ359" s="36"/>
      <c r="HA359" s="36"/>
      <c r="HB359" s="36"/>
      <c r="HC359" s="36"/>
      <c r="HD359" s="36"/>
      <c r="HE359" s="36"/>
      <c r="HF359" s="36"/>
      <c r="HG359" s="36"/>
      <c r="HH359" s="36"/>
      <c r="HI359" s="36"/>
      <c r="HJ359" s="36"/>
      <c r="HK359" s="36"/>
      <c r="HL359" s="36"/>
      <c r="HM359" s="37"/>
      <c r="HN359" s="44"/>
      <c r="HO359" s="36"/>
      <c r="HP359" s="36"/>
      <c r="HQ359" s="36"/>
      <c r="HR359" s="36"/>
      <c r="HS359" s="36"/>
      <c r="HT359" s="36"/>
      <c r="HU359" s="36"/>
      <c r="HV359" s="36"/>
      <c r="HW359" s="36"/>
      <c r="HX359" s="36"/>
      <c r="HY359" s="36"/>
      <c r="HZ359" s="36"/>
      <c r="IA359" s="36"/>
      <c r="IB359" s="36"/>
      <c r="IC359" s="36"/>
      <c r="ID359" s="37"/>
      <c r="IE359" s="44"/>
      <c r="IF359" s="36"/>
      <c r="IG359" s="36"/>
      <c r="IH359" s="36"/>
      <c r="II359" s="36"/>
      <c r="IJ359" s="36"/>
      <c r="IK359" s="36"/>
      <c r="IL359" s="36"/>
      <c r="IM359" s="36"/>
      <c r="IN359" s="36"/>
      <c r="IO359" s="36"/>
      <c r="IP359" s="36"/>
      <c r="IQ359" s="36"/>
      <c r="IR359" s="36"/>
      <c r="IS359" s="36"/>
      <c r="IT359" s="36"/>
      <c r="IU359" s="37"/>
      <c r="IV359" s="44"/>
      <c r="IW359" s="36"/>
      <c r="IX359" s="36"/>
      <c r="IY359" s="36"/>
      <c r="IZ359" s="36"/>
      <c r="JA359" s="36"/>
      <c r="JB359" s="36"/>
      <c r="JC359" s="36"/>
      <c r="JD359" s="36"/>
      <c r="JE359" s="36"/>
      <c r="JF359" s="36"/>
      <c r="JG359" s="36"/>
      <c r="JH359" s="36"/>
      <c r="JI359" s="36"/>
      <c r="JJ359" s="36"/>
      <c r="JK359" s="36"/>
      <c r="JL359" s="37"/>
      <c r="JM359" s="44"/>
      <c r="JN359" s="36"/>
      <c r="JO359" s="36"/>
      <c r="JP359" s="36"/>
      <c r="JQ359" s="36"/>
      <c r="JR359" s="36"/>
      <c r="JS359" s="36"/>
      <c r="JT359" s="36"/>
      <c r="JU359" s="36"/>
      <c r="JV359" s="36"/>
      <c r="JW359" s="36"/>
      <c r="JX359" s="36"/>
      <c r="JY359" s="36"/>
      <c r="JZ359" s="36"/>
      <c r="KA359" s="36"/>
      <c r="KB359" s="36"/>
      <c r="KC359" s="37"/>
      <c r="KD359" s="44"/>
      <c r="KE359" s="36"/>
      <c r="KF359" s="36"/>
      <c r="KG359" s="36"/>
      <c r="KH359" s="36"/>
      <c r="KI359" s="36"/>
      <c r="KJ359" s="36"/>
      <c r="KK359" s="36"/>
      <c r="KL359" s="36"/>
      <c r="KM359" s="36"/>
      <c r="KN359" s="36"/>
      <c r="KO359" s="36"/>
      <c r="KP359" s="36"/>
      <c r="KQ359" s="36"/>
      <c r="KR359" s="36"/>
      <c r="KS359" s="36"/>
      <c r="KT359" s="37"/>
      <c r="KU359" s="36"/>
    </row>
    <row r="360" ht="15.0" customHeight="1">
      <c r="A360" s="44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7"/>
      <c r="R360" s="44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7"/>
      <c r="AI360" s="44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36"/>
      <c r="AU360" s="36"/>
      <c r="AV360" s="36"/>
      <c r="AW360" s="36"/>
      <c r="AX360" s="36"/>
      <c r="AY360" s="37"/>
      <c r="AZ360" s="44"/>
      <c r="BA360" s="36"/>
      <c r="BB360" s="36"/>
      <c r="BC360" s="36"/>
      <c r="BD360" s="36"/>
      <c r="BE360" s="36"/>
      <c r="BF360" s="36"/>
      <c r="BG360" s="36"/>
      <c r="BH360" s="36"/>
      <c r="BI360" s="36"/>
      <c r="BJ360" s="36"/>
      <c r="BK360" s="36"/>
      <c r="BL360" s="36"/>
      <c r="BM360" s="36"/>
      <c r="BN360" s="36"/>
      <c r="BO360" s="36"/>
      <c r="BP360" s="37"/>
      <c r="BQ360" s="44"/>
      <c r="BR360" s="36"/>
      <c r="BS360" s="36"/>
      <c r="BT360" s="36"/>
      <c r="BU360" s="36"/>
      <c r="BV360" s="36"/>
      <c r="BW360" s="36"/>
      <c r="BX360" s="36"/>
      <c r="BY360" s="36"/>
      <c r="BZ360" s="36"/>
      <c r="CA360" s="36"/>
      <c r="CB360" s="36"/>
      <c r="CC360" s="36"/>
      <c r="CD360" s="36"/>
      <c r="CE360" s="36"/>
      <c r="CF360" s="36"/>
      <c r="CG360" s="37"/>
      <c r="CH360" s="44"/>
      <c r="CI360" s="36"/>
      <c r="CJ360" s="36"/>
      <c r="CK360" s="36"/>
      <c r="CL360" s="36"/>
      <c r="CM360" s="36"/>
      <c r="CN360" s="36"/>
      <c r="CO360" s="36"/>
      <c r="CP360" s="36"/>
      <c r="CQ360" s="36"/>
      <c r="CR360" s="36"/>
      <c r="CS360" s="36"/>
      <c r="CT360" s="36"/>
      <c r="CU360" s="36"/>
      <c r="CV360" s="36"/>
      <c r="CW360" s="36"/>
      <c r="CX360" s="37"/>
      <c r="CY360" s="44"/>
      <c r="CZ360" s="36"/>
      <c r="DA360" s="36"/>
      <c r="DB360" s="36"/>
      <c r="DC360" s="36"/>
      <c r="DD360" s="36"/>
      <c r="DE360" s="36"/>
      <c r="DF360" s="36"/>
      <c r="DG360" s="36"/>
      <c r="DH360" s="36"/>
      <c r="DI360" s="36"/>
      <c r="DJ360" s="36"/>
      <c r="DK360" s="36"/>
      <c r="DL360" s="36"/>
      <c r="DM360" s="36"/>
      <c r="DN360" s="36"/>
      <c r="DO360" s="37"/>
      <c r="DP360" s="44"/>
      <c r="DQ360" s="36"/>
      <c r="DR360" s="36"/>
      <c r="DS360" s="36"/>
      <c r="DT360" s="36"/>
      <c r="DU360" s="36"/>
      <c r="DV360" s="36"/>
      <c r="DW360" s="36"/>
      <c r="DX360" s="36"/>
      <c r="DY360" s="36"/>
      <c r="DZ360" s="36"/>
      <c r="EA360" s="36"/>
      <c r="EB360" s="36"/>
      <c r="EC360" s="36"/>
      <c r="ED360" s="36"/>
      <c r="EE360" s="36"/>
      <c r="EF360" s="37"/>
      <c r="EG360" s="44"/>
      <c r="EH360" s="36"/>
      <c r="EI360" s="36"/>
      <c r="EJ360" s="36"/>
      <c r="EK360" s="36"/>
      <c r="EL360" s="36"/>
      <c r="EM360" s="36"/>
      <c r="EN360" s="36"/>
      <c r="EO360" s="36"/>
      <c r="EP360" s="36"/>
      <c r="EQ360" s="36"/>
      <c r="ER360" s="36"/>
      <c r="ES360" s="36"/>
      <c r="ET360" s="36"/>
      <c r="EU360" s="36"/>
      <c r="EV360" s="36"/>
      <c r="EW360" s="37"/>
      <c r="EX360" s="44"/>
      <c r="EY360" s="36"/>
      <c r="EZ360" s="36"/>
      <c r="FA360" s="36"/>
      <c r="FB360" s="36"/>
      <c r="FC360" s="36"/>
      <c r="FD360" s="36"/>
      <c r="FE360" s="36"/>
      <c r="FF360" s="36"/>
      <c r="FG360" s="36"/>
      <c r="FH360" s="36"/>
      <c r="FI360" s="36"/>
      <c r="FJ360" s="36"/>
      <c r="FK360" s="36"/>
      <c r="FL360" s="36"/>
      <c r="FM360" s="36"/>
      <c r="FN360" s="37"/>
      <c r="FO360" s="44"/>
      <c r="FP360" s="36"/>
      <c r="FQ360" s="36"/>
      <c r="FR360" s="36"/>
      <c r="FS360" s="36"/>
      <c r="FT360" s="36"/>
      <c r="FU360" s="36"/>
      <c r="FV360" s="36"/>
      <c r="FW360" s="36"/>
      <c r="FX360" s="36"/>
      <c r="FY360" s="36"/>
      <c r="FZ360" s="36"/>
      <c r="GA360" s="36"/>
      <c r="GB360" s="36"/>
      <c r="GC360" s="36"/>
      <c r="GD360" s="36"/>
      <c r="GE360" s="37"/>
      <c r="GF360" s="44"/>
      <c r="GG360" s="36"/>
      <c r="GH360" s="36"/>
      <c r="GI360" s="36"/>
      <c r="GJ360" s="36"/>
      <c r="GK360" s="36"/>
      <c r="GL360" s="36"/>
      <c r="GM360" s="36"/>
      <c r="GN360" s="36"/>
      <c r="GO360" s="36"/>
      <c r="GP360" s="36"/>
      <c r="GQ360" s="36"/>
      <c r="GR360" s="36"/>
      <c r="GS360" s="36"/>
      <c r="GT360" s="36"/>
      <c r="GU360" s="36"/>
      <c r="GV360" s="37"/>
      <c r="GW360" s="44"/>
      <c r="GX360" s="36"/>
      <c r="GY360" s="36"/>
      <c r="GZ360" s="36"/>
      <c r="HA360" s="36"/>
      <c r="HB360" s="36"/>
      <c r="HC360" s="36"/>
      <c r="HD360" s="36"/>
      <c r="HE360" s="36"/>
      <c r="HF360" s="36"/>
      <c r="HG360" s="36"/>
      <c r="HH360" s="36"/>
      <c r="HI360" s="36"/>
      <c r="HJ360" s="36"/>
      <c r="HK360" s="36"/>
      <c r="HL360" s="36"/>
      <c r="HM360" s="37"/>
      <c r="HN360" s="44"/>
      <c r="HO360" s="36"/>
      <c r="HP360" s="36"/>
      <c r="HQ360" s="36"/>
      <c r="HR360" s="36"/>
      <c r="HS360" s="36"/>
      <c r="HT360" s="36"/>
      <c r="HU360" s="36"/>
      <c r="HV360" s="36"/>
      <c r="HW360" s="36"/>
      <c r="HX360" s="36"/>
      <c r="HY360" s="36"/>
      <c r="HZ360" s="36"/>
      <c r="IA360" s="36"/>
      <c r="IB360" s="36"/>
      <c r="IC360" s="36"/>
      <c r="ID360" s="37"/>
      <c r="IE360" s="44"/>
      <c r="IF360" s="36"/>
      <c r="IG360" s="36"/>
      <c r="IH360" s="36"/>
      <c r="II360" s="36"/>
      <c r="IJ360" s="36"/>
      <c r="IK360" s="36"/>
      <c r="IL360" s="36"/>
      <c r="IM360" s="36"/>
      <c r="IN360" s="36"/>
      <c r="IO360" s="36"/>
      <c r="IP360" s="36"/>
      <c r="IQ360" s="36"/>
      <c r="IR360" s="36"/>
      <c r="IS360" s="36"/>
      <c r="IT360" s="36"/>
      <c r="IU360" s="37"/>
      <c r="IV360" s="44"/>
      <c r="IW360" s="36"/>
      <c r="IX360" s="36"/>
      <c r="IY360" s="36"/>
      <c r="IZ360" s="36"/>
      <c r="JA360" s="36"/>
      <c r="JB360" s="36"/>
      <c r="JC360" s="36"/>
      <c r="JD360" s="36"/>
      <c r="JE360" s="36"/>
      <c r="JF360" s="36"/>
      <c r="JG360" s="36"/>
      <c r="JH360" s="36"/>
      <c r="JI360" s="36"/>
      <c r="JJ360" s="36"/>
      <c r="JK360" s="36"/>
      <c r="JL360" s="37"/>
      <c r="JM360" s="44"/>
      <c r="JN360" s="36"/>
      <c r="JO360" s="36"/>
      <c r="JP360" s="36"/>
      <c r="JQ360" s="36"/>
      <c r="JR360" s="36"/>
      <c r="JS360" s="36"/>
      <c r="JT360" s="36"/>
      <c r="JU360" s="36"/>
      <c r="JV360" s="36"/>
      <c r="JW360" s="36"/>
      <c r="JX360" s="36"/>
      <c r="JY360" s="36"/>
      <c r="JZ360" s="36"/>
      <c r="KA360" s="36"/>
      <c r="KB360" s="36"/>
      <c r="KC360" s="37"/>
      <c r="KD360" s="44"/>
      <c r="KE360" s="36"/>
      <c r="KF360" s="36"/>
      <c r="KG360" s="36"/>
      <c r="KH360" s="36"/>
      <c r="KI360" s="36"/>
      <c r="KJ360" s="36"/>
      <c r="KK360" s="36"/>
      <c r="KL360" s="36"/>
      <c r="KM360" s="36"/>
      <c r="KN360" s="36"/>
      <c r="KO360" s="36"/>
      <c r="KP360" s="36"/>
      <c r="KQ360" s="36"/>
      <c r="KR360" s="36"/>
      <c r="KS360" s="36"/>
      <c r="KT360" s="37"/>
      <c r="KU360" s="36"/>
    </row>
    <row r="361" ht="15.0" customHeight="1">
      <c r="A361" s="44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7"/>
      <c r="R361" s="44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7"/>
      <c r="AI361" s="44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36"/>
      <c r="AU361" s="36"/>
      <c r="AV361" s="36"/>
      <c r="AW361" s="36"/>
      <c r="AX361" s="36"/>
      <c r="AY361" s="37"/>
      <c r="AZ361" s="44"/>
      <c r="BA361" s="36"/>
      <c r="BB361" s="36"/>
      <c r="BC361" s="36"/>
      <c r="BD361" s="36"/>
      <c r="BE361" s="36"/>
      <c r="BF361" s="36"/>
      <c r="BG361" s="36"/>
      <c r="BH361" s="36"/>
      <c r="BI361" s="36"/>
      <c r="BJ361" s="36"/>
      <c r="BK361" s="36"/>
      <c r="BL361" s="36"/>
      <c r="BM361" s="36"/>
      <c r="BN361" s="36"/>
      <c r="BO361" s="36"/>
      <c r="BP361" s="37"/>
      <c r="BQ361" s="44"/>
      <c r="BR361" s="36"/>
      <c r="BS361" s="36"/>
      <c r="BT361" s="36"/>
      <c r="BU361" s="36"/>
      <c r="BV361" s="36"/>
      <c r="BW361" s="36"/>
      <c r="BX361" s="36"/>
      <c r="BY361" s="36"/>
      <c r="BZ361" s="36"/>
      <c r="CA361" s="36"/>
      <c r="CB361" s="36"/>
      <c r="CC361" s="36"/>
      <c r="CD361" s="36"/>
      <c r="CE361" s="36"/>
      <c r="CF361" s="36"/>
      <c r="CG361" s="37"/>
      <c r="CH361" s="44"/>
      <c r="CI361" s="36"/>
      <c r="CJ361" s="36"/>
      <c r="CK361" s="36"/>
      <c r="CL361" s="36"/>
      <c r="CM361" s="36"/>
      <c r="CN361" s="36"/>
      <c r="CO361" s="36"/>
      <c r="CP361" s="36"/>
      <c r="CQ361" s="36"/>
      <c r="CR361" s="36"/>
      <c r="CS361" s="36"/>
      <c r="CT361" s="36"/>
      <c r="CU361" s="36"/>
      <c r="CV361" s="36"/>
      <c r="CW361" s="36"/>
      <c r="CX361" s="37"/>
      <c r="CY361" s="44"/>
      <c r="CZ361" s="36"/>
      <c r="DA361" s="36"/>
      <c r="DB361" s="36"/>
      <c r="DC361" s="36"/>
      <c r="DD361" s="36"/>
      <c r="DE361" s="36"/>
      <c r="DF361" s="36"/>
      <c r="DG361" s="36"/>
      <c r="DH361" s="36"/>
      <c r="DI361" s="36"/>
      <c r="DJ361" s="36"/>
      <c r="DK361" s="36"/>
      <c r="DL361" s="36"/>
      <c r="DM361" s="36"/>
      <c r="DN361" s="36"/>
      <c r="DO361" s="37"/>
      <c r="DP361" s="44"/>
      <c r="DQ361" s="36"/>
      <c r="DR361" s="36"/>
      <c r="DS361" s="36"/>
      <c r="DT361" s="36"/>
      <c r="DU361" s="36"/>
      <c r="DV361" s="36"/>
      <c r="DW361" s="36"/>
      <c r="DX361" s="36"/>
      <c r="DY361" s="36"/>
      <c r="DZ361" s="36"/>
      <c r="EA361" s="36"/>
      <c r="EB361" s="36"/>
      <c r="EC361" s="36"/>
      <c r="ED361" s="36"/>
      <c r="EE361" s="36"/>
      <c r="EF361" s="37"/>
      <c r="EG361" s="44"/>
      <c r="EH361" s="36"/>
      <c r="EI361" s="36"/>
      <c r="EJ361" s="36"/>
      <c r="EK361" s="36"/>
      <c r="EL361" s="36"/>
      <c r="EM361" s="36"/>
      <c r="EN361" s="36"/>
      <c r="EO361" s="36"/>
      <c r="EP361" s="36"/>
      <c r="EQ361" s="36"/>
      <c r="ER361" s="36"/>
      <c r="ES361" s="36"/>
      <c r="ET361" s="36"/>
      <c r="EU361" s="36"/>
      <c r="EV361" s="36"/>
      <c r="EW361" s="37"/>
      <c r="EX361" s="44"/>
      <c r="EY361" s="36"/>
      <c r="EZ361" s="36"/>
      <c r="FA361" s="36"/>
      <c r="FB361" s="36"/>
      <c r="FC361" s="36"/>
      <c r="FD361" s="36"/>
      <c r="FE361" s="36"/>
      <c r="FF361" s="36"/>
      <c r="FG361" s="36"/>
      <c r="FH361" s="36"/>
      <c r="FI361" s="36"/>
      <c r="FJ361" s="36"/>
      <c r="FK361" s="36"/>
      <c r="FL361" s="36"/>
      <c r="FM361" s="36"/>
      <c r="FN361" s="37"/>
      <c r="FO361" s="44"/>
      <c r="FP361" s="36"/>
      <c r="FQ361" s="36"/>
      <c r="FR361" s="36"/>
      <c r="FS361" s="36"/>
      <c r="FT361" s="36"/>
      <c r="FU361" s="36"/>
      <c r="FV361" s="36"/>
      <c r="FW361" s="36"/>
      <c r="FX361" s="36"/>
      <c r="FY361" s="36"/>
      <c r="FZ361" s="36"/>
      <c r="GA361" s="36"/>
      <c r="GB361" s="36"/>
      <c r="GC361" s="36"/>
      <c r="GD361" s="36"/>
      <c r="GE361" s="37"/>
      <c r="GF361" s="44"/>
      <c r="GG361" s="36"/>
      <c r="GH361" s="36"/>
      <c r="GI361" s="36"/>
      <c r="GJ361" s="36"/>
      <c r="GK361" s="36"/>
      <c r="GL361" s="36"/>
      <c r="GM361" s="36"/>
      <c r="GN361" s="36"/>
      <c r="GO361" s="36"/>
      <c r="GP361" s="36"/>
      <c r="GQ361" s="36"/>
      <c r="GR361" s="36"/>
      <c r="GS361" s="36"/>
      <c r="GT361" s="36"/>
      <c r="GU361" s="36"/>
      <c r="GV361" s="37"/>
      <c r="GW361" s="44"/>
      <c r="GX361" s="36"/>
      <c r="GY361" s="36"/>
      <c r="GZ361" s="36"/>
      <c r="HA361" s="36"/>
      <c r="HB361" s="36"/>
      <c r="HC361" s="36"/>
      <c r="HD361" s="36"/>
      <c r="HE361" s="36"/>
      <c r="HF361" s="36"/>
      <c r="HG361" s="36"/>
      <c r="HH361" s="36"/>
      <c r="HI361" s="36"/>
      <c r="HJ361" s="36"/>
      <c r="HK361" s="36"/>
      <c r="HL361" s="36"/>
      <c r="HM361" s="37"/>
      <c r="HN361" s="44"/>
      <c r="HO361" s="36"/>
      <c r="HP361" s="36"/>
      <c r="HQ361" s="36"/>
      <c r="HR361" s="36"/>
      <c r="HS361" s="36"/>
      <c r="HT361" s="36"/>
      <c r="HU361" s="36"/>
      <c r="HV361" s="36"/>
      <c r="HW361" s="36"/>
      <c r="HX361" s="36"/>
      <c r="HY361" s="36"/>
      <c r="HZ361" s="36"/>
      <c r="IA361" s="36"/>
      <c r="IB361" s="36"/>
      <c r="IC361" s="36"/>
      <c r="ID361" s="37"/>
      <c r="IE361" s="44"/>
      <c r="IF361" s="36"/>
      <c r="IG361" s="36"/>
      <c r="IH361" s="36"/>
      <c r="II361" s="36"/>
      <c r="IJ361" s="36"/>
      <c r="IK361" s="36"/>
      <c r="IL361" s="36"/>
      <c r="IM361" s="36"/>
      <c r="IN361" s="36"/>
      <c r="IO361" s="36"/>
      <c r="IP361" s="36"/>
      <c r="IQ361" s="36"/>
      <c r="IR361" s="36"/>
      <c r="IS361" s="36"/>
      <c r="IT361" s="36"/>
      <c r="IU361" s="37"/>
      <c r="IV361" s="44"/>
      <c r="IW361" s="36"/>
      <c r="IX361" s="36"/>
      <c r="IY361" s="36"/>
      <c r="IZ361" s="36"/>
      <c r="JA361" s="36"/>
      <c r="JB361" s="36"/>
      <c r="JC361" s="36"/>
      <c r="JD361" s="36"/>
      <c r="JE361" s="36"/>
      <c r="JF361" s="36"/>
      <c r="JG361" s="36"/>
      <c r="JH361" s="36"/>
      <c r="JI361" s="36"/>
      <c r="JJ361" s="36"/>
      <c r="JK361" s="36"/>
      <c r="JL361" s="37"/>
      <c r="JM361" s="44"/>
      <c r="JN361" s="36"/>
      <c r="JO361" s="36"/>
      <c r="JP361" s="36"/>
      <c r="JQ361" s="36"/>
      <c r="JR361" s="36"/>
      <c r="JS361" s="36"/>
      <c r="JT361" s="36"/>
      <c r="JU361" s="36"/>
      <c r="JV361" s="36"/>
      <c r="JW361" s="36"/>
      <c r="JX361" s="36"/>
      <c r="JY361" s="36"/>
      <c r="JZ361" s="36"/>
      <c r="KA361" s="36"/>
      <c r="KB361" s="36"/>
      <c r="KC361" s="37"/>
      <c r="KD361" s="44"/>
      <c r="KE361" s="36"/>
      <c r="KF361" s="36"/>
      <c r="KG361" s="36"/>
      <c r="KH361" s="36"/>
      <c r="KI361" s="36"/>
      <c r="KJ361" s="36"/>
      <c r="KK361" s="36"/>
      <c r="KL361" s="36"/>
      <c r="KM361" s="36"/>
      <c r="KN361" s="36"/>
      <c r="KO361" s="36"/>
      <c r="KP361" s="36"/>
      <c r="KQ361" s="36"/>
      <c r="KR361" s="36"/>
      <c r="KS361" s="36"/>
      <c r="KT361" s="37"/>
      <c r="KU361" s="36"/>
    </row>
    <row r="362" ht="15.0" customHeight="1">
      <c r="A362" s="44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7"/>
      <c r="R362" s="44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7"/>
      <c r="AI362" s="44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36"/>
      <c r="AU362" s="36"/>
      <c r="AV362" s="36"/>
      <c r="AW362" s="36"/>
      <c r="AX362" s="36"/>
      <c r="AY362" s="37"/>
      <c r="AZ362" s="44"/>
      <c r="BA362" s="36"/>
      <c r="BB362" s="36"/>
      <c r="BC362" s="36"/>
      <c r="BD362" s="36"/>
      <c r="BE362" s="36"/>
      <c r="BF362" s="36"/>
      <c r="BG362" s="36"/>
      <c r="BH362" s="36"/>
      <c r="BI362" s="36"/>
      <c r="BJ362" s="36"/>
      <c r="BK362" s="36"/>
      <c r="BL362" s="36"/>
      <c r="BM362" s="36"/>
      <c r="BN362" s="36"/>
      <c r="BO362" s="36"/>
      <c r="BP362" s="37"/>
      <c r="BQ362" s="44"/>
      <c r="BR362" s="36"/>
      <c r="BS362" s="36"/>
      <c r="BT362" s="36"/>
      <c r="BU362" s="36"/>
      <c r="BV362" s="36"/>
      <c r="BW362" s="36"/>
      <c r="BX362" s="36"/>
      <c r="BY362" s="36"/>
      <c r="BZ362" s="36"/>
      <c r="CA362" s="36"/>
      <c r="CB362" s="36"/>
      <c r="CC362" s="36"/>
      <c r="CD362" s="36"/>
      <c r="CE362" s="36"/>
      <c r="CF362" s="36"/>
      <c r="CG362" s="37"/>
      <c r="CH362" s="44"/>
      <c r="CI362" s="36"/>
      <c r="CJ362" s="36"/>
      <c r="CK362" s="36"/>
      <c r="CL362" s="36"/>
      <c r="CM362" s="36"/>
      <c r="CN362" s="36"/>
      <c r="CO362" s="36"/>
      <c r="CP362" s="36"/>
      <c r="CQ362" s="36"/>
      <c r="CR362" s="36"/>
      <c r="CS362" s="36"/>
      <c r="CT362" s="36"/>
      <c r="CU362" s="36"/>
      <c r="CV362" s="36"/>
      <c r="CW362" s="36"/>
      <c r="CX362" s="37"/>
      <c r="CY362" s="44"/>
      <c r="CZ362" s="36"/>
      <c r="DA362" s="36"/>
      <c r="DB362" s="36"/>
      <c r="DC362" s="36"/>
      <c r="DD362" s="36"/>
      <c r="DE362" s="36"/>
      <c r="DF362" s="36"/>
      <c r="DG362" s="36"/>
      <c r="DH362" s="36"/>
      <c r="DI362" s="36"/>
      <c r="DJ362" s="36"/>
      <c r="DK362" s="36"/>
      <c r="DL362" s="36"/>
      <c r="DM362" s="36"/>
      <c r="DN362" s="36"/>
      <c r="DO362" s="37"/>
      <c r="DP362" s="44"/>
      <c r="DQ362" s="36"/>
      <c r="DR362" s="36"/>
      <c r="DS362" s="36"/>
      <c r="DT362" s="36"/>
      <c r="DU362" s="36"/>
      <c r="DV362" s="36"/>
      <c r="DW362" s="36"/>
      <c r="DX362" s="36"/>
      <c r="DY362" s="36"/>
      <c r="DZ362" s="36"/>
      <c r="EA362" s="36"/>
      <c r="EB362" s="36"/>
      <c r="EC362" s="36"/>
      <c r="ED362" s="36"/>
      <c r="EE362" s="36"/>
      <c r="EF362" s="37"/>
      <c r="EG362" s="44"/>
      <c r="EH362" s="36"/>
      <c r="EI362" s="36"/>
      <c r="EJ362" s="36"/>
      <c r="EK362" s="36"/>
      <c r="EL362" s="36"/>
      <c r="EM362" s="36"/>
      <c r="EN362" s="36"/>
      <c r="EO362" s="36"/>
      <c r="EP362" s="36"/>
      <c r="EQ362" s="36"/>
      <c r="ER362" s="36"/>
      <c r="ES362" s="36"/>
      <c r="ET362" s="36"/>
      <c r="EU362" s="36"/>
      <c r="EV362" s="36"/>
      <c r="EW362" s="37"/>
      <c r="EX362" s="44"/>
      <c r="EY362" s="36"/>
      <c r="EZ362" s="36"/>
      <c r="FA362" s="36"/>
      <c r="FB362" s="36"/>
      <c r="FC362" s="36"/>
      <c r="FD362" s="36"/>
      <c r="FE362" s="36"/>
      <c r="FF362" s="36"/>
      <c r="FG362" s="36"/>
      <c r="FH362" s="36"/>
      <c r="FI362" s="36"/>
      <c r="FJ362" s="36"/>
      <c r="FK362" s="36"/>
      <c r="FL362" s="36"/>
      <c r="FM362" s="36"/>
      <c r="FN362" s="37"/>
      <c r="FO362" s="44"/>
      <c r="FP362" s="36"/>
      <c r="FQ362" s="36"/>
      <c r="FR362" s="36"/>
      <c r="FS362" s="36"/>
      <c r="FT362" s="36"/>
      <c r="FU362" s="36"/>
      <c r="FV362" s="36"/>
      <c r="FW362" s="36"/>
      <c r="FX362" s="36"/>
      <c r="FY362" s="36"/>
      <c r="FZ362" s="36"/>
      <c r="GA362" s="36"/>
      <c r="GB362" s="36"/>
      <c r="GC362" s="36"/>
      <c r="GD362" s="36"/>
      <c r="GE362" s="37"/>
      <c r="GF362" s="44"/>
      <c r="GG362" s="36"/>
      <c r="GH362" s="36"/>
      <c r="GI362" s="36"/>
      <c r="GJ362" s="36"/>
      <c r="GK362" s="36"/>
      <c r="GL362" s="36"/>
      <c r="GM362" s="36"/>
      <c r="GN362" s="36"/>
      <c r="GO362" s="36"/>
      <c r="GP362" s="36"/>
      <c r="GQ362" s="36"/>
      <c r="GR362" s="36"/>
      <c r="GS362" s="36"/>
      <c r="GT362" s="36"/>
      <c r="GU362" s="36"/>
      <c r="GV362" s="37"/>
      <c r="GW362" s="44"/>
      <c r="GX362" s="36"/>
      <c r="GY362" s="36"/>
      <c r="GZ362" s="36"/>
      <c r="HA362" s="36"/>
      <c r="HB362" s="36"/>
      <c r="HC362" s="36"/>
      <c r="HD362" s="36"/>
      <c r="HE362" s="36"/>
      <c r="HF362" s="36"/>
      <c r="HG362" s="36"/>
      <c r="HH362" s="36"/>
      <c r="HI362" s="36"/>
      <c r="HJ362" s="36"/>
      <c r="HK362" s="36"/>
      <c r="HL362" s="36"/>
      <c r="HM362" s="37"/>
      <c r="HN362" s="44"/>
      <c r="HO362" s="36"/>
      <c r="HP362" s="36"/>
      <c r="HQ362" s="36"/>
      <c r="HR362" s="36"/>
      <c r="HS362" s="36"/>
      <c r="HT362" s="36"/>
      <c r="HU362" s="36"/>
      <c r="HV362" s="36"/>
      <c r="HW362" s="36"/>
      <c r="HX362" s="36"/>
      <c r="HY362" s="36"/>
      <c r="HZ362" s="36"/>
      <c r="IA362" s="36"/>
      <c r="IB362" s="36"/>
      <c r="IC362" s="36"/>
      <c r="ID362" s="37"/>
      <c r="IE362" s="44"/>
      <c r="IF362" s="36"/>
      <c r="IG362" s="36"/>
      <c r="IH362" s="36"/>
      <c r="II362" s="36"/>
      <c r="IJ362" s="36"/>
      <c r="IK362" s="36"/>
      <c r="IL362" s="36"/>
      <c r="IM362" s="36"/>
      <c r="IN362" s="36"/>
      <c r="IO362" s="36"/>
      <c r="IP362" s="36"/>
      <c r="IQ362" s="36"/>
      <c r="IR362" s="36"/>
      <c r="IS362" s="36"/>
      <c r="IT362" s="36"/>
      <c r="IU362" s="37"/>
      <c r="IV362" s="44"/>
      <c r="IW362" s="36"/>
      <c r="IX362" s="36"/>
      <c r="IY362" s="36"/>
      <c r="IZ362" s="36"/>
      <c r="JA362" s="36"/>
      <c r="JB362" s="36"/>
      <c r="JC362" s="36"/>
      <c r="JD362" s="36"/>
      <c r="JE362" s="36"/>
      <c r="JF362" s="36"/>
      <c r="JG362" s="36"/>
      <c r="JH362" s="36"/>
      <c r="JI362" s="36"/>
      <c r="JJ362" s="36"/>
      <c r="JK362" s="36"/>
      <c r="JL362" s="37"/>
      <c r="JM362" s="44"/>
      <c r="JN362" s="36"/>
      <c r="JO362" s="36"/>
      <c r="JP362" s="36"/>
      <c r="JQ362" s="36"/>
      <c r="JR362" s="36"/>
      <c r="JS362" s="36"/>
      <c r="JT362" s="36"/>
      <c r="JU362" s="36"/>
      <c r="JV362" s="36"/>
      <c r="JW362" s="36"/>
      <c r="JX362" s="36"/>
      <c r="JY362" s="36"/>
      <c r="JZ362" s="36"/>
      <c r="KA362" s="36"/>
      <c r="KB362" s="36"/>
      <c r="KC362" s="37"/>
      <c r="KD362" s="44"/>
      <c r="KE362" s="36"/>
      <c r="KF362" s="36"/>
      <c r="KG362" s="36"/>
      <c r="KH362" s="36"/>
      <c r="KI362" s="36"/>
      <c r="KJ362" s="36"/>
      <c r="KK362" s="36"/>
      <c r="KL362" s="36"/>
      <c r="KM362" s="36"/>
      <c r="KN362" s="36"/>
      <c r="KO362" s="36"/>
      <c r="KP362" s="36"/>
      <c r="KQ362" s="36"/>
      <c r="KR362" s="36"/>
      <c r="KS362" s="36"/>
      <c r="KT362" s="37"/>
      <c r="KU362" s="36"/>
    </row>
    <row r="363" ht="15.0" customHeight="1">
      <c r="A363" s="44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7"/>
      <c r="R363" s="44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7"/>
      <c r="AI363" s="44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  <c r="AU363" s="36"/>
      <c r="AV363" s="36"/>
      <c r="AW363" s="36"/>
      <c r="AX363" s="36"/>
      <c r="AY363" s="37"/>
      <c r="AZ363" s="44"/>
      <c r="BA363" s="36"/>
      <c r="BB363" s="36"/>
      <c r="BC363" s="36"/>
      <c r="BD363" s="36"/>
      <c r="BE363" s="36"/>
      <c r="BF363" s="36"/>
      <c r="BG363" s="36"/>
      <c r="BH363" s="36"/>
      <c r="BI363" s="36"/>
      <c r="BJ363" s="36"/>
      <c r="BK363" s="36"/>
      <c r="BL363" s="36"/>
      <c r="BM363" s="36"/>
      <c r="BN363" s="36"/>
      <c r="BO363" s="36"/>
      <c r="BP363" s="37"/>
      <c r="BQ363" s="44"/>
      <c r="BR363" s="36"/>
      <c r="BS363" s="36"/>
      <c r="BT363" s="36"/>
      <c r="BU363" s="36"/>
      <c r="BV363" s="36"/>
      <c r="BW363" s="36"/>
      <c r="BX363" s="36"/>
      <c r="BY363" s="36"/>
      <c r="BZ363" s="36"/>
      <c r="CA363" s="36"/>
      <c r="CB363" s="36"/>
      <c r="CC363" s="36"/>
      <c r="CD363" s="36"/>
      <c r="CE363" s="36"/>
      <c r="CF363" s="36"/>
      <c r="CG363" s="37"/>
      <c r="CH363" s="44"/>
      <c r="CI363" s="36"/>
      <c r="CJ363" s="36"/>
      <c r="CK363" s="36"/>
      <c r="CL363" s="36"/>
      <c r="CM363" s="36"/>
      <c r="CN363" s="36"/>
      <c r="CO363" s="36"/>
      <c r="CP363" s="36"/>
      <c r="CQ363" s="36"/>
      <c r="CR363" s="36"/>
      <c r="CS363" s="36"/>
      <c r="CT363" s="36"/>
      <c r="CU363" s="36"/>
      <c r="CV363" s="36"/>
      <c r="CW363" s="36"/>
      <c r="CX363" s="37"/>
      <c r="CY363" s="44"/>
      <c r="CZ363" s="36"/>
      <c r="DA363" s="36"/>
      <c r="DB363" s="36"/>
      <c r="DC363" s="36"/>
      <c r="DD363" s="36"/>
      <c r="DE363" s="36"/>
      <c r="DF363" s="36"/>
      <c r="DG363" s="36"/>
      <c r="DH363" s="36"/>
      <c r="DI363" s="36"/>
      <c r="DJ363" s="36"/>
      <c r="DK363" s="36"/>
      <c r="DL363" s="36"/>
      <c r="DM363" s="36"/>
      <c r="DN363" s="36"/>
      <c r="DO363" s="37"/>
      <c r="DP363" s="44"/>
      <c r="DQ363" s="36"/>
      <c r="DR363" s="36"/>
      <c r="DS363" s="36"/>
      <c r="DT363" s="36"/>
      <c r="DU363" s="36"/>
      <c r="DV363" s="36"/>
      <c r="DW363" s="36"/>
      <c r="DX363" s="36"/>
      <c r="DY363" s="36"/>
      <c r="DZ363" s="36"/>
      <c r="EA363" s="36"/>
      <c r="EB363" s="36"/>
      <c r="EC363" s="36"/>
      <c r="ED363" s="36"/>
      <c r="EE363" s="36"/>
      <c r="EF363" s="37"/>
      <c r="EG363" s="44"/>
      <c r="EH363" s="36"/>
      <c r="EI363" s="36"/>
      <c r="EJ363" s="36"/>
      <c r="EK363" s="36"/>
      <c r="EL363" s="36"/>
      <c r="EM363" s="36"/>
      <c r="EN363" s="36"/>
      <c r="EO363" s="36"/>
      <c r="EP363" s="36"/>
      <c r="EQ363" s="36"/>
      <c r="ER363" s="36"/>
      <c r="ES363" s="36"/>
      <c r="ET363" s="36"/>
      <c r="EU363" s="36"/>
      <c r="EV363" s="36"/>
      <c r="EW363" s="37"/>
      <c r="EX363" s="44"/>
      <c r="EY363" s="36"/>
      <c r="EZ363" s="36"/>
      <c r="FA363" s="36"/>
      <c r="FB363" s="36"/>
      <c r="FC363" s="36"/>
      <c r="FD363" s="36"/>
      <c r="FE363" s="36"/>
      <c r="FF363" s="36"/>
      <c r="FG363" s="36"/>
      <c r="FH363" s="36"/>
      <c r="FI363" s="36"/>
      <c r="FJ363" s="36"/>
      <c r="FK363" s="36"/>
      <c r="FL363" s="36"/>
      <c r="FM363" s="36"/>
      <c r="FN363" s="37"/>
      <c r="FO363" s="44"/>
      <c r="FP363" s="36"/>
      <c r="FQ363" s="36"/>
      <c r="FR363" s="36"/>
      <c r="FS363" s="36"/>
      <c r="FT363" s="36"/>
      <c r="FU363" s="36"/>
      <c r="FV363" s="36"/>
      <c r="FW363" s="36"/>
      <c r="FX363" s="36"/>
      <c r="FY363" s="36"/>
      <c r="FZ363" s="36"/>
      <c r="GA363" s="36"/>
      <c r="GB363" s="36"/>
      <c r="GC363" s="36"/>
      <c r="GD363" s="36"/>
      <c r="GE363" s="37"/>
      <c r="GF363" s="44"/>
      <c r="GG363" s="36"/>
      <c r="GH363" s="36"/>
      <c r="GI363" s="36"/>
      <c r="GJ363" s="36"/>
      <c r="GK363" s="36"/>
      <c r="GL363" s="36"/>
      <c r="GM363" s="36"/>
      <c r="GN363" s="36"/>
      <c r="GO363" s="36"/>
      <c r="GP363" s="36"/>
      <c r="GQ363" s="36"/>
      <c r="GR363" s="36"/>
      <c r="GS363" s="36"/>
      <c r="GT363" s="36"/>
      <c r="GU363" s="36"/>
      <c r="GV363" s="37"/>
      <c r="GW363" s="44"/>
      <c r="GX363" s="36"/>
      <c r="GY363" s="36"/>
      <c r="GZ363" s="36"/>
      <c r="HA363" s="36"/>
      <c r="HB363" s="36"/>
      <c r="HC363" s="36"/>
      <c r="HD363" s="36"/>
      <c r="HE363" s="36"/>
      <c r="HF363" s="36"/>
      <c r="HG363" s="36"/>
      <c r="HH363" s="36"/>
      <c r="HI363" s="36"/>
      <c r="HJ363" s="36"/>
      <c r="HK363" s="36"/>
      <c r="HL363" s="36"/>
      <c r="HM363" s="37"/>
      <c r="HN363" s="44"/>
      <c r="HO363" s="36"/>
      <c r="HP363" s="36"/>
      <c r="HQ363" s="36"/>
      <c r="HR363" s="36"/>
      <c r="HS363" s="36"/>
      <c r="HT363" s="36"/>
      <c r="HU363" s="36"/>
      <c r="HV363" s="36"/>
      <c r="HW363" s="36"/>
      <c r="HX363" s="36"/>
      <c r="HY363" s="36"/>
      <c r="HZ363" s="36"/>
      <c r="IA363" s="36"/>
      <c r="IB363" s="36"/>
      <c r="IC363" s="36"/>
      <c r="ID363" s="37"/>
      <c r="IE363" s="44"/>
      <c r="IF363" s="36"/>
      <c r="IG363" s="36"/>
      <c r="IH363" s="36"/>
      <c r="II363" s="36"/>
      <c r="IJ363" s="36"/>
      <c r="IK363" s="36"/>
      <c r="IL363" s="36"/>
      <c r="IM363" s="36"/>
      <c r="IN363" s="36"/>
      <c r="IO363" s="36"/>
      <c r="IP363" s="36"/>
      <c r="IQ363" s="36"/>
      <c r="IR363" s="36"/>
      <c r="IS363" s="36"/>
      <c r="IT363" s="36"/>
      <c r="IU363" s="37"/>
      <c r="IV363" s="44"/>
      <c r="IW363" s="36"/>
      <c r="IX363" s="36"/>
      <c r="IY363" s="36"/>
      <c r="IZ363" s="36"/>
      <c r="JA363" s="36"/>
      <c r="JB363" s="36"/>
      <c r="JC363" s="36"/>
      <c r="JD363" s="36"/>
      <c r="JE363" s="36"/>
      <c r="JF363" s="36"/>
      <c r="JG363" s="36"/>
      <c r="JH363" s="36"/>
      <c r="JI363" s="36"/>
      <c r="JJ363" s="36"/>
      <c r="JK363" s="36"/>
      <c r="JL363" s="37"/>
      <c r="JM363" s="44"/>
      <c r="JN363" s="36"/>
      <c r="JO363" s="36"/>
      <c r="JP363" s="36"/>
      <c r="JQ363" s="36"/>
      <c r="JR363" s="36"/>
      <c r="JS363" s="36"/>
      <c r="JT363" s="36"/>
      <c r="JU363" s="36"/>
      <c r="JV363" s="36"/>
      <c r="JW363" s="36"/>
      <c r="JX363" s="36"/>
      <c r="JY363" s="36"/>
      <c r="JZ363" s="36"/>
      <c r="KA363" s="36"/>
      <c r="KB363" s="36"/>
      <c r="KC363" s="37"/>
      <c r="KD363" s="44"/>
      <c r="KE363" s="36"/>
      <c r="KF363" s="36"/>
      <c r="KG363" s="36"/>
      <c r="KH363" s="36"/>
      <c r="KI363" s="36"/>
      <c r="KJ363" s="36"/>
      <c r="KK363" s="36"/>
      <c r="KL363" s="36"/>
      <c r="KM363" s="36"/>
      <c r="KN363" s="36"/>
      <c r="KO363" s="36"/>
      <c r="KP363" s="36"/>
      <c r="KQ363" s="36"/>
      <c r="KR363" s="36"/>
      <c r="KS363" s="36"/>
      <c r="KT363" s="37"/>
      <c r="KU363" s="36"/>
    </row>
    <row r="364" ht="15.0" customHeight="1">
      <c r="A364" s="44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7"/>
      <c r="R364" s="44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7"/>
      <c r="AI364" s="44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  <c r="AU364" s="36"/>
      <c r="AV364" s="36"/>
      <c r="AW364" s="36"/>
      <c r="AX364" s="36"/>
      <c r="AY364" s="37"/>
      <c r="AZ364" s="44"/>
      <c r="BA364" s="36"/>
      <c r="BB364" s="36"/>
      <c r="BC364" s="36"/>
      <c r="BD364" s="36"/>
      <c r="BE364" s="36"/>
      <c r="BF364" s="36"/>
      <c r="BG364" s="36"/>
      <c r="BH364" s="36"/>
      <c r="BI364" s="36"/>
      <c r="BJ364" s="36"/>
      <c r="BK364" s="36"/>
      <c r="BL364" s="36"/>
      <c r="BM364" s="36"/>
      <c r="BN364" s="36"/>
      <c r="BO364" s="36"/>
      <c r="BP364" s="37"/>
      <c r="BQ364" s="44"/>
      <c r="BR364" s="36"/>
      <c r="BS364" s="36"/>
      <c r="BT364" s="36"/>
      <c r="BU364" s="36"/>
      <c r="BV364" s="36"/>
      <c r="BW364" s="36"/>
      <c r="BX364" s="36"/>
      <c r="BY364" s="36"/>
      <c r="BZ364" s="36"/>
      <c r="CA364" s="36"/>
      <c r="CB364" s="36"/>
      <c r="CC364" s="36"/>
      <c r="CD364" s="36"/>
      <c r="CE364" s="36"/>
      <c r="CF364" s="36"/>
      <c r="CG364" s="37"/>
      <c r="CH364" s="44"/>
      <c r="CI364" s="36"/>
      <c r="CJ364" s="36"/>
      <c r="CK364" s="36"/>
      <c r="CL364" s="36"/>
      <c r="CM364" s="36"/>
      <c r="CN364" s="36"/>
      <c r="CO364" s="36"/>
      <c r="CP364" s="36"/>
      <c r="CQ364" s="36"/>
      <c r="CR364" s="36"/>
      <c r="CS364" s="36"/>
      <c r="CT364" s="36"/>
      <c r="CU364" s="36"/>
      <c r="CV364" s="36"/>
      <c r="CW364" s="36"/>
      <c r="CX364" s="37"/>
      <c r="CY364" s="44"/>
      <c r="CZ364" s="36"/>
      <c r="DA364" s="36"/>
      <c r="DB364" s="36"/>
      <c r="DC364" s="36"/>
      <c r="DD364" s="36"/>
      <c r="DE364" s="36"/>
      <c r="DF364" s="36"/>
      <c r="DG364" s="36"/>
      <c r="DH364" s="36"/>
      <c r="DI364" s="36"/>
      <c r="DJ364" s="36"/>
      <c r="DK364" s="36"/>
      <c r="DL364" s="36"/>
      <c r="DM364" s="36"/>
      <c r="DN364" s="36"/>
      <c r="DO364" s="37"/>
      <c r="DP364" s="44"/>
      <c r="DQ364" s="36"/>
      <c r="DR364" s="36"/>
      <c r="DS364" s="36"/>
      <c r="DT364" s="36"/>
      <c r="DU364" s="36"/>
      <c r="DV364" s="36"/>
      <c r="DW364" s="36"/>
      <c r="DX364" s="36"/>
      <c r="DY364" s="36"/>
      <c r="DZ364" s="36"/>
      <c r="EA364" s="36"/>
      <c r="EB364" s="36"/>
      <c r="EC364" s="36"/>
      <c r="ED364" s="36"/>
      <c r="EE364" s="36"/>
      <c r="EF364" s="37"/>
      <c r="EG364" s="44"/>
      <c r="EH364" s="36"/>
      <c r="EI364" s="36"/>
      <c r="EJ364" s="36"/>
      <c r="EK364" s="36"/>
      <c r="EL364" s="36"/>
      <c r="EM364" s="36"/>
      <c r="EN364" s="36"/>
      <c r="EO364" s="36"/>
      <c r="EP364" s="36"/>
      <c r="EQ364" s="36"/>
      <c r="ER364" s="36"/>
      <c r="ES364" s="36"/>
      <c r="ET364" s="36"/>
      <c r="EU364" s="36"/>
      <c r="EV364" s="36"/>
      <c r="EW364" s="37"/>
      <c r="EX364" s="44"/>
      <c r="EY364" s="36"/>
      <c r="EZ364" s="36"/>
      <c r="FA364" s="36"/>
      <c r="FB364" s="36"/>
      <c r="FC364" s="36"/>
      <c r="FD364" s="36"/>
      <c r="FE364" s="36"/>
      <c r="FF364" s="36"/>
      <c r="FG364" s="36"/>
      <c r="FH364" s="36"/>
      <c r="FI364" s="36"/>
      <c r="FJ364" s="36"/>
      <c r="FK364" s="36"/>
      <c r="FL364" s="36"/>
      <c r="FM364" s="36"/>
      <c r="FN364" s="37"/>
      <c r="FO364" s="44"/>
      <c r="FP364" s="36"/>
      <c r="FQ364" s="36"/>
      <c r="FR364" s="36"/>
      <c r="FS364" s="36"/>
      <c r="FT364" s="36"/>
      <c r="FU364" s="36"/>
      <c r="FV364" s="36"/>
      <c r="FW364" s="36"/>
      <c r="FX364" s="36"/>
      <c r="FY364" s="36"/>
      <c r="FZ364" s="36"/>
      <c r="GA364" s="36"/>
      <c r="GB364" s="36"/>
      <c r="GC364" s="36"/>
      <c r="GD364" s="36"/>
      <c r="GE364" s="37"/>
      <c r="GF364" s="44"/>
      <c r="GG364" s="36"/>
      <c r="GH364" s="36"/>
      <c r="GI364" s="36"/>
      <c r="GJ364" s="36"/>
      <c r="GK364" s="36"/>
      <c r="GL364" s="36"/>
      <c r="GM364" s="36"/>
      <c r="GN364" s="36"/>
      <c r="GO364" s="36"/>
      <c r="GP364" s="36"/>
      <c r="GQ364" s="36"/>
      <c r="GR364" s="36"/>
      <c r="GS364" s="36"/>
      <c r="GT364" s="36"/>
      <c r="GU364" s="36"/>
      <c r="GV364" s="37"/>
      <c r="GW364" s="44"/>
      <c r="GX364" s="36"/>
      <c r="GY364" s="36"/>
      <c r="GZ364" s="36"/>
      <c r="HA364" s="36"/>
      <c r="HB364" s="36"/>
      <c r="HC364" s="36"/>
      <c r="HD364" s="36"/>
      <c r="HE364" s="36"/>
      <c r="HF364" s="36"/>
      <c r="HG364" s="36"/>
      <c r="HH364" s="36"/>
      <c r="HI364" s="36"/>
      <c r="HJ364" s="36"/>
      <c r="HK364" s="36"/>
      <c r="HL364" s="36"/>
      <c r="HM364" s="37"/>
      <c r="HN364" s="44"/>
      <c r="HO364" s="36"/>
      <c r="HP364" s="36"/>
      <c r="HQ364" s="36"/>
      <c r="HR364" s="36"/>
      <c r="HS364" s="36"/>
      <c r="HT364" s="36"/>
      <c r="HU364" s="36"/>
      <c r="HV364" s="36"/>
      <c r="HW364" s="36"/>
      <c r="HX364" s="36"/>
      <c r="HY364" s="36"/>
      <c r="HZ364" s="36"/>
      <c r="IA364" s="36"/>
      <c r="IB364" s="36"/>
      <c r="IC364" s="36"/>
      <c r="ID364" s="37"/>
      <c r="IE364" s="44"/>
      <c r="IF364" s="36"/>
      <c r="IG364" s="36"/>
      <c r="IH364" s="36"/>
      <c r="II364" s="36"/>
      <c r="IJ364" s="36"/>
      <c r="IK364" s="36"/>
      <c r="IL364" s="36"/>
      <c r="IM364" s="36"/>
      <c r="IN364" s="36"/>
      <c r="IO364" s="36"/>
      <c r="IP364" s="36"/>
      <c r="IQ364" s="36"/>
      <c r="IR364" s="36"/>
      <c r="IS364" s="36"/>
      <c r="IT364" s="36"/>
      <c r="IU364" s="37"/>
      <c r="IV364" s="44"/>
      <c r="IW364" s="36"/>
      <c r="IX364" s="36"/>
      <c r="IY364" s="36"/>
      <c r="IZ364" s="36"/>
      <c r="JA364" s="36"/>
      <c r="JB364" s="36"/>
      <c r="JC364" s="36"/>
      <c r="JD364" s="36"/>
      <c r="JE364" s="36"/>
      <c r="JF364" s="36"/>
      <c r="JG364" s="36"/>
      <c r="JH364" s="36"/>
      <c r="JI364" s="36"/>
      <c r="JJ364" s="36"/>
      <c r="JK364" s="36"/>
      <c r="JL364" s="37"/>
      <c r="JM364" s="44"/>
      <c r="JN364" s="36"/>
      <c r="JO364" s="36"/>
      <c r="JP364" s="36"/>
      <c r="JQ364" s="36"/>
      <c r="JR364" s="36"/>
      <c r="JS364" s="36"/>
      <c r="JT364" s="36"/>
      <c r="JU364" s="36"/>
      <c r="JV364" s="36"/>
      <c r="JW364" s="36"/>
      <c r="JX364" s="36"/>
      <c r="JY364" s="36"/>
      <c r="JZ364" s="36"/>
      <c r="KA364" s="36"/>
      <c r="KB364" s="36"/>
      <c r="KC364" s="37"/>
      <c r="KD364" s="44"/>
      <c r="KE364" s="36"/>
      <c r="KF364" s="36"/>
      <c r="KG364" s="36"/>
      <c r="KH364" s="36"/>
      <c r="KI364" s="36"/>
      <c r="KJ364" s="36"/>
      <c r="KK364" s="36"/>
      <c r="KL364" s="36"/>
      <c r="KM364" s="36"/>
      <c r="KN364" s="36"/>
      <c r="KO364" s="36"/>
      <c r="KP364" s="36"/>
      <c r="KQ364" s="36"/>
      <c r="KR364" s="36"/>
      <c r="KS364" s="36"/>
      <c r="KT364" s="37"/>
      <c r="KU364" s="36"/>
    </row>
    <row r="365" ht="15.0" customHeight="1">
      <c r="A365" s="44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7"/>
      <c r="R365" s="44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7"/>
      <c r="AI365" s="44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36"/>
      <c r="AU365" s="36"/>
      <c r="AV365" s="36"/>
      <c r="AW365" s="36"/>
      <c r="AX365" s="36"/>
      <c r="AY365" s="37"/>
      <c r="AZ365" s="44"/>
      <c r="BA365" s="36"/>
      <c r="BB365" s="36"/>
      <c r="BC365" s="36"/>
      <c r="BD365" s="36"/>
      <c r="BE365" s="36"/>
      <c r="BF365" s="36"/>
      <c r="BG365" s="36"/>
      <c r="BH365" s="36"/>
      <c r="BI365" s="36"/>
      <c r="BJ365" s="36"/>
      <c r="BK365" s="36"/>
      <c r="BL365" s="36"/>
      <c r="BM365" s="36"/>
      <c r="BN365" s="36"/>
      <c r="BO365" s="36"/>
      <c r="BP365" s="37"/>
      <c r="BQ365" s="44"/>
      <c r="BR365" s="36"/>
      <c r="BS365" s="36"/>
      <c r="BT365" s="36"/>
      <c r="BU365" s="36"/>
      <c r="BV365" s="36"/>
      <c r="BW365" s="36"/>
      <c r="BX365" s="36"/>
      <c r="BY365" s="36"/>
      <c r="BZ365" s="36"/>
      <c r="CA365" s="36"/>
      <c r="CB365" s="36"/>
      <c r="CC365" s="36"/>
      <c r="CD365" s="36"/>
      <c r="CE365" s="36"/>
      <c r="CF365" s="36"/>
      <c r="CG365" s="37"/>
      <c r="CH365" s="44"/>
      <c r="CI365" s="36"/>
      <c r="CJ365" s="36"/>
      <c r="CK365" s="36"/>
      <c r="CL365" s="36"/>
      <c r="CM365" s="36"/>
      <c r="CN365" s="36"/>
      <c r="CO365" s="36"/>
      <c r="CP365" s="36"/>
      <c r="CQ365" s="36"/>
      <c r="CR365" s="36"/>
      <c r="CS365" s="36"/>
      <c r="CT365" s="36"/>
      <c r="CU365" s="36"/>
      <c r="CV365" s="36"/>
      <c r="CW365" s="36"/>
      <c r="CX365" s="37"/>
      <c r="CY365" s="44"/>
      <c r="CZ365" s="36"/>
      <c r="DA365" s="36"/>
      <c r="DB365" s="36"/>
      <c r="DC365" s="36"/>
      <c r="DD365" s="36"/>
      <c r="DE365" s="36"/>
      <c r="DF365" s="36"/>
      <c r="DG365" s="36"/>
      <c r="DH365" s="36"/>
      <c r="DI365" s="36"/>
      <c r="DJ365" s="36"/>
      <c r="DK365" s="36"/>
      <c r="DL365" s="36"/>
      <c r="DM365" s="36"/>
      <c r="DN365" s="36"/>
      <c r="DO365" s="37"/>
      <c r="DP365" s="44"/>
      <c r="DQ365" s="36"/>
      <c r="DR365" s="36"/>
      <c r="DS365" s="36"/>
      <c r="DT365" s="36"/>
      <c r="DU365" s="36"/>
      <c r="DV365" s="36"/>
      <c r="DW365" s="36"/>
      <c r="DX365" s="36"/>
      <c r="DY365" s="36"/>
      <c r="DZ365" s="36"/>
      <c r="EA365" s="36"/>
      <c r="EB365" s="36"/>
      <c r="EC365" s="36"/>
      <c r="ED365" s="36"/>
      <c r="EE365" s="36"/>
      <c r="EF365" s="37"/>
      <c r="EG365" s="44"/>
      <c r="EH365" s="36"/>
      <c r="EI365" s="36"/>
      <c r="EJ365" s="36"/>
      <c r="EK365" s="36"/>
      <c r="EL365" s="36"/>
      <c r="EM365" s="36"/>
      <c r="EN365" s="36"/>
      <c r="EO365" s="36"/>
      <c r="EP365" s="36"/>
      <c r="EQ365" s="36"/>
      <c r="ER365" s="36"/>
      <c r="ES365" s="36"/>
      <c r="ET365" s="36"/>
      <c r="EU365" s="36"/>
      <c r="EV365" s="36"/>
      <c r="EW365" s="37"/>
      <c r="EX365" s="44"/>
      <c r="EY365" s="36"/>
      <c r="EZ365" s="36"/>
      <c r="FA365" s="36"/>
      <c r="FB365" s="36"/>
      <c r="FC365" s="36"/>
      <c r="FD365" s="36"/>
      <c r="FE365" s="36"/>
      <c r="FF365" s="36"/>
      <c r="FG365" s="36"/>
      <c r="FH365" s="36"/>
      <c r="FI365" s="36"/>
      <c r="FJ365" s="36"/>
      <c r="FK365" s="36"/>
      <c r="FL365" s="36"/>
      <c r="FM365" s="36"/>
      <c r="FN365" s="37"/>
      <c r="FO365" s="44"/>
      <c r="FP365" s="36"/>
      <c r="FQ365" s="36"/>
      <c r="FR365" s="36"/>
      <c r="FS365" s="36"/>
      <c r="FT365" s="36"/>
      <c r="FU365" s="36"/>
      <c r="FV365" s="36"/>
      <c r="FW365" s="36"/>
      <c r="FX365" s="36"/>
      <c r="FY365" s="36"/>
      <c r="FZ365" s="36"/>
      <c r="GA365" s="36"/>
      <c r="GB365" s="36"/>
      <c r="GC365" s="36"/>
      <c r="GD365" s="36"/>
      <c r="GE365" s="37"/>
      <c r="GF365" s="44"/>
      <c r="GG365" s="36"/>
      <c r="GH365" s="36"/>
      <c r="GI365" s="36"/>
      <c r="GJ365" s="36"/>
      <c r="GK365" s="36"/>
      <c r="GL365" s="36"/>
      <c r="GM365" s="36"/>
      <c r="GN365" s="36"/>
      <c r="GO365" s="36"/>
      <c r="GP365" s="36"/>
      <c r="GQ365" s="36"/>
      <c r="GR365" s="36"/>
      <c r="GS365" s="36"/>
      <c r="GT365" s="36"/>
      <c r="GU365" s="36"/>
      <c r="GV365" s="37"/>
      <c r="GW365" s="44"/>
      <c r="GX365" s="36"/>
      <c r="GY365" s="36"/>
      <c r="GZ365" s="36"/>
      <c r="HA365" s="36"/>
      <c r="HB365" s="36"/>
      <c r="HC365" s="36"/>
      <c r="HD365" s="36"/>
      <c r="HE365" s="36"/>
      <c r="HF365" s="36"/>
      <c r="HG365" s="36"/>
      <c r="HH365" s="36"/>
      <c r="HI365" s="36"/>
      <c r="HJ365" s="36"/>
      <c r="HK365" s="36"/>
      <c r="HL365" s="36"/>
      <c r="HM365" s="37"/>
      <c r="HN365" s="44"/>
      <c r="HO365" s="36"/>
      <c r="HP365" s="36"/>
      <c r="HQ365" s="36"/>
      <c r="HR365" s="36"/>
      <c r="HS365" s="36"/>
      <c r="HT365" s="36"/>
      <c r="HU365" s="36"/>
      <c r="HV365" s="36"/>
      <c r="HW365" s="36"/>
      <c r="HX365" s="36"/>
      <c r="HY365" s="36"/>
      <c r="HZ365" s="36"/>
      <c r="IA365" s="36"/>
      <c r="IB365" s="36"/>
      <c r="IC365" s="36"/>
      <c r="ID365" s="37"/>
      <c r="IE365" s="44"/>
      <c r="IF365" s="36"/>
      <c r="IG365" s="36"/>
      <c r="IH365" s="36"/>
      <c r="II365" s="36"/>
      <c r="IJ365" s="36"/>
      <c r="IK365" s="36"/>
      <c r="IL365" s="36"/>
      <c r="IM365" s="36"/>
      <c r="IN365" s="36"/>
      <c r="IO365" s="36"/>
      <c r="IP365" s="36"/>
      <c r="IQ365" s="36"/>
      <c r="IR365" s="36"/>
      <c r="IS365" s="36"/>
      <c r="IT365" s="36"/>
      <c r="IU365" s="37"/>
      <c r="IV365" s="44"/>
      <c r="IW365" s="36"/>
      <c r="IX365" s="36"/>
      <c r="IY365" s="36"/>
      <c r="IZ365" s="36"/>
      <c r="JA365" s="36"/>
      <c r="JB365" s="36"/>
      <c r="JC365" s="36"/>
      <c r="JD365" s="36"/>
      <c r="JE365" s="36"/>
      <c r="JF365" s="36"/>
      <c r="JG365" s="36"/>
      <c r="JH365" s="36"/>
      <c r="JI365" s="36"/>
      <c r="JJ365" s="36"/>
      <c r="JK365" s="36"/>
      <c r="JL365" s="37"/>
      <c r="JM365" s="44"/>
      <c r="JN365" s="36"/>
      <c r="JO365" s="36"/>
      <c r="JP365" s="36"/>
      <c r="JQ365" s="36"/>
      <c r="JR365" s="36"/>
      <c r="JS365" s="36"/>
      <c r="JT365" s="36"/>
      <c r="JU365" s="36"/>
      <c r="JV365" s="36"/>
      <c r="JW365" s="36"/>
      <c r="JX365" s="36"/>
      <c r="JY365" s="36"/>
      <c r="JZ365" s="36"/>
      <c r="KA365" s="36"/>
      <c r="KB365" s="36"/>
      <c r="KC365" s="37"/>
      <c r="KD365" s="44"/>
      <c r="KE365" s="36"/>
      <c r="KF365" s="36"/>
      <c r="KG365" s="36"/>
      <c r="KH365" s="36"/>
      <c r="KI365" s="36"/>
      <c r="KJ365" s="36"/>
      <c r="KK365" s="36"/>
      <c r="KL365" s="36"/>
      <c r="KM365" s="36"/>
      <c r="KN365" s="36"/>
      <c r="KO365" s="36"/>
      <c r="KP365" s="36"/>
      <c r="KQ365" s="36"/>
      <c r="KR365" s="36"/>
      <c r="KS365" s="36"/>
      <c r="KT365" s="37"/>
      <c r="KU365" s="36"/>
    </row>
    <row r="366" ht="15.0" customHeight="1">
      <c r="A366" s="44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7"/>
      <c r="R366" s="44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7"/>
      <c r="AI366" s="44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36"/>
      <c r="AU366" s="36"/>
      <c r="AV366" s="36"/>
      <c r="AW366" s="36"/>
      <c r="AX366" s="36"/>
      <c r="AY366" s="37"/>
      <c r="AZ366" s="44"/>
      <c r="BA366" s="36"/>
      <c r="BB366" s="36"/>
      <c r="BC366" s="36"/>
      <c r="BD366" s="36"/>
      <c r="BE366" s="36"/>
      <c r="BF366" s="36"/>
      <c r="BG366" s="36"/>
      <c r="BH366" s="36"/>
      <c r="BI366" s="36"/>
      <c r="BJ366" s="36"/>
      <c r="BK366" s="36"/>
      <c r="BL366" s="36"/>
      <c r="BM366" s="36"/>
      <c r="BN366" s="36"/>
      <c r="BO366" s="36"/>
      <c r="BP366" s="37"/>
      <c r="BQ366" s="44"/>
      <c r="BR366" s="36"/>
      <c r="BS366" s="36"/>
      <c r="BT366" s="36"/>
      <c r="BU366" s="36"/>
      <c r="BV366" s="36"/>
      <c r="BW366" s="36"/>
      <c r="BX366" s="36"/>
      <c r="BY366" s="36"/>
      <c r="BZ366" s="36"/>
      <c r="CA366" s="36"/>
      <c r="CB366" s="36"/>
      <c r="CC366" s="36"/>
      <c r="CD366" s="36"/>
      <c r="CE366" s="36"/>
      <c r="CF366" s="36"/>
      <c r="CG366" s="37"/>
      <c r="CH366" s="44"/>
      <c r="CI366" s="36"/>
      <c r="CJ366" s="36"/>
      <c r="CK366" s="36"/>
      <c r="CL366" s="36"/>
      <c r="CM366" s="36"/>
      <c r="CN366" s="36"/>
      <c r="CO366" s="36"/>
      <c r="CP366" s="36"/>
      <c r="CQ366" s="36"/>
      <c r="CR366" s="36"/>
      <c r="CS366" s="36"/>
      <c r="CT366" s="36"/>
      <c r="CU366" s="36"/>
      <c r="CV366" s="36"/>
      <c r="CW366" s="36"/>
      <c r="CX366" s="37"/>
      <c r="CY366" s="44"/>
      <c r="CZ366" s="36"/>
      <c r="DA366" s="36"/>
      <c r="DB366" s="36"/>
      <c r="DC366" s="36"/>
      <c r="DD366" s="36"/>
      <c r="DE366" s="36"/>
      <c r="DF366" s="36"/>
      <c r="DG366" s="36"/>
      <c r="DH366" s="36"/>
      <c r="DI366" s="36"/>
      <c r="DJ366" s="36"/>
      <c r="DK366" s="36"/>
      <c r="DL366" s="36"/>
      <c r="DM366" s="36"/>
      <c r="DN366" s="36"/>
      <c r="DO366" s="37"/>
      <c r="DP366" s="44"/>
      <c r="DQ366" s="36"/>
      <c r="DR366" s="36"/>
      <c r="DS366" s="36"/>
      <c r="DT366" s="36"/>
      <c r="DU366" s="36"/>
      <c r="DV366" s="36"/>
      <c r="DW366" s="36"/>
      <c r="DX366" s="36"/>
      <c r="DY366" s="36"/>
      <c r="DZ366" s="36"/>
      <c r="EA366" s="36"/>
      <c r="EB366" s="36"/>
      <c r="EC366" s="36"/>
      <c r="ED366" s="36"/>
      <c r="EE366" s="36"/>
      <c r="EF366" s="37"/>
      <c r="EG366" s="44"/>
      <c r="EH366" s="36"/>
      <c r="EI366" s="36"/>
      <c r="EJ366" s="36"/>
      <c r="EK366" s="36"/>
      <c r="EL366" s="36"/>
      <c r="EM366" s="36"/>
      <c r="EN366" s="36"/>
      <c r="EO366" s="36"/>
      <c r="EP366" s="36"/>
      <c r="EQ366" s="36"/>
      <c r="ER366" s="36"/>
      <c r="ES366" s="36"/>
      <c r="ET366" s="36"/>
      <c r="EU366" s="36"/>
      <c r="EV366" s="36"/>
      <c r="EW366" s="37"/>
      <c r="EX366" s="44"/>
      <c r="EY366" s="36"/>
      <c r="EZ366" s="36"/>
      <c r="FA366" s="36"/>
      <c r="FB366" s="36"/>
      <c r="FC366" s="36"/>
      <c r="FD366" s="36"/>
      <c r="FE366" s="36"/>
      <c r="FF366" s="36"/>
      <c r="FG366" s="36"/>
      <c r="FH366" s="36"/>
      <c r="FI366" s="36"/>
      <c r="FJ366" s="36"/>
      <c r="FK366" s="36"/>
      <c r="FL366" s="36"/>
      <c r="FM366" s="36"/>
      <c r="FN366" s="37"/>
      <c r="FO366" s="44"/>
      <c r="FP366" s="36"/>
      <c r="FQ366" s="36"/>
      <c r="FR366" s="36"/>
      <c r="FS366" s="36"/>
      <c r="FT366" s="36"/>
      <c r="FU366" s="36"/>
      <c r="FV366" s="36"/>
      <c r="FW366" s="36"/>
      <c r="FX366" s="36"/>
      <c r="FY366" s="36"/>
      <c r="FZ366" s="36"/>
      <c r="GA366" s="36"/>
      <c r="GB366" s="36"/>
      <c r="GC366" s="36"/>
      <c r="GD366" s="36"/>
      <c r="GE366" s="37"/>
      <c r="GF366" s="44"/>
      <c r="GG366" s="36"/>
      <c r="GH366" s="36"/>
      <c r="GI366" s="36"/>
      <c r="GJ366" s="36"/>
      <c r="GK366" s="36"/>
      <c r="GL366" s="36"/>
      <c r="GM366" s="36"/>
      <c r="GN366" s="36"/>
      <c r="GO366" s="36"/>
      <c r="GP366" s="36"/>
      <c r="GQ366" s="36"/>
      <c r="GR366" s="36"/>
      <c r="GS366" s="36"/>
      <c r="GT366" s="36"/>
      <c r="GU366" s="36"/>
      <c r="GV366" s="37"/>
      <c r="GW366" s="44"/>
      <c r="GX366" s="36"/>
      <c r="GY366" s="36"/>
      <c r="GZ366" s="36"/>
      <c r="HA366" s="36"/>
      <c r="HB366" s="36"/>
      <c r="HC366" s="36"/>
      <c r="HD366" s="36"/>
      <c r="HE366" s="36"/>
      <c r="HF366" s="36"/>
      <c r="HG366" s="36"/>
      <c r="HH366" s="36"/>
      <c r="HI366" s="36"/>
      <c r="HJ366" s="36"/>
      <c r="HK366" s="36"/>
      <c r="HL366" s="36"/>
      <c r="HM366" s="37"/>
      <c r="HN366" s="44"/>
      <c r="HO366" s="36"/>
      <c r="HP366" s="36"/>
      <c r="HQ366" s="36"/>
      <c r="HR366" s="36"/>
      <c r="HS366" s="36"/>
      <c r="HT366" s="36"/>
      <c r="HU366" s="36"/>
      <c r="HV366" s="36"/>
      <c r="HW366" s="36"/>
      <c r="HX366" s="36"/>
      <c r="HY366" s="36"/>
      <c r="HZ366" s="36"/>
      <c r="IA366" s="36"/>
      <c r="IB366" s="36"/>
      <c r="IC366" s="36"/>
      <c r="ID366" s="37"/>
      <c r="IE366" s="44"/>
      <c r="IF366" s="36"/>
      <c r="IG366" s="36"/>
      <c r="IH366" s="36"/>
      <c r="II366" s="36"/>
      <c r="IJ366" s="36"/>
      <c r="IK366" s="36"/>
      <c r="IL366" s="36"/>
      <c r="IM366" s="36"/>
      <c r="IN366" s="36"/>
      <c r="IO366" s="36"/>
      <c r="IP366" s="36"/>
      <c r="IQ366" s="36"/>
      <c r="IR366" s="36"/>
      <c r="IS366" s="36"/>
      <c r="IT366" s="36"/>
      <c r="IU366" s="37"/>
      <c r="IV366" s="44"/>
      <c r="IW366" s="36"/>
      <c r="IX366" s="36"/>
      <c r="IY366" s="36"/>
      <c r="IZ366" s="36"/>
      <c r="JA366" s="36"/>
      <c r="JB366" s="36"/>
      <c r="JC366" s="36"/>
      <c r="JD366" s="36"/>
      <c r="JE366" s="36"/>
      <c r="JF366" s="36"/>
      <c r="JG366" s="36"/>
      <c r="JH366" s="36"/>
      <c r="JI366" s="36"/>
      <c r="JJ366" s="36"/>
      <c r="JK366" s="36"/>
      <c r="JL366" s="37"/>
      <c r="JM366" s="44"/>
      <c r="JN366" s="36"/>
      <c r="JO366" s="36"/>
      <c r="JP366" s="36"/>
      <c r="JQ366" s="36"/>
      <c r="JR366" s="36"/>
      <c r="JS366" s="36"/>
      <c r="JT366" s="36"/>
      <c r="JU366" s="36"/>
      <c r="JV366" s="36"/>
      <c r="JW366" s="36"/>
      <c r="JX366" s="36"/>
      <c r="JY366" s="36"/>
      <c r="JZ366" s="36"/>
      <c r="KA366" s="36"/>
      <c r="KB366" s="36"/>
      <c r="KC366" s="37"/>
      <c r="KD366" s="44"/>
      <c r="KE366" s="36"/>
      <c r="KF366" s="36"/>
      <c r="KG366" s="36"/>
      <c r="KH366" s="36"/>
      <c r="KI366" s="36"/>
      <c r="KJ366" s="36"/>
      <c r="KK366" s="36"/>
      <c r="KL366" s="36"/>
      <c r="KM366" s="36"/>
      <c r="KN366" s="36"/>
      <c r="KO366" s="36"/>
      <c r="KP366" s="36"/>
      <c r="KQ366" s="36"/>
      <c r="KR366" s="36"/>
      <c r="KS366" s="36"/>
      <c r="KT366" s="37"/>
      <c r="KU366" s="36"/>
    </row>
    <row r="367" ht="15.0" customHeight="1">
      <c r="A367" s="44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7"/>
      <c r="R367" s="44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7"/>
      <c r="AI367" s="44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36"/>
      <c r="AU367" s="36"/>
      <c r="AV367" s="36"/>
      <c r="AW367" s="36"/>
      <c r="AX367" s="36"/>
      <c r="AY367" s="37"/>
      <c r="AZ367" s="44"/>
      <c r="BA367" s="36"/>
      <c r="BB367" s="36"/>
      <c r="BC367" s="36"/>
      <c r="BD367" s="36"/>
      <c r="BE367" s="36"/>
      <c r="BF367" s="36"/>
      <c r="BG367" s="36"/>
      <c r="BH367" s="36"/>
      <c r="BI367" s="36"/>
      <c r="BJ367" s="36"/>
      <c r="BK367" s="36"/>
      <c r="BL367" s="36"/>
      <c r="BM367" s="36"/>
      <c r="BN367" s="36"/>
      <c r="BO367" s="36"/>
      <c r="BP367" s="37"/>
      <c r="BQ367" s="44"/>
      <c r="BR367" s="36"/>
      <c r="BS367" s="36"/>
      <c r="BT367" s="36"/>
      <c r="BU367" s="36"/>
      <c r="BV367" s="36"/>
      <c r="BW367" s="36"/>
      <c r="BX367" s="36"/>
      <c r="BY367" s="36"/>
      <c r="BZ367" s="36"/>
      <c r="CA367" s="36"/>
      <c r="CB367" s="36"/>
      <c r="CC367" s="36"/>
      <c r="CD367" s="36"/>
      <c r="CE367" s="36"/>
      <c r="CF367" s="36"/>
      <c r="CG367" s="37"/>
      <c r="CH367" s="44"/>
      <c r="CI367" s="36"/>
      <c r="CJ367" s="36"/>
      <c r="CK367" s="36"/>
      <c r="CL367" s="36"/>
      <c r="CM367" s="36"/>
      <c r="CN367" s="36"/>
      <c r="CO367" s="36"/>
      <c r="CP367" s="36"/>
      <c r="CQ367" s="36"/>
      <c r="CR367" s="36"/>
      <c r="CS367" s="36"/>
      <c r="CT367" s="36"/>
      <c r="CU367" s="36"/>
      <c r="CV367" s="36"/>
      <c r="CW367" s="36"/>
      <c r="CX367" s="37"/>
      <c r="CY367" s="44"/>
      <c r="CZ367" s="36"/>
      <c r="DA367" s="36"/>
      <c r="DB367" s="36"/>
      <c r="DC367" s="36"/>
      <c r="DD367" s="36"/>
      <c r="DE367" s="36"/>
      <c r="DF367" s="36"/>
      <c r="DG367" s="36"/>
      <c r="DH367" s="36"/>
      <c r="DI367" s="36"/>
      <c r="DJ367" s="36"/>
      <c r="DK367" s="36"/>
      <c r="DL367" s="36"/>
      <c r="DM367" s="36"/>
      <c r="DN367" s="36"/>
      <c r="DO367" s="37"/>
      <c r="DP367" s="44"/>
      <c r="DQ367" s="36"/>
      <c r="DR367" s="36"/>
      <c r="DS367" s="36"/>
      <c r="DT367" s="36"/>
      <c r="DU367" s="36"/>
      <c r="DV367" s="36"/>
      <c r="DW367" s="36"/>
      <c r="DX367" s="36"/>
      <c r="DY367" s="36"/>
      <c r="DZ367" s="36"/>
      <c r="EA367" s="36"/>
      <c r="EB367" s="36"/>
      <c r="EC367" s="36"/>
      <c r="ED367" s="36"/>
      <c r="EE367" s="36"/>
      <c r="EF367" s="37"/>
      <c r="EG367" s="44"/>
      <c r="EH367" s="36"/>
      <c r="EI367" s="36"/>
      <c r="EJ367" s="36"/>
      <c r="EK367" s="36"/>
      <c r="EL367" s="36"/>
      <c r="EM367" s="36"/>
      <c r="EN367" s="36"/>
      <c r="EO367" s="36"/>
      <c r="EP367" s="36"/>
      <c r="EQ367" s="36"/>
      <c r="ER367" s="36"/>
      <c r="ES367" s="36"/>
      <c r="ET367" s="36"/>
      <c r="EU367" s="36"/>
      <c r="EV367" s="36"/>
      <c r="EW367" s="37"/>
      <c r="EX367" s="44"/>
      <c r="EY367" s="36"/>
      <c r="EZ367" s="36"/>
      <c r="FA367" s="36"/>
      <c r="FB367" s="36"/>
      <c r="FC367" s="36"/>
      <c r="FD367" s="36"/>
      <c r="FE367" s="36"/>
      <c r="FF367" s="36"/>
      <c r="FG367" s="36"/>
      <c r="FH367" s="36"/>
      <c r="FI367" s="36"/>
      <c r="FJ367" s="36"/>
      <c r="FK367" s="36"/>
      <c r="FL367" s="36"/>
      <c r="FM367" s="36"/>
      <c r="FN367" s="37"/>
      <c r="FO367" s="44"/>
      <c r="FP367" s="36"/>
      <c r="FQ367" s="36"/>
      <c r="FR367" s="36"/>
      <c r="FS367" s="36"/>
      <c r="FT367" s="36"/>
      <c r="FU367" s="36"/>
      <c r="FV367" s="36"/>
      <c r="FW367" s="36"/>
      <c r="FX367" s="36"/>
      <c r="FY367" s="36"/>
      <c r="FZ367" s="36"/>
      <c r="GA367" s="36"/>
      <c r="GB367" s="36"/>
      <c r="GC367" s="36"/>
      <c r="GD367" s="36"/>
      <c r="GE367" s="37"/>
      <c r="GF367" s="44"/>
      <c r="GG367" s="36"/>
      <c r="GH367" s="36"/>
      <c r="GI367" s="36"/>
      <c r="GJ367" s="36"/>
      <c r="GK367" s="36"/>
      <c r="GL367" s="36"/>
      <c r="GM367" s="36"/>
      <c r="GN367" s="36"/>
      <c r="GO367" s="36"/>
      <c r="GP367" s="36"/>
      <c r="GQ367" s="36"/>
      <c r="GR367" s="36"/>
      <c r="GS367" s="36"/>
      <c r="GT367" s="36"/>
      <c r="GU367" s="36"/>
      <c r="GV367" s="37"/>
      <c r="GW367" s="44"/>
      <c r="GX367" s="36"/>
      <c r="GY367" s="36"/>
      <c r="GZ367" s="36"/>
      <c r="HA367" s="36"/>
      <c r="HB367" s="36"/>
      <c r="HC367" s="36"/>
      <c r="HD367" s="36"/>
      <c r="HE367" s="36"/>
      <c r="HF367" s="36"/>
      <c r="HG367" s="36"/>
      <c r="HH367" s="36"/>
      <c r="HI367" s="36"/>
      <c r="HJ367" s="36"/>
      <c r="HK367" s="36"/>
      <c r="HL367" s="36"/>
      <c r="HM367" s="37"/>
      <c r="HN367" s="44"/>
      <c r="HO367" s="36"/>
      <c r="HP367" s="36"/>
      <c r="HQ367" s="36"/>
      <c r="HR367" s="36"/>
      <c r="HS367" s="36"/>
      <c r="HT367" s="36"/>
      <c r="HU367" s="36"/>
      <c r="HV367" s="36"/>
      <c r="HW367" s="36"/>
      <c r="HX367" s="36"/>
      <c r="HY367" s="36"/>
      <c r="HZ367" s="36"/>
      <c r="IA367" s="36"/>
      <c r="IB367" s="36"/>
      <c r="IC367" s="36"/>
      <c r="ID367" s="37"/>
      <c r="IE367" s="44"/>
      <c r="IF367" s="36"/>
      <c r="IG367" s="36"/>
      <c r="IH367" s="36"/>
      <c r="II367" s="36"/>
      <c r="IJ367" s="36"/>
      <c r="IK367" s="36"/>
      <c r="IL367" s="36"/>
      <c r="IM367" s="36"/>
      <c r="IN367" s="36"/>
      <c r="IO367" s="36"/>
      <c r="IP367" s="36"/>
      <c r="IQ367" s="36"/>
      <c r="IR367" s="36"/>
      <c r="IS367" s="36"/>
      <c r="IT367" s="36"/>
      <c r="IU367" s="37"/>
      <c r="IV367" s="44"/>
      <c r="IW367" s="36"/>
      <c r="IX367" s="36"/>
      <c r="IY367" s="36"/>
      <c r="IZ367" s="36"/>
      <c r="JA367" s="36"/>
      <c r="JB367" s="36"/>
      <c r="JC367" s="36"/>
      <c r="JD367" s="36"/>
      <c r="JE367" s="36"/>
      <c r="JF367" s="36"/>
      <c r="JG367" s="36"/>
      <c r="JH367" s="36"/>
      <c r="JI367" s="36"/>
      <c r="JJ367" s="36"/>
      <c r="JK367" s="36"/>
      <c r="JL367" s="37"/>
      <c r="JM367" s="44"/>
      <c r="JN367" s="36"/>
      <c r="JO367" s="36"/>
      <c r="JP367" s="36"/>
      <c r="JQ367" s="36"/>
      <c r="JR367" s="36"/>
      <c r="JS367" s="36"/>
      <c r="JT367" s="36"/>
      <c r="JU367" s="36"/>
      <c r="JV367" s="36"/>
      <c r="JW367" s="36"/>
      <c r="JX367" s="36"/>
      <c r="JY367" s="36"/>
      <c r="JZ367" s="36"/>
      <c r="KA367" s="36"/>
      <c r="KB367" s="36"/>
      <c r="KC367" s="37"/>
      <c r="KD367" s="44"/>
      <c r="KE367" s="36"/>
      <c r="KF367" s="36"/>
      <c r="KG367" s="36"/>
      <c r="KH367" s="36"/>
      <c r="KI367" s="36"/>
      <c r="KJ367" s="36"/>
      <c r="KK367" s="36"/>
      <c r="KL367" s="36"/>
      <c r="KM367" s="36"/>
      <c r="KN367" s="36"/>
      <c r="KO367" s="36"/>
      <c r="KP367" s="36"/>
      <c r="KQ367" s="36"/>
      <c r="KR367" s="36"/>
      <c r="KS367" s="36"/>
      <c r="KT367" s="37"/>
      <c r="KU367" s="36"/>
    </row>
    <row r="368" ht="15.0" customHeight="1">
      <c r="A368" s="44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7"/>
      <c r="R368" s="44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7"/>
      <c r="AI368" s="44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36"/>
      <c r="AU368" s="36"/>
      <c r="AV368" s="36"/>
      <c r="AW368" s="36"/>
      <c r="AX368" s="36"/>
      <c r="AY368" s="37"/>
      <c r="AZ368" s="44"/>
      <c r="BA368" s="36"/>
      <c r="BB368" s="36"/>
      <c r="BC368" s="36"/>
      <c r="BD368" s="36"/>
      <c r="BE368" s="36"/>
      <c r="BF368" s="36"/>
      <c r="BG368" s="36"/>
      <c r="BH368" s="36"/>
      <c r="BI368" s="36"/>
      <c r="BJ368" s="36"/>
      <c r="BK368" s="36"/>
      <c r="BL368" s="36"/>
      <c r="BM368" s="36"/>
      <c r="BN368" s="36"/>
      <c r="BO368" s="36"/>
      <c r="BP368" s="37"/>
      <c r="BQ368" s="44"/>
      <c r="BR368" s="36"/>
      <c r="BS368" s="36"/>
      <c r="BT368" s="36"/>
      <c r="BU368" s="36"/>
      <c r="BV368" s="36"/>
      <c r="BW368" s="36"/>
      <c r="BX368" s="36"/>
      <c r="BY368" s="36"/>
      <c r="BZ368" s="36"/>
      <c r="CA368" s="36"/>
      <c r="CB368" s="36"/>
      <c r="CC368" s="36"/>
      <c r="CD368" s="36"/>
      <c r="CE368" s="36"/>
      <c r="CF368" s="36"/>
      <c r="CG368" s="37"/>
      <c r="CH368" s="44"/>
      <c r="CI368" s="36"/>
      <c r="CJ368" s="36"/>
      <c r="CK368" s="36"/>
      <c r="CL368" s="36"/>
      <c r="CM368" s="36"/>
      <c r="CN368" s="36"/>
      <c r="CO368" s="36"/>
      <c r="CP368" s="36"/>
      <c r="CQ368" s="36"/>
      <c r="CR368" s="36"/>
      <c r="CS368" s="36"/>
      <c r="CT368" s="36"/>
      <c r="CU368" s="36"/>
      <c r="CV368" s="36"/>
      <c r="CW368" s="36"/>
      <c r="CX368" s="37"/>
      <c r="CY368" s="44"/>
      <c r="CZ368" s="36"/>
      <c r="DA368" s="36"/>
      <c r="DB368" s="36"/>
      <c r="DC368" s="36"/>
      <c r="DD368" s="36"/>
      <c r="DE368" s="36"/>
      <c r="DF368" s="36"/>
      <c r="DG368" s="36"/>
      <c r="DH368" s="36"/>
      <c r="DI368" s="36"/>
      <c r="DJ368" s="36"/>
      <c r="DK368" s="36"/>
      <c r="DL368" s="36"/>
      <c r="DM368" s="36"/>
      <c r="DN368" s="36"/>
      <c r="DO368" s="37"/>
      <c r="DP368" s="44"/>
      <c r="DQ368" s="36"/>
      <c r="DR368" s="36"/>
      <c r="DS368" s="36"/>
      <c r="DT368" s="36"/>
      <c r="DU368" s="36"/>
      <c r="DV368" s="36"/>
      <c r="DW368" s="36"/>
      <c r="DX368" s="36"/>
      <c r="DY368" s="36"/>
      <c r="DZ368" s="36"/>
      <c r="EA368" s="36"/>
      <c r="EB368" s="36"/>
      <c r="EC368" s="36"/>
      <c r="ED368" s="36"/>
      <c r="EE368" s="36"/>
      <c r="EF368" s="37"/>
      <c r="EG368" s="44"/>
      <c r="EH368" s="36"/>
      <c r="EI368" s="36"/>
      <c r="EJ368" s="36"/>
      <c r="EK368" s="36"/>
      <c r="EL368" s="36"/>
      <c r="EM368" s="36"/>
      <c r="EN368" s="36"/>
      <c r="EO368" s="36"/>
      <c r="EP368" s="36"/>
      <c r="EQ368" s="36"/>
      <c r="ER368" s="36"/>
      <c r="ES368" s="36"/>
      <c r="ET368" s="36"/>
      <c r="EU368" s="36"/>
      <c r="EV368" s="36"/>
      <c r="EW368" s="37"/>
      <c r="EX368" s="44"/>
      <c r="EY368" s="36"/>
      <c r="EZ368" s="36"/>
      <c r="FA368" s="36"/>
      <c r="FB368" s="36"/>
      <c r="FC368" s="36"/>
      <c r="FD368" s="36"/>
      <c r="FE368" s="36"/>
      <c r="FF368" s="36"/>
      <c r="FG368" s="36"/>
      <c r="FH368" s="36"/>
      <c r="FI368" s="36"/>
      <c r="FJ368" s="36"/>
      <c r="FK368" s="36"/>
      <c r="FL368" s="36"/>
      <c r="FM368" s="36"/>
      <c r="FN368" s="37"/>
      <c r="FO368" s="44"/>
      <c r="FP368" s="36"/>
      <c r="FQ368" s="36"/>
      <c r="FR368" s="36"/>
      <c r="FS368" s="36"/>
      <c r="FT368" s="36"/>
      <c r="FU368" s="36"/>
      <c r="FV368" s="36"/>
      <c r="FW368" s="36"/>
      <c r="FX368" s="36"/>
      <c r="FY368" s="36"/>
      <c r="FZ368" s="36"/>
      <c r="GA368" s="36"/>
      <c r="GB368" s="36"/>
      <c r="GC368" s="36"/>
      <c r="GD368" s="36"/>
      <c r="GE368" s="37"/>
      <c r="GF368" s="44"/>
      <c r="GG368" s="36"/>
      <c r="GH368" s="36"/>
      <c r="GI368" s="36"/>
      <c r="GJ368" s="36"/>
      <c r="GK368" s="36"/>
      <c r="GL368" s="36"/>
      <c r="GM368" s="36"/>
      <c r="GN368" s="36"/>
      <c r="GO368" s="36"/>
      <c r="GP368" s="36"/>
      <c r="GQ368" s="36"/>
      <c r="GR368" s="36"/>
      <c r="GS368" s="36"/>
      <c r="GT368" s="36"/>
      <c r="GU368" s="36"/>
      <c r="GV368" s="37"/>
      <c r="GW368" s="44"/>
      <c r="GX368" s="36"/>
      <c r="GY368" s="36"/>
      <c r="GZ368" s="36"/>
      <c r="HA368" s="36"/>
      <c r="HB368" s="36"/>
      <c r="HC368" s="36"/>
      <c r="HD368" s="36"/>
      <c r="HE368" s="36"/>
      <c r="HF368" s="36"/>
      <c r="HG368" s="36"/>
      <c r="HH368" s="36"/>
      <c r="HI368" s="36"/>
      <c r="HJ368" s="36"/>
      <c r="HK368" s="36"/>
      <c r="HL368" s="36"/>
      <c r="HM368" s="37"/>
      <c r="HN368" s="44"/>
      <c r="HO368" s="36"/>
      <c r="HP368" s="36"/>
      <c r="HQ368" s="36"/>
      <c r="HR368" s="36"/>
      <c r="HS368" s="36"/>
      <c r="HT368" s="36"/>
      <c r="HU368" s="36"/>
      <c r="HV368" s="36"/>
      <c r="HW368" s="36"/>
      <c r="HX368" s="36"/>
      <c r="HY368" s="36"/>
      <c r="HZ368" s="36"/>
      <c r="IA368" s="36"/>
      <c r="IB368" s="36"/>
      <c r="IC368" s="36"/>
      <c r="ID368" s="37"/>
      <c r="IE368" s="44"/>
      <c r="IF368" s="36"/>
      <c r="IG368" s="36"/>
      <c r="IH368" s="36"/>
      <c r="II368" s="36"/>
      <c r="IJ368" s="36"/>
      <c r="IK368" s="36"/>
      <c r="IL368" s="36"/>
      <c r="IM368" s="36"/>
      <c r="IN368" s="36"/>
      <c r="IO368" s="36"/>
      <c r="IP368" s="36"/>
      <c r="IQ368" s="36"/>
      <c r="IR368" s="36"/>
      <c r="IS368" s="36"/>
      <c r="IT368" s="36"/>
      <c r="IU368" s="37"/>
      <c r="IV368" s="44"/>
      <c r="IW368" s="36"/>
      <c r="IX368" s="36"/>
      <c r="IY368" s="36"/>
      <c r="IZ368" s="36"/>
      <c r="JA368" s="36"/>
      <c r="JB368" s="36"/>
      <c r="JC368" s="36"/>
      <c r="JD368" s="36"/>
      <c r="JE368" s="36"/>
      <c r="JF368" s="36"/>
      <c r="JG368" s="36"/>
      <c r="JH368" s="36"/>
      <c r="JI368" s="36"/>
      <c r="JJ368" s="36"/>
      <c r="JK368" s="36"/>
      <c r="JL368" s="37"/>
      <c r="JM368" s="44"/>
      <c r="JN368" s="36"/>
      <c r="JO368" s="36"/>
      <c r="JP368" s="36"/>
      <c r="JQ368" s="36"/>
      <c r="JR368" s="36"/>
      <c r="JS368" s="36"/>
      <c r="JT368" s="36"/>
      <c r="JU368" s="36"/>
      <c r="JV368" s="36"/>
      <c r="JW368" s="36"/>
      <c r="JX368" s="36"/>
      <c r="JY368" s="36"/>
      <c r="JZ368" s="36"/>
      <c r="KA368" s="36"/>
      <c r="KB368" s="36"/>
      <c r="KC368" s="37"/>
      <c r="KD368" s="44"/>
      <c r="KE368" s="36"/>
      <c r="KF368" s="36"/>
      <c r="KG368" s="36"/>
      <c r="KH368" s="36"/>
      <c r="KI368" s="36"/>
      <c r="KJ368" s="36"/>
      <c r="KK368" s="36"/>
      <c r="KL368" s="36"/>
      <c r="KM368" s="36"/>
      <c r="KN368" s="36"/>
      <c r="KO368" s="36"/>
      <c r="KP368" s="36"/>
      <c r="KQ368" s="36"/>
      <c r="KR368" s="36"/>
      <c r="KS368" s="36"/>
      <c r="KT368" s="37"/>
      <c r="KU368" s="36"/>
    </row>
    <row r="369" ht="15.0" customHeight="1">
      <c r="A369" s="44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7"/>
      <c r="R369" s="44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7"/>
      <c r="AI369" s="44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36"/>
      <c r="AU369" s="36"/>
      <c r="AV369" s="36"/>
      <c r="AW369" s="36"/>
      <c r="AX369" s="36"/>
      <c r="AY369" s="37"/>
      <c r="AZ369" s="44"/>
      <c r="BA369" s="36"/>
      <c r="BB369" s="36"/>
      <c r="BC369" s="36"/>
      <c r="BD369" s="36"/>
      <c r="BE369" s="36"/>
      <c r="BF369" s="36"/>
      <c r="BG369" s="36"/>
      <c r="BH369" s="36"/>
      <c r="BI369" s="36"/>
      <c r="BJ369" s="36"/>
      <c r="BK369" s="36"/>
      <c r="BL369" s="36"/>
      <c r="BM369" s="36"/>
      <c r="BN369" s="36"/>
      <c r="BO369" s="36"/>
      <c r="BP369" s="37"/>
      <c r="BQ369" s="44"/>
      <c r="BR369" s="36"/>
      <c r="BS369" s="36"/>
      <c r="BT369" s="36"/>
      <c r="BU369" s="36"/>
      <c r="BV369" s="36"/>
      <c r="BW369" s="36"/>
      <c r="BX369" s="36"/>
      <c r="BY369" s="36"/>
      <c r="BZ369" s="36"/>
      <c r="CA369" s="36"/>
      <c r="CB369" s="36"/>
      <c r="CC369" s="36"/>
      <c r="CD369" s="36"/>
      <c r="CE369" s="36"/>
      <c r="CF369" s="36"/>
      <c r="CG369" s="37"/>
      <c r="CH369" s="44"/>
      <c r="CI369" s="36"/>
      <c r="CJ369" s="36"/>
      <c r="CK369" s="36"/>
      <c r="CL369" s="36"/>
      <c r="CM369" s="36"/>
      <c r="CN369" s="36"/>
      <c r="CO369" s="36"/>
      <c r="CP369" s="36"/>
      <c r="CQ369" s="36"/>
      <c r="CR369" s="36"/>
      <c r="CS369" s="36"/>
      <c r="CT369" s="36"/>
      <c r="CU369" s="36"/>
      <c r="CV369" s="36"/>
      <c r="CW369" s="36"/>
      <c r="CX369" s="37"/>
      <c r="CY369" s="44"/>
      <c r="CZ369" s="36"/>
      <c r="DA369" s="36"/>
      <c r="DB369" s="36"/>
      <c r="DC369" s="36"/>
      <c r="DD369" s="36"/>
      <c r="DE369" s="36"/>
      <c r="DF369" s="36"/>
      <c r="DG369" s="36"/>
      <c r="DH369" s="36"/>
      <c r="DI369" s="36"/>
      <c r="DJ369" s="36"/>
      <c r="DK369" s="36"/>
      <c r="DL369" s="36"/>
      <c r="DM369" s="36"/>
      <c r="DN369" s="36"/>
      <c r="DO369" s="37"/>
      <c r="DP369" s="44"/>
      <c r="DQ369" s="36"/>
      <c r="DR369" s="36"/>
      <c r="DS369" s="36"/>
      <c r="DT369" s="36"/>
      <c r="DU369" s="36"/>
      <c r="DV369" s="36"/>
      <c r="DW369" s="36"/>
      <c r="DX369" s="36"/>
      <c r="DY369" s="36"/>
      <c r="DZ369" s="36"/>
      <c r="EA369" s="36"/>
      <c r="EB369" s="36"/>
      <c r="EC369" s="36"/>
      <c r="ED369" s="36"/>
      <c r="EE369" s="36"/>
      <c r="EF369" s="37"/>
      <c r="EG369" s="44"/>
      <c r="EH369" s="36"/>
      <c r="EI369" s="36"/>
      <c r="EJ369" s="36"/>
      <c r="EK369" s="36"/>
      <c r="EL369" s="36"/>
      <c r="EM369" s="36"/>
      <c r="EN369" s="36"/>
      <c r="EO369" s="36"/>
      <c r="EP369" s="36"/>
      <c r="EQ369" s="36"/>
      <c r="ER369" s="36"/>
      <c r="ES369" s="36"/>
      <c r="ET369" s="36"/>
      <c r="EU369" s="36"/>
      <c r="EV369" s="36"/>
      <c r="EW369" s="37"/>
      <c r="EX369" s="44"/>
      <c r="EY369" s="36"/>
      <c r="EZ369" s="36"/>
      <c r="FA369" s="36"/>
      <c r="FB369" s="36"/>
      <c r="FC369" s="36"/>
      <c r="FD369" s="36"/>
      <c r="FE369" s="36"/>
      <c r="FF369" s="36"/>
      <c r="FG369" s="36"/>
      <c r="FH369" s="36"/>
      <c r="FI369" s="36"/>
      <c r="FJ369" s="36"/>
      <c r="FK369" s="36"/>
      <c r="FL369" s="36"/>
      <c r="FM369" s="36"/>
      <c r="FN369" s="37"/>
      <c r="FO369" s="44"/>
      <c r="FP369" s="36"/>
      <c r="FQ369" s="36"/>
      <c r="FR369" s="36"/>
      <c r="FS369" s="36"/>
      <c r="FT369" s="36"/>
      <c r="FU369" s="36"/>
      <c r="FV369" s="36"/>
      <c r="FW369" s="36"/>
      <c r="FX369" s="36"/>
      <c r="FY369" s="36"/>
      <c r="FZ369" s="36"/>
      <c r="GA369" s="36"/>
      <c r="GB369" s="36"/>
      <c r="GC369" s="36"/>
      <c r="GD369" s="36"/>
      <c r="GE369" s="37"/>
      <c r="GF369" s="44"/>
      <c r="GG369" s="36"/>
      <c r="GH369" s="36"/>
      <c r="GI369" s="36"/>
      <c r="GJ369" s="36"/>
      <c r="GK369" s="36"/>
      <c r="GL369" s="36"/>
      <c r="GM369" s="36"/>
      <c r="GN369" s="36"/>
      <c r="GO369" s="36"/>
      <c r="GP369" s="36"/>
      <c r="GQ369" s="36"/>
      <c r="GR369" s="36"/>
      <c r="GS369" s="36"/>
      <c r="GT369" s="36"/>
      <c r="GU369" s="36"/>
      <c r="GV369" s="37"/>
      <c r="GW369" s="44"/>
      <c r="GX369" s="36"/>
      <c r="GY369" s="36"/>
      <c r="GZ369" s="36"/>
      <c r="HA369" s="36"/>
      <c r="HB369" s="36"/>
      <c r="HC369" s="36"/>
      <c r="HD369" s="36"/>
      <c r="HE369" s="36"/>
      <c r="HF369" s="36"/>
      <c r="HG369" s="36"/>
      <c r="HH369" s="36"/>
      <c r="HI369" s="36"/>
      <c r="HJ369" s="36"/>
      <c r="HK369" s="36"/>
      <c r="HL369" s="36"/>
      <c r="HM369" s="37"/>
      <c r="HN369" s="44"/>
      <c r="HO369" s="36"/>
      <c r="HP369" s="36"/>
      <c r="HQ369" s="36"/>
      <c r="HR369" s="36"/>
      <c r="HS369" s="36"/>
      <c r="HT369" s="36"/>
      <c r="HU369" s="36"/>
      <c r="HV369" s="36"/>
      <c r="HW369" s="36"/>
      <c r="HX369" s="36"/>
      <c r="HY369" s="36"/>
      <c r="HZ369" s="36"/>
      <c r="IA369" s="36"/>
      <c r="IB369" s="36"/>
      <c r="IC369" s="36"/>
      <c r="ID369" s="37"/>
      <c r="IE369" s="44"/>
      <c r="IF369" s="36"/>
      <c r="IG369" s="36"/>
      <c r="IH369" s="36"/>
      <c r="II369" s="36"/>
      <c r="IJ369" s="36"/>
      <c r="IK369" s="36"/>
      <c r="IL369" s="36"/>
      <c r="IM369" s="36"/>
      <c r="IN369" s="36"/>
      <c r="IO369" s="36"/>
      <c r="IP369" s="36"/>
      <c r="IQ369" s="36"/>
      <c r="IR369" s="36"/>
      <c r="IS369" s="36"/>
      <c r="IT369" s="36"/>
      <c r="IU369" s="37"/>
      <c r="IV369" s="44"/>
      <c r="IW369" s="36"/>
      <c r="IX369" s="36"/>
      <c r="IY369" s="36"/>
      <c r="IZ369" s="36"/>
      <c r="JA369" s="36"/>
      <c r="JB369" s="36"/>
      <c r="JC369" s="36"/>
      <c r="JD369" s="36"/>
      <c r="JE369" s="36"/>
      <c r="JF369" s="36"/>
      <c r="JG369" s="36"/>
      <c r="JH369" s="36"/>
      <c r="JI369" s="36"/>
      <c r="JJ369" s="36"/>
      <c r="JK369" s="36"/>
      <c r="JL369" s="37"/>
      <c r="JM369" s="44"/>
      <c r="JN369" s="36"/>
      <c r="JO369" s="36"/>
      <c r="JP369" s="36"/>
      <c r="JQ369" s="36"/>
      <c r="JR369" s="36"/>
      <c r="JS369" s="36"/>
      <c r="JT369" s="36"/>
      <c r="JU369" s="36"/>
      <c r="JV369" s="36"/>
      <c r="JW369" s="36"/>
      <c r="JX369" s="36"/>
      <c r="JY369" s="36"/>
      <c r="JZ369" s="36"/>
      <c r="KA369" s="36"/>
      <c r="KB369" s="36"/>
      <c r="KC369" s="37"/>
      <c r="KD369" s="44"/>
      <c r="KE369" s="36"/>
      <c r="KF369" s="36"/>
      <c r="KG369" s="36"/>
      <c r="KH369" s="36"/>
      <c r="KI369" s="36"/>
      <c r="KJ369" s="36"/>
      <c r="KK369" s="36"/>
      <c r="KL369" s="36"/>
      <c r="KM369" s="36"/>
      <c r="KN369" s="36"/>
      <c r="KO369" s="36"/>
      <c r="KP369" s="36"/>
      <c r="KQ369" s="36"/>
      <c r="KR369" s="36"/>
      <c r="KS369" s="36"/>
      <c r="KT369" s="37"/>
      <c r="KU369" s="36"/>
    </row>
    <row r="370" ht="15.0" customHeight="1">
      <c r="A370" s="44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7"/>
      <c r="R370" s="44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7"/>
      <c r="AI370" s="44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  <c r="AU370" s="36"/>
      <c r="AV370" s="36"/>
      <c r="AW370" s="36"/>
      <c r="AX370" s="36"/>
      <c r="AY370" s="37"/>
      <c r="AZ370" s="44"/>
      <c r="BA370" s="36"/>
      <c r="BB370" s="36"/>
      <c r="BC370" s="36"/>
      <c r="BD370" s="36"/>
      <c r="BE370" s="36"/>
      <c r="BF370" s="36"/>
      <c r="BG370" s="36"/>
      <c r="BH370" s="36"/>
      <c r="BI370" s="36"/>
      <c r="BJ370" s="36"/>
      <c r="BK370" s="36"/>
      <c r="BL370" s="36"/>
      <c r="BM370" s="36"/>
      <c r="BN370" s="36"/>
      <c r="BO370" s="36"/>
      <c r="BP370" s="37"/>
      <c r="BQ370" s="44"/>
      <c r="BR370" s="36"/>
      <c r="BS370" s="36"/>
      <c r="BT370" s="36"/>
      <c r="BU370" s="36"/>
      <c r="BV370" s="36"/>
      <c r="BW370" s="36"/>
      <c r="BX370" s="36"/>
      <c r="BY370" s="36"/>
      <c r="BZ370" s="36"/>
      <c r="CA370" s="36"/>
      <c r="CB370" s="36"/>
      <c r="CC370" s="36"/>
      <c r="CD370" s="36"/>
      <c r="CE370" s="36"/>
      <c r="CF370" s="36"/>
      <c r="CG370" s="37"/>
      <c r="CH370" s="44"/>
      <c r="CI370" s="36"/>
      <c r="CJ370" s="36"/>
      <c r="CK370" s="36"/>
      <c r="CL370" s="36"/>
      <c r="CM370" s="36"/>
      <c r="CN370" s="36"/>
      <c r="CO370" s="36"/>
      <c r="CP370" s="36"/>
      <c r="CQ370" s="36"/>
      <c r="CR370" s="36"/>
      <c r="CS370" s="36"/>
      <c r="CT370" s="36"/>
      <c r="CU370" s="36"/>
      <c r="CV370" s="36"/>
      <c r="CW370" s="36"/>
      <c r="CX370" s="37"/>
      <c r="CY370" s="44"/>
      <c r="CZ370" s="36"/>
      <c r="DA370" s="36"/>
      <c r="DB370" s="36"/>
      <c r="DC370" s="36"/>
      <c r="DD370" s="36"/>
      <c r="DE370" s="36"/>
      <c r="DF370" s="36"/>
      <c r="DG370" s="36"/>
      <c r="DH370" s="36"/>
      <c r="DI370" s="36"/>
      <c r="DJ370" s="36"/>
      <c r="DK370" s="36"/>
      <c r="DL370" s="36"/>
      <c r="DM370" s="36"/>
      <c r="DN370" s="36"/>
      <c r="DO370" s="37"/>
      <c r="DP370" s="44"/>
      <c r="DQ370" s="36"/>
      <c r="DR370" s="36"/>
      <c r="DS370" s="36"/>
      <c r="DT370" s="36"/>
      <c r="DU370" s="36"/>
      <c r="DV370" s="36"/>
      <c r="DW370" s="36"/>
      <c r="DX370" s="36"/>
      <c r="DY370" s="36"/>
      <c r="DZ370" s="36"/>
      <c r="EA370" s="36"/>
      <c r="EB370" s="36"/>
      <c r="EC370" s="36"/>
      <c r="ED370" s="36"/>
      <c r="EE370" s="36"/>
      <c r="EF370" s="37"/>
      <c r="EG370" s="44"/>
      <c r="EH370" s="36"/>
      <c r="EI370" s="36"/>
      <c r="EJ370" s="36"/>
      <c r="EK370" s="36"/>
      <c r="EL370" s="36"/>
      <c r="EM370" s="36"/>
      <c r="EN370" s="36"/>
      <c r="EO370" s="36"/>
      <c r="EP370" s="36"/>
      <c r="EQ370" s="36"/>
      <c r="ER370" s="36"/>
      <c r="ES370" s="36"/>
      <c r="ET370" s="36"/>
      <c r="EU370" s="36"/>
      <c r="EV370" s="36"/>
      <c r="EW370" s="37"/>
      <c r="EX370" s="44"/>
      <c r="EY370" s="36"/>
      <c r="EZ370" s="36"/>
      <c r="FA370" s="36"/>
      <c r="FB370" s="36"/>
      <c r="FC370" s="36"/>
      <c r="FD370" s="36"/>
      <c r="FE370" s="36"/>
      <c r="FF370" s="36"/>
      <c r="FG370" s="36"/>
      <c r="FH370" s="36"/>
      <c r="FI370" s="36"/>
      <c r="FJ370" s="36"/>
      <c r="FK370" s="36"/>
      <c r="FL370" s="36"/>
      <c r="FM370" s="36"/>
      <c r="FN370" s="37"/>
      <c r="FO370" s="44"/>
      <c r="FP370" s="36"/>
      <c r="FQ370" s="36"/>
      <c r="FR370" s="36"/>
      <c r="FS370" s="36"/>
      <c r="FT370" s="36"/>
      <c r="FU370" s="36"/>
      <c r="FV370" s="36"/>
      <c r="FW370" s="36"/>
      <c r="FX370" s="36"/>
      <c r="FY370" s="36"/>
      <c r="FZ370" s="36"/>
      <c r="GA370" s="36"/>
      <c r="GB370" s="36"/>
      <c r="GC370" s="36"/>
      <c r="GD370" s="36"/>
      <c r="GE370" s="37"/>
      <c r="GF370" s="44"/>
      <c r="GG370" s="36"/>
      <c r="GH370" s="36"/>
      <c r="GI370" s="36"/>
      <c r="GJ370" s="36"/>
      <c r="GK370" s="36"/>
      <c r="GL370" s="36"/>
      <c r="GM370" s="36"/>
      <c r="GN370" s="36"/>
      <c r="GO370" s="36"/>
      <c r="GP370" s="36"/>
      <c r="GQ370" s="36"/>
      <c r="GR370" s="36"/>
      <c r="GS370" s="36"/>
      <c r="GT370" s="36"/>
      <c r="GU370" s="36"/>
      <c r="GV370" s="37"/>
      <c r="GW370" s="44"/>
      <c r="GX370" s="36"/>
      <c r="GY370" s="36"/>
      <c r="GZ370" s="36"/>
      <c r="HA370" s="36"/>
      <c r="HB370" s="36"/>
      <c r="HC370" s="36"/>
      <c r="HD370" s="36"/>
      <c r="HE370" s="36"/>
      <c r="HF370" s="36"/>
      <c r="HG370" s="36"/>
      <c r="HH370" s="36"/>
      <c r="HI370" s="36"/>
      <c r="HJ370" s="36"/>
      <c r="HK370" s="36"/>
      <c r="HL370" s="36"/>
      <c r="HM370" s="37"/>
      <c r="HN370" s="44"/>
      <c r="HO370" s="36"/>
      <c r="HP370" s="36"/>
      <c r="HQ370" s="36"/>
      <c r="HR370" s="36"/>
      <c r="HS370" s="36"/>
      <c r="HT370" s="36"/>
      <c r="HU370" s="36"/>
      <c r="HV370" s="36"/>
      <c r="HW370" s="36"/>
      <c r="HX370" s="36"/>
      <c r="HY370" s="36"/>
      <c r="HZ370" s="36"/>
      <c r="IA370" s="36"/>
      <c r="IB370" s="36"/>
      <c r="IC370" s="36"/>
      <c r="ID370" s="37"/>
      <c r="IE370" s="44"/>
      <c r="IF370" s="36"/>
      <c r="IG370" s="36"/>
      <c r="IH370" s="36"/>
      <c r="II370" s="36"/>
      <c r="IJ370" s="36"/>
      <c r="IK370" s="36"/>
      <c r="IL370" s="36"/>
      <c r="IM370" s="36"/>
      <c r="IN370" s="36"/>
      <c r="IO370" s="36"/>
      <c r="IP370" s="36"/>
      <c r="IQ370" s="36"/>
      <c r="IR370" s="36"/>
      <c r="IS370" s="36"/>
      <c r="IT370" s="36"/>
      <c r="IU370" s="37"/>
      <c r="IV370" s="44"/>
      <c r="IW370" s="36"/>
      <c r="IX370" s="36"/>
      <c r="IY370" s="36"/>
      <c r="IZ370" s="36"/>
      <c r="JA370" s="36"/>
      <c r="JB370" s="36"/>
      <c r="JC370" s="36"/>
      <c r="JD370" s="36"/>
      <c r="JE370" s="36"/>
      <c r="JF370" s="36"/>
      <c r="JG370" s="36"/>
      <c r="JH370" s="36"/>
      <c r="JI370" s="36"/>
      <c r="JJ370" s="36"/>
      <c r="JK370" s="36"/>
      <c r="JL370" s="37"/>
      <c r="JM370" s="44"/>
      <c r="JN370" s="36"/>
      <c r="JO370" s="36"/>
      <c r="JP370" s="36"/>
      <c r="JQ370" s="36"/>
      <c r="JR370" s="36"/>
      <c r="JS370" s="36"/>
      <c r="JT370" s="36"/>
      <c r="JU370" s="36"/>
      <c r="JV370" s="36"/>
      <c r="JW370" s="36"/>
      <c r="JX370" s="36"/>
      <c r="JY370" s="36"/>
      <c r="JZ370" s="36"/>
      <c r="KA370" s="36"/>
      <c r="KB370" s="36"/>
      <c r="KC370" s="37"/>
      <c r="KD370" s="44"/>
      <c r="KE370" s="36"/>
      <c r="KF370" s="36"/>
      <c r="KG370" s="36"/>
      <c r="KH370" s="36"/>
      <c r="KI370" s="36"/>
      <c r="KJ370" s="36"/>
      <c r="KK370" s="36"/>
      <c r="KL370" s="36"/>
      <c r="KM370" s="36"/>
      <c r="KN370" s="36"/>
      <c r="KO370" s="36"/>
      <c r="KP370" s="36"/>
      <c r="KQ370" s="36"/>
      <c r="KR370" s="36"/>
      <c r="KS370" s="36"/>
      <c r="KT370" s="37"/>
      <c r="KU370" s="36"/>
    </row>
    <row r="371" ht="15.0" customHeight="1">
      <c r="A371" s="44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7"/>
      <c r="R371" s="44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7"/>
      <c r="AI371" s="44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  <c r="AU371" s="36"/>
      <c r="AV371" s="36"/>
      <c r="AW371" s="36"/>
      <c r="AX371" s="36"/>
      <c r="AY371" s="37"/>
      <c r="AZ371" s="44"/>
      <c r="BA371" s="36"/>
      <c r="BB371" s="36"/>
      <c r="BC371" s="36"/>
      <c r="BD371" s="36"/>
      <c r="BE371" s="36"/>
      <c r="BF371" s="36"/>
      <c r="BG371" s="36"/>
      <c r="BH371" s="36"/>
      <c r="BI371" s="36"/>
      <c r="BJ371" s="36"/>
      <c r="BK371" s="36"/>
      <c r="BL371" s="36"/>
      <c r="BM371" s="36"/>
      <c r="BN371" s="36"/>
      <c r="BO371" s="36"/>
      <c r="BP371" s="37"/>
      <c r="BQ371" s="44"/>
      <c r="BR371" s="36"/>
      <c r="BS371" s="36"/>
      <c r="BT371" s="36"/>
      <c r="BU371" s="36"/>
      <c r="BV371" s="36"/>
      <c r="BW371" s="36"/>
      <c r="BX371" s="36"/>
      <c r="BY371" s="36"/>
      <c r="BZ371" s="36"/>
      <c r="CA371" s="36"/>
      <c r="CB371" s="36"/>
      <c r="CC371" s="36"/>
      <c r="CD371" s="36"/>
      <c r="CE371" s="36"/>
      <c r="CF371" s="36"/>
      <c r="CG371" s="37"/>
      <c r="CH371" s="44"/>
      <c r="CI371" s="36"/>
      <c r="CJ371" s="36"/>
      <c r="CK371" s="36"/>
      <c r="CL371" s="36"/>
      <c r="CM371" s="36"/>
      <c r="CN371" s="36"/>
      <c r="CO371" s="36"/>
      <c r="CP371" s="36"/>
      <c r="CQ371" s="36"/>
      <c r="CR371" s="36"/>
      <c r="CS371" s="36"/>
      <c r="CT371" s="36"/>
      <c r="CU371" s="36"/>
      <c r="CV371" s="36"/>
      <c r="CW371" s="36"/>
      <c r="CX371" s="37"/>
      <c r="CY371" s="44"/>
      <c r="CZ371" s="36"/>
      <c r="DA371" s="36"/>
      <c r="DB371" s="36"/>
      <c r="DC371" s="36"/>
      <c r="DD371" s="36"/>
      <c r="DE371" s="36"/>
      <c r="DF371" s="36"/>
      <c r="DG371" s="36"/>
      <c r="DH371" s="36"/>
      <c r="DI371" s="36"/>
      <c r="DJ371" s="36"/>
      <c r="DK371" s="36"/>
      <c r="DL371" s="36"/>
      <c r="DM371" s="36"/>
      <c r="DN371" s="36"/>
      <c r="DO371" s="37"/>
      <c r="DP371" s="44"/>
      <c r="DQ371" s="36"/>
      <c r="DR371" s="36"/>
      <c r="DS371" s="36"/>
      <c r="DT371" s="36"/>
      <c r="DU371" s="36"/>
      <c r="DV371" s="36"/>
      <c r="DW371" s="36"/>
      <c r="DX371" s="36"/>
      <c r="DY371" s="36"/>
      <c r="DZ371" s="36"/>
      <c r="EA371" s="36"/>
      <c r="EB371" s="36"/>
      <c r="EC371" s="36"/>
      <c r="ED371" s="36"/>
      <c r="EE371" s="36"/>
      <c r="EF371" s="37"/>
      <c r="EG371" s="44"/>
      <c r="EH371" s="36"/>
      <c r="EI371" s="36"/>
      <c r="EJ371" s="36"/>
      <c r="EK371" s="36"/>
      <c r="EL371" s="36"/>
      <c r="EM371" s="36"/>
      <c r="EN371" s="36"/>
      <c r="EO371" s="36"/>
      <c r="EP371" s="36"/>
      <c r="EQ371" s="36"/>
      <c r="ER371" s="36"/>
      <c r="ES371" s="36"/>
      <c r="ET371" s="36"/>
      <c r="EU371" s="36"/>
      <c r="EV371" s="36"/>
      <c r="EW371" s="37"/>
      <c r="EX371" s="44"/>
      <c r="EY371" s="36"/>
      <c r="EZ371" s="36"/>
      <c r="FA371" s="36"/>
      <c r="FB371" s="36"/>
      <c r="FC371" s="36"/>
      <c r="FD371" s="36"/>
      <c r="FE371" s="36"/>
      <c r="FF371" s="36"/>
      <c r="FG371" s="36"/>
      <c r="FH371" s="36"/>
      <c r="FI371" s="36"/>
      <c r="FJ371" s="36"/>
      <c r="FK371" s="36"/>
      <c r="FL371" s="36"/>
      <c r="FM371" s="36"/>
      <c r="FN371" s="37"/>
      <c r="FO371" s="44"/>
      <c r="FP371" s="36"/>
      <c r="FQ371" s="36"/>
      <c r="FR371" s="36"/>
      <c r="FS371" s="36"/>
      <c r="FT371" s="36"/>
      <c r="FU371" s="36"/>
      <c r="FV371" s="36"/>
      <c r="FW371" s="36"/>
      <c r="FX371" s="36"/>
      <c r="FY371" s="36"/>
      <c r="FZ371" s="36"/>
      <c r="GA371" s="36"/>
      <c r="GB371" s="36"/>
      <c r="GC371" s="36"/>
      <c r="GD371" s="36"/>
      <c r="GE371" s="37"/>
      <c r="GF371" s="44"/>
      <c r="GG371" s="36"/>
      <c r="GH371" s="36"/>
      <c r="GI371" s="36"/>
      <c r="GJ371" s="36"/>
      <c r="GK371" s="36"/>
      <c r="GL371" s="36"/>
      <c r="GM371" s="36"/>
      <c r="GN371" s="36"/>
      <c r="GO371" s="36"/>
      <c r="GP371" s="36"/>
      <c r="GQ371" s="36"/>
      <c r="GR371" s="36"/>
      <c r="GS371" s="36"/>
      <c r="GT371" s="36"/>
      <c r="GU371" s="36"/>
      <c r="GV371" s="37"/>
      <c r="GW371" s="44"/>
      <c r="GX371" s="36"/>
      <c r="GY371" s="36"/>
      <c r="GZ371" s="36"/>
      <c r="HA371" s="36"/>
      <c r="HB371" s="36"/>
      <c r="HC371" s="36"/>
      <c r="HD371" s="36"/>
      <c r="HE371" s="36"/>
      <c r="HF371" s="36"/>
      <c r="HG371" s="36"/>
      <c r="HH371" s="36"/>
      <c r="HI371" s="36"/>
      <c r="HJ371" s="36"/>
      <c r="HK371" s="36"/>
      <c r="HL371" s="36"/>
      <c r="HM371" s="37"/>
      <c r="HN371" s="44"/>
      <c r="HO371" s="36"/>
      <c r="HP371" s="36"/>
      <c r="HQ371" s="36"/>
      <c r="HR371" s="36"/>
      <c r="HS371" s="36"/>
      <c r="HT371" s="36"/>
      <c r="HU371" s="36"/>
      <c r="HV371" s="36"/>
      <c r="HW371" s="36"/>
      <c r="HX371" s="36"/>
      <c r="HY371" s="36"/>
      <c r="HZ371" s="36"/>
      <c r="IA371" s="36"/>
      <c r="IB371" s="36"/>
      <c r="IC371" s="36"/>
      <c r="ID371" s="37"/>
      <c r="IE371" s="44"/>
      <c r="IF371" s="36"/>
      <c r="IG371" s="36"/>
      <c r="IH371" s="36"/>
      <c r="II371" s="36"/>
      <c r="IJ371" s="36"/>
      <c r="IK371" s="36"/>
      <c r="IL371" s="36"/>
      <c r="IM371" s="36"/>
      <c r="IN371" s="36"/>
      <c r="IO371" s="36"/>
      <c r="IP371" s="36"/>
      <c r="IQ371" s="36"/>
      <c r="IR371" s="36"/>
      <c r="IS371" s="36"/>
      <c r="IT371" s="36"/>
      <c r="IU371" s="37"/>
      <c r="IV371" s="44"/>
      <c r="IW371" s="36"/>
      <c r="IX371" s="36"/>
      <c r="IY371" s="36"/>
      <c r="IZ371" s="36"/>
      <c r="JA371" s="36"/>
      <c r="JB371" s="36"/>
      <c r="JC371" s="36"/>
      <c r="JD371" s="36"/>
      <c r="JE371" s="36"/>
      <c r="JF371" s="36"/>
      <c r="JG371" s="36"/>
      <c r="JH371" s="36"/>
      <c r="JI371" s="36"/>
      <c r="JJ371" s="36"/>
      <c r="JK371" s="36"/>
      <c r="JL371" s="37"/>
      <c r="JM371" s="44"/>
      <c r="JN371" s="36"/>
      <c r="JO371" s="36"/>
      <c r="JP371" s="36"/>
      <c r="JQ371" s="36"/>
      <c r="JR371" s="36"/>
      <c r="JS371" s="36"/>
      <c r="JT371" s="36"/>
      <c r="JU371" s="36"/>
      <c r="JV371" s="36"/>
      <c r="JW371" s="36"/>
      <c r="JX371" s="36"/>
      <c r="JY371" s="36"/>
      <c r="JZ371" s="36"/>
      <c r="KA371" s="36"/>
      <c r="KB371" s="36"/>
      <c r="KC371" s="37"/>
      <c r="KD371" s="44"/>
      <c r="KE371" s="36"/>
      <c r="KF371" s="36"/>
      <c r="KG371" s="36"/>
      <c r="KH371" s="36"/>
      <c r="KI371" s="36"/>
      <c r="KJ371" s="36"/>
      <c r="KK371" s="36"/>
      <c r="KL371" s="36"/>
      <c r="KM371" s="36"/>
      <c r="KN371" s="36"/>
      <c r="KO371" s="36"/>
      <c r="KP371" s="36"/>
      <c r="KQ371" s="36"/>
      <c r="KR371" s="36"/>
      <c r="KS371" s="36"/>
      <c r="KT371" s="37"/>
      <c r="KU371" s="36"/>
    </row>
    <row r="372" ht="15.0" customHeight="1">
      <c r="A372" s="44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7"/>
      <c r="R372" s="44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7"/>
      <c r="AI372" s="44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  <c r="AU372" s="36"/>
      <c r="AV372" s="36"/>
      <c r="AW372" s="36"/>
      <c r="AX372" s="36"/>
      <c r="AY372" s="37"/>
      <c r="AZ372" s="44"/>
      <c r="BA372" s="36"/>
      <c r="BB372" s="36"/>
      <c r="BC372" s="36"/>
      <c r="BD372" s="36"/>
      <c r="BE372" s="36"/>
      <c r="BF372" s="36"/>
      <c r="BG372" s="36"/>
      <c r="BH372" s="36"/>
      <c r="BI372" s="36"/>
      <c r="BJ372" s="36"/>
      <c r="BK372" s="36"/>
      <c r="BL372" s="36"/>
      <c r="BM372" s="36"/>
      <c r="BN372" s="36"/>
      <c r="BO372" s="36"/>
      <c r="BP372" s="37"/>
      <c r="BQ372" s="44"/>
      <c r="BR372" s="36"/>
      <c r="BS372" s="36"/>
      <c r="BT372" s="36"/>
      <c r="BU372" s="36"/>
      <c r="BV372" s="36"/>
      <c r="BW372" s="36"/>
      <c r="BX372" s="36"/>
      <c r="BY372" s="36"/>
      <c r="BZ372" s="36"/>
      <c r="CA372" s="36"/>
      <c r="CB372" s="36"/>
      <c r="CC372" s="36"/>
      <c r="CD372" s="36"/>
      <c r="CE372" s="36"/>
      <c r="CF372" s="36"/>
      <c r="CG372" s="37"/>
      <c r="CH372" s="44"/>
      <c r="CI372" s="36"/>
      <c r="CJ372" s="36"/>
      <c r="CK372" s="36"/>
      <c r="CL372" s="36"/>
      <c r="CM372" s="36"/>
      <c r="CN372" s="36"/>
      <c r="CO372" s="36"/>
      <c r="CP372" s="36"/>
      <c r="CQ372" s="36"/>
      <c r="CR372" s="36"/>
      <c r="CS372" s="36"/>
      <c r="CT372" s="36"/>
      <c r="CU372" s="36"/>
      <c r="CV372" s="36"/>
      <c r="CW372" s="36"/>
      <c r="CX372" s="37"/>
      <c r="CY372" s="44"/>
      <c r="CZ372" s="36"/>
      <c r="DA372" s="36"/>
      <c r="DB372" s="36"/>
      <c r="DC372" s="36"/>
      <c r="DD372" s="36"/>
      <c r="DE372" s="36"/>
      <c r="DF372" s="36"/>
      <c r="DG372" s="36"/>
      <c r="DH372" s="36"/>
      <c r="DI372" s="36"/>
      <c r="DJ372" s="36"/>
      <c r="DK372" s="36"/>
      <c r="DL372" s="36"/>
      <c r="DM372" s="36"/>
      <c r="DN372" s="36"/>
      <c r="DO372" s="37"/>
      <c r="DP372" s="44"/>
      <c r="DQ372" s="36"/>
      <c r="DR372" s="36"/>
      <c r="DS372" s="36"/>
      <c r="DT372" s="36"/>
      <c r="DU372" s="36"/>
      <c r="DV372" s="36"/>
      <c r="DW372" s="36"/>
      <c r="DX372" s="36"/>
      <c r="DY372" s="36"/>
      <c r="DZ372" s="36"/>
      <c r="EA372" s="36"/>
      <c r="EB372" s="36"/>
      <c r="EC372" s="36"/>
      <c r="ED372" s="36"/>
      <c r="EE372" s="36"/>
      <c r="EF372" s="37"/>
      <c r="EG372" s="44"/>
      <c r="EH372" s="36"/>
      <c r="EI372" s="36"/>
      <c r="EJ372" s="36"/>
      <c r="EK372" s="36"/>
      <c r="EL372" s="36"/>
      <c r="EM372" s="36"/>
      <c r="EN372" s="36"/>
      <c r="EO372" s="36"/>
      <c r="EP372" s="36"/>
      <c r="EQ372" s="36"/>
      <c r="ER372" s="36"/>
      <c r="ES372" s="36"/>
      <c r="ET372" s="36"/>
      <c r="EU372" s="36"/>
      <c r="EV372" s="36"/>
      <c r="EW372" s="37"/>
      <c r="EX372" s="44"/>
      <c r="EY372" s="36"/>
      <c r="EZ372" s="36"/>
      <c r="FA372" s="36"/>
      <c r="FB372" s="36"/>
      <c r="FC372" s="36"/>
      <c r="FD372" s="36"/>
      <c r="FE372" s="36"/>
      <c r="FF372" s="36"/>
      <c r="FG372" s="36"/>
      <c r="FH372" s="36"/>
      <c r="FI372" s="36"/>
      <c r="FJ372" s="36"/>
      <c r="FK372" s="36"/>
      <c r="FL372" s="36"/>
      <c r="FM372" s="36"/>
      <c r="FN372" s="37"/>
      <c r="FO372" s="44"/>
      <c r="FP372" s="36"/>
      <c r="FQ372" s="36"/>
      <c r="FR372" s="36"/>
      <c r="FS372" s="36"/>
      <c r="FT372" s="36"/>
      <c r="FU372" s="36"/>
      <c r="FV372" s="36"/>
      <c r="FW372" s="36"/>
      <c r="FX372" s="36"/>
      <c r="FY372" s="36"/>
      <c r="FZ372" s="36"/>
      <c r="GA372" s="36"/>
      <c r="GB372" s="36"/>
      <c r="GC372" s="36"/>
      <c r="GD372" s="36"/>
      <c r="GE372" s="37"/>
      <c r="GF372" s="44"/>
      <c r="GG372" s="36"/>
      <c r="GH372" s="36"/>
      <c r="GI372" s="36"/>
      <c r="GJ372" s="36"/>
      <c r="GK372" s="36"/>
      <c r="GL372" s="36"/>
      <c r="GM372" s="36"/>
      <c r="GN372" s="36"/>
      <c r="GO372" s="36"/>
      <c r="GP372" s="36"/>
      <c r="GQ372" s="36"/>
      <c r="GR372" s="36"/>
      <c r="GS372" s="36"/>
      <c r="GT372" s="36"/>
      <c r="GU372" s="36"/>
      <c r="GV372" s="37"/>
      <c r="GW372" s="44"/>
      <c r="GX372" s="36"/>
      <c r="GY372" s="36"/>
      <c r="GZ372" s="36"/>
      <c r="HA372" s="36"/>
      <c r="HB372" s="36"/>
      <c r="HC372" s="36"/>
      <c r="HD372" s="36"/>
      <c r="HE372" s="36"/>
      <c r="HF372" s="36"/>
      <c r="HG372" s="36"/>
      <c r="HH372" s="36"/>
      <c r="HI372" s="36"/>
      <c r="HJ372" s="36"/>
      <c r="HK372" s="36"/>
      <c r="HL372" s="36"/>
      <c r="HM372" s="37"/>
      <c r="HN372" s="44"/>
      <c r="HO372" s="36"/>
      <c r="HP372" s="36"/>
      <c r="HQ372" s="36"/>
      <c r="HR372" s="36"/>
      <c r="HS372" s="36"/>
      <c r="HT372" s="36"/>
      <c r="HU372" s="36"/>
      <c r="HV372" s="36"/>
      <c r="HW372" s="36"/>
      <c r="HX372" s="36"/>
      <c r="HY372" s="36"/>
      <c r="HZ372" s="36"/>
      <c r="IA372" s="36"/>
      <c r="IB372" s="36"/>
      <c r="IC372" s="36"/>
      <c r="ID372" s="37"/>
      <c r="IE372" s="44"/>
      <c r="IF372" s="36"/>
      <c r="IG372" s="36"/>
      <c r="IH372" s="36"/>
      <c r="II372" s="36"/>
      <c r="IJ372" s="36"/>
      <c r="IK372" s="36"/>
      <c r="IL372" s="36"/>
      <c r="IM372" s="36"/>
      <c r="IN372" s="36"/>
      <c r="IO372" s="36"/>
      <c r="IP372" s="36"/>
      <c r="IQ372" s="36"/>
      <c r="IR372" s="36"/>
      <c r="IS372" s="36"/>
      <c r="IT372" s="36"/>
      <c r="IU372" s="37"/>
      <c r="IV372" s="44"/>
      <c r="IW372" s="36"/>
      <c r="IX372" s="36"/>
      <c r="IY372" s="36"/>
      <c r="IZ372" s="36"/>
      <c r="JA372" s="36"/>
      <c r="JB372" s="36"/>
      <c r="JC372" s="36"/>
      <c r="JD372" s="36"/>
      <c r="JE372" s="36"/>
      <c r="JF372" s="36"/>
      <c r="JG372" s="36"/>
      <c r="JH372" s="36"/>
      <c r="JI372" s="36"/>
      <c r="JJ372" s="36"/>
      <c r="JK372" s="36"/>
      <c r="JL372" s="37"/>
      <c r="JM372" s="44"/>
      <c r="JN372" s="36"/>
      <c r="JO372" s="36"/>
      <c r="JP372" s="36"/>
      <c r="JQ372" s="36"/>
      <c r="JR372" s="36"/>
      <c r="JS372" s="36"/>
      <c r="JT372" s="36"/>
      <c r="JU372" s="36"/>
      <c r="JV372" s="36"/>
      <c r="JW372" s="36"/>
      <c r="JX372" s="36"/>
      <c r="JY372" s="36"/>
      <c r="JZ372" s="36"/>
      <c r="KA372" s="36"/>
      <c r="KB372" s="36"/>
      <c r="KC372" s="37"/>
      <c r="KD372" s="44"/>
      <c r="KE372" s="36"/>
      <c r="KF372" s="36"/>
      <c r="KG372" s="36"/>
      <c r="KH372" s="36"/>
      <c r="KI372" s="36"/>
      <c r="KJ372" s="36"/>
      <c r="KK372" s="36"/>
      <c r="KL372" s="36"/>
      <c r="KM372" s="36"/>
      <c r="KN372" s="36"/>
      <c r="KO372" s="36"/>
      <c r="KP372" s="36"/>
      <c r="KQ372" s="36"/>
      <c r="KR372" s="36"/>
      <c r="KS372" s="36"/>
      <c r="KT372" s="37"/>
      <c r="KU372" s="36"/>
    </row>
    <row r="373" ht="15.0" customHeight="1">
      <c r="A373" s="44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7"/>
      <c r="R373" s="44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7"/>
      <c r="AI373" s="44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  <c r="AU373" s="36"/>
      <c r="AV373" s="36"/>
      <c r="AW373" s="36"/>
      <c r="AX373" s="36"/>
      <c r="AY373" s="37"/>
      <c r="AZ373" s="44"/>
      <c r="BA373" s="36"/>
      <c r="BB373" s="36"/>
      <c r="BC373" s="36"/>
      <c r="BD373" s="36"/>
      <c r="BE373" s="36"/>
      <c r="BF373" s="36"/>
      <c r="BG373" s="36"/>
      <c r="BH373" s="36"/>
      <c r="BI373" s="36"/>
      <c r="BJ373" s="36"/>
      <c r="BK373" s="36"/>
      <c r="BL373" s="36"/>
      <c r="BM373" s="36"/>
      <c r="BN373" s="36"/>
      <c r="BO373" s="36"/>
      <c r="BP373" s="37"/>
      <c r="BQ373" s="44"/>
      <c r="BR373" s="36"/>
      <c r="BS373" s="36"/>
      <c r="BT373" s="36"/>
      <c r="BU373" s="36"/>
      <c r="BV373" s="36"/>
      <c r="BW373" s="36"/>
      <c r="BX373" s="36"/>
      <c r="BY373" s="36"/>
      <c r="BZ373" s="36"/>
      <c r="CA373" s="36"/>
      <c r="CB373" s="36"/>
      <c r="CC373" s="36"/>
      <c r="CD373" s="36"/>
      <c r="CE373" s="36"/>
      <c r="CF373" s="36"/>
      <c r="CG373" s="37"/>
      <c r="CH373" s="44"/>
      <c r="CI373" s="36"/>
      <c r="CJ373" s="36"/>
      <c r="CK373" s="36"/>
      <c r="CL373" s="36"/>
      <c r="CM373" s="36"/>
      <c r="CN373" s="36"/>
      <c r="CO373" s="36"/>
      <c r="CP373" s="36"/>
      <c r="CQ373" s="36"/>
      <c r="CR373" s="36"/>
      <c r="CS373" s="36"/>
      <c r="CT373" s="36"/>
      <c r="CU373" s="36"/>
      <c r="CV373" s="36"/>
      <c r="CW373" s="36"/>
      <c r="CX373" s="37"/>
      <c r="CY373" s="44"/>
      <c r="CZ373" s="36"/>
      <c r="DA373" s="36"/>
      <c r="DB373" s="36"/>
      <c r="DC373" s="36"/>
      <c r="DD373" s="36"/>
      <c r="DE373" s="36"/>
      <c r="DF373" s="36"/>
      <c r="DG373" s="36"/>
      <c r="DH373" s="36"/>
      <c r="DI373" s="36"/>
      <c r="DJ373" s="36"/>
      <c r="DK373" s="36"/>
      <c r="DL373" s="36"/>
      <c r="DM373" s="36"/>
      <c r="DN373" s="36"/>
      <c r="DO373" s="37"/>
      <c r="DP373" s="44"/>
      <c r="DQ373" s="36"/>
      <c r="DR373" s="36"/>
      <c r="DS373" s="36"/>
      <c r="DT373" s="36"/>
      <c r="DU373" s="36"/>
      <c r="DV373" s="36"/>
      <c r="DW373" s="36"/>
      <c r="DX373" s="36"/>
      <c r="DY373" s="36"/>
      <c r="DZ373" s="36"/>
      <c r="EA373" s="36"/>
      <c r="EB373" s="36"/>
      <c r="EC373" s="36"/>
      <c r="ED373" s="36"/>
      <c r="EE373" s="36"/>
      <c r="EF373" s="37"/>
      <c r="EG373" s="44"/>
      <c r="EH373" s="36"/>
      <c r="EI373" s="36"/>
      <c r="EJ373" s="36"/>
      <c r="EK373" s="36"/>
      <c r="EL373" s="36"/>
      <c r="EM373" s="36"/>
      <c r="EN373" s="36"/>
      <c r="EO373" s="36"/>
      <c r="EP373" s="36"/>
      <c r="EQ373" s="36"/>
      <c r="ER373" s="36"/>
      <c r="ES373" s="36"/>
      <c r="ET373" s="36"/>
      <c r="EU373" s="36"/>
      <c r="EV373" s="36"/>
      <c r="EW373" s="37"/>
      <c r="EX373" s="44"/>
      <c r="EY373" s="36"/>
      <c r="EZ373" s="36"/>
      <c r="FA373" s="36"/>
      <c r="FB373" s="36"/>
      <c r="FC373" s="36"/>
      <c r="FD373" s="36"/>
      <c r="FE373" s="36"/>
      <c r="FF373" s="36"/>
      <c r="FG373" s="36"/>
      <c r="FH373" s="36"/>
      <c r="FI373" s="36"/>
      <c r="FJ373" s="36"/>
      <c r="FK373" s="36"/>
      <c r="FL373" s="36"/>
      <c r="FM373" s="36"/>
      <c r="FN373" s="37"/>
      <c r="FO373" s="44"/>
      <c r="FP373" s="36"/>
      <c r="FQ373" s="36"/>
      <c r="FR373" s="36"/>
      <c r="FS373" s="36"/>
      <c r="FT373" s="36"/>
      <c r="FU373" s="36"/>
      <c r="FV373" s="36"/>
      <c r="FW373" s="36"/>
      <c r="FX373" s="36"/>
      <c r="FY373" s="36"/>
      <c r="FZ373" s="36"/>
      <c r="GA373" s="36"/>
      <c r="GB373" s="36"/>
      <c r="GC373" s="36"/>
      <c r="GD373" s="36"/>
      <c r="GE373" s="37"/>
      <c r="GF373" s="44"/>
      <c r="GG373" s="36"/>
      <c r="GH373" s="36"/>
      <c r="GI373" s="36"/>
      <c r="GJ373" s="36"/>
      <c r="GK373" s="36"/>
      <c r="GL373" s="36"/>
      <c r="GM373" s="36"/>
      <c r="GN373" s="36"/>
      <c r="GO373" s="36"/>
      <c r="GP373" s="36"/>
      <c r="GQ373" s="36"/>
      <c r="GR373" s="36"/>
      <c r="GS373" s="36"/>
      <c r="GT373" s="36"/>
      <c r="GU373" s="36"/>
      <c r="GV373" s="37"/>
      <c r="GW373" s="44"/>
      <c r="GX373" s="36"/>
      <c r="GY373" s="36"/>
      <c r="GZ373" s="36"/>
      <c r="HA373" s="36"/>
      <c r="HB373" s="36"/>
      <c r="HC373" s="36"/>
      <c r="HD373" s="36"/>
      <c r="HE373" s="36"/>
      <c r="HF373" s="36"/>
      <c r="HG373" s="36"/>
      <c r="HH373" s="36"/>
      <c r="HI373" s="36"/>
      <c r="HJ373" s="36"/>
      <c r="HK373" s="36"/>
      <c r="HL373" s="36"/>
      <c r="HM373" s="37"/>
      <c r="HN373" s="44"/>
      <c r="HO373" s="36"/>
      <c r="HP373" s="36"/>
      <c r="HQ373" s="36"/>
      <c r="HR373" s="36"/>
      <c r="HS373" s="36"/>
      <c r="HT373" s="36"/>
      <c r="HU373" s="36"/>
      <c r="HV373" s="36"/>
      <c r="HW373" s="36"/>
      <c r="HX373" s="36"/>
      <c r="HY373" s="36"/>
      <c r="HZ373" s="36"/>
      <c r="IA373" s="36"/>
      <c r="IB373" s="36"/>
      <c r="IC373" s="36"/>
      <c r="ID373" s="37"/>
      <c r="IE373" s="44"/>
      <c r="IF373" s="36"/>
      <c r="IG373" s="36"/>
      <c r="IH373" s="36"/>
      <c r="II373" s="36"/>
      <c r="IJ373" s="36"/>
      <c r="IK373" s="36"/>
      <c r="IL373" s="36"/>
      <c r="IM373" s="36"/>
      <c r="IN373" s="36"/>
      <c r="IO373" s="36"/>
      <c r="IP373" s="36"/>
      <c r="IQ373" s="36"/>
      <c r="IR373" s="36"/>
      <c r="IS373" s="36"/>
      <c r="IT373" s="36"/>
      <c r="IU373" s="37"/>
      <c r="IV373" s="44"/>
      <c r="IW373" s="36"/>
      <c r="IX373" s="36"/>
      <c r="IY373" s="36"/>
      <c r="IZ373" s="36"/>
      <c r="JA373" s="36"/>
      <c r="JB373" s="36"/>
      <c r="JC373" s="36"/>
      <c r="JD373" s="36"/>
      <c r="JE373" s="36"/>
      <c r="JF373" s="36"/>
      <c r="JG373" s="36"/>
      <c r="JH373" s="36"/>
      <c r="JI373" s="36"/>
      <c r="JJ373" s="36"/>
      <c r="JK373" s="36"/>
      <c r="JL373" s="37"/>
      <c r="JM373" s="44"/>
      <c r="JN373" s="36"/>
      <c r="JO373" s="36"/>
      <c r="JP373" s="36"/>
      <c r="JQ373" s="36"/>
      <c r="JR373" s="36"/>
      <c r="JS373" s="36"/>
      <c r="JT373" s="36"/>
      <c r="JU373" s="36"/>
      <c r="JV373" s="36"/>
      <c r="JW373" s="36"/>
      <c r="JX373" s="36"/>
      <c r="JY373" s="36"/>
      <c r="JZ373" s="36"/>
      <c r="KA373" s="36"/>
      <c r="KB373" s="36"/>
      <c r="KC373" s="37"/>
      <c r="KD373" s="44"/>
      <c r="KE373" s="36"/>
      <c r="KF373" s="36"/>
      <c r="KG373" s="36"/>
      <c r="KH373" s="36"/>
      <c r="KI373" s="36"/>
      <c r="KJ373" s="36"/>
      <c r="KK373" s="36"/>
      <c r="KL373" s="36"/>
      <c r="KM373" s="36"/>
      <c r="KN373" s="36"/>
      <c r="KO373" s="36"/>
      <c r="KP373" s="36"/>
      <c r="KQ373" s="36"/>
      <c r="KR373" s="36"/>
      <c r="KS373" s="36"/>
      <c r="KT373" s="37"/>
      <c r="KU373" s="36"/>
    </row>
    <row r="374" ht="15.0" customHeight="1">
      <c r="A374" s="44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7"/>
      <c r="R374" s="44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7"/>
      <c r="AI374" s="44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  <c r="AU374" s="36"/>
      <c r="AV374" s="36"/>
      <c r="AW374" s="36"/>
      <c r="AX374" s="36"/>
      <c r="AY374" s="37"/>
      <c r="AZ374" s="44"/>
      <c r="BA374" s="36"/>
      <c r="BB374" s="36"/>
      <c r="BC374" s="36"/>
      <c r="BD374" s="36"/>
      <c r="BE374" s="36"/>
      <c r="BF374" s="36"/>
      <c r="BG374" s="36"/>
      <c r="BH374" s="36"/>
      <c r="BI374" s="36"/>
      <c r="BJ374" s="36"/>
      <c r="BK374" s="36"/>
      <c r="BL374" s="36"/>
      <c r="BM374" s="36"/>
      <c r="BN374" s="36"/>
      <c r="BO374" s="36"/>
      <c r="BP374" s="37"/>
      <c r="BQ374" s="44"/>
      <c r="BR374" s="36"/>
      <c r="BS374" s="36"/>
      <c r="BT374" s="36"/>
      <c r="BU374" s="36"/>
      <c r="BV374" s="36"/>
      <c r="BW374" s="36"/>
      <c r="BX374" s="36"/>
      <c r="BY374" s="36"/>
      <c r="BZ374" s="36"/>
      <c r="CA374" s="36"/>
      <c r="CB374" s="36"/>
      <c r="CC374" s="36"/>
      <c r="CD374" s="36"/>
      <c r="CE374" s="36"/>
      <c r="CF374" s="36"/>
      <c r="CG374" s="37"/>
      <c r="CH374" s="44"/>
      <c r="CI374" s="36"/>
      <c r="CJ374" s="36"/>
      <c r="CK374" s="36"/>
      <c r="CL374" s="36"/>
      <c r="CM374" s="36"/>
      <c r="CN374" s="36"/>
      <c r="CO374" s="36"/>
      <c r="CP374" s="36"/>
      <c r="CQ374" s="36"/>
      <c r="CR374" s="36"/>
      <c r="CS374" s="36"/>
      <c r="CT374" s="36"/>
      <c r="CU374" s="36"/>
      <c r="CV374" s="36"/>
      <c r="CW374" s="36"/>
      <c r="CX374" s="37"/>
      <c r="CY374" s="44"/>
      <c r="CZ374" s="36"/>
      <c r="DA374" s="36"/>
      <c r="DB374" s="36"/>
      <c r="DC374" s="36"/>
      <c r="DD374" s="36"/>
      <c r="DE374" s="36"/>
      <c r="DF374" s="36"/>
      <c r="DG374" s="36"/>
      <c r="DH374" s="36"/>
      <c r="DI374" s="36"/>
      <c r="DJ374" s="36"/>
      <c r="DK374" s="36"/>
      <c r="DL374" s="36"/>
      <c r="DM374" s="36"/>
      <c r="DN374" s="36"/>
      <c r="DO374" s="37"/>
      <c r="DP374" s="44"/>
      <c r="DQ374" s="36"/>
      <c r="DR374" s="36"/>
      <c r="DS374" s="36"/>
      <c r="DT374" s="36"/>
      <c r="DU374" s="36"/>
      <c r="DV374" s="36"/>
      <c r="DW374" s="36"/>
      <c r="DX374" s="36"/>
      <c r="DY374" s="36"/>
      <c r="DZ374" s="36"/>
      <c r="EA374" s="36"/>
      <c r="EB374" s="36"/>
      <c r="EC374" s="36"/>
      <c r="ED374" s="36"/>
      <c r="EE374" s="36"/>
      <c r="EF374" s="37"/>
      <c r="EG374" s="44"/>
      <c r="EH374" s="36"/>
      <c r="EI374" s="36"/>
      <c r="EJ374" s="36"/>
      <c r="EK374" s="36"/>
      <c r="EL374" s="36"/>
      <c r="EM374" s="36"/>
      <c r="EN374" s="36"/>
      <c r="EO374" s="36"/>
      <c r="EP374" s="36"/>
      <c r="EQ374" s="36"/>
      <c r="ER374" s="36"/>
      <c r="ES374" s="36"/>
      <c r="ET374" s="36"/>
      <c r="EU374" s="36"/>
      <c r="EV374" s="36"/>
      <c r="EW374" s="37"/>
      <c r="EX374" s="44"/>
      <c r="EY374" s="36"/>
      <c r="EZ374" s="36"/>
      <c r="FA374" s="36"/>
      <c r="FB374" s="36"/>
      <c r="FC374" s="36"/>
      <c r="FD374" s="36"/>
      <c r="FE374" s="36"/>
      <c r="FF374" s="36"/>
      <c r="FG374" s="36"/>
      <c r="FH374" s="36"/>
      <c r="FI374" s="36"/>
      <c r="FJ374" s="36"/>
      <c r="FK374" s="36"/>
      <c r="FL374" s="36"/>
      <c r="FM374" s="36"/>
      <c r="FN374" s="37"/>
      <c r="FO374" s="44"/>
      <c r="FP374" s="36"/>
      <c r="FQ374" s="36"/>
      <c r="FR374" s="36"/>
      <c r="FS374" s="36"/>
      <c r="FT374" s="36"/>
      <c r="FU374" s="36"/>
      <c r="FV374" s="36"/>
      <c r="FW374" s="36"/>
      <c r="FX374" s="36"/>
      <c r="FY374" s="36"/>
      <c r="FZ374" s="36"/>
      <c r="GA374" s="36"/>
      <c r="GB374" s="36"/>
      <c r="GC374" s="36"/>
      <c r="GD374" s="36"/>
      <c r="GE374" s="37"/>
      <c r="GF374" s="44"/>
      <c r="GG374" s="36"/>
      <c r="GH374" s="36"/>
      <c r="GI374" s="36"/>
      <c r="GJ374" s="36"/>
      <c r="GK374" s="36"/>
      <c r="GL374" s="36"/>
      <c r="GM374" s="36"/>
      <c r="GN374" s="36"/>
      <c r="GO374" s="36"/>
      <c r="GP374" s="36"/>
      <c r="GQ374" s="36"/>
      <c r="GR374" s="36"/>
      <c r="GS374" s="36"/>
      <c r="GT374" s="36"/>
      <c r="GU374" s="36"/>
      <c r="GV374" s="37"/>
      <c r="GW374" s="44"/>
      <c r="GX374" s="36"/>
      <c r="GY374" s="36"/>
      <c r="GZ374" s="36"/>
      <c r="HA374" s="36"/>
      <c r="HB374" s="36"/>
      <c r="HC374" s="36"/>
      <c r="HD374" s="36"/>
      <c r="HE374" s="36"/>
      <c r="HF374" s="36"/>
      <c r="HG374" s="36"/>
      <c r="HH374" s="36"/>
      <c r="HI374" s="36"/>
      <c r="HJ374" s="36"/>
      <c r="HK374" s="36"/>
      <c r="HL374" s="36"/>
      <c r="HM374" s="37"/>
      <c r="HN374" s="44"/>
      <c r="HO374" s="36"/>
      <c r="HP374" s="36"/>
      <c r="HQ374" s="36"/>
      <c r="HR374" s="36"/>
      <c r="HS374" s="36"/>
      <c r="HT374" s="36"/>
      <c r="HU374" s="36"/>
      <c r="HV374" s="36"/>
      <c r="HW374" s="36"/>
      <c r="HX374" s="36"/>
      <c r="HY374" s="36"/>
      <c r="HZ374" s="36"/>
      <c r="IA374" s="36"/>
      <c r="IB374" s="36"/>
      <c r="IC374" s="36"/>
      <c r="ID374" s="37"/>
      <c r="IE374" s="44"/>
      <c r="IF374" s="36"/>
      <c r="IG374" s="36"/>
      <c r="IH374" s="36"/>
      <c r="II374" s="36"/>
      <c r="IJ374" s="36"/>
      <c r="IK374" s="36"/>
      <c r="IL374" s="36"/>
      <c r="IM374" s="36"/>
      <c r="IN374" s="36"/>
      <c r="IO374" s="36"/>
      <c r="IP374" s="36"/>
      <c r="IQ374" s="36"/>
      <c r="IR374" s="36"/>
      <c r="IS374" s="36"/>
      <c r="IT374" s="36"/>
      <c r="IU374" s="37"/>
      <c r="IV374" s="44"/>
      <c r="IW374" s="36"/>
      <c r="IX374" s="36"/>
      <c r="IY374" s="36"/>
      <c r="IZ374" s="36"/>
      <c r="JA374" s="36"/>
      <c r="JB374" s="36"/>
      <c r="JC374" s="36"/>
      <c r="JD374" s="36"/>
      <c r="JE374" s="36"/>
      <c r="JF374" s="36"/>
      <c r="JG374" s="36"/>
      <c r="JH374" s="36"/>
      <c r="JI374" s="36"/>
      <c r="JJ374" s="36"/>
      <c r="JK374" s="36"/>
      <c r="JL374" s="37"/>
      <c r="JM374" s="44"/>
      <c r="JN374" s="36"/>
      <c r="JO374" s="36"/>
      <c r="JP374" s="36"/>
      <c r="JQ374" s="36"/>
      <c r="JR374" s="36"/>
      <c r="JS374" s="36"/>
      <c r="JT374" s="36"/>
      <c r="JU374" s="36"/>
      <c r="JV374" s="36"/>
      <c r="JW374" s="36"/>
      <c r="JX374" s="36"/>
      <c r="JY374" s="36"/>
      <c r="JZ374" s="36"/>
      <c r="KA374" s="36"/>
      <c r="KB374" s="36"/>
      <c r="KC374" s="37"/>
      <c r="KD374" s="44"/>
      <c r="KE374" s="36"/>
      <c r="KF374" s="36"/>
      <c r="KG374" s="36"/>
      <c r="KH374" s="36"/>
      <c r="KI374" s="36"/>
      <c r="KJ374" s="36"/>
      <c r="KK374" s="36"/>
      <c r="KL374" s="36"/>
      <c r="KM374" s="36"/>
      <c r="KN374" s="36"/>
      <c r="KO374" s="36"/>
      <c r="KP374" s="36"/>
      <c r="KQ374" s="36"/>
      <c r="KR374" s="36"/>
      <c r="KS374" s="36"/>
      <c r="KT374" s="37"/>
      <c r="KU374" s="36"/>
    </row>
    <row r="375" ht="15.0" customHeight="1">
      <c r="A375" s="44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7"/>
      <c r="R375" s="44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7"/>
      <c r="AI375" s="44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36"/>
      <c r="AU375" s="36"/>
      <c r="AV375" s="36"/>
      <c r="AW375" s="36"/>
      <c r="AX375" s="36"/>
      <c r="AY375" s="37"/>
      <c r="AZ375" s="44"/>
      <c r="BA375" s="36"/>
      <c r="BB375" s="36"/>
      <c r="BC375" s="36"/>
      <c r="BD375" s="36"/>
      <c r="BE375" s="36"/>
      <c r="BF375" s="36"/>
      <c r="BG375" s="36"/>
      <c r="BH375" s="36"/>
      <c r="BI375" s="36"/>
      <c r="BJ375" s="36"/>
      <c r="BK375" s="36"/>
      <c r="BL375" s="36"/>
      <c r="BM375" s="36"/>
      <c r="BN375" s="36"/>
      <c r="BO375" s="36"/>
      <c r="BP375" s="37"/>
      <c r="BQ375" s="44"/>
      <c r="BR375" s="36"/>
      <c r="BS375" s="36"/>
      <c r="BT375" s="36"/>
      <c r="BU375" s="36"/>
      <c r="BV375" s="36"/>
      <c r="BW375" s="36"/>
      <c r="BX375" s="36"/>
      <c r="BY375" s="36"/>
      <c r="BZ375" s="36"/>
      <c r="CA375" s="36"/>
      <c r="CB375" s="36"/>
      <c r="CC375" s="36"/>
      <c r="CD375" s="36"/>
      <c r="CE375" s="36"/>
      <c r="CF375" s="36"/>
      <c r="CG375" s="37"/>
      <c r="CH375" s="44"/>
      <c r="CI375" s="36"/>
      <c r="CJ375" s="36"/>
      <c r="CK375" s="36"/>
      <c r="CL375" s="36"/>
      <c r="CM375" s="36"/>
      <c r="CN375" s="36"/>
      <c r="CO375" s="36"/>
      <c r="CP375" s="36"/>
      <c r="CQ375" s="36"/>
      <c r="CR375" s="36"/>
      <c r="CS375" s="36"/>
      <c r="CT375" s="36"/>
      <c r="CU375" s="36"/>
      <c r="CV375" s="36"/>
      <c r="CW375" s="36"/>
      <c r="CX375" s="37"/>
      <c r="CY375" s="44"/>
      <c r="CZ375" s="36"/>
      <c r="DA375" s="36"/>
      <c r="DB375" s="36"/>
      <c r="DC375" s="36"/>
      <c r="DD375" s="36"/>
      <c r="DE375" s="36"/>
      <c r="DF375" s="36"/>
      <c r="DG375" s="36"/>
      <c r="DH375" s="36"/>
      <c r="DI375" s="36"/>
      <c r="DJ375" s="36"/>
      <c r="DK375" s="36"/>
      <c r="DL375" s="36"/>
      <c r="DM375" s="36"/>
      <c r="DN375" s="36"/>
      <c r="DO375" s="37"/>
      <c r="DP375" s="44"/>
      <c r="DQ375" s="36"/>
      <c r="DR375" s="36"/>
      <c r="DS375" s="36"/>
      <c r="DT375" s="36"/>
      <c r="DU375" s="36"/>
      <c r="DV375" s="36"/>
      <c r="DW375" s="36"/>
      <c r="DX375" s="36"/>
      <c r="DY375" s="36"/>
      <c r="DZ375" s="36"/>
      <c r="EA375" s="36"/>
      <c r="EB375" s="36"/>
      <c r="EC375" s="36"/>
      <c r="ED375" s="36"/>
      <c r="EE375" s="36"/>
      <c r="EF375" s="37"/>
      <c r="EG375" s="44"/>
      <c r="EH375" s="36"/>
      <c r="EI375" s="36"/>
      <c r="EJ375" s="36"/>
      <c r="EK375" s="36"/>
      <c r="EL375" s="36"/>
      <c r="EM375" s="36"/>
      <c r="EN375" s="36"/>
      <c r="EO375" s="36"/>
      <c r="EP375" s="36"/>
      <c r="EQ375" s="36"/>
      <c r="ER375" s="36"/>
      <c r="ES375" s="36"/>
      <c r="ET375" s="36"/>
      <c r="EU375" s="36"/>
      <c r="EV375" s="36"/>
      <c r="EW375" s="37"/>
      <c r="EX375" s="44"/>
      <c r="EY375" s="36"/>
      <c r="EZ375" s="36"/>
      <c r="FA375" s="36"/>
      <c r="FB375" s="36"/>
      <c r="FC375" s="36"/>
      <c r="FD375" s="36"/>
      <c r="FE375" s="36"/>
      <c r="FF375" s="36"/>
      <c r="FG375" s="36"/>
      <c r="FH375" s="36"/>
      <c r="FI375" s="36"/>
      <c r="FJ375" s="36"/>
      <c r="FK375" s="36"/>
      <c r="FL375" s="36"/>
      <c r="FM375" s="36"/>
      <c r="FN375" s="37"/>
      <c r="FO375" s="44"/>
      <c r="FP375" s="36"/>
      <c r="FQ375" s="36"/>
      <c r="FR375" s="36"/>
      <c r="FS375" s="36"/>
      <c r="FT375" s="36"/>
      <c r="FU375" s="36"/>
      <c r="FV375" s="36"/>
      <c r="FW375" s="36"/>
      <c r="FX375" s="36"/>
      <c r="FY375" s="36"/>
      <c r="FZ375" s="36"/>
      <c r="GA375" s="36"/>
      <c r="GB375" s="36"/>
      <c r="GC375" s="36"/>
      <c r="GD375" s="36"/>
      <c r="GE375" s="37"/>
      <c r="GF375" s="44"/>
      <c r="GG375" s="36"/>
      <c r="GH375" s="36"/>
      <c r="GI375" s="36"/>
      <c r="GJ375" s="36"/>
      <c r="GK375" s="36"/>
      <c r="GL375" s="36"/>
      <c r="GM375" s="36"/>
      <c r="GN375" s="36"/>
      <c r="GO375" s="36"/>
      <c r="GP375" s="36"/>
      <c r="GQ375" s="36"/>
      <c r="GR375" s="36"/>
      <c r="GS375" s="36"/>
      <c r="GT375" s="36"/>
      <c r="GU375" s="36"/>
      <c r="GV375" s="37"/>
      <c r="GW375" s="44"/>
      <c r="GX375" s="36"/>
      <c r="GY375" s="36"/>
      <c r="GZ375" s="36"/>
      <c r="HA375" s="36"/>
      <c r="HB375" s="36"/>
      <c r="HC375" s="36"/>
      <c r="HD375" s="36"/>
      <c r="HE375" s="36"/>
      <c r="HF375" s="36"/>
      <c r="HG375" s="36"/>
      <c r="HH375" s="36"/>
      <c r="HI375" s="36"/>
      <c r="HJ375" s="36"/>
      <c r="HK375" s="36"/>
      <c r="HL375" s="36"/>
      <c r="HM375" s="37"/>
      <c r="HN375" s="44"/>
      <c r="HO375" s="36"/>
      <c r="HP375" s="36"/>
      <c r="HQ375" s="36"/>
      <c r="HR375" s="36"/>
      <c r="HS375" s="36"/>
      <c r="HT375" s="36"/>
      <c r="HU375" s="36"/>
      <c r="HV375" s="36"/>
      <c r="HW375" s="36"/>
      <c r="HX375" s="36"/>
      <c r="HY375" s="36"/>
      <c r="HZ375" s="36"/>
      <c r="IA375" s="36"/>
      <c r="IB375" s="36"/>
      <c r="IC375" s="36"/>
      <c r="ID375" s="37"/>
      <c r="IE375" s="44"/>
      <c r="IF375" s="36"/>
      <c r="IG375" s="36"/>
      <c r="IH375" s="36"/>
      <c r="II375" s="36"/>
      <c r="IJ375" s="36"/>
      <c r="IK375" s="36"/>
      <c r="IL375" s="36"/>
      <c r="IM375" s="36"/>
      <c r="IN375" s="36"/>
      <c r="IO375" s="36"/>
      <c r="IP375" s="36"/>
      <c r="IQ375" s="36"/>
      <c r="IR375" s="36"/>
      <c r="IS375" s="36"/>
      <c r="IT375" s="36"/>
      <c r="IU375" s="37"/>
      <c r="IV375" s="44"/>
      <c r="IW375" s="36"/>
      <c r="IX375" s="36"/>
      <c r="IY375" s="36"/>
      <c r="IZ375" s="36"/>
      <c r="JA375" s="36"/>
      <c r="JB375" s="36"/>
      <c r="JC375" s="36"/>
      <c r="JD375" s="36"/>
      <c r="JE375" s="36"/>
      <c r="JF375" s="36"/>
      <c r="JG375" s="36"/>
      <c r="JH375" s="36"/>
      <c r="JI375" s="36"/>
      <c r="JJ375" s="36"/>
      <c r="JK375" s="36"/>
      <c r="JL375" s="37"/>
      <c r="JM375" s="44"/>
      <c r="JN375" s="36"/>
      <c r="JO375" s="36"/>
      <c r="JP375" s="36"/>
      <c r="JQ375" s="36"/>
      <c r="JR375" s="36"/>
      <c r="JS375" s="36"/>
      <c r="JT375" s="36"/>
      <c r="JU375" s="36"/>
      <c r="JV375" s="36"/>
      <c r="JW375" s="36"/>
      <c r="JX375" s="36"/>
      <c r="JY375" s="36"/>
      <c r="JZ375" s="36"/>
      <c r="KA375" s="36"/>
      <c r="KB375" s="36"/>
      <c r="KC375" s="37"/>
      <c r="KD375" s="44"/>
      <c r="KE375" s="36"/>
      <c r="KF375" s="36"/>
      <c r="KG375" s="36"/>
      <c r="KH375" s="36"/>
      <c r="KI375" s="36"/>
      <c r="KJ375" s="36"/>
      <c r="KK375" s="36"/>
      <c r="KL375" s="36"/>
      <c r="KM375" s="36"/>
      <c r="KN375" s="36"/>
      <c r="KO375" s="36"/>
      <c r="KP375" s="36"/>
      <c r="KQ375" s="36"/>
      <c r="KR375" s="36"/>
      <c r="KS375" s="36"/>
      <c r="KT375" s="37"/>
      <c r="KU375" s="36"/>
    </row>
    <row r="376" ht="15.0" customHeight="1">
      <c r="A376" s="44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7"/>
      <c r="R376" s="44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7"/>
      <c r="AI376" s="44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36"/>
      <c r="AU376" s="36"/>
      <c r="AV376" s="36"/>
      <c r="AW376" s="36"/>
      <c r="AX376" s="36"/>
      <c r="AY376" s="37"/>
      <c r="AZ376" s="44"/>
      <c r="BA376" s="36"/>
      <c r="BB376" s="36"/>
      <c r="BC376" s="36"/>
      <c r="BD376" s="36"/>
      <c r="BE376" s="36"/>
      <c r="BF376" s="36"/>
      <c r="BG376" s="36"/>
      <c r="BH376" s="36"/>
      <c r="BI376" s="36"/>
      <c r="BJ376" s="36"/>
      <c r="BK376" s="36"/>
      <c r="BL376" s="36"/>
      <c r="BM376" s="36"/>
      <c r="BN376" s="36"/>
      <c r="BO376" s="36"/>
      <c r="BP376" s="37"/>
      <c r="BQ376" s="44"/>
      <c r="BR376" s="36"/>
      <c r="BS376" s="36"/>
      <c r="BT376" s="36"/>
      <c r="BU376" s="36"/>
      <c r="BV376" s="36"/>
      <c r="BW376" s="36"/>
      <c r="BX376" s="36"/>
      <c r="BY376" s="36"/>
      <c r="BZ376" s="36"/>
      <c r="CA376" s="36"/>
      <c r="CB376" s="36"/>
      <c r="CC376" s="36"/>
      <c r="CD376" s="36"/>
      <c r="CE376" s="36"/>
      <c r="CF376" s="36"/>
      <c r="CG376" s="37"/>
      <c r="CH376" s="44"/>
      <c r="CI376" s="36"/>
      <c r="CJ376" s="36"/>
      <c r="CK376" s="36"/>
      <c r="CL376" s="36"/>
      <c r="CM376" s="36"/>
      <c r="CN376" s="36"/>
      <c r="CO376" s="36"/>
      <c r="CP376" s="36"/>
      <c r="CQ376" s="36"/>
      <c r="CR376" s="36"/>
      <c r="CS376" s="36"/>
      <c r="CT376" s="36"/>
      <c r="CU376" s="36"/>
      <c r="CV376" s="36"/>
      <c r="CW376" s="36"/>
      <c r="CX376" s="37"/>
      <c r="CY376" s="44"/>
      <c r="CZ376" s="36"/>
      <c r="DA376" s="36"/>
      <c r="DB376" s="36"/>
      <c r="DC376" s="36"/>
      <c r="DD376" s="36"/>
      <c r="DE376" s="36"/>
      <c r="DF376" s="36"/>
      <c r="DG376" s="36"/>
      <c r="DH376" s="36"/>
      <c r="DI376" s="36"/>
      <c r="DJ376" s="36"/>
      <c r="DK376" s="36"/>
      <c r="DL376" s="36"/>
      <c r="DM376" s="36"/>
      <c r="DN376" s="36"/>
      <c r="DO376" s="37"/>
      <c r="DP376" s="44"/>
      <c r="DQ376" s="36"/>
      <c r="DR376" s="36"/>
      <c r="DS376" s="36"/>
      <c r="DT376" s="36"/>
      <c r="DU376" s="36"/>
      <c r="DV376" s="36"/>
      <c r="DW376" s="36"/>
      <c r="DX376" s="36"/>
      <c r="DY376" s="36"/>
      <c r="DZ376" s="36"/>
      <c r="EA376" s="36"/>
      <c r="EB376" s="36"/>
      <c r="EC376" s="36"/>
      <c r="ED376" s="36"/>
      <c r="EE376" s="36"/>
      <c r="EF376" s="37"/>
      <c r="EG376" s="44"/>
      <c r="EH376" s="36"/>
      <c r="EI376" s="36"/>
      <c r="EJ376" s="36"/>
      <c r="EK376" s="36"/>
      <c r="EL376" s="36"/>
      <c r="EM376" s="36"/>
      <c r="EN376" s="36"/>
      <c r="EO376" s="36"/>
      <c r="EP376" s="36"/>
      <c r="EQ376" s="36"/>
      <c r="ER376" s="36"/>
      <c r="ES376" s="36"/>
      <c r="ET376" s="36"/>
      <c r="EU376" s="36"/>
      <c r="EV376" s="36"/>
      <c r="EW376" s="37"/>
      <c r="EX376" s="44"/>
      <c r="EY376" s="36"/>
      <c r="EZ376" s="36"/>
      <c r="FA376" s="36"/>
      <c r="FB376" s="36"/>
      <c r="FC376" s="36"/>
      <c r="FD376" s="36"/>
      <c r="FE376" s="36"/>
      <c r="FF376" s="36"/>
      <c r="FG376" s="36"/>
      <c r="FH376" s="36"/>
      <c r="FI376" s="36"/>
      <c r="FJ376" s="36"/>
      <c r="FK376" s="36"/>
      <c r="FL376" s="36"/>
      <c r="FM376" s="36"/>
      <c r="FN376" s="37"/>
      <c r="FO376" s="44"/>
      <c r="FP376" s="36"/>
      <c r="FQ376" s="36"/>
      <c r="FR376" s="36"/>
      <c r="FS376" s="36"/>
      <c r="FT376" s="36"/>
      <c r="FU376" s="36"/>
      <c r="FV376" s="36"/>
      <c r="FW376" s="36"/>
      <c r="FX376" s="36"/>
      <c r="FY376" s="36"/>
      <c r="FZ376" s="36"/>
      <c r="GA376" s="36"/>
      <c r="GB376" s="36"/>
      <c r="GC376" s="36"/>
      <c r="GD376" s="36"/>
      <c r="GE376" s="37"/>
      <c r="GF376" s="44"/>
      <c r="GG376" s="36"/>
      <c r="GH376" s="36"/>
      <c r="GI376" s="36"/>
      <c r="GJ376" s="36"/>
      <c r="GK376" s="36"/>
      <c r="GL376" s="36"/>
      <c r="GM376" s="36"/>
      <c r="GN376" s="36"/>
      <c r="GO376" s="36"/>
      <c r="GP376" s="36"/>
      <c r="GQ376" s="36"/>
      <c r="GR376" s="36"/>
      <c r="GS376" s="36"/>
      <c r="GT376" s="36"/>
      <c r="GU376" s="36"/>
      <c r="GV376" s="37"/>
      <c r="GW376" s="44"/>
      <c r="GX376" s="36"/>
      <c r="GY376" s="36"/>
      <c r="GZ376" s="36"/>
      <c r="HA376" s="36"/>
      <c r="HB376" s="36"/>
      <c r="HC376" s="36"/>
      <c r="HD376" s="36"/>
      <c r="HE376" s="36"/>
      <c r="HF376" s="36"/>
      <c r="HG376" s="36"/>
      <c r="HH376" s="36"/>
      <c r="HI376" s="36"/>
      <c r="HJ376" s="36"/>
      <c r="HK376" s="36"/>
      <c r="HL376" s="36"/>
      <c r="HM376" s="37"/>
      <c r="HN376" s="44"/>
      <c r="HO376" s="36"/>
      <c r="HP376" s="36"/>
      <c r="HQ376" s="36"/>
      <c r="HR376" s="36"/>
      <c r="HS376" s="36"/>
      <c r="HT376" s="36"/>
      <c r="HU376" s="36"/>
      <c r="HV376" s="36"/>
      <c r="HW376" s="36"/>
      <c r="HX376" s="36"/>
      <c r="HY376" s="36"/>
      <c r="HZ376" s="36"/>
      <c r="IA376" s="36"/>
      <c r="IB376" s="36"/>
      <c r="IC376" s="36"/>
      <c r="ID376" s="37"/>
      <c r="IE376" s="44"/>
      <c r="IF376" s="36"/>
      <c r="IG376" s="36"/>
      <c r="IH376" s="36"/>
      <c r="II376" s="36"/>
      <c r="IJ376" s="36"/>
      <c r="IK376" s="36"/>
      <c r="IL376" s="36"/>
      <c r="IM376" s="36"/>
      <c r="IN376" s="36"/>
      <c r="IO376" s="36"/>
      <c r="IP376" s="36"/>
      <c r="IQ376" s="36"/>
      <c r="IR376" s="36"/>
      <c r="IS376" s="36"/>
      <c r="IT376" s="36"/>
      <c r="IU376" s="37"/>
      <c r="IV376" s="44"/>
      <c r="IW376" s="36"/>
      <c r="IX376" s="36"/>
      <c r="IY376" s="36"/>
      <c r="IZ376" s="36"/>
      <c r="JA376" s="36"/>
      <c r="JB376" s="36"/>
      <c r="JC376" s="36"/>
      <c r="JD376" s="36"/>
      <c r="JE376" s="36"/>
      <c r="JF376" s="36"/>
      <c r="JG376" s="36"/>
      <c r="JH376" s="36"/>
      <c r="JI376" s="36"/>
      <c r="JJ376" s="36"/>
      <c r="JK376" s="36"/>
      <c r="JL376" s="37"/>
      <c r="JM376" s="44"/>
      <c r="JN376" s="36"/>
      <c r="JO376" s="36"/>
      <c r="JP376" s="36"/>
      <c r="JQ376" s="36"/>
      <c r="JR376" s="36"/>
      <c r="JS376" s="36"/>
      <c r="JT376" s="36"/>
      <c r="JU376" s="36"/>
      <c r="JV376" s="36"/>
      <c r="JW376" s="36"/>
      <c r="JX376" s="36"/>
      <c r="JY376" s="36"/>
      <c r="JZ376" s="36"/>
      <c r="KA376" s="36"/>
      <c r="KB376" s="36"/>
      <c r="KC376" s="37"/>
      <c r="KD376" s="44"/>
      <c r="KE376" s="36"/>
      <c r="KF376" s="36"/>
      <c r="KG376" s="36"/>
      <c r="KH376" s="36"/>
      <c r="KI376" s="36"/>
      <c r="KJ376" s="36"/>
      <c r="KK376" s="36"/>
      <c r="KL376" s="36"/>
      <c r="KM376" s="36"/>
      <c r="KN376" s="36"/>
      <c r="KO376" s="36"/>
      <c r="KP376" s="36"/>
      <c r="KQ376" s="36"/>
      <c r="KR376" s="36"/>
      <c r="KS376" s="36"/>
      <c r="KT376" s="37"/>
      <c r="KU376" s="36"/>
    </row>
    <row r="377" ht="15.0" customHeight="1">
      <c r="A377" s="44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7"/>
      <c r="R377" s="44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7"/>
      <c r="AI377" s="44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36"/>
      <c r="AU377" s="36"/>
      <c r="AV377" s="36"/>
      <c r="AW377" s="36"/>
      <c r="AX377" s="36"/>
      <c r="AY377" s="37"/>
      <c r="AZ377" s="44"/>
      <c r="BA377" s="36"/>
      <c r="BB377" s="36"/>
      <c r="BC377" s="36"/>
      <c r="BD377" s="36"/>
      <c r="BE377" s="36"/>
      <c r="BF377" s="36"/>
      <c r="BG377" s="36"/>
      <c r="BH377" s="36"/>
      <c r="BI377" s="36"/>
      <c r="BJ377" s="36"/>
      <c r="BK377" s="36"/>
      <c r="BL377" s="36"/>
      <c r="BM377" s="36"/>
      <c r="BN377" s="36"/>
      <c r="BO377" s="36"/>
      <c r="BP377" s="37"/>
      <c r="BQ377" s="44"/>
      <c r="BR377" s="36"/>
      <c r="BS377" s="36"/>
      <c r="BT377" s="36"/>
      <c r="BU377" s="36"/>
      <c r="BV377" s="36"/>
      <c r="BW377" s="36"/>
      <c r="BX377" s="36"/>
      <c r="BY377" s="36"/>
      <c r="BZ377" s="36"/>
      <c r="CA377" s="36"/>
      <c r="CB377" s="36"/>
      <c r="CC377" s="36"/>
      <c r="CD377" s="36"/>
      <c r="CE377" s="36"/>
      <c r="CF377" s="36"/>
      <c r="CG377" s="37"/>
      <c r="CH377" s="44"/>
      <c r="CI377" s="36"/>
      <c r="CJ377" s="36"/>
      <c r="CK377" s="36"/>
      <c r="CL377" s="36"/>
      <c r="CM377" s="36"/>
      <c r="CN377" s="36"/>
      <c r="CO377" s="36"/>
      <c r="CP377" s="36"/>
      <c r="CQ377" s="36"/>
      <c r="CR377" s="36"/>
      <c r="CS377" s="36"/>
      <c r="CT377" s="36"/>
      <c r="CU377" s="36"/>
      <c r="CV377" s="36"/>
      <c r="CW377" s="36"/>
      <c r="CX377" s="37"/>
      <c r="CY377" s="44"/>
      <c r="CZ377" s="36"/>
      <c r="DA377" s="36"/>
      <c r="DB377" s="36"/>
      <c r="DC377" s="36"/>
      <c r="DD377" s="36"/>
      <c r="DE377" s="36"/>
      <c r="DF377" s="36"/>
      <c r="DG377" s="36"/>
      <c r="DH377" s="36"/>
      <c r="DI377" s="36"/>
      <c r="DJ377" s="36"/>
      <c r="DK377" s="36"/>
      <c r="DL377" s="36"/>
      <c r="DM377" s="36"/>
      <c r="DN377" s="36"/>
      <c r="DO377" s="37"/>
      <c r="DP377" s="44"/>
      <c r="DQ377" s="36"/>
      <c r="DR377" s="36"/>
      <c r="DS377" s="36"/>
      <c r="DT377" s="36"/>
      <c r="DU377" s="36"/>
      <c r="DV377" s="36"/>
      <c r="DW377" s="36"/>
      <c r="DX377" s="36"/>
      <c r="DY377" s="36"/>
      <c r="DZ377" s="36"/>
      <c r="EA377" s="36"/>
      <c r="EB377" s="36"/>
      <c r="EC377" s="36"/>
      <c r="ED377" s="36"/>
      <c r="EE377" s="36"/>
      <c r="EF377" s="37"/>
      <c r="EG377" s="44"/>
      <c r="EH377" s="36"/>
      <c r="EI377" s="36"/>
      <c r="EJ377" s="36"/>
      <c r="EK377" s="36"/>
      <c r="EL377" s="36"/>
      <c r="EM377" s="36"/>
      <c r="EN377" s="36"/>
      <c r="EO377" s="36"/>
      <c r="EP377" s="36"/>
      <c r="EQ377" s="36"/>
      <c r="ER377" s="36"/>
      <c r="ES377" s="36"/>
      <c r="ET377" s="36"/>
      <c r="EU377" s="36"/>
      <c r="EV377" s="36"/>
      <c r="EW377" s="37"/>
      <c r="EX377" s="44"/>
      <c r="EY377" s="36"/>
      <c r="EZ377" s="36"/>
      <c r="FA377" s="36"/>
      <c r="FB377" s="36"/>
      <c r="FC377" s="36"/>
      <c r="FD377" s="36"/>
      <c r="FE377" s="36"/>
      <c r="FF377" s="36"/>
      <c r="FG377" s="36"/>
      <c r="FH377" s="36"/>
      <c r="FI377" s="36"/>
      <c r="FJ377" s="36"/>
      <c r="FK377" s="36"/>
      <c r="FL377" s="36"/>
      <c r="FM377" s="36"/>
      <c r="FN377" s="37"/>
      <c r="FO377" s="44"/>
      <c r="FP377" s="36"/>
      <c r="FQ377" s="36"/>
      <c r="FR377" s="36"/>
      <c r="FS377" s="36"/>
      <c r="FT377" s="36"/>
      <c r="FU377" s="36"/>
      <c r="FV377" s="36"/>
      <c r="FW377" s="36"/>
      <c r="FX377" s="36"/>
      <c r="FY377" s="36"/>
      <c r="FZ377" s="36"/>
      <c r="GA377" s="36"/>
      <c r="GB377" s="36"/>
      <c r="GC377" s="36"/>
      <c r="GD377" s="36"/>
      <c r="GE377" s="37"/>
      <c r="GF377" s="44"/>
      <c r="GG377" s="36"/>
      <c r="GH377" s="36"/>
      <c r="GI377" s="36"/>
      <c r="GJ377" s="36"/>
      <c r="GK377" s="36"/>
      <c r="GL377" s="36"/>
      <c r="GM377" s="36"/>
      <c r="GN377" s="36"/>
      <c r="GO377" s="36"/>
      <c r="GP377" s="36"/>
      <c r="GQ377" s="36"/>
      <c r="GR377" s="36"/>
      <c r="GS377" s="36"/>
      <c r="GT377" s="36"/>
      <c r="GU377" s="36"/>
      <c r="GV377" s="37"/>
      <c r="GW377" s="44"/>
      <c r="GX377" s="36"/>
      <c r="GY377" s="36"/>
      <c r="GZ377" s="36"/>
      <c r="HA377" s="36"/>
      <c r="HB377" s="36"/>
      <c r="HC377" s="36"/>
      <c r="HD377" s="36"/>
      <c r="HE377" s="36"/>
      <c r="HF377" s="36"/>
      <c r="HG377" s="36"/>
      <c r="HH377" s="36"/>
      <c r="HI377" s="36"/>
      <c r="HJ377" s="36"/>
      <c r="HK377" s="36"/>
      <c r="HL377" s="36"/>
      <c r="HM377" s="37"/>
      <c r="HN377" s="44"/>
      <c r="HO377" s="36"/>
      <c r="HP377" s="36"/>
      <c r="HQ377" s="36"/>
      <c r="HR377" s="36"/>
      <c r="HS377" s="36"/>
      <c r="HT377" s="36"/>
      <c r="HU377" s="36"/>
      <c r="HV377" s="36"/>
      <c r="HW377" s="36"/>
      <c r="HX377" s="36"/>
      <c r="HY377" s="36"/>
      <c r="HZ377" s="36"/>
      <c r="IA377" s="36"/>
      <c r="IB377" s="36"/>
      <c r="IC377" s="36"/>
      <c r="ID377" s="37"/>
      <c r="IE377" s="44"/>
      <c r="IF377" s="36"/>
      <c r="IG377" s="36"/>
      <c r="IH377" s="36"/>
      <c r="II377" s="36"/>
      <c r="IJ377" s="36"/>
      <c r="IK377" s="36"/>
      <c r="IL377" s="36"/>
      <c r="IM377" s="36"/>
      <c r="IN377" s="36"/>
      <c r="IO377" s="36"/>
      <c r="IP377" s="36"/>
      <c r="IQ377" s="36"/>
      <c r="IR377" s="36"/>
      <c r="IS377" s="36"/>
      <c r="IT377" s="36"/>
      <c r="IU377" s="37"/>
      <c r="IV377" s="44"/>
      <c r="IW377" s="36"/>
      <c r="IX377" s="36"/>
      <c r="IY377" s="36"/>
      <c r="IZ377" s="36"/>
      <c r="JA377" s="36"/>
      <c r="JB377" s="36"/>
      <c r="JC377" s="36"/>
      <c r="JD377" s="36"/>
      <c r="JE377" s="36"/>
      <c r="JF377" s="36"/>
      <c r="JG377" s="36"/>
      <c r="JH377" s="36"/>
      <c r="JI377" s="36"/>
      <c r="JJ377" s="36"/>
      <c r="JK377" s="36"/>
      <c r="JL377" s="37"/>
      <c r="JM377" s="44"/>
      <c r="JN377" s="36"/>
      <c r="JO377" s="36"/>
      <c r="JP377" s="36"/>
      <c r="JQ377" s="36"/>
      <c r="JR377" s="36"/>
      <c r="JS377" s="36"/>
      <c r="JT377" s="36"/>
      <c r="JU377" s="36"/>
      <c r="JV377" s="36"/>
      <c r="JW377" s="36"/>
      <c r="JX377" s="36"/>
      <c r="JY377" s="36"/>
      <c r="JZ377" s="36"/>
      <c r="KA377" s="36"/>
      <c r="KB377" s="36"/>
      <c r="KC377" s="37"/>
      <c r="KD377" s="44"/>
      <c r="KE377" s="36"/>
      <c r="KF377" s="36"/>
      <c r="KG377" s="36"/>
      <c r="KH377" s="36"/>
      <c r="KI377" s="36"/>
      <c r="KJ377" s="36"/>
      <c r="KK377" s="36"/>
      <c r="KL377" s="36"/>
      <c r="KM377" s="36"/>
      <c r="KN377" s="36"/>
      <c r="KO377" s="36"/>
      <c r="KP377" s="36"/>
      <c r="KQ377" s="36"/>
      <c r="KR377" s="36"/>
      <c r="KS377" s="36"/>
      <c r="KT377" s="37"/>
      <c r="KU377" s="36"/>
    </row>
    <row r="378" ht="15.0" customHeight="1">
      <c r="A378" s="44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7"/>
      <c r="R378" s="44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7"/>
      <c r="AI378" s="44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36"/>
      <c r="AU378" s="36"/>
      <c r="AV378" s="36"/>
      <c r="AW378" s="36"/>
      <c r="AX378" s="36"/>
      <c r="AY378" s="37"/>
      <c r="AZ378" s="44"/>
      <c r="BA378" s="36"/>
      <c r="BB378" s="36"/>
      <c r="BC378" s="36"/>
      <c r="BD378" s="36"/>
      <c r="BE378" s="36"/>
      <c r="BF378" s="36"/>
      <c r="BG378" s="36"/>
      <c r="BH378" s="36"/>
      <c r="BI378" s="36"/>
      <c r="BJ378" s="36"/>
      <c r="BK378" s="36"/>
      <c r="BL378" s="36"/>
      <c r="BM378" s="36"/>
      <c r="BN378" s="36"/>
      <c r="BO378" s="36"/>
      <c r="BP378" s="37"/>
      <c r="BQ378" s="44"/>
      <c r="BR378" s="36"/>
      <c r="BS378" s="36"/>
      <c r="BT378" s="36"/>
      <c r="BU378" s="36"/>
      <c r="BV378" s="36"/>
      <c r="BW378" s="36"/>
      <c r="BX378" s="36"/>
      <c r="BY378" s="36"/>
      <c r="BZ378" s="36"/>
      <c r="CA378" s="36"/>
      <c r="CB378" s="36"/>
      <c r="CC378" s="36"/>
      <c r="CD378" s="36"/>
      <c r="CE378" s="36"/>
      <c r="CF378" s="36"/>
      <c r="CG378" s="37"/>
      <c r="CH378" s="44"/>
      <c r="CI378" s="36"/>
      <c r="CJ378" s="36"/>
      <c r="CK378" s="36"/>
      <c r="CL378" s="36"/>
      <c r="CM378" s="36"/>
      <c r="CN378" s="36"/>
      <c r="CO378" s="36"/>
      <c r="CP378" s="36"/>
      <c r="CQ378" s="36"/>
      <c r="CR378" s="36"/>
      <c r="CS378" s="36"/>
      <c r="CT378" s="36"/>
      <c r="CU378" s="36"/>
      <c r="CV378" s="36"/>
      <c r="CW378" s="36"/>
      <c r="CX378" s="37"/>
      <c r="CY378" s="44"/>
      <c r="CZ378" s="36"/>
      <c r="DA378" s="36"/>
      <c r="DB378" s="36"/>
      <c r="DC378" s="36"/>
      <c r="DD378" s="36"/>
      <c r="DE378" s="36"/>
      <c r="DF378" s="36"/>
      <c r="DG378" s="36"/>
      <c r="DH378" s="36"/>
      <c r="DI378" s="36"/>
      <c r="DJ378" s="36"/>
      <c r="DK378" s="36"/>
      <c r="DL378" s="36"/>
      <c r="DM378" s="36"/>
      <c r="DN378" s="36"/>
      <c r="DO378" s="37"/>
      <c r="DP378" s="44"/>
      <c r="DQ378" s="36"/>
      <c r="DR378" s="36"/>
      <c r="DS378" s="36"/>
      <c r="DT378" s="36"/>
      <c r="DU378" s="36"/>
      <c r="DV378" s="36"/>
      <c r="DW378" s="36"/>
      <c r="DX378" s="36"/>
      <c r="DY378" s="36"/>
      <c r="DZ378" s="36"/>
      <c r="EA378" s="36"/>
      <c r="EB378" s="36"/>
      <c r="EC378" s="36"/>
      <c r="ED378" s="36"/>
      <c r="EE378" s="36"/>
      <c r="EF378" s="37"/>
      <c r="EG378" s="44"/>
      <c r="EH378" s="36"/>
      <c r="EI378" s="36"/>
      <c r="EJ378" s="36"/>
      <c r="EK378" s="36"/>
      <c r="EL378" s="36"/>
      <c r="EM378" s="36"/>
      <c r="EN378" s="36"/>
      <c r="EO378" s="36"/>
      <c r="EP378" s="36"/>
      <c r="EQ378" s="36"/>
      <c r="ER378" s="36"/>
      <c r="ES378" s="36"/>
      <c r="ET378" s="36"/>
      <c r="EU378" s="36"/>
      <c r="EV378" s="36"/>
      <c r="EW378" s="37"/>
      <c r="EX378" s="44"/>
      <c r="EY378" s="36"/>
      <c r="EZ378" s="36"/>
      <c r="FA378" s="36"/>
      <c r="FB378" s="36"/>
      <c r="FC378" s="36"/>
      <c r="FD378" s="36"/>
      <c r="FE378" s="36"/>
      <c r="FF378" s="36"/>
      <c r="FG378" s="36"/>
      <c r="FH378" s="36"/>
      <c r="FI378" s="36"/>
      <c r="FJ378" s="36"/>
      <c r="FK378" s="36"/>
      <c r="FL378" s="36"/>
      <c r="FM378" s="36"/>
      <c r="FN378" s="37"/>
      <c r="FO378" s="44"/>
      <c r="FP378" s="36"/>
      <c r="FQ378" s="36"/>
      <c r="FR378" s="36"/>
      <c r="FS378" s="36"/>
      <c r="FT378" s="36"/>
      <c r="FU378" s="36"/>
      <c r="FV378" s="36"/>
      <c r="FW378" s="36"/>
      <c r="FX378" s="36"/>
      <c r="FY378" s="36"/>
      <c r="FZ378" s="36"/>
      <c r="GA378" s="36"/>
      <c r="GB378" s="36"/>
      <c r="GC378" s="36"/>
      <c r="GD378" s="36"/>
      <c r="GE378" s="37"/>
      <c r="GF378" s="44"/>
      <c r="GG378" s="36"/>
      <c r="GH378" s="36"/>
      <c r="GI378" s="36"/>
      <c r="GJ378" s="36"/>
      <c r="GK378" s="36"/>
      <c r="GL378" s="36"/>
      <c r="GM378" s="36"/>
      <c r="GN378" s="36"/>
      <c r="GO378" s="36"/>
      <c r="GP378" s="36"/>
      <c r="GQ378" s="36"/>
      <c r="GR378" s="36"/>
      <c r="GS378" s="36"/>
      <c r="GT378" s="36"/>
      <c r="GU378" s="36"/>
      <c r="GV378" s="37"/>
      <c r="GW378" s="44"/>
      <c r="GX378" s="36"/>
      <c r="GY378" s="36"/>
      <c r="GZ378" s="36"/>
      <c r="HA378" s="36"/>
      <c r="HB378" s="36"/>
      <c r="HC378" s="36"/>
      <c r="HD378" s="36"/>
      <c r="HE378" s="36"/>
      <c r="HF378" s="36"/>
      <c r="HG378" s="36"/>
      <c r="HH378" s="36"/>
      <c r="HI378" s="36"/>
      <c r="HJ378" s="36"/>
      <c r="HK378" s="36"/>
      <c r="HL378" s="36"/>
      <c r="HM378" s="37"/>
      <c r="HN378" s="44"/>
      <c r="HO378" s="36"/>
      <c r="HP378" s="36"/>
      <c r="HQ378" s="36"/>
      <c r="HR378" s="36"/>
      <c r="HS378" s="36"/>
      <c r="HT378" s="36"/>
      <c r="HU378" s="36"/>
      <c r="HV378" s="36"/>
      <c r="HW378" s="36"/>
      <c r="HX378" s="36"/>
      <c r="HY378" s="36"/>
      <c r="HZ378" s="36"/>
      <c r="IA378" s="36"/>
      <c r="IB378" s="36"/>
      <c r="IC378" s="36"/>
      <c r="ID378" s="37"/>
      <c r="IE378" s="44"/>
      <c r="IF378" s="36"/>
      <c r="IG378" s="36"/>
      <c r="IH378" s="36"/>
      <c r="II378" s="36"/>
      <c r="IJ378" s="36"/>
      <c r="IK378" s="36"/>
      <c r="IL378" s="36"/>
      <c r="IM378" s="36"/>
      <c r="IN378" s="36"/>
      <c r="IO378" s="36"/>
      <c r="IP378" s="36"/>
      <c r="IQ378" s="36"/>
      <c r="IR378" s="36"/>
      <c r="IS378" s="36"/>
      <c r="IT378" s="36"/>
      <c r="IU378" s="37"/>
      <c r="IV378" s="44"/>
      <c r="IW378" s="36"/>
      <c r="IX378" s="36"/>
      <c r="IY378" s="36"/>
      <c r="IZ378" s="36"/>
      <c r="JA378" s="36"/>
      <c r="JB378" s="36"/>
      <c r="JC378" s="36"/>
      <c r="JD378" s="36"/>
      <c r="JE378" s="36"/>
      <c r="JF378" s="36"/>
      <c r="JG378" s="36"/>
      <c r="JH378" s="36"/>
      <c r="JI378" s="36"/>
      <c r="JJ378" s="36"/>
      <c r="JK378" s="36"/>
      <c r="JL378" s="37"/>
      <c r="JM378" s="44"/>
      <c r="JN378" s="36"/>
      <c r="JO378" s="36"/>
      <c r="JP378" s="36"/>
      <c r="JQ378" s="36"/>
      <c r="JR378" s="36"/>
      <c r="JS378" s="36"/>
      <c r="JT378" s="36"/>
      <c r="JU378" s="36"/>
      <c r="JV378" s="36"/>
      <c r="JW378" s="36"/>
      <c r="JX378" s="36"/>
      <c r="JY378" s="36"/>
      <c r="JZ378" s="36"/>
      <c r="KA378" s="36"/>
      <c r="KB378" s="36"/>
      <c r="KC378" s="37"/>
      <c r="KD378" s="44"/>
      <c r="KE378" s="36"/>
      <c r="KF378" s="36"/>
      <c r="KG378" s="36"/>
      <c r="KH378" s="36"/>
      <c r="KI378" s="36"/>
      <c r="KJ378" s="36"/>
      <c r="KK378" s="36"/>
      <c r="KL378" s="36"/>
      <c r="KM378" s="36"/>
      <c r="KN378" s="36"/>
      <c r="KO378" s="36"/>
      <c r="KP378" s="36"/>
      <c r="KQ378" s="36"/>
      <c r="KR378" s="36"/>
      <c r="KS378" s="36"/>
      <c r="KT378" s="37"/>
      <c r="KU378" s="36"/>
    </row>
    <row r="379" ht="15.0" customHeight="1">
      <c r="A379" s="44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7"/>
      <c r="R379" s="44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7"/>
      <c r="AI379" s="44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36"/>
      <c r="AU379" s="36"/>
      <c r="AV379" s="36"/>
      <c r="AW379" s="36"/>
      <c r="AX379" s="36"/>
      <c r="AY379" s="37"/>
      <c r="AZ379" s="44"/>
      <c r="BA379" s="36"/>
      <c r="BB379" s="36"/>
      <c r="BC379" s="36"/>
      <c r="BD379" s="36"/>
      <c r="BE379" s="36"/>
      <c r="BF379" s="36"/>
      <c r="BG379" s="36"/>
      <c r="BH379" s="36"/>
      <c r="BI379" s="36"/>
      <c r="BJ379" s="36"/>
      <c r="BK379" s="36"/>
      <c r="BL379" s="36"/>
      <c r="BM379" s="36"/>
      <c r="BN379" s="36"/>
      <c r="BO379" s="36"/>
      <c r="BP379" s="37"/>
      <c r="BQ379" s="44"/>
      <c r="BR379" s="36"/>
      <c r="BS379" s="36"/>
      <c r="BT379" s="36"/>
      <c r="BU379" s="36"/>
      <c r="BV379" s="36"/>
      <c r="BW379" s="36"/>
      <c r="BX379" s="36"/>
      <c r="BY379" s="36"/>
      <c r="BZ379" s="36"/>
      <c r="CA379" s="36"/>
      <c r="CB379" s="36"/>
      <c r="CC379" s="36"/>
      <c r="CD379" s="36"/>
      <c r="CE379" s="36"/>
      <c r="CF379" s="36"/>
      <c r="CG379" s="37"/>
      <c r="CH379" s="44"/>
      <c r="CI379" s="36"/>
      <c r="CJ379" s="36"/>
      <c r="CK379" s="36"/>
      <c r="CL379" s="36"/>
      <c r="CM379" s="36"/>
      <c r="CN379" s="36"/>
      <c r="CO379" s="36"/>
      <c r="CP379" s="36"/>
      <c r="CQ379" s="36"/>
      <c r="CR379" s="36"/>
      <c r="CS379" s="36"/>
      <c r="CT379" s="36"/>
      <c r="CU379" s="36"/>
      <c r="CV379" s="36"/>
      <c r="CW379" s="36"/>
      <c r="CX379" s="37"/>
      <c r="CY379" s="44"/>
      <c r="CZ379" s="36"/>
      <c r="DA379" s="36"/>
      <c r="DB379" s="36"/>
      <c r="DC379" s="36"/>
      <c r="DD379" s="36"/>
      <c r="DE379" s="36"/>
      <c r="DF379" s="36"/>
      <c r="DG379" s="36"/>
      <c r="DH379" s="36"/>
      <c r="DI379" s="36"/>
      <c r="DJ379" s="36"/>
      <c r="DK379" s="36"/>
      <c r="DL379" s="36"/>
      <c r="DM379" s="36"/>
      <c r="DN379" s="36"/>
      <c r="DO379" s="37"/>
      <c r="DP379" s="44"/>
      <c r="DQ379" s="36"/>
      <c r="DR379" s="36"/>
      <c r="DS379" s="36"/>
      <c r="DT379" s="36"/>
      <c r="DU379" s="36"/>
      <c r="DV379" s="36"/>
      <c r="DW379" s="36"/>
      <c r="DX379" s="36"/>
      <c r="DY379" s="36"/>
      <c r="DZ379" s="36"/>
      <c r="EA379" s="36"/>
      <c r="EB379" s="36"/>
      <c r="EC379" s="36"/>
      <c r="ED379" s="36"/>
      <c r="EE379" s="36"/>
      <c r="EF379" s="37"/>
      <c r="EG379" s="44"/>
      <c r="EH379" s="36"/>
      <c r="EI379" s="36"/>
      <c r="EJ379" s="36"/>
      <c r="EK379" s="36"/>
      <c r="EL379" s="36"/>
      <c r="EM379" s="36"/>
      <c r="EN379" s="36"/>
      <c r="EO379" s="36"/>
      <c r="EP379" s="36"/>
      <c r="EQ379" s="36"/>
      <c r="ER379" s="36"/>
      <c r="ES379" s="36"/>
      <c r="ET379" s="36"/>
      <c r="EU379" s="36"/>
      <c r="EV379" s="36"/>
      <c r="EW379" s="37"/>
      <c r="EX379" s="44"/>
      <c r="EY379" s="36"/>
      <c r="EZ379" s="36"/>
      <c r="FA379" s="36"/>
      <c r="FB379" s="36"/>
      <c r="FC379" s="36"/>
      <c r="FD379" s="36"/>
      <c r="FE379" s="36"/>
      <c r="FF379" s="36"/>
      <c r="FG379" s="36"/>
      <c r="FH379" s="36"/>
      <c r="FI379" s="36"/>
      <c r="FJ379" s="36"/>
      <c r="FK379" s="36"/>
      <c r="FL379" s="36"/>
      <c r="FM379" s="36"/>
      <c r="FN379" s="37"/>
      <c r="FO379" s="44"/>
      <c r="FP379" s="36"/>
      <c r="FQ379" s="36"/>
      <c r="FR379" s="36"/>
      <c r="FS379" s="36"/>
      <c r="FT379" s="36"/>
      <c r="FU379" s="36"/>
      <c r="FV379" s="36"/>
      <c r="FW379" s="36"/>
      <c r="FX379" s="36"/>
      <c r="FY379" s="36"/>
      <c r="FZ379" s="36"/>
      <c r="GA379" s="36"/>
      <c r="GB379" s="36"/>
      <c r="GC379" s="36"/>
      <c r="GD379" s="36"/>
      <c r="GE379" s="37"/>
      <c r="GF379" s="44"/>
      <c r="GG379" s="36"/>
      <c r="GH379" s="36"/>
      <c r="GI379" s="36"/>
      <c r="GJ379" s="36"/>
      <c r="GK379" s="36"/>
      <c r="GL379" s="36"/>
      <c r="GM379" s="36"/>
      <c r="GN379" s="36"/>
      <c r="GO379" s="36"/>
      <c r="GP379" s="36"/>
      <c r="GQ379" s="36"/>
      <c r="GR379" s="36"/>
      <c r="GS379" s="36"/>
      <c r="GT379" s="36"/>
      <c r="GU379" s="36"/>
      <c r="GV379" s="37"/>
      <c r="GW379" s="44"/>
      <c r="GX379" s="36"/>
      <c r="GY379" s="36"/>
      <c r="GZ379" s="36"/>
      <c r="HA379" s="36"/>
      <c r="HB379" s="36"/>
      <c r="HC379" s="36"/>
      <c r="HD379" s="36"/>
      <c r="HE379" s="36"/>
      <c r="HF379" s="36"/>
      <c r="HG379" s="36"/>
      <c r="HH379" s="36"/>
      <c r="HI379" s="36"/>
      <c r="HJ379" s="36"/>
      <c r="HK379" s="36"/>
      <c r="HL379" s="36"/>
      <c r="HM379" s="37"/>
      <c r="HN379" s="44"/>
      <c r="HO379" s="36"/>
      <c r="HP379" s="36"/>
      <c r="HQ379" s="36"/>
      <c r="HR379" s="36"/>
      <c r="HS379" s="36"/>
      <c r="HT379" s="36"/>
      <c r="HU379" s="36"/>
      <c r="HV379" s="36"/>
      <c r="HW379" s="36"/>
      <c r="HX379" s="36"/>
      <c r="HY379" s="36"/>
      <c r="HZ379" s="36"/>
      <c r="IA379" s="36"/>
      <c r="IB379" s="36"/>
      <c r="IC379" s="36"/>
      <c r="ID379" s="37"/>
      <c r="IE379" s="44"/>
      <c r="IF379" s="36"/>
      <c r="IG379" s="36"/>
      <c r="IH379" s="36"/>
      <c r="II379" s="36"/>
      <c r="IJ379" s="36"/>
      <c r="IK379" s="36"/>
      <c r="IL379" s="36"/>
      <c r="IM379" s="36"/>
      <c r="IN379" s="36"/>
      <c r="IO379" s="36"/>
      <c r="IP379" s="36"/>
      <c r="IQ379" s="36"/>
      <c r="IR379" s="36"/>
      <c r="IS379" s="36"/>
      <c r="IT379" s="36"/>
      <c r="IU379" s="37"/>
      <c r="IV379" s="44"/>
      <c r="IW379" s="36"/>
      <c r="IX379" s="36"/>
      <c r="IY379" s="36"/>
      <c r="IZ379" s="36"/>
      <c r="JA379" s="36"/>
      <c r="JB379" s="36"/>
      <c r="JC379" s="36"/>
      <c r="JD379" s="36"/>
      <c r="JE379" s="36"/>
      <c r="JF379" s="36"/>
      <c r="JG379" s="36"/>
      <c r="JH379" s="36"/>
      <c r="JI379" s="36"/>
      <c r="JJ379" s="36"/>
      <c r="JK379" s="36"/>
      <c r="JL379" s="37"/>
      <c r="JM379" s="44"/>
      <c r="JN379" s="36"/>
      <c r="JO379" s="36"/>
      <c r="JP379" s="36"/>
      <c r="JQ379" s="36"/>
      <c r="JR379" s="36"/>
      <c r="JS379" s="36"/>
      <c r="JT379" s="36"/>
      <c r="JU379" s="36"/>
      <c r="JV379" s="36"/>
      <c r="JW379" s="36"/>
      <c r="JX379" s="36"/>
      <c r="JY379" s="36"/>
      <c r="JZ379" s="36"/>
      <c r="KA379" s="36"/>
      <c r="KB379" s="36"/>
      <c r="KC379" s="37"/>
      <c r="KD379" s="44"/>
      <c r="KE379" s="36"/>
      <c r="KF379" s="36"/>
      <c r="KG379" s="36"/>
      <c r="KH379" s="36"/>
      <c r="KI379" s="36"/>
      <c r="KJ379" s="36"/>
      <c r="KK379" s="36"/>
      <c r="KL379" s="36"/>
      <c r="KM379" s="36"/>
      <c r="KN379" s="36"/>
      <c r="KO379" s="36"/>
      <c r="KP379" s="36"/>
      <c r="KQ379" s="36"/>
      <c r="KR379" s="36"/>
      <c r="KS379" s="36"/>
      <c r="KT379" s="37"/>
      <c r="KU379" s="36"/>
    </row>
    <row r="380" ht="15.0" customHeight="1">
      <c r="A380" s="44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7"/>
      <c r="R380" s="44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7"/>
      <c r="AI380" s="44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36"/>
      <c r="AU380" s="36"/>
      <c r="AV380" s="36"/>
      <c r="AW380" s="36"/>
      <c r="AX380" s="36"/>
      <c r="AY380" s="37"/>
      <c r="AZ380" s="44"/>
      <c r="BA380" s="36"/>
      <c r="BB380" s="36"/>
      <c r="BC380" s="36"/>
      <c r="BD380" s="36"/>
      <c r="BE380" s="36"/>
      <c r="BF380" s="36"/>
      <c r="BG380" s="36"/>
      <c r="BH380" s="36"/>
      <c r="BI380" s="36"/>
      <c r="BJ380" s="36"/>
      <c r="BK380" s="36"/>
      <c r="BL380" s="36"/>
      <c r="BM380" s="36"/>
      <c r="BN380" s="36"/>
      <c r="BO380" s="36"/>
      <c r="BP380" s="37"/>
      <c r="BQ380" s="44"/>
      <c r="BR380" s="36"/>
      <c r="BS380" s="36"/>
      <c r="BT380" s="36"/>
      <c r="BU380" s="36"/>
      <c r="BV380" s="36"/>
      <c r="BW380" s="36"/>
      <c r="BX380" s="36"/>
      <c r="BY380" s="36"/>
      <c r="BZ380" s="36"/>
      <c r="CA380" s="36"/>
      <c r="CB380" s="36"/>
      <c r="CC380" s="36"/>
      <c r="CD380" s="36"/>
      <c r="CE380" s="36"/>
      <c r="CF380" s="36"/>
      <c r="CG380" s="37"/>
      <c r="CH380" s="44"/>
      <c r="CI380" s="36"/>
      <c r="CJ380" s="36"/>
      <c r="CK380" s="36"/>
      <c r="CL380" s="36"/>
      <c r="CM380" s="36"/>
      <c r="CN380" s="36"/>
      <c r="CO380" s="36"/>
      <c r="CP380" s="36"/>
      <c r="CQ380" s="36"/>
      <c r="CR380" s="36"/>
      <c r="CS380" s="36"/>
      <c r="CT380" s="36"/>
      <c r="CU380" s="36"/>
      <c r="CV380" s="36"/>
      <c r="CW380" s="36"/>
      <c r="CX380" s="37"/>
      <c r="CY380" s="44"/>
      <c r="CZ380" s="36"/>
      <c r="DA380" s="36"/>
      <c r="DB380" s="36"/>
      <c r="DC380" s="36"/>
      <c r="DD380" s="36"/>
      <c r="DE380" s="36"/>
      <c r="DF380" s="36"/>
      <c r="DG380" s="36"/>
      <c r="DH380" s="36"/>
      <c r="DI380" s="36"/>
      <c r="DJ380" s="36"/>
      <c r="DK380" s="36"/>
      <c r="DL380" s="36"/>
      <c r="DM380" s="36"/>
      <c r="DN380" s="36"/>
      <c r="DO380" s="37"/>
      <c r="DP380" s="44"/>
      <c r="DQ380" s="36"/>
      <c r="DR380" s="36"/>
      <c r="DS380" s="36"/>
      <c r="DT380" s="36"/>
      <c r="DU380" s="36"/>
      <c r="DV380" s="36"/>
      <c r="DW380" s="36"/>
      <c r="DX380" s="36"/>
      <c r="DY380" s="36"/>
      <c r="DZ380" s="36"/>
      <c r="EA380" s="36"/>
      <c r="EB380" s="36"/>
      <c r="EC380" s="36"/>
      <c r="ED380" s="36"/>
      <c r="EE380" s="36"/>
      <c r="EF380" s="37"/>
      <c r="EG380" s="44"/>
      <c r="EH380" s="36"/>
      <c r="EI380" s="36"/>
      <c r="EJ380" s="36"/>
      <c r="EK380" s="36"/>
      <c r="EL380" s="36"/>
      <c r="EM380" s="36"/>
      <c r="EN380" s="36"/>
      <c r="EO380" s="36"/>
      <c r="EP380" s="36"/>
      <c r="EQ380" s="36"/>
      <c r="ER380" s="36"/>
      <c r="ES380" s="36"/>
      <c r="ET380" s="36"/>
      <c r="EU380" s="36"/>
      <c r="EV380" s="36"/>
      <c r="EW380" s="37"/>
      <c r="EX380" s="44"/>
      <c r="EY380" s="36"/>
      <c r="EZ380" s="36"/>
      <c r="FA380" s="36"/>
      <c r="FB380" s="36"/>
      <c r="FC380" s="36"/>
      <c r="FD380" s="36"/>
      <c r="FE380" s="36"/>
      <c r="FF380" s="36"/>
      <c r="FG380" s="36"/>
      <c r="FH380" s="36"/>
      <c r="FI380" s="36"/>
      <c r="FJ380" s="36"/>
      <c r="FK380" s="36"/>
      <c r="FL380" s="36"/>
      <c r="FM380" s="36"/>
      <c r="FN380" s="37"/>
      <c r="FO380" s="44"/>
      <c r="FP380" s="36"/>
      <c r="FQ380" s="36"/>
      <c r="FR380" s="36"/>
      <c r="FS380" s="36"/>
      <c r="FT380" s="36"/>
      <c r="FU380" s="36"/>
      <c r="FV380" s="36"/>
      <c r="FW380" s="36"/>
      <c r="FX380" s="36"/>
      <c r="FY380" s="36"/>
      <c r="FZ380" s="36"/>
      <c r="GA380" s="36"/>
      <c r="GB380" s="36"/>
      <c r="GC380" s="36"/>
      <c r="GD380" s="36"/>
      <c r="GE380" s="37"/>
      <c r="GF380" s="44"/>
      <c r="GG380" s="36"/>
      <c r="GH380" s="36"/>
      <c r="GI380" s="36"/>
      <c r="GJ380" s="36"/>
      <c r="GK380" s="36"/>
      <c r="GL380" s="36"/>
      <c r="GM380" s="36"/>
      <c r="GN380" s="36"/>
      <c r="GO380" s="36"/>
      <c r="GP380" s="36"/>
      <c r="GQ380" s="36"/>
      <c r="GR380" s="36"/>
      <c r="GS380" s="36"/>
      <c r="GT380" s="36"/>
      <c r="GU380" s="36"/>
      <c r="GV380" s="37"/>
      <c r="GW380" s="44"/>
      <c r="GX380" s="36"/>
      <c r="GY380" s="36"/>
      <c r="GZ380" s="36"/>
      <c r="HA380" s="36"/>
      <c r="HB380" s="36"/>
      <c r="HC380" s="36"/>
      <c r="HD380" s="36"/>
      <c r="HE380" s="36"/>
      <c r="HF380" s="36"/>
      <c r="HG380" s="36"/>
      <c r="HH380" s="36"/>
      <c r="HI380" s="36"/>
      <c r="HJ380" s="36"/>
      <c r="HK380" s="36"/>
      <c r="HL380" s="36"/>
      <c r="HM380" s="37"/>
      <c r="HN380" s="44"/>
      <c r="HO380" s="36"/>
      <c r="HP380" s="36"/>
      <c r="HQ380" s="36"/>
      <c r="HR380" s="36"/>
      <c r="HS380" s="36"/>
      <c r="HT380" s="36"/>
      <c r="HU380" s="36"/>
      <c r="HV380" s="36"/>
      <c r="HW380" s="36"/>
      <c r="HX380" s="36"/>
      <c r="HY380" s="36"/>
      <c r="HZ380" s="36"/>
      <c r="IA380" s="36"/>
      <c r="IB380" s="36"/>
      <c r="IC380" s="36"/>
      <c r="ID380" s="37"/>
      <c r="IE380" s="44"/>
      <c r="IF380" s="36"/>
      <c r="IG380" s="36"/>
      <c r="IH380" s="36"/>
      <c r="II380" s="36"/>
      <c r="IJ380" s="36"/>
      <c r="IK380" s="36"/>
      <c r="IL380" s="36"/>
      <c r="IM380" s="36"/>
      <c r="IN380" s="36"/>
      <c r="IO380" s="36"/>
      <c r="IP380" s="36"/>
      <c r="IQ380" s="36"/>
      <c r="IR380" s="36"/>
      <c r="IS380" s="36"/>
      <c r="IT380" s="36"/>
      <c r="IU380" s="37"/>
      <c r="IV380" s="44"/>
      <c r="IW380" s="36"/>
      <c r="IX380" s="36"/>
      <c r="IY380" s="36"/>
      <c r="IZ380" s="36"/>
      <c r="JA380" s="36"/>
      <c r="JB380" s="36"/>
      <c r="JC380" s="36"/>
      <c r="JD380" s="36"/>
      <c r="JE380" s="36"/>
      <c r="JF380" s="36"/>
      <c r="JG380" s="36"/>
      <c r="JH380" s="36"/>
      <c r="JI380" s="36"/>
      <c r="JJ380" s="36"/>
      <c r="JK380" s="36"/>
      <c r="JL380" s="37"/>
      <c r="JM380" s="44"/>
      <c r="JN380" s="36"/>
      <c r="JO380" s="36"/>
      <c r="JP380" s="36"/>
      <c r="JQ380" s="36"/>
      <c r="JR380" s="36"/>
      <c r="JS380" s="36"/>
      <c r="JT380" s="36"/>
      <c r="JU380" s="36"/>
      <c r="JV380" s="36"/>
      <c r="JW380" s="36"/>
      <c r="JX380" s="36"/>
      <c r="JY380" s="36"/>
      <c r="JZ380" s="36"/>
      <c r="KA380" s="36"/>
      <c r="KB380" s="36"/>
      <c r="KC380" s="37"/>
      <c r="KD380" s="44"/>
      <c r="KE380" s="36"/>
      <c r="KF380" s="36"/>
      <c r="KG380" s="36"/>
      <c r="KH380" s="36"/>
      <c r="KI380" s="36"/>
      <c r="KJ380" s="36"/>
      <c r="KK380" s="36"/>
      <c r="KL380" s="36"/>
      <c r="KM380" s="36"/>
      <c r="KN380" s="36"/>
      <c r="KO380" s="36"/>
      <c r="KP380" s="36"/>
      <c r="KQ380" s="36"/>
      <c r="KR380" s="36"/>
      <c r="KS380" s="36"/>
      <c r="KT380" s="37"/>
      <c r="KU380" s="36"/>
    </row>
  </sheetData>
  <mergeCells count="1083">
    <mergeCell ref="CH31:CI31"/>
    <mergeCell ref="CH36:CI36"/>
    <mergeCell ref="CF42:CF43"/>
    <mergeCell ref="CW42:CW43"/>
    <mergeCell ref="AI36:AJ36"/>
    <mergeCell ref="AG40:AG41"/>
    <mergeCell ref="P42:P43"/>
    <mergeCell ref="AG42:AG43"/>
    <mergeCell ref="AX42:AX43"/>
    <mergeCell ref="BQ36:BR36"/>
    <mergeCell ref="BO40:BO41"/>
    <mergeCell ref="BO42:BO43"/>
    <mergeCell ref="A31:B31"/>
    <mergeCell ref="AI31:AJ31"/>
    <mergeCell ref="BQ31:BR31"/>
    <mergeCell ref="CY31:CZ31"/>
    <mergeCell ref="A36:B36"/>
    <mergeCell ref="P40:P41"/>
    <mergeCell ref="AX40:AX41"/>
    <mergeCell ref="GU40:GU41"/>
    <mergeCell ref="HL40:HL41"/>
    <mergeCell ref="IC40:IC41"/>
    <mergeCell ref="IT40:IT41"/>
    <mergeCell ref="JK40:JK41"/>
    <mergeCell ref="KB40:KB41"/>
    <mergeCell ref="KS40:KS41"/>
    <mergeCell ref="EE40:EE41"/>
    <mergeCell ref="EE42:EE43"/>
    <mergeCell ref="GD42:GD43"/>
    <mergeCell ref="GU42:GU43"/>
    <mergeCell ref="HL42:HL43"/>
    <mergeCell ref="IC42:IC43"/>
    <mergeCell ref="IT42:IT43"/>
    <mergeCell ref="JK42:JK43"/>
    <mergeCell ref="KB42:KB43"/>
    <mergeCell ref="KS42:KS43"/>
    <mergeCell ref="DY46:EA46"/>
    <mergeCell ref="EB46:EB47"/>
    <mergeCell ref="DK46:DK47"/>
    <mergeCell ref="DL46:DM46"/>
    <mergeCell ref="DN46:DN47"/>
    <mergeCell ref="DP46:DP47"/>
    <mergeCell ref="DQ46:DQ47"/>
    <mergeCell ref="DR46:DV46"/>
    <mergeCell ref="DW46:DX46"/>
    <mergeCell ref="EP46:ER46"/>
    <mergeCell ref="ET46:EU46"/>
    <mergeCell ref="EC46:ED46"/>
    <mergeCell ref="EE46:EE47"/>
    <mergeCell ref="EG46:EG47"/>
    <mergeCell ref="EH46:EH47"/>
    <mergeCell ref="EI46:EM46"/>
    <mergeCell ref="EN46:EO46"/>
    <mergeCell ref="ES46:ES47"/>
    <mergeCell ref="FG46:FI46"/>
    <mergeCell ref="FJ46:FJ47"/>
    <mergeCell ref="FM40:FM41"/>
    <mergeCell ref="FM42:FM43"/>
    <mergeCell ref="EV46:EV47"/>
    <mergeCell ref="EX46:EX47"/>
    <mergeCell ref="EY46:EY47"/>
    <mergeCell ref="EZ46:FD46"/>
    <mergeCell ref="FE46:FF46"/>
    <mergeCell ref="CF40:CF41"/>
    <mergeCell ref="CW40:CW41"/>
    <mergeCell ref="DN40:DN41"/>
    <mergeCell ref="EV40:EV41"/>
    <mergeCell ref="GD40:GD41"/>
    <mergeCell ref="DN42:DN43"/>
    <mergeCell ref="EV42:EV43"/>
    <mergeCell ref="A46:A47"/>
    <mergeCell ref="B46:B47"/>
    <mergeCell ref="C46:G46"/>
    <mergeCell ref="H46:I46"/>
    <mergeCell ref="J46:L46"/>
    <mergeCell ref="M46:M47"/>
    <mergeCell ref="N46:O46"/>
    <mergeCell ref="P46:P47"/>
    <mergeCell ref="R46:R47"/>
    <mergeCell ref="S46:S47"/>
    <mergeCell ref="T46:X46"/>
    <mergeCell ref="Y46:Z46"/>
    <mergeCell ref="AA46:AC46"/>
    <mergeCell ref="AD46:AD47"/>
    <mergeCell ref="AE46:AF46"/>
    <mergeCell ref="AG46:AG47"/>
    <mergeCell ref="AI46:AI47"/>
    <mergeCell ref="AJ46:AJ47"/>
    <mergeCell ref="AK46:AO46"/>
    <mergeCell ref="AP46:AQ46"/>
    <mergeCell ref="AU46:AU47"/>
    <mergeCell ref="AX46:AX47"/>
    <mergeCell ref="AZ46:AZ47"/>
    <mergeCell ref="BA46:BA47"/>
    <mergeCell ref="BL46:BL47"/>
    <mergeCell ref="BO46:BO47"/>
    <mergeCell ref="BQ46:BQ47"/>
    <mergeCell ref="BR46:BR47"/>
    <mergeCell ref="AR46:AT46"/>
    <mergeCell ref="AV46:AW46"/>
    <mergeCell ref="BB46:BF46"/>
    <mergeCell ref="BG46:BH46"/>
    <mergeCell ref="BI46:BK46"/>
    <mergeCell ref="BM46:BN46"/>
    <mergeCell ref="BS46:BW46"/>
    <mergeCell ref="GD46:GD47"/>
    <mergeCell ref="GF46:GF47"/>
    <mergeCell ref="GG46:GG47"/>
    <mergeCell ref="JZ46:KA46"/>
    <mergeCell ref="KF46:KJ46"/>
    <mergeCell ref="KK46:KL46"/>
    <mergeCell ref="KM46:KO46"/>
    <mergeCell ref="KP46:KP47"/>
    <mergeCell ref="KQ46:KR46"/>
    <mergeCell ref="KS46:KS47"/>
    <mergeCell ref="JO46:JS46"/>
    <mergeCell ref="JT46:JU46"/>
    <mergeCell ref="JV46:JX46"/>
    <mergeCell ref="JY46:JY47"/>
    <mergeCell ref="KB46:KB47"/>
    <mergeCell ref="KD46:KD47"/>
    <mergeCell ref="KE46:KE47"/>
    <mergeCell ref="FK46:FL46"/>
    <mergeCell ref="FM46:FM47"/>
    <mergeCell ref="FO46:FO47"/>
    <mergeCell ref="FP46:FP47"/>
    <mergeCell ref="FQ46:FU46"/>
    <mergeCell ref="FV46:FW46"/>
    <mergeCell ref="GA46:GA47"/>
    <mergeCell ref="FX46:FZ46"/>
    <mergeCell ref="GB46:GC46"/>
    <mergeCell ref="GH46:GL46"/>
    <mergeCell ref="GM46:GN46"/>
    <mergeCell ref="GO46:GQ46"/>
    <mergeCell ref="GR46:GR47"/>
    <mergeCell ref="GS46:GT46"/>
    <mergeCell ref="GU46:GU47"/>
    <mergeCell ref="GW46:GW47"/>
    <mergeCell ref="GX46:GX47"/>
    <mergeCell ref="GY46:HC46"/>
    <mergeCell ref="HD46:HE46"/>
    <mergeCell ref="HF46:HH46"/>
    <mergeCell ref="HI46:HI47"/>
    <mergeCell ref="IC46:IC47"/>
    <mergeCell ref="IE46:IE47"/>
    <mergeCell ref="IF46:IF47"/>
    <mergeCell ref="IQ46:IQ47"/>
    <mergeCell ref="IT46:IT47"/>
    <mergeCell ref="IV46:IV47"/>
    <mergeCell ref="IW46:IW47"/>
    <mergeCell ref="HJ46:HK46"/>
    <mergeCell ref="HL46:HL47"/>
    <mergeCell ref="HN46:HN47"/>
    <mergeCell ref="HO46:HO47"/>
    <mergeCell ref="HP46:HT46"/>
    <mergeCell ref="HU46:HV46"/>
    <mergeCell ref="HZ46:HZ47"/>
    <mergeCell ref="HW46:HY46"/>
    <mergeCell ref="IA46:IB46"/>
    <mergeCell ref="IG46:IK46"/>
    <mergeCell ref="IL46:IM46"/>
    <mergeCell ref="IN46:IP46"/>
    <mergeCell ref="IR46:IS46"/>
    <mergeCell ref="IX46:JB46"/>
    <mergeCell ref="JC46:JD46"/>
    <mergeCell ref="JE46:JG46"/>
    <mergeCell ref="JH46:JH47"/>
    <mergeCell ref="JI46:JJ46"/>
    <mergeCell ref="JK46:JK47"/>
    <mergeCell ref="JM46:JM47"/>
    <mergeCell ref="JN46:JN47"/>
    <mergeCell ref="CJ46:CN46"/>
    <mergeCell ref="CO46:CP46"/>
    <mergeCell ref="BX46:BY46"/>
    <mergeCell ref="BZ46:CB46"/>
    <mergeCell ref="CC46:CC47"/>
    <mergeCell ref="CD46:CE46"/>
    <mergeCell ref="CF46:CF47"/>
    <mergeCell ref="CH46:CH47"/>
    <mergeCell ref="CI46:CI47"/>
    <mergeCell ref="IE67:IF67"/>
    <mergeCell ref="IV67:IW67"/>
    <mergeCell ref="JM67:JN67"/>
    <mergeCell ref="KD67:KE67"/>
    <mergeCell ref="DP67:DQ67"/>
    <mergeCell ref="EG67:EH67"/>
    <mergeCell ref="EX67:EY67"/>
    <mergeCell ref="FO67:FP67"/>
    <mergeCell ref="GF67:GG67"/>
    <mergeCell ref="GW67:GX67"/>
    <mergeCell ref="HN67:HO67"/>
    <mergeCell ref="R67:S67"/>
    <mergeCell ref="R72:S72"/>
    <mergeCell ref="AZ67:BA67"/>
    <mergeCell ref="AZ72:BA72"/>
    <mergeCell ref="HN72:HO72"/>
    <mergeCell ref="IE72:IF72"/>
    <mergeCell ref="IV72:IW72"/>
    <mergeCell ref="JM72:JN72"/>
    <mergeCell ref="KD72:KE72"/>
    <mergeCell ref="CY72:CZ72"/>
    <mergeCell ref="DP72:DQ72"/>
    <mergeCell ref="EG72:EH72"/>
    <mergeCell ref="EX72:EY72"/>
    <mergeCell ref="FO72:FP72"/>
    <mergeCell ref="GF72:GG72"/>
    <mergeCell ref="GW72:GX72"/>
    <mergeCell ref="CH67:CI67"/>
    <mergeCell ref="CH72:CI72"/>
    <mergeCell ref="CF78:CF79"/>
    <mergeCell ref="CW78:CW79"/>
    <mergeCell ref="AI72:AJ72"/>
    <mergeCell ref="AG76:AG77"/>
    <mergeCell ref="P78:P79"/>
    <mergeCell ref="AG78:AG79"/>
    <mergeCell ref="AX78:AX79"/>
    <mergeCell ref="BQ72:BR72"/>
    <mergeCell ref="BO76:BO77"/>
    <mergeCell ref="BO78:BO79"/>
    <mergeCell ref="A67:B67"/>
    <mergeCell ref="AI67:AJ67"/>
    <mergeCell ref="BQ67:BR67"/>
    <mergeCell ref="CY67:CZ67"/>
    <mergeCell ref="A72:B72"/>
    <mergeCell ref="P76:P77"/>
    <mergeCell ref="AX76:AX77"/>
    <mergeCell ref="GU76:GU77"/>
    <mergeCell ref="HL76:HL77"/>
    <mergeCell ref="IC76:IC77"/>
    <mergeCell ref="IT76:IT77"/>
    <mergeCell ref="JK76:JK77"/>
    <mergeCell ref="KB76:KB77"/>
    <mergeCell ref="KS76:KS77"/>
    <mergeCell ref="EE76:EE77"/>
    <mergeCell ref="EE78:EE79"/>
    <mergeCell ref="GD78:GD79"/>
    <mergeCell ref="GU78:GU79"/>
    <mergeCell ref="HL78:HL79"/>
    <mergeCell ref="IC78:IC79"/>
    <mergeCell ref="IT78:IT79"/>
    <mergeCell ref="JK78:JK79"/>
    <mergeCell ref="KB78:KB79"/>
    <mergeCell ref="KS78:KS79"/>
    <mergeCell ref="GU4:GU5"/>
    <mergeCell ref="HL4:HL5"/>
    <mergeCell ref="IC4:IC5"/>
    <mergeCell ref="IT4:IT5"/>
    <mergeCell ref="JK4:JK5"/>
    <mergeCell ref="KB4:KB5"/>
    <mergeCell ref="KS4:KS5"/>
    <mergeCell ref="CF4:CF5"/>
    <mergeCell ref="CW4:CW5"/>
    <mergeCell ref="DN4:DN5"/>
    <mergeCell ref="EE4:EE5"/>
    <mergeCell ref="EV4:EV5"/>
    <mergeCell ref="FM4:FM5"/>
    <mergeCell ref="GD4:GD5"/>
    <mergeCell ref="AG4:AG5"/>
    <mergeCell ref="AG6:AG7"/>
    <mergeCell ref="BO4:BO5"/>
    <mergeCell ref="BO6:BO7"/>
    <mergeCell ref="CF6:CF7"/>
    <mergeCell ref="CW6:CW7"/>
    <mergeCell ref="DN6:DN7"/>
    <mergeCell ref="EE6:EE7"/>
    <mergeCell ref="EV6:EV7"/>
    <mergeCell ref="KB6:KB7"/>
    <mergeCell ref="KS6:KS7"/>
    <mergeCell ref="FM6:FM7"/>
    <mergeCell ref="GD6:GD7"/>
    <mergeCell ref="GU6:GU7"/>
    <mergeCell ref="HL6:HL7"/>
    <mergeCell ref="IC6:IC7"/>
    <mergeCell ref="IT6:IT7"/>
    <mergeCell ref="JK6:JK7"/>
    <mergeCell ref="A1:A2"/>
    <mergeCell ref="B1:B2"/>
    <mergeCell ref="L1:L2"/>
    <mergeCell ref="P4:P5"/>
    <mergeCell ref="AX4:AX5"/>
    <mergeCell ref="P6:P7"/>
    <mergeCell ref="AX6:AX7"/>
    <mergeCell ref="A10:A11"/>
    <mergeCell ref="B10:B11"/>
    <mergeCell ref="C10:G10"/>
    <mergeCell ref="H10:I10"/>
    <mergeCell ref="J10:L10"/>
    <mergeCell ref="M10:M11"/>
    <mergeCell ref="N10:O10"/>
    <mergeCell ref="P10:P11"/>
    <mergeCell ref="R10:R11"/>
    <mergeCell ref="S10:S11"/>
    <mergeCell ref="T10:X10"/>
    <mergeCell ref="Y10:Z10"/>
    <mergeCell ref="AA10:AC10"/>
    <mergeCell ref="AD10:AD11"/>
    <mergeCell ref="AX10:AX11"/>
    <mergeCell ref="AZ10:AZ11"/>
    <mergeCell ref="BA10:BA11"/>
    <mergeCell ref="BL10:BL11"/>
    <mergeCell ref="BO10:BO11"/>
    <mergeCell ref="BQ10:BQ11"/>
    <mergeCell ref="BR10:BR11"/>
    <mergeCell ref="AE10:AF10"/>
    <mergeCell ref="AG10:AG11"/>
    <mergeCell ref="AI10:AI11"/>
    <mergeCell ref="AJ10:AJ11"/>
    <mergeCell ref="AK10:AO10"/>
    <mergeCell ref="AP10:AQ10"/>
    <mergeCell ref="AU10:AU11"/>
    <mergeCell ref="AR10:AT10"/>
    <mergeCell ref="AV10:AW10"/>
    <mergeCell ref="BB10:BF10"/>
    <mergeCell ref="BG10:BH10"/>
    <mergeCell ref="BI10:BK10"/>
    <mergeCell ref="BM10:BN10"/>
    <mergeCell ref="BS10:BW10"/>
    <mergeCell ref="BX10:BY10"/>
    <mergeCell ref="BZ10:CB10"/>
    <mergeCell ref="CC10:CC11"/>
    <mergeCell ref="CD10:CE10"/>
    <mergeCell ref="CF10:CF11"/>
    <mergeCell ref="CH10:CH11"/>
    <mergeCell ref="CI10:CI11"/>
    <mergeCell ref="DP10:DP11"/>
    <mergeCell ref="DQ10:DQ11"/>
    <mergeCell ref="DR10:DV10"/>
    <mergeCell ref="DW10:DX10"/>
    <mergeCell ref="DY10:EA10"/>
    <mergeCell ref="EB10:EB11"/>
    <mergeCell ref="EC10:ED10"/>
    <mergeCell ref="IE10:IE11"/>
    <mergeCell ref="IF10:IF11"/>
    <mergeCell ref="IG10:IK10"/>
    <mergeCell ref="IL10:IM10"/>
    <mergeCell ref="IN10:IP10"/>
    <mergeCell ref="IQ10:IQ11"/>
    <mergeCell ref="IR10:IS10"/>
    <mergeCell ref="IT10:IT11"/>
    <mergeCell ref="IV10:IV11"/>
    <mergeCell ref="IW10:IW11"/>
    <mergeCell ref="IX10:JB10"/>
    <mergeCell ref="JC10:JD10"/>
    <mergeCell ref="JE10:JG10"/>
    <mergeCell ref="JH10:JH11"/>
    <mergeCell ref="JV10:JX10"/>
    <mergeCell ref="JZ10:KA10"/>
    <mergeCell ref="KF10:KJ10"/>
    <mergeCell ref="KK10:KL10"/>
    <mergeCell ref="KM10:KO10"/>
    <mergeCell ref="KQ10:KR10"/>
    <mergeCell ref="KB10:KB11"/>
    <mergeCell ref="KD10:KD11"/>
    <mergeCell ref="KE10:KE11"/>
    <mergeCell ref="KP10:KP11"/>
    <mergeCell ref="KS10:KS11"/>
    <mergeCell ref="JI10:JJ10"/>
    <mergeCell ref="JK10:JK11"/>
    <mergeCell ref="JM10:JM11"/>
    <mergeCell ref="JN10:JN11"/>
    <mergeCell ref="JO10:JS10"/>
    <mergeCell ref="JT10:JU10"/>
    <mergeCell ref="JY10:JY11"/>
    <mergeCell ref="EE10:EE11"/>
    <mergeCell ref="EG10:EG11"/>
    <mergeCell ref="EH10:EH11"/>
    <mergeCell ref="EI10:EM10"/>
    <mergeCell ref="EN10:EO10"/>
    <mergeCell ref="EP10:ER10"/>
    <mergeCell ref="ES10:ES11"/>
    <mergeCell ref="FM10:FM11"/>
    <mergeCell ref="FO10:FO11"/>
    <mergeCell ref="FP10:FP11"/>
    <mergeCell ref="GA10:GA11"/>
    <mergeCell ref="GD10:GD11"/>
    <mergeCell ref="GF10:GF11"/>
    <mergeCell ref="GG10:GG11"/>
    <mergeCell ref="ET10:EU10"/>
    <mergeCell ref="EV10:EV11"/>
    <mergeCell ref="EX10:EX11"/>
    <mergeCell ref="EY10:EY11"/>
    <mergeCell ref="EZ10:FD10"/>
    <mergeCell ref="FE10:FF10"/>
    <mergeCell ref="FJ10:FJ11"/>
    <mergeCell ref="FG10:FI10"/>
    <mergeCell ref="FK10:FL10"/>
    <mergeCell ref="FQ10:FU10"/>
    <mergeCell ref="FV10:FW10"/>
    <mergeCell ref="FX10:FZ10"/>
    <mergeCell ref="GB10:GC10"/>
    <mergeCell ref="GH10:GL10"/>
    <mergeCell ref="GM10:GN10"/>
    <mergeCell ref="GO10:GQ10"/>
    <mergeCell ref="GR10:GR11"/>
    <mergeCell ref="GS10:GT10"/>
    <mergeCell ref="GU10:GU11"/>
    <mergeCell ref="GW10:GW11"/>
    <mergeCell ref="GX10:GX11"/>
    <mergeCell ref="GY10:HC10"/>
    <mergeCell ref="HD10:HE10"/>
    <mergeCell ref="HF10:HH10"/>
    <mergeCell ref="HI10:HI11"/>
    <mergeCell ref="HL10:HL11"/>
    <mergeCell ref="HN10:HN11"/>
    <mergeCell ref="HO10:HO11"/>
    <mergeCell ref="HJ10:HK10"/>
    <mergeCell ref="HP10:HT10"/>
    <mergeCell ref="HU10:HV10"/>
    <mergeCell ref="HW10:HY10"/>
    <mergeCell ref="HZ10:HZ11"/>
    <mergeCell ref="IA10:IB10"/>
    <mergeCell ref="IC10:IC11"/>
    <mergeCell ref="CU10:CV10"/>
    <mergeCell ref="DA10:DE10"/>
    <mergeCell ref="DF10:DG10"/>
    <mergeCell ref="DH10:DJ10"/>
    <mergeCell ref="DK10:DK11"/>
    <mergeCell ref="DL10:DM10"/>
    <mergeCell ref="DN10:DN11"/>
    <mergeCell ref="CJ10:CN10"/>
    <mergeCell ref="CO10:CP10"/>
    <mergeCell ref="CQ10:CS10"/>
    <mergeCell ref="CT10:CT11"/>
    <mergeCell ref="CW10:CW11"/>
    <mergeCell ref="CY10:CY11"/>
    <mergeCell ref="CZ10:CZ11"/>
    <mergeCell ref="IE31:IF31"/>
    <mergeCell ref="IV31:IW31"/>
    <mergeCell ref="JM31:JN31"/>
    <mergeCell ref="KD31:KE31"/>
    <mergeCell ref="DP31:DQ31"/>
    <mergeCell ref="EG31:EH31"/>
    <mergeCell ref="EX31:EY31"/>
    <mergeCell ref="FO31:FP31"/>
    <mergeCell ref="GF31:GG31"/>
    <mergeCell ref="GW31:GX31"/>
    <mergeCell ref="HN31:HO31"/>
    <mergeCell ref="R31:S31"/>
    <mergeCell ref="R36:S36"/>
    <mergeCell ref="AZ31:BA31"/>
    <mergeCell ref="AZ36:BA36"/>
    <mergeCell ref="HN36:HO36"/>
    <mergeCell ref="IE36:IF36"/>
    <mergeCell ref="IV36:IW36"/>
    <mergeCell ref="JM36:JN36"/>
    <mergeCell ref="KD36:KE36"/>
    <mergeCell ref="CY36:CZ36"/>
    <mergeCell ref="DP36:DQ36"/>
    <mergeCell ref="EG36:EH36"/>
    <mergeCell ref="EX36:EY36"/>
    <mergeCell ref="FO36:FP36"/>
    <mergeCell ref="GF36:GG36"/>
    <mergeCell ref="GW36:GX36"/>
    <mergeCell ref="DF46:DG46"/>
    <mergeCell ref="DH46:DJ46"/>
    <mergeCell ref="CQ46:CS46"/>
    <mergeCell ref="CT46:CT47"/>
    <mergeCell ref="CU46:CV46"/>
    <mergeCell ref="CW46:CW47"/>
    <mergeCell ref="CY46:CY47"/>
    <mergeCell ref="CZ46:CZ47"/>
    <mergeCell ref="DA46:DE46"/>
    <mergeCell ref="JM82:JM83"/>
    <mergeCell ref="JN82:JN83"/>
    <mergeCell ref="JO82:JS82"/>
    <mergeCell ref="JT82:JU82"/>
    <mergeCell ref="JV82:JX82"/>
    <mergeCell ref="JY82:JY83"/>
    <mergeCell ref="JZ82:KA82"/>
    <mergeCell ref="KQ82:KR82"/>
    <mergeCell ref="KS82:KS83"/>
    <mergeCell ref="KB82:KB83"/>
    <mergeCell ref="KD82:KD83"/>
    <mergeCell ref="KE82:KE83"/>
    <mergeCell ref="KF82:KJ82"/>
    <mergeCell ref="KK82:KL82"/>
    <mergeCell ref="KM82:KO82"/>
    <mergeCell ref="KP82:KP83"/>
    <mergeCell ref="BX82:BY82"/>
    <mergeCell ref="BZ82:CB82"/>
    <mergeCell ref="CC82:CC83"/>
    <mergeCell ref="CD82:CE82"/>
    <mergeCell ref="CF82:CF83"/>
    <mergeCell ref="CH82:CH83"/>
    <mergeCell ref="CI82:CI83"/>
    <mergeCell ref="GU82:GU83"/>
    <mergeCell ref="GW82:GW83"/>
    <mergeCell ref="GX82:GX83"/>
    <mergeCell ref="HI82:HI83"/>
    <mergeCell ref="HL82:HL83"/>
    <mergeCell ref="HN82:HN83"/>
    <mergeCell ref="HO82:HO83"/>
    <mergeCell ref="CJ82:CN82"/>
    <mergeCell ref="CO82:CP82"/>
    <mergeCell ref="GF82:GF83"/>
    <mergeCell ref="GG82:GG83"/>
    <mergeCell ref="GH82:GL82"/>
    <mergeCell ref="GM82:GN82"/>
    <mergeCell ref="GR82:GR83"/>
    <mergeCell ref="GO82:GQ82"/>
    <mergeCell ref="GS82:GT82"/>
    <mergeCell ref="GY82:HC82"/>
    <mergeCell ref="HD82:HE82"/>
    <mergeCell ref="HF82:HH82"/>
    <mergeCell ref="HJ82:HK82"/>
    <mergeCell ref="HP82:HT82"/>
    <mergeCell ref="HU82:HV82"/>
    <mergeCell ref="HW82:HY82"/>
    <mergeCell ref="HZ82:HZ83"/>
    <mergeCell ref="IA82:IB82"/>
    <mergeCell ref="IC82:IC83"/>
    <mergeCell ref="IE82:IE83"/>
    <mergeCell ref="IF82:IF83"/>
    <mergeCell ref="IG82:IK82"/>
    <mergeCell ref="IL82:IM82"/>
    <mergeCell ref="IN82:IP82"/>
    <mergeCell ref="IQ82:IQ83"/>
    <mergeCell ref="IT82:IT83"/>
    <mergeCell ref="IV82:IV83"/>
    <mergeCell ref="IW82:IW83"/>
    <mergeCell ref="IR82:IS82"/>
    <mergeCell ref="IX82:JB82"/>
    <mergeCell ref="JC82:JD82"/>
    <mergeCell ref="JE82:JG82"/>
    <mergeCell ref="JH82:JH83"/>
    <mergeCell ref="JI82:JJ82"/>
    <mergeCell ref="JK82:JK83"/>
    <mergeCell ref="IT118:IT119"/>
    <mergeCell ref="IV118:IV119"/>
    <mergeCell ref="IW118:IW119"/>
    <mergeCell ref="JH118:JH119"/>
    <mergeCell ref="JK118:JK119"/>
    <mergeCell ref="JM118:JM119"/>
    <mergeCell ref="JN118:JN119"/>
    <mergeCell ref="IN118:IP118"/>
    <mergeCell ref="IR118:IS118"/>
    <mergeCell ref="IX118:JB118"/>
    <mergeCell ref="JC118:JD118"/>
    <mergeCell ref="JE118:JG118"/>
    <mergeCell ref="JI118:JJ118"/>
    <mergeCell ref="JO118:JS118"/>
    <mergeCell ref="FE118:FF118"/>
    <mergeCell ref="FG118:FI118"/>
    <mergeCell ref="FJ118:FJ119"/>
    <mergeCell ref="FK118:FL118"/>
    <mergeCell ref="FM118:FM119"/>
    <mergeCell ref="FO118:FO119"/>
    <mergeCell ref="FP118:FP119"/>
    <mergeCell ref="FQ118:FU118"/>
    <mergeCell ref="FV118:FW118"/>
    <mergeCell ref="FX118:FZ118"/>
    <mergeCell ref="GA118:GA119"/>
    <mergeCell ref="GD118:GD119"/>
    <mergeCell ref="GF118:GF119"/>
    <mergeCell ref="GG118:GG119"/>
    <mergeCell ref="GB118:GC118"/>
    <mergeCell ref="GH118:GL118"/>
    <mergeCell ref="GM118:GN118"/>
    <mergeCell ref="GO118:GQ118"/>
    <mergeCell ref="GR118:GR119"/>
    <mergeCell ref="GS118:GT118"/>
    <mergeCell ref="GU118:GU119"/>
    <mergeCell ref="GW118:GW119"/>
    <mergeCell ref="GX118:GX119"/>
    <mergeCell ref="GY118:HC118"/>
    <mergeCell ref="HD118:HE118"/>
    <mergeCell ref="HF118:HH118"/>
    <mergeCell ref="HI118:HI119"/>
    <mergeCell ref="HJ118:HK118"/>
    <mergeCell ref="HL118:HL119"/>
    <mergeCell ref="HN118:HN119"/>
    <mergeCell ref="HO118:HO119"/>
    <mergeCell ref="HP118:HT118"/>
    <mergeCell ref="HU118:HV118"/>
    <mergeCell ref="HW118:HY118"/>
    <mergeCell ref="HZ118:HZ119"/>
    <mergeCell ref="IA118:IB118"/>
    <mergeCell ref="IC118:IC119"/>
    <mergeCell ref="IE118:IE119"/>
    <mergeCell ref="IF118:IF119"/>
    <mergeCell ref="IG118:IK118"/>
    <mergeCell ref="IL118:IM118"/>
    <mergeCell ref="IQ118:IQ119"/>
    <mergeCell ref="JT118:JU118"/>
    <mergeCell ref="JV118:JX118"/>
    <mergeCell ref="DY82:EA82"/>
    <mergeCell ref="EB82:EB83"/>
    <mergeCell ref="DK82:DK83"/>
    <mergeCell ref="DL82:DM82"/>
    <mergeCell ref="DN82:DN83"/>
    <mergeCell ref="DP82:DP83"/>
    <mergeCell ref="DQ82:DQ83"/>
    <mergeCell ref="DR82:DV82"/>
    <mergeCell ref="DW82:DX82"/>
    <mergeCell ref="EP82:ER82"/>
    <mergeCell ref="ET82:EU82"/>
    <mergeCell ref="EC82:ED82"/>
    <mergeCell ref="EE82:EE83"/>
    <mergeCell ref="EG82:EG83"/>
    <mergeCell ref="EH82:EH83"/>
    <mergeCell ref="EI82:EM82"/>
    <mergeCell ref="EN82:EO82"/>
    <mergeCell ref="ES82:ES83"/>
    <mergeCell ref="FM76:FM77"/>
    <mergeCell ref="FM78:FM79"/>
    <mergeCell ref="EV82:EV83"/>
    <mergeCell ref="EX82:EX83"/>
    <mergeCell ref="EY82:EY83"/>
    <mergeCell ref="EZ82:FD82"/>
    <mergeCell ref="FE82:FF82"/>
    <mergeCell ref="IE103:IF103"/>
    <mergeCell ref="IV103:IW103"/>
    <mergeCell ref="JM103:JN103"/>
    <mergeCell ref="KD103:KE103"/>
    <mergeCell ref="FG82:FI82"/>
    <mergeCell ref="FJ82:FJ83"/>
    <mergeCell ref="EX103:EY103"/>
    <mergeCell ref="FO103:FP103"/>
    <mergeCell ref="GF103:GG103"/>
    <mergeCell ref="GW103:GX103"/>
    <mergeCell ref="HN103:HO103"/>
    <mergeCell ref="CF76:CF77"/>
    <mergeCell ref="CW76:CW77"/>
    <mergeCell ref="DN76:DN77"/>
    <mergeCell ref="EV76:EV77"/>
    <mergeCell ref="GD76:GD77"/>
    <mergeCell ref="DN78:DN79"/>
    <mergeCell ref="EV78:EV79"/>
    <mergeCell ref="A82:A83"/>
    <mergeCell ref="B82:B83"/>
    <mergeCell ref="C82:G82"/>
    <mergeCell ref="H82:I82"/>
    <mergeCell ref="J82:L82"/>
    <mergeCell ref="M82:M83"/>
    <mergeCell ref="N82:O82"/>
    <mergeCell ref="P82:P83"/>
    <mergeCell ref="R82:R83"/>
    <mergeCell ref="S82:S83"/>
    <mergeCell ref="T82:X82"/>
    <mergeCell ref="Y82:Z82"/>
    <mergeCell ref="AA82:AC82"/>
    <mergeCell ref="AD82:AD83"/>
    <mergeCell ref="AE82:AF82"/>
    <mergeCell ref="AG82:AG83"/>
    <mergeCell ref="AI82:AI83"/>
    <mergeCell ref="AJ82:AJ83"/>
    <mergeCell ref="AK82:AO82"/>
    <mergeCell ref="AP82:AQ82"/>
    <mergeCell ref="AU82:AU83"/>
    <mergeCell ref="AX82:AX83"/>
    <mergeCell ref="AZ82:AZ83"/>
    <mergeCell ref="BA82:BA83"/>
    <mergeCell ref="BL82:BL83"/>
    <mergeCell ref="BO82:BO83"/>
    <mergeCell ref="BQ82:BQ83"/>
    <mergeCell ref="BR82:BR83"/>
    <mergeCell ref="AR82:AT82"/>
    <mergeCell ref="AV82:AW82"/>
    <mergeCell ref="BB82:BF82"/>
    <mergeCell ref="BG82:BH82"/>
    <mergeCell ref="BI82:BK82"/>
    <mergeCell ref="BM82:BN82"/>
    <mergeCell ref="BS82:BW82"/>
    <mergeCell ref="FX82:FZ82"/>
    <mergeCell ref="GB82:GC82"/>
    <mergeCell ref="FK82:FL82"/>
    <mergeCell ref="FM82:FM83"/>
    <mergeCell ref="FO82:FO83"/>
    <mergeCell ref="FP82:FP83"/>
    <mergeCell ref="FQ82:FU82"/>
    <mergeCell ref="FV82:FW82"/>
    <mergeCell ref="GA82:GA83"/>
    <mergeCell ref="GD82:GD83"/>
    <mergeCell ref="DP103:DQ103"/>
    <mergeCell ref="EG103:EH103"/>
    <mergeCell ref="DP108:DQ108"/>
    <mergeCell ref="EG108:EH108"/>
    <mergeCell ref="EX108:EY108"/>
    <mergeCell ref="FO108:FP108"/>
    <mergeCell ref="GF108:GG108"/>
    <mergeCell ref="CH103:CI103"/>
    <mergeCell ref="CH108:CI108"/>
    <mergeCell ref="CF112:CF113"/>
    <mergeCell ref="CW112:CW113"/>
    <mergeCell ref="DN112:DN113"/>
    <mergeCell ref="EE112:EE113"/>
    <mergeCell ref="EV112:EV113"/>
    <mergeCell ref="DF82:DG82"/>
    <mergeCell ref="DH82:DJ82"/>
    <mergeCell ref="CQ82:CS82"/>
    <mergeCell ref="CT82:CT83"/>
    <mergeCell ref="CU82:CV82"/>
    <mergeCell ref="CW82:CW83"/>
    <mergeCell ref="CY82:CY83"/>
    <mergeCell ref="CZ82:CZ83"/>
    <mergeCell ref="DA82:DE82"/>
    <mergeCell ref="A103:B103"/>
    <mergeCell ref="AI103:AJ103"/>
    <mergeCell ref="BQ103:BR103"/>
    <mergeCell ref="CY103:CZ103"/>
    <mergeCell ref="A108:B108"/>
    <mergeCell ref="AI108:AJ108"/>
    <mergeCell ref="BQ108:BR108"/>
    <mergeCell ref="CY108:CZ108"/>
    <mergeCell ref="GW108:GX108"/>
    <mergeCell ref="HN108:HO108"/>
    <mergeCell ref="IE108:IF108"/>
    <mergeCell ref="IV108:IW108"/>
    <mergeCell ref="JM108:JN108"/>
    <mergeCell ref="KD108:KE108"/>
    <mergeCell ref="KB112:KB113"/>
    <mergeCell ref="KS112:KS113"/>
    <mergeCell ref="FM112:FM113"/>
    <mergeCell ref="GD112:GD113"/>
    <mergeCell ref="GU112:GU113"/>
    <mergeCell ref="HL112:HL113"/>
    <mergeCell ref="IC112:IC113"/>
    <mergeCell ref="IT112:IT113"/>
    <mergeCell ref="JK112:JK113"/>
    <mergeCell ref="HL114:HL115"/>
    <mergeCell ref="IC114:IC115"/>
    <mergeCell ref="IT114:IT115"/>
    <mergeCell ref="JK114:JK115"/>
    <mergeCell ref="KB114:KB115"/>
    <mergeCell ref="KS114:KS115"/>
    <mergeCell ref="CW114:CW115"/>
    <mergeCell ref="DN114:DN115"/>
    <mergeCell ref="EE114:EE115"/>
    <mergeCell ref="EV114:EV115"/>
    <mergeCell ref="FM114:FM115"/>
    <mergeCell ref="GD114:GD115"/>
    <mergeCell ref="GU114:GU115"/>
    <mergeCell ref="KM118:KO118"/>
    <mergeCell ref="KP118:KP119"/>
    <mergeCell ref="KQ118:KR118"/>
    <mergeCell ref="KS118:KS119"/>
    <mergeCell ref="JY118:JY119"/>
    <mergeCell ref="JZ118:KA118"/>
    <mergeCell ref="KB118:KB119"/>
    <mergeCell ref="KD118:KD119"/>
    <mergeCell ref="KE118:KE119"/>
    <mergeCell ref="KF118:KJ118"/>
    <mergeCell ref="KK118:KL118"/>
    <mergeCell ref="AR118:AT118"/>
    <mergeCell ref="AV118:AW118"/>
    <mergeCell ref="AD118:AD119"/>
    <mergeCell ref="AE118:AF118"/>
    <mergeCell ref="AI118:AI119"/>
    <mergeCell ref="AJ118:AJ119"/>
    <mergeCell ref="AK118:AO118"/>
    <mergeCell ref="AP118:AQ118"/>
    <mergeCell ref="AU118:AU119"/>
    <mergeCell ref="CH118:CH119"/>
    <mergeCell ref="CI118:CI119"/>
    <mergeCell ref="CJ118:CN118"/>
    <mergeCell ref="CO118:CP118"/>
    <mergeCell ref="CQ118:CS118"/>
    <mergeCell ref="CT118:CT119"/>
    <mergeCell ref="CU118:CV118"/>
    <mergeCell ref="CW118:CW119"/>
    <mergeCell ref="CY118:CY119"/>
    <mergeCell ref="CZ118:CZ119"/>
    <mergeCell ref="DA118:DE118"/>
    <mergeCell ref="DF118:DG118"/>
    <mergeCell ref="DH118:DJ118"/>
    <mergeCell ref="DK118:DK119"/>
    <mergeCell ref="DL118:DM118"/>
    <mergeCell ref="DN118:DN119"/>
    <mergeCell ref="DP118:DP119"/>
    <mergeCell ref="DQ118:DQ119"/>
    <mergeCell ref="DR118:DV118"/>
    <mergeCell ref="DW118:DX118"/>
    <mergeCell ref="EB118:EB119"/>
    <mergeCell ref="DY118:EA118"/>
    <mergeCell ref="EC118:ED118"/>
    <mergeCell ref="EI118:EM118"/>
    <mergeCell ref="EN118:EO118"/>
    <mergeCell ref="EP118:ER118"/>
    <mergeCell ref="ET118:EU118"/>
    <mergeCell ref="EZ118:FD118"/>
    <mergeCell ref="EE118:EE119"/>
    <mergeCell ref="EG118:EG119"/>
    <mergeCell ref="EH118:EH119"/>
    <mergeCell ref="ES118:ES119"/>
    <mergeCell ref="EV118:EV119"/>
    <mergeCell ref="EX118:EX119"/>
    <mergeCell ref="EY118:EY119"/>
    <mergeCell ref="BM118:BN118"/>
    <mergeCell ref="BO118:BO119"/>
    <mergeCell ref="BQ118:BQ119"/>
    <mergeCell ref="BR118:BR119"/>
    <mergeCell ref="BS118:BW118"/>
    <mergeCell ref="BX118:BY118"/>
    <mergeCell ref="CC118:CC119"/>
    <mergeCell ref="BZ118:CB118"/>
    <mergeCell ref="CD118:CE118"/>
    <mergeCell ref="BQ139:BR139"/>
    <mergeCell ref="CH139:CI139"/>
    <mergeCell ref="CY139:CZ139"/>
    <mergeCell ref="DP139:DQ139"/>
    <mergeCell ref="EG139:EH139"/>
    <mergeCell ref="JM139:JN139"/>
    <mergeCell ref="KD139:KE139"/>
    <mergeCell ref="EX139:EY139"/>
    <mergeCell ref="FO139:FP139"/>
    <mergeCell ref="GF139:GG139"/>
    <mergeCell ref="GW139:GX139"/>
    <mergeCell ref="HN139:HO139"/>
    <mergeCell ref="IE139:IF139"/>
    <mergeCell ref="IV139:IW139"/>
    <mergeCell ref="AZ103:BA103"/>
    <mergeCell ref="AZ108:BA108"/>
    <mergeCell ref="AX112:AX113"/>
    <mergeCell ref="BO112:BO113"/>
    <mergeCell ref="AX114:AX115"/>
    <mergeCell ref="BO114:BO115"/>
    <mergeCell ref="CF114:CF115"/>
    <mergeCell ref="B118:B119"/>
    <mergeCell ref="C118:G118"/>
    <mergeCell ref="H118:I118"/>
    <mergeCell ref="J118:L118"/>
    <mergeCell ref="M118:M119"/>
    <mergeCell ref="N118:O118"/>
    <mergeCell ref="P118:P119"/>
    <mergeCell ref="R118:R119"/>
    <mergeCell ref="Y118:Z118"/>
    <mergeCell ref="AA118:AC118"/>
    <mergeCell ref="AX118:AX119"/>
    <mergeCell ref="AZ118:AZ119"/>
    <mergeCell ref="BA118:BA119"/>
    <mergeCell ref="BB118:BF118"/>
    <mergeCell ref="BG118:BH118"/>
    <mergeCell ref="BI118:BK118"/>
    <mergeCell ref="BL118:BL119"/>
    <mergeCell ref="CF118:CF119"/>
    <mergeCell ref="S154:S155"/>
    <mergeCell ref="T154:X154"/>
    <mergeCell ref="AD154:AD155"/>
    <mergeCell ref="AE154:AF154"/>
    <mergeCell ref="AG148:AG149"/>
    <mergeCell ref="AG150:AG151"/>
    <mergeCell ref="A154:A155"/>
    <mergeCell ref="B154:B155"/>
    <mergeCell ref="C154:G154"/>
    <mergeCell ref="H154:I154"/>
    <mergeCell ref="M154:M155"/>
    <mergeCell ref="AG154:AG155"/>
    <mergeCell ref="AR154:AT154"/>
    <mergeCell ref="AV154:AW154"/>
    <mergeCell ref="Y154:Z154"/>
    <mergeCell ref="AA154:AC154"/>
    <mergeCell ref="AI154:AI155"/>
    <mergeCell ref="AJ154:AJ155"/>
    <mergeCell ref="AK154:AO154"/>
    <mergeCell ref="AP154:AQ154"/>
    <mergeCell ref="AU154:AU155"/>
    <mergeCell ref="BZ154:CB154"/>
    <mergeCell ref="CD154:CE154"/>
    <mergeCell ref="BM154:BN154"/>
    <mergeCell ref="BO154:BO155"/>
    <mergeCell ref="BQ154:BQ155"/>
    <mergeCell ref="BR154:BR155"/>
    <mergeCell ref="BS154:BW154"/>
    <mergeCell ref="BX154:BY154"/>
    <mergeCell ref="CC154:CC155"/>
    <mergeCell ref="CU154:CV154"/>
    <mergeCell ref="CW154:CW155"/>
    <mergeCell ref="CF154:CF155"/>
    <mergeCell ref="CH154:CH155"/>
    <mergeCell ref="CI154:CI155"/>
    <mergeCell ref="CJ154:CN154"/>
    <mergeCell ref="CO154:CP154"/>
    <mergeCell ref="CQ154:CS154"/>
    <mergeCell ref="CT154:CT155"/>
    <mergeCell ref="CY154:CY155"/>
    <mergeCell ref="CZ154:CZ155"/>
    <mergeCell ref="DA154:DE154"/>
    <mergeCell ref="DF154:DG154"/>
    <mergeCell ref="DH154:DJ154"/>
    <mergeCell ref="DK154:DK155"/>
    <mergeCell ref="DL154:DM154"/>
    <mergeCell ref="JO154:JS154"/>
    <mergeCell ref="JT154:JU154"/>
    <mergeCell ref="JV154:JX154"/>
    <mergeCell ref="JY154:JY155"/>
    <mergeCell ref="JZ154:KA154"/>
    <mergeCell ref="KB154:KB155"/>
    <mergeCell ref="KD154:KD155"/>
    <mergeCell ref="KE154:KE155"/>
    <mergeCell ref="DN154:DN155"/>
    <mergeCell ref="DP154:DP155"/>
    <mergeCell ref="JH154:JH155"/>
    <mergeCell ref="JI154:JJ154"/>
    <mergeCell ref="JK154:JK155"/>
    <mergeCell ref="JM154:JM155"/>
    <mergeCell ref="JN154:JN155"/>
    <mergeCell ref="R103:S103"/>
    <mergeCell ref="R108:S108"/>
    <mergeCell ref="P112:P113"/>
    <mergeCell ref="AG112:AG113"/>
    <mergeCell ref="P114:P115"/>
    <mergeCell ref="AG114:AG115"/>
    <mergeCell ref="A118:A119"/>
    <mergeCell ref="AG118:AG119"/>
    <mergeCell ref="AI139:AJ139"/>
    <mergeCell ref="AI144:AJ144"/>
    <mergeCell ref="BQ144:BR144"/>
    <mergeCell ref="CH144:CI144"/>
    <mergeCell ref="CY144:CZ144"/>
    <mergeCell ref="DP144:DQ144"/>
    <mergeCell ref="EG144:EH144"/>
    <mergeCell ref="JM144:JN144"/>
    <mergeCell ref="KD144:KE144"/>
    <mergeCell ref="EX144:EY144"/>
    <mergeCell ref="FO144:FP144"/>
    <mergeCell ref="GF144:GG144"/>
    <mergeCell ref="GW144:GX144"/>
    <mergeCell ref="HN144:HO144"/>
    <mergeCell ref="IE144:IF144"/>
    <mergeCell ref="IV144:IW144"/>
    <mergeCell ref="S118:S119"/>
    <mergeCell ref="T118:X118"/>
    <mergeCell ref="A139:B139"/>
    <mergeCell ref="R139:S139"/>
    <mergeCell ref="AZ139:BA139"/>
    <mergeCell ref="A144:B144"/>
    <mergeCell ref="AZ144:BA144"/>
    <mergeCell ref="IC148:IC149"/>
    <mergeCell ref="IT148:IT149"/>
    <mergeCell ref="JK148:JK149"/>
    <mergeCell ref="KB148:KB149"/>
    <mergeCell ref="KS148:KS149"/>
    <mergeCell ref="DN148:DN149"/>
    <mergeCell ref="EE148:EE149"/>
    <mergeCell ref="EV148:EV149"/>
    <mergeCell ref="FM148:FM149"/>
    <mergeCell ref="GD148:GD149"/>
    <mergeCell ref="GU148:GU149"/>
    <mergeCell ref="HL148:HL149"/>
    <mergeCell ref="BO148:BO149"/>
    <mergeCell ref="BO150:BO151"/>
    <mergeCell ref="R144:S144"/>
    <mergeCell ref="P148:P149"/>
    <mergeCell ref="AX148:AX149"/>
    <mergeCell ref="CF148:CF149"/>
    <mergeCell ref="P150:P151"/>
    <mergeCell ref="AX150:AX151"/>
    <mergeCell ref="CF150:CF151"/>
    <mergeCell ref="GU150:GU151"/>
    <mergeCell ref="HL150:HL151"/>
    <mergeCell ref="IC150:IC151"/>
    <mergeCell ref="IT150:IT151"/>
    <mergeCell ref="JK150:JK151"/>
    <mergeCell ref="KB150:KB151"/>
    <mergeCell ref="KS150:KS151"/>
    <mergeCell ref="CW148:CW149"/>
    <mergeCell ref="CW150:CW151"/>
    <mergeCell ref="DN150:DN151"/>
    <mergeCell ref="EE150:EE151"/>
    <mergeCell ref="EV150:EV151"/>
    <mergeCell ref="FM150:FM151"/>
    <mergeCell ref="GD150:GD151"/>
    <mergeCell ref="P154:P155"/>
    <mergeCell ref="R154:R155"/>
    <mergeCell ref="AX154:AX155"/>
    <mergeCell ref="AZ154:AZ155"/>
    <mergeCell ref="BA154:BA155"/>
    <mergeCell ref="BB154:BF154"/>
    <mergeCell ref="BG154:BH154"/>
    <mergeCell ref="BI154:BK154"/>
    <mergeCell ref="BL154:BL155"/>
    <mergeCell ref="KF154:KJ154"/>
    <mergeCell ref="KK154:KL154"/>
    <mergeCell ref="KM154:KO154"/>
    <mergeCell ref="KP154:KP155"/>
    <mergeCell ref="KQ154:KR154"/>
    <mergeCell ref="KS154:KS155"/>
    <mergeCell ref="J154:L154"/>
    <mergeCell ref="N154:O154"/>
    <mergeCell ref="EI154:EM154"/>
    <mergeCell ref="EN154:EO154"/>
    <mergeCell ref="EP154:ER154"/>
    <mergeCell ref="ES154:ES155"/>
    <mergeCell ref="ET154:EU154"/>
    <mergeCell ref="EG154:EG155"/>
    <mergeCell ref="EH154:EH155"/>
    <mergeCell ref="DQ154:DQ155"/>
    <mergeCell ref="DR154:DV154"/>
    <mergeCell ref="DW154:DX154"/>
    <mergeCell ref="DY154:EA154"/>
    <mergeCell ref="EB154:EB155"/>
    <mergeCell ref="EC154:ED154"/>
    <mergeCell ref="EE154:EE155"/>
    <mergeCell ref="DP175:DQ175"/>
    <mergeCell ref="EG175:EH175"/>
    <mergeCell ref="DP180:DQ180"/>
    <mergeCell ref="EG180:EH180"/>
    <mergeCell ref="R175:S175"/>
    <mergeCell ref="R180:S180"/>
    <mergeCell ref="AZ175:BA175"/>
    <mergeCell ref="AZ180:BA180"/>
    <mergeCell ref="CH175:CI175"/>
    <mergeCell ref="CH180:CI180"/>
    <mergeCell ref="A175:B175"/>
    <mergeCell ref="AI175:AJ175"/>
    <mergeCell ref="BQ175:BR175"/>
    <mergeCell ref="CY175:CZ175"/>
    <mergeCell ref="A180:B180"/>
    <mergeCell ref="AI180:AJ180"/>
    <mergeCell ref="BQ180:BR180"/>
    <mergeCell ref="CY180:CZ180"/>
    <mergeCell ref="FK154:FL154"/>
    <mergeCell ref="FM154:FM155"/>
    <mergeCell ref="FO175:FP175"/>
    <mergeCell ref="GF175:GG175"/>
    <mergeCell ref="EV154:EV155"/>
    <mergeCell ref="EX154:EX155"/>
    <mergeCell ref="EY154:EY155"/>
    <mergeCell ref="EZ154:FD154"/>
    <mergeCell ref="FE154:FF154"/>
    <mergeCell ref="FG154:FI154"/>
    <mergeCell ref="FJ154:FJ155"/>
    <mergeCell ref="IV180:IW180"/>
    <mergeCell ref="JM180:JN180"/>
    <mergeCell ref="KD180:KE180"/>
    <mergeCell ref="EX175:EY175"/>
    <mergeCell ref="EX180:EY180"/>
    <mergeCell ref="FO180:FP180"/>
    <mergeCell ref="GF180:GG180"/>
    <mergeCell ref="GW180:GX180"/>
    <mergeCell ref="HN180:HO180"/>
    <mergeCell ref="IE180:IF180"/>
    <mergeCell ref="GD154:GD155"/>
    <mergeCell ref="GF154:GF155"/>
    <mergeCell ref="FO154:FO155"/>
    <mergeCell ref="FP154:FP155"/>
    <mergeCell ref="FQ154:FU154"/>
    <mergeCell ref="FV154:FW154"/>
    <mergeCell ref="FX154:FZ154"/>
    <mergeCell ref="GA154:GA155"/>
    <mergeCell ref="GB154:GC154"/>
    <mergeCell ref="GW154:GW155"/>
    <mergeCell ref="GX154:GX155"/>
    <mergeCell ref="GW175:GX175"/>
    <mergeCell ref="HN175:HO175"/>
    <mergeCell ref="IE175:IF175"/>
    <mergeCell ref="IV175:IW175"/>
    <mergeCell ref="JM175:JN175"/>
    <mergeCell ref="KD175:KE175"/>
    <mergeCell ref="GG154:GG155"/>
    <mergeCell ref="GH154:GL154"/>
    <mergeCell ref="GM154:GN154"/>
    <mergeCell ref="GO154:GQ154"/>
    <mergeCell ref="GR154:GR155"/>
    <mergeCell ref="GS154:GT154"/>
    <mergeCell ref="GU154:GU155"/>
    <mergeCell ref="HJ154:HK154"/>
    <mergeCell ref="HP154:HT154"/>
    <mergeCell ref="GY154:HC154"/>
    <mergeCell ref="HD154:HE154"/>
    <mergeCell ref="HF154:HH154"/>
    <mergeCell ref="HI154:HI155"/>
    <mergeCell ref="HL154:HL155"/>
    <mergeCell ref="HN154:HN155"/>
    <mergeCell ref="HO154:HO155"/>
    <mergeCell ref="IG154:IK154"/>
    <mergeCell ref="IL154:IM154"/>
    <mergeCell ref="HU154:HV154"/>
    <mergeCell ref="HW154:HY154"/>
    <mergeCell ref="HZ154:HZ155"/>
    <mergeCell ref="IA154:IB154"/>
    <mergeCell ref="IC154:IC155"/>
    <mergeCell ref="IE154:IE155"/>
    <mergeCell ref="IF154:IF155"/>
    <mergeCell ref="JC154:JD154"/>
    <mergeCell ref="JE154:JG154"/>
    <mergeCell ref="IN154:IP154"/>
    <mergeCell ref="IQ154:IQ155"/>
    <mergeCell ref="IR154:IS154"/>
    <mergeCell ref="IT154:IT155"/>
    <mergeCell ref="IV154:IV155"/>
    <mergeCell ref="IW154:IW155"/>
    <mergeCell ref="IX154:JB154"/>
  </mergeCells>
  <conditionalFormatting sqref="E33:E34">
    <cfRule type="cellIs" dxfId="0" priority="1" operator="equal">
      <formula>0</formula>
    </cfRule>
  </conditionalFormatting>
  <conditionalFormatting sqref="V33:V34">
    <cfRule type="cellIs" dxfId="0" priority="2" operator="equal">
      <formula>0</formula>
    </cfRule>
  </conditionalFormatting>
  <conditionalFormatting sqref="AM33:AM34">
    <cfRule type="cellIs" dxfId="0" priority="3" operator="equal">
      <formula>0</formula>
    </cfRule>
  </conditionalFormatting>
  <conditionalFormatting sqref="BU33:BU34">
    <cfRule type="cellIs" dxfId="0" priority="4" operator="equal">
      <formula>0</formula>
    </cfRule>
  </conditionalFormatting>
  <conditionalFormatting sqref="CL33:CL34">
    <cfRule type="cellIs" dxfId="0" priority="5" operator="equal">
      <formula>0</formula>
    </cfRule>
  </conditionalFormatting>
  <conditionalFormatting sqref="DC33:DC34">
    <cfRule type="cellIs" dxfId="0" priority="6" operator="equal">
      <formula>0</formula>
    </cfRule>
  </conditionalFormatting>
  <conditionalFormatting sqref="DT33:DT34">
    <cfRule type="cellIs" dxfId="0" priority="7" operator="equal">
      <formula>0</formula>
    </cfRule>
  </conditionalFormatting>
  <conditionalFormatting sqref="EK33:EK34">
    <cfRule type="cellIs" dxfId="0" priority="8" operator="equal">
      <formula>0</formula>
    </cfRule>
  </conditionalFormatting>
  <conditionalFormatting sqref="FB33:FB34">
    <cfRule type="cellIs" dxfId="0" priority="9" operator="equal">
      <formula>0</formula>
    </cfRule>
  </conditionalFormatting>
  <conditionalFormatting sqref="FS33:FS34">
    <cfRule type="cellIs" dxfId="0" priority="10" operator="equal">
      <formula>0</formula>
    </cfRule>
  </conditionalFormatting>
  <conditionalFormatting sqref="GJ33:GJ34">
    <cfRule type="cellIs" dxfId="0" priority="11" operator="equal">
      <formula>0</formula>
    </cfRule>
  </conditionalFormatting>
  <conditionalFormatting sqref="HA33:HA34">
    <cfRule type="cellIs" dxfId="0" priority="12" operator="equal">
      <formula>0</formula>
    </cfRule>
  </conditionalFormatting>
  <conditionalFormatting sqref="HR33:HR34">
    <cfRule type="cellIs" dxfId="0" priority="13" operator="equal">
      <formula>0</formula>
    </cfRule>
  </conditionalFormatting>
  <conditionalFormatting sqref="II33:II34">
    <cfRule type="cellIs" dxfId="0" priority="14" operator="equal">
      <formula>0</formula>
    </cfRule>
  </conditionalFormatting>
  <conditionalFormatting sqref="IZ33:IZ34 JQ33:JQ34 KH33:KH34">
    <cfRule type="cellIs" dxfId="0" priority="15" operator="equal">
      <formula>0</formula>
    </cfRule>
  </conditionalFormatting>
  <conditionalFormatting sqref="E69:E70">
    <cfRule type="cellIs" dxfId="0" priority="16" operator="equal">
      <formula>0</formula>
    </cfRule>
  </conditionalFormatting>
  <conditionalFormatting sqref="V69:V70">
    <cfRule type="cellIs" dxfId="0" priority="17" operator="equal">
      <formula>0</formula>
    </cfRule>
  </conditionalFormatting>
  <conditionalFormatting sqref="AM69:AM70">
    <cfRule type="cellIs" dxfId="0" priority="18" operator="equal">
      <formula>0</formula>
    </cfRule>
  </conditionalFormatting>
  <conditionalFormatting sqref="BU69:BU70">
    <cfRule type="cellIs" dxfId="0" priority="19" operator="equal">
      <formula>0</formula>
    </cfRule>
  </conditionalFormatting>
  <conditionalFormatting sqref="CL69:CL70">
    <cfRule type="cellIs" dxfId="0" priority="20" operator="equal">
      <formula>0</formula>
    </cfRule>
  </conditionalFormatting>
  <conditionalFormatting sqref="DC69:DC70">
    <cfRule type="cellIs" dxfId="0" priority="21" operator="equal">
      <formula>0</formula>
    </cfRule>
  </conditionalFormatting>
  <conditionalFormatting sqref="DT69:DT70">
    <cfRule type="cellIs" dxfId="0" priority="22" operator="equal">
      <formula>0</formula>
    </cfRule>
  </conditionalFormatting>
  <conditionalFormatting sqref="EK69:EK70">
    <cfRule type="cellIs" dxfId="0" priority="23" operator="equal">
      <formula>0</formula>
    </cfRule>
  </conditionalFormatting>
  <conditionalFormatting sqref="FB69:FB70">
    <cfRule type="cellIs" dxfId="0" priority="24" operator="equal">
      <formula>0</formula>
    </cfRule>
  </conditionalFormatting>
  <conditionalFormatting sqref="FS69:FS70">
    <cfRule type="cellIs" dxfId="0" priority="25" operator="equal">
      <formula>0</formula>
    </cfRule>
  </conditionalFormatting>
  <conditionalFormatting sqref="GJ69:GJ70">
    <cfRule type="cellIs" dxfId="0" priority="26" operator="equal">
      <formula>0</formula>
    </cfRule>
  </conditionalFormatting>
  <conditionalFormatting sqref="HA69:HA70">
    <cfRule type="cellIs" dxfId="0" priority="27" operator="equal">
      <formula>0</formula>
    </cfRule>
  </conditionalFormatting>
  <conditionalFormatting sqref="HR69:HR70">
    <cfRule type="cellIs" dxfId="0" priority="28" operator="equal">
      <formula>0</formula>
    </cfRule>
  </conditionalFormatting>
  <conditionalFormatting sqref="II69:II70">
    <cfRule type="cellIs" dxfId="0" priority="29" operator="equal">
      <formula>0</formula>
    </cfRule>
  </conditionalFormatting>
  <conditionalFormatting sqref="IZ69:IZ70 JQ69:JQ70 KH69:KH70">
    <cfRule type="cellIs" dxfId="0" priority="30" operator="equal">
      <formula>0</formula>
    </cfRule>
  </conditionalFormatting>
  <conditionalFormatting sqref="E105:E106">
    <cfRule type="cellIs" dxfId="0" priority="31" operator="equal">
      <formula>0</formula>
    </cfRule>
  </conditionalFormatting>
  <conditionalFormatting sqref="V105:V106">
    <cfRule type="cellIs" dxfId="0" priority="32" operator="equal">
      <formula>0</formula>
    </cfRule>
  </conditionalFormatting>
  <conditionalFormatting sqref="AM105:AM106">
    <cfRule type="cellIs" dxfId="0" priority="33" operator="equal">
      <formula>0</formula>
    </cfRule>
  </conditionalFormatting>
  <conditionalFormatting sqref="BU105:BU106">
    <cfRule type="cellIs" dxfId="0" priority="34" operator="equal">
      <formula>0</formula>
    </cfRule>
  </conditionalFormatting>
  <conditionalFormatting sqref="CL105:CL106">
    <cfRule type="cellIs" dxfId="0" priority="35" operator="equal">
      <formula>0</formula>
    </cfRule>
  </conditionalFormatting>
  <conditionalFormatting sqref="DC105:DC106">
    <cfRule type="cellIs" dxfId="0" priority="36" operator="equal">
      <formula>0</formula>
    </cfRule>
  </conditionalFormatting>
  <conditionalFormatting sqref="DT105:DT106">
    <cfRule type="cellIs" dxfId="0" priority="37" operator="equal">
      <formula>0</formula>
    </cfRule>
  </conditionalFormatting>
  <conditionalFormatting sqref="EK105:EK106">
    <cfRule type="cellIs" dxfId="0" priority="38" operator="equal">
      <formula>0</formula>
    </cfRule>
  </conditionalFormatting>
  <conditionalFormatting sqref="FB105:FB106">
    <cfRule type="cellIs" dxfId="0" priority="39" operator="equal">
      <formula>0</formula>
    </cfRule>
  </conditionalFormatting>
  <conditionalFormatting sqref="FS105:FS106">
    <cfRule type="cellIs" dxfId="0" priority="40" operator="equal">
      <formula>0</formula>
    </cfRule>
  </conditionalFormatting>
  <conditionalFormatting sqref="GJ105:GJ106">
    <cfRule type="cellIs" dxfId="0" priority="41" operator="equal">
      <formula>0</formula>
    </cfRule>
  </conditionalFormatting>
  <conditionalFormatting sqref="HA105:HA106">
    <cfRule type="cellIs" dxfId="0" priority="42" operator="equal">
      <formula>0</formula>
    </cfRule>
  </conditionalFormatting>
  <conditionalFormatting sqref="HR105:HR106">
    <cfRule type="cellIs" dxfId="0" priority="43" operator="equal">
      <formula>0</formula>
    </cfRule>
  </conditionalFormatting>
  <conditionalFormatting sqref="II105:II106">
    <cfRule type="cellIs" dxfId="0" priority="44" operator="equal">
      <formula>0</formula>
    </cfRule>
  </conditionalFormatting>
  <conditionalFormatting sqref="IZ105:IZ106 JQ105:JQ106 KH105:KH106">
    <cfRule type="cellIs" dxfId="0" priority="45" operator="equal">
      <formula>0</formula>
    </cfRule>
  </conditionalFormatting>
  <conditionalFormatting sqref="E141:E142">
    <cfRule type="cellIs" dxfId="0" priority="46" operator="equal">
      <formula>0</formula>
    </cfRule>
  </conditionalFormatting>
  <conditionalFormatting sqref="V141:V142">
    <cfRule type="cellIs" dxfId="0" priority="47" operator="equal">
      <formula>0</formula>
    </cfRule>
  </conditionalFormatting>
  <conditionalFormatting sqref="AM141:AM142">
    <cfRule type="cellIs" dxfId="0" priority="48" operator="equal">
      <formula>0</formula>
    </cfRule>
  </conditionalFormatting>
  <conditionalFormatting sqref="BU141:BU142">
    <cfRule type="cellIs" dxfId="0" priority="49" operator="equal">
      <formula>0</formula>
    </cfRule>
  </conditionalFormatting>
  <conditionalFormatting sqref="CL141:CL142">
    <cfRule type="cellIs" dxfId="0" priority="50" operator="equal">
      <formula>0</formula>
    </cfRule>
  </conditionalFormatting>
  <conditionalFormatting sqref="DC141:DC142">
    <cfRule type="cellIs" dxfId="0" priority="51" operator="equal">
      <formula>0</formula>
    </cfRule>
  </conditionalFormatting>
  <conditionalFormatting sqref="DT141:DT142">
    <cfRule type="cellIs" dxfId="0" priority="52" operator="equal">
      <formula>0</formula>
    </cfRule>
  </conditionalFormatting>
  <conditionalFormatting sqref="EK141:EK142">
    <cfRule type="cellIs" dxfId="0" priority="53" operator="equal">
      <formula>0</formula>
    </cfRule>
  </conditionalFormatting>
  <conditionalFormatting sqref="FB141:FB142">
    <cfRule type="cellIs" dxfId="0" priority="54" operator="equal">
      <formula>0</formula>
    </cfRule>
  </conditionalFormatting>
  <conditionalFormatting sqref="FS141:FS142">
    <cfRule type="cellIs" dxfId="0" priority="55" operator="equal">
      <formula>0</formula>
    </cfRule>
  </conditionalFormatting>
  <conditionalFormatting sqref="GJ141:GJ142">
    <cfRule type="cellIs" dxfId="0" priority="56" operator="equal">
      <formula>0</formula>
    </cfRule>
  </conditionalFormatting>
  <conditionalFormatting sqref="HA141:HA142">
    <cfRule type="cellIs" dxfId="0" priority="57" operator="equal">
      <formula>0</formula>
    </cfRule>
  </conditionalFormatting>
  <conditionalFormatting sqref="HR141:HR142">
    <cfRule type="cellIs" dxfId="0" priority="58" operator="equal">
      <formula>0</formula>
    </cfRule>
  </conditionalFormatting>
  <conditionalFormatting sqref="II141:II142">
    <cfRule type="cellIs" dxfId="0" priority="59" operator="equal">
      <formula>0</formula>
    </cfRule>
  </conditionalFormatting>
  <conditionalFormatting sqref="IZ141:IZ142 JQ141:JQ142 KH141:KH142">
    <cfRule type="cellIs" dxfId="0" priority="60" operator="equal">
      <formula>0</formula>
    </cfRule>
  </conditionalFormatting>
  <conditionalFormatting sqref="E177:E178">
    <cfRule type="cellIs" dxfId="0" priority="61" operator="equal">
      <formula>0</formula>
    </cfRule>
  </conditionalFormatting>
  <conditionalFormatting sqref="V177:V178">
    <cfRule type="cellIs" dxfId="0" priority="62" operator="equal">
      <formula>0</formula>
    </cfRule>
  </conditionalFormatting>
  <conditionalFormatting sqref="AM177:AM178">
    <cfRule type="cellIs" dxfId="0" priority="63" operator="equal">
      <formula>0</formula>
    </cfRule>
  </conditionalFormatting>
  <conditionalFormatting sqref="BU177:BU178">
    <cfRule type="cellIs" dxfId="0" priority="64" operator="equal">
      <formula>0</formula>
    </cfRule>
  </conditionalFormatting>
  <conditionalFormatting sqref="CL177:CL178">
    <cfRule type="cellIs" dxfId="0" priority="65" operator="equal">
      <formula>0</formula>
    </cfRule>
  </conditionalFormatting>
  <conditionalFormatting sqref="DC177:DC178">
    <cfRule type="cellIs" dxfId="0" priority="66" operator="equal">
      <formula>0</formula>
    </cfRule>
  </conditionalFormatting>
  <conditionalFormatting sqref="DT177:DT178">
    <cfRule type="cellIs" dxfId="0" priority="67" operator="equal">
      <formula>0</formula>
    </cfRule>
  </conditionalFormatting>
  <conditionalFormatting sqref="EK177:EK178">
    <cfRule type="cellIs" dxfId="0" priority="68" operator="equal">
      <formula>0</formula>
    </cfRule>
  </conditionalFormatting>
  <conditionalFormatting sqref="FB177:FB178">
    <cfRule type="cellIs" dxfId="0" priority="69" operator="equal">
      <formula>0</formula>
    </cfRule>
  </conditionalFormatting>
  <conditionalFormatting sqref="FS177:FS178">
    <cfRule type="cellIs" dxfId="0" priority="70" operator="equal">
      <formula>0</formula>
    </cfRule>
  </conditionalFormatting>
  <conditionalFormatting sqref="GJ177:GJ178">
    <cfRule type="cellIs" dxfId="0" priority="71" operator="equal">
      <formula>0</formula>
    </cfRule>
  </conditionalFormatting>
  <conditionalFormatting sqref="HA177:HA178">
    <cfRule type="cellIs" dxfId="0" priority="72" operator="equal">
      <formula>0</formula>
    </cfRule>
  </conditionalFormatting>
  <conditionalFormatting sqref="HR177:HR178">
    <cfRule type="cellIs" dxfId="0" priority="73" operator="equal">
      <formula>0</formula>
    </cfRule>
  </conditionalFormatting>
  <conditionalFormatting sqref="II177:II178">
    <cfRule type="cellIs" dxfId="0" priority="74" operator="equal">
      <formula>0</formula>
    </cfRule>
  </conditionalFormatting>
  <conditionalFormatting sqref="IZ177:IZ178 JQ177:JQ178 KH177:KH178">
    <cfRule type="cellIs" dxfId="0" priority="75" operator="equal">
      <formula>0</formula>
    </cfRule>
  </conditionalFormatting>
  <conditionalFormatting sqref="BD33:BD34 BU33:BU34 CL33:CL34 DC33:DC34 DT33:DT34 EK33:EK34 FB33:FB34 FS33:FS34 GJ33:GJ34 HA33:HA34 HR33:HR34 II33:II34 IZ33:IZ34 JQ33:JQ34 KH33:KH34">
    <cfRule type="cellIs" dxfId="0" priority="76" operator="equal">
      <formula>0</formula>
    </cfRule>
  </conditionalFormatting>
  <conditionalFormatting sqref="BD69:BD70 BU69:BU70 CL69:CL70 DC69:DC70 DT69:DT70 EK69:EK70 FB69:FB70 FS69:FS70 GJ69:GJ70 HA69:HA70 HR69:HR70 II69:II70 IZ69:IZ70 JQ69:JQ70 KH69:KH70">
    <cfRule type="cellIs" dxfId="0" priority="77" operator="equal">
      <formula>0</formula>
    </cfRule>
  </conditionalFormatting>
  <conditionalFormatting sqref="BD105:BD106 BU105:BU106 CL105:CL106 DC105:DC106 DT105:DT106 EK105:EK106 FB105:FB106 FS105:FS106 GJ105:GJ106 HA105:HA106 HR105:HR106 II105:II106 IZ105:IZ106 JQ105:JQ106 KH105:KH106">
    <cfRule type="cellIs" dxfId="0" priority="78" operator="equal">
      <formula>0</formula>
    </cfRule>
  </conditionalFormatting>
  <conditionalFormatting sqref="BD141:BD142 BU141:BU142 CL141:CL142 DC141:DC142 DT141:DT142 EK141:EK142 FB141:FB142 FS141:FS142 GJ141:GJ142 HA141:HA142 HR141:HR142 II141:II142 IZ141:IZ142 JQ141:JQ142 KH141:KH142">
    <cfRule type="cellIs" dxfId="0" priority="79" operator="equal">
      <formula>0</formula>
    </cfRule>
  </conditionalFormatting>
  <conditionalFormatting sqref="BD177:BD178 BU177:BU178 CL177:CL178 DC177:DC178 DT177:DT178 EK177:EK178 FB177:FB178 FS177:FS178 GJ177:GJ178 HA177:HA178 HR177:HR178 II177:II178 IZ177:IZ178 JQ177:JQ178 KH177:KH178">
    <cfRule type="cellIs" dxfId="0" priority="80" operator="equal">
      <formula>0</formula>
    </cfRule>
  </conditionalFormatting>
  <hyperlinks>
    <hyperlink display="Home" location="Home!A1" ref="A1"/>
    <hyperlink display="2010" location="ADHB!A3:P100" ref="D1"/>
    <hyperlink display="2012" location="ADHB!AK3:AX100" ref="E1"/>
    <hyperlink display="2014" location="ADHB!BS3:CF100" ref="F1"/>
    <hyperlink display="2016" location="ADHB!DA3:DN100" ref="G1"/>
    <hyperlink display="2018" location="ADHB!EI3:EV100" ref="H1"/>
    <hyperlink display="2020" location="ADHB!FQ3:GD100" ref="I1"/>
    <hyperlink display="2022" location="ADHB!GY3:HL100" ref="J1"/>
    <hyperlink display="2024" location="ADHB!IG3:IT100" ref="K1"/>
    <hyperlink display="2010" location="ADHB!A3:P100" ref="U1"/>
    <hyperlink display="2012" location="ADHB!AK3:AX100" ref="V1"/>
    <hyperlink display="2014" location="ADHB!BS3:CF100" ref="W1"/>
    <hyperlink display="2016" location="ADHB!DA3:DN100" ref="X1"/>
    <hyperlink display="2018" location="ADHB!EI3:EV100" ref="Y1"/>
    <hyperlink display="2020" location="ADHB!FQ3:GD100" ref="Z1"/>
    <hyperlink display="2022" location="ADHB!GY3:HL100" ref="AA1"/>
    <hyperlink display="2024" location="ADHB!IG3:IT100" ref="AB1"/>
    <hyperlink display="2010" location="ADHB!A3:P100" ref="AL1"/>
    <hyperlink display="2012" location="ADHB!AK3:AX100" ref="AM1"/>
    <hyperlink display="2014" location="ADHB!BS3:CF100" ref="AN1"/>
    <hyperlink display="2016" location="ADHB!DA3:DN100" ref="AO1"/>
    <hyperlink display="2018" location="ADHB!EI3:EV100" ref="AP1"/>
    <hyperlink display="2020" location="ADHB!FQ3:GD100" ref="AQ1"/>
    <hyperlink display="2022" location="ADHB!GY3:HL100" ref="AR1"/>
    <hyperlink display="2024" location="ADHB!IG3:IT100" ref="AS1"/>
    <hyperlink display="2010" location="ADHB!A3:P100" ref="BC1"/>
    <hyperlink display="2012" location="ADHB!AK3:AX100" ref="BD1"/>
    <hyperlink display="2014" location="ADHB!BS3:CF100" ref="BE1"/>
    <hyperlink display="2016" location="ADHB!DA3:DN100" ref="BF1"/>
    <hyperlink display="2018" location="ADHB!EI3:EV100" ref="BG1"/>
    <hyperlink display="2020" location="ADHB!FQ3:GD100" ref="BH1"/>
    <hyperlink display="2022" location="ADHB!GY3:HL100" ref="BI1"/>
    <hyperlink display="2024" location="ADHB!IG3:IT100" ref="BJ1"/>
    <hyperlink display="2010" location="ADHB!A3:P100" ref="BT1"/>
    <hyperlink display="2012" location="ADHB!AK3:AX100" ref="BU1"/>
    <hyperlink display="2014" location="ADHB!BS3:CF100" ref="BV1"/>
    <hyperlink display="2016" location="ADHB!DA3:DN100" ref="BW1"/>
    <hyperlink display="2018" location="ADHB!EI3:EV100" ref="BX1"/>
    <hyperlink display="2020" location="ADHB!FQ3:GD100" ref="BY1"/>
    <hyperlink display="2022" location="ADHB!GY3:HL100" ref="BZ1"/>
    <hyperlink display="2024" location="ADHB!IG3:IT100" ref="CA1"/>
    <hyperlink display="2010" location="ADHB!A3:P100" ref="CK1"/>
    <hyperlink display="2012" location="ADHB!AK3:AX100" ref="CL1"/>
    <hyperlink display="2014" location="ADHB!BS3:CF100" ref="CM1"/>
    <hyperlink display="2016" location="ADHB!DA3:DN100" ref="CN1"/>
    <hyperlink display="2018" location="ADHB!EI3:EV100" ref="CO1"/>
    <hyperlink display="2020" location="ADHB!FQ3:GD100" ref="CP1"/>
    <hyperlink display="2022" location="ADHB!GY3:HL100" ref="CQ1"/>
    <hyperlink display="2024" location="ADHB!IG3:IT100" ref="CR1"/>
    <hyperlink display="2010" location="ADHB!A3:P100" ref="DB1"/>
    <hyperlink display="2012" location="ADHB!AK3:AX100" ref="DC1"/>
    <hyperlink display="2014" location="ADHB!BS3:CF100" ref="DD1"/>
    <hyperlink display="2016" location="ADHB!DA3:DN100" ref="DE1"/>
    <hyperlink display="2018" location="ADHB!EI3:EV100" ref="DF1"/>
    <hyperlink display="2020" location="ADHB!FQ3:GD100" ref="DG1"/>
    <hyperlink display="2022" location="ADHB!GY3:HL100" ref="DH1"/>
    <hyperlink display="2024" location="ADHB!IG3:IT100" ref="DI1"/>
    <hyperlink display="2010" location="ADHB!A3:P100" ref="DS1"/>
    <hyperlink display="2012" location="ADHB!AK3:AX100" ref="DT1"/>
    <hyperlink display="2014" location="ADHB!BS3:CF100" ref="DU1"/>
    <hyperlink display="2016" location="ADHB!DA3:DN100" ref="DV1"/>
    <hyperlink display="2018" location="ADHB!EI3:EV100" ref="DW1"/>
    <hyperlink display="2020" location="ADHB!FQ3:GD100" ref="DX1"/>
    <hyperlink display="2022" location="ADHB!GY3:HL100" ref="DY1"/>
    <hyperlink display="2024" location="ADHB!IG3:IT100" ref="DZ1"/>
    <hyperlink display="2010" location="ADHB!A3:P100" ref="EJ1"/>
    <hyperlink display="2012" location="ADHB!AK3:AX100" ref="EK1"/>
    <hyperlink display="2014" location="ADHB!BS3:CF100" ref="EL1"/>
    <hyperlink display="2016" location="ADHB!DA3:DN100" ref="EM1"/>
    <hyperlink display="2018" location="ADHB!EI3:EV100" ref="EN1"/>
    <hyperlink display="2020" location="ADHB!FQ3:GD100" ref="EO1"/>
    <hyperlink display="2022" location="ADHB!GY3:HL100" ref="EP1"/>
    <hyperlink display="2024" location="ADHB!IG3:IT100" ref="EQ1"/>
    <hyperlink display="2010" location="ADHB!A3:P100" ref="FA1"/>
    <hyperlink display="2012" location="ADHB!AK3:AX100" ref="FB1"/>
    <hyperlink display="2014" location="ADHB!BS3:CF100" ref="FC1"/>
    <hyperlink display="2016" location="ADHB!DA3:DN100" ref="FD1"/>
    <hyperlink display="2018" location="ADHB!EI3:EV100" ref="FE1"/>
    <hyperlink display="2020" location="ADHB!FQ3:GD100" ref="FF1"/>
    <hyperlink display="2022" location="ADHB!GY3:HL100" ref="FG1"/>
    <hyperlink display="2024" location="ADHB!IG3:IT100" ref="FH1"/>
    <hyperlink display="2010" location="ADHB!A3:P100" ref="FR1"/>
    <hyperlink display="2012" location="ADHB!AK3:AX100" ref="FS1"/>
    <hyperlink display="2014" location="ADHB!BS3:CF100" ref="FT1"/>
    <hyperlink display="2016" location="ADHB!DA3:DN100" ref="FU1"/>
    <hyperlink display="2018" location="ADHB!EI3:EV100" ref="FV1"/>
    <hyperlink display="2020" location="ADHB!FQ3:GD100" ref="FW1"/>
    <hyperlink display="2022" location="ADHB!GY3:HL100" ref="FX1"/>
    <hyperlink display="2024" location="ADHB!IG3:IT100" ref="FY1"/>
    <hyperlink display="2010" location="ADHB!A3:P100" ref="GI1"/>
    <hyperlink display="2012" location="ADHB!AK3:AX100" ref="GJ1"/>
    <hyperlink display="2014" location="ADHB!BS3:CF100" ref="GK1"/>
    <hyperlink display="2016" location="ADHB!DA3:DN100" ref="GL1"/>
    <hyperlink display="2018" location="ADHB!EI3:EV100" ref="GM1"/>
    <hyperlink display="2020" location="ADHB!FQ3:GD100" ref="GN1"/>
    <hyperlink display="2022" location="ADHB!GY3:HL100" ref="GO1"/>
    <hyperlink display="2024" location="ADHB!IG3:IT100" ref="GP1"/>
    <hyperlink display="2010" location="ADHB!A3:P100" ref="GZ1"/>
    <hyperlink display="2012" location="ADHB!AK3:AX100" ref="HA1"/>
    <hyperlink display="2014" location="ADHB!BS3:CF100" ref="HB1"/>
    <hyperlink display="2016" location="ADHB!DA3:DN100" ref="HC1"/>
    <hyperlink display="2018" location="ADHB!EI3:EV100" ref="HD1"/>
    <hyperlink display="2020" location="ADHB!FQ3:GD100" ref="HE1"/>
    <hyperlink display="2022" location="ADHB!GY3:HL100" ref="HF1"/>
    <hyperlink display="2024" location="ADHB!IG3:IT100" ref="HG1"/>
    <hyperlink display="2010" location="ADHB!A3:P100" ref="HQ1"/>
    <hyperlink display="2012" location="ADHB!AK3:AX100" ref="HR1"/>
    <hyperlink display="2014" location="ADHB!BS3:CF100" ref="HS1"/>
    <hyperlink display="2016" location="ADHB!DA3:DN100" ref="HT1"/>
    <hyperlink display="2018" location="ADHB!EI3:EV100" ref="HU1"/>
    <hyperlink display="2020" location="ADHB!FQ3:GD100" ref="HV1"/>
    <hyperlink display="2022" location="ADHB!GY3:HL100" ref="HW1"/>
    <hyperlink display="2024" location="ADHB!IG3:IT100" ref="HX1"/>
    <hyperlink display="2010" location="ADHB!A3:P100" ref="IH1"/>
    <hyperlink display="2012" location="ADHB!AK3:AX100" ref="II1"/>
    <hyperlink display="2014" location="ADHB!BS3:CF100" ref="IJ1"/>
    <hyperlink display="2016" location="ADHB!DA3:DN100" ref="IK1"/>
    <hyperlink display="2018" location="ADHB!EI3:EV100" ref="IL1"/>
    <hyperlink display="2020" location="ADHB!FQ3:GD100" ref="IM1"/>
    <hyperlink display="2022" location="ADHB!GY3:HL100" ref="IN1"/>
    <hyperlink display="2024" location="ADHB!IG3:IT100" ref="IO1"/>
    <hyperlink display="2010" location="ADHB!A3:P100" ref="IY1"/>
    <hyperlink display="2012" location="ADHB!AK3:AX100" ref="IZ1"/>
    <hyperlink display="2014" location="ADHB!BS3:CF100" ref="JA1"/>
    <hyperlink display="2016" location="ADHB!DA3:DN100" ref="JB1"/>
    <hyperlink display="2018" location="ADHB!EI3:EV100" ref="JC1"/>
    <hyperlink display="2020" location="ADHB!FQ3:GD100" ref="JD1"/>
    <hyperlink display="2022" location="ADHB!GY3:HL100" ref="JE1"/>
    <hyperlink display="2024" location="ADHB!IG3:IT100" ref="JF1"/>
    <hyperlink display="2010" location="ADHB!A3:P100" ref="JP1"/>
    <hyperlink display="2012" location="ADHB!AK3:AX100" ref="JQ1"/>
    <hyperlink display="2014" location="ADHB!BS3:CF100" ref="JR1"/>
    <hyperlink display="2016" location="ADHB!DA3:DN100" ref="JS1"/>
    <hyperlink display="2018" location="ADHB!EI3:EV100" ref="JT1"/>
    <hyperlink display="2020" location="ADHB!FQ3:GD100" ref="JU1"/>
    <hyperlink display="2022" location="ADHB!GY3:HL100" ref="JV1"/>
    <hyperlink display="2024" location="ADHB!IG3:IT100" ref="JW1"/>
    <hyperlink display="2010" location="ADHB!A3:P100" ref="KG1"/>
    <hyperlink display="2012" location="ADHB!AK3:AX100" ref="KH1"/>
    <hyperlink display="2014" location="ADHB!BS3:CF100" ref="KI1"/>
    <hyperlink display="2016" location="ADHB!DA3:DN100" ref="KJ1"/>
    <hyperlink display="2018" location="ADHB!EI3:EV100" ref="KK1"/>
    <hyperlink display="2020" location="ADHB!FQ3:GD100" ref="KL1"/>
    <hyperlink display="2022" location="ADHB!GY3:HL100" ref="KM1"/>
    <hyperlink display="2024" location="ADHB!IG3:IT100" ref="KN1"/>
    <hyperlink display="2011" location="ADHB!T3:AG100" ref="D2"/>
    <hyperlink display="2013" location="ADHB!BB3:BO100" ref="E2"/>
    <hyperlink display="2015" location="ADHB!CJ3:CW100" ref="F2"/>
    <hyperlink display="2017" location="ADHB!DR3:EE100" ref="G2"/>
    <hyperlink display="2019" location="ADHB!EZ3:FM100" ref="H2"/>
    <hyperlink display="2021" location="ADHB!GH3:GU100" ref="I2"/>
    <hyperlink display="2023" location="ADHB!HP3:IC100" ref="J2"/>
    <hyperlink display="2025" location="ADHB!IX3:JK100" ref="K2"/>
    <hyperlink display="2011" location="ADHB!T3:AG100" ref="U2"/>
    <hyperlink display="2013" location="ADHB!BB3:BO100" ref="V2"/>
    <hyperlink display="2015" location="ADHB!CJ3:CW100" ref="W2"/>
    <hyperlink display="2017" location="ADHB!DR3:EE100" ref="X2"/>
    <hyperlink display="2019" location="ADHB!EZ3:FM100" ref="Y2"/>
    <hyperlink display="2021" location="ADHB!GH3:GU100" ref="Z2"/>
    <hyperlink display="2023" location="ADHB!HP3:IC100" ref="AA2"/>
    <hyperlink display="2025" location="ADHB!IX3:JK100" ref="AB2"/>
    <hyperlink display="2011" location="ADHB!T3:AG100" ref="AL2"/>
    <hyperlink display="2013" location="ADHB!BB3:BO100" ref="AM2"/>
    <hyperlink display="2015" location="ADHB!CJ3:CW100" ref="AN2"/>
    <hyperlink display="2017" location="ADHB!DR3:EE100" ref="AO2"/>
    <hyperlink display="2019" location="ADHB!EZ3:FM100" ref="AP2"/>
    <hyperlink display="2021" location="ADHB!GH3:GU100" ref="AQ2"/>
    <hyperlink display="2023" location="ADHB!HP3:IC100" ref="AR2"/>
    <hyperlink display="2025" location="ADHB!IX3:JK100" ref="AS2"/>
    <hyperlink display="2011" location="ADHB!T3:AG100" ref="BC2"/>
    <hyperlink display="2013" location="ADHB!BB3:BO100" ref="BD2"/>
    <hyperlink display="2015" location="ADHB!CJ3:CW100" ref="BE2"/>
    <hyperlink display="2017" location="ADHB!DR3:EE100" ref="BF2"/>
    <hyperlink display="2019" location="ADHB!EZ3:FM100" ref="BG2"/>
    <hyperlink display="2021" location="ADHB!GH3:GU100" ref="BH2"/>
    <hyperlink display="2023" location="ADHB!HP3:IC100" ref="BI2"/>
    <hyperlink display="2025" location="ADHB!IX3:JK100" ref="BJ2"/>
    <hyperlink display="2011" location="ADHB!T3:AG100" ref="BT2"/>
    <hyperlink display="2013" location="ADHB!BB3:BO100" ref="BU2"/>
    <hyperlink display="2015" location="ADHB!CJ3:CW100" ref="BV2"/>
    <hyperlink display="2017" location="ADHB!DR3:EE100" ref="BW2"/>
    <hyperlink display="2019" location="ADHB!EZ3:FM100" ref="BX2"/>
    <hyperlink display="2021" location="ADHB!GH3:GU100" ref="BY2"/>
    <hyperlink display="2023" location="ADHB!HP3:IC100" ref="BZ2"/>
    <hyperlink display="2025" location="ADHB!IX3:JK100" ref="CA2"/>
    <hyperlink display="2011" location="ADHB!T3:AG100" ref="CK2"/>
    <hyperlink display="2013" location="ADHB!BB3:BO100" ref="CL2"/>
    <hyperlink display="2015" location="ADHB!CJ3:CW100" ref="CM2"/>
    <hyperlink display="2017" location="ADHB!DR3:EE100" ref="CN2"/>
    <hyperlink display="2019" location="ADHB!EZ3:FM100" ref="CO2"/>
    <hyperlink display="2021" location="ADHB!GH3:GU100" ref="CP2"/>
    <hyperlink display="2023" location="ADHB!HP3:IC100" ref="CQ2"/>
    <hyperlink display="2025" location="ADHB!IX3:JK100" ref="CR2"/>
    <hyperlink display="2011" location="ADHB!T3:AG100" ref="DB2"/>
    <hyperlink display="2013" location="ADHB!BB3:BO100" ref="DC2"/>
    <hyperlink display="2015" location="ADHB!CJ3:CW100" ref="DD2"/>
    <hyperlink display="2017" location="ADHB!DR3:EE100" ref="DE2"/>
    <hyperlink display="2019" location="ADHB!EZ3:FM100" ref="DF2"/>
    <hyperlink display="2021" location="ADHB!GH3:GU100" ref="DG2"/>
    <hyperlink display="2023" location="ADHB!HP3:IC100" ref="DH2"/>
    <hyperlink display="2025" location="ADHB!IX3:JK100" ref="DI2"/>
    <hyperlink display="2011" location="ADHB!T3:AG100" ref="DS2"/>
    <hyperlink display="2013" location="ADHB!BB3:BO100" ref="DT2"/>
    <hyperlink display="2015" location="ADHB!CJ3:CW100" ref="DU2"/>
    <hyperlink display="2017" location="ADHB!DR3:EE100" ref="DV2"/>
    <hyperlink display="2019" location="ADHB!EZ3:FM100" ref="DW2"/>
    <hyperlink display="2021" location="ADHB!GH3:GU100" ref="DX2"/>
    <hyperlink display="2023" location="ADHB!HP3:IC100" ref="DY2"/>
    <hyperlink display="2025" location="ADHB!IX3:JK100" ref="DZ2"/>
    <hyperlink display="2011" location="ADHB!T3:AG100" ref="EJ2"/>
    <hyperlink display="2013" location="ADHB!BB3:BO100" ref="EK2"/>
    <hyperlink display="2015" location="ADHB!CJ3:CW100" ref="EL2"/>
    <hyperlink display="2017" location="ADHB!DR3:EE100" ref="EM2"/>
    <hyperlink display="2019" location="ADHB!EZ3:FM100" ref="EN2"/>
    <hyperlink display="2021" location="ADHB!GH3:GU100" ref="EO2"/>
    <hyperlink display="2023" location="ADHB!HP3:IC100" ref="EP2"/>
    <hyperlink display="2025" location="ADHB!IX3:JK100" ref="EQ2"/>
    <hyperlink display="2011" location="ADHB!T3:AG100" ref="FA2"/>
    <hyperlink display="2013" location="ADHB!BB3:BO100" ref="FB2"/>
    <hyperlink display="2015" location="ADHB!CJ3:CW100" ref="FC2"/>
    <hyperlink display="2017" location="ADHB!DR3:EE100" ref="FD2"/>
    <hyperlink display="2019" location="ADHB!EZ3:FM100" ref="FE2"/>
    <hyperlink display="2021" location="ADHB!GH3:GU100" ref="FF2"/>
    <hyperlink display="2023" location="ADHB!HP3:IC100" ref="FG2"/>
    <hyperlink display="2025" location="ADHB!IX3:JK100" ref="FH2"/>
    <hyperlink display="2011" location="ADHB!T3:AG100" ref="FR2"/>
    <hyperlink display="2013" location="ADHB!BB3:BO100" ref="FS2"/>
    <hyperlink display="2015" location="ADHB!CJ3:CW100" ref="FT2"/>
    <hyperlink display="2017" location="ADHB!DR3:EE100" ref="FU2"/>
    <hyperlink display="2019" location="ADHB!EZ3:FM100" ref="FV2"/>
    <hyperlink display="2021" location="ADHB!GH3:GU100" ref="FW2"/>
    <hyperlink display="2023" location="ADHB!HP3:IC100" ref="FX2"/>
    <hyperlink display="2025" location="ADHB!IX3:JK100" ref="FY2"/>
    <hyperlink display="2011" location="ADHB!T3:AG100" ref="GI2"/>
    <hyperlink display="2013" location="ADHB!BB3:BO100" ref="GJ2"/>
    <hyperlink display="2015" location="ADHB!CJ3:CW100" ref="GK2"/>
    <hyperlink display="2017" location="ADHB!DR3:EE100" ref="GL2"/>
    <hyperlink display="2019" location="ADHB!EZ3:FM100" ref="GM2"/>
    <hyperlink display="2021" location="ADHB!GH3:GU100" ref="GN2"/>
    <hyperlink display="2023" location="ADHB!HP3:IC100" ref="GO2"/>
    <hyperlink display="2025" location="ADHB!IX3:JK100" ref="GP2"/>
    <hyperlink display="2011" location="ADHB!T3:AG100" ref="GZ2"/>
    <hyperlink display="2013" location="ADHB!BB3:BO100" ref="HA2"/>
    <hyperlink display="2015" location="ADHB!CJ3:CW100" ref="HB2"/>
    <hyperlink display="2017" location="ADHB!DR3:EE100" ref="HC2"/>
    <hyperlink display="2019" location="ADHB!EZ3:FM100" ref="HD2"/>
    <hyperlink display="2021" location="ADHB!GH3:GU100" ref="HE2"/>
    <hyperlink display="2023" location="ADHB!HP3:IC100" ref="HF2"/>
    <hyperlink display="2025" location="ADHB!IX3:JK100" ref="HG2"/>
    <hyperlink display="2011" location="ADHB!T3:AG100" ref="HQ2"/>
    <hyperlink display="2013" location="ADHB!BB3:BO100" ref="HR2"/>
    <hyperlink display="2015" location="ADHB!CJ3:CW100" ref="HS2"/>
    <hyperlink display="2017" location="ADHB!DR3:EE100" ref="HT2"/>
    <hyperlink display="2019" location="ADHB!EZ3:FM100" ref="HU2"/>
    <hyperlink display="2021" location="ADHB!GH3:GU100" ref="HV2"/>
    <hyperlink display="2023" location="ADHB!HP3:IC100" ref="HW2"/>
    <hyperlink display="2025" location="ADHB!IX3:JK100" ref="HX2"/>
    <hyperlink display="2011" location="ADHB!T3:AG100" ref="IH2"/>
    <hyperlink display="2013" location="ADHB!BB3:BO100" ref="II2"/>
    <hyperlink display="2015" location="ADHB!CJ3:CW100" ref="IJ2"/>
    <hyperlink display="2017" location="ADHB!DR3:EE100" ref="IK2"/>
    <hyperlink display="2019" location="ADHB!EZ3:FM100" ref="IL2"/>
    <hyperlink display="2021" location="ADHB!GH3:GU100" ref="IM2"/>
    <hyperlink display="2023" location="ADHB!HP3:IC100" ref="IN2"/>
    <hyperlink display="2025" location="ADHB!IX3:JK100" ref="IO2"/>
    <hyperlink display="2011" location="ADHB!T3:AG100" ref="IY2"/>
    <hyperlink display="2013" location="ADHB!BB3:BO100" ref="IZ2"/>
    <hyperlink display="2015" location="ADHB!CJ3:CW100" ref="JA2"/>
    <hyperlink display="2017" location="ADHB!DR3:EE100" ref="JB2"/>
    <hyperlink display="2019" location="ADHB!EZ3:FM100" ref="JC2"/>
    <hyperlink display="2021" location="ADHB!GH3:GU100" ref="JD2"/>
    <hyperlink display="2023" location="ADHB!HP3:IC100" ref="JE2"/>
    <hyperlink display="2025" location="ADHB!IX3:JK100" ref="JF2"/>
    <hyperlink display="2011" location="ADHB!T3:AG100" ref="JP2"/>
    <hyperlink display="2013" location="ADHB!BB3:BO100" ref="JQ2"/>
    <hyperlink display="2015" location="ADHB!CJ3:CW100" ref="JR2"/>
    <hyperlink display="2017" location="ADHB!DR3:EE100" ref="JS2"/>
    <hyperlink display="2019" location="ADHB!EZ3:FM100" ref="JT2"/>
    <hyperlink display="2021" location="ADHB!GH3:GU100" ref="JU2"/>
    <hyperlink display="2023" location="ADHB!HP3:IC100" ref="JV2"/>
    <hyperlink display="2025" location="ADHB!IX3:JK100" ref="JW2"/>
    <hyperlink display="2011" location="ADHB!T3:AG100" ref="KG2"/>
    <hyperlink display="2013" location="ADHB!BB3:BO100" ref="KH2"/>
    <hyperlink display="2015" location="ADHB!CJ3:CW100" ref="KI2"/>
    <hyperlink display="2017" location="ADHB!DR3:EE100" ref="KJ2"/>
    <hyperlink display="2019" location="ADHB!EZ3:FM100" ref="KK2"/>
    <hyperlink display="2021" location="ADHB!GH3:GU100" ref="KL2"/>
    <hyperlink display="2023" location="ADHB!HP3:IC100" ref="KM2"/>
    <hyperlink display="2025" location="ADHB!IX3:JK100" ref="KN2"/>
  </hyperlinks>
  <printOptions/>
  <pageMargins bottom="0.75" footer="0.0" header="0.0" left="0.7" right="0.7" top="0.75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5.71"/>
    <col customWidth="1" min="2" max="2" width="28.29"/>
    <col customWidth="1" min="3" max="3" width="14.71"/>
    <col customWidth="1" min="4" max="4" width="13.57"/>
    <col customWidth="1" min="5" max="5" width="13.29"/>
    <col customWidth="1" min="6" max="6" width="14.14"/>
    <col customWidth="1" min="7" max="7" width="19.57"/>
    <col customWidth="1" min="8" max="8" width="10.71"/>
    <col customWidth="1" min="9" max="9" width="18.71"/>
    <col customWidth="1" min="10" max="10" width="12.86"/>
    <col customWidth="1" min="11" max="11" width="12.0"/>
    <col customWidth="1" min="12" max="12" width="16.0"/>
    <col customWidth="1" min="13" max="13" width="19.86"/>
    <col customWidth="1" min="14" max="14" width="11.29"/>
    <col customWidth="1" min="15" max="15" width="17.29"/>
    <col customWidth="1" min="16" max="16" width="21.14"/>
    <col customWidth="1" min="17" max="17" width="2.71"/>
    <col customWidth="1" min="18" max="18" width="5.71"/>
    <col customWidth="1" min="19" max="19" width="28.29"/>
    <col customWidth="1" min="20" max="20" width="14.71"/>
    <col customWidth="1" min="21" max="21" width="13.57"/>
    <col customWidth="1" min="22" max="22" width="13.29"/>
    <col customWidth="1" min="23" max="23" width="14.14"/>
    <col customWidth="1" min="24" max="24" width="19.57"/>
    <col customWidth="1" min="25" max="25" width="10.71"/>
    <col customWidth="1" min="26" max="26" width="18.71"/>
    <col customWidth="1" min="27" max="27" width="12.86"/>
    <col customWidth="1" min="28" max="28" width="12.0"/>
    <col customWidth="1" min="29" max="29" width="16.0"/>
    <col customWidth="1" min="30" max="30" width="19.86"/>
    <col customWidth="1" min="31" max="31" width="11.29"/>
    <col customWidth="1" min="32" max="32" width="17.29"/>
    <col customWidth="1" min="33" max="33" width="21.14"/>
    <col customWidth="1" min="34" max="34" width="2.71"/>
    <col customWidth="1" min="35" max="35" width="5.71"/>
    <col customWidth="1" min="36" max="36" width="28.29"/>
    <col customWidth="1" min="37" max="37" width="14.71"/>
    <col customWidth="1" min="38" max="38" width="13.57"/>
    <col customWidth="1" min="39" max="39" width="13.29"/>
    <col customWidth="1" min="40" max="40" width="14.14"/>
    <col customWidth="1" min="41" max="41" width="19.57"/>
    <col customWidth="1" min="42" max="42" width="10.71"/>
    <col customWidth="1" min="43" max="43" width="18.71"/>
    <col customWidth="1" min="44" max="44" width="12.86"/>
    <col customWidth="1" min="45" max="45" width="12.0"/>
    <col customWidth="1" min="46" max="46" width="16.0"/>
    <col customWidth="1" min="47" max="47" width="19.86"/>
    <col customWidth="1" min="48" max="48" width="11.29"/>
    <col customWidth="1" min="49" max="49" width="17.29"/>
    <col customWidth="1" min="50" max="50" width="21.14"/>
    <col customWidth="1" min="51" max="51" width="2.71"/>
    <col customWidth="1" min="52" max="52" width="5.71"/>
    <col customWidth="1" min="53" max="53" width="28.29"/>
    <col customWidth="1" min="54" max="54" width="14.71"/>
    <col customWidth="1" min="55" max="55" width="13.57"/>
    <col customWidth="1" min="56" max="56" width="13.29"/>
    <col customWidth="1" min="57" max="57" width="14.14"/>
    <col customWidth="1" min="58" max="58" width="19.57"/>
    <col customWidth="1" min="59" max="59" width="10.71"/>
    <col customWidth="1" min="60" max="60" width="18.71"/>
    <col customWidth="1" min="61" max="61" width="12.86"/>
    <col customWidth="1" min="62" max="62" width="12.0"/>
    <col customWidth="1" min="63" max="63" width="16.0"/>
    <col customWidth="1" min="64" max="64" width="19.86"/>
    <col customWidth="1" min="65" max="65" width="11.29"/>
    <col customWidth="1" min="66" max="66" width="17.29"/>
    <col customWidth="1" min="67" max="67" width="21.14"/>
    <col customWidth="1" min="68" max="68" width="2.71"/>
    <col customWidth="1" min="69" max="69" width="5.71"/>
    <col customWidth="1" min="70" max="70" width="28.29"/>
    <col customWidth="1" min="71" max="71" width="14.71"/>
    <col customWidth="1" min="72" max="72" width="13.57"/>
    <col customWidth="1" min="73" max="73" width="13.29"/>
    <col customWidth="1" min="74" max="74" width="14.14"/>
    <col customWidth="1" min="75" max="75" width="19.57"/>
    <col customWidth="1" min="76" max="76" width="10.71"/>
    <col customWidth="1" min="77" max="77" width="18.71"/>
    <col customWidth="1" min="78" max="78" width="12.86"/>
    <col customWidth="1" min="79" max="79" width="12.0"/>
    <col customWidth="1" min="80" max="80" width="16.0"/>
    <col customWidth="1" min="81" max="81" width="19.86"/>
    <col customWidth="1" min="82" max="82" width="11.29"/>
    <col customWidth="1" min="83" max="83" width="17.29"/>
    <col customWidth="1" min="84" max="84" width="21.14"/>
    <col customWidth="1" min="85" max="85" width="2.71"/>
    <col customWidth="1" min="86" max="86" width="5.71"/>
    <col customWidth="1" min="87" max="87" width="28.29"/>
    <col customWidth="1" min="88" max="88" width="14.71"/>
    <col customWidth="1" min="89" max="89" width="13.57"/>
    <col customWidth="1" min="90" max="90" width="13.29"/>
    <col customWidth="1" min="91" max="91" width="14.14"/>
    <col customWidth="1" min="92" max="92" width="19.57"/>
    <col customWidth="1" min="93" max="93" width="10.71"/>
    <col customWidth="1" min="94" max="94" width="18.71"/>
    <col customWidth="1" min="95" max="95" width="12.86"/>
    <col customWidth="1" min="96" max="96" width="12.0"/>
    <col customWidth="1" min="97" max="97" width="16.0"/>
    <col customWidth="1" min="98" max="98" width="19.86"/>
    <col customWidth="1" min="99" max="99" width="11.29"/>
    <col customWidth="1" min="100" max="100" width="17.29"/>
    <col customWidth="1" min="101" max="101" width="21.14"/>
    <col customWidth="1" min="102" max="102" width="2.71"/>
    <col customWidth="1" min="103" max="103" width="5.71"/>
    <col customWidth="1" min="104" max="104" width="28.29"/>
    <col customWidth="1" min="105" max="105" width="14.71"/>
    <col customWidth="1" min="106" max="106" width="13.57"/>
    <col customWidth="1" min="107" max="107" width="13.29"/>
    <col customWidth="1" min="108" max="108" width="14.14"/>
    <col customWidth="1" min="109" max="109" width="19.57"/>
    <col customWidth="1" min="110" max="110" width="10.71"/>
    <col customWidth="1" min="111" max="111" width="18.71"/>
    <col customWidth="1" min="112" max="112" width="12.86"/>
    <col customWidth="1" min="113" max="113" width="12.0"/>
    <col customWidth="1" min="114" max="114" width="16.0"/>
    <col customWidth="1" min="115" max="115" width="19.86"/>
    <col customWidth="1" min="116" max="116" width="11.29"/>
    <col customWidth="1" min="117" max="117" width="17.29"/>
    <col customWidth="1" min="118" max="118" width="21.14"/>
    <col customWidth="1" min="119" max="119" width="2.71"/>
    <col customWidth="1" min="120" max="120" width="5.71"/>
    <col customWidth="1" min="121" max="121" width="28.29"/>
    <col customWidth="1" min="122" max="122" width="14.71"/>
    <col customWidth="1" min="123" max="123" width="13.57"/>
    <col customWidth="1" min="124" max="124" width="13.29"/>
    <col customWidth="1" min="125" max="125" width="14.14"/>
    <col customWidth="1" min="126" max="126" width="19.57"/>
    <col customWidth="1" min="127" max="127" width="10.71"/>
    <col customWidth="1" min="128" max="128" width="18.71"/>
    <col customWidth="1" min="129" max="129" width="12.86"/>
    <col customWidth="1" min="130" max="130" width="12.0"/>
    <col customWidth="1" min="131" max="131" width="16.0"/>
    <col customWidth="1" min="132" max="132" width="19.86"/>
    <col customWidth="1" min="133" max="133" width="11.29"/>
    <col customWidth="1" min="134" max="134" width="17.29"/>
    <col customWidth="1" min="135" max="135" width="21.14"/>
    <col customWidth="1" min="136" max="136" width="2.71"/>
    <col customWidth="1" min="137" max="137" width="5.71"/>
    <col customWidth="1" min="138" max="138" width="28.29"/>
    <col customWidth="1" min="139" max="139" width="14.71"/>
    <col customWidth="1" min="140" max="140" width="13.57"/>
    <col customWidth="1" min="141" max="141" width="13.29"/>
    <col customWidth="1" min="142" max="142" width="14.14"/>
    <col customWidth="1" min="143" max="143" width="19.57"/>
    <col customWidth="1" min="144" max="144" width="10.71"/>
    <col customWidth="1" min="145" max="145" width="18.71"/>
    <col customWidth="1" min="146" max="146" width="12.86"/>
    <col customWidth="1" min="147" max="147" width="12.0"/>
    <col customWidth="1" min="148" max="148" width="16.0"/>
    <col customWidth="1" min="149" max="149" width="19.86"/>
    <col customWidth="1" min="150" max="150" width="11.29"/>
    <col customWidth="1" min="151" max="151" width="17.29"/>
    <col customWidth="1" min="152" max="152" width="21.14"/>
    <col customWidth="1" min="153" max="153" width="2.71"/>
    <col customWidth="1" min="154" max="154" width="5.71"/>
    <col customWidth="1" min="155" max="155" width="28.29"/>
    <col customWidth="1" min="156" max="156" width="14.71"/>
    <col customWidth="1" min="157" max="157" width="13.57"/>
    <col customWidth="1" min="158" max="158" width="13.29"/>
    <col customWidth="1" min="159" max="159" width="14.14"/>
    <col customWidth="1" min="160" max="160" width="19.57"/>
    <col customWidth="1" min="161" max="161" width="10.71"/>
    <col customWidth="1" min="162" max="162" width="18.71"/>
    <col customWidth="1" min="163" max="163" width="12.86"/>
    <col customWidth="1" min="164" max="164" width="12.0"/>
    <col customWidth="1" min="165" max="165" width="16.0"/>
    <col customWidth="1" min="166" max="166" width="19.86"/>
    <col customWidth="1" min="167" max="167" width="11.29"/>
    <col customWidth="1" min="168" max="168" width="17.29"/>
    <col customWidth="1" min="169" max="169" width="21.14"/>
    <col customWidth="1" min="170" max="170" width="2.71"/>
    <col customWidth="1" min="171" max="171" width="5.71"/>
    <col customWidth="1" min="172" max="172" width="28.29"/>
    <col customWidth="1" min="173" max="173" width="14.71"/>
    <col customWidth="1" min="174" max="174" width="13.57"/>
    <col customWidth="1" min="175" max="175" width="13.29"/>
    <col customWidth="1" min="176" max="176" width="14.14"/>
    <col customWidth="1" min="177" max="177" width="19.57"/>
    <col customWidth="1" min="178" max="178" width="10.71"/>
    <col customWidth="1" min="179" max="179" width="18.71"/>
    <col customWidth="1" min="180" max="180" width="12.86"/>
    <col customWidth="1" min="181" max="181" width="12.0"/>
    <col customWidth="1" min="182" max="182" width="16.0"/>
    <col customWidth="1" min="183" max="183" width="19.86"/>
    <col customWidth="1" min="184" max="184" width="11.29"/>
    <col customWidth="1" min="185" max="185" width="17.29"/>
    <col customWidth="1" min="186" max="186" width="21.14"/>
    <col customWidth="1" min="187" max="187" width="2.71"/>
    <col customWidth="1" min="188" max="188" width="5.71"/>
    <col customWidth="1" min="189" max="189" width="28.29"/>
    <col customWidth="1" min="190" max="190" width="14.71"/>
    <col customWidth="1" min="191" max="191" width="13.57"/>
    <col customWidth="1" min="192" max="192" width="13.29"/>
    <col customWidth="1" min="193" max="193" width="14.14"/>
    <col customWidth="1" min="194" max="194" width="19.57"/>
    <col customWidth="1" min="195" max="195" width="10.71"/>
    <col customWidth="1" min="196" max="196" width="18.71"/>
    <col customWidth="1" min="197" max="197" width="12.86"/>
    <col customWidth="1" min="198" max="198" width="12.0"/>
    <col customWidth="1" min="199" max="199" width="16.0"/>
    <col customWidth="1" min="200" max="200" width="19.86"/>
    <col customWidth="1" min="201" max="201" width="11.29"/>
    <col customWidth="1" min="202" max="202" width="17.29"/>
    <col customWidth="1" min="203" max="203" width="21.14"/>
    <col customWidth="1" min="204" max="204" width="2.71"/>
    <col customWidth="1" min="205" max="205" width="5.71"/>
    <col customWidth="1" min="206" max="206" width="28.29"/>
    <col customWidth="1" min="207" max="207" width="14.71"/>
    <col customWidth="1" min="208" max="208" width="13.57"/>
    <col customWidth="1" min="209" max="209" width="13.29"/>
    <col customWidth="1" min="210" max="210" width="14.14"/>
    <col customWidth="1" min="211" max="211" width="19.57"/>
    <col customWidth="1" min="212" max="212" width="10.71"/>
    <col customWidth="1" min="213" max="213" width="18.71"/>
    <col customWidth="1" min="214" max="214" width="12.86"/>
    <col customWidth="1" min="215" max="215" width="12.0"/>
    <col customWidth="1" min="216" max="216" width="16.0"/>
    <col customWidth="1" min="217" max="217" width="19.86"/>
    <col customWidth="1" min="218" max="218" width="11.29"/>
    <col customWidth="1" min="219" max="219" width="17.29"/>
    <col customWidth="1" min="220" max="220" width="21.14"/>
    <col customWidth="1" min="221" max="221" width="2.71"/>
    <col customWidth="1" min="222" max="222" width="5.71"/>
    <col customWidth="1" min="223" max="223" width="28.29"/>
    <col customWidth="1" min="224" max="224" width="14.71"/>
    <col customWidth="1" min="225" max="225" width="13.57"/>
    <col customWidth="1" min="226" max="226" width="13.29"/>
    <col customWidth="1" min="227" max="227" width="14.14"/>
    <col customWidth="1" min="228" max="228" width="19.57"/>
    <col customWidth="1" min="229" max="229" width="10.71"/>
    <col customWidth="1" min="230" max="230" width="18.71"/>
    <col customWidth="1" min="231" max="231" width="12.86"/>
    <col customWidth="1" min="232" max="232" width="12.0"/>
    <col customWidth="1" min="233" max="233" width="16.0"/>
    <col customWidth="1" min="234" max="234" width="19.86"/>
    <col customWidth="1" min="235" max="235" width="11.29"/>
    <col customWidth="1" min="236" max="236" width="17.29"/>
    <col customWidth="1" min="237" max="237" width="21.14"/>
    <col customWidth="1" min="238" max="238" width="2.71"/>
    <col customWidth="1" min="239" max="239" width="5.71"/>
    <col customWidth="1" min="240" max="240" width="28.29"/>
    <col customWidth="1" min="241" max="241" width="14.71"/>
    <col customWidth="1" min="242" max="242" width="13.57"/>
    <col customWidth="1" min="243" max="243" width="13.29"/>
    <col customWidth="1" min="244" max="244" width="14.14"/>
    <col customWidth="1" min="245" max="245" width="19.57"/>
    <col customWidth="1" min="246" max="246" width="10.71"/>
    <col customWidth="1" min="247" max="247" width="18.71"/>
    <col customWidth="1" min="248" max="248" width="12.86"/>
    <col customWidth="1" min="249" max="249" width="12.0"/>
    <col customWidth="1" min="250" max="250" width="16.0"/>
    <col customWidth="1" min="251" max="251" width="19.86"/>
    <col customWidth="1" min="252" max="252" width="11.29"/>
    <col customWidth="1" min="253" max="253" width="17.29"/>
    <col customWidth="1" min="254" max="254" width="21.14"/>
    <col customWidth="1" min="255" max="255" width="2.71"/>
    <col customWidth="1" min="256" max="256" width="5.71"/>
    <col customWidth="1" min="257" max="257" width="28.29"/>
    <col customWidth="1" min="258" max="258" width="14.71"/>
    <col customWidth="1" min="259" max="259" width="13.57"/>
    <col customWidth="1" min="260" max="260" width="13.29"/>
    <col customWidth="1" min="261" max="261" width="14.14"/>
    <col customWidth="1" min="262" max="262" width="19.57"/>
    <col customWidth="1" min="263" max="263" width="10.71"/>
    <col customWidth="1" min="264" max="264" width="18.71"/>
    <col customWidth="1" min="265" max="265" width="12.86"/>
    <col customWidth="1" min="266" max="266" width="12.0"/>
    <col customWidth="1" min="267" max="267" width="16.0"/>
    <col customWidth="1" min="268" max="268" width="19.86"/>
    <col customWidth="1" min="269" max="269" width="11.29"/>
    <col customWidth="1" min="270" max="270" width="17.29"/>
    <col customWidth="1" min="271" max="271" width="21.14"/>
    <col customWidth="1" min="272" max="272" width="2.71"/>
    <col customWidth="1" min="273" max="273" width="5.71"/>
    <col customWidth="1" min="274" max="274" width="28.29"/>
    <col customWidth="1" min="275" max="275" width="14.71"/>
    <col customWidth="1" min="276" max="276" width="13.57"/>
    <col customWidth="1" min="277" max="277" width="13.29"/>
    <col customWidth="1" min="278" max="278" width="14.14"/>
    <col customWidth="1" min="279" max="279" width="19.57"/>
    <col customWidth="1" min="280" max="280" width="10.71"/>
    <col customWidth="1" min="281" max="281" width="18.71"/>
    <col customWidth="1" min="282" max="282" width="12.86"/>
    <col customWidth="1" min="283" max="283" width="12.0"/>
    <col customWidth="1" min="284" max="284" width="16.0"/>
    <col customWidth="1" min="285" max="285" width="19.86"/>
    <col customWidth="1" min="286" max="286" width="11.29"/>
    <col customWidth="1" min="287" max="287" width="17.29"/>
    <col customWidth="1" min="288" max="288" width="21.14"/>
    <col customWidth="1" min="289" max="289" width="2.71"/>
    <col customWidth="1" min="290" max="290" width="5.71"/>
    <col customWidth="1" min="291" max="291" width="28.29"/>
    <col customWidth="1" min="292" max="292" width="14.71"/>
    <col customWidth="1" min="293" max="293" width="13.57"/>
    <col customWidth="1" min="294" max="294" width="13.29"/>
    <col customWidth="1" min="295" max="295" width="14.14"/>
    <col customWidth="1" min="296" max="296" width="19.57"/>
    <col customWidth="1" min="297" max="297" width="10.71"/>
    <col customWidth="1" min="298" max="298" width="18.71"/>
    <col customWidth="1" min="299" max="299" width="12.86"/>
    <col customWidth="1" min="300" max="300" width="12.0"/>
    <col customWidth="1" min="301" max="301" width="16.0"/>
    <col customWidth="1" min="302" max="302" width="19.86"/>
    <col customWidth="1" min="303" max="303" width="11.29"/>
    <col customWidth="1" min="304" max="304" width="17.29"/>
    <col customWidth="1" min="305" max="305" width="21.14"/>
    <col customWidth="1" min="306" max="306" width="2.71"/>
    <col customWidth="1" min="307" max="307" width="3.86"/>
  </cols>
  <sheetData>
    <row r="1" ht="21.0" customHeight="1">
      <c r="A1" s="29" t="s">
        <v>22</v>
      </c>
      <c r="B1" s="30" t="s">
        <v>23</v>
      </c>
      <c r="C1" s="31"/>
      <c r="D1" s="32">
        <v>2010.0</v>
      </c>
      <c r="E1" s="32">
        <v>2012.0</v>
      </c>
      <c r="F1" s="32">
        <v>2014.0</v>
      </c>
      <c r="G1" s="32">
        <v>2016.0</v>
      </c>
      <c r="H1" s="32">
        <v>2018.0</v>
      </c>
      <c r="I1" s="32">
        <v>2020.0</v>
      </c>
      <c r="J1" s="32">
        <v>2022.0</v>
      </c>
      <c r="K1" s="32">
        <v>2024.0</v>
      </c>
      <c r="L1" s="33"/>
      <c r="M1" s="34"/>
      <c r="N1" s="35"/>
      <c r="O1" s="35"/>
      <c r="P1" s="36"/>
      <c r="Q1" s="37"/>
      <c r="R1" s="35"/>
      <c r="S1" s="35"/>
      <c r="T1" s="35"/>
      <c r="U1" s="32">
        <v>2010.0</v>
      </c>
      <c r="V1" s="32">
        <v>2012.0</v>
      </c>
      <c r="W1" s="32">
        <v>2014.0</v>
      </c>
      <c r="X1" s="32">
        <v>2016.0</v>
      </c>
      <c r="Y1" s="32">
        <v>2018.0</v>
      </c>
      <c r="Z1" s="32">
        <v>2020.0</v>
      </c>
      <c r="AA1" s="32">
        <v>2022.0</v>
      </c>
      <c r="AB1" s="32">
        <v>2024.0</v>
      </c>
      <c r="AC1" s="35"/>
      <c r="AD1" s="35"/>
      <c r="AE1" s="35"/>
      <c r="AF1" s="35"/>
      <c r="AG1" s="36"/>
      <c r="AH1" s="37"/>
      <c r="AI1" s="35"/>
      <c r="AJ1" s="35"/>
      <c r="AK1" s="35"/>
      <c r="AL1" s="32">
        <v>2010.0</v>
      </c>
      <c r="AM1" s="32">
        <v>2012.0</v>
      </c>
      <c r="AN1" s="32">
        <v>2014.0</v>
      </c>
      <c r="AO1" s="32">
        <v>2016.0</v>
      </c>
      <c r="AP1" s="32">
        <v>2018.0</v>
      </c>
      <c r="AQ1" s="32">
        <v>2020.0</v>
      </c>
      <c r="AR1" s="32">
        <v>2022.0</v>
      </c>
      <c r="AS1" s="32">
        <v>2024.0</v>
      </c>
      <c r="AT1" s="35"/>
      <c r="AU1" s="35"/>
      <c r="AV1" s="35"/>
      <c r="AW1" s="35"/>
      <c r="AX1" s="36"/>
      <c r="AY1" s="37"/>
      <c r="AZ1" s="35"/>
      <c r="BA1" s="35"/>
      <c r="BB1" s="35"/>
      <c r="BC1" s="32">
        <v>2010.0</v>
      </c>
      <c r="BD1" s="32">
        <v>2012.0</v>
      </c>
      <c r="BE1" s="32">
        <v>2014.0</v>
      </c>
      <c r="BF1" s="32">
        <v>2016.0</v>
      </c>
      <c r="BG1" s="32">
        <v>2018.0</v>
      </c>
      <c r="BH1" s="32">
        <v>2020.0</v>
      </c>
      <c r="BI1" s="32">
        <v>2022.0</v>
      </c>
      <c r="BJ1" s="32">
        <v>2024.0</v>
      </c>
      <c r="BK1" s="35"/>
      <c r="BL1" s="35"/>
      <c r="BM1" s="35"/>
      <c r="BN1" s="35"/>
      <c r="BO1" s="36"/>
      <c r="BP1" s="37"/>
      <c r="BQ1" s="35"/>
      <c r="BR1" s="35"/>
      <c r="BS1" s="35"/>
      <c r="BT1" s="32">
        <v>2010.0</v>
      </c>
      <c r="BU1" s="32">
        <v>2012.0</v>
      </c>
      <c r="BV1" s="32">
        <v>2014.0</v>
      </c>
      <c r="BW1" s="32">
        <v>2016.0</v>
      </c>
      <c r="BX1" s="32">
        <v>2018.0</v>
      </c>
      <c r="BY1" s="32">
        <v>2020.0</v>
      </c>
      <c r="BZ1" s="32">
        <v>2022.0</v>
      </c>
      <c r="CA1" s="32">
        <v>2024.0</v>
      </c>
      <c r="CB1" s="35"/>
      <c r="CC1" s="35"/>
      <c r="CD1" s="35"/>
      <c r="CE1" s="35"/>
      <c r="CF1" s="36"/>
      <c r="CG1" s="37"/>
      <c r="CH1" s="35"/>
      <c r="CI1" s="35"/>
      <c r="CJ1" s="35"/>
      <c r="CK1" s="32">
        <v>2010.0</v>
      </c>
      <c r="CL1" s="32">
        <v>2012.0</v>
      </c>
      <c r="CM1" s="32">
        <v>2014.0</v>
      </c>
      <c r="CN1" s="32">
        <v>2016.0</v>
      </c>
      <c r="CO1" s="32">
        <v>2018.0</v>
      </c>
      <c r="CP1" s="32">
        <v>2020.0</v>
      </c>
      <c r="CQ1" s="32">
        <v>2022.0</v>
      </c>
      <c r="CR1" s="32">
        <v>2024.0</v>
      </c>
      <c r="CS1" s="35"/>
      <c r="CT1" s="35"/>
      <c r="CU1" s="35"/>
      <c r="CV1" s="35"/>
      <c r="CW1" s="36"/>
      <c r="CX1" s="37"/>
      <c r="CY1" s="35"/>
      <c r="CZ1" s="35"/>
      <c r="DA1" s="35"/>
      <c r="DB1" s="32">
        <v>2010.0</v>
      </c>
      <c r="DC1" s="32">
        <v>2012.0</v>
      </c>
      <c r="DD1" s="32">
        <v>2014.0</v>
      </c>
      <c r="DE1" s="32">
        <v>2016.0</v>
      </c>
      <c r="DF1" s="32">
        <v>2018.0</v>
      </c>
      <c r="DG1" s="32">
        <v>2020.0</v>
      </c>
      <c r="DH1" s="32">
        <v>2022.0</v>
      </c>
      <c r="DI1" s="32">
        <v>2024.0</v>
      </c>
      <c r="DJ1" s="35"/>
      <c r="DK1" s="35"/>
      <c r="DL1" s="35"/>
      <c r="DM1" s="35"/>
      <c r="DN1" s="36"/>
      <c r="DO1" s="37"/>
      <c r="DP1" s="35"/>
      <c r="DQ1" s="35"/>
      <c r="DR1" s="35"/>
      <c r="DS1" s="32">
        <v>2010.0</v>
      </c>
      <c r="DT1" s="32">
        <v>2012.0</v>
      </c>
      <c r="DU1" s="32">
        <v>2014.0</v>
      </c>
      <c r="DV1" s="32">
        <v>2016.0</v>
      </c>
      <c r="DW1" s="32">
        <v>2018.0</v>
      </c>
      <c r="DX1" s="32">
        <v>2020.0</v>
      </c>
      <c r="DY1" s="32">
        <v>2022.0</v>
      </c>
      <c r="DZ1" s="32">
        <v>2024.0</v>
      </c>
      <c r="EA1" s="35"/>
      <c r="EB1" s="35"/>
      <c r="EC1" s="35"/>
      <c r="ED1" s="35"/>
      <c r="EE1" s="36"/>
      <c r="EF1" s="37"/>
      <c r="EG1" s="35"/>
      <c r="EH1" s="35"/>
      <c r="EI1" s="35"/>
      <c r="EJ1" s="32">
        <v>2010.0</v>
      </c>
      <c r="EK1" s="32">
        <v>2012.0</v>
      </c>
      <c r="EL1" s="32">
        <v>2014.0</v>
      </c>
      <c r="EM1" s="32">
        <v>2016.0</v>
      </c>
      <c r="EN1" s="32">
        <v>2018.0</v>
      </c>
      <c r="EO1" s="32">
        <v>2020.0</v>
      </c>
      <c r="EP1" s="32">
        <v>2022.0</v>
      </c>
      <c r="EQ1" s="32">
        <v>2024.0</v>
      </c>
      <c r="ER1" s="35"/>
      <c r="ES1" s="35"/>
      <c r="ET1" s="35"/>
      <c r="EU1" s="35"/>
      <c r="EV1" s="36"/>
      <c r="EW1" s="37"/>
      <c r="EX1" s="35"/>
      <c r="EY1" s="35"/>
      <c r="EZ1" s="35"/>
      <c r="FA1" s="32">
        <v>2010.0</v>
      </c>
      <c r="FB1" s="32">
        <v>2012.0</v>
      </c>
      <c r="FC1" s="32">
        <v>2014.0</v>
      </c>
      <c r="FD1" s="32">
        <v>2016.0</v>
      </c>
      <c r="FE1" s="32">
        <v>2018.0</v>
      </c>
      <c r="FF1" s="32">
        <v>2020.0</v>
      </c>
      <c r="FG1" s="32">
        <v>2022.0</v>
      </c>
      <c r="FH1" s="32">
        <v>2024.0</v>
      </c>
      <c r="FI1" s="35"/>
      <c r="FJ1" s="35"/>
      <c r="FK1" s="35"/>
      <c r="FL1" s="35"/>
      <c r="FM1" s="36"/>
      <c r="FN1" s="37"/>
      <c r="FO1" s="35"/>
      <c r="FP1" s="35"/>
      <c r="FQ1" s="35"/>
      <c r="FR1" s="32">
        <v>2010.0</v>
      </c>
      <c r="FS1" s="32">
        <v>2012.0</v>
      </c>
      <c r="FT1" s="32">
        <v>2014.0</v>
      </c>
      <c r="FU1" s="32">
        <v>2016.0</v>
      </c>
      <c r="FV1" s="32">
        <v>2018.0</v>
      </c>
      <c r="FW1" s="32">
        <v>2020.0</v>
      </c>
      <c r="FX1" s="32">
        <v>2022.0</v>
      </c>
      <c r="FY1" s="32">
        <v>2024.0</v>
      </c>
      <c r="FZ1" s="35"/>
      <c r="GA1" s="35"/>
      <c r="GB1" s="35"/>
      <c r="GC1" s="35"/>
      <c r="GD1" s="36"/>
      <c r="GE1" s="37"/>
      <c r="GF1" s="35"/>
      <c r="GG1" s="35"/>
      <c r="GH1" s="35"/>
      <c r="GI1" s="32">
        <v>2010.0</v>
      </c>
      <c r="GJ1" s="32">
        <v>2012.0</v>
      </c>
      <c r="GK1" s="32">
        <v>2014.0</v>
      </c>
      <c r="GL1" s="32">
        <v>2016.0</v>
      </c>
      <c r="GM1" s="32">
        <v>2018.0</v>
      </c>
      <c r="GN1" s="32">
        <v>2020.0</v>
      </c>
      <c r="GO1" s="32">
        <v>2022.0</v>
      </c>
      <c r="GP1" s="32">
        <v>2024.0</v>
      </c>
      <c r="GQ1" s="35"/>
      <c r="GR1" s="35"/>
      <c r="GS1" s="35"/>
      <c r="GT1" s="35"/>
      <c r="GU1" s="36"/>
      <c r="GV1" s="37"/>
      <c r="GW1" s="35"/>
      <c r="GX1" s="35"/>
      <c r="GY1" s="35"/>
      <c r="GZ1" s="32">
        <v>2010.0</v>
      </c>
      <c r="HA1" s="32">
        <v>2012.0</v>
      </c>
      <c r="HB1" s="32">
        <v>2014.0</v>
      </c>
      <c r="HC1" s="32">
        <v>2016.0</v>
      </c>
      <c r="HD1" s="32">
        <v>2018.0</v>
      </c>
      <c r="HE1" s="32">
        <v>2020.0</v>
      </c>
      <c r="HF1" s="32">
        <v>2022.0</v>
      </c>
      <c r="HG1" s="32">
        <v>2024.0</v>
      </c>
      <c r="HH1" s="35"/>
      <c r="HI1" s="35"/>
      <c r="HJ1" s="35"/>
      <c r="HK1" s="35"/>
      <c r="HL1" s="36"/>
      <c r="HM1" s="37"/>
      <c r="HN1" s="35"/>
      <c r="HO1" s="35"/>
      <c r="HP1" s="35"/>
      <c r="HQ1" s="32">
        <v>2010.0</v>
      </c>
      <c r="HR1" s="32">
        <v>2012.0</v>
      </c>
      <c r="HS1" s="32">
        <v>2014.0</v>
      </c>
      <c r="HT1" s="32">
        <v>2016.0</v>
      </c>
      <c r="HU1" s="32">
        <v>2018.0</v>
      </c>
      <c r="HV1" s="32">
        <v>2020.0</v>
      </c>
      <c r="HW1" s="32">
        <v>2022.0</v>
      </c>
      <c r="HX1" s="32">
        <v>2024.0</v>
      </c>
      <c r="HY1" s="35"/>
      <c r="HZ1" s="35"/>
      <c r="IA1" s="35"/>
      <c r="IB1" s="35"/>
      <c r="IC1" s="36"/>
      <c r="ID1" s="37"/>
      <c r="IE1" s="35"/>
      <c r="IF1" s="35"/>
      <c r="IG1" s="35"/>
      <c r="IH1" s="32">
        <v>2010.0</v>
      </c>
      <c r="II1" s="32">
        <v>2012.0</v>
      </c>
      <c r="IJ1" s="32">
        <v>2014.0</v>
      </c>
      <c r="IK1" s="32">
        <v>2016.0</v>
      </c>
      <c r="IL1" s="32">
        <v>2018.0</v>
      </c>
      <c r="IM1" s="32">
        <v>2020.0</v>
      </c>
      <c r="IN1" s="32">
        <v>2022.0</v>
      </c>
      <c r="IO1" s="32">
        <v>2024.0</v>
      </c>
      <c r="IP1" s="35"/>
      <c r="IQ1" s="35"/>
      <c r="IR1" s="35"/>
      <c r="IS1" s="35"/>
      <c r="IT1" s="36"/>
      <c r="IU1" s="37"/>
      <c r="IV1" s="35"/>
      <c r="IW1" s="35"/>
      <c r="IX1" s="35"/>
      <c r="IY1" s="32">
        <v>2010.0</v>
      </c>
      <c r="IZ1" s="32">
        <v>2012.0</v>
      </c>
      <c r="JA1" s="32">
        <v>2014.0</v>
      </c>
      <c r="JB1" s="32">
        <v>2016.0</v>
      </c>
      <c r="JC1" s="32">
        <v>2018.0</v>
      </c>
      <c r="JD1" s="32">
        <v>2020.0</v>
      </c>
      <c r="JE1" s="32">
        <v>2022.0</v>
      </c>
      <c r="JF1" s="32">
        <v>2024.0</v>
      </c>
      <c r="JG1" s="35"/>
      <c r="JH1" s="35"/>
      <c r="JI1" s="35"/>
      <c r="JJ1" s="35"/>
      <c r="JK1" s="36"/>
      <c r="JL1" s="37"/>
      <c r="JM1" s="35"/>
      <c r="JN1" s="35"/>
      <c r="JO1" s="35"/>
      <c r="JP1" s="32">
        <v>2010.0</v>
      </c>
      <c r="JQ1" s="32">
        <v>2012.0</v>
      </c>
      <c r="JR1" s="32">
        <v>2014.0</v>
      </c>
      <c r="JS1" s="32">
        <v>2016.0</v>
      </c>
      <c r="JT1" s="32">
        <v>2018.0</v>
      </c>
      <c r="JU1" s="32">
        <v>2020.0</v>
      </c>
      <c r="JV1" s="32">
        <v>2022.0</v>
      </c>
      <c r="JW1" s="32">
        <v>2024.0</v>
      </c>
      <c r="JX1" s="35"/>
      <c r="JY1" s="35"/>
      <c r="JZ1" s="35"/>
      <c r="KA1" s="35"/>
      <c r="KB1" s="36"/>
      <c r="KC1" s="37"/>
      <c r="KD1" s="35"/>
      <c r="KE1" s="35"/>
      <c r="KF1" s="35"/>
      <c r="KG1" s="32">
        <v>2010.0</v>
      </c>
      <c r="KH1" s="32">
        <v>2012.0</v>
      </c>
      <c r="KI1" s="32">
        <v>2014.0</v>
      </c>
      <c r="KJ1" s="32">
        <v>2016.0</v>
      </c>
      <c r="KK1" s="32">
        <v>2018.0</v>
      </c>
      <c r="KL1" s="32">
        <v>2020.0</v>
      </c>
      <c r="KM1" s="32">
        <v>2022.0</v>
      </c>
      <c r="KN1" s="32">
        <v>2024.0</v>
      </c>
      <c r="KO1" s="35"/>
      <c r="KP1" s="35"/>
      <c r="KQ1" s="35"/>
      <c r="KR1" s="35"/>
      <c r="KS1" s="36"/>
      <c r="KT1" s="37"/>
      <c r="KU1" s="36"/>
    </row>
    <row r="2" ht="21.0" customHeight="1">
      <c r="A2" s="39"/>
      <c r="B2" s="40"/>
      <c r="C2" s="41"/>
      <c r="D2" s="42">
        <v>2011.0</v>
      </c>
      <c r="E2" s="42">
        <v>2013.0</v>
      </c>
      <c r="F2" s="42">
        <v>2015.0</v>
      </c>
      <c r="G2" s="42">
        <v>2017.0</v>
      </c>
      <c r="H2" s="42">
        <v>2019.0</v>
      </c>
      <c r="I2" s="42">
        <v>2021.0</v>
      </c>
      <c r="J2" s="42">
        <v>2023.0</v>
      </c>
      <c r="K2" s="42">
        <v>2025.0</v>
      </c>
      <c r="L2" s="43"/>
      <c r="M2" s="34"/>
      <c r="N2" s="35"/>
      <c r="O2" s="35"/>
      <c r="P2" s="36"/>
      <c r="Q2" s="37"/>
      <c r="R2" s="35"/>
      <c r="S2" s="35"/>
      <c r="T2" s="35"/>
      <c r="U2" s="42">
        <v>2011.0</v>
      </c>
      <c r="V2" s="42">
        <v>2013.0</v>
      </c>
      <c r="W2" s="42">
        <v>2015.0</v>
      </c>
      <c r="X2" s="42">
        <v>2017.0</v>
      </c>
      <c r="Y2" s="42">
        <v>2019.0</v>
      </c>
      <c r="Z2" s="42">
        <v>2021.0</v>
      </c>
      <c r="AA2" s="42">
        <v>2023.0</v>
      </c>
      <c r="AB2" s="42">
        <v>2025.0</v>
      </c>
      <c r="AC2" s="35"/>
      <c r="AD2" s="35"/>
      <c r="AE2" s="35"/>
      <c r="AF2" s="35"/>
      <c r="AG2" s="36"/>
      <c r="AH2" s="37"/>
      <c r="AI2" s="35"/>
      <c r="AJ2" s="35"/>
      <c r="AK2" s="35"/>
      <c r="AL2" s="42">
        <v>2011.0</v>
      </c>
      <c r="AM2" s="42">
        <v>2013.0</v>
      </c>
      <c r="AN2" s="42">
        <v>2015.0</v>
      </c>
      <c r="AO2" s="42">
        <v>2017.0</v>
      </c>
      <c r="AP2" s="42">
        <v>2019.0</v>
      </c>
      <c r="AQ2" s="42">
        <v>2021.0</v>
      </c>
      <c r="AR2" s="42">
        <v>2023.0</v>
      </c>
      <c r="AS2" s="42">
        <v>2025.0</v>
      </c>
      <c r="AT2" s="35"/>
      <c r="AU2" s="35"/>
      <c r="AV2" s="35"/>
      <c r="AW2" s="35"/>
      <c r="AX2" s="36"/>
      <c r="AY2" s="37"/>
      <c r="AZ2" s="35"/>
      <c r="BA2" s="35"/>
      <c r="BB2" s="35"/>
      <c r="BC2" s="42">
        <v>2011.0</v>
      </c>
      <c r="BD2" s="42">
        <v>2013.0</v>
      </c>
      <c r="BE2" s="42">
        <v>2015.0</v>
      </c>
      <c r="BF2" s="42">
        <v>2017.0</v>
      </c>
      <c r="BG2" s="42">
        <v>2019.0</v>
      </c>
      <c r="BH2" s="42">
        <v>2021.0</v>
      </c>
      <c r="BI2" s="42">
        <v>2023.0</v>
      </c>
      <c r="BJ2" s="42">
        <v>2025.0</v>
      </c>
      <c r="BK2" s="35"/>
      <c r="BL2" s="35"/>
      <c r="BM2" s="35"/>
      <c r="BN2" s="35"/>
      <c r="BO2" s="36"/>
      <c r="BP2" s="37"/>
      <c r="BQ2" s="35"/>
      <c r="BR2" s="35"/>
      <c r="BS2" s="35"/>
      <c r="BT2" s="42">
        <v>2011.0</v>
      </c>
      <c r="BU2" s="42">
        <v>2013.0</v>
      </c>
      <c r="BV2" s="42">
        <v>2015.0</v>
      </c>
      <c r="BW2" s="42">
        <v>2017.0</v>
      </c>
      <c r="BX2" s="42">
        <v>2019.0</v>
      </c>
      <c r="BY2" s="42">
        <v>2021.0</v>
      </c>
      <c r="BZ2" s="42">
        <v>2023.0</v>
      </c>
      <c r="CA2" s="42">
        <v>2025.0</v>
      </c>
      <c r="CB2" s="35"/>
      <c r="CC2" s="35"/>
      <c r="CD2" s="35"/>
      <c r="CE2" s="35"/>
      <c r="CF2" s="36"/>
      <c r="CG2" s="37"/>
      <c r="CH2" s="35"/>
      <c r="CI2" s="35"/>
      <c r="CJ2" s="35"/>
      <c r="CK2" s="42">
        <v>2011.0</v>
      </c>
      <c r="CL2" s="42">
        <v>2013.0</v>
      </c>
      <c r="CM2" s="42">
        <v>2015.0</v>
      </c>
      <c r="CN2" s="42">
        <v>2017.0</v>
      </c>
      <c r="CO2" s="42">
        <v>2019.0</v>
      </c>
      <c r="CP2" s="42">
        <v>2021.0</v>
      </c>
      <c r="CQ2" s="42">
        <v>2023.0</v>
      </c>
      <c r="CR2" s="42">
        <v>2025.0</v>
      </c>
      <c r="CS2" s="35"/>
      <c r="CT2" s="35"/>
      <c r="CU2" s="35"/>
      <c r="CV2" s="35"/>
      <c r="CW2" s="36"/>
      <c r="CX2" s="37"/>
      <c r="CY2" s="35"/>
      <c r="CZ2" s="35"/>
      <c r="DA2" s="35"/>
      <c r="DB2" s="42">
        <v>2011.0</v>
      </c>
      <c r="DC2" s="42">
        <v>2013.0</v>
      </c>
      <c r="DD2" s="42">
        <v>2015.0</v>
      </c>
      <c r="DE2" s="42">
        <v>2017.0</v>
      </c>
      <c r="DF2" s="42">
        <v>2019.0</v>
      </c>
      <c r="DG2" s="42">
        <v>2021.0</v>
      </c>
      <c r="DH2" s="42">
        <v>2023.0</v>
      </c>
      <c r="DI2" s="42">
        <v>2025.0</v>
      </c>
      <c r="DJ2" s="35"/>
      <c r="DK2" s="35"/>
      <c r="DL2" s="35"/>
      <c r="DM2" s="35"/>
      <c r="DN2" s="36"/>
      <c r="DO2" s="37"/>
      <c r="DP2" s="35"/>
      <c r="DQ2" s="35"/>
      <c r="DR2" s="35"/>
      <c r="DS2" s="42">
        <v>2011.0</v>
      </c>
      <c r="DT2" s="42">
        <v>2013.0</v>
      </c>
      <c r="DU2" s="42">
        <v>2015.0</v>
      </c>
      <c r="DV2" s="42">
        <v>2017.0</v>
      </c>
      <c r="DW2" s="42">
        <v>2019.0</v>
      </c>
      <c r="DX2" s="42">
        <v>2021.0</v>
      </c>
      <c r="DY2" s="42">
        <v>2023.0</v>
      </c>
      <c r="DZ2" s="42">
        <v>2025.0</v>
      </c>
      <c r="EA2" s="35"/>
      <c r="EB2" s="35"/>
      <c r="EC2" s="35"/>
      <c r="ED2" s="35"/>
      <c r="EE2" s="36"/>
      <c r="EF2" s="37"/>
      <c r="EG2" s="35"/>
      <c r="EH2" s="35"/>
      <c r="EI2" s="35"/>
      <c r="EJ2" s="42">
        <v>2011.0</v>
      </c>
      <c r="EK2" s="42">
        <v>2013.0</v>
      </c>
      <c r="EL2" s="42">
        <v>2015.0</v>
      </c>
      <c r="EM2" s="42">
        <v>2017.0</v>
      </c>
      <c r="EN2" s="42">
        <v>2019.0</v>
      </c>
      <c r="EO2" s="42">
        <v>2021.0</v>
      </c>
      <c r="EP2" s="42">
        <v>2023.0</v>
      </c>
      <c r="EQ2" s="42">
        <v>2025.0</v>
      </c>
      <c r="ER2" s="35"/>
      <c r="ES2" s="35"/>
      <c r="ET2" s="35"/>
      <c r="EU2" s="35"/>
      <c r="EV2" s="36"/>
      <c r="EW2" s="37"/>
      <c r="EX2" s="35"/>
      <c r="EY2" s="35"/>
      <c r="EZ2" s="35"/>
      <c r="FA2" s="42">
        <v>2011.0</v>
      </c>
      <c r="FB2" s="42">
        <v>2013.0</v>
      </c>
      <c r="FC2" s="42">
        <v>2015.0</v>
      </c>
      <c r="FD2" s="42">
        <v>2017.0</v>
      </c>
      <c r="FE2" s="42">
        <v>2019.0</v>
      </c>
      <c r="FF2" s="42">
        <v>2021.0</v>
      </c>
      <c r="FG2" s="42">
        <v>2023.0</v>
      </c>
      <c r="FH2" s="42">
        <v>2025.0</v>
      </c>
      <c r="FI2" s="35"/>
      <c r="FJ2" s="35"/>
      <c r="FK2" s="35"/>
      <c r="FL2" s="35"/>
      <c r="FM2" s="36"/>
      <c r="FN2" s="37"/>
      <c r="FO2" s="35"/>
      <c r="FP2" s="35"/>
      <c r="FQ2" s="35"/>
      <c r="FR2" s="42">
        <v>2011.0</v>
      </c>
      <c r="FS2" s="42">
        <v>2013.0</v>
      </c>
      <c r="FT2" s="42">
        <v>2015.0</v>
      </c>
      <c r="FU2" s="42">
        <v>2017.0</v>
      </c>
      <c r="FV2" s="42">
        <v>2019.0</v>
      </c>
      <c r="FW2" s="42">
        <v>2021.0</v>
      </c>
      <c r="FX2" s="42">
        <v>2023.0</v>
      </c>
      <c r="FY2" s="42">
        <v>2025.0</v>
      </c>
      <c r="FZ2" s="35"/>
      <c r="GA2" s="35"/>
      <c r="GB2" s="35"/>
      <c r="GC2" s="35"/>
      <c r="GD2" s="36"/>
      <c r="GE2" s="37"/>
      <c r="GF2" s="35"/>
      <c r="GG2" s="35"/>
      <c r="GH2" s="35"/>
      <c r="GI2" s="42">
        <v>2011.0</v>
      </c>
      <c r="GJ2" s="42">
        <v>2013.0</v>
      </c>
      <c r="GK2" s="42">
        <v>2015.0</v>
      </c>
      <c r="GL2" s="42">
        <v>2017.0</v>
      </c>
      <c r="GM2" s="42">
        <v>2019.0</v>
      </c>
      <c r="GN2" s="42">
        <v>2021.0</v>
      </c>
      <c r="GO2" s="42">
        <v>2023.0</v>
      </c>
      <c r="GP2" s="42">
        <v>2025.0</v>
      </c>
      <c r="GQ2" s="35"/>
      <c r="GR2" s="35"/>
      <c r="GS2" s="35"/>
      <c r="GT2" s="35"/>
      <c r="GU2" s="36"/>
      <c r="GV2" s="37"/>
      <c r="GW2" s="35"/>
      <c r="GX2" s="35"/>
      <c r="GY2" s="35"/>
      <c r="GZ2" s="42">
        <v>2011.0</v>
      </c>
      <c r="HA2" s="42">
        <v>2013.0</v>
      </c>
      <c r="HB2" s="42">
        <v>2015.0</v>
      </c>
      <c r="HC2" s="42">
        <v>2017.0</v>
      </c>
      <c r="HD2" s="42">
        <v>2019.0</v>
      </c>
      <c r="HE2" s="42">
        <v>2021.0</v>
      </c>
      <c r="HF2" s="42">
        <v>2023.0</v>
      </c>
      <c r="HG2" s="42">
        <v>2025.0</v>
      </c>
      <c r="HH2" s="35"/>
      <c r="HI2" s="35"/>
      <c r="HJ2" s="35"/>
      <c r="HK2" s="35"/>
      <c r="HL2" s="36"/>
      <c r="HM2" s="37"/>
      <c r="HN2" s="35"/>
      <c r="HO2" s="35"/>
      <c r="HP2" s="35"/>
      <c r="HQ2" s="42">
        <v>2011.0</v>
      </c>
      <c r="HR2" s="42">
        <v>2013.0</v>
      </c>
      <c r="HS2" s="42">
        <v>2015.0</v>
      </c>
      <c r="HT2" s="42">
        <v>2017.0</v>
      </c>
      <c r="HU2" s="42">
        <v>2019.0</v>
      </c>
      <c r="HV2" s="42">
        <v>2021.0</v>
      </c>
      <c r="HW2" s="42">
        <v>2023.0</v>
      </c>
      <c r="HX2" s="42">
        <v>2025.0</v>
      </c>
      <c r="HY2" s="35"/>
      <c r="HZ2" s="35"/>
      <c r="IA2" s="35"/>
      <c r="IB2" s="35"/>
      <c r="IC2" s="36"/>
      <c r="ID2" s="37"/>
      <c r="IE2" s="35"/>
      <c r="IF2" s="35"/>
      <c r="IG2" s="35"/>
      <c r="IH2" s="42">
        <v>2011.0</v>
      </c>
      <c r="II2" s="42">
        <v>2013.0</v>
      </c>
      <c r="IJ2" s="42">
        <v>2015.0</v>
      </c>
      <c r="IK2" s="42">
        <v>2017.0</v>
      </c>
      <c r="IL2" s="42">
        <v>2019.0</v>
      </c>
      <c r="IM2" s="42">
        <v>2021.0</v>
      </c>
      <c r="IN2" s="42">
        <v>2023.0</v>
      </c>
      <c r="IO2" s="42">
        <v>2025.0</v>
      </c>
      <c r="IP2" s="35"/>
      <c r="IQ2" s="35"/>
      <c r="IR2" s="35"/>
      <c r="IS2" s="35"/>
      <c r="IT2" s="36"/>
      <c r="IU2" s="37"/>
      <c r="IV2" s="35"/>
      <c r="IW2" s="35"/>
      <c r="IX2" s="35"/>
      <c r="IY2" s="42">
        <v>2011.0</v>
      </c>
      <c r="IZ2" s="42">
        <v>2013.0</v>
      </c>
      <c r="JA2" s="42">
        <v>2015.0</v>
      </c>
      <c r="JB2" s="42">
        <v>2017.0</v>
      </c>
      <c r="JC2" s="42">
        <v>2019.0</v>
      </c>
      <c r="JD2" s="42">
        <v>2021.0</v>
      </c>
      <c r="JE2" s="42">
        <v>2023.0</v>
      </c>
      <c r="JF2" s="42">
        <v>2025.0</v>
      </c>
      <c r="JG2" s="35"/>
      <c r="JH2" s="35"/>
      <c r="JI2" s="35"/>
      <c r="JJ2" s="35"/>
      <c r="JK2" s="36"/>
      <c r="JL2" s="37"/>
      <c r="JM2" s="35"/>
      <c r="JN2" s="35"/>
      <c r="JO2" s="35"/>
      <c r="JP2" s="42">
        <v>2011.0</v>
      </c>
      <c r="JQ2" s="42">
        <v>2013.0</v>
      </c>
      <c r="JR2" s="42">
        <v>2015.0</v>
      </c>
      <c r="JS2" s="42">
        <v>2017.0</v>
      </c>
      <c r="JT2" s="42">
        <v>2019.0</v>
      </c>
      <c r="JU2" s="42">
        <v>2021.0</v>
      </c>
      <c r="JV2" s="42">
        <v>2023.0</v>
      </c>
      <c r="JW2" s="42">
        <v>2025.0</v>
      </c>
      <c r="JX2" s="35"/>
      <c r="JY2" s="35"/>
      <c r="JZ2" s="35"/>
      <c r="KA2" s="35"/>
      <c r="KB2" s="36"/>
      <c r="KC2" s="37"/>
      <c r="KD2" s="35"/>
      <c r="KE2" s="35"/>
      <c r="KF2" s="35"/>
      <c r="KG2" s="42">
        <v>2011.0</v>
      </c>
      <c r="KH2" s="42">
        <v>2013.0</v>
      </c>
      <c r="KI2" s="42">
        <v>2015.0</v>
      </c>
      <c r="KJ2" s="42">
        <v>2017.0</v>
      </c>
      <c r="KK2" s="42">
        <v>2019.0</v>
      </c>
      <c r="KL2" s="42">
        <v>2021.0</v>
      </c>
      <c r="KM2" s="42">
        <v>2023.0</v>
      </c>
      <c r="KN2" s="42">
        <v>2025.0</v>
      </c>
      <c r="KO2" s="35"/>
      <c r="KP2" s="35"/>
      <c r="KQ2" s="35"/>
      <c r="KR2" s="35"/>
      <c r="KS2" s="36"/>
      <c r="KT2" s="37"/>
      <c r="KU2" s="36"/>
    </row>
    <row r="3">
      <c r="A3" s="44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7"/>
      <c r="R3" s="44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7"/>
      <c r="AI3" s="44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7"/>
      <c r="AZ3" s="44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7"/>
      <c r="BQ3" s="44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  <c r="CD3" s="36"/>
      <c r="CE3" s="36"/>
      <c r="CF3" s="36"/>
      <c r="CG3" s="37"/>
      <c r="CH3" s="44"/>
      <c r="CI3" s="36"/>
      <c r="CJ3" s="36"/>
      <c r="CK3" s="36"/>
      <c r="CL3" s="36"/>
      <c r="CM3" s="36"/>
      <c r="CN3" s="36"/>
      <c r="CO3" s="36"/>
      <c r="CP3" s="36"/>
      <c r="CQ3" s="36"/>
      <c r="CR3" s="36"/>
      <c r="CS3" s="36"/>
      <c r="CT3" s="36"/>
      <c r="CU3" s="36"/>
      <c r="CV3" s="36"/>
      <c r="CW3" s="36"/>
      <c r="CX3" s="37"/>
      <c r="CY3" s="44"/>
      <c r="CZ3" s="36"/>
      <c r="DA3" s="36"/>
      <c r="DB3" s="36"/>
      <c r="DC3" s="36"/>
      <c r="DD3" s="36"/>
      <c r="DE3" s="36"/>
      <c r="DF3" s="36"/>
      <c r="DG3" s="36"/>
      <c r="DH3" s="36"/>
      <c r="DI3" s="36"/>
      <c r="DJ3" s="36"/>
      <c r="DK3" s="36"/>
      <c r="DL3" s="36"/>
      <c r="DM3" s="36"/>
      <c r="DN3" s="36"/>
      <c r="DO3" s="37"/>
      <c r="DP3" s="44"/>
      <c r="DQ3" s="36"/>
      <c r="DR3" s="36"/>
      <c r="DS3" s="36"/>
      <c r="DT3" s="36"/>
      <c r="DU3" s="36"/>
      <c r="DV3" s="36"/>
      <c r="DW3" s="36"/>
      <c r="DX3" s="36"/>
      <c r="DY3" s="36"/>
      <c r="DZ3" s="36"/>
      <c r="EA3" s="36"/>
      <c r="EB3" s="36"/>
      <c r="EC3" s="36"/>
      <c r="ED3" s="36"/>
      <c r="EE3" s="36"/>
      <c r="EF3" s="37"/>
      <c r="EG3" s="44"/>
      <c r="EH3" s="36"/>
      <c r="EI3" s="36"/>
      <c r="EJ3" s="36"/>
      <c r="EK3" s="36"/>
      <c r="EL3" s="36"/>
      <c r="EM3" s="36"/>
      <c r="EN3" s="36"/>
      <c r="EO3" s="36"/>
      <c r="EP3" s="36"/>
      <c r="EQ3" s="36"/>
      <c r="ER3" s="36"/>
      <c r="ES3" s="36"/>
      <c r="ET3" s="36"/>
      <c r="EU3" s="36"/>
      <c r="EV3" s="36"/>
      <c r="EW3" s="37"/>
      <c r="EX3" s="44"/>
      <c r="EY3" s="36"/>
      <c r="EZ3" s="36"/>
      <c r="FA3" s="36"/>
      <c r="FB3" s="36"/>
      <c r="FC3" s="36"/>
      <c r="FD3" s="36"/>
      <c r="FE3" s="36"/>
      <c r="FF3" s="36"/>
      <c r="FG3" s="36"/>
      <c r="FH3" s="36"/>
      <c r="FI3" s="36"/>
      <c r="FJ3" s="36"/>
      <c r="FK3" s="36"/>
      <c r="FL3" s="36"/>
      <c r="FM3" s="36"/>
      <c r="FN3" s="37"/>
      <c r="FO3" s="44"/>
      <c r="FP3" s="36"/>
      <c r="FQ3" s="36"/>
      <c r="FR3" s="36"/>
      <c r="FS3" s="36"/>
      <c r="FT3" s="36"/>
      <c r="FU3" s="36"/>
      <c r="FV3" s="36"/>
      <c r="FW3" s="36"/>
      <c r="FX3" s="36"/>
      <c r="FY3" s="36"/>
      <c r="FZ3" s="36"/>
      <c r="GA3" s="36"/>
      <c r="GB3" s="36"/>
      <c r="GC3" s="36"/>
      <c r="GD3" s="36"/>
      <c r="GE3" s="37"/>
      <c r="GF3" s="44"/>
      <c r="GG3" s="36"/>
      <c r="GH3" s="36"/>
      <c r="GI3" s="36"/>
      <c r="GJ3" s="36"/>
      <c r="GK3" s="36"/>
      <c r="GL3" s="36"/>
      <c r="GM3" s="36"/>
      <c r="GN3" s="36"/>
      <c r="GO3" s="36"/>
      <c r="GP3" s="36"/>
      <c r="GQ3" s="36"/>
      <c r="GR3" s="36"/>
      <c r="GS3" s="36"/>
      <c r="GT3" s="36"/>
      <c r="GU3" s="36"/>
      <c r="GV3" s="37"/>
      <c r="GW3" s="44"/>
      <c r="GX3" s="36"/>
      <c r="GY3" s="36"/>
      <c r="GZ3" s="36"/>
      <c r="HA3" s="36"/>
      <c r="HB3" s="36"/>
      <c r="HC3" s="36"/>
      <c r="HD3" s="36"/>
      <c r="HE3" s="36"/>
      <c r="HF3" s="36"/>
      <c r="HG3" s="36"/>
      <c r="HH3" s="36"/>
      <c r="HI3" s="36"/>
      <c r="HJ3" s="36"/>
      <c r="HK3" s="36"/>
      <c r="HL3" s="36"/>
      <c r="HM3" s="37"/>
      <c r="HN3" s="44"/>
      <c r="HO3" s="36"/>
      <c r="HP3" s="36"/>
      <c r="HQ3" s="36"/>
      <c r="HR3" s="36"/>
      <c r="HS3" s="36"/>
      <c r="HT3" s="36"/>
      <c r="HU3" s="36"/>
      <c r="HV3" s="36"/>
      <c r="HW3" s="36"/>
      <c r="HX3" s="36"/>
      <c r="HY3" s="36"/>
      <c r="HZ3" s="36"/>
      <c r="IA3" s="36"/>
      <c r="IB3" s="36"/>
      <c r="IC3" s="36"/>
      <c r="ID3" s="37"/>
      <c r="IE3" s="44"/>
      <c r="IF3" s="36"/>
      <c r="IG3" s="36"/>
      <c r="IH3" s="36"/>
      <c r="II3" s="36"/>
      <c r="IJ3" s="36"/>
      <c r="IK3" s="36"/>
      <c r="IL3" s="36"/>
      <c r="IM3" s="36"/>
      <c r="IN3" s="36"/>
      <c r="IO3" s="36"/>
      <c r="IP3" s="36"/>
      <c r="IQ3" s="36"/>
      <c r="IR3" s="36"/>
      <c r="IS3" s="36"/>
      <c r="IT3" s="36"/>
      <c r="IU3" s="37"/>
      <c r="IV3" s="44"/>
      <c r="IW3" s="36"/>
      <c r="IX3" s="36"/>
      <c r="IY3" s="36"/>
      <c r="IZ3" s="36"/>
      <c r="JA3" s="36"/>
      <c r="JB3" s="36"/>
      <c r="JC3" s="36"/>
      <c r="JD3" s="36"/>
      <c r="JE3" s="36"/>
      <c r="JF3" s="36"/>
      <c r="JG3" s="36"/>
      <c r="JH3" s="36"/>
      <c r="JI3" s="36"/>
      <c r="JJ3" s="36"/>
      <c r="JK3" s="36"/>
      <c r="JL3" s="37"/>
      <c r="JM3" s="44"/>
      <c r="JN3" s="36"/>
      <c r="JO3" s="36"/>
      <c r="JP3" s="36"/>
      <c r="JQ3" s="36"/>
      <c r="JR3" s="36"/>
      <c r="JS3" s="36"/>
      <c r="JT3" s="36"/>
      <c r="JU3" s="36"/>
      <c r="JV3" s="36"/>
      <c r="JW3" s="36"/>
      <c r="JX3" s="36"/>
      <c r="JY3" s="36"/>
      <c r="JZ3" s="36"/>
      <c r="KA3" s="36"/>
      <c r="KB3" s="36"/>
      <c r="KC3" s="37"/>
      <c r="KD3" s="44"/>
      <c r="KE3" s="36"/>
      <c r="KF3" s="36"/>
      <c r="KG3" s="36"/>
      <c r="KH3" s="36"/>
      <c r="KI3" s="36"/>
      <c r="KJ3" s="36"/>
      <c r="KK3" s="36"/>
      <c r="KL3" s="36"/>
      <c r="KM3" s="36"/>
      <c r="KN3" s="36"/>
      <c r="KO3" s="36"/>
      <c r="KP3" s="36"/>
      <c r="KQ3" s="36"/>
      <c r="KR3" s="36"/>
      <c r="KS3" s="36"/>
      <c r="KT3" s="37"/>
      <c r="KU3" s="36"/>
    </row>
    <row r="4">
      <c r="A4" s="393"/>
      <c r="B4" s="394" t="s">
        <v>24</v>
      </c>
      <c r="C4" s="395" t="s">
        <v>54</v>
      </c>
      <c r="D4" s="394"/>
      <c r="E4" s="394"/>
      <c r="F4" s="394"/>
      <c r="G4" s="394" t="s">
        <v>25</v>
      </c>
      <c r="H4" s="394"/>
      <c r="I4" s="396"/>
      <c r="J4" s="48"/>
      <c r="K4" s="48"/>
      <c r="L4" s="48"/>
      <c r="M4" s="48"/>
      <c r="N4" s="48"/>
      <c r="O4" s="48"/>
      <c r="P4" s="49" t="s">
        <v>60</v>
      </c>
      <c r="Q4" s="50"/>
      <c r="R4" s="393"/>
      <c r="S4" s="394" t="s">
        <v>24</v>
      </c>
      <c r="T4" s="394" t="str">
        <f t="shared" ref="T4:T7" si="1">C4</f>
        <v>: Provinsi Sulawesi Tenggara</v>
      </c>
      <c r="U4" s="394"/>
      <c r="V4" s="394"/>
      <c r="W4" s="394"/>
      <c r="X4" s="394" t="s">
        <v>25</v>
      </c>
      <c r="Y4" s="394"/>
      <c r="Z4" s="396"/>
      <c r="AA4" s="48"/>
      <c r="AB4" s="48"/>
      <c r="AC4" s="48"/>
      <c r="AD4" s="48"/>
      <c r="AE4" s="48"/>
      <c r="AF4" s="48"/>
      <c r="AG4" s="49" t="s">
        <v>60</v>
      </c>
      <c r="AH4" s="50"/>
      <c r="AI4" s="393"/>
      <c r="AJ4" s="394" t="s">
        <v>24</v>
      </c>
      <c r="AK4" s="394" t="str">
        <f t="shared" ref="AK4:AK7" si="2">T4</f>
        <v>: Provinsi Sulawesi Tenggara</v>
      </c>
      <c r="AL4" s="394"/>
      <c r="AM4" s="394"/>
      <c r="AN4" s="394"/>
      <c r="AO4" s="394" t="s">
        <v>25</v>
      </c>
      <c r="AP4" s="394"/>
      <c r="AQ4" s="396"/>
      <c r="AR4" s="48"/>
      <c r="AS4" s="48"/>
      <c r="AT4" s="48"/>
      <c r="AU4" s="48"/>
      <c r="AV4" s="48"/>
      <c r="AW4" s="48"/>
      <c r="AX4" s="49" t="s">
        <v>60</v>
      </c>
      <c r="AY4" s="50"/>
      <c r="AZ4" s="393"/>
      <c r="BA4" s="394" t="s">
        <v>24</v>
      </c>
      <c r="BB4" s="394" t="str">
        <f t="shared" ref="BB4:BB7" si="3">AK4</f>
        <v>: Provinsi Sulawesi Tenggara</v>
      </c>
      <c r="BC4" s="394"/>
      <c r="BD4" s="394"/>
      <c r="BE4" s="394"/>
      <c r="BF4" s="394" t="s">
        <v>25</v>
      </c>
      <c r="BG4" s="394"/>
      <c r="BH4" s="396"/>
      <c r="BI4" s="48"/>
      <c r="BJ4" s="48"/>
      <c r="BK4" s="48"/>
      <c r="BL4" s="48"/>
      <c r="BM4" s="48"/>
      <c r="BN4" s="48"/>
      <c r="BO4" s="49" t="s">
        <v>60</v>
      </c>
      <c r="BP4" s="50"/>
      <c r="BQ4" s="393"/>
      <c r="BR4" s="394" t="s">
        <v>24</v>
      </c>
      <c r="BS4" s="394" t="str">
        <f t="shared" ref="BS4:BS7" si="4">BB4</f>
        <v>: Provinsi Sulawesi Tenggara</v>
      </c>
      <c r="BT4" s="394"/>
      <c r="BU4" s="394"/>
      <c r="BV4" s="394"/>
      <c r="BW4" s="394" t="s">
        <v>25</v>
      </c>
      <c r="BX4" s="394"/>
      <c r="BY4" s="396"/>
      <c r="BZ4" s="48"/>
      <c r="CA4" s="48"/>
      <c r="CB4" s="48"/>
      <c r="CC4" s="48"/>
      <c r="CD4" s="48"/>
      <c r="CE4" s="48"/>
      <c r="CF4" s="49" t="s">
        <v>60</v>
      </c>
      <c r="CG4" s="50"/>
      <c r="CH4" s="393"/>
      <c r="CI4" s="394" t="s">
        <v>24</v>
      </c>
      <c r="CJ4" s="394" t="str">
        <f t="shared" ref="CJ4:CJ7" si="5">BS4</f>
        <v>: Provinsi Sulawesi Tenggara</v>
      </c>
      <c r="CK4" s="394"/>
      <c r="CL4" s="394"/>
      <c r="CM4" s="394"/>
      <c r="CN4" s="394" t="s">
        <v>25</v>
      </c>
      <c r="CO4" s="394"/>
      <c r="CP4" s="396"/>
      <c r="CQ4" s="48"/>
      <c r="CR4" s="48"/>
      <c r="CS4" s="48"/>
      <c r="CT4" s="48"/>
      <c r="CU4" s="48"/>
      <c r="CV4" s="48"/>
      <c r="CW4" s="49" t="s">
        <v>60</v>
      </c>
      <c r="CX4" s="50"/>
      <c r="CY4" s="393"/>
      <c r="CZ4" s="394" t="s">
        <v>24</v>
      </c>
      <c r="DA4" s="394" t="str">
        <f t="shared" ref="DA4:DA7" si="6">CJ4</f>
        <v>: Provinsi Sulawesi Tenggara</v>
      </c>
      <c r="DB4" s="394"/>
      <c r="DC4" s="394"/>
      <c r="DD4" s="394"/>
      <c r="DE4" s="394" t="s">
        <v>25</v>
      </c>
      <c r="DF4" s="394"/>
      <c r="DG4" s="396"/>
      <c r="DH4" s="48"/>
      <c r="DI4" s="48"/>
      <c r="DJ4" s="48"/>
      <c r="DK4" s="48"/>
      <c r="DL4" s="48"/>
      <c r="DM4" s="48"/>
      <c r="DN4" s="49" t="s">
        <v>60</v>
      </c>
      <c r="DO4" s="50"/>
      <c r="DP4" s="393"/>
      <c r="DQ4" s="394" t="s">
        <v>24</v>
      </c>
      <c r="DR4" s="394" t="str">
        <f t="shared" ref="DR4:DR7" si="7">DA4</f>
        <v>: Provinsi Sulawesi Tenggara</v>
      </c>
      <c r="DS4" s="394"/>
      <c r="DT4" s="394"/>
      <c r="DU4" s="394"/>
      <c r="DV4" s="394" t="s">
        <v>25</v>
      </c>
      <c r="DW4" s="394"/>
      <c r="DX4" s="396"/>
      <c r="DY4" s="48"/>
      <c r="DZ4" s="48"/>
      <c r="EA4" s="48"/>
      <c r="EB4" s="48"/>
      <c r="EC4" s="48"/>
      <c r="ED4" s="48"/>
      <c r="EE4" s="49" t="s">
        <v>60</v>
      </c>
      <c r="EF4" s="50"/>
      <c r="EG4" s="393"/>
      <c r="EH4" s="394" t="s">
        <v>24</v>
      </c>
      <c r="EI4" s="394" t="str">
        <f t="shared" ref="EI4:EI7" si="8">DR4</f>
        <v>: Provinsi Sulawesi Tenggara</v>
      </c>
      <c r="EJ4" s="394"/>
      <c r="EK4" s="394"/>
      <c r="EL4" s="394"/>
      <c r="EM4" s="394" t="s">
        <v>25</v>
      </c>
      <c r="EN4" s="394"/>
      <c r="EO4" s="396"/>
      <c r="EP4" s="48"/>
      <c r="EQ4" s="48"/>
      <c r="ER4" s="48"/>
      <c r="ES4" s="48"/>
      <c r="ET4" s="48"/>
      <c r="EU4" s="48"/>
      <c r="EV4" s="49" t="s">
        <v>60</v>
      </c>
      <c r="EW4" s="50"/>
      <c r="EX4" s="393"/>
      <c r="EY4" s="394" t="s">
        <v>24</v>
      </c>
      <c r="EZ4" s="394" t="str">
        <f t="shared" ref="EZ4:EZ7" si="9">EI4</f>
        <v>: Provinsi Sulawesi Tenggara</v>
      </c>
      <c r="FA4" s="394"/>
      <c r="FB4" s="394"/>
      <c r="FC4" s="394"/>
      <c r="FD4" s="394" t="s">
        <v>25</v>
      </c>
      <c r="FE4" s="394"/>
      <c r="FF4" s="396"/>
      <c r="FG4" s="48"/>
      <c r="FH4" s="48"/>
      <c r="FI4" s="48"/>
      <c r="FJ4" s="48"/>
      <c r="FK4" s="48"/>
      <c r="FL4" s="48"/>
      <c r="FM4" s="49" t="s">
        <v>60</v>
      </c>
      <c r="FN4" s="50"/>
      <c r="FO4" s="393"/>
      <c r="FP4" s="394" t="s">
        <v>24</v>
      </c>
      <c r="FQ4" s="394" t="str">
        <f t="shared" ref="FQ4:FQ7" si="10">EZ4</f>
        <v>: Provinsi Sulawesi Tenggara</v>
      </c>
      <c r="FR4" s="394"/>
      <c r="FS4" s="394"/>
      <c r="FT4" s="394"/>
      <c r="FU4" s="394" t="s">
        <v>25</v>
      </c>
      <c r="FV4" s="394"/>
      <c r="FW4" s="396"/>
      <c r="FX4" s="48"/>
      <c r="FY4" s="48"/>
      <c r="FZ4" s="48"/>
      <c r="GA4" s="48"/>
      <c r="GB4" s="48"/>
      <c r="GC4" s="48"/>
      <c r="GD4" s="49" t="s">
        <v>60</v>
      </c>
      <c r="GE4" s="50"/>
      <c r="GF4" s="393"/>
      <c r="GG4" s="394" t="s">
        <v>24</v>
      </c>
      <c r="GH4" s="394" t="str">
        <f t="shared" ref="GH4:GH7" si="11">FQ4</f>
        <v>: Provinsi Sulawesi Tenggara</v>
      </c>
      <c r="GI4" s="394"/>
      <c r="GJ4" s="394"/>
      <c r="GK4" s="394"/>
      <c r="GL4" s="394" t="s">
        <v>25</v>
      </c>
      <c r="GM4" s="394"/>
      <c r="GN4" s="396"/>
      <c r="GO4" s="48"/>
      <c r="GP4" s="48"/>
      <c r="GQ4" s="48"/>
      <c r="GR4" s="48"/>
      <c r="GS4" s="48"/>
      <c r="GT4" s="48"/>
      <c r="GU4" s="49" t="s">
        <v>60</v>
      </c>
      <c r="GV4" s="50"/>
      <c r="GW4" s="393"/>
      <c r="GX4" s="394" t="s">
        <v>24</v>
      </c>
      <c r="GY4" s="394" t="str">
        <f t="shared" ref="GY4:GY7" si="12">GH4</f>
        <v>: Provinsi Sulawesi Tenggara</v>
      </c>
      <c r="GZ4" s="394"/>
      <c r="HA4" s="394"/>
      <c r="HB4" s="394"/>
      <c r="HC4" s="394" t="s">
        <v>25</v>
      </c>
      <c r="HD4" s="394"/>
      <c r="HE4" s="396"/>
      <c r="HF4" s="48"/>
      <c r="HG4" s="48"/>
      <c r="HH4" s="48"/>
      <c r="HI4" s="48"/>
      <c r="HJ4" s="48"/>
      <c r="HK4" s="48"/>
      <c r="HL4" s="49" t="s">
        <v>60</v>
      </c>
      <c r="HM4" s="50"/>
      <c r="HN4" s="393"/>
      <c r="HO4" s="394" t="s">
        <v>24</v>
      </c>
      <c r="HP4" s="394" t="str">
        <f t="shared" ref="HP4:HP7" si="13">GY4</f>
        <v>: Provinsi Sulawesi Tenggara</v>
      </c>
      <c r="HQ4" s="394"/>
      <c r="HR4" s="394"/>
      <c r="HS4" s="394"/>
      <c r="HT4" s="394" t="s">
        <v>25</v>
      </c>
      <c r="HU4" s="394"/>
      <c r="HV4" s="396"/>
      <c r="HW4" s="48"/>
      <c r="HX4" s="48"/>
      <c r="HY4" s="48"/>
      <c r="HZ4" s="48"/>
      <c r="IA4" s="48"/>
      <c r="IB4" s="48"/>
      <c r="IC4" s="49" t="s">
        <v>60</v>
      </c>
      <c r="ID4" s="50"/>
      <c r="IE4" s="393"/>
      <c r="IF4" s="394" t="s">
        <v>24</v>
      </c>
      <c r="IG4" s="394" t="str">
        <f t="shared" ref="IG4:IG7" si="14">HP4</f>
        <v>: Provinsi Sulawesi Tenggara</v>
      </c>
      <c r="IH4" s="394"/>
      <c r="II4" s="394"/>
      <c r="IJ4" s="394"/>
      <c r="IK4" s="394" t="s">
        <v>25</v>
      </c>
      <c r="IL4" s="394"/>
      <c r="IM4" s="396"/>
      <c r="IN4" s="48"/>
      <c r="IO4" s="48"/>
      <c r="IP4" s="48"/>
      <c r="IQ4" s="48"/>
      <c r="IR4" s="48"/>
      <c r="IS4" s="48"/>
      <c r="IT4" s="49" t="s">
        <v>60</v>
      </c>
      <c r="IU4" s="50"/>
      <c r="IV4" s="393"/>
      <c r="IW4" s="394" t="s">
        <v>24</v>
      </c>
      <c r="IX4" s="394" t="str">
        <f t="shared" ref="IX4:IX7" si="15">IG4</f>
        <v>: Provinsi Sulawesi Tenggara</v>
      </c>
      <c r="IY4" s="394"/>
      <c r="IZ4" s="394"/>
      <c r="JA4" s="394"/>
      <c r="JB4" s="394" t="s">
        <v>25</v>
      </c>
      <c r="JC4" s="394"/>
      <c r="JD4" s="396"/>
      <c r="JE4" s="48"/>
      <c r="JF4" s="48"/>
      <c r="JG4" s="48"/>
      <c r="JH4" s="48"/>
      <c r="JI4" s="48"/>
      <c r="JJ4" s="48"/>
      <c r="JK4" s="49" t="s">
        <v>60</v>
      </c>
      <c r="JL4" s="51"/>
      <c r="JM4" s="393"/>
      <c r="JN4" s="394" t="s">
        <v>24</v>
      </c>
      <c r="JO4" s="394" t="str">
        <f t="shared" ref="JO4:JO7" si="16">IX4</f>
        <v>: Provinsi Sulawesi Tenggara</v>
      </c>
      <c r="JP4" s="394"/>
      <c r="JQ4" s="394"/>
      <c r="JR4" s="394"/>
      <c r="JS4" s="394" t="s">
        <v>25</v>
      </c>
      <c r="JT4" s="394"/>
      <c r="JU4" s="396"/>
      <c r="JV4" s="48"/>
      <c r="JW4" s="48"/>
      <c r="JX4" s="48"/>
      <c r="JY4" s="48"/>
      <c r="JZ4" s="48"/>
      <c r="KA4" s="48"/>
      <c r="KB4" s="49" t="s">
        <v>60</v>
      </c>
      <c r="KC4" s="51"/>
      <c r="KD4" s="393"/>
      <c r="KE4" s="394" t="s">
        <v>24</v>
      </c>
      <c r="KF4" s="394" t="str">
        <f t="shared" ref="KF4:KF7" si="17">JO4</f>
        <v>: Provinsi Sulawesi Tenggara</v>
      </c>
      <c r="KG4" s="394"/>
      <c r="KH4" s="394"/>
      <c r="KI4" s="394"/>
      <c r="KJ4" s="394" t="s">
        <v>25</v>
      </c>
      <c r="KK4" s="394"/>
      <c r="KL4" s="396"/>
      <c r="KM4" s="48"/>
      <c r="KN4" s="48"/>
      <c r="KO4" s="48"/>
      <c r="KP4" s="48"/>
      <c r="KQ4" s="48"/>
      <c r="KR4" s="48"/>
      <c r="KS4" s="49" t="s">
        <v>60</v>
      </c>
      <c r="KT4" s="51"/>
      <c r="KU4" s="48"/>
    </row>
    <row r="5">
      <c r="A5" s="397"/>
      <c r="B5" s="398" t="s">
        <v>27</v>
      </c>
      <c r="C5" s="398" t="s">
        <v>55</v>
      </c>
      <c r="D5" s="398"/>
      <c r="E5" s="398"/>
      <c r="F5" s="398"/>
      <c r="G5" s="398" t="s">
        <v>28</v>
      </c>
      <c r="H5" s="398"/>
      <c r="I5" s="399"/>
      <c r="J5" s="48"/>
      <c r="K5" s="48"/>
      <c r="L5" s="48"/>
      <c r="M5" s="48"/>
      <c r="N5" s="48"/>
      <c r="O5" s="48"/>
      <c r="P5" s="55"/>
      <c r="Q5" s="50"/>
      <c r="R5" s="397"/>
      <c r="S5" s="398" t="s">
        <v>27</v>
      </c>
      <c r="T5" s="398" t="str">
        <f t="shared" si="1"/>
        <v>: Pertambangan dan Penggalian    </v>
      </c>
      <c r="U5" s="398"/>
      <c r="V5" s="398"/>
      <c r="W5" s="398"/>
      <c r="X5" s="398" t="s">
        <v>28</v>
      </c>
      <c r="Y5" s="398"/>
      <c r="Z5" s="399"/>
      <c r="AA5" s="48"/>
      <c r="AB5" s="48"/>
      <c r="AC5" s="48"/>
      <c r="AD5" s="48"/>
      <c r="AE5" s="48"/>
      <c r="AF5" s="48"/>
      <c r="AG5" s="55"/>
      <c r="AH5" s="50"/>
      <c r="AI5" s="397"/>
      <c r="AJ5" s="398" t="s">
        <v>27</v>
      </c>
      <c r="AK5" s="398" t="str">
        <f t="shared" si="2"/>
        <v>: Pertambangan dan Penggalian    </v>
      </c>
      <c r="AL5" s="398"/>
      <c r="AM5" s="398"/>
      <c r="AN5" s="398"/>
      <c r="AO5" s="398" t="s">
        <v>28</v>
      </c>
      <c r="AP5" s="398"/>
      <c r="AQ5" s="399"/>
      <c r="AR5" s="48"/>
      <c r="AS5" s="48"/>
      <c r="AT5" s="48"/>
      <c r="AU5" s="48"/>
      <c r="AV5" s="48"/>
      <c r="AW5" s="48"/>
      <c r="AX5" s="55"/>
      <c r="AY5" s="50"/>
      <c r="AZ5" s="397"/>
      <c r="BA5" s="398" t="s">
        <v>27</v>
      </c>
      <c r="BB5" s="398" t="str">
        <f t="shared" si="3"/>
        <v>: Pertambangan dan Penggalian    </v>
      </c>
      <c r="BC5" s="398"/>
      <c r="BD5" s="398"/>
      <c r="BE5" s="398"/>
      <c r="BF5" s="398" t="s">
        <v>28</v>
      </c>
      <c r="BG5" s="398"/>
      <c r="BH5" s="399"/>
      <c r="BI5" s="48"/>
      <c r="BJ5" s="48"/>
      <c r="BK5" s="48"/>
      <c r="BL5" s="48"/>
      <c r="BM5" s="48"/>
      <c r="BN5" s="48"/>
      <c r="BO5" s="55"/>
      <c r="BP5" s="50"/>
      <c r="BQ5" s="397"/>
      <c r="BR5" s="398" t="s">
        <v>27</v>
      </c>
      <c r="BS5" s="398" t="str">
        <f t="shared" si="4"/>
        <v>: Pertambangan dan Penggalian    </v>
      </c>
      <c r="BT5" s="398"/>
      <c r="BU5" s="398"/>
      <c r="BV5" s="398"/>
      <c r="BW5" s="398" t="s">
        <v>28</v>
      </c>
      <c r="BX5" s="398"/>
      <c r="BY5" s="399"/>
      <c r="BZ5" s="48"/>
      <c r="CA5" s="48"/>
      <c r="CB5" s="48"/>
      <c r="CC5" s="48"/>
      <c r="CD5" s="48"/>
      <c r="CE5" s="48"/>
      <c r="CF5" s="55"/>
      <c r="CG5" s="50"/>
      <c r="CH5" s="397"/>
      <c r="CI5" s="398" t="s">
        <v>27</v>
      </c>
      <c r="CJ5" s="398" t="str">
        <f t="shared" si="5"/>
        <v>: Pertambangan dan Penggalian    </v>
      </c>
      <c r="CK5" s="398"/>
      <c r="CL5" s="398"/>
      <c r="CM5" s="398"/>
      <c r="CN5" s="398" t="s">
        <v>28</v>
      </c>
      <c r="CO5" s="398"/>
      <c r="CP5" s="399"/>
      <c r="CQ5" s="48"/>
      <c r="CR5" s="48"/>
      <c r="CS5" s="48"/>
      <c r="CT5" s="48"/>
      <c r="CU5" s="48"/>
      <c r="CV5" s="48"/>
      <c r="CW5" s="55"/>
      <c r="CX5" s="50"/>
      <c r="CY5" s="397"/>
      <c r="CZ5" s="398" t="s">
        <v>27</v>
      </c>
      <c r="DA5" s="398" t="str">
        <f t="shared" si="6"/>
        <v>: Pertambangan dan Penggalian    </v>
      </c>
      <c r="DB5" s="398"/>
      <c r="DC5" s="398"/>
      <c r="DD5" s="398"/>
      <c r="DE5" s="398" t="s">
        <v>28</v>
      </c>
      <c r="DF5" s="398"/>
      <c r="DG5" s="399"/>
      <c r="DH5" s="48"/>
      <c r="DI5" s="48"/>
      <c r="DJ5" s="48"/>
      <c r="DK5" s="48"/>
      <c r="DL5" s="48"/>
      <c r="DM5" s="48"/>
      <c r="DN5" s="55"/>
      <c r="DO5" s="50"/>
      <c r="DP5" s="397"/>
      <c r="DQ5" s="398" t="s">
        <v>27</v>
      </c>
      <c r="DR5" s="398" t="str">
        <f t="shared" si="7"/>
        <v>: Pertambangan dan Penggalian    </v>
      </c>
      <c r="DS5" s="398"/>
      <c r="DT5" s="398"/>
      <c r="DU5" s="398"/>
      <c r="DV5" s="398" t="s">
        <v>28</v>
      </c>
      <c r="DW5" s="398"/>
      <c r="DX5" s="399"/>
      <c r="DY5" s="48"/>
      <c r="DZ5" s="48"/>
      <c r="EA5" s="48"/>
      <c r="EB5" s="48"/>
      <c r="EC5" s="48"/>
      <c r="ED5" s="48"/>
      <c r="EE5" s="55"/>
      <c r="EF5" s="50"/>
      <c r="EG5" s="397"/>
      <c r="EH5" s="398" t="s">
        <v>27</v>
      </c>
      <c r="EI5" s="398" t="str">
        <f t="shared" si="8"/>
        <v>: Pertambangan dan Penggalian    </v>
      </c>
      <c r="EJ5" s="398"/>
      <c r="EK5" s="398"/>
      <c r="EL5" s="398"/>
      <c r="EM5" s="398" t="s">
        <v>28</v>
      </c>
      <c r="EN5" s="398"/>
      <c r="EO5" s="399"/>
      <c r="EP5" s="48"/>
      <c r="EQ5" s="48"/>
      <c r="ER5" s="48"/>
      <c r="ES5" s="48"/>
      <c r="ET5" s="48"/>
      <c r="EU5" s="48"/>
      <c r="EV5" s="55"/>
      <c r="EW5" s="50"/>
      <c r="EX5" s="397"/>
      <c r="EY5" s="398" t="s">
        <v>27</v>
      </c>
      <c r="EZ5" s="398" t="str">
        <f t="shared" si="9"/>
        <v>: Pertambangan dan Penggalian    </v>
      </c>
      <c r="FA5" s="398"/>
      <c r="FB5" s="398"/>
      <c r="FC5" s="398"/>
      <c r="FD5" s="398" t="s">
        <v>28</v>
      </c>
      <c r="FE5" s="398"/>
      <c r="FF5" s="399"/>
      <c r="FG5" s="48"/>
      <c r="FH5" s="48"/>
      <c r="FI5" s="48"/>
      <c r="FJ5" s="48"/>
      <c r="FK5" s="48"/>
      <c r="FL5" s="48"/>
      <c r="FM5" s="55"/>
      <c r="FN5" s="50"/>
      <c r="FO5" s="397"/>
      <c r="FP5" s="398" t="s">
        <v>27</v>
      </c>
      <c r="FQ5" s="398" t="str">
        <f t="shared" si="10"/>
        <v>: Pertambangan dan Penggalian    </v>
      </c>
      <c r="FR5" s="398"/>
      <c r="FS5" s="398"/>
      <c r="FT5" s="398"/>
      <c r="FU5" s="398" t="s">
        <v>28</v>
      </c>
      <c r="FV5" s="398"/>
      <c r="FW5" s="399"/>
      <c r="FX5" s="48"/>
      <c r="FY5" s="48"/>
      <c r="FZ5" s="48"/>
      <c r="GA5" s="48"/>
      <c r="GB5" s="48"/>
      <c r="GC5" s="48"/>
      <c r="GD5" s="55"/>
      <c r="GE5" s="50"/>
      <c r="GF5" s="397"/>
      <c r="GG5" s="398" t="s">
        <v>27</v>
      </c>
      <c r="GH5" s="398" t="str">
        <f t="shared" si="11"/>
        <v>: Pertambangan dan Penggalian    </v>
      </c>
      <c r="GI5" s="398"/>
      <c r="GJ5" s="398"/>
      <c r="GK5" s="398"/>
      <c r="GL5" s="398" t="s">
        <v>28</v>
      </c>
      <c r="GM5" s="398"/>
      <c r="GN5" s="399"/>
      <c r="GO5" s="48"/>
      <c r="GP5" s="48"/>
      <c r="GQ5" s="48"/>
      <c r="GR5" s="48"/>
      <c r="GS5" s="48"/>
      <c r="GT5" s="48"/>
      <c r="GU5" s="55"/>
      <c r="GV5" s="50"/>
      <c r="GW5" s="397"/>
      <c r="GX5" s="398" t="s">
        <v>27</v>
      </c>
      <c r="GY5" s="398" t="str">
        <f t="shared" si="12"/>
        <v>: Pertambangan dan Penggalian    </v>
      </c>
      <c r="GZ5" s="398"/>
      <c r="HA5" s="398"/>
      <c r="HB5" s="398"/>
      <c r="HC5" s="398" t="s">
        <v>28</v>
      </c>
      <c r="HD5" s="398"/>
      <c r="HE5" s="399"/>
      <c r="HF5" s="48"/>
      <c r="HG5" s="48"/>
      <c r="HH5" s="48"/>
      <c r="HI5" s="48"/>
      <c r="HJ5" s="48"/>
      <c r="HK5" s="48"/>
      <c r="HL5" s="55"/>
      <c r="HM5" s="50"/>
      <c r="HN5" s="397"/>
      <c r="HO5" s="398" t="s">
        <v>27</v>
      </c>
      <c r="HP5" s="398" t="str">
        <f t="shared" si="13"/>
        <v>: Pertambangan dan Penggalian    </v>
      </c>
      <c r="HQ5" s="398"/>
      <c r="HR5" s="398"/>
      <c r="HS5" s="398"/>
      <c r="HT5" s="398" t="s">
        <v>28</v>
      </c>
      <c r="HU5" s="398"/>
      <c r="HV5" s="399"/>
      <c r="HW5" s="48"/>
      <c r="HX5" s="48"/>
      <c r="HY5" s="48"/>
      <c r="HZ5" s="48"/>
      <c r="IA5" s="48"/>
      <c r="IB5" s="48"/>
      <c r="IC5" s="55"/>
      <c r="ID5" s="50"/>
      <c r="IE5" s="397"/>
      <c r="IF5" s="398" t="s">
        <v>27</v>
      </c>
      <c r="IG5" s="398" t="str">
        <f t="shared" si="14"/>
        <v>: Pertambangan dan Penggalian    </v>
      </c>
      <c r="IH5" s="398"/>
      <c r="II5" s="398"/>
      <c r="IJ5" s="398"/>
      <c r="IK5" s="398" t="s">
        <v>28</v>
      </c>
      <c r="IL5" s="398"/>
      <c r="IM5" s="399"/>
      <c r="IN5" s="48"/>
      <c r="IO5" s="48"/>
      <c r="IP5" s="48"/>
      <c r="IQ5" s="48"/>
      <c r="IR5" s="48"/>
      <c r="IS5" s="48"/>
      <c r="IT5" s="55"/>
      <c r="IU5" s="50"/>
      <c r="IV5" s="397"/>
      <c r="IW5" s="398" t="s">
        <v>27</v>
      </c>
      <c r="IX5" s="398" t="str">
        <f t="shared" si="15"/>
        <v>: Pertambangan dan Penggalian    </v>
      </c>
      <c r="IY5" s="398"/>
      <c r="IZ5" s="398"/>
      <c r="JA5" s="398"/>
      <c r="JB5" s="398" t="s">
        <v>28</v>
      </c>
      <c r="JC5" s="398"/>
      <c r="JD5" s="399"/>
      <c r="JE5" s="48"/>
      <c r="JF5" s="48"/>
      <c r="JG5" s="48"/>
      <c r="JH5" s="48"/>
      <c r="JI5" s="48"/>
      <c r="JJ5" s="48"/>
      <c r="JK5" s="55"/>
      <c r="JL5" s="51"/>
      <c r="JM5" s="397"/>
      <c r="JN5" s="398" t="s">
        <v>27</v>
      </c>
      <c r="JO5" s="398" t="str">
        <f t="shared" si="16"/>
        <v>: Pertambangan dan Penggalian    </v>
      </c>
      <c r="JP5" s="398"/>
      <c r="JQ5" s="398"/>
      <c r="JR5" s="398"/>
      <c r="JS5" s="398" t="s">
        <v>28</v>
      </c>
      <c r="JT5" s="398"/>
      <c r="JU5" s="399"/>
      <c r="JV5" s="48"/>
      <c r="JW5" s="48"/>
      <c r="JX5" s="48"/>
      <c r="JY5" s="48"/>
      <c r="JZ5" s="48"/>
      <c r="KA5" s="48"/>
      <c r="KB5" s="55"/>
      <c r="KC5" s="51"/>
      <c r="KD5" s="397"/>
      <c r="KE5" s="398" t="s">
        <v>27</v>
      </c>
      <c r="KF5" s="398" t="str">
        <f t="shared" si="17"/>
        <v>: Pertambangan dan Penggalian    </v>
      </c>
      <c r="KG5" s="398"/>
      <c r="KH5" s="398"/>
      <c r="KI5" s="398"/>
      <c r="KJ5" s="398" t="s">
        <v>28</v>
      </c>
      <c r="KK5" s="398"/>
      <c r="KL5" s="399"/>
      <c r="KM5" s="48"/>
      <c r="KN5" s="48"/>
      <c r="KO5" s="48"/>
      <c r="KP5" s="48"/>
      <c r="KQ5" s="48"/>
      <c r="KR5" s="48"/>
      <c r="KS5" s="55"/>
      <c r="KT5" s="51"/>
      <c r="KU5" s="48"/>
    </row>
    <row r="6">
      <c r="A6" s="397"/>
      <c r="B6" s="398" t="s">
        <v>29</v>
      </c>
      <c r="C6" s="398" t="s">
        <v>56</v>
      </c>
      <c r="D6" s="398"/>
      <c r="E6" s="398"/>
      <c r="F6" s="398"/>
      <c r="G6" s="400" t="s">
        <v>61</v>
      </c>
      <c r="H6" s="398"/>
      <c r="I6" s="399"/>
      <c r="J6" s="48"/>
      <c r="K6" s="48"/>
      <c r="L6" s="48"/>
      <c r="M6" s="48"/>
      <c r="N6" s="48"/>
      <c r="O6" s="48"/>
      <c r="P6" s="57">
        <v>2010.0</v>
      </c>
      <c r="Q6" s="50"/>
      <c r="R6" s="397"/>
      <c r="S6" s="398" t="s">
        <v>29</v>
      </c>
      <c r="T6" s="398" t="str">
        <f t="shared" si="1"/>
        <v>: Pertambangan Bijih Logam</v>
      </c>
      <c r="U6" s="398"/>
      <c r="V6" s="398"/>
      <c r="W6" s="398"/>
      <c r="X6" s="400" t="s">
        <v>61</v>
      </c>
      <c r="Y6" s="398"/>
      <c r="Z6" s="399"/>
      <c r="AA6" s="48"/>
      <c r="AB6" s="48"/>
      <c r="AC6" s="48"/>
      <c r="AD6" s="48"/>
      <c r="AE6" s="48"/>
      <c r="AF6" s="48"/>
      <c r="AG6" s="57">
        <f>P6+1</f>
        <v>2011</v>
      </c>
      <c r="AH6" s="50"/>
      <c r="AI6" s="397"/>
      <c r="AJ6" s="398" t="s">
        <v>29</v>
      </c>
      <c r="AK6" s="398" t="str">
        <f t="shared" si="2"/>
        <v>: Pertambangan Bijih Logam</v>
      </c>
      <c r="AL6" s="398"/>
      <c r="AM6" s="398"/>
      <c r="AN6" s="398"/>
      <c r="AO6" s="400" t="s">
        <v>61</v>
      </c>
      <c r="AP6" s="398"/>
      <c r="AQ6" s="399"/>
      <c r="AR6" s="48"/>
      <c r="AS6" s="48"/>
      <c r="AT6" s="48"/>
      <c r="AU6" s="48"/>
      <c r="AV6" s="48"/>
      <c r="AW6" s="48"/>
      <c r="AX6" s="57">
        <f>AG6+1</f>
        <v>2012</v>
      </c>
      <c r="AY6" s="50"/>
      <c r="AZ6" s="397"/>
      <c r="BA6" s="398" t="s">
        <v>29</v>
      </c>
      <c r="BB6" s="398" t="str">
        <f t="shared" si="3"/>
        <v>: Pertambangan Bijih Logam</v>
      </c>
      <c r="BC6" s="398"/>
      <c r="BD6" s="398"/>
      <c r="BE6" s="398"/>
      <c r="BF6" s="400" t="s">
        <v>61</v>
      </c>
      <c r="BG6" s="398"/>
      <c r="BH6" s="399"/>
      <c r="BI6" s="48"/>
      <c r="BJ6" s="48"/>
      <c r="BK6" s="48"/>
      <c r="BL6" s="48"/>
      <c r="BM6" s="48"/>
      <c r="BN6" s="48"/>
      <c r="BO6" s="57">
        <f>AX6+1</f>
        <v>2013</v>
      </c>
      <c r="BP6" s="50"/>
      <c r="BQ6" s="397"/>
      <c r="BR6" s="398" t="s">
        <v>29</v>
      </c>
      <c r="BS6" s="398" t="str">
        <f t="shared" si="4"/>
        <v>: Pertambangan Bijih Logam</v>
      </c>
      <c r="BT6" s="398"/>
      <c r="BU6" s="398"/>
      <c r="BV6" s="398"/>
      <c r="BW6" s="400" t="s">
        <v>61</v>
      </c>
      <c r="BX6" s="398"/>
      <c r="BY6" s="399"/>
      <c r="BZ6" s="48"/>
      <c r="CA6" s="48"/>
      <c r="CB6" s="48"/>
      <c r="CC6" s="48"/>
      <c r="CD6" s="48"/>
      <c r="CE6" s="48"/>
      <c r="CF6" s="57">
        <f>BO6+1</f>
        <v>2014</v>
      </c>
      <c r="CG6" s="50"/>
      <c r="CH6" s="397"/>
      <c r="CI6" s="398" t="s">
        <v>29</v>
      </c>
      <c r="CJ6" s="398" t="str">
        <f t="shared" si="5"/>
        <v>: Pertambangan Bijih Logam</v>
      </c>
      <c r="CK6" s="398"/>
      <c r="CL6" s="398"/>
      <c r="CM6" s="398"/>
      <c r="CN6" s="400" t="s">
        <v>61</v>
      </c>
      <c r="CO6" s="398"/>
      <c r="CP6" s="399"/>
      <c r="CQ6" s="48"/>
      <c r="CR6" s="48"/>
      <c r="CS6" s="48"/>
      <c r="CT6" s="48"/>
      <c r="CU6" s="48"/>
      <c r="CV6" s="48"/>
      <c r="CW6" s="57">
        <f>CF6+1</f>
        <v>2015</v>
      </c>
      <c r="CX6" s="50"/>
      <c r="CY6" s="397"/>
      <c r="CZ6" s="398" t="s">
        <v>29</v>
      </c>
      <c r="DA6" s="398" t="str">
        <f t="shared" si="6"/>
        <v>: Pertambangan Bijih Logam</v>
      </c>
      <c r="DB6" s="398"/>
      <c r="DC6" s="398"/>
      <c r="DD6" s="398"/>
      <c r="DE6" s="400" t="s">
        <v>61</v>
      </c>
      <c r="DF6" s="398"/>
      <c r="DG6" s="399"/>
      <c r="DH6" s="48"/>
      <c r="DI6" s="48"/>
      <c r="DJ6" s="48"/>
      <c r="DK6" s="48"/>
      <c r="DL6" s="48"/>
      <c r="DM6" s="48"/>
      <c r="DN6" s="57">
        <f>CW6+1</f>
        <v>2016</v>
      </c>
      <c r="DO6" s="50"/>
      <c r="DP6" s="397"/>
      <c r="DQ6" s="398" t="s">
        <v>29</v>
      </c>
      <c r="DR6" s="398" t="str">
        <f t="shared" si="7"/>
        <v>: Pertambangan Bijih Logam</v>
      </c>
      <c r="DS6" s="398"/>
      <c r="DT6" s="398"/>
      <c r="DU6" s="398"/>
      <c r="DV6" s="400" t="s">
        <v>61</v>
      </c>
      <c r="DW6" s="398"/>
      <c r="DX6" s="399"/>
      <c r="DY6" s="48"/>
      <c r="DZ6" s="48"/>
      <c r="EA6" s="48"/>
      <c r="EB6" s="48"/>
      <c r="EC6" s="48"/>
      <c r="ED6" s="48"/>
      <c r="EE6" s="57">
        <f>DN6+1</f>
        <v>2017</v>
      </c>
      <c r="EF6" s="50"/>
      <c r="EG6" s="397"/>
      <c r="EH6" s="398" t="s">
        <v>29</v>
      </c>
      <c r="EI6" s="398" t="str">
        <f t="shared" si="8"/>
        <v>: Pertambangan Bijih Logam</v>
      </c>
      <c r="EJ6" s="398"/>
      <c r="EK6" s="398"/>
      <c r="EL6" s="398"/>
      <c r="EM6" s="400" t="s">
        <v>61</v>
      </c>
      <c r="EN6" s="398"/>
      <c r="EO6" s="399"/>
      <c r="EP6" s="48"/>
      <c r="EQ6" s="48"/>
      <c r="ER6" s="48"/>
      <c r="ES6" s="48"/>
      <c r="ET6" s="48"/>
      <c r="EU6" s="48"/>
      <c r="EV6" s="57">
        <f>EE6+1</f>
        <v>2018</v>
      </c>
      <c r="EW6" s="50"/>
      <c r="EX6" s="397"/>
      <c r="EY6" s="398" t="s">
        <v>29</v>
      </c>
      <c r="EZ6" s="398" t="str">
        <f t="shared" si="9"/>
        <v>: Pertambangan Bijih Logam</v>
      </c>
      <c r="FA6" s="398"/>
      <c r="FB6" s="398"/>
      <c r="FC6" s="398"/>
      <c r="FD6" s="400" t="s">
        <v>61</v>
      </c>
      <c r="FE6" s="398"/>
      <c r="FF6" s="399"/>
      <c r="FG6" s="48"/>
      <c r="FH6" s="48"/>
      <c r="FI6" s="48"/>
      <c r="FJ6" s="48"/>
      <c r="FK6" s="48"/>
      <c r="FL6" s="48"/>
      <c r="FM6" s="57">
        <f>EV6+1</f>
        <v>2019</v>
      </c>
      <c r="FN6" s="50"/>
      <c r="FO6" s="397"/>
      <c r="FP6" s="398" t="s">
        <v>29</v>
      </c>
      <c r="FQ6" s="398" t="str">
        <f t="shared" si="10"/>
        <v>: Pertambangan Bijih Logam</v>
      </c>
      <c r="FR6" s="398"/>
      <c r="FS6" s="398"/>
      <c r="FT6" s="398"/>
      <c r="FU6" s="400" t="s">
        <v>61</v>
      </c>
      <c r="FV6" s="398"/>
      <c r="FW6" s="399"/>
      <c r="FX6" s="48"/>
      <c r="FY6" s="48"/>
      <c r="FZ6" s="48"/>
      <c r="GA6" s="48"/>
      <c r="GB6" s="48"/>
      <c r="GC6" s="48"/>
      <c r="GD6" s="57">
        <f>FM6+1</f>
        <v>2020</v>
      </c>
      <c r="GE6" s="50"/>
      <c r="GF6" s="397"/>
      <c r="GG6" s="398" t="s">
        <v>29</v>
      </c>
      <c r="GH6" s="398" t="str">
        <f t="shared" si="11"/>
        <v>: Pertambangan Bijih Logam</v>
      </c>
      <c r="GI6" s="398"/>
      <c r="GJ6" s="398"/>
      <c r="GK6" s="398"/>
      <c r="GL6" s="400" t="s">
        <v>61</v>
      </c>
      <c r="GM6" s="398"/>
      <c r="GN6" s="399"/>
      <c r="GO6" s="48"/>
      <c r="GP6" s="48"/>
      <c r="GQ6" s="48"/>
      <c r="GR6" s="48"/>
      <c r="GS6" s="48"/>
      <c r="GT6" s="48"/>
      <c r="GU6" s="57">
        <f>GD6+1</f>
        <v>2021</v>
      </c>
      <c r="GV6" s="50"/>
      <c r="GW6" s="397"/>
      <c r="GX6" s="398" t="s">
        <v>29</v>
      </c>
      <c r="GY6" s="398" t="str">
        <f t="shared" si="12"/>
        <v>: Pertambangan Bijih Logam</v>
      </c>
      <c r="GZ6" s="398"/>
      <c r="HA6" s="398"/>
      <c r="HB6" s="398"/>
      <c r="HC6" s="400" t="s">
        <v>61</v>
      </c>
      <c r="HD6" s="398"/>
      <c r="HE6" s="399"/>
      <c r="HF6" s="48"/>
      <c r="HG6" s="48"/>
      <c r="HH6" s="48"/>
      <c r="HI6" s="48"/>
      <c r="HJ6" s="48"/>
      <c r="HK6" s="48"/>
      <c r="HL6" s="57">
        <f>GU6+1</f>
        <v>2022</v>
      </c>
      <c r="HM6" s="50"/>
      <c r="HN6" s="397"/>
      <c r="HO6" s="398" t="s">
        <v>29</v>
      </c>
      <c r="HP6" s="398" t="str">
        <f t="shared" si="13"/>
        <v>: Pertambangan Bijih Logam</v>
      </c>
      <c r="HQ6" s="398"/>
      <c r="HR6" s="398"/>
      <c r="HS6" s="398"/>
      <c r="HT6" s="400" t="s">
        <v>61</v>
      </c>
      <c r="HU6" s="398"/>
      <c r="HV6" s="399"/>
      <c r="HW6" s="48"/>
      <c r="HX6" s="48"/>
      <c r="HY6" s="48"/>
      <c r="HZ6" s="48"/>
      <c r="IA6" s="48"/>
      <c r="IB6" s="48"/>
      <c r="IC6" s="57">
        <f>HL6+1</f>
        <v>2023</v>
      </c>
      <c r="ID6" s="50"/>
      <c r="IE6" s="397"/>
      <c r="IF6" s="398" t="s">
        <v>29</v>
      </c>
      <c r="IG6" s="398" t="str">
        <f t="shared" si="14"/>
        <v>: Pertambangan Bijih Logam</v>
      </c>
      <c r="IH6" s="398"/>
      <c r="II6" s="398"/>
      <c r="IJ6" s="398"/>
      <c r="IK6" s="400" t="s">
        <v>61</v>
      </c>
      <c r="IL6" s="398"/>
      <c r="IM6" s="399"/>
      <c r="IN6" s="48"/>
      <c r="IO6" s="48"/>
      <c r="IP6" s="48"/>
      <c r="IQ6" s="48"/>
      <c r="IR6" s="48"/>
      <c r="IS6" s="48"/>
      <c r="IT6" s="57">
        <f>IC6+1</f>
        <v>2024</v>
      </c>
      <c r="IU6" s="50"/>
      <c r="IV6" s="397"/>
      <c r="IW6" s="398" t="s">
        <v>29</v>
      </c>
      <c r="IX6" s="398" t="str">
        <f t="shared" si="15"/>
        <v>: Pertambangan Bijih Logam</v>
      </c>
      <c r="IY6" s="398"/>
      <c r="IZ6" s="398"/>
      <c r="JA6" s="398"/>
      <c r="JB6" s="400" t="s">
        <v>61</v>
      </c>
      <c r="JC6" s="398"/>
      <c r="JD6" s="399"/>
      <c r="JE6" s="48"/>
      <c r="JF6" s="48"/>
      <c r="JG6" s="48"/>
      <c r="JH6" s="48"/>
      <c r="JI6" s="48"/>
      <c r="JJ6" s="48"/>
      <c r="JK6" s="57">
        <f>IT6+1</f>
        <v>2025</v>
      </c>
      <c r="JL6" s="51"/>
      <c r="JM6" s="397"/>
      <c r="JN6" s="398" t="s">
        <v>29</v>
      </c>
      <c r="JO6" s="398" t="str">
        <f t="shared" si="16"/>
        <v>: Pertambangan Bijih Logam</v>
      </c>
      <c r="JP6" s="398"/>
      <c r="JQ6" s="398"/>
      <c r="JR6" s="398"/>
      <c r="JS6" s="400" t="s">
        <v>61</v>
      </c>
      <c r="JT6" s="398"/>
      <c r="JU6" s="399"/>
      <c r="JV6" s="48"/>
      <c r="JW6" s="48"/>
      <c r="JX6" s="48"/>
      <c r="JY6" s="48"/>
      <c r="JZ6" s="48"/>
      <c r="KA6" s="48"/>
      <c r="KB6" s="57">
        <f>JK6+1</f>
        <v>2026</v>
      </c>
      <c r="KC6" s="51"/>
      <c r="KD6" s="397"/>
      <c r="KE6" s="398" t="s">
        <v>29</v>
      </c>
      <c r="KF6" s="398" t="str">
        <f t="shared" si="17"/>
        <v>: Pertambangan Bijih Logam</v>
      </c>
      <c r="KG6" s="398"/>
      <c r="KH6" s="398"/>
      <c r="KI6" s="398"/>
      <c r="KJ6" s="400" t="s">
        <v>61</v>
      </c>
      <c r="KK6" s="398"/>
      <c r="KL6" s="399"/>
      <c r="KM6" s="48"/>
      <c r="KN6" s="48"/>
      <c r="KO6" s="48"/>
      <c r="KP6" s="48"/>
      <c r="KQ6" s="48"/>
      <c r="KR6" s="48"/>
      <c r="KS6" s="57">
        <f>KB6+1</f>
        <v>2027</v>
      </c>
      <c r="KT6" s="51"/>
      <c r="KU6" s="48"/>
    </row>
    <row r="7">
      <c r="A7" s="397"/>
      <c r="B7" s="398" t="s">
        <v>31</v>
      </c>
      <c r="C7" s="398" t="s">
        <v>56</v>
      </c>
      <c r="D7" s="398"/>
      <c r="E7" s="398"/>
      <c r="F7" s="398"/>
      <c r="G7" s="401" t="str">
        <f>"Tahun "&amp;P$6</f>
        <v>Tahun 2010</v>
      </c>
      <c r="H7" s="398"/>
      <c r="I7" s="399"/>
      <c r="J7" s="48"/>
      <c r="K7" s="48"/>
      <c r="L7" s="48"/>
      <c r="M7" s="48"/>
      <c r="N7" s="48"/>
      <c r="O7" s="48"/>
      <c r="P7" s="55"/>
      <c r="Q7" s="50"/>
      <c r="R7" s="397"/>
      <c r="S7" s="398" t="s">
        <v>31</v>
      </c>
      <c r="T7" s="398" t="str">
        <f t="shared" si="1"/>
        <v>: Pertambangan Bijih Logam</v>
      </c>
      <c r="U7" s="398"/>
      <c r="V7" s="398"/>
      <c r="W7" s="398"/>
      <c r="X7" s="401" t="str">
        <f>"Tahun "&amp;AG$6</f>
        <v>Tahun 2011</v>
      </c>
      <c r="Y7" s="398"/>
      <c r="Z7" s="399"/>
      <c r="AA7" s="48"/>
      <c r="AB7" s="48"/>
      <c r="AC7" s="48"/>
      <c r="AD7" s="48"/>
      <c r="AE7" s="48"/>
      <c r="AF7" s="48"/>
      <c r="AG7" s="55"/>
      <c r="AH7" s="50"/>
      <c r="AI7" s="397"/>
      <c r="AJ7" s="398" t="s">
        <v>31</v>
      </c>
      <c r="AK7" s="398" t="str">
        <f t="shared" si="2"/>
        <v>: Pertambangan Bijih Logam</v>
      </c>
      <c r="AL7" s="398"/>
      <c r="AM7" s="398"/>
      <c r="AN7" s="398"/>
      <c r="AO7" s="401" t="str">
        <f>"Tahun "&amp;AX$6</f>
        <v>Tahun 2012</v>
      </c>
      <c r="AP7" s="398"/>
      <c r="AQ7" s="399"/>
      <c r="AR7" s="48"/>
      <c r="AS7" s="48"/>
      <c r="AT7" s="48"/>
      <c r="AU7" s="48"/>
      <c r="AV7" s="48"/>
      <c r="AW7" s="48"/>
      <c r="AX7" s="55"/>
      <c r="AY7" s="50"/>
      <c r="AZ7" s="397"/>
      <c r="BA7" s="398" t="s">
        <v>31</v>
      </c>
      <c r="BB7" s="398" t="str">
        <f t="shared" si="3"/>
        <v>: Pertambangan Bijih Logam</v>
      </c>
      <c r="BC7" s="398"/>
      <c r="BD7" s="398"/>
      <c r="BE7" s="398"/>
      <c r="BF7" s="401" t="str">
        <f>"Tahun "&amp;BO$6</f>
        <v>Tahun 2013</v>
      </c>
      <c r="BG7" s="398"/>
      <c r="BH7" s="399"/>
      <c r="BI7" s="48"/>
      <c r="BJ7" s="48"/>
      <c r="BK7" s="48"/>
      <c r="BL7" s="48"/>
      <c r="BM7" s="48"/>
      <c r="BN7" s="48"/>
      <c r="BO7" s="55"/>
      <c r="BP7" s="50"/>
      <c r="BQ7" s="397"/>
      <c r="BR7" s="398" t="s">
        <v>31</v>
      </c>
      <c r="BS7" s="398" t="str">
        <f t="shared" si="4"/>
        <v>: Pertambangan Bijih Logam</v>
      </c>
      <c r="BT7" s="398"/>
      <c r="BU7" s="398"/>
      <c r="BV7" s="398"/>
      <c r="BW7" s="401" t="str">
        <f>"Tahun "&amp;CF$6</f>
        <v>Tahun 2014</v>
      </c>
      <c r="BX7" s="398"/>
      <c r="BY7" s="399"/>
      <c r="BZ7" s="48"/>
      <c r="CA7" s="48"/>
      <c r="CB7" s="48"/>
      <c r="CC7" s="48"/>
      <c r="CD7" s="48"/>
      <c r="CE7" s="48"/>
      <c r="CF7" s="55"/>
      <c r="CG7" s="50"/>
      <c r="CH7" s="397"/>
      <c r="CI7" s="398" t="s">
        <v>31</v>
      </c>
      <c r="CJ7" s="398" t="str">
        <f t="shared" si="5"/>
        <v>: Pertambangan Bijih Logam</v>
      </c>
      <c r="CK7" s="398"/>
      <c r="CL7" s="398"/>
      <c r="CM7" s="398"/>
      <c r="CN7" s="401" t="str">
        <f>"Tahun "&amp;CW$6</f>
        <v>Tahun 2015</v>
      </c>
      <c r="CO7" s="398"/>
      <c r="CP7" s="399"/>
      <c r="CQ7" s="48"/>
      <c r="CR7" s="48"/>
      <c r="CS7" s="48"/>
      <c r="CT7" s="48"/>
      <c r="CU7" s="48"/>
      <c r="CV7" s="48"/>
      <c r="CW7" s="55"/>
      <c r="CX7" s="50"/>
      <c r="CY7" s="397"/>
      <c r="CZ7" s="398" t="s">
        <v>31</v>
      </c>
      <c r="DA7" s="398" t="str">
        <f t="shared" si="6"/>
        <v>: Pertambangan Bijih Logam</v>
      </c>
      <c r="DB7" s="398"/>
      <c r="DC7" s="398"/>
      <c r="DD7" s="398"/>
      <c r="DE7" s="401" t="str">
        <f>"Tahun "&amp;DN$6</f>
        <v>Tahun 2016</v>
      </c>
      <c r="DF7" s="398"/>
      <c r="DG7" s="399"/>
      <c r="DH7" s="48"/>
      <c r="DI7" s="48"/>
      <c r="DJ7" s="48"/>
      <c r="DK7" s="48"/>
      <c r="DL7" s="48"/>
      <c r="DM7" s="48"/>
      <c r="DN7" s="55"/>
      <c r="DO7" s="50"/>
      <c r="DP7" s="397"/>
      <c r="DQ7" s="398" t="s">
        <v>31</v>
      </c>
      <c r="DR7" s="398" t="str">
        <f t="shared" si="7"/>
        <v>: Pertambangan Bijih Logam</v>
      </c>
      <c r="DS7" s="398"/>
      <c r="DT7" s="398"/>
      <c r="DU7" s="398"/>
      <c r="DV7" s="401" t="str">
        <f>"Tahun "&amp;EE$6</f>
        <v>Tahun 2017</v>
      </c>
      <c r="DW7" s="398"/>
      <c r="DX7" s="399"/>
      <c r="DY7" s="48"/>
      <c r="DZ7" s="48"/>
      <c r="EA7" s="48"/>
      <c r="EB7" s="48"/>
      <c r="EC7" s="48"/>
      <c r="ED7" s="48"/>
      <c r="EE7" s="55"/>
      <c r="EF7" s="50"/>
      <c r="EG7" s="397"/>
      <c r="EH7" s="398" t="s">
        <v>31</v>
      </c>
      <c r="EI7" s="398" t="str">
        <f t="shared" si="8"/>
        <v>: Pertambangan Bijih Logam</v>
      </c>
      <c r="EJ7" s="398"/>
      <c r="EK7" s="398"/>
      <c r="EL7" s="398"/>
      <c r="EM7" s="401" t="str">
        <f>"Tahun "&amp;EV$6</f>
        <v>Tahun 2018</v>
      </c>
      <c r="EN7" s="398"/>
      <c r="EO7" s="399"/>
      <c r="EP7" s="48"/>
      <c r="EQ7" s="48"/>
      <c r="ER7" s="48"/>
      <c r="ES7" s="48"/>
      <c r="ET7" s="48"/>
      <c r="EU7" s="48"/>
      <c r="EV7" s="55"/>
      <c r="EW7" s="50"/>
      <c r="EX7" s="397"/>
      <c r="EY7" s="398" t="s">
        <v>31</v>
      </c>
      <c r="EZ7" s="398" t="str">
        <f t="shared" si="9"/>
        <v>: Pertambangan Bijih Logam</v>
      </c>
      <c r="FA7" s="398"/>
      <c r="FB7" s="398"/>
      <c r="FC7" s="398"/>
      <c r="FD7" s="401" t="str">
        <f>"Tahun "&amp;FM$6</f>
        <v>Tahun 2019</v>
      </c>
      <c r="FE7" s="398"/>
      <c r="FF7" s="399"/>
      <c r="FG7" s="48"/>
      <c r="FH7" s="48"/>
      <c r="FI7" s="48"/>
      <c r="FJ7" s="48"/>
      <c r="FK7" s="48"/>
      <c r="FL7" s="48"/>
      <c r="FM7" s="55"/>
      <c r="FN7" s="50"/>
      <c r="FO7" s="397"/>
      <c r="FP7" s="398" t="s">
        <v>31</v>
      </c>
      <c r="FQ7" s="398" t="str">
        <f t="shared" si="10"/>
        <v>: Pertambangan Bijih Logam</v>
      </c>
      <c r="FR7" s="398"/>
      <c r="FS7" s="398"/>
      <c r="FT7" s="398"/>
      <c r="FU7" s="401" t="str">
        <f>"Tahun "&amp;GD$6</f>
        <v>Tahun 2020</v>
      </c>
      <c r="FV7" s="398"/>
      <c r="FW7" s="399"/>
      <c r="FX7" s="48"/>
      <c r="FY7" s="48"/>
      <c r="FZ7" s="48"/>
      <c r="GA7" s="48"/>
      <c r="GB7" s="48"/>
      <c r="GC7" s="48"/>
      <c r="GD7" s="55"/>
      <c r="GE7" s="50"/>
      <c r="GF7" s="397"/>
      <c r="GG7" s="398" t="s">
        <v>31</v>
      </c>
      <c r="GH7" s="398" t="str">
        <f t="shared" si="11"/>
        <v>: Pertambangan Bijih Logam</v>
      </c>
      <c r="GI7" s="398"/>
      <c r="GJ7" s="398"/>
      <c r="GK7" s="398"/>
      <c r="GL7" s="401" t="str">
        <f>"Tahun "&amp;GU$6</f>
        <v>Tahun 2021</v>
      </c>
      <c r="GM7" s="398"/>
      <c r="GN7" s="399"/>
      <c r="GO7" s="48"/>
      <c r="GP7" s="48"/>
      <c r="GQ7" s="48"/>
      <c r="GR7" s="48"/>
      <c r="GS7" s="48"/>
      <c r="GT7" s="48"/>
      <c r="GU7" s="55"/>
      <c r="GV7" s="50"/>
      <c r="GW7" s="397"/>
      <c r="GX7" s="398" t="s">
        <v>31</v>
      </c>
      <c r="GY7" s="398" t="str">
        <f t="shared" si="12"/>
        <v>: Pertambangan Bijih Logam</v>
      </c>
      <c r="GZ7" s="398"/>
      <c r="HA7" s="398"/>
      <c r="HB7" s="398"/>
      <c r="HC7" s="401" t="str">
        <f>"Tahun "&amp;HL$6</f>
        <v>Tahun 2022</v>
      </c>
      <c r="HD7" s="398"/>
      <c r="HE7" s="399"/>
      <c r="HF7" s="48"/>
      <c r="HG7" s="48"/>
      <c r="HH7" s="48"/>
      <c r="HI7" s="48"/>
      <c r="HJ7" s="48"/>
      <c r="HK7" s="48"/>
      <c r="HL7" s="55"/>
      <c r="HM7" s="50"/>
      <c r="HN7" s="397"/>
      <c r="HO7" s="398" t="s">
        <v>31</v>
      </c>
      <c r="HP7" s="398" t="str">
        <f t="shared" si="13"/>
        <v>: Pertambangan Bijih Logam</v>
      </c>
      <c r="HQ7" s="398"/>
      <c r="HR7" s="398"/>
      <c r="HS7" s="398"/>
      <c r="HT7" s="401" t="str">
        <f>"Tahun "&amp;IC$6</f>
        <v>Tahun 2023</v>
      </c>
      <c r="HU7" s="398"/>
      <c r="HV7" s="399"/>
      <c r="HW7" s="48"/>
      <c r="HX7" s="48"/>
      <c r="HY7" s="48"/>
      <c r="HZ7" s="48"/>
      <c r="IA7" s="48"/>
      <c r="IB7" s="48"/>
      <c r="IC7" s="55"/>
      <c r="ID7" s="50"/>
      <c r="IE7" s="397"/>
      <c r="IF7" s="398" t="s">
        <v>31</v>
      </c>
      <c r="IG7" s="398" t="str">
        <f t="shared" si="14"/>
        <v>: Pertambangan Bijih Logam</v>
      </c>
      <c r="IH7" s="398"/>
      <c r="II7" s="398"/>
      <c r="IJ7" s="398"/>
      <c r="IK7" s="401" t="str">
        <f>"Tahun "&amp;IT$6</f>
        <v>Tahun 2024</v>
      </c>
      <c r="IL7" s="398"/>
      <c r="IM7" s="399"/>
      <c r="IN7" s="48"/>
      <c r="IO7" s="48"/>
      <c r="IP7" s="48"/>
      <c r="IQ7" s="48"/>
      <c r="IR7" s="48"/>
      <c r="IS7" s="48"/>
      <c r="IT7" s="55"/>
      <c r="IU7" s="50"/>
      <c r="IV7" s="397"/>
      <c r="IW7" s="398" t="s">
        <v>31</v>
      </c>
      <c r="IX7" s="398" t="str">
        <f t="shared" si="15"/>
        <v>: Pertambangan Bijih Logam</v>
      </c>
      <c r="IY7" s="398"/>
      <c r="IZ7" s="398"/>
      <c r="JA7" s="398"/>
      <c r="JB7" s="401" t="str">
        <f>"Tahun "&amp;JK$6</f>
        <v>Tahun 2025</v>
      </c>
      <c r="JC7" s="398"/>
      <c r="JD7" s="399"/>
      <c r="JE7" s="48"/>
      <c r="JF7" s="48"/>
      <c r="JG7" s="48"/>
      <c r="JH7" s="48"/>
      <c r="JI7" s="48"/>
      <c r="JJ7" s="48"/>
      <c r="JK7" s="55"/>
      <c r="JL7" s="51"/>
      <c r="JM7" s="397"/>
      <c r="JN7" s="398" t="s">
        <v>31</v>
      </c>
      <c r="JO7" s="398" t="str">
        <f t="shared" si="16"/>
        <v>: Pertambangan Bijih Logam</v>
      </c>
      <c r="JP7" s="398"/>
      <c r="JQ7" s="398"/>
      <c r="JR7" s="398"/>
      <c r="JS7" s="401" t="str">
        <f>"Tahun "&amp;KB$6</f>
        <v>Tahun 2026</v>
      </c>
      <c r="JT7" s="398"/>
      <c r="JU7" s="399"/>
      <c r="JV7" s="48"/>
      <c r="JW7" s="48"/>
      <c r="JX7" s="48"/>
      <c r="JY7" s="48"/>
      <c r="JZ7" s="48"/>
      <c r="KA7" s="48"/>
      <c r="KB7" s="55"/>
      <c r="KC7" s="51"/>
      <c r="KD7" s="397"/>
      <c r="KE7" s="398" t="s">
        <v>31</v>
      </c>
      <c r="KF7" s="398" t="str">
        <f t="shared" si="17"/>
        <v>: Pertambangan Bijih Logam</v>
      </c>
      <c r="KG7" s="398"/>
      <c r="KH7" s="398"/>
      <c r="KI7" s="398"/>
      <c r="KJ7" s="401" t="str">
        <f>"Tahun "&amp;KS$6</f>
        <v>Tahun 2027</v>
      </c>
      <c r="KK7" s="398"/>
      <c r="KL7" s="399"/>
      <c r="KM7" s="48"/>
      <c r="KN7" s="48"/>
      <c r="KO7" s="48"/>
      <c r="KP7" s="48"/>
      <c r="KQ7" s="48"/>
      <c r="KR7" s="48"/>
      <c r="KS7" s="55"/>
      <c r="KT7" s="51"/>
      <c r="KU7" s="48"/>
    </row>
    <row r="8">
      <c r="A8" s="402"/>
      <c r="B8" s="403" t="s">
        <v>32</v>
      </c>
      <c r="C8" s="403" t="s">
        <v>62</v>
      </c>
      <c r="D8" s="403"/>
      <c r="E8" s="403"/>
      <c r="F8" s="403"/>
      <c r="G8" s="403"/>
      <c r="H8" s="403"/>
      <c r="I8" s="404"/>
      <c r="J8" s="48"/>
      <c r="K8" s="48"/>
      <c r="L8" s="48"/>
      <c r="M8" s="48"/>
      <c r="N8" s="48"/>
      <c r="O8" s="48"/>
      <c r="P8" s="48"/>
      <c r="Q8" s="50"/>
      <c r="R8" s="402"/>
      <c r="S8" s="403" t="s">
        <v>32</v>
      </c>
      <c r="T8" s="403" t="s">
        <v>33</v>
      </c>
      <c r="U8" s="403"/>
      <c r="V8" s="403"/>
      <c r="W8" s="403"/>
      <c r="X8" s="403"/>
      <c r="Y8" s="403"/>
      <c r="Z8" s="404"/>
      <c r="AA8" s="48"/>
      <c r="AB8" s="48"/>
      <c r="AC8" s="48"/>
      <c r="AD8" s="48"/>
      <c r="AE8" s="48"/>
      <c r="AF8" s="48"/>
      <c r="AG8" s="48"/>
      <c r="AH8" s="50"/>
      <c r="AI8" s="402"/>
      <c r="AJ8" s="403" t="s">
        <v>32</v>
      </c>
      <c r="AK8" s="403" t="s">
        <v>33</v>
      </c>
      <c r="AL8" s="403"/>
      <c r="AM8" s="403"/>
      <c r="AN8" s="403"/>
      <c r="AO8" s="403"/>
      <c r="AP8" s="403"/>
      <c r="AQ8" s="404"/>
      <c r="AR8" s="48"/>
      <c r="AS8" s="48"/>
      <c r="AT8" s="48"/>
      <c r="AU8" s="48"/>
      <c r="AV8" s="48"/>
      <c r="AW8" s="48"/>
      <c r="AX8" s="48"/>
      <c r="AY8" s="50"/>
      <c r="AZ8" s="402"/>
      <c r="BA8" s="403" t="s">
        <v>32</v>
      </c>
      <c r="BB8" s="403" t="s">
        <v>33</v>
      </c>
      <c r="BC8" s="403"/>
      <c r="BD8" s="403"/>
      <c r="BE8" s="403"/>
      <c r="BF8" s="403"/>
      <c r="BG8" s="403"/>
      <c r="BH8" s="404"/>
      <c r="BI8" s="48"/>
      <c r="BJ8" s="48"/>
      <c r="BK8" s="48"/>
      <c r="BL8" s="48"/>
      <c r="BM8" s="48"/>
      <c r="BN8" s="48"/>
      <c r="BO8" s="48"/>
      <c r="BP8" s="50"/>
      <c r="BQ8" s="402"/>
      <c r="BR8" s="403" t="s">
        <v>32</v>
      </c>
      <c r="BS8" s="403" t="s">
        <v>33</v>
      </c>
      <c r="BT8" s="403"/>
      <c r="BU8" s="403"/>
      <c r="BV8" s="403"/>
      <c r="BW8" s="403"/>
      <c r="BX8" s="403"/>
      <c r="BY8" s="404"/>
      <c r="BZ8" s="48"/>
      <c r="CA8" s="48"/>
      <c r="CB8" s="48"/>
      <c r="CC8" s="48"/>
      <c r="CD8" s="48"/>
      <c r="CE8" s="48"/>
      <c r="CF8" s="48"/>
      <c r="CG8" s="50"/>
      <c r="CH8" s="402"/>
      <c r="CI8" s="403" t="s">
        <v>32</v>
      </c>
      <c r="CJ8" s="403" t="s">
        <v>33</v>
      </c>
      <c r="CK8" s="403"/>
      <c r="CL8" s="403"/>
      <c r="CM8" s="403"/>
      <c r="CN8" s="403"/>
      <c r="CO8" s="403"/>
      <c r="CP8" s="404"/>
      <c r="CQ8" s="48"/>
      <c r="CR8" s="48"/>
      <c r="CS8" s="48"/>
      <c r="CT8" s="48"/>
      <c r="CU8" s="48"/>
      <c r="CV8" s="48"/>
      <c r="CW8" s="48"/>
      <c r="CX8" s="50"/>
      <c r="CY8" s="402"/>
      <c r="CZ8" s="403" t="s">
        <v>32</v>
      </c>
      <c r="DA8" s="403" t="s">
        <v>33</v>
      </c>
      <c r="DB8" s="403"/>
      <c r="DC8" s="403"/>
      <c r="DD8" s="403"/>
      <c r="DE8" s="403"/>
      <c r="DF8" s="403"/>
      <c r="DG8" s="404"/>
      <c r="DH8" s="48"/>
      <c r="DI8" s="48"/>
      <c r="DJ8" s="48"/>
      <c r="DK8" s="48"/>
      <c r="DL8" s="48"/>
      <c r="DM8" s="48"/>
      <c r="DN8" s="48"/>
      <c r="DO8" s="50"/>
      <c r="DP8" s="402"/>
      <c r="DQ8" s="403" t="s">
        <v>32</v>
      </c>
      <c r="DR8" s="403" t="s">
        <v>33</v>
      </c>
      <c r="DS8" s="403"/>
      <c r="DT8" s="403"/>
      <c r="DU8" s="403"/>
      <c r="DV8" s="403"/>
      <c r="DW8" s="403"/>
      <c r="DX8" s="404"/>
      <c r="DY8" s="48"/>
      <c r="DZ8" s="48"/>
      <c r="EA8" s="48"/>
      <c r="EB8" s="48"/>
      <c r="EC8" s="48"/>
      <c r="ED8" s="48"/>
      <c r="EE8" s="48"/>
      <c r="EF8" s="50"/>
      <c r="EG8" s="402"/>
      <c r="EH8" s="403" t="s">
        <v>32</v>
      </c>
      <c r="EI8" s="403" t="s">
        <v>33</v>
      </c>
      <c r="EJ8" s="403"/>
      <c r="EK8" s="403"/>
      <c r="EL8" s="403"/>
      <c r="EM8" s="403"/>
      <c r="EN8" s="403"/>
      <c r="EO8" s="404"/>
      <c r="EP8" s="48"/>
      <c r="EQ8" s="48"/>
      <c r="ER8" s="48"/>
      <c r="ES8" s="48"/>
      <c r="ET8" s="48"/>
      <c r="EU8" s="48"/>
      <c r="EV8" s="48"/>
      <c r="EW8" s="50"/>
      <c r="EX8" s="402"/>
      <c r="EY8" s="403" t="s">
        <v>32</v>
      </c>
      <c r="EZ8" s="403" t="s">
        <v>33</v>
      </c>
      <c r="FA8" s="403"/>
      <c r="FB8" s="403"/>
      <c r="FC8" s="403"/>
      <c r="FD8" s="403"/>
      <c r="FE8" s="403"/>
      <c r="FF8" s="404"/>
      <c r="FG8" s="48"/>
      <c r="FH8" s="48"/>
      <c r="FI8" s="48"/>
      <c r="FJ8" s="48"/>
      <c r="FK8" s="48"/>
      <c r="FL8" s="48"/>
      <c r="FM8" s="48"/>
      <c r="FN8" s="50"/>
      <c r="FO8" s="402"/>
      <c r="FP8" s="403" t="s">
        <v>32</v>
      </c>
      <c r="FQ8" s="403" t="s">
        <v>33</v>
      </c>
      <c r="FR8" s="403"/>
      <c r="FS8" s="403"/>
      <c r="FT8" s="403"/>
      <c r="FU8" s="403"/>
      <c r="FV8" s="403"/>
      <c r="FW8" s="404"/>
      <c r="FX8" s="48"/>
      <c r="FY8" s="48"/>
      <c r="FZ8" s="48"/>
      <c r="GA8" s="48"/>
      <c r="GB8" s="48"/>
      <c r="GC8" s="48"/>
      <c r="GD8" s="48"/>
      <c r="GE8" s="50"/>
      <c r="GF8" s="402"/>
      <c r="GG8" s="403" t="s">
        <v>32</v>
      </c>
      <c r="GH8" s="403" t="s">
        <v>33</v>
      </c>
      <c r="GI8" s="403"/>
      <c r="GJ8" s="403"/>
      <c r="GK8" s="403"/>
      <c r="GL8" s="403"/>
      <c r="GM8" s="403"/>
      <c r="GN8" s="404"/>
      <c r="GO8" s="48"/>
      <c r="GP8" s="48"/>
      <c r="GQ8" s="48"/>
      <c r="GR8" s="48"/>
      <c r="GS8" s="48"/>
      <c r="GT8" s="48"/>
      <c r="GU8" s="48"/>
      <c r="GV8" s="50"/>
      <c r="GW8" s="402"/>
      <c r="GX8" s="403" t="s">
        <v>32</v>
      </c>
      <c r="GY8" s="403" t="s">
        <v>33</v>
      </c>
      <c r="GZ8" s="403"/>
      <c r="HA8" s="403"/>
      <c r="HB8" s="403"/>
      <c r="HC8" s="403"/>
      <c r="HD8" s="403"/>
      <c r="HE8" s="404"/>
      <c r="HF8" s="48"/>
      <c r="HG8" s="48"/>
      <c r="HH8" s="48"/>
      <c r="HI8" s="48"/>
      <c r="HJ8" s="48"/>
      <c r="HK8" s="48"/>
      <c r="HL8" s="48"/>
      <c r="HM8" s="50"/>
      <c r="HN8" s="402"/>
      <c r="HO8" s="403" t="s">
        <v>32</v>
      </c>
      <c r="HP8" s="403" t="s">
        <v>33</v>
      </c>
      <c r="HQ8" s="403"/>
      <c r="HR8" s="403"/>
      <c r="HS8" s="403"/>
      <c r="HT8" s="403"/>
      <c r="HU8" s="403"/>
      <c r="HV8" s="404"/>
      <c r="HW8" s="48"/>
      <c r="HX8" s="48"/>
      <c r="HY8" s="48"/>
      <c r="HZ8" s="48"/>
      <c r="IA8" s="48"/>
      <c r="IB8" s="48"/>
      <c r="IC8" s="48"/>
      <c r="ID8" s="50"/>
      <c r="IE8" s="402"/>
      <c r="IF8" s="403" t="s">
        <v>32</v>
      </c>
      <c r="IG8" s="403" t="s">
        <v>33</v>
      </c>
      <c r="IH8" s="403"/>
      <c r="II8" s="403"/>
      <c r="IJ8" s="403"/>
      <c r="IK8" s="403"/>
      <c r="IL8" s="403"/>
      <c r="IM8" s="404"/>
      <c r="IN8" s="48"/>
      <c r="IO8" s="48"/>
      <c r="IP8" s="48"/>
      <c r="IQ8" s="48"/>
      <c r="IR8" s="48"/>
      <c r="IS8" s="48"/>
      <c r="IT8" s="48"/>
      <c r="IU8" s="50"/>
      <c r="IV8" s="402"/>
      <c r="IW8" s="403" t="s">
        <v>32</v>
      </c>
      <c r="IX8" s="403" t="s">
        <v>33</v>
      </c>
      <c r="IY8" s="403"/>
      <c r="IZ8" s="403"/>
      <c r="JA8" s="403"/>
      <c r="JB8" s="403"/>
      <c r="JC8" s="403"/>
      <c r="JD8" s="404"/>
      <c r="JE8" s="48"/>
      <c r="JF8" s="48"/>
      <c r="JG8" s="48"/>
      <c r="JH8" s="48"/>
      <c r="JI8" s="48"/>
      <c r="JJ8" s="48"/>
      <c r="JK8" s="48"/>
      <c r="JL8" s="50"/>
      <c r="JM8" s="402"/>
      <c r="JN8" s="403" t="s">
        <v>32</v>
      </c>
      <c r="JO8" s="403" t="s">
        <v>33</v>
      </c>
      <c r="JP8" s="403"/>
      <c r="JQ8" s="403"/>
      <c r="JR8" s="403"/>
      <c r="JS8" s="403"/>
      <c r="JT8" s="403"/>
      <c r="JU8" s="404"/>
      <c r="JV8" s="48"/>
      <c r="JW8" s="48"/>
      <c r="JX8" s="48"/>
      <c r="JY8" s="48"/>
      <c r="JZ8" s="48"/>
      <c r="KA8" s="48"/>
      <c r="KB8" s="48"/>
      <c r="KC8" s="50"/>
      <c r="KD8" s="402"/>
      <c r="KE8" s="403" t="s">
        <v>32</v>
      </c>
      <c r="KF8" s="403" t="s">
        <v>33</v>
      </c>
      <c r="KG8" s="403"/>
      <c r="KH8" s="403"/>
      <c r="KI8" s="403"/>
      <c r="KJ8" s="403"/>
      <c r="KK8" s="403"/>
      <c r="KL8" s="404"/>
      <c r="KM8" s="48"/>
      <c r="KN8" s="48"/>
      <c r="KO8" s="48"/>
      <c r="KP8" s="48"/>
      <c r="KQ8" s="48"/>
      <c r="KR8" s="48"/>
      <c r="KS8" s="48"/>
      <c r="KT8" s="50"/>
      <c r="KU8" s="48"/>
    </row>
    <row r="9">
      <c r="A9" s="44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7"/>
      <c r="R9" s="44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7"/>
      <c r="AI9" s="44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7"/>
      <c r="AZ9" s="44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7"/>
      <c r="BQ9" s="44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7"/>
      <c r="CH9" s="44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7"/>
      <c r="CY9" s="44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7"/>
      <c r="DP9" s="44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7"/>
      <c r="EG9" s="44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7"/>
      <c r="EX9" s="44"/>
      <c r="EY9" s="36"/>
      <c r="EZ9" s="36"/>
      <c r="FA9" s="36"/>
      <c r="FB9" s="36"/>
      <c r="FC9" s="36"/>
      <c r="FD9" s="36"/>
      <c r="FE9" s="36"/>
      <c r="FF9" s="36"/>
      <c r="FG9" s="36"/>
      <c r="FH9" s="36"/>
      <c r="FI9" s="36"/>
      <c r="FJ9" s="36"/>
      <c r="FK9" s="36"/>
      <c r="FL9" s="36"/>
      <c r="FM9" s="36"/>
      <c r="FN9" s="37"/>
      <c r="FO9" s="44"/>
      <c r="FP9" s="36"/>
      <c r="FQ9" s="36"/>
      <c r="FR9" s="36"/>
      <c r="FS9" s="36"/>
      <c r="FT9" s="36"/>
      <c r="FU9" s="36"/>
      <c r="FV9" s="36"/>
      <c r="FW9" s="36"/>
      <c r="FX9" s="36"/>
      <c r="FY9" s="36"/>
      <c r="FZ9" s="36"/>
      <c r="GA9" s="36"/>
      <c r="GB9" s="36"/>
      <c r="GC9" s="36"/>
      <c r="GD9" s="36"/>
      <c r="GE9" s="37"/>
      <c r="GF9" s="44"/>
      <c r="GG9" s="36"/>
      <c r="GH9" s="36"/>
      <c r="GI9" s="36"/>
      <c r="GJ9" s="36"/>
      <c r="GK9" s="36"/>
      <c r="GL9" s="36"/>
      <c r="GM9" s="36"/>
      <c r="GN9" s="36"/>
      <c r="GO9" s="36"/>
      <c r="GP9" s="36"/>
      <c r="GQ9" s="36"/>
      <c r="GR9" s="36"/>
      <c r="GS9" s="36"/>
      <c r="GT9" s="36"/>
      <c r="GU9" s="36"/>
      <c r="GV9" s="37"/>
      <c r="GW9" s="44"/>
      <c r="GX9" s="36"/>
      <c r="GY9" s="36"/>
      <c r="GZ9" s="36"/>
      <c r="HA9" s="36"/>
      <c r="HB9" s="36"/>
      <c r="HC9" s="36"/>
      <c r="HD9" s="36"/>
      <c r="HE9" s="36"/>
      <c r="HF9" s="36"/>
      <c r="HG9" s="36"/>
      <c r="HH9" s="36"/>
      <c r="HI9" s="36"/>
      <c r="HJ9" s="36"/>
      <c r="HK9" s="36"/>
      <c r="HL9" s="36"/>
      <c r="HM9" s="37"/>
      <c r="HN9" s="44"/>
      <c r="HO9" s="36"/>
      <c r="HP9" s="36"/>
      <c r="HQ9" s="36"/>
      <c r="HR9" s="36"/>
      <c r="HS9" s="36"/>
      <c r="HT9" s="36"/>
      <c r="HU9" s="36"/>
      <c r="HV9" s="36"/>
      <c r="HW9" s="36"/>
      <c r="HX9" s="36"/>
      <c r="HY9" s="36"/>
      <c r="HZ9" s="36"/>
      <c r="IA9" s="36"/>
      <c r="IB9" s="36"/>
      <c r="IC9" s="36"/>
      <c r="ID9" s="37"/>
      <c r="IE9" s="44"/>
      <c r="IF9" s="36"/>
      <c r="IG9" s="36"/>
      <c r="IH9" s="36"/>
      <c r="II9" s="36"/>
      <c r="IJ9" s="36"/>
      <c r="IK9" s="36"/>
      <c r="IL9" s="36"/>
      <c r="IM9" s="36"/>
      <c r="IN9" s="36"/>
      <c r="IO9" s="36"/>
      <c r="IP9" s="36"/>
      <c r="IQ9" s="36"/>
      <c r="IR9" s="36"/>
      <c r="IS9" s="36"/>
      <c r="IT9" s="36"/>
      <c r="IU9" s="37"/>
      <c r="IV9" s="44"/>
      <c r="IW9" s="36"/>
      <c r="IX9" s="36"/>
      <c r="IY9" s="36"/>
      <c r="IZ9" s="36"/>
      <c r="JA9" s="36"/>
      <c r="JB9" s="36"/>
      <c r="JC9" s="36"/>
      <c r="JD9" s="36"/>
      <c r="JE9" s="36"/>
      <c r="JF9" s="36"/>
      <c r="JG9" s="36"/>
      <c r="JH9" s="36"/>
      <c r="JI9" s="36"/>
      <c r="JJ9" s="36"/>
      <c r="JK9" s="36"/>
      <c r="JL9" s="37"/>
      <c r="JM9" s="44"/>
      <c r="JN9" s="36"/>
      <c r="JO9" s="36"/>
      <c r="JP9" s="36"/>
      <c r="JQ9" s="36"/>
      <c r="JR9" s="36"/>
      <c r="JS9" s="36"/>
      <c r="JT9" s="36"/>
      <c r="JU9" s="36"/>
      <c r="JV9" s="36"/>
      <c r="JW9" s="36"/>
      <c r="JX9" s="36"/>
      <c r="JY9" s="36"/>
      <c r="JZ9" s="36"/>
      <c r="KA9" s="36"/>
      <c r="KB9" s="36"/>
      <c r="KC9" s="37"/>
      <c r="KD9" s="44"/>
      <c r="KE9" s="36"/>
      <c r="KF9" s="36"/>
      <c r="KG9" s="36"/>
      <c r="KH9" s="36"/>
      <c r="KI9" s="36"/>
      <c r="KJ9" s="36"/>
      <c r="KK9" s="36"/>
      <c r="KL9" s="36"/>
      <c r="KM9" s="36"/>
      <c r="KN9" s="36"/>
      <c r="KO9" s="36"/>
      <c r="KP9" s="36"/>
      <c r="KQ9" s="36"/>
      <c r="KR9" s="36"/>
      <c r="KS9" s="36"/>
      <c r="KT9" s="37"/>
      <c r="KU9" s="36"/>
    </row>
    <row r="10" ht="33.75" customHeight="1">
      <c r="A10" s="405" t="s">
        <v>34</v>
      </c>
      <c r="B10" s="64" t="s">
        <v>35</v>
      </c>
      <c r="C10" s="406" t="s">
        <v>36</v>
      </c>
      <c r="D10" s="66"/>
      <c r="E10" s="66"/>
      <c r="F10" s="66"/>
      <c r="G10" s="67"/>
      <c r="H10" s="65" t="s">
        <v>37</v>
      </c>
      <c r="I10" s="67"/>
      <c r="J10" s="406" t="s">
        <v>38</v>
      </c>
      <c r="K10" s="66"/>
      <c r="L10" s="67"/>
      <c r="M10" s="64" t="s">
        <v>39</v>
      </c>
      <c r="N10" s="65" t="s">
        <v>40</v>
      </c>
      <c r="O10" s="67"/>
      <c r="P10" s="68" t="s">
        <v>41</v>
      </c>
      <c r="Q10" s="69"/>
      <c r="R10" s="405" t="s">
        <v>34</v>
      </c>
      <c r="S10" s="64" t="s">
        <v>35</v>
      </c>
      <c r="T10" s="406" t="s">
        <v>36</v>
      </c>
      <c r="U10" s="66"/>
      <c r="V10" s="66"/>
      <c r="W10" s="66"/>
      <c r="X10" s="67"/>
      <c r="Y10" s="65" t="s">
        <v>37</v>
      </c>
      <c r="Z10" s="67"/>
      <c r="AA10" s="406" t="s">
        <v>38</v>
      </c>
      <c r="AB10" s="66"/>
      <c r="AC10" s="67"/>
      <c r="AD10" s="64" t="s">
        <v>39</v>
      </c>
      <c r="AE10" s="65" t="s">
        <v>40</v>
      </c>
      <c r="AF10" s="67"/>
      <c r="AG10" s="68" t="s">
        <v>41</v>
      </c>
      <c r="AH10" s="69"/>
      <c r="AI10" s="405" t="s">
        <v>34</v>
      </c>
      <c r="AJ10" s="64" t="s">
        <v>35</v>
      </c>
      <c r="AK10" s="406" t="s">
        <v>36</v>
      </c>
      <c r="AL10" s="66"/>
      <c r="AM10" s="66"/>
      <c r="AN10" s="66"/>
      <c r="AO10" s="67"/>
      <c r="AP10" s="65" t="s">
        <v>37</v>
      </c>
      <c r="AQ10" s="67"/>
      <c r="AR10" s="406" t="s">
        <v>38</v>
      </c>
      <c r="AS10" s="66"/>
      <c r="AT10" s="67"/>
      <c r="AU10" s="64" t="s">
        <v>39</v>
      </c>
      <c r="AV10" s="65" t="s">
        <v>40</v>
      </c>
      <c r="AW10" s="67"/>
      <c r="AX10" s="68" t="s">
        <v>41</v>
      </c>
      <c r="AY10" s="69"/>
      <c r="AZ10" s="405" t="s">
        <v>34</v>
      </c>
      <c r="BA10" s="64" t="s">
        <v>35</v>
      </c>
      <c r="BB10" s="406" t="s">
        <v>36</v>
      </c>
      <c r="BC10" s="66"/>
      <c r="BD10" s="66"/>
      <c r="BE10" s="66"/>
      <c r="BF10" s="67"/>
      <c r="BG10" s="65" t="s">
        <v>37</v>
      </c>
      <c r="BH10" s="67"/>
      <c r="BI10" s="406" t="s">
        <v>38</v>
      </c>
      <c r="BJ10" s="66"/>
      <c r="BK10" s="67"/>
      <c r="BL10" s="64" t="s">
        <v>39</v>
      </c>
      <c r="BM10" s="65" t="s">
        <v>40</v>
      </c>
      <c r="BN10" s="67"/>
      <c r="BO10" s="68" t="s">
        <v>41</v>
      </c>
      <c r="BP10" s="69"/>
      <c r="BQ10" s="405" t="s">
        <v>34</v>
      </c>
      <c r="BR10" s="64" t="s">
        <v>35</v>
      </c>
      <c r="BS10" s="406" t="s">
        <v>36</v>
      </c>
      <c r="BT10" s="66"/>
      <c r="BU10" s="66"/>
      <c r="BV10" s="66"/>
      <c r="BW10" s="67"/>
      <c r="BX10" s="65" t="s">
        <v>37</v>
      </c>
      <c r="BY10" s="67"/>
      <c r="BZ10" s="406" t="s">
        <v>38</v>
      </c>
      <c r="CA10" s="66"/>
      <c r="CB10" s="67"/>
      <c r="CC10" s="64" t="s">
        <v>39</v>
      </c>
      <c r="CD10" s="65" t="s">
        <v>40</v>
      </c>
      <c r="CE10" s="67"/>
      <c r="CF10" s="68" t="s">
        <v>41</v>
      </c>
      <c r="CG10" s="69"/>
      <c r="CH10" s="405" t="s">
        <v>34</v>
      </c>
      <c r="CI10" s="64" t="s">
        <v>35</v>
      </c>
      <c r="CJ10" s="406" t="s">
        <v>36</v>
      </c>
      <c r="CK10" s="66"/>
      <c r="CL10" s="66"/>
      <c r="CM10" s="66"/>
      <c r="CN10" s="67"/>
      <c r="CO10" s="65" t="s">
        <v>37</v>
      </c>
      <c r="CP10" s="67"/>
      <c r="CQ10" s="406" t="s">
        <v>38</v>
      </c>
      <c r="CR10" s="66"/>
      <c r="CS10" s="67"/>
      <c r="CT10" s="64" t="s">
        <v>39</v>
      </c>
      <c r="CU10" s="65" t="s">
        <v>40</v>
      </c>
      <c r="CV10" s="67"/>
      <c r="CW10" s="68" t="s">
        <v>41</v>
      </c>
      <c r="CX10" s="69"/>
      <c r="CY10" s="405" t="s">
        <v>34</v>
      </c>
      <c r="CZ10" s="64" t="s">
        <v>35</v>
      </c>
      <c r="DA10" s="406" t="s">
        <v>36</v>
      </c>
      <c r="DB10" s="66"/>
      <c r="DC10" s="66"/>
      <c r="DD10" s="66"/>
      <c r="DE10" s="67"/>
      <c r="DF10" s="65" t="s">
        <v>37</v>
      </c>
      <c r="DG10" s="67"/>
      <c r="DH10" s="406" t="s">
        <v>38</v>
      </c>
      <c r="DI10" s="66"/>
      <c r="DJ10" s="67"/>
      <c r="DK10" s="64" t="s">
        <v>39</v>
      </c>
      <c r="DL10" s="65" t="s">
        <v>40</v>
      </c>
      <c r="DM10" s="67"/>
      <c r="DN10" s="68" t="s">
        <v>41</v>
      </c>
      <c r="DO10" s="69"/>
      <c r="DP10" s="405" t="s">
        <v>34</v>
      </c>
      <c r="DQ10" s="64" t="s">
        <v>35</v>
      </c>
      <c r="DR10" s="406" t="s">
        <v>36</v>
      </c>
      <c r="DS10" s="66"/>
      <c r="DT10" s="66"/>
      <c r="DU10" s="66"/>
      <c r="DV10" s="67"/>
      <c r="DW10" s="65" t="s">
        <v>37</v>
      </c>
      <c r="DX10" s="67"/>
      <c r="DY10" s="406" t="s">
        <v>38</v>
      </c>
      <c r="DZ10" s="66"/>
      <c r="EA10" s="67"/>
      <c r="EB10" s="64" t="s">
        <v>39</v>
      </c>
      <c r="EC10" s="65" t="s">
        <v>40</v>
      </c>
      <c r="ED10" s="67"/>
      <c r="EE10" s="68" t="s">
        <v>41</v>
      </c>
      <c r="EF10" s="69"/>
      <c r="EG10" s="405" t="s">
        <v>34</v>
      </c>
      <c r="EH10" s="64" t="s">
        <v>35</v>
      </c>
      <c r="EI10" s="406" t="s">
        <v>36</v>
      </c>
      <c r="EJ10" s="66"/>
      <c r="EK10" s="66"/>
      <c r="EL10" s="66"/>
      <c r="EM10" s="67"/>
      <c r="EN10" s="65" t="s">
        <v>37</v>
      </c>
      <c r="EO10" s="67"/>
      <c r="EP10" s="406" t="s">
        <v>38</v>
      </c>
      <c r="EQ10" s="66"/>
      <c r="ER10" s="67"/>
      <c r="ES10" s="64" t="s">
        <v>39</v>
      </c>
      <c r="ET10" s="65" t="s">
        <v>40</v>
      </c>
      <c r="EU10" s="67"/>
      <c r="EV10" s="68" t="s">
        <v>41</v>
      </c>
      <c r="EW10" s="69"/>
      <c r="EX10" s="405" t="s">
        <v>34</v>
      </c>
      <c r="EY10" s="64" t="s">
        <v>35</v>
      </c>
      <c r="EZ10" s="406" t="s">
        <v>36</v>
      </c>
      <c r="FA10" s="66"/>
      <c r="FB10" s="66"/>
      <c r="FC10" s="66"/>
      <c r="FD10" s="67"/>
      <c r="FE10" s="65" t="s">
        <v>37</v>
      </c>
      <c r="FF10" s="67"/>
      <c r="FG10" s="406" t="s">
        <v>38</v>
      </c>
      <c r="FH10" s="66"/>
      <c r="FI10" s="67"/>
      <c r="FJ10" s="64" t="s">
        <v>39</v>
      </c>
      <c r="FK10" s="65" t="s">
        <v>40</v>
      </c>
      <c r="FL10" s="67"/>
      <c r="FM10" s="68" t="s">
        <v>41</v>
      </c>
      <c r="FN10" s="69"/>
      <c r="FO10" s="405" t="s">
        <v>34</v>
      </c>
      <c r="FP10" s="64" t="s">
        <v>35</v>
      </c>
      <c r="FQ10" s="406" t="s">
        <v>36</v>
      </c>
      <c r="FR10" s="66"/>
      <c r="FS10" s="66"/>
      <c r="FT10" s="66"/>
      <c r="FU10" s="67"/>
      <c r="FV10" s="65" t="s">
        <v>37</v>
      </c>
      <c r="FW10" s="67"/>
      <c r="FX10" s="406" t="s">
        <v>38</v>
      </c>
      <c r="FY10" s="66"/>
      <c r="FZ10" s="67"/>
      <c r="GA10" s="64" t="s">
        <v>39</v>
      </c>
      <c r="GB10" s="65" t="s">
        <v>40</v>
      </c>
      <c r="GC10" s="67"/>
      <c r="GD10" s="68" t="s">
        <v>41</v>
      </c>
      <c r="GE10" s="69"/>
      <c r="GF10" s="405" t="s">
        <v>34</v>
      </c>
      <c r="GG10" s="64" t="s">
        <v>35</v>
      </c>
      <c r="GH10" s="406" t="s">
        <v>36</v>
      </c>
      <c r="GI10" s="66"/>
      <c r="GJ10" s="66"/>
      <c r="GK10" s="66"/>
      <c r="GL10" s="67"/>
      <c r="GM10" s="65" t="s">
        <v>37</v>
      </c>
      <c r="GN10" s="67"/>
      <c r="GO10" s="406" t="s">
        <v>38</v>
      </c>
      <c r="GP10" s="66"/>
      <c r="GQ10" s="67"/>
      <c r="GR10" s="64" t="s">
        <v>39</v>
      </c>
      <c r="GS10" s="65" t="s">
        <v>40</v>
      </c>
      <c r="GT10" s="67"/>
      <c r="GU10" s="68" t="s">
        <v>41</v>
      </c>
      <c r="GV10" s="69"/>
      <c r="GW10" s="405" t="s">
        <v>34</v>
      </c>
      <c r="GX10" s="64" t="s">
        <v>35</v>
      </c>
      <c r="GY10" s="406" t="s">
        <v>36</v>
      </c>
      <c r="GZ10" s="66"/>
      <c r="HA10" s="66"/>
      <c r="HB10" s="66"/>
      <c r="HC10" s="67"/>
      <c r="HD10" s="65" t="s">
        <v>37</v>
      </c>
      <c r="HE10" s="67"/>
      <c r="HF10" s="406" t="s">
        <v>38</v>
      </c>
      <c r="HG10" s="66"/>
      <c r="HH10" s="67"/>
      <c r="HI10" s="64" t="s">
        <v>39</v>
      </c>
      <c r="HJ10" s="65" t="s">
        <v>40</v>
      </c>
      <c r="HK10" s="67"/>
      <c r="HL10" s="68" t="s">
        <v>41</v>
      </c>
      <c r="HM10" s="69"/>
      <c r="HN10" s="405" t="s">
        <v>34</v>
      </c>
      <c r="HO10" s="64" t="s">
        <v>35</v>
      </c>
      <c r="HP10" s="406" t="s">
        <v>36</v>
      </c>
      <c r="HQ10" s="66"/>
      <c r="HR10" s="66"/>
      <c r="HS10" s="66"/>
      <c r="HT10" s="67"/>
      <c r="HU10" s="65" t="s">
        <v>37</v>
      </c>
      <c r="HV10" s="67"/>
      <c r="HW10" s="406" t="s">
        <v>38</v>
      </c>
      <c r="HX10" s="66"/>
      <c r="HY10" s="67"/>
      <c r="HZ10" s="64" t="s">
        <v>39</v>
      </c>
      <c r="IA10" s="65" t="s">
        <v>40</v>
      </c>
      <c r="IB10" s="67"/>
      <c r="IC10" s="68" t="s">
        <v>41</v>
      </c>
      <c r="ID10" s="69"/>
      <c r="IE10" s="405" t="s">
        <v>34</v>
      </c>
      <c r="IF10" s="64" t="s">
        <v>35</v>
      </c>
      <c r="IG10" s="406" t="s">
        <v>36</v>
      </c>
      <c r="IH10" s="66"/>
      <c r="II10" s="66"/>
      <c r="IJ10" s="66"/>
      <c r="IK10" s="67"/>
      <c r="IL10" s="65" t="s">
        <v>37</v>
      </c>
      <c r="IM10" s="67"/>
      <c r="IN10" s="406" t="s">
        <v>38</v>
      </c>
      <c r="IO10" s="66"/>
      <c r="IP10" s="67"/>
      <c r="IQ10" s="64" t="s">
        <v>39</v>
      </c>
      <c r="IR10" s="65" t="s">
        <v>40</v>
      </c>
      <c r="IS10" s="67"/>
      <c r="IT10" s="68" t="s">
        <v>41</v>
      </c>
      <c r="IU10" s="69"/>
      <c r="IV10" s="405" t="s">
        <v>34</v>
      </c>
      <c r="IW10" s="64" t="s">
        <v>35</v>
      </c>
      <c r="IX10" s="406" t="s">
        <v>36</v>
      </c>
      <c r="IY10" s="66"/>
      <c r="IZ10" s="66"/>
      <c r="JA10" s="66"/>
      <c r="JB10" s="67"/>
      <c r="JC10" s="65" t="s">
        <v>37</v>
      </c>
      <c r="JD10" s="67"/>
      <c r="JE10" s="406" t="s">
        <v>38</v>
      </c>
      <c r="JF10" s="66"/>
      <c r="JG10" s="67"/>
      <c r="JH10" s="64" t="s">
        <v>39</v>
      </c>
      <c r="JI10" s="65" t="s">
        <v>40</v>
      </c>
      <c r="JJ10" s="67"/>
      <c r="JK10" s="68" t="s">
        <v>41</v>
      </c>
      <c r="JL10" s="70"/>
      <c r="JM10" s="405" t="s">
        <v>34</v>
      </c>
      <c r="JN10" s="64" t="s">
        <v>35</v>
      </c>
      <c r="JO10" s="406" t="s">
        <v>36</v>
      </c>
      <c r="JP10" s="66"/>
      <c r="JQ10" s="66"/>
      <c r="JR10" s="66"/>
      <c r="JS10" s="67"/>
      <c r="JT10" s="65" t="s">
        <v>37</v>
      </c>
      <c r="JU10" s="67"/>
      <c r="JV10" s="406" t="s">
        <v>38</v>
      </c>
      <c r="JW10" s="66"/>
      <c r="JX10" s="67"/>
      <c r="JY10" s="64" t="s">
        <v>39</v>
      </c>
      <c r="JZ10" s="65" t="s">
        <v>40</v>
      </c>
      <c r="KA10" s="67"/>
      <c r="KB10" s="68" t="s">
        <v>41</v>
      </c>
      <c r="KC10" s="70"/>
      <c r="KD10" s="405" t="s">
        <v>34</v>
      </c>
      <c r="KE10" s="64" t="s">
        <v>35</v>
      </c>
      <c r="KF10" s="406" t="s">
        <v>36</v>
      </c>
      <c r="KG10" s="66"/>
      <c r="KH10" s="66"/>
      <c r="KI10" s="66"/>
      <c r="KJ10" s="67"/>
      <c r="KK10" s="65" t="s">
        <v>37</v>
      </c>
      <c r="KL10" s="67"/>
      <c r="KM10" s="406" t="s">
        <v>38</v>
      </c>
      <c r="KN10" s="66"/>
      <c r="KO10" s="67"/>
      <c r="KP10" s="64" t="s">
        <v>39</v>
      </c>
      <c r="KQ10" s="65" t="s">
        <v>40</v>
      </c>
      <c r="KR10" s="67"/>
      <c r="KS10" s="68" t="s">
        <v>41</v>
      </c>
      <c r="KT10" s="70"/>
      <c r="KU10" s="71"/>
    </row>
    <row r="11" ht="66.0" customHeight="1">
      <c r="A11" s="72"/>
      <c r="B11" s="55"/>
      <c r="C11" s="73" t="s">
        <v>42</v>
      </c>
      <c r="D11" s="73" t="s">
        <v>43</v>
      </c>
      <c r="E11" s="407" t="s">
        <v>44</v>
      </c>
      <c r="F11" s="73" t="s">
        <v>63</v>
      </c>
      <c r="G11" s="73" t="s">
        <v>46</v>
      </c>
      <c r="H11" s="74" t="s">
        <v>64</v>
      </c>
      <c r="I11" s="73" t="s">
        <v>48</v>
      </c>
      <c r="J11" s="74" t="s">
        <v>65</v>
      </c>
      <c r="K11" s="73" t="s">
        <v>66</v>
      </c>
      <c r="L11" s="73" t="s">
        <v>67</v>
      </c>
      <c r="M11" s="55"/>
      <c r="N11" s="74" t="s">
        <v>64</v>
      </c>
      <c r="O11" s="74" t="s">
        <v>50</v>
      </c>
      <c r="P11" s="75"/>
      <c r="Q11" s="69"/>
      <c r="R11" s="72"/>
      <c r="S11" s="55"/>
      <c r="T11" s="73" t="s">
        <v>42</v>
      </c>
      <c r="U11" s="73" t="s">
        <v>43</v>
      </c>
      <c r="V11" s="407" t="s">
        <v>44</v>
      </c>
      <c r="W11" s="73" t="s">
        <v>63</v>
      </c>
      <c r="X11" s="73" t="s">
        <v>46</v>
      </c>
      <c r="Y11" s="74" t="s">
        <v>64</v>
      </c>
      <c r="Z11" s="73" t="s">
        <v>48</v>
      </c>
      <c r="AA11" s="74" t="s">
        <v>65</v>
      </c>
      <c r="AB11" s="73" t="s">
        <v>66</v>
      </c>
      <c r="AC11" s="73" t="s">
        <v>67</v>
      </c>
      <c r="AD11" s="55"/>
      <c r="AE11" s="74" t="s">
        <v>64</v>
      </c>
      <c r="AF11" s="74" t="s">
        <v>50</v>
      </c>
      <c r="AG11" s="75"/>
      <c r="AH11" s="69"/>
      <c r="AI11" s="72"/>
      <c r="AJ11" s="55"/>
      <c r="AK11" s="73" t="s">
        <v>42</v>
      </c>
      <c r="AL11" s="73" t="s">
        <v>43</v>
      </c>
      <c r="AM11" s="407" t="s">
        <v>44</v>
      </c>
      <c r="AN11" s="73" t="s">
        <v>63</v>
      </c>
      <c r="AO11" s="73" t="s">
        <v>46</v>
      </c>
      <c r="AP11" s="74" t="s">
        <v>64</v>
      </c>
      <c r="AQ11" s="73" t="s">
        <v>48</v>
      </c>
      <c r="AR11" s="74" t="s">
        <v>65</v>
      </c>
      <c r="AS11" s="73" t="s">
        <v>66</v>
      </c>
      <c r="AT11" s="73" t="s">
        <v>67</v>
      </c>
      <c r="AU11" s="55"/>
      <c r="AV11" s="74" t="s">
        <v>64</v>
      </c>
      <c r="AW11" s="74" t="s">
        <v>50</v>
      </c>
      <c r="AX11" s="75"/>
      <c r="AY11" s="69"/>
      <c r="AZ11" s="72"/>
      <c r="BA11" s="55"/>
      <c r="BB11" s="73" t="s">
        <v>42</v>
      </c>
      <c r="BC11" s="73" t="s">
        <v>43</v>
      </c>
      <c r="BD11" s="407" t="s">
        <v>44</v>
      </c>
      <c r="BE11" s="73" t="s">
        <v>63</v>
      </c>
      <c r="BF11" s="73" t="s">
        <v>46</v>
      </c>
      <c r="BG11" s="74" t="s">
        <v>64</v>
      </c>
      <c r="BH11" s="73" t="s">
        <v>48</v>
      </c>
      <c r="BI11" s="74" t="s">
        <v>65</v>
      </c>
      <c r="BJ11" s="73" t="s">
        <v>66</v>
      </c>
      <c r="BK11" s="73" t="s">
        <v>67</v>
      </c>
      <c r="BL11" s="55"/>
      <c r="BM11" s="74" t="s">
        <v>64</v>
      </c>
      <c r="BN11" s="74" t="s">
        <v>50</v>
      </c>
      <c r="BO11" s="75"/>
      <c r="BP11" s="69"/>
      <c r="BQ11" s="72"/>
      <c r="BR11" s="55"/>
      <c r="BS11" s="73" t="s">
        <v>42</v>
      </c>
      <c r="BT11" s="73" t="s">
        <v>43</v>
      </c>
      <c r="BU11" s="407" t="s">
        <v>44</v>
      </c>
      <c r="BV11" s="73" t="s">
        <v>63</v>
      </c>
      <c r="BW11" s="73" t="s">
        <v>46</v>
      </c>
      <c r="BX11" s="74" t="s">
        <v>64</v>
      </c>
      <c r="BY11" s="73" t="s">
        <v>48</v>
      </c>
      <c r="BZ11" s="74" t="s">
        <v>65</v>
      </c>
      <c r="CA11" s="73" t="s">
        <v>66</v>
      </c>
      <c r="CB11" s="73" t="s">
        <v>67</v>
      </c>
      <c r="CC11" s="55"/>
      <c r="CD11" s="74" t="s">
        <v>64</v>
      </c>
      <c r="CE11" s="74" t="s">
        <v>50</v>
      </c>
      <c r="CF11" s="75"/>
      <c r="CG11" s="69"/>
      <c r="CH11" s="72"/>
      <c r="CI11" s="55"/>
      <c r="CJ11" s="73" t="s">
        <v>42</v>
      </c>
      <c r="CK11" s="73" t="s">
        <v>43</v>
      </c>
      <c r="CL11" s="407" t="s">
        <v>44</v>
      </c>
      <c r="CM11" s="73" t="s">
        <v>63</v>
      </c>
      <c r="CN11" s="73" t="s">
        <v>46</v>
      </c>
      <c r="CO11" s="74" t="s">
        <v>64</v>
      </c>
      <c r="CP11" s="73" t="s">
        <v>48</v>
      </c>
      <c r="CQ11" s="74" t="s">
        <v>65</v>
      </c>
      <c r="CR11" s="73" t="s">
        <v>66</v>
      </c>
      <c r="CS11" s="73" t="s">
        <v>67</v>
      </c>
      <c r="CT11" s="55"/>
      <c r="CU11" s="74" t="s">
        <v>64</v>
      </c>
      <c r="CV11" s="74" t="s">
        <v>50</v>
      </c>
      <c r="CW11" s="75"/>
      <c r="CX11" s="69"/>
      <c r="CY11" s="72"/>
      <c r="CZ11" s="55"/>
      <c r="DA11" s="73" t="s">
        <v>42</v>
      </c>
      <c r="DB11" s="73" t="s">
        <v>43</v>
      </c>
      <c r="DC11" s="407" t="s">
        <v>44</v>
      </c>
      <c r="DD11" s="73" t="s">
        <v>63</v>
      </c>
      <c r="DE11" s="73" t="s">
        <v>46</v>
      </c>
      <c r="DF11" s="74" t="s">
        <v>64</v>
      </c>
      <c r="DG11" s="73" t="s">
        <v>48</v>
      </c>
      <c r="DH11" s="74" t="s">
        <v>65</v>
      </c>
      <c r="DI11" s="73" t="s">
        <v>66</v>
      </c>
      <c r="DJ11" s="73" t="s">
        <v>67</v>
      </c>
      <c r="DK11" s="55"/>
      <c r="DL11" s="74" t="s">
        <v>64</v>
      </c>
      <c r="DM11" s="74" t="s">
        <v>50</v>
      </c>
      <c r="DN11" s="75"/>
      <c r="DO11" s="69"/>
      <c r="DP11" s="72"/>
      <c r="DQ11" s="55"/>
      <c r="DR11" s="73" t="s">
        <v>42</v>
      </c>
      <c r="DS11" s="73" t="s">
        <v>43</v>
      </c>
      <c r="DT11" s="407" t="s">
        <v>44</v>
      </c>
      <c r="DU11" s="73" t="s">
        <v>63</v>
      </c>
      <c r="DV11" s="73" t="s">
        <v>46</v>
      </c>
      <c r="DW11" s="74" t="s">
        <v>64</v>
      </c>
      <c r="DX11" s="73" t="s">
        <v>48</v>
      </c>
      <c r="DY11" s="74" t="s">
        <v>65</v>
      </c>
      <c r="DZ11" s="73" t="s">
        <v>66</v>
      </c>
      <c r="EA11" s="73" t="s">
        <v>67</v>
      </c>
      <c r="EB11" s="55"/>
      <c r="EC11" s="74" t="s">
        <v>64</v>
      </c>
      <c r="ED11" s="74" t="s">
        <v>50</v>
      </c>
      <c r="EE11" s="75"/>
      <c r="EF11" s="69"/>
      <c r="EG11" s="72"/>
      <c r="EH11" s="55"/>
      <c r="EI11" s="73" t="s">
        <v>42</v>
      </c>
      <c r="EJ11" s="73" t="s">
        <v>43</v>
      </c>
      <c r="EK11" s="407" t="s">
        <v>44</v>
      </c>
      <c r="EL11" s="73" t="s">
        <v>63</v>
      </c>
      <c r="EM11" s="73" t="s">
        <v>46</v>
      </c>
      <c r="EN11" s="74" t="s">
        <v>64</v>
      </c>
      <c r="EO11" s="73" t="s">
        <v>48</v>
      </c>
      <c r="EP11" s="74" t="s">
        <v>65</v>
      </c>
      <c r="EQ11" s="73" t="s">
        <v>66</v>
      </c>
      <c r="ER11" s="73" t="s">
        <v>67</v>
      </c>
      <c r="ES11" s="55"/>
      <c r="ET11" s="74" t="s">
        <v>64</v>
      </c>
      <c r="EU11" s="74" t="s">
        <v>50</v>
      </c>
      <c r="EV11" s="75"/>
      <c r="EW11" s="69"/>
      <c r="EX11" s="72"/>
      <c r="EY11" s="55"/>
      <c r="EZ11" s="73" t="s">
        <v>42</v>
      </c>
      <c r="FA11" s="73" t="s">
        <v>43</v>
      </c>
      <c r="FB11" s="407" t="s">
        <v>44</v>
      </c>
      <c r="FC11" s="73" t="s">
        <v>63</v>
      </c>
      <c r="FD11" s="73" t="s">
        <v>46</v>
      </c>
      <c r="FE11" s="74" t="s">
        <v>64</v>
      </c>
      <c r="FF11" s="73" t="s">
        <v>48</v>
      </c>
      <c r="FG11" s="74" t="s">
        <v>65</v>
      </c>
      <c r="FH11" s="73" t="s">
        <v>66</v>
      </c>
      <c r="FI11" s="73" t="s">
        <v>67</v>
      </c>
      <c r="FJ11" s="55"/>
      <c r="FK11" s="74" t="s">
        <v>64</v>
      </c>
      <c r="FL11" s="74" t="s">
        <v>50</v>
      </c>
      <c r="FM11" s="75"/>
      <c r="FN11" s="69"/>
      <c r="FO11" s="72"/>
      <c r="FP11" s="55"/>
      <c r="FQ11" s="73" t="s">
        <v>42</v>
      </c>
      <c r="FR11" s="73" t="s">
        <v>43</v>
      </c>
      <c r="FS11" s="407" t="s">
        <v>44</v>
      </c>
      <c r="FT11" s="73" t="s">
        <v>63</v>
      </c>
      <c r="FU11" s="73" t="s">
        <v>46</v>
      </c>
      <c r="FV11" s="74" t="s">
        <v>64</v>
      </c>
      <c r="FW11" s="73" t="s">
        <v>48</v>
      </c>
      <c r="FX11" s="74" t="s">
        <v>65</v>
      </c>
      <c r="FY11" s="73" t="s">
        <v>66</v>
      </c>
      <c r="FZ11" s="73" t="s">
        <v>67</v>
      </c>
      <c r="GA11" s="55"/>
      <c r="GB11" s="74" t="s">
        <v>64</v>
      </c>
      <c r="GC11" s="74" t="s">
        <v>50</v>
      </c>
      <c r="GD11" s="75"/>
      <c r="GE11" s="69"/>
      <c r="GF11" s="72"/>
      <c r="GG11" s="55"/>
      <c r="GH11" s="73" t="s">
        <v>42</v>
      </c>
      <c r="GI11" s="73" t="s">
        <v>43</v>
      </c>
      <c r="GJ11" s="407" t="s">
        <v>44</v>
      </c>
      <c r="GK11" s="73" t="s">
        <v>63</v>
      </c>
      <c r="GL11" s="73" t="s">
        <v>46</v>
      </c>
      <c r="GM11" s="74" t="s">
        <v>64</v>
      </c>
      <c r="GN11" s="73" t="s">
        <v>48</v>
      </c>
      <c r="GO11" s="74" t="s">
        <v>65</v>
      </c>
      <c r="GP11" s="73" t="s">
        <v>66</v>
      </c>
      <c r="GQ11" s="73" t="s">
        <v>67</v>
      </c>
      <c r="GR11" s="55"/>
      <c r="GS11" s="74" t="s">
        <v>64</v>
      </c>
      <c r="GT11" s="74" t="s">
        <v>50</v>
      </c>
      <c r="GU11" s="75"/>
      <c r="GV11" s="69"/>
      <c r="GW11" s="72"/>
      <c r="GX11" s="55"/>
      <c r="GY11" s="73" t="s">
        <v>42</v>
      </c>
      <c r="GZ11" s="73" t="s">
        <v>43</v>
      </c>
      <c r="HA11" s="407" t="s">
        <v>44</v>
      </c>
      <c r="HB11" s="73" t="s">
        <v>63</v>
      </c>
      <c r="HC11" s="73" t="s">
        <v>46</v>
      </c>
      <c r="HD11" s="74" t="s">
        <v>64</v>
      </c>
      <c r="HE11" s="73" t="s">
        <v>48</v>
      </c>
      <c r="HF11" s="74" t="s">
        <v>65</v>
      </c>
      <c r="HG11" s="73" t="s">
        <v>66</v>
      </c>
      <c r="HH11" s="73" t="s">
        <v>67</v>
      </c>
      <c r="HI11" s="55"/>
      <c r="HJ11" s="74" t="s">
        <v>64</v>
      </c>
      <c r="HK11" s="74" t="s">
        <v>50</v>
      </c>
      <c r="HL11" s="75"/>
      <c r="HM11" s="69"/>
      <c r="HN11" s="72"/>
      <c r="HO11" s="55"/>
      <c r="HP11" s="73" t="s">
        <v>42</v>
      </c>
      <c r="HQ11" s="73" t="s">
        <v>43</v>
      </c>
      <c r="HR11" s="407" t="s">
        <v>44</v>
      </c>
      <c r="HS11" s="73" t="s">
        <v>63</v>
      </c>
      <c r="HT11" s="73" t="s">
        <v>46</v>
      </c>
      <c r="HU11" s="74" t="s">
        <v>64</v>
      </c>
      <c r="HV11" s="73" t="s">
        <v>48</v>
      </c>
      <c r="HW11" s="74" t="s">
        <v>65</v>
      </c>
      <c r="HX11" s="73" t="s">
        <v>66</v>
      </c>
      <c r="HY11" s="73" t="s">
        <v>67</v>
      </c>
      <c r="HZ11" s="55"/>
      <c r="IA11" s="74" t="s">
        <v>64</v>
      </c>
      <c r="IB11" s="74" t="s">
        <v>50</v>
      </c>
      <c r="IC11" s="75"/>
      <c r="ID11" s="69"/>
      <c r="IE11" s="72"/>
      <c r="IF11" s="55"/>
      <c r="IG11" s="73" t="s">
        <v>42</v>
      </c>
      <c r="IH11" s="73" t="s">
        <v>43</v>
      </c>
      <c r="II11" s="407" t="s">
        <v>44</v>
      </c>
      <c r="IJ11" s="73" t="s">
        <v>63</v>
      </c>
      <c r="IK11" s="73" t="s">
        <v>46</v>
      </c>
      <c r="IL11" s="74" t="s">
        <v>64</v>
      </c>
      <c r="IM11" s="73" t="s">
        <v>48</v>
      </c>
      <c r="IN11" s="74" t="s">
        <v>65</v>
      </c>
      <c r="IO11" s="73" t="s">
        <v>66</v>
      </c>
      <c r="IP11" s="73" t="s">
        <v>67</v>
      </c>
      <c r="IQ11" s="55"/>
      <c r="IR11" s="74" t="s">
        <v>64</v>
      </c>
      <c r="IS11" s="74" t="s">
        <v>50</v>
      </c>
      <c r="IT11" s="75"/>
      <c r="IU11" s="69"/>
      <c r="IV11" s="72"/>
      <c r="IW11" s="55"/>
      <c r="IX11" s="73" t="s">
        <v>42</v>
      </c>
      <c r="IY11" s="73" t="s">
        <v>43</v>
      </c>
      <c r="IZ11" s="407" t="s">
        <v>44</v>
      </c>
      <c r="JA11" s="73" t="s">
        <v>63</v>
      </c>
      <c r="JB11" s="73" t="s">
        <v>46</v>
      </c>
      <c r="JC11" s="74" t="s">
        <v>64</v>
      </c>
      <c r="JD11" s="73" t="s">
        <v>48</v>
      </c>
      <c r="JE11" s="74" t="s">
        <v>65</v>
      </c>
      <c r="JF11" s="73" t="s">
        <v>66</v>
      </c>
      <c r="JG11" s="73" t="s">
        <v>67</v>
      </c>
      <c r="JH11" s="55"/>
      <c r="JI11" s="74" t="s">
        <v>64</v>
      </c>
      <c r="JJ11" s="74" t="s">
        <v>50</v>
      </c>
      <c r="JK11" s="75"/>
      <c r="JL11" s="70"/>
      <c r="JM11" s="72"/>
      <c r="JN11" s="55"/>
      <c r="JO11" s="73" t="s">
        <v>42</v>
      </c>
      <c r="JP11" s="73" t="s">
        <v>43</v>
      </c>
      <c r="JQ11" s="407" t="s">
        <v>44</v>
      </c>
      <c r="JR11" s="73" t="s">
        <v>63</v>
      </c>
      <c r="JS11" s="73" t="s">
        <v>46</v>
      </c>
      <c r="JT11" s="74" t="s">
        <v>64</v>
      </c>
      <c r="JU11" s="73" t="s">
        <v>48</v>
      </c>
      <c r="JV11" s="74" t="s">
        <v>65</v>
      </c>
      <c r="JW11" s="73" t="s">
        <v>66</v>
      </c>
      <c r="JX11" s="73" t="s">
        <v>67</v>
      </c>
      <c r="JY11" s="55"/>
      <c r="JZ11" s="74" t="s">
        <v>64</v>
      </c>
      <c r="KA11" s="74" t="s">
        <v>50</v>
      </c>
      <c r="KB11" s="75"/>
      <c r="KC11" s="70"/>
      <c r="KD11" s="72"/>
      <c r="KE11" s="55"/>
      <c r="KF11" s="73" t="s">
        <v>42</v>
      </c>
      <c r="KG11" s="73" t="s">
        <v>43</v>
      </c>
      <c r="KH11" s="407" t="s">
        <v>44</v>
      </c>
      <c r="KI11" s="73" t="s">
        <v>63</v>
      </c>
      <c r="KJ11" s="73" t="s">
        <v>46</v>
      </c>
      <c r="KK11" s="74" t="s">
        <v>64</v>
      </c>
      <c r="KL11" s="73" t="s">
        <v>48</v>
      </c>
      <c r="KM11" s="74" t="s">
        <v>65</v>
      </c>
      <c r="KN11" s="73" t="s">
        <v>66</v>
      </c>
      <c r="KO11" s="73" t="s">
        <v>67</v>
      </c>
      <c r="KP11" s="55"/>
      <c r="KQ11" s="74" t="s">
        <v>64</v>
      </c>
      <c r="KR11" s="74" t="s">
        <v>50</v>
      </c>
      <c r="KS11" s="75"/>
      <c r="KT11" s="70"/>
      <c r="KU11" s="71"/>
    </row>
    <row r="12">
      <c r="A12" s="76">
        <v>-1.0</v>
      </c>
      <c r="B12" s="77">
        <v>-2.0</v>
      </c>
      <c r="C12" s="77">
        <v>-3.0</v>
      </c>
      <c r="D12" s="77">
        <v>-4.0</v>
      </c>
      <c r="E12" s="77">
        <v>-5.0</v>
      </c>
      <c r="F12" s="77">
        <v>-6.0</v>
      </c>
      <c r="G12" s="77">
        <v>-7.0</v>
      </c>
      <c r="H12" s="77">
        <v>-8.0</v>
      </c>
      <c r="I12" s="77">
        <v>-9.0</v>
      </c>
      <c r="J12" s="77">
        <v>-10.0</v>
      </c>
      <c r="K12" s="77">
        <v>-11.0</v>
      </c>
      <c r="L12" s="77">
        <v>-12.0</v>
      </c>
      <c r="M12" s="77">
        <v>-13.0</v>
      </c>
      <c r="N12" s="77">
        <v>-14.0</v>
      </c>
      <c r="O12" s="77">
        <v>-15.0</v>
      </c>
      <c r="P12" s="408">
        <v>-16.0</v>
      </c>
      <c r="Q12" s="78"/>
      <c r="R12" s="76">
        <v>-1.0</v>
      </c>
      <c r="S12" s="77">
        <v>-2.0</v>
      </c>
      <c r="T12" s="77">
        <v>-3.0</v>
      </c>
      <c r="U12" s="77">
        <v>-4.0</v>
      </c>
      <c r="V12" s="77">
        <v>-5.0</v>
      </c>
      <c r="W12" s="77">
        <v>-6.0</v>
      </c>
      <c r="X12" s="77">
        <v>-7.0</v>
      </c>
      <c r="Y12" s="77">
        <v>-8.0</v>
      </c>
      <c r="Z12" s="77">
        <v>-9.0</v>
      </c>
      <c r="AA12" s="77">
        <v>-10.0</v>
      </c>
      <c r="AB12" s="77">
        <v>-11.0</v>
      </c>
      <c r="AC12" s="77">
        <v>-12.0</v>
      </c>
      <c r="AD12" s="77">
        <v>-13.0</v>
      </c>
      <c r="AE12" s="77">
        <v>-14.0</v>
      </c>
      <c r="AF12" s="77">
        <v>-15.0</v>
      </c>
      <c r="AG12" s="77">
        <v>-16.0</v>
      </c>
      <c r="AH12" s="78"/>
      <c r="AI12" s="76">
        <v>-1.0</v>
      </c>
      <c r="AJ12" s="77">
        <v>-2.0</v>
      </c>
      <c r="AK12" s="77">
        <v>-3.0</v>
      </c>
      <c r="AL12" s="77">
        <v>-4.0</v>
      </c>
      <c r="AM12" s="77">
        <v>-5.0</v>
      </c>
      <c r="AN12" s="77">
        <v>-6.0</v>
      </c>
      <c r="AO12" s="77">
        <v>-7.0</v>
      </c>
      <c r="AP12" s="77">
        <v>-8.0</v>
      </c>
      <c r="AQ12" s="77">
        <v>-9.0</v>
      </c>
      <c r="AR12" s="77">
        <v>-10.0</v>
      </c>
      <c r="AS12" s="77">
        <v>-11.0</v>
      </c>
      <c r="AT12" s="77">
        <v>-12.0</v>
      </c>
      <c r="AU12" s="77">
        <v>-13.0</v>
      </c>
      <c r="AV12" s="77">
        <v>-14.0</v>
      </c>
      <c r="AW12" s="77">
        <v>-15.0</v>
      </c>
      <c r="AX12" s="77">
        <v>-16.0</v>
      </c>
      <c r="AY12" s="78"/>
      <c r="AZ12" s="76">
        <v>-1.0</v>
      </c>
      <c r="BA12" s="77">
        <v>-2.0</v>
      </c>
      <c r="BB12" s="77">
        <v>-3.0</v>
      </c>
      <c r="BC12" s="77">
        <v>-4.0</v>
      </c>
      <c r="BD12" s="77">
        <v>-5.0</v>
      </c>
      <c r="BE12" s="77">
        <v>-6.0</v>
      </c>
      <c r="BF12" s="77">
        <v>-7.0</v>
      </c>
      <c r="BG12" s="77">
        <v>-8.0</v>
      </c>
      <c r="BH12" s="77">
        <v>-9.0</v>
      </c>
      <c r="BI12" s="77">
        <v>-10.0</v>
      </c>
      <c r="BJ12" s="77">
        <v>-11.0</v>
      </c>
      <c r="BK12" s="77">
        <v>-12.0</v>
      </c>
      <c r="BL12" s="77">
        <v>-13.0</v>
      </c>
      <c r="BM12" s="77">
        <v>-14.0</v>
      </c>
      <c r="BN12" s="77">
        <v>-15.0</v>
      </c>
      <c r="BO12" s="77">
        <v>-16.0</v>
      </c>
      <c r="BP12" s="78"/>
      <c r="BQ12" s="76">
        <v>-1.0</v>
      </c>
      <c r="BR12" s="77">
        <v>-2.0</v>
      </c>
      <c r="BS12" s="77">
        <v>-3.0</v>
      </c>
      <c r="BT12" s="77">
        <v>-4.0</v>
      </c>
      <c r="BU12" s="77">
        <v>-5.0</v>
      </c>
      <c r="BV12" s="77">
        <v>-6.0</v>
      </c>
      <c r="BW12" s="77">
        <v>-7.0</v>
      </c>
      <c r="BX12" s="77">
        <v>-8.0</v>
      </c>
      <c r="BY12" s="77">
        <v>-9.0</v>
      </c>
      <c r="BZ12" s="77">
        <v>-10.0</v>
      </c>
      <c r="CA12" s="77">
        <v>-11.0</v>
      </c>
      <c r="CB12" s="77">
        <v>-12.0</v>
      </c>
      <c r="CC12" s="77">
        <v>-13.0</v>
      </c>
      <c r="CD12" s="77">
        <v>-14.0</v>
      </c>
      <c r="CE12" s="77">
        <v>-15.0</v>
      </c>
      <c r="CF12" s="77">
        <v>-16.0</v>
      </c>
      <c r="CG12" s="78"/>
      <c r="CH12" s="76">
        <v>-1.0</v>
      </c>
      <c r="CI12" s="77">
        <v>-2.0</v>
      </c>
      <c r="CJ12" s="77">
        <v>-3.0</v>
      </c>
      <c r="CK12" s="77">
        <v>-4.0</v>
      </c>
      <c r="CL12" s="77">
        <v>-5.0</v>
      </c>
      <c r="CM12" s="77">
        <v>-6.0</v>
      </c>
      <c r="CN12" s="77">
        <v>-7.0</v>
      </c>
      <c r="CO12" s="77">
        <v>-8.0</v>
      </c>
      <c r="CP12" s="77">
        <v>-9.0</v>
      </c>
      <c r="CQ12" s="77">
        <v>-10.0</v>
      </c>
      <c r="CR12" s="77">
        <v>-11.0</v>
      </c>
      <c r="CS12" s="77">
        <v>-12.0</v>
      </c>
      <c r="CT12" s="77">
        <v>-13.0</v>
      </c>
      <c r="CU12" s="77">
        <v>-14.0</v>
      </c>
      <c r="CV12" s="77">
        <v>-15.0</v>
      </c>
      <c r="CW12" s="77">
        <v>-16.0</v>
      </c>
      <c r="CX12" s="78"/>
      <c r="CY12" s="76">
        <v>-1.0</v>
      </c>
      <c r="CZ12" s="77">
        <v>-2.0</v>
      </c>
      <c r="DA12" s="77">
        <v>-3.0</v>
      </c>
      <c r="DB12" s="77">
        <v>-4.0</v>
      </c>
      <c r="DC12" s="77">
        <v>-5.0</v>
      </c>
      <c r="DD12" s="77">
        <v>-6.0</v>
      </c>
      <c r="DE12" s="77">
        <v>-7.0</v>
      </c>
      <c r="DF12" s="77">
        <v>-8.0</v>
      </c>
      <c r="DG12" s="77">
        <v>-9.0</v>
      </c>
      <c r="DH12" s="77">
        <v>-10.0</v>
      </c>
      <c r="DI12" s="77">
        <v>-11.0</v>
      </c>
      <c r="DJ12" s="77">
        <v>-12.0</v>
      </c>
      <c r="DK12" s="77">
        <v>-13.0</v>
      </c>
      <c r="DL12" s="77">
        <v>-14.0</v>
      </c>
      <c r="DM12" s="77">
        <v>-15.0</v>
      </c>
      <c r="DN12" s="77">
        <v>-16.0</v>
      </c>
      <c r="DO12" s="78"/>
      <c r="DP12" s="76">
        <v>-1.0</v>
      </c>
      <c r="DQ12" s="77">
        <v>-2.0</v>
      </c>
      <c r="DR12" s="77">
        <v>-3.0</v>
      </c>
      <c r="DS12" s="77">
        <v>-4.0</v>
      </c>
      <c r="DT12" s="77">
        <v>-5.0</v>
      </c>
      <c r="DU12" s="77">
        <v>-6.0</v>
      </c>
      <c r="DV12" s="77">
        <v>-7.0</v>
      </c>
      <c r="DW12" s="77">
        <v>-8.0</v>
      </c>
      <c r="DX12" s="77">
        <v>-9.0</v>
      </c>
      <c r="DY12" s="77">
        <v>-10.0</v>
      </c>
      <c r="DZ12" s="77">
        <v>-11.0</v>
      </c>
      <c r="EA12" s="77">
        <v>-12.0</v>
      </c>
      <c r="EB12" s="77">
        <v>-13.0</v>
      </c>
      <c r="EC12" s="77">
        <v>-14.0</v>
      </c>
      <c r="ED12" s="77">
        <v>-15.0</v>
      </c>
      <c r="EE12" s="77">
        <v>-16.0</v>
      </c>
      <c r="EF12" s="78"/>
      <c r="EG12" s="76">
        <v>-1.0</v>
      </c>
      <c r="EH12" s="77">
        <v>-2.0</v>
      </c>
      <c r="EI12" s="77">
        <v>-3.0</v>
      </c>
      <c r="EJ12" s="77">
        <v>-4.0</v>
      </c>
      <c r="EK12" s="77">
        <v>-5.0</v>
      </c>
      <c r="EL12" s="77">
        <v>-6.0</v>
      </c>
      <c r="EM12" s="77">
        <v>-7.0</v>
      </c>
      <c r="EN12" s="77">
        <v>-8.0</v>
      </c>
      <c r="EO12" s="77">
        <v>-9.0</v>
      </c>
      <c r="EP12" s="77">
        <v>-10.0</v>
      </c>
      <c r="EQ12" s="77">
        <v>-11.0</v>
      </c>
      <c r="ER12" s="77">
        <v>-12.0</v>
      </c>
      <c r="ES12" s="77">
        <v>-13.0</v>
      </c>
      <c r="ET12" s="77">
        <v>-14.0</v>
      </c>
      <c r="EU12" s="77">
        <v>-15.0</v>
      </c>
      <c r="EV12" s="77">
        <v>-16.0</v>
      </c>
      <c r="EW12" s="78"/>
      <c r="EX12" s="76">
        <v>-1.0</v>
      </c>
      <c r="EY12" s="77">
        <v>-2.0</v>
      </c>
      <c r="EZ12" s="77">
        <v>-3.0</v>
      </c>
      <c r="FA12" s="77">
        <v>-4.0</v>
      </c>
      <c r="FB12" s="77">
        <v>-5.0</v>
      </c>
      <c r="FC12" s="77">
        <v>-6.0</v>
      </c>
      <c r="FD12" s="77">
        <v>-7.0</v>
      </c>
      <c r="FE12" s="77">
        <v>-8.0</v>
      </c>
      <c r="FF12" s="77">
        <v>-9.0</v>
      </c>
      <c r="FG12" s="77">
        <v>-10.0</v>
      </c>
      <c r="FH12" s="77">
        <v>-11.0</v>
      </c>
      <c r="FI12" s="77">
        <v>-12.0</v>
      </c>
      <c r="FJ12" s="77">
        <v>-13.0</v>
      </c>
      <c r="FK12" s="77">
        <v>-14.0</v>
      </c>
      <c r="FL12" s="77">
        <v>-15.0</v>
      </c>
      <c r="FM12" s="77">
        <v>-16.0</v>
      </c>
      <c r="FN12" s="78"/>
      <c r="FO12" s="76">
        <v>-1.0</v>
      </c>
      <c r="FP12" s="77">
        <v>-2.0</v>
      </c>
      <c r="FQ12" s="77">
        <v>-3.0</v>
      </c>
      <c r="FR12" s="77">
        <v>-4.0</v>
      </c>
      <c r="FS12" s="77">
        <v>-5.0</v>
      </c>
      <c r="FT12" s="77">
        <v>-6.0</v>
      </c>
      <c r="FU12" s="77">
        <v>-7.0</v>
      </c>
      <c r="FV12" s="77">
        <v>-8.0</v>
      </c>
      <c r="FW12" s="77">
        <v>-9.0</v>
      </c>
      <c r="FX12" s="77">
        <v>-10.0</v>
      </c>
      <c r="FY12" s="77">
        <v>-11.0</v>
      </c>
      <c r="FZ12" s="77">
        <v>-12.0</v>
      </c>
      <c r="GA12" s="77">
        <v>-13.0</v>
      </c>
      <c r="GB12" s="77">
        <v>-14.0</v>
      </c>
      <c r="GC12" s="77">
        <v>-15.0</v>
      </c>
      <c r="GD12" s="77">
        <v>-16.0</v>
      </c>
      <c r="GE12" s="78"/>
      <c r="GF12" s="76">
        <v>-1.0</v>
      </c>
      <c r="GG12" s="77">
        <v>-2.0</v>
      </c>
      <c r="GH12" s="77">
        <v>-3.0</v>
      </c>
      <c r="GI12" s="77">
        <v>-4.0</v>
      </c>
      <c r="GJ12" s="77">
        <v>-5.0</v>
      </c>
      <c r="GK12" s="77">
        <v>-6.0</v>
      </c>
      <c r="GL12" s="77">
        <v>-7.0</v>
      </c>
      <c r="GM12" s="77">
        <v>-8.0</v>
      </c>
      <c r="GN12" s="77">
        <v>-9.0</v>
      </c>
      <c r="GO12" s="77">
        <v>-10.0</v>
      </c>
      <c r="GP12" s="77">
        <v>-11.0</v>
      </c>
      <c r="GQ12" s="77">
        <v>-12.0</v>
      </c>
      <c r="GR12" s="77">
        <v>-13.0</v>
      </c>
      <c r="GS12" s="77">
        <v>-14.0</v>
      </c>
      <c r="GT12" s="77">
        <v>-15.0</v>
      </c>
      <c r="GU12" s="77">
        <v>-16.0</v>
      </c>
      <c r="GV12" s="78"/>
      <c r="GW12" s="76">
        <v>-1.0</v>
      </c>
      <c r="GX12" s="77">
        <v>-2.0</v>
      </c>
      <c r="GY12" s="77">
        <v>-3.0</v>
      </c>
      <c r="GZ12" s="77">
        <v>-4.0</v>
      </c>
      <c r="HA12" s="77">
        <v>-5.0</v>
      </c>
      <c r="HB12" s="77">
        <v>-6.0</v>
      </c>
      <c r="HC12" s="77">
        <v>-7.0</v>
      </c>
      <c r="HD12" s="77">
        <v>-8.0</v>
      </c>
      <c r="HE12" s="77">
        <v>-9.0</v>
      </c>
      <c r="HF12" s="77">
        <v>-10.0</v>
      </c>
      <c r="HG12" s="77">
        <v>-11.0</v>
      </c>
      <c r="HH12" s="77">
        <v>-12.0</v>
      </c>
      <c r="HI12" s="77">
        <v>-13.0</v>
      </c>
      <c r="HJ12" s="77">
        <v>-14.0</v>
      </c>
      <c r="HK12" s="77">
        <v>-15.0</v>
      </c>
      <c r="HL12" s="77">
        <v>-16.0</v>
      </c>
      <c r="HM12" s="78"/>
      <c r="HN12" s="76">
        <v>-1.0</v>
      </c>
      <c r="HO12" s="77">
        <v>-2.0</v>
      </c>
      <c r="HP12" s="77">
        <v>-3.0</v>
      </c>
      <c r="HQ12" s="77">
        <v>-4.0</v>
      </c>
      <c r="HR12" s="77">
        <v>-5.0</v>
      </c>
      <c r="HS12" s="77">
        <v>-6.0</v>
      </c>
      <c r="HT12" s="77">
        <v>-7.0</v>
      </c>
      <c r="HU12" s="77">
        <v>-8.0</v>
      </c>
      <c r="HV12" s="77">
        <v>-9.0</v>
      </c>
      <c r="HW12" s="77">
        <v>-10.0</v>
      </c>
      <c r="HX12" s="77">
        <v>-11.0</v>
      </c>
      <c r="HY12" s="77">
        <v>-12.0</v>
      </c>
      <c r="HZ12" s="77">
        <v>-13.0</v>
      </c>
      <c r="IA12" s="77">
        <v>-14.0</v>
      </c>
      <c r="IB12" s="77">
        <v>-15.0</v>
      </c>
      <c r="IC12" s="77">
        <v>-16.0</v>
      </c>
      <c r="ID12" s="78"/>
      <c r="IE12" s="76">
        <v>-1.0</v>
      </c>
      <c r="IF12" s="77">
        <v>-2.0</v>
      </c>
      <c r="IG12" s="77">
        <v>-3.0</v>
      </c>
      <c r="IH12" s="77">
        <v>-4.0</v>
      </c>
      <c r="II12" s="77">
        <v>-5.0</v>
      </c>
      <c r="IJ12" s="77">
        <v>-6.0</v>
      </c>
      <c r="IK12" s="77">
        <v>-7.0</v>
      </c>
      <c r="IL12" s="77">
        <v>-8.0</v>
      </c>
      <c r="IM12" s="77">
        <v>-9.0</v>
      </c>
      <c r="IN12" s="77">
        <v>-10.0</v>
      </c>
      <c r="IO12" s="77">
        <v>-11.0</v>
      </c>
      <c r="IP12" s="77">
        <v>-12.0</v>
      </c>
      <c r="IQ12" s="77">
        <v>-13.0</v>
      </c>
      <c r="IR12" s="77">
        <v>-14.0</v>
      </c>
      <c r="IS12" s="77">
        <v>-15.0</v>
      </c>
      <c r="IT12" s="77">
        <v>-16.0</v>
      </c>
      <c r="IU12" s="78"/>
      <c r="IV12" s="76">
        <v>-1.0</v>
      </c>
      <c r="IW12" s="77">
        <v>-2.0</v>
      </c>
      <c r="IX12" s="77">
        <v>-3.0</v>
      </c>
      <c r="IY12" s="77">
        <v>-4.0</v>
      </c>
      <c r="IZ12" s="77">
        <v>-5.0</v>
      </c>
      <c r="JA12" s="77">
        <v>-6.0</v>
      </c>
      <c r="JB12" s="77">
        <v>-7.0</v>
      </c>
      <c r="JC12" s="77">
        <v>-8.0</v>
      </c>
      <c r="JD12" s="77">
        <v>-9.0</v>
      </c>
      <c r="JE12" s="77">
        <v>-10.0</v>
      </c>
      <c r="JF12" s="77">
        <v>-11.0</v>
      </c>
      <c r="JG12" s="77">
        <v>-12.0</v>
      </c>
      <c r="JH12" s="77">
        <v>-13.0</v>
      </c>
      <c r="JI12" s="77">
        <v>-14.0</v>
      </c>
      <c r="JJ12" s="77">
        <v>-15.0</v>
      </c>
      <c r="JK12" s="77">
        <v>-16.0</v>
      </c>
      <c r="JL12" s="78"/>
      <c r="JM12" s="76">
        <v>-1.0</v>
      </c>
      <c r="JN12" s="77">
        <v>-2.0</v>
      </c>
      <c r="JO12" s="77">
        <v>-3.0</v>
      </c>
      <c r="JP12" s="77">
        <v>-4.0</v>
      </c>
      <c r="JQ12" s="77">
        <v>-5.0</v>
      </c>
      <c r="JR12" s="77">
        <v>-6.0</v>
      </c>
      <c r="JS12" s="77">
        <v>-7.0</v>
      </c>
      <c r="JT12" s="77">
        <v>-8.0</v>
      </c>
      <c r="JU12" s="77">
        <v>-9.0</v>
      </c>
      <c r="JV12" s="77">
        <v>-10.0</v>
      </c>
      <c r="JW12" s="77">
        <v>-11.0</v>
      </c>
      <c r="JX12" s="77">
        <v>-12.0</v>
      </c>
      <c r="JY12" s="77">
        <v>-13.0</v>
      </c>
      <c r="JZ12" s="77">
        <v>-14.0</v>
      </c>
      <c r="KA12" s="77">
        <v>-15.0</v>
      </c>
      <c r="KB12" s="77">
        <v>-16.0</v>
      </c>
      <c r="KC12" s="78"/>
      <c r="KD12" s="76">
        <v>-1.0</v>
      </c>
      <c r="KE12" s="77">
        <v>-2.0</v>
      </c>
      <c r="KF12" s="77">
        <v>-3.0</v>
      </c>
      <c r="KG12" s="77">
        <v>-4.0</v>
      </c>
      <c r="KH12" s="77">
        <v>-5.0</v>
      </c>
      <c r="KI12" s="77">
        <v>-6.0</v>
      </c>
      <c r="KJ12" s="77">
        <v>-7.0</v>
      </c>
      <c r="KK12" s="77">
        <v>-8.0</v>
      </c>
      <c r="KL12" s="77">
        <v>-9.0</v>
      </c>
      <c r="KM12" s="77">
        <v>-10.0</v>
      </c>
      <c r="KN12" s="77">
        <v>-11.0</v>
      </c>
      <c r="KO12" s="77">
        <v>-12.0</v>
      </c>
      <c r="KP12" s="77">
        <v>-13.0</v>
      </c>
      <c r="KQ12" s="77">
        <v>-14.0</v>
      </c>
      <c r="KR12" s="77">
        <v>-15.0</v>
      </c>
      <c r="KS12" s="77">
        <v>-16.0</v>
      </c>
      <c r="KT12" s="78"/>
      <c r="KU12" s="79"/>
    </row>
    <row r="13">
      <c r="A13" s="80">
        <v>1.0</v>
      </c>
      <c r="B13" s="81" t="s">
        <v>68</v>
      </c>
      <c r="C13" s="82" t="s">
        <v>69</v>
      </c>
      <c r="D13" s="82" t="s">
        <v>70</v>
      </c>
      <c r="E13" s="83">
        <f t="shared" ref="E13:E29" si="35">E49+E85+E121+E157</f>
        <v>0</v>
      </c>
      <c r="F13" s="83" t="str">
        <f t="shared" ref="F13:F29" si="36">G13/E13*1000000</f>
        <v>#DIV/0!</v>
      </c>
      <c r="G13" s="83">
        <f t="shared" ref="G13:G30" si="37">G49+G85+G121+G157</f>
        <v>0</v>
      </c>
      <c r="H13" s="84"/>
      <c r="I13" s="83">
        <f t="shared" ref="I13:I29" si="38">IFERROR(+G13*H13,"")</f>
        <v>0</v>
      </c>
      <c r="J13" s="409"/>
      <c r="K13" s="85"/>
      <c r="L13" s="85"/>
      <c r="M13" s="87">
        <f t="shared" ref="M13:M29" si="39">IFERROR(+(IF(G13="","0",G13))+(IF(I13="","0",I13))+(IF(L13="","0",L13)),"")</f>
        <v>0</v>
      </c>
      <c r="N13" s="84">
        <v>0.4604471268963365</v>
      </c>
      <c r="O13" s="88">
        <f t="shared" ref="O13:O29" si="40">IFERROR(+N13*(M13-L13),"")</f>
        <v>0</v>
      </c>
      <c r="P13" s="89">
        <f t="shared" ref="P13:P29" si="41">IFERROR(+(IF(M13="","0",M13))-(IF(O13="","0",O13)),"")</f>
        <v>0</v>
      </c>
      <c r="Q13" s="90"/>
      <c r="R13" s="80">
        <v>1.0</v>
      </c>
      <c r="S13" s="81" t="str">
        <f t="shared" ref="S13:U13" si="18">IFERROR(VLOOKUP($R13,$A$13:$D$30,-S$12,FALSE),"")</f>
        <v>Bijih  Emas</v>
      </c>
      <c r="T13" s="82" t="str">
        <f t="shared" si="18"/>
        <v>Bijih </v>
      </c>
      <c r="U13" s="82" t="str">
        <f t="shared" si="18"/>
        <v>Kg</v>
      </c>
      <c r="V13" s="83">
        <f t="shared" ref="V13:V29" si="43">V49+V85+V121+V157</f>
        <v>0</v>
      </c>
      <c r="W13" s="83" t="str">
        <f t="shared" ref="W13:W29" si="44">X13/V13*1000000</f>
        <v>#DIV/0!</v>
      </c>
      <c r="X13" s="83">
        <f t="shared" ref="X13:X30" si="45">X49+X85+X121+X157</f>
        <v>0</v>
      </c>
      <c r="Y13" s="84"/>
      <c r="Z13" s="83">
        <f t="shared" ref="Z13:Z29" si="46">IFERROR(+X13*Y13,"")</f>
        <v>0</v>
      </c>
      <c r="AA13" s="409"/>
      <c r="AB13" s="85"/>
      <c r="AC13" s="85"/>
      <c r="AD13" s="87">
        <f t="shared" ref="AD13:AD29" si="47">IFERROR(+(IF(X13="","0",X13))+(IF(Z13="","0",Z13))+(IF(AC13="","0",AC13)),"")</f>
        <v>0</v>
      </c>
      <c r="AE13" s="84">
        <f t="shared" ref="AE13:AE29" si="48">N13</f>
        <v>0.4604471269</v>
      </c>
      <c r="AF13" s="88">
        <f t="shared" ref="AF13:AF29" si="49">IFERROR(+AE13*(AD13-AC13),"")</f>
        <v>0</v>
      </c>
      <c r="AG13" s="89">
        <f t="shared" ref="AG13:AG29" si="50">IFERROR(+(IF(AD13="","0",AD13))-(IF(AF13="","0",AF13)),"")</f>
        <v>0</v>
      </c>
      <c r="AH13" s="90"/>
      <c r="AI13" s="80">
        <v>1.0</v>
      </c>
      <c r="AJ13" s="81" t="str">
        <f t="shared" ref="AJ13:AL13" si="19">IFERROR(VLOOKUP($R13,$A$13:$D$30,-AJ$12,FALSE),"")</f>
        <v>Bijih  Emas</v>
      </c>
      <c r="AK13" s="82" t="str">
        <f t="shared" si="19"/>
        <v>Bijih </v>
      </c>
      <c r="AL13" s="82" t="str">
        <f t="shared" si="19"/>
        <v>Kg</v>
      </c>
      <c r="AM13" s="83">
        <f t="shared" ref="AM13:AM29" si="52">AM49+AM85+AM121+AM157</f>
        <v>0</v>
      </c>
      <c r="AN13" s="83" t="str">
        <f t="shared" ref="AN13:AN29" si="53">AO13/AM13*1000000</f>
        <v>#DIV/0!</v>
      </c>
      <c r="AO13" s="83">
        <f t="shared" ref="AO13:AO30" si="54">AO49+AO85+AO121+AO157</f>
        <v>0</v>
      </c>
      <c r="AP13" s="84"/>
      <c r="AQ13" s="83">
        <f t="shared" ref="AQ13:AQ29" si="55">IFERROR(+AO13*AP13,"")</f>
        <v>0</v>
      </c>
      <c r="AR13" s="409"/>
      <c r="AS13" s="85"/>
      <c r="AT13" s="85"/>
      <c r="AU13" s="87">
        <f t="shared" ref="AU13:AU29" si="56">IFERROR(+(IF(AO13="","0",AO13))+(IF(AQ13="","0",AQ13))+(IF(AT13="","0",AT13)),"")</f>
        <v>0</v>
      </c>
      <c r="AV13" s="84">
        <f t="shared" ref="AV13:AV29" si="57">AE13</f>
        <v>0.4604471269</v>
      </c>
      <c r="AW13" s="88">
        <f t="shared" ref="AW13:AW29" si="58">IFERROR(+AV13*(AU13-AT13),"")</f>
        <v>0</v>
      </c>
      <c r="AX13" s="89">
        <f t="shared" ref="AX13:AX29" si="59">IFERROR(+(IF(AU13="","0",AU13))-(IF(AW13="","0",AW13)),"")</f>
        <v>0</v>
      </c>
      <c r="AY13" s="90"/>
      <c r="AZ13" s="80">
        <v>1.0</v>
      </c>
      <c r="BA13" s="81" t="str">
        <f t="shared" ref="BA13:BC13" si="20">IFERROR(VLOOKUP($R13,$A$13:$D$30,-BA$12,FALSE),"")</f>
        <v>Bijih  Emas</v>
      </c>
      <c r="BB13" s="82" t="str">
        <f t="shared" si="20"/>
        <v>Bijih </v>
      </c>
      <c r="BC13" s="82" t="str">
        <f t="shared" si="20"/>
        <v>Kg</v>
      </c>
      <c r="BD13" s="83">
        <f t="shared" ref="BD13:BD29" si="61">BD49+BD85+BD121+BD157</f>
        <v>0</v>
      </c>
      <c r="BE13" s="83" t="str">
        <f t="shared" ref="BE13:BE29" si="62">BF13/BD13*1000000</f>
        <v>#DIV/0!</v>
      </c>
      <c r="BF13" s="83">
        <f t="shared" ref="BF13:BF30" si="63">BF49+BF85+BF121+BF157</f>
        <v>0</v>
      </c>
      <c r="BG13" s="84"/>
      <c r="BH13" s="83">
        <f t="shared" ref="BH13:BH29" si="64">IFERROR(+BF13*BG13,"")</f>
        <v>0</v>
      </c>
      <c r="BI13" s="409"/>
      <c r="BJ13" s="85"/>
      <c r="BK13" s="85"/>
      <c r="BL13" s="87">
        <f t="shared" ref="BL13:BL29" si="65">IFERROR(+(IF(BF13="","0",BF13))+(IF(BH13="","0",BH13))+(IF(BK13="","0",BK13)),"")</f>
        <v>0</v>
      </c>
      <c r="BM13" s="84">
        <f t="shared" ref="BM13:BM29" si="66">AV13</f>
        <v>0.4604471269</v>
      </c>
      <c r="BN13" s="88">
        <f t="shared" ref="BN13:BN29" si="67">IFERROR(+BM13*(BL13-BK13),"")</f>
        <v>0</v>
      </c>
      <c r="BO13" s="89">
        <f t="shared" ref="BO13:BO29" si="68">IFERROR(+(IF(BL13="","0",BL13))-(IF(BN13="","0",BN13)),"")</f>
        <v>0</v>
      </c>
      <c r="BP13" s="90"/>
      <c r="BQ13" s="80">
        <v>1.0</v>
      </c>
      <c r="BR13" s="81" t="str">
        <f t="shared" ref="BR13:BT13" si="21">IFERROR(VLOOKUP($R13,$A$13:$D$30,-BR$12,FALSE),"")</f>
        <v>Bijih  Emas</v>
      </c>
      <c r="BS13" s="82" t="str">
        <f t="shared" si="21"/>
        <v>Bijih </v>
      </c>
      <c r="BT13" s="82" t="str">
        <f t="shared" si="21"/>
        <v>Kg</v>
      </c>
      <c r="BU13" s="83">
        <f t="shared" ref="BU13:BU29" si="70">BU49+BU85+BU121+BU157</f>
        <v>0</v>
      </c>
      <c r="BV13" s="83" t="str">
        <f t="shared" ref="BV13:BV29" si="71">BW13/BU13*1000000</f>
        <v>#DIV/0!</v>
      </c>
      <c r="BW13" s="83">
        <f t="shared" ref="BW13:BW30" si="72">BW49+BW85+BW121+BW157</f>
        <v>0</v>
      </c>
      <c r="BX13" s="84"/>
      <c r="BY13" s="83">
        <f t="shared" ref="BY13:BY29" si="73">IFERROR(+BW13*BX13,"")</f>
        <v>0</v>
      </c>
      <c r="BZ13" s="409"/>
      <c r="CA13" s="85"/>
      <c r="CB13" s="85"/>
      <c r="CC13" s="87">
        <f t="shared" ref="CC13:CC29" si="74">IFERROR(+(IF(BW13="","0",BW13))+(IF(BY13="","0",BY13))+(IF(CB13="","0",CB13)),"")</f>
        <v>0</v>
      </c>
      <c r="CD13" s="84">
        <f t="shared" ref="CD13:CD29" si="75">BM13</f>
        <v>0.4604471269</v>
      </c>
      <c r="CE13" s="88">
        <f t="shared" ref="CE13:CE29" si="76">IFERROR(+CD13*(CC13-CB13),"")</f>
        <v>0</v>
      </c>
      <c r="CF13" s="89">
        <f t="shared" ref="CF13:CF29" si="77">IFERROR(+(IF(CC13="","0",CC13))-(IF(CE13="","0",CE13)),"")</f>
        <v>0</v>
      </c>
      <c r="CG13" s="90"/>
      <c r="CH13" s="80">
        <v>1.0</v>
      </c>
      <c r="CI13" s="81" t="str">
        <f t="shared" ref="CI13:CK13" si="22">IFERROR(VLOOKUP($R13,$A$13:$D$30,-CI$12,FALSE),"")</f>
        <v>Bijih  Emas</v>
      </c>
      <c r="CJ13" s="82" t="str">
        <f t="shared" si="22"/>
        <v>Bijih </v>
      </c>
      <c r="CK13" s="82" t="str">
        <f t="shared" si="22"/>
        <v>Kg</v>
      </c>
      <c r="CL13" s="83">
        <f t="shared" ref="CL13:CL29" si="79">CL49+CL85+CL121+CL157</f>
        <v>0</v>
      </c>
      <c r="CM13" s="83" t="str">
        <f t="shared" ref="CM13:CM29" si="80">CN13/CL13*1000000</f>
        <v>#DIV/0!</v>
      </c>
      <c r="CN13" s="83">
        <f t="shared" ref="CN13:CN30" si="81">CN49+CN85+CN121+CN157</f>
        <v>0</v>
      </c>
      <c r="CO13" s="84"/>
      <c r="CP13" s="83">
        <f t="shared" ref="CP13:CP29" si="82">IFERROR(+CN13*CO13,"")</f>
        <v>0</v>
      </c>
      <c r="CQ13" s="409"/>
      <c r="CR13" s="85"/>
      <c r="CS13" s="85"/>
      <c r="CT13" s="87">
        <f t="shared" ref="CT13:CT29" si="83">IFERROR(+(IF(CN13="","0",CN13))+(IF(CP13="","0",CP13))+(IF(CS13="","0",CS13)),"")</f>
        <v>0</v>
      </c>
      <c r="CU13" s="84">
        <f t="shared" ref="CU13:CU29" si="84">CD13</f>
        <v>0.4604471269</v>
      </c>
      <c r="CV13" s="88">
        <f t="shared" ref="CV13:CV29" si="85">IFERROR(+CU13*(CT13-CS13),"")</f>
        <v>0</v>
      </c>
      <c r="CW13" s="89">
        <f t="shared" ref="CW13:CW29" si="86">IFERROR(+(IF(CT13="","0",CT13))-(IF(CV13="","0",CV13)),"")</f>
        <v>0</v>
      </c>
      <c r="CX13" s="90"/>
      <c r="CY13" s="80">
        <v>1.0</v>
      </c>
      <c r="CZ13" s="81" t="str">
        <f t="shared" ref="CZ13:DB13" si="23">IFERROR(VLOOKUP($R13,$A$13:$D$30,-CZ$12,FALSE),"")</f>
        <v>Bijih  Emas</v>
      </c>
      <c r="DA13" s="82" t="str">
        <f t="shared" si="23"/>
        <v>Bijih </v>
      </c>
      <c r="DB13" s="82" t="str">
        <f t="shared" si="23"/>
        <v>Kg</v>
      </c>
      <c r="DC13" s="83">
        <f t="shared" ref="DC13:DC29" si="88">DC49+DC85+DC121+DC157</f>
        <v>0</v>
      </c>
      <c r="DD13" s="83" t="str">
        <f t="shared" ref="DD13:DD29" si="89">DE13/DC13*1000000</f>
        <v>#DIV/0!</v>
      </c>
      <c r="DE13" s="83">
        <f t="shared" ref="DE13:DE30" si="90">DE49+DE85+DE121+DE157</f>
        <v>0</v>
      </c>
      <c r="DF13" s="84"/>
      <c r="DG13" s="83">
        <f t="shared" ref="DG13:DG29" si="91">IFERROR(+DE13*DF13,"")</f>
        <v>0</v>
      </c>
      <c r="DH13" s="409"/>
      <c r="DI13" s="85"/>
      <c r="DJ13" s="85"/>
      <c r="DK13" s="87">
        <f t="shared" ref="DK13:DK29" si="92">IFERROR(+(IF(DE13="","0",DE13))+(IF(DG13="","0",DG13))+(IF(DJ13="","0",DJ13)),"")</f>
        <v>0</v>
      </c>
      <c r="DL13" s="84">
        <f t="shared" ref="DL13:DL29" si="93">CU13</f>
        <v>0.4604471269</v>
      </c>
      <c r="DM13" s="88">
        <f t="shared" ref="DM13:DM29" si="94">IFERROR(+DL13*(DK13-DJ13),"")</f>
        <v>0</v>
      </c>
      <c r="DN13" s="89">
        <f t="shared" ref="DN13:DN29" si="95">IFERROR(+(IF(DK13="","0",DK13))-(IF(DM13="","0",DM13)),"")</f>
        <v>0</v>
      </c>
      <c r="DO13" s="90"/>
      <c r="DP13" s="80">
        <v>1.0</v>
      </c>
      <c r="DQ13" s="81" t="str">
        <f t="shared" ref="DQ13:DS13" si="24">IFERROR(VLOOKUP($R13,$A$13:$D$30,-DQ$12,FALSE),"")</f>
        <v>Bijih  Emas</v>
      </c>
      <c r="DR13" s="82" t="str">
        <f t="shared" si="24"/>
        <v>Bijih </v>
      </c>
      <c r="DS13" s="82" t="str">
        <f t="shared" si="24"/>
        <v>Kg</v>
      </c>
      <c r="DT13" s="83">
        <f t="shared" ref="DT13:DT29" si="97">DT49+DT85+DT121+DT157</f>
        <v>0</v>
      </c>
      <c r="DU13" s="83" t="str">
        <f t="shared" ref="DU13:DU29" si="98">DV13/DT13*1000000</f>
        <v>#DIV/0!</v>
      </c>
      <c r="DV13" s="83">
        <f t="shared" ref="DV13:DV30" si="99">DV49+DV85+DV121+DV157</f>
        <v>0</v>
      </c>
      <c r="DW13" s="84"/>
      <c r="DX13" s="83">
        <f t="shared" ref="DX13:DX29" si="100">IFERROR(+DV13*DW13,"")</f>
        <v>0</v>
      </c>
      <c r="DY13" s="409"/>
      <c r="DZ13" s="85"/>
      <c r="EA13" s="85"/>
      <c r="EB13" s="87">
        <f t="shared" ref="EB13:EB29" si="101">IFERROR(+(IF(DV13="","0",DV13))+(IF(DX13="","0",DX13))+(IF(EA13="","0",EA13)),"")</f>
        <v>0</v>
      </c>
      <c r="EC13" s="84">
        <f t="shared" ref="EC13:EC29" si="102">DL13</f>
        <v>0.4604471269</v>
      </c>
      <c r="ED13" s="88">
        <f t="shared" ref="ED13:ED29" si="103">IFERROR(+EC13*(EB13-EA13),"")</f>
        <v>0</v>
      </c>
      <c r="EE13" s="89">
        <f t="shared" ref="EE13:EE29" si="104">IFERROR(+(IF(EB13="","0",EB13))-(IF(ED13="","0",ED13)),"")</f>
        <v>0</v>
      </c>
      <c r="EF13" s="90"/>
      <c r="EG13" s="80">
        <v>1.0</v>
      </c>
      <c r="EH13" s="81" t="str">
        <f t="shared" ref="EH13:EJ13" si="25">IFERROR(VLOOKUP($R13,$A$13:$D$30,-EH$12,FALSE),"")</f>
        <v>Bijih  Emas</v>
      </c>
      <c r="EI13" s="82" t="str">
        <f t="shared" si="25"/>
        <v>Bijih </v>
      </c>
      <c r="EJ13" s="82" t="str">
        <f t="shared" si="25"/>
        <v>Kg</v>
      </c>
      <c r="EK13" s="83">
        <f t="shared" ref="EK13:EK29" si="106">EK49+EK85+EK121+EK157</f>
        <v>0</v>
      </c>
      <c r="EL13" s="83" t="str">
        <f t="shared" ref="EL13:EL29" si="107">EM13/EK13*1000000</f>
        <v>#DIV/0!</v>
      </c>
      <c r="EM13" s="83">
        <f t="shared" ref="EM13:EM30" si="108">EM49+EM85+EM121+EM157</f>
        <v>0</v>
      </c>
      <c r="EN13" s="84"/>
      <c r="EO13" s="83">
        <f t="shared" ref="EO13:EO29" si="109">IFERROR(+EM13*EN13,"")</f>
        <v>0</v>
      </c>
      <c r="EP13" s="409"/>
      <c r="EQ13" s="85"/>
      <c r="ER13" s="85"/>
      <c r="ES13" s="87">
        <f t="shared" ref="ES13:ES29" si="110">IFERROR(+(IF(EM13="","0",EM13))+(IF(EO13="","0",EO13))+(IF(ER13="","0",ER13)),"")</f>
        <v>0</v>
      </c>
      <c r="ET13" s="84">
        <f t="shared" ref="ET13:ET29" si="111">EC13</f>
        <v>0.4604471269</v>
      </c>
      <c r="EU13" s="88">
        <f t="shared" ref="EU13:EU29" si="112">IFERROR(+ET13*(ES13-ER13),"")</f>
        <v>0</v>
      </c>
      <c r="EV13" s="89">
        <f t="shared" ref="EV13:EV29" si="113">IFERROR(+(IF(ES13="","0",ES13))-(IF(EU13="","0",EU13)),"")</f>
        <v>0</v>
      </c>
      <c r="EW13" s="90"/>
      <c r="EX13" s="80">
        <v>1.0</v>
      </c>
      <c r="EY13" s="81" t="str">
        <f t="shared" ref="EY13:FA13" si="26">IFERROR(VLOOKUP($R13,$A$13:$D$30,-EY$12,FALSE),"")</f>
        <v>Bijih  Emas</v>
      </c>
      <c r="EZ13" s="82" t="str">
        <f t="shared" si="26"/>
        <v>Bijih </v>
      </c>
      <c r="FA13" s="82" t="str">
        <f t="shared" si="26"/>
        <v>Kg</v>
      </c>
      <c r="FB13" s="83">
        <f t="shared" ref="FB13:FB29" si="115">FB49+FB85+FB121+FB157</f>
        <v>0</v>
      </c>
      <c r="FC13" s="83" t="str">
        <f t="shared" ref="FC13:FC29" si="116">FD13/FB13*1000000</f>
        <v>#DIV/0!</v>
      </c>
      <c r="FD13" s="83">
        <f t="shared" ref="FD13:FD30" si="117">FD49+FD85+FD121+FD157</f>
        <v>0</v>
      </c>
      <c r="FE13" s="84"/>
      <c r="FF13" s="83">
        <f t="shared" ref="FF13:FF29" si="118">IFERROR(+FD13*FE13,"")</f>
        <v>0</v>
      </c>
      <c r="FG13" s="409"/>
      <c r="FH13" s="85"/>
      <c r="FI13" s="85"/>
      <c r="FJ13" s="87">
        <f t="shared" ref="FJ13:FJ29" si="119">IFERROR(+(IF(FD13="","0",FD13))+(IF(FF13="","0",FF13))+(IF(FI13="","0",FI13)),"")</f>
        <v>0</v>
      </c>
      <c r="FK13" s="84">
        <f t="shared" ref="FK13:FK29" si="120">ET13</f>
        <v>0.4604471269</v>
      </c>
      <c r="FL13" s="88">
        <f t="shared" ref="FL13:FL29" si="121">IFERROR(+FK13*(FJ13-FI13),"")</f>
        <v>0</v>
      </c>
      <c r="FM13" s="89">
        <f t="shared" ref="FM13:FM29" si="122">IFERROR(+(IF(FJ13="","0",FJ13))-(IF(FL13="","0",FL13)),"")</f>
        <v>0</v>
      </c>
      <c r="FN13" s="90"/>
      <c r="FO13" s="80">
        <v>1.0</v>
      </c>
      <c r="FP13" s="81" t="str">
        <f t="shared" ref="FP13:FR13" si="27">IFERROR(VLOOKUP($R13,$A$13:$D$30,-FP$12,FALSE),"")</f>
        <v>Bijih  Emas</v>
      </c>
      <c r="FQ13" s="82" t="str">
        <f t="shared" si="27"/>
        <v>Bijih </v>
      </c>
      <c r="FR13" s="82" t="str">
        <f t="shared" si="27"/>
        <v>Kg</v>
      </c>
      <c r="FS13" s="83">
        <f t="shared" ref="FS13:FS29" si="124">FS49+FS85+FS121+FS157</f>
        <v>0</v>
      </c>
      <c r="FT13" s="83" t="str">
        <f t="shared" ref="FT13:FT29" si="125">FU13/FS13*1000000</f>
        <v>#DIV/0!</v>
      </c>
      <c r="FU13" s="83">
        <f t="shared" ref="FU13:FU30" si="126">FU49+FU85+FU121+FU157</f>
        <v>0</v>
      </c>
      <c r="FV13" s="84"/>
      <c r="FW13" s="83">
        <f t="shared" ref="FW13:FW29" si="127">IFERROR(+FU13*FV13,"")</f>
        <v>0</v>
      </c>
      <c r="FX13" s="409"/>
      <c r="FY13" s="85"/>
      <c r="FZ13" s="85"/>
      <c r="GA13" s="87">
        <f t="shared" ref="GA13:GA29" si="128">IFERROR(+(IF(FU13="","0",FU13))+(IF(FW13="","0",FW13))+(IF(FZ13="","0",FZ13)),"")</f>
        <v>0</v>
      </c>
      <c r="GB13" s="84">
        <f t="shared" ref="GB13:GB29" si="129">FK13</f>
        <v>0.4604471269</v>
      </c>
      <c r="GC13" s="88">
        <f t="shared" ref="GC13:GC29" si="130">IFERROR(+GB13*(GA13-FZ13),"")</f>
        <v>0</v>
      </c>
      <c r="GD13" s="89">
        <f t="shared" ref="GD13:GD29" si="131">IFERROR(+(IF(GA13="","0",GA13))-(IF(GC13="","0",GC13)),"")</f>
        <v>0</v>
      </c>
      <c r="GE13" s="90"/>
      <c r="GF13" s="80">
        <v>1.0</v>
      </c>
      <c r="GG13" s="81" t="str">
        <f t="shared" ref="GG13:GI13" si="28">IFERROR(VLOOKUP($R13,$A$13:$D$30,-GG$12,FALSE),"")</f>
        <v>Bijih  Emas</v>
      </c>
      <c r="GH13" s="82" t="str">
        <f t="shared" si="28"/>
        <v>Bijih </v>
      </c>
      <c r="GI13" s="82" t="str">
        <f t="shared" si="28"/>
        <v>Kg</v>
      </c>
      <c r="GJ13" s="83">
        <f t="shared" ref="GJ13:GJ29" si="133">GJ49+GJ85+GJ121+GJ157</f>
        <v>0</v>
      </c>
      <c r="GK13" s="83" t="str">
        <f t="shared" ref="GK13:GK29" si="134">GL13/GJ13*1000000</f>
        <v>#DIV/0!</v>
      </c>
      <c r="GL13" s="83">
        <f t="shared" ref="GL13:GL30" si="135">GL49+GL85+GL121+GL157</f>
        <v>0</v>
      </c>
      <c r="GM13" s="84"/>
      <c r="GN13" s="83">
        <f t="shared" ref="GN13:GN29" si="136">IFERROR(+GL13*GM13,"")</f>
        <v>0</v>
      </c>
      <c r="GO13" s="409"/>
      <c r="GP13" s="85"/>
      <c r="GQ13" s="85"/>
      <c r="GR13" s="87">
        <f t="shared" ref="GR13:GR29" si="137">IFERROR(+(IF(GL13="","0",GL13))+(IF(GN13="","0",GN13))+(IF(GQ13="","0",GQ13)),"")</f>
        <v>0</v>
      </c>
      <c r="GS13" s="84">
        <f t="shared" ref="GS13:GS29" si="138">GB13</f>
        <v>0.4604471269</v>
      </c>
      <c r="GT13" s="88">
        <f t="shared" ref="GT13:GT29" si="139">IFERROR(+GS13*(GR13-GQ13),"")</f>
        <v>0</v>
      </c>
      <c r="GU13" s="89">
        <f t="shared" ref="GU13:GU29" si="140">IFERROR(+(IF(GR13="","0",GR13))-(IF(GT13="","0",GT13)),"")</f>
        <v>0</v>
      </c>
      <c r="GV13" s="90"/>
      <c r="GW13" s="80">
        <v>1.0</v>
      </c>
      <c r="GX13" s="81" t="str">
        <f t="shared" ref="GX13:GZ13" si="29">IFERROR(VLOOKUP($R13,$A$13:$D$30,-GX$12,FALSE),"")</f>
        <v>Bijih  Emas</v>
      </c>
      <c r="GY13" s="82" t="str">
        <f t="shared" si="29"/>
        <v>Bijih </v>
      </c>
      <c r="GZ13" s="82" t="str">
        <f t="shared" si="29"/>
        <v>Kg</v>
      </c>
      <c r="HA13" s="83">
        <f t="shared" ref="HA13:HA29" si="142">HA49+HA85+HA121+HA157</f>
        <v>0</v>
      </c>
      <c r="HB13" s="83" t="str">
        <f t="shared" ref="HB13:HB29" si="143">HC13/HA13*1000000</f>
        <v>#DIV/0!</v>
      </c>
      <c r="HC13" s="83">
        <f t="shared" ref="HC13:HC30" si="144">HC49+HC85+HC121+HC157</f>
        <v>0</v>
      </c>
      <c r="HD13" s="84"/>
      <c r="HE13" s="83">
        <f t="shared" ref="HE13:HE29" si="145">IFERROR(+HC13*HD13,"")</f>
        <v>0</v>
      </c>
      <c r="HF13" s="409"/>
      <c r="HG13" s="85"/>
      <c r="HH13" s="85"/>
      <c r="HI13" s="87">
        <f t="shared" ref="HI13:HI29" si="146">IFERROR(+(IF(HC13="","0",HC13))+(IF(HE13="","0",HE13))+(IF(HH13="","0",HH13)),"")</f>
        <v>0</v>
      </c>
      <c r="HJ13" s="84">
        <f t="shared" ref="HJ13:HJ29" si="147">GS13</f>
        <v>0.4604471269</v>
      </c>
      <c r="HK13" s="88">
        <f t="shared" ref="HK13:HK29" si="148">IFERROR(+HJ13*(HI13-HH13),"")</f>
        <v>0</v>
      </c>
      <c r="HL13" s="89">
        <f t="shared" ref="HL13:HL29" si="149">IFERROR(+(IF(HI13="","0",HI13))-(IF(HK13="","0",HK13)),"")</f>
        <v>0</v>
      </c>
      <c r="HM13" s="90"/>
      <c r="HN13" s="80">
        <v>1.0</v>
      </c>
      <c r="HO13" s="81" t="str">
        <f t="shared" ref="HO13:HQ13" si="30">IFERROR(VLOOKUP($R13,$A$13:$D$30,-HO$12,FALSE),"")</f>
        <v>Bijih  Emas</v>
      </c>
      <c r="HP13" s="82" t="str">
        <f t="shared" si="30"/>
        <v>Bijih </v>
      </c>
      <c r="HQ13" s="82" t="str">
        <f t="shared" si="30"/>
        <v>Kg</v>
      </c>
      <c r="HR13" s="83">
        <f t="shared" ref="HR13:HR29" si="151">HR49+HR85+HR121+HR157</f>
        <v>0</v>
      </c>
      <c r="HS13" s="83" t="str">
        <f t="shared" ref="HS13:HS29" si="152">HT13/HR13*1000000</f>
        <v>#DIV/0!</v>
      </c>
      <c r="HT13" s="83">
        <f t="shared" ref="HT13:HT30" si="153">HT49+HT85+HT121+HT157</f>
        <v>0</v>
      </c>
      <c r="HU13" s="84"/>
      <c r="HV13" s="83">
        <f t="shared" ref="HV13:HV29" si="154">IFERROR(+HT13*HU13,"")</f>
        <v>0</v>
      </c>
      <c r="HW13" s="409"/>
      <c r="HX13" s="85"/>
      <c r="HY13" s="85"/>
      <c r="HZ13" s="87">
        <f t="shared" ref="HZ13:HZ29" si="155">IFERROR(+(IF(HT13="","0",HT13))+(IF(HV13="","0",HV13))+(IF(HY13="","0",HY13)),"")</f>
        <v>0</v>
      </c>
      <c r="IA13" s="84">
        <f t="shared" ref="IA13:IA29" si="156">HJ13</f>
        <v>0.4604471269</v>
      </c>
      <c r="IB13" s="88">
        <f t="shared" ref="IB13:IB29" si="157">IFERROR(+IA13*(HZ13-HY13),"")</f>
        <v>0</v>
      </c>
      <c r="IC13" s="89">
        <f t="shared" ref="IC13:IC29" si="158">IFERROR(+(IF(HZ13="","0",HZ13))-(IF(IB13="","0",IB13)),"")</f>
        <v>0</v>
      </c>
      <c r="ID13" s="90"/>
      <c r="IE13" s="80">
        <v>1.0</v>
      </c>
      <c r="IF13" s="81" t="str">
        <f t="shared" ref="IF13:IH13" si="31">IFERROR(VLOOKUP($R13,$A$13:$D$30,-IF$12,FALSE),"")</f>
        <v>Bijih  Emas</v>
      </c>
      <c r="IG13" s="82" t="str">
        <f t="shared" si="31"/>
        <v>Bijih </v>
      </c>
      <c r="IH13" s="82" t="str">
        <f t="shared" si="31"/>
        <v>Kg</v>
      </c>
      <c r="II13" s="83">
        <f t="shared" ref="II13:II29" si="160">II49+II85+II121+II157</f>
        <v>0</v>
      </c>
      <c r="IJ13" s="83" t="str">
        <f t="shared" ref="IJ13:IJ29" si="161">IK13/II13*1000000</f>
        <v>#DIV/0!</v>
      </c>
      <c r="IK13" s="83">
        <f t="shared" ref="IK13:IK30" si="162">IK49+IK85+IK121+IK157</f>
        <v>0</v>
      </c>
      <c r="IL13" s="84"/>
      <c r="IM13" s="83">
        <f t="shared" ref="IM13:IM29" si="163">IFERROR(+IK13*IL13,"")</f>
        <v>0</v>
      </c>
      <c r="IN13" s="409"/>
      <c r="IO13" s="85"/>
      <c r="IP13" s="85"/>
      <c r="IQ13" s="87">
        <f t="shared" ref="IQ13:IQ29" si="164">IFERROR(+(IF(IK13="","0",IK13))+(IF(IM13="","0",IM13))+(IF(IP13="","0",IP13)),"")</f>
        <v>0</v>
      </c>
      <c r="IR13" s="84">
        <f t="shared" ref="IR13:IR29" si="165">IA13</f>
        <v>0.4604471269</v>
      </c>
      <c r="IS13" s="88">
        <f t="shared" ref="IS13:IS29" si="166">IFERROR(+IR13*(IQ13-IP13),"")</f>
        <v>0</v>
      </c>
      <c r="IT13" s="89">
        <f t="shared" ref="IT13:IT29" si="167">IFERROR(+(IF(IQ13="","0",IQ13))-(IF(IS13="","0",IS13)),"")</f>
        <v>0</v>
      </c>
      <c r="IU13" s="90"/>
      <c r="IV13" s="80">
        <v>1.0</v>
      </c>
      <c r="IW13" s="81" t="str">
        <f t="shared" ref="IW13:IY13" si="32">IFERROR(VLOOKUP($R13,$A$13:$D$30,-IW$12,FALSE),"")</f>
        <v>Bijih  Emas</v>
      </c>
      <c r="IX13" s="82" t="str">
        <f t="shared" si="32"/>
        <v>Bijih </v>
      </c>
      <c r="IY13" s="82" t="str">
        <f t="shared" si="32"/>
        <v>Kg</v>
      </c>
      <c r="IZ13" s="83">
        <f t="shared" ref="IZ13:IZ29" si="169">IZ49+IZ85+IZ121+IZ157</f>
        <v>0</v>
      </c>
      <c r="JA13" s="83" t="str">
        <f t="shared" ref="JA13:JA29" si="170">JB13/IZ13*1000000</f>
        <v>#DIV/0!</v>
      </c>
      <c r="JB13" s="83">
        <f t="shared" ref="JB13:JB30" si="171">JB49+JB85+JB121+JB157</f>
        <v>0</v>
      </c>
      <c r="JC13" s="84"/>
      <c r="JD13" s="83">
        <f t="shared" ref="JD13:JD29" si="172">IFERROR(+JB13*JC13,"")</f>
        <v>0</v>
      </c>
      <c r="JE13" s="409"/>
      <c r="JF13" s="85"/>
      <c r="JG13" s="85"/>
      <c r="JH13" s="87">
        <f t="shared" ref="JH13:JH29" si="173">IFERROR(+(IF(JB13="","0",JB13))+(IF(JD13="","0",JD13))+(IF(JG13="","0",JG13)),"")</f>
        <v>0</v>
      </c>
      <c r="JI13" s="84">
        <f t="shared" ref="JI13:JI29" si="174">IR13</f>
        <v>0.4604471269</v>
      </c>
      <c r="JJ13" s="88">
        <f t="shared" ref="JJ13:JJ29" si="175">IFERROR(+JI13*(JH13-JG13),"")</f>
        <v>0</v>
      </c>
      <c r="JK13" s="89">
        <f t="shared" ref="JK13:JK29" si="176">IFERROR(+(IF(JH13="","0",JH13))-(IF(JJ13="","0",JJ13)),"")</f>
        <v>0</v>
      </c>
      <c r="JL13" s="90"/>
      <c r="JM13" s="80">
        <v>1.0</v>
      </c>
      <c r="JN13" s="81" t="str">
        <f t="shared" ref="JN13:JP13" si="33">IFERROR(VLOOKUP($R13,$A$13:$D$30,-JN$12,FALSE),"")</f>
        <v>Bijih  Emas</v>
      </c>
      <c r="JO13" s="82" t="str">
        <f t="shared" si="33"/>
        <v>Bijih </v>
      </c>
      <c r="JP13" s="82" t="str">
        <f t="shared" si="33"/>
        <v>Kg</v>
      </c>
      <c r="JQ13" s="83">
        <f t="shared" ref="JQ13:JQ29" si="178">JQ49+JQ85+JQ121+JQ157</f>
        <v>0</v>
      </c>
      <c r="JR13" s="83" t="str">
        <f t="shared" ref="JR13:JR29" si="179">JS13/JQ13*1000000</f>
        <v>#DIV/0!</v>
      </c>
      <c r="JS13" s="83">
        <f t="shared" ref="JS13:JS30" si="180">JS49+JS85+JS121+JS157</f>
        <v>0</v>
      </c>
      <c r="JT13" s="84"/>
      <c r="JU13" s="83">
        <f t="shared" ref="JU13:JU29" si="181">IFERROR(+JS13*JT13,"")</f>
        <v>0</v>
      </c>
      <c r="JV13" s="409"/>
      <c r="JW13" s="85"/>
      <c r="JX13" s="85"/>
      <c r="JY13" s="87">
        <f t="shared" ref="JY13:JY29" si="182">IFERROR(+(IF(JS13="","0",JS13))+(IF(JU13="","0",JU13))+(IF(JX13="","0",JX13)),"")</f>
        <v>0</v>
      </c>
      <c r="JZ13" s="84">
        <f t="shared" ref="JZ13:JZ29" si="183">JI13</f>
        <v>0.4604471269</v>
      </c>
      <c r="KA13" s="88">
        <f t="shared" ref="KA13:KA29" si="184">IFERROR(+JZ13*(JY13-JX13),"")</f>
        <v>0</v>
      </c>
      <c r="KB13" s="89">
        <f t="shared" ref="KB13:KB29" si="185">IFERROR(+(IF(JY13="","0",JY13))-(IF(KA13="","0",KA13)),"")</f>
        <v>0</v>
      </c>
      <c r="KC13" s="90"/>
      <c r="KD13" s="80">
        <v>1.0</v>
      </c>
      <c r="KE13" s="81" t="str">
        <f t="shared" ref="KE13:KG13" si="34">IFERROR(VLOOKUP($R13,$A$13:$D$30,-KE$12,FALSE),"")</f>
        <v>Bijih  Emas</v>
      </c>
      <c r="KF13" s="82" t="str">
        <f t="shared" si="34"/>
        <v>Bijih </v>
      </c>
      <c r="KG13" s="82" t="str">
        <f t="shared" si="34"/>
        <v>Kg</v>
      </c>
      <c r="KH13" s="83">
        <f t="shared" ref="KH13:KH29" si="187">KH49+KH85+KH121+KH157</f>
        <v>0</v>
      </c>
      <c r="KI13" s="83" t="str">
        <f t="shared" ref="KI13:KI29" si="188">KJ13/KH13*1000000</f>
        <v>#DIV/0!</v>
      </c>
      <c r="KJ13" s="83">
        <f t="shared" ref="KJ13:KJ30" si="189">KJ49+KJ85+KJ121+KJ157</f>
        <v>0</v>
      </c>
      <c r="KK13" s="84"/>
      <c r="KL13" s="83">
        <f t="shared" ref="KL13:KL29" si="190">IFERROR(+KJ13*KK13,"")</f>
        <v>0</v>
      </c>
      <c r="KM13" s="409"/>
      <c r="KN13" s="85"/>
      <c r="KO13" s="85"/>
      <c r="KP13" s="87">
        <f t="shared" ref="KP13:KP29" si="191">IFERROR(+(IF(KJ13="","0",KJ13))+(IF(KL13="","0",KL13))+(IF(KO13="","0",KO13)),"")</f>
        <v>0</v>
      </c>
      <c r="KQ13" s="84">
        <f t="shared" ref="KQ13:KQ29" si="192">JZ13</f>
        <v>0.4604471269</v>
      </c>
      <c r="KR13" s="88">
        <f t="shared" ref="KR13:KR29" si="193">IFERROR(+KQ13*(KP13-KO13),"")</f>
        <v>0</v>
      </c>
      <c r="KS13" s="89">
        <f t="shared" ref="KS13:KS29" si="194">IFERROR(+(IF(KP13="","0",KP13))-(IF(KR13="","0",KR13)),"")</f>
        <v>0</v>
      </c>
      <c r="KT13" s="90"/>
      <c r="KU13" s="91"/>
    </row>
    <row r="14">
      <c r="A14" s="92">
        <v>2.0</v>
      </c>
      <c r="B14" s="93" t="s">
        <v>71</v>
      </c>
      <c r="C14" s="94" t="s">
        <v>69</v>
      </c>
      <c r="D14" s="94" t="s">
        <v>70</v>
      </c>
      <c r="E14" s="87">
        <f t="shared" si="35"/>
        <v>0</v>
      </c>
      <c r="F14" s="87" t="str">
        <f t="shared" si="36"/>
        <v>#DIV/0!</v>
      </c>
      <c r="G14" s="87">
        <f t="shared" si="37"/>
        <v>0</v>
      </c>
      <c r="H14" s="95"/>
      <c r="I14" s="87">
        <f t="shared" si="38"/>
        <v>0</v>
      </c>
      <c r="J14" s="410"/>
      <c r="K14" s="96"/>
      <c r="L14" s="96"/>
      <c r="M14" s="87">
        <f t="shared" si="39"/>
        <v>0</v>
      </c>
      <c r="N14" s="95">
        <v>0.4604471268963365</v>
      </c>
      <c r="O14" s="98">
        <f t="shared" si="40"/>
        <v>0</v>
      </c>
      <c r="P14" s="99">
        <f t="shared" si="41"/>
        <v>0</v>
      </c>
      <c r="Q14" s="90"/>
      <c r="R14" s="92">
        <f t="shared" ref="R14:R29" si="195">R13+1</f>
        <v>2</v>
      </c>
      <c r="S14" s="93" t="str">
        <f t="shared" ref="S14:U14" si="42">IFERROR(VLOOKUP($R14,$A$13:$D$30,-S$12,FALSE),"")</f>
        <v>Bijih  Perak</v>
      </c>
      <c r="T14" s="94" t="str">
        <f t="shared" si="42"/>
        <v>Bijih </v>
      </c>
      <c r="U14" s="94" t="str">
        <f t="shared" si="42"/>
        <v>Kg</v>
      </c>
      <c r="V14" s="87">
        <f t="shared" si="43"/>
        <v>0</v>
      </c>
      <c r="W14" s="87" t="str">
        <f t="shared" si="44"/>
        <v>#DIV/0!</v>
      </c>
      <c r="X14" s="87">
        <f t="shared" si="45"/>
        <v>0</v>
      </c>
      <c r="Y14" s="95"/>
      <c r="Z14" s="87">
        <f t="shared" si="46"/>
        <v>0</v>
      </c>
      <c r="AA14" s="410"/>
      <c r="AB14" s="96"/>
      <c r="AC14" s="96"/>
      <c r="AD14" s="87">
        <f t="shared" si="47"/>
        <v>0</v>
      </c>
      <c r="AE14" s="95">
        <f t="shared" si="48"/>
        <v>0.4604471269</v>
      </c>
      <c r="AF14" s="98">
        <f t="shared" si="49"/>
        <v>0</v>
      </c>
      <c r="AG14" s="99">
        <f t="shared" si="50"/>
        <v>0</v>
      </c>
      <c r="AH14" s="90"/>
      <c r="AI14" s="92">
        <f t="shared" ref="AI14:AI29" si="197">AI13+1</f>
        <v>2</v>
      </c>
      <c r="AJ14" s="93" t="str">
        <f t="shared" ref="AJ14:AL14" si="51">IFERROR(VLOOKUP($R14,$A$13:$D$30,-AJ$12,FALSE),"")</f>
        <v>Bijih  Perak</v>
      </c>
      <c r="AK14" s="94" t="str">
        <f t="shared" si="51"/>
        <v>Bijih </v>
      </c>
      <c r="AL14" s="94" t="str">
        <f t="shared" si="51"/>
        <v>Kg</v>
      </c>
      <c r="AM14" s="87">
        <f t="shared" si="52"/>
        <v>0</v>
      </c>
      <c r="AN14" s="87" t="str">
        <f t="shared" si="53"/>
        <v>#DIV/0!</v>
      </c>
      <c r="AO14" s="87">
        <f t="shared" si="54"/>
        <v>0</v>
      </c>
      <c r="AP14" s="95"/>
      <c r="AQ14" s="87">
        <f t="shared" si="55"/>
        <v>0</v>
      </c>
      <c r="AR14" s="410"/>
      <c r="AS14" s="96"/>
      <c r="AT14" s="96"/>
      <c r="AU14" s="87">
        <f t="shared" si="56"/>
        <v>0</v>
      </c>
      <c r="AV14" s="95">
        <f t="shared" si="57"/>
        <v>0.4604471269</v>
      </c>
      <c r="AW14" s="98">
        <f t="shared" si="58"/>
        <v>0</v>
      </c>
      <c r="AX14" s="99">
        <f t="shared" si="59"/>
        <v>0</v>
      </c>
      <c r="AY14" s="90"/>
      <c r="AZ14" s="92">
        <f t="shared" ref="AZ14:AZ29" si="199">AZ13+1</f>
        <v>2</v>
      </c>
      <c r="BA14" s="93" t="str">
        <f t="shared" ref="BA14:BC14" si="60">IFERROR(VLOOKUP($R14,$A$13:$D$30,-BA$12,FALSE),"")</f>
        <v>Bijih  Perak</v>
      </c>
      <c r="BB14" s="94" t="str">
        <f t="shared" si="60"/>
        <v>Bijih </v>
      </c>
      <c r="BC14" s="94" t="str">
        <f t="shared" si="60"/>
        <v>Kg</v>
      </c>
      <c r="BD14" s="87">
        <f t="shared" si="61"/>
        <v>0</v>
      </c>
      <c r="BE14" s="87" t="str">
        <f t="shared" si="62"/>
        <v>#DIV/0!</v>
      </c>
      <c r="BF14" s="87">
        <f t="shared" si="63"/>
        <v>0</v>
      </c>
      <c r="BG14" s="95"/>
      <c r="BH14" s="87">
        <f t="shared" si="64"/>
        <v>0</v>
      </c>
      <c r="BI14" s="410"/>
      <c r="BJ14" s="96"/>
      <c r="BK14" s="96"/>
      <c r="BL14" s="87">
        <f t="shared" si="65"/>
        <v>0</v>
      </c>
      <c r="BM14" s="95">
        <f t="shared" si="66"/>
        <v>0.4604471269</v>
      </c>
      <c r="BN14" s="98">
        <f t="shared" si="67"/>
        <v>0</v>
      </c>
      <c r="BO14" s="99">
        <f t="shared" si="68"/>
        <v>0</v>
      </c>
      <c r="BP14" s="90"/>
      <c r="BQ14" s="92">
        <f t="shared" ref="BQ14:BQ29" si="201">BQ13+1</f>
        <v>2</v>
      </c>
      <c r="BR14" s="93" t="str">
        <f t="shared" ref="BR14:BT14" si="69">IFERROR(VLOOKUP($R14,$A$13:$D$30,-BR$12,FALSE),"")</f>
        <v>Bijih  Perak</v>
      </c>
      <c r="BS14" s="94" t="str">
        <f t="shared" si="69"/>
        <v>Bijih </v>
      </c>
      <c r="BT14" s="94" t="str">
        <f t="shared" si="69"/>
        <v>Kg</v>
      </c>
      <c r="BU14" s="87">
        <f t="shared" si="70"/>
        <v>0</v>
      </c>
      <c r="BV14" s="87" t="str">
        <f t="shared" si="71"/>
        <v>#DIV/0!</v>
      </c>
      <c r="BW14" s="87">
        <f t="shared" si="72"/>
        <v>0</v>
      </c>
      <c r="BX14" s="95"/>
      <c r="BY14" s="87">
        <f t="shared" si="73"/>
        <v>0</v>
      </c>
      <c r="BZ14" s="410"/>
      <c r="CA14" s="96"/>
      <c r="CB14" s="96"/>
      <c r="CC14" s="87">
        <f t="shared" si="74"/>
        <v>0</v>
      </c>
      <c r="CD14" s="95">
        <f t="shared" si="75"/>
        <v>0.4604471269</v>
      </c>
      <c r="CE14" s="98">
        <f t="shared" si="76"/>
        <v>0</v>
      </c>
      <c r="CF14" s="99">
        <f t="shared" si="77"/>
        <v>0</v>
      </c>
      <c r="CG14" s="90"/>
      <c r="CH14" s="92">
        <f t="shared" ref="CH14:CH29" si="203">CH13+1</f>
        <v>2</v>
      </c>
      <c r="CI14" s="93" t="str">
        <f t="shared" ref="CI14:CK14" si="78">IFERROR(VLOOKUP($R14,$A$13:$D$30,-CI$12,FALSE),"")</f>
        <v>Bijih  Perak</v>
      </c>
      <c r="CJ14" s="94" t="str">
        <f t="shared" si="78"/>
        <v>Bijih </v>
      </c>
      <c r="CK14" s="94" t="str">
        <f t="shared" si="78"/>
        <v>Kg</v>
      </c>
      <c r="CL14" s="87">
        <f t="shared" si="79"/>
        <v>0</v>
      </c>
      <c r="CM14" s="87" t="str">
        <f t="shared" si="80"/>
        <v>#DIV/0!</v>
      </c>
      <c r="CN14" s="87">
        <f t="shared" si="81"/>
        <v>0</v>
      </c>
      <c r="CO14" s="95"/>
      <c r="CP14" s="87">
        <f t="shared" si="82"/>
        <v>0</v>
      </c>
      <c r="CQ14" s="410"/>
      <c r="CR14" s="96"/>
      <c r="CS14" s="96"/>
      <c r="CT14" s="87">
        <f t="shared" si="83"/>
        <v>0</v>
      </c>
      <c r="CU14" s="95">
        <f t="shared" si="84"/>
        <v>0.4604471269</v>
      </c>
      <c r="CV14" s="98">
        <f t="shared" si="85"/>
        <v>0</v>
      </c>
      <c r="CW14" s="99">
        <f t="shared" si="86"/>
        <v>0</v>
      </c>
      <c r="CX14" s="90"/>
      <c r="CY14" s="92">
        <f t="shared" ref="CY14:CY29" si="205">CY13+1</f>
        <v>2</v>
      </c>
      <c r="CZ14" s="93" t="str">
        <f t="shared" ref="CZ14:DB14" si="87">IFERROR(VLOOKUP($R14,$A$13:$D$30,-CZ$12,FALSE),"")</f>
        <v>Bijih  Perak</v>
      </c>
      <c r="DA14" s="94" t="str">
        <f t="shared" si="87"/>
        <v>Bijih </v>
      </c>
      <c r="DB14" s="94" t="str">
        <f t="shared" si="87"/>
        <v>Kg</v>
      </c>
      <c r="DC14" s="87">
        <f t="shared" si="88"/>
        <v>0</v>
      </c>
      <c r="DD14" s="87" t="str">
        <f t="shared" si="89"/>
        <v>#DIV/0!</v>
      </c>
      <c r="DE14" s="87">
        <f t="shared" si="90"/>
        <v>0</v>
      </c>
      <c r="DF14" s="95"/>
      <c r="DG14" s="87">
        <f t="shared" si="91"/>
        <v>0</v>
      </c>
      <c r="DH14" s="410"/>
      <c r="DI14" s="96"/>
      <c r="DJ14" s="96"/>
      <c r="DK14" s="87">
        <f t="shared" si="92"/>
        <v>0</v>
      </c>
      <c r="DL14" s="95">
        <f t="shared" si="93"/>
        <v>0.4604471269</v>
      </c>
      <c r="DM14" s="98">
        <f t="shared" si="94"/>
        <v>0</v>
      </c>
      <c r="DN14" s="99">
        <f t="shared" si="95"/>
        <v>0</v>
      </c>
      <c r="DO14" s="90"/>
      <c r="DP14" s="92">
        <f t="shared" ref="DP14:DP29" si="207">DP13+1</f>
        <v>2</v>
      </c>
      <c r="DQ14" s="93" t="str">
        <f t="shared" ref="DQ14:DS14" si="96">IFERROR(VLOOKUP($R14,$A$13:$D$30,-DQ$12,FALSE),"")</f>
        <v>Bijih  Perak</v>
      </c>
      <c r="DR14" s="94" t="str">
        <f t="shared" si="96"/>
        <v>Bijih </v>
      </c>
      <c r="DS14" s="94" t="str">
        <f t="shared" si="96"/>
        <v>Kg</v>
      </c>
      <c r="DT14" s="87">
        <f t="shared" si="97"/>
        <v>0</v>
      </c>
      <c r="DU14" s="87" t="str">
        <f t="shared" si="98"/>
        <v>#DIV/0!</v>
      </c>
      <c r="DV14" s="87">
        <f t="shared" si="99"/>
        <v>0</v>
      </c>
      <c r="DW14" s="95"/>
      <c r="DX14" s="87">
        <f t="shared" si="100"/>
        <v>0</v>
      </c>
      <c r="DY14" s="410"/>
      <c r="DZ14" s="96"/>
      <c r="EA14" s="96"/>
      <c r="EB14" s="87">
        <f t="shared" si="101"/>
        <v>0</v>
      </c>
      <c r="EC14" s="95">
        <f t="shared" si="102"/>
        <v>0.4604471269</v>
      </c>
      <c r="ED14" s="98">
        <f t="shared" si="103"/>
        <v>0</v>
      </c>
      <c r="EE14" s="99">
        <f t="shared" si="104"/>
        <v>0</v>
      </c>
      <c r="EF14" s="90"/>
      <c r="EG14" s="92">
        <f t="shared" ref="EG14:EG29" si="209">EG13+1</f>
        <v>2</v>
      </c>
      <c r="EH14" s="93" t="str">
        <f t="shared" ref="EH14:EJ14" si="105">IFERROR(VLOOKUP($R14,$A$13:$D$30,-EH$12,FALSE),"")</f>
        <v>Bijih  Perak</v>
      </c>
      <c r="EI14" s="94" t="str">
        <f t="shared" si="105"/>
        <v>Bijih </v>
      </c>
      <c r="EJ14" s="94" t="str">
        <f t="shared" si="105"/>
        <v>Kg</v>
      </c>
      <c r="EK14" s="87">
        <f t="shared" si="106"/>
        <v>0</v>
      </c>
      <c r="EL14" s="87" t="str">
        <f t="shared" si="107"/>
        <v>#DIV/0!</v>
      </c>
      <c r="EM14" s="87">
        <f t="shared" si="108"/>
        <v>0</v>
      </c>
      <c r="EN14" s="95"/>
      <c r="EO14" s="87">
        <f t="shared" si="109"/>
        <v>0</v>
      </c>
      <c r="EP14" s="410"/>
      <c r="EQ14" s="96"/>
      <c r="ER14" s="96"/>
      <c r="ES14" s="87">
        <f t="shared" si="110"/>
        <v>0</v>
      </c>
      <c r="ET14" s="95">
        <f t="shared" si="111"/>
        <v>0.4604471269</v>
      </c>
      <c r="EU14" s="98">
        <f t="shared" si="112"/>
        <v>0</v>
      </c>
      <c r="EV14" s="99">
        <f t="shared" si="113"/>
        <v>0</v>
      </c>
      <c r="EW14" s="90"/>
      <c r="EX14" s="92">
        <f t="shared" ref="EX14:EX29" si="211">EX13+1</f>
        <v>2</v>
      </c>
      <c r="EY14" s="93" t="str">
        <f t="shared" ref="EY14:FA14" si="114">IFERROR(VLOOKUP($R14,$A$13:$D$30,-EY$12,FALSE),"")</f>
        <v>Bijih  Perak</v>
      </c>
      <c r="EZ14" s="94" t="str">
        <f t="shared" si="114"/>
        <v>Bijih </v>
      </c>
      <c r="FA14" s="94" t="str">
        <f t="shared" si="114"/>
        <v>Kg</v>
      </c>
      <c r="FB14" s="87">
        <f t="shared" si="115"/>
        <v>0</v>
      </c>
      <c r="FC14" s="87" t="str">
        <f t="shared" si="116"/>
        <v>#DIV/0!</v>
      </c>
      <c r="FD14" s="87">
        <f t="shared" si="117"/>
        <v>0</v>
      </c>
      <c r="FE14" s="95"/>
      <c r="FF14" s="87">
        <f t="shared" si="118"/>
        <v>0</v>
      </c>
      <c r="FG14" s="410"/>
      <c r="FH14" s="96"/>
      <c r="FI14" s="96"/>
      <c r="FJ14" s="87">
        <f t="shared" si="119"/>
        <v>0</v>
      </c>
      <c r="FK14" s="95">
        <f t="shared" si="120"/>
        <v>0.4604471269</v>
      </c>
      <c r="FL14" s="98">
        <f t="shared" si="121"/>
        <v>0</v>
      </c>
      <c r="FM14" s="99">
        <f t="shared" si="122"/>
        <v>0</v>
      </c>
      <c r="FN14" s="90"/>
      <c r="FO14" s="92">
        <f t="shared" ref="FO14:FO29" si="213">FO13+1</f>
        <v>2</v>
      </c>
      <c r="FP14" s="93" t="str">
        <f t="shared" ref="FP14:FR14" si="123">IFERROR(VLOOKUP($R14,$A$13:$D$30,-FP$12,FALSE),"")</f>
        <v>Bijih  Perak</v>
      </c>
      <c r="FQ14" s="94" t="str">
        <f t="shared" si="123"/>
        <v>Bijih </v>
      </c>
      <c r="FR14" s="94" t="str">
        <f t="shared" si="123"/>
        <v>Kg</v>
      </c>
      <c r="FS14" s="87">
        <f t="shared" si="124"/>
        <v>0</v>
      </c>
      <c r="FT14" s="87" t="str">
        <f t="shared" si="125"/>
        <v>#DIV/0!</v>
      </c>
      <c r="FU14" s="87">
        <f t="shared" si="126"/>
        <v>0</v>
      </c>
      <c r="FV14" s="95"/>
      <c r="FW14" s="87">
        <f t="shared" si="127"/>
        <v>0</v>
      </c>
      <c r="FX14" s="410"/>
      <c r="FY14" s="96"/>
      <c r="FZ14" s="96"/>
      <c r="GA14" s="87">
        <f t="shared" si="128"/>
        <v>0</v>
      </c>
      <c r="GB14" s="95">
        <f t="shared" si="129"/>
        <v>0.4604471269</v>
      </c>
      <c r="GC14" s="98">
        <f t="shared" si="130"/>
        <v>0</v>
      </c>
      <c r="GD14" s="99">
        <f t="shared" si="131"/>
        <v>0</v>
      </c>
      <c r="GE14" s="90"/>
      <c r="GF14" s="92">
        <f t="shared" ref="GF14:GF29" si="215">GF13+1</f>
        <v>2</v>
      </c>
      <c r="GG14" s="93" t="str">
        <f t="shared" ref="GG14:GI14" si="132">IFERROR(VLOOKUP($R14,$A$13:$D$30,-GG$12,FALSE),"")</f>
        <v>Bijih  Perak</v>
      </c>
      <c r="GH14" s="94" t="str">
        <f t="shared" si="132"/>
        <v>Bijih </v>
      </c>
      <c r="GI14" s="94" t="str">
        <f t="shared" si="132"/>
        <v>Kg</v>
      </c>
      <c r="GJ14" s="87">
        <f t="shared" si="133"/>
        <v>0</v>
      </c>
      <c r="GK14" s="87" t="str">
        <f t="shared" si="134"/>
        <v>#DIV/0!</v>
      </c>
      <c r="GL14" s="87">
        <f t="shared" si="135"/>
        <v>0</v>
      </c>
      <c r="GM14" s="95"/>
      <c r="GN14" s="87">
        <f t="shared" si="136"/>
        <v>0</v>
      </c>
      <c r="GO14" s="410"/>
      <c r="GP14" s="96"/>
      <c r="GQ14" s="96"/>
      <c r="GR14" s="87">
        <f t="shared" si="137"/>
        <v>0</v>
      </c>
      <c r="GS14" s="95">
        <f t="shared" si="138"/>
        <v>0.4604471269</v>
      </c>
      <c r="GT14" s="98">
        <f t="shared" si="139"/>
        <v>0</v>
      </c>
      <c r="GU14" s="99">
        <f t="shared" si="140"/>
        <v>0</v>
      </c>
      <c r="GV14" s="90"/>
      <c r="GW14" s="92">
        <f t="shared" ref="GW14:GW29" si="217">GW13+1</f>
        <v>2</v>
      </c>
      <c r="GX14" s="93" t="str">
        <f t="shared" ref="GX14:GZ14" si="141">IFERROR(VLOOKUP($R14,$A$13:$D$30,-GX$12,FALSE),"")</f>
        <v>Bijih  Perak</v>
      </c>
      <c r="GY14" s="94" t="str">
        <f t="shared" si="141"/>
        <v>Bijih </v>
      </c>
      <c r="GZ14" s="94" t="str">
        <f t="shared" si="141"/>
        <v>Kg</v>
      </c>
      <c r="HA14" s="87">
        <f t="shared" si="142"/>
        <v>0</v>
      </c>
      <c r="HB14" s="87" t="str">
        <f t="shared" si="143"/>
        <v>#DIV/0!</v>
      </c>
      <c r="HC14" s="87">
        <f t="shared" si="144"/>
        <v>0</v>
      </c>
      <c r="HD14" s="95"/>
      <c r="HE14" s="87">
        <f t="shared" si="145"/>
        <v>0</v>
      </c>
      <c r="HF14" s="410"/>
      <c r="HG14" s="96"/>
      <c r="HH14" s="96"/>
      <c r="HI14" s="87">
        <f t="shared" si="146"/>
        <v>0</v>
      </c>
      <c r="HJ14" s="95">
        <f t="shared" si="147"/>
        <v>0.4604471269</v>
      </c>
      <c r="HK14" s="98">
        <f t="shared" si="148"/>
        <v>0</v>
      </c>
      <c r="HL14" s="99">
        <f t="shared" si="149"/>
        <v>0</v>
      </c>
      <c r="HM14" s="90"/>
      <c r="HN14" s="92">
        <f t="shared" ref="HN14:HN29" si="219">HN13+1</f>
        <v>2</v>
      </c>
      <c r="HO14" s="93" t="str">
        <f t="shared" ref="HO14:HQ14" si="150">IFERROR(VLOOKUP($R14,$A$13:$D$30,-HO$12,FALSE),"")</f>
        <v>Bijih  Perak</v>
      </c>
      <c r="HP14" s="94" t="str">
        <f t="shared" si="150"/>
        <v>Bijih </v>
      </c>
      <c r="HQ14" s="94" t="str">
        <f t="shared" si="150"/>
        <v>Kg</v>
      </c>
      <c r="HR14" s="87">
        <f t="shared" si="151"/>
        <v>0</v>
      </c>
      <c r="HS14" s="87" t="str">
        <f t="shared" si="152"/>
        <v>#DIV/0!</v>
      </c>
      <c r="HT14" s="87">
        <f t="shared" si="153"/>
        <v>0</v>
      </c>
      <c r="HU14" s="95"/>
      <c r="HV14" s="87">
        <f t="shared" si="154"/>
        <v>0</v>
      </c>
      <c r="HW14" s="410"/>
      <c r="HX14" s="96"/>
      <c r="HY14" s="96"/>
      <c r="HZ14" s="87">
        <f t="shared" si="155"/>
        <v>0</v>
      </c>
      <c r="IA14" s="95">
        <f t="shared" si="156"/>
        <v>0.4604471269</v>
      </c>
      <c r="IB14" s="98">
        <f t="shared" si="157"/>
        <v>0</v>
      </c>
      <c r="IC14" s="99">
        <f t="shared" si="158"/>
        <v>0</v>
      </c>
      <c r="ID14" s="90"/>
      <c r="IE14" s="92">
        <f t="shared" ref="IE14:IE29" si="221">IE13+1</f>
        <v>2</v>
      </c>
      <c r="IF14" s="93" t="str">
        <f t="shared" ref="IF14:IH14" si="159">IFERROR(VLOOKUP($R14,$A$13:$D$30,-IF$12,FALSE),"")</f>
        <v>Bijih  Perak</v>
      </c>
      <c r="IG14" s="94" t="str">
        <f t="shared" si="159"/>
        <v>Bijih </v>
      </c>
      <c r="IH14" s="94" t="str">
        <f t="shared" si="159"/>
        <v>Kg</v>
      </c>
      <c r="II14" s="87">
        <f t="shared" si="160"/>
        <v>0</v>
      </c>
      <c r="IJ14" s="87" t="str">
        <f t="shared" si="161"/>
        <v>#DIV/0!</v>
      </c>
      <c r="IK14" s="87">
        <f t="shared" si="162"/>
        <v>0</v>
      </c>
      <c r="IL14" s="95"/>
      <c r="IM14" s="87">
        <f t="shared" si="163"/>
        <v>0</v>
      </c>
      <c r="IN14" s="410"/>
      <c r="IO14" s="96"/>
      <c r="IP14" s="96"/>
      <c r="IQ14" s="87">
        <f t="shared" si="164"/>
        <v>0</v>
      </c>
      <c r="IR14" s="95">
        <f t="shared" si="165"/>
        <v>0.4604471269</v>
      </c>
      <c r="IS14" s="98">
        <f t="shared" si="166"/>
        <v>0</v>
      </c>
      <c r="IT14" s="99">
        <f t="shared" si="167"/>
        <v>0</v>
      </c>
      <c r="IU14" s="90"/>
      <c r="IV14" s="92">
        <f t="shared" ref="IV14:IV29" si="223">IV13+1</f>
        <v>2</v>
      </c>
      <c r="IW14" s="93" t="str">
        <f t="shared" ref="IW14:IY14" si="168">IFERROR(VLOOKUP($R14,$A$13:$D$30,-IW$12,FALSE),"")</f>
        <v>Bijih  Perak</v>
      </c>
      <c r="IX14" s="94" t="str">
        <f t="shared" si="168"/>
        <v>Bijih </v>
      </c>
      <c r="IY14" s="94" t="str">
        <f t="shared" si="168"/>
        <v>Kg</v>
      </c>
      <c r="IZ14" s="87">
        <f t="shared" si="169"/>
        <v>0</v>
      </c>
      <c r="JA14" s="87" t="str">
        <f t="shared" si="170"/>
        <v>#DIV/0!</v>
      </c>
      <c r="JB14" s="87">
        <f t="shared" si="171"/>
        <v>0</v>
      </c>
      <c r="JC14" s="95"/>
      <c r="JD14" s="87">
        <f t="shared" si="172"/>
        <v>0</v>
      </c>
      <c r="JE14" s="410"/>
      <c r="JF14" s="96"/>
      <c r="JG14" s="96"/>
      <c r="JH14" s="87">
        <f t="shared" si="173"/>
        <v>0</v>
      </c>
      <c r="JI14" s="95">
        <f t="shared" si="174"/>
        <v>0.4604471269</v>
      </c>
      <c r="JJ14" s="98">
        <f t="shared" si="175"/>
        <v>0</v>
      </c>
      <c r="JK14" s="99">
        <f t="shared" si="176"/>
        <v>0</v>
      </c>
      <c r="JL14" s="90"/>
      <c r="JM14" s="92">
        <f t="shared" ref="JM14:JM29" si="225">JM13+1</f>
        <v>2</v>
      </c>
      <c r="JN14" s="93" t="str">
        <f t="shared" ref="JN14:JP14" si="177">IFERROR(VLOOKUP($R14,$A$13:$D$30,-JN$12,FALSE),"")</f>
        <v>Bijih  Perak</v>
      </c>
      <c r="JO14" s="94" t="str">
        <f t="shared" si="177"/>
        <v>Bijih </v>
      </c>
      <c r="JP14" s="94" t="str">
        <f t="shared" si="177"/>
        <v>Kg</v>
      </c>
      <c r="JQ14" s="87">
        <f t="shared" si="178"/>
        <v>0</v>
      </c>
      <c r="JR14" s="87" t="str">
        <f t="shared" si="179"/>
        <v>#DIV/0!</v>
      </c>
      <c r="JS14" s="87">
        <f t="shared" si="180"/>
        <v>0</v>
      </c>
      <c r="JT14" s="95"/>
      <c r="JU14" s="87">
        <f t="shared" si="181"/>
        <v>0</v>
      </c>
      <c r="JV14" s="410"/>
      <c r="JW14" s="96"/>
      <c r="JX14" s="96"/>
      <c r="JY14" s="87">
        <f t="shared" si="182"/>
        <v>0</v>
      </c>
      <c r="JZ14" s="95">
        <f t="shared" si="183"/>
        <v>0.4604471269</v>
      </c>
      <c r="KA14" s="98">
        <f t="shared" si="184"/>
        <v>0</v>
      </c>
      <c r="KB14" s="99">
        <f t="shared" si="185"/>
        <v>0</v>
      </c>
      <c r="KC14" s="90"/>
      <c r="KD14" s="92">
        <f t="shared" ref="KD14:KD29" si="227">KD13+1</f>
        <v>2</v>
      </c>
      <c r="KE14" s="93" t="str">
        <f t="shared" ref="KE14:KG14" si="186">IFERROR(VLOOKUP($R14,$A$13:$D$30,-KE$12,FALSE),"")</f>
        <v>Bijih  Perak</v>
      </c>
      <c r="KF14" s="94" t="str">
        <f t="shared" si="186"/>
        <v>Bijih </v>
      </c>
      <c r="KG14" s="94" t="str">
        <f t="shared" si="186"/>
        <v>Kg</v>
      </c>
      <c r="KH14" s="87">
        <f t="shared" si="187"/>
        <v>0</v>
      </c>
      <c r="KI14" s="87" t="str">
        <f t="shared" si="188"/>
        <v>#DIV/0!</v>
      </c>
      <c r="KJ14" s="87">
        <f t="shared" si="189"/>
        <v>0</v>
      </c>
      <c r="KK14" s="95"/>
      <c r="KL14" s="87">
        <f t="shared" si="190"/>
        <v>0</v>
      </c>
      <c r="KM14" s="410"/>
      <c r="KN14" s="96"/>
      <c r="KO14" s="96"/>
      <c r="KP14" s="87">
        <f t="shared" si="191"/>
        <v>0</v>
      </c>
      <c r="KQ14" s="95">
        <f t="shared" si="192"/>
        <v>0.4604471269</v>
      </c>
      <c r="KR14" s="98">
        <f t="shared" si="193"/>
        <v>0</v>
      </c>
      <c r="KS14" s="99">
        <f t="shared" si="194"/>
        <v>0</v>
      </c>
      <c r="KT14" s="90"/>
      <c r="KU14" s="91"/>
    </row>
    <row r="15">
      <c r="A15" s="92">
        <v>3.0</v>
      </c>
      <c r="B15" s="93" t="s">
        <v>72</v>
      </c>
      <c r="C15" s="94" t="s">
        <v>69</v>
      </c>
      <c r="D15" s="94" t="s">
        <v>73</v>
      </c>
      <c r="E15" s="87">
        <f t="shared" si="35"/>
        <v>0</v>
      </c>
      <c r="F15" s="87" t="str">
        <f t="shared" si="36"/>
        <v>#DIV/0!</v>
      </c>
      <c r="G15" s="87">
        <f t="shared" si="37"/>
        <v>0</v>
      </c>
      <c r="H15" s="95"/>
      <c r="I15" s="87">
        <f t="shared" si="38"/>
        <v>0</v>
      </c>
      <c r="J15" s="410"/>
      <c r="K15" s="96"/>
      <c r="L15" s="96"/>
      <c r="M15" s="87">
        <f t="shared" si="39"/>
        <v>0</v>
      </c>
      <c r="N15" s="95">
        <v>0.4604471268963365</v>
      </c>
      <c r="O15" s="98">
        <f t="shared" si="40"/>
        <v>0</v>
      </c>
      <c r="P15" s="99">
        <f t="shared" si="41"/>
        <v>0</v>
      </c>
      <c r="Q15" s="90"/>
      <c r="R15" s="92">
        <f t="shared" si="195"/>
        <v>3</v>
      </c>
      <c r="S15" s="93" t="str">
        <f t="shared" ref="S15:U15" si="196">IFERROR(VLOOKUP($R15,$A$13:$D$30,-S$12,FALSE),"")</f>
        <v>Tembaga</v>
      </c>
      <c r="T15" s="94" t="str">
        <f t="shared" si="196"/>
        <v>Bijih </v>
      </c>
      <c r="U15" s="94" t="str">
        <f t="shared" si="196"/>
        <v>Ton </v>
      </c>
      <c r="V15" s="87">
        <f t="shared" si="43"/>
        <v>0</v>
      </c>
      <c r="W15" s="87" t="str">
        <f t="shared" si="44"/>
        <v>#DIV/0!</v>
      </c>
      <c r="X15" s="87">
        <f t="shared" si="45"/>
        <v>0</v>
      </c>
      <c r="Y15" s="95"/>
      <c r="Z15" s="87">
        <f t="shared" si="46"/>
        <v>0</v>
      </c>
      <c r="AA15" s="410"/>
      <c r="AB15" s="96"/>
      <c r="AC15" s="96"/>
      <c r="AD15" s="87">
        <f t="shared" si="47"/>
        <v>0</v>
      </c>
      <c r="AE15" s="95">
        <f t="shared" si="48"/>
        <v>0.4604471269</v>
      </c>
      <c r="AF15" s="98">
        <f t="shared" si="49"/>
        <v>0</v>
      </c>
      <c r="AG15" s="99">
        <f t="shared" si="50"/>
        <v>0</v>
      </c>
      <c r="AH15" s="90"/>
      <c r="AI15" s="92">
        <f t="shared" si="197"/>
        <v>3</v>
      </c>
      <c r="AJ15" s="93" t="str">
        <f t="shared" ref="AJ15:AL15" si="198">IFERROR(VLOOKUP($R15,$A$13:$D$30,-AJ$12,FALSE),"")</f>
        <v>Tembaga</v>
      </c>
      <c r="AK15" s="94" t="str">
        <f t="shared" si="198"/>
        <v>Bijih </v>
      </c>
      <c r="AL15" s="94" t="str">
        <f t="shared" si="198"/>
        <v>Ton </v>
      </c>
      <c r="AM15" s="87">
        <f t="shared" si="52"/>
        <v>0</v>
      </c>
      <c r="AN15" s="87" t="str">
        <f t="shared" si="53"/>
        <v>#DIV/0!</v>
      </c>
      <c r="AO15" s="87">
        <f t="shared" si="54"/>
        <v>0</v>
      </c>
      <c r="AP15" s="95"/>
      <c r="AQ15" s="87">
        <f t="shared" si="55"/>
        <v>0</v>
      </c>
      <c r="AR15" s="410"/>
      <c r="AS15" s="96"/>
      <c r="AT15" s="96"/>
      <c r="AU15" s="87">
        <f t="shared" si="56"/>
        <v>0</v>
      </c>
      <c r="AV15" s="95">
        <f t="shared" si="57"/>
        <v>0.4604471269</v>
      </c>
      <c r="AW15" s="98">
        <f t="shared" si="58"/>
        <v>0</v>
      </c>
      <c r="AX15" s="99">
        <f t="shared" si="59"/>
        <v>0</v>
      </c>
      <c r="AY15" s="90"/>
      <c r="AZ15" s="92">
        <f t="shared" si="199"/>
        <v>3</v>
      </c>
      <c r="BA15" s="93" t="str">
        <f t="shared" ref="BA15:BC15" si="200">IFERROR(VLOOKUP($R15,$A$13:$D$30,-BA$12,FALSE),"")</f>
        <v>Tembaga</v>
      </c>
      <c r="BB15" s="94" t="str">
        <f t="shared" si="200"/>
        <v>Bijih </v>
      </c>
      <c r="BC15" s="94" t="str">
        <f t="shared" si="200"/>
        <v>Ton </v>
      </c>
      <c r="BD15" s="87">
        <f t="shared" si="61"/>
        <v>0</v>
      </c>
      <c r="BE15" s="87" t="str">
        <f t="shared" si="62"/>
        <v>#DIV/0!</v>
      </c>
      <c r="BF15" s="87">
        <f t="shared" si="63"/>
        <v>0</v>
      </c>
      <c r="BG15" s="95"/>
      <c r="BH15" s="87">
        <f t="shared" si="64"/>
        <v>0</v>
      </c>
      <c r="BI15" s="410"/>
      <c r="BJ15" s="96"/>
      <c r="BK15" s="96"/>
      <c r="BL15" s="87">
        <f t="shared" si="65"/>
        <v>0</v>
      </c>
      <c r="BM15" s="95">
        <f t="shared" si="66"/>
        <v>0.4604471269</v>
      </c>
      <c r="BN15" s="98">
        <f t="shared" si="67"/>
        <v>0</v>
      </c>
      <c r="BO15" s="99">
        <f t="shared" si="68"/>
        <v>0</v>
      </c>
      <c r="BP15" s="90"/>
      <c r="BQ15" s="92">
        <f t="shared" si="201"/>
        <v>3</v>
      </c>
      <c r="BR15" s="93" t="str">
        <f t="shared" ref="BR15:BT15" si="202">IFERROR(VLOOKUP($R15,$A$13:$D$30,-BR$12,FALSE),"")</f>
        <v>Tembaga</v>
      </c>
      <c r="BS15" s="94" t="str">
        <f t="shared" si="202"/>
        <v>Bijih </v>
      </c>
      <c r="BT15" s="94" t="str">
        <f t="shared" si="202"/>
        <v>Ton </v>
      </c>
      <c r="BU15" s="87">
        <f t="shared" si="70"/>
        <v>0</v>
      </c>
      <c r="BV15" s="87" t="str">
        <f t="shared" si="71"/>
        <v>#DIV/0!</v>
      </c>
      <c r="BW15" s="87">
        <f t="shared" si="72"/>
        <v>0</v>
      </c>
      <c r="BX15" s="95"/>
      <c r="BY15" s="87">
        <f t="shared" si="73"/>
        <v>0</v>
      </c>
      <c r="BZ15" s="410"/>
      <c r="CA15" s="96"/>
      <c r="CB15" s="96"/>
      <c r="CC15" s="87">
        <f t="shared" si="74"/>
        <v>0</v>
      </c>
      <c r="CD15" s="95">
        <f t="shared" si="75"/>
        <v>0.4604471269</v>
      </c>
      <c r="CE15" s="98">
        <f t="shared" si="76"/>
        <v>0</v>
      </c>
      <c r="CF15" s="99">
        <f t="shared" si="77"/>
        <v>0</v>
      </c>
      <c r="CG15" s="90"/>
      <c r="CH15" s="92">
        <f t="shared" si="203"/>
        <v>3</v>
      </c>
      <c r="CI15" s="93" t="str">
        <f t="shared" ref="CI15:CK15" si="204">IFERROR(VLOOKUP($R15,$A$13:$D$30,-CI$12,FALSE),"")</f>
        <v>Tembaga</v>
      </c>
      <c r="CJ15" s="94" t="str">
        <f t="shared" si="204"/>
        <v>Bijih </v>
      </c>
      <c r="CK15" s="94" t="str">
        <f t="shared" si="204"/>
        <v>Ton </v>
      </c>
      <c r="CL15" s="87">
        <f t="shared" si="79"/>
        <v>0</v>
      </c>
      <c r="CM15" s="87" t="str">
        <f t="shared" si="80"/>
        <v>#DIV/0!</v>
      </c>
      <c r="CN15" s="87">
        <f t="shared" si="81"/>
        <v>0</v>
      </c>
      <c r="CO15" s="95"/>
      <c r="CP15" s="87">
        <f t="shared" si="82"/>
        <v>0</v>
      </c>
      <c r="CQ15" s="410"/>
      <c r="CR15" s="96"/>
      <c r="CS15" s="96"/>
      <c r="CT15" s="87">
        <f t="shared" si="83"/>
        <v>0</v>
      </c>
      <c r="CU15" s="95">
        <f t="shared" si="84"/>
        <v>0.4604471269</v>
      </c>
      <c r="CV15" s="98">
        <f t="shared" si="85"/>
        <v>0</v>
      </c>
      <c r="CW15" s="99">
        <f t="shared" si="86"/>
        <v>0</v>
      </c>
      <c r="CX15" s="90"/>
      <c r="CY15" s="92">
        <f t="shared" si="205"/>
        <v>3</v>
      </c>
      <c r="CZ15" s="93" t="str">
        <f t="shared" ref="CZ15:DB15" si="206">IFERROR(VLOOKUP($R15,$A$13:$D$30,-CZ$12,FALSE),"")</f>
        <v>Tembaga</v>
      </c>
      <c r="DA15" s="94" t="str">
        <f t="shared" si="206"/>
        <v>Bijih </v>
      </c>
      <c r="DB15" s="94" t="str">
        <f t="shared" si="206"/>
        <v>Ton </v>
      </c>
      <c r="DC15" s="87">
        <f t="shared" si="88"/>
        <v>0</v>
      </c>
      <c r="DD15" s="87" t="str">
        <f t="shared" si="89"/>
        <v>#DIV/0!</v>
      </c>
      <c r="DE15" s="87">
        <f t="shared" si="90"/>
        <v>0</v>
      </c>
      <c r="DF15" s="95"/>
      <c r="DG15" s="87">
        <f t="shared" si="91"/>
        <v>0</v>
      </c>
      <c r="DH15" s="410"/>
      <c r="DI15" s="96"/>
      <c r="DJ15" s="96"/>
      <c r="DK15" s="87">
        <f t="shared" si="92"/>
        <v>0</v>
      </c>
      <c r="DL15" s="95">
        <f t="shared" si="93"/>
        <v>0.4604471269</v>
      </c>
      <c r="DM15" s="98">
        <f t="shared" si="94"/>
        <v>0</v>
      </c>
      <c r="DN15" s="99">
        <f t="shared" si="95"/>
        <v>0</v>
      </c>
      <c r="DO15" s="90"/>
      <c r="DP15" s="92">
        <f t="shared" si="207"/>
        <v>3</v>
      </c>
      <c r="DQ15" s="93" t="str">
        <f t="shared" ref="DQ15:DS15" si="208">IFERROR(VLOOKUP($R15,$A$13:$D$30,-DQ$12,FALSE),"")</f>
        <v>Tembaga</v>
      </c>
      <c r="DR15" s="94" t="str">
        <f t="shared" si="208"/>
        <v>Bijih </v>
      </c>
      <c r="DS15" s="94" t="str">
        <f t="shared" si="208"/>
        <v>Ton </v>
      </c>
      <c r="DT15" s="87">
        <f t="shared" si="97"/>
        <v>0</v>
      </c>
      <c r="DU15" s="87" t="str">
        <f t="shared" si="98"/>
        <v>#DIV/0!</v>
      </c>
      <c r="DV15" s="87">
        <f t="shared" si="99"/>
        <v>0</v>
      </c>
      <c r="DW15" s="95"/>
      <c r="DX15" s="87">
        <f t="shared" si="100"/>
        <v>0</v>
      </c>
      <c r="DY15" s="410"/>
      <c r="DZ15" s="96"/>
      <c r="EA15" s="96"/>
      <c r="EB15" s="87">
        <f t="shared" si="101"/>
        <v>0</v>
      </c>
      <c r="EC15" s="95">
        <f t="shared" si="102"/>
        <v>0.4604471269</v>
      </c>
      <c r="ED15" s="98">
        <f t="shared" si="103"/>
        <v>0</v>
      </c>
      <c r="EE15" s="99">
        <f t="shared" si="104"/>
        <v>0</v>
      </c>
      <c r="EF15" s="90"/>
      <c r="EG15" s="92">
        <f t="shared" si="209"/>
        <v>3</v>
      </c>
      <c r="EH15" s="93" t="str">
        <f t="shared" ref="EH15:EJ15" si="210">IFERROR(VLOOKUP($R15,$A$13:$D$30,-EH$12,FALSE),"")</f>
        <v>Tembaga</v>
      </c>
      <c r="EI15" s="94" t="str">
        <f t="shared" si="210"/>
        <v>Bijih </v>
      </c>
      <c r="EJ15" s="94" t="str">
        <f t="shared" si="210"/>
        <v>Ton </v>
      </c>
      <c r="EK15" s="87">
        <f t="shared" si="106"/>
        <v>0</v>
      </c>
      <c r="EL15" s="87" t="str">
        <f t="shared" si="107"/>
        <v>#DIV/0!</v>
      </c>
      <c r="EM15" s="87">
        <f t="shared" si="108"/>
        <v>0</v>
      </c>
      <c r="EN15" s="95"/>
      <c r="EO15" s="87">
        <f t="shared" si="109"/>
        <v>0</v>
      </c>
      <c r="EP15" s="410"/>
      <c r="EQ15" s="96"/>
      <c r="ER15" s="96"/>
      <c r="ES15" s="87">
        <f t="shared" si="110"/>
        <v>0</v>
      </c>
      <c r="ET15" s="95">
        <f t="shared" si="111"/>
        <v>0.4604471269</v>
      </c>
      <c r="EU15" s="98">
        <f t="shared" si="112"/>
        <v>0</v>
      </c>
      <c r="EV15" s="99">
        <f t="shared" si="113"/>
        <v>0</v>
      </c>
      <c r="EW15" s="90"/>
      <c r="EX15" s="92">
        <f t="shared" si="211"/>
        <v>3</v>
      </c>
      <c r="EY15" s="93" t="str">
        <f t="shared" ref="EY15:FA15" si="212">IFERROR(VLOOKUP($R15,$A$13:$D$30,-EY$12,FALSE),"")</f>
        <v>Tembaga</v>
      </c>
      <c r="EZ15" s="94" t="str">
        <f t="shared" si="212"/>
        <v>Bijih </v>
      </c>
      <c r="FA15" s="94" t="str">
        <f t="shared" si="212"/>
        <v>Ton </v>
      </c>
      <c r="FB15" s="87">
        <f t="shared" si="115"/>
        <v>0</v>
      </c>
      <c r="FC15" s="87" t="str">
        <f t="shared" si="116"/>
        <v>#DIV/0!</v>
      </c>
      <c r="FD15" s="87">
        <f t="shared" si="117"/>
        <v>0</v>
      </c>
      <c r="FE15" s="95"/>
      <c r="FF15" s="87">
        <f t="shared" si="118"/>
        <v>0</v>
      </c>
      <c r="FG15" s="410"/>
      <c r="FH15" s="96"/>
      <c r="FI15" s="96"/>
      <c r="FJ15" s="87">
        <f t="shared" si="119"/>
        <v>0</v>
      </c>
      <c r="FK15" s="95">
        <f t="shared" si="120"/>
        <v>0.4604471269</v>
      </c>
      <c r="FL15" s="98">
        <f t="shared" si="121"/>
        <v>0</v>
      </c>
      <c r="FM15" s="99">
        <f t="shared" si="122"/>
        <v>0</v>
      </c>
      <c r="FN15" s="90"/>
      <c r="FO15" s="92">
        <f t="shared" si="213"/>
        <v>3</v>
      </c>
      <c r="FP15" s="93" t="str">
        <f t="shared" ref="FP15:FR15" si="214">IFERROR(VLOOKUP($R15,$A$13:$D$30,-FP$12,FALSE),"")</f>
        <v>Tembaga</v>
      </c>
      <c r="FQ15" s="94" t="str">
        <f t="shared" si="214"/>
        <v>Bijih </v>
      </c>
      <c r="FR15" s="94" t="str">
        <f t="shared" si="214"/>
        <v>Ton </v>
      </c>
      <c r="FS15" s="87">
        <f t="shared" si="124"/>
        <v>0</v>
      </c>
      <c r="FT15" s="87" t="str">
        <f t="shared" si="125"/>
        <v>#DIV/0!</v>
      </c>
      <c r="FU15" s="87">
        <f t="shared" si="126"/>
        <v>0</v>
      </c>
      <c r="FV15" s="95"/>
      <c r="FW15" s="87">
        <f t="shared" si="127"/>
        <v>0</v>
      </c>
      <c r="FX15" s="410"/>
      <c r="FY15" s="96"/>
      <c r="FZ15" s="96"/>
      <c r="GA15" s="87">
        <f t="shared" si="128"/>
        <v>0</v>
      </c>
      <c r="GB15" s="95">
        <f t="shared" si="129"/>
        <v>0.4604471269</v>
      </c>
      <c r="GC15" s="98">
        <f t="shared" si="130"/>
        <v>0</v>
      </c>
      <c r="GD15" s="99">
        <f t="shared" si="131"/>
        <v>0</v>
      </c>
      <c r="GE15" s="90"/>
      <c r="GF15" s="92">
        <f t="shared" si="215"/>
        <v>3</v>
      </c>
      <c r="GG15" s="93" t="str">
        <f t="shared" ref="GG15:GI15" si="216">IFERROR(VLOOKUP($R15,$A$13:$D$30,-GG$12,FALSE),"")</f>
        <v>Tembaga</v>
      </c>
      <c r="GH15" s="94" t="str">
        <f t="shared" si="216"/>
        <v>Bijih </v>
      </c>
      <c r="GI15" s="94" t="str">
        <f t="shared" si="216"/>
        <v>Ton </v>
      </c>
      <c r="GJ15" s="87">
        <f t="shared" si="133"/>
        <v>0</v>
      </c>
      <c r="GK15" s="87" t="str">
        <f t="shared" si="134"/>
        <v>#DIV/0!</v>
      </c>
      <c r="GL15" s="87">
        <f t="shared" si="135"/>
        <v>0</v>
      </c>
      <c r="GM15" s="95"/>
      <c r="GN15" s="87">
        <f t="shared" si="136"/>
        <v>0</v>
      </c>
      <c r="GO15" s="410"/>
      <c r="GP15" s="96"/>
      <c r="GQ15" s="96"/>
      <c r="GR15" s="87">
        <f t="shared" si="137"/>
        <v>0</v>
      </c>
      <c r="GS15" s="95">
        <f t="shared" si="138"/>
        <v>0.4604471269</v>
      </c>
      <c r="GT15" s="98">
        <f t="shared" si="139"/>
        <v>0</v>
      </c>
      <c r="GU15" s="99">
        <f t="shared" si="140"/>
        <v>0</v>
      </c>
      <c r="GV15" s="90"/>
      <c r="GW15" s="92">
        <f t="shared" si="217"/>
        <v>3</v>
      </c>
      <c r="GX15" s="93" t="str">
        <f t="shared" ref="GX15:GZ15" si="218">IFERROR(VLOOKUP($R15,$A$13:$D$30,-GX$12,FALSE),"")</f>
        <v>Tembaga</v>
      </c>
      <c r="GY15" s="94" t="str">
        <f t="shared" si="218"/>
        <v>Bijih </v>
      </c>
      <c r="GZ15" s="94" t="str">
        <f t="shared" si="218"/>
        <v>Ton </v>
      </c>
      <c r="HA15" s="87">
        <f t="shared" si="142"/>
        <v>0</v>
      </c>
      <c r="HB15" s="87" t="str">
        <f t="shared" si="143"/>
        <v>#DIV/0!</v>
      </c>
      <c r="HC15" s="87">
        <f t="shared" si="144"/>
        <v>0</v>
      </c>
      <c r="HD15" s="95"/>
      <c r="HE15" s="87">
        <f t="shared" si="145"/>
        <v>0</v>
      </c>
      <c r="HF15" s="410"/>
      <c r="HG15" s="96"/>
      <c r="HH15" s="96"/>
      <c r="HI15" s="87">
        <f t="shared" si="146"/>
        <v>0</v>
      </c>
      <c r="HJ15" s="95">
        <f t="shared" si="147"/>
        <v>0.4604471269</v>
      </c>
      <c r="HK15" s="98">
        <f t="shared" si="148"/>
        <v>0</v>
      </c>
      <c r="HL15" s="99">
        <f t="shared" si="149"/>
        <v>0</v>
      </c>
      <c r="HM15" s="90"/>
      <c r="HN15" s="92">
        <f t="shared" si="219"/>
        <v>3</v>
      </c>
      <c r="HO15" s="93" t="str">
        <f t="shared" ref="HO15:HQ15" si="220">IFERROR(VLOOKUP($R15,$A$13:$D$30,-HO$12,FALSE),"")</f>
        <v>Tembaga</v>
      </c>
      <c r="HP15" s="94" t="str">
        <f t="shared" si="220"/>
        <v>Bijih </v>
      </c>
      <c r="HQ15" s="94" t="str">
        <f t="shared" si="220"/>
        <v>Ton </v>
      </c>
      <c r="HR15" s="87">
        <f t="shared" si="151"/>
        <v>0</v>
      </c>
      <c r="HS15" s="87" t="str">
        <f t="shared" si="152"/>
        <v>#DIV/0!</v>
      </c>
      <c r="HT15" s="87">
        <f t="shared" si="153"/>
        <v>0</v>
      </c>
      <c r="HU15" s="95"/>
      <c r="HV15" s="87">
        <f t="shared" si="154"/>
        <v>0</v>
      </c>
      <c r="HW15" s="410"/>
      <c r="HX15" s="96"/>
      <c r="HY15" s="96"/>
      <c r="HZ15" s="87">
        <f t="shared" si="155"/>
        <v>0</v>
      </c>
      <c r="IA15" s="95">
        <f t="shared" si="156"/>
        <v>0.4604471269</v>
      </c>
      <c r="IB15" s="98">
        <f t="shared" si="157"/>
        <v>0</v>
      </c>
      <c r="IC15" s="99">
        <f t="shared" si="158"/>
        <v>0</v>
      </c>
      <c r="ID15" s="90"/>
      <c r="IE15" s="92">
        <f t="shared" si="221"/>
        <v>3</v>
      </c>
      <c r="IF15" s="93" t="str">
        <f t="shared" ref="IF15:IH15" si="222">IFERROR(VLOOKUP($R15,$A$13:$D$30,-IF$12,FALSE),"")</f>
        <v>Tembaga</v>
      </c>
      <c r="IG15" s="94" t="str">
        <f t="shared" si="222"/>
        <v>Bijih </v>
      </c>
      <c r="IH15" s="94" t="str">
        <f t="shared" si="222"/>
        <v>Ton </v>
      </c>
      <c r="II15" s="87">
        <f t="shared" si="160"/>
        <v>0</v>
      </c>
      <c r="IJ15" s="87" t="str">
        <f t="shared" si="161"/>
        <v>#DIV/0!</v>
      </c>
      <c r="IK15" s="87">
        <f t="shared" si="162"/>
        <v>0</v>
      </c>
      <c r="IL15" s="95"/>
      <c r="IM15" s="87">
        <f t="shared" si="163"/>
        <v>0</v>
      </c>
      <c r="IN15" s="410"/>
      <c r="IO15" s="96"/>
      <c r="IP15" s="96"/>
      <c r="IQ15" s="87">
        <f t="shared" si="164"/>
        <v>0</v>
      </c>
      <c r="IR15" s="95">
        <f t="shared" si="165"/>
        <v>0.4604471269</v>
      </c>
      <c r="IS15" s="98">
        <f t="shared" si="166"/>
        <v>0</v>
      </c>
      <c r="IT15" s="99">
        <f t="shared" si="167"/>
        <v>0</v>
      </c>
      <c r="IU15" s="90"/>
      <c r="IV15" s="92">
        <f t="shared" si="223"/>
        <v>3</v>
      </c>
      <c r="IW15" s="93" t="str">
        <f t="shared" ref="IW15:IY15" si="224">IFERROR(VLOOKUP($R15,$A$13:$D$30,-IW$12,FALSE),"")</f>
        <v>Tembaga</v>
      </c>
      <c r="IX15" s="94" t="str">
        <f t="shared" si="224"/>
        <v>Bijih </v>
      </c>
      <c r="IY15" s="94" t="str">
        <f t="shared" si="224"/>
        <v>Ton </v>
      </c>
      <c r="IZ15" s="87">
        <f t="shared" si="169"/>
        <v>0</v>
      </c>
      <c r="JA15" s="87" t="str">
        <f t="shared" si="170"/>
        <v>#DIV/0!</v>
      </c>
      <c r="JB15" s="87">
        <f t="shared" si="171"/>
        <v>0</v>
      </c>
      <c r="JC15" s="95"/>
      <c r="JD15" s="87">
        <f t="shared" si="172"/>
        <v>0</v>
      </c>
      <c r="JE15" s="410"/>
      <c r="JF15" s="96"/>
      <c r="JG15" s="96"/>
      <c r="JH15" s="87">
        <f t="shared" si="173"/>
        <v>0</v>
      </c>
      <c r="JI15" s="95">
        <f t="shared" si="174"/>
        <v>0.4604471269</v>
      </c>
      <c r="JJ15" s="98">
        <f t="shared" si="175"/>
        <v>0</v>
      </c>
      <c r="JK15" s="99">
        <f t="shared" si="176"/>
        <v>0</v>
      </c>
      <c r="JL15" s="90"/>
      <c r="JM15" s="92">
        <f t="shared" si="225"/>
        <v>3</v>
      </c>
      <c r="JN15" s="93" t="str">
        <f t="shared" ref="JN15:JP15" si="226">IFERROR(VLOOKUP($R15,$A$13:$D$30,-JN$12,FALSE),"")</f>
        <v>Tembaga</v>
      </c>
      <c r="JO15" s="94" t="str">
        <f t="shared" si="226"/>
        <v>Bijih </v>
      </c>
      <c r="JP15" s="94" t="str">
        <f t="shared" si="226"/>
        <v>Ton </v>
      </c>
      <c r="JQ15" s="87">
        <f t="shared" si="178"/>
        <v>0</v>
      </c>
      <c r="JR15" s="87" t="str">
        <f t="shared" si="179"/>
        <v>#DIV/0!</v>
      </c>
      <c r="JS15" s="87">
        <f t="shared" si="180"/>
        <v>0</v>
      </c>
      <c r="JT15" s="95"/>
      <c r="JU15" s="87">
        <f t="shared" si="181"/>
        <v>0</v>
      </c>
      <c r="JV15" s="410"/>
      <c r="JW15" s="96"/>
      <c r="JX15" s="96"/>
      <c r="JY15" s="87">
        <f t="shared" si="182"/>
        <v>0</v>
      </c>
      <c r="JZ15" s="95">
        <f t="shared" si="183"/>
        <v>0.4604471269</v>
      </c>
      <c r="KA15" s="98">
        <f t="shared" si="184"/>
        <v>0</v>
      </c>
      <c r="KB15" s="99">
        <f t="shared" si="185"/>
        <v>0</v>
      </c>
      <c r="KC15" s="90"/>
      <c r="KD15" s="92">
        <f t="shared" si="227"/>
        <v>3</v>
      </c>
      <c r="KE15" s="93" t="str">
        <f t="shared" ref="KE15:KG15" si="228">IFERROR(VLOOKUP($R15,$A$13:$D$30,-KE$12,FALSE),"")</f>
        <v>Tembaga</v>
      </c>
      <c r="KF15" s="94" t="str">
        <f t="shared" si="228"/>
        <v>Bijih </v>
      </c>
      <c r="KG15" s="94" t="str">
        <f t="shared" si="228"/>
        <v>Ton </v>
      </c>
      <c r="KH15" s="87">
        <f t="shared" si="187"/>
        <v>0</v>
      </c>
      <c r="KI15" s="87" t="str">
        <f t="shared" si="188"/>
        <v>#DIV/0!</v>
      </c>
      <c r="KJ15" s="87">
        <f t="shared" si="189"/>
        <v>0</v>
      </c>
      <c r="KK15" s="95"/>
      <c r="KL15" s="87">
        <f t="shared" si="190"/>
        <v>0</v>
      </c>
      <c r="KM15" s="410"/>
      <c r="KN15" s="96"/>
      <c r="KO15" s="96"/>
      <c r="KP15" s="87">
        <f t="shared" si="191"/>
        <v>0</v>
      </c>
      <c r="KQ15" s="95">
        <f t="shared" si="192"/>
        <v>0.4604471269</v>
      </c>
      <c r="KR15" s="98">
        <f t="shared" si="193"/>
        <v>0</v>
      </c>
      <c r="KS15" s="99">
        <f t="shared" si="194"/>
        <v>0</v>
      </c>
      <c r="KT15" s="90"/>
      <c r="KU15" s="91"/>
    </row>
    <row r="16">
      <c r="A16" s="92">
        <v>4.0</v>
      </c>
      <c r="B16" s="93" t="s">
        <v>74</v>
      </c>
      <c r="C16" s="94" t="s">
        <v>69</v>
      </c>
      <c r="D16" s="94" t="s">
        <v>73</v>
      </c>
      <c r="E16" s="87">
        <f t="shared" si="35"/>
        <v>0</v>
      </c>
      <c r="F16" s="87" t="str">
        <f t="shared" si="36"/>
        <v>#DIV/0!</v>
      </c>
      <c r="G16" s="87">
        <f t="shared" si="37"/>
        <v>0</v>
      </c>
      <c r="H16" s="95"/>
      <c r="I16" s="87">
        <f t="shared" si="38"/>
        <v>0</v>
      </c>
      <c r="J16" s="410"/>
      <c r="K16" s="96"/>
      <c r="L16" s="96"/>
      <c r="M16" s="87">
        <f t="shared" si="39"/>
        <v>0</v>
      </c>
      <c r="N16" s="95">
        <v>0.4604471268963365</v>
      </c>
      <c r="O16" s="98">
        <f t="shared" si="40"/>
        <v>0</v>
      </c>
      <c r="P16" s="99">
        <f t="shared" si="41"/>
        <v>0</v>
      </c>
      <c r="Q16" s="90"/>
      <c r="R16" s="92">
        <f t="shared" si="195"/>
        <v>4</v>
      </c>
      <c r="S16" s="93" t="str">
        <f t="shared" ref="S16:U16" si="229">IFERROR(VLOOKUP($R16,$A$13:$D$30,-S$12,FALSE),"")</f>
        <v>Bauksit </v>
      </c>
      <c r="T16" s="94" t="str">
        <f t="shared" si="229"/>
        <v>Bijih </v>
      </c>
      <c r="U16" s="94" t="str">
        <f t="shared" si="229"/>
        <v>Ton </v>
      </c>
      <c r="V16" s="87">
        <f t="shared" si="43"/>
        <v>0</v>
      </c>
      <c r="W16" s="87" t="str">
        <f t="shared" si="44"/>
        <v>#DIV/0!</v>
      </c>
      <c r="X16" s="87">
        <f t="shared" si="45"/>
        <v>0</v>
      </c>
      <c r="Y16" s="95"/>
      <c r="Z16" s="87">
        <f t="shared" si="46"/>
        <v>0</v>
      </c>
      <c r="AA16" s="410"/>
      <c r="AB16" s="96"/>
      <c r="AC16" s="96"/>
      <c r="AD16" s="87">
        <f t="shared" si="47"/>
        <v>0</v>
      </c>
      <c r="AE16" s="95">
        <f t="shared" si="48"/>
        <v>0.4604471269</v>
      </c>
      <c r="AF16" s="98">
        <f t="shared" si="49"/>
        <v>0</v>
      </c>
      <c r="AG16" s="99">
        <f t="shared" si="50"/>
        <v>0</v>
      </c>
      <c r="AH16" s="90"/>
      <c r="AI16" s="92">
        <f t="shared" si="197"/>
        <v>4</v>
      </c>
      <c r="AJ16" s="93" t="str">
        <f t="shared" ref="AJ16:AL16" si="230">IFERROR(VLOOKUP($R16,$A$13:$D$30,-AJ$12,FALSE),"")</f>
        <v>Bauksit </v>
      </c>
      <c r="AK16" s="94" t="str">
        <f t="shared" si="230"/>
        <v>Bijih </v>
      </c>
      <c r="AL16" s="94" t="str">
        <f t="shared" si="230"/>
        <v>Ton </v>
      </c>
      <c r="AM16" s="87">
        <f t="shared" si="52"/>
        <v>0</v>
      </c>
      <c r="AN16" s="87" t="str">
        <f t="shared" si="53"/>
        <v>#DIV/0!</v>
      </c>
      <c r="AO16" s="87">
        <f t="shared" si="54"/>
        <v>0</v>
      </c>
      <c r="AP16" s="95"/>
      <c r="AQ16" s="87">
        <f t="shared" si="55"/>
        <v>0</v>
      </c>
      <c r="AR16" s="410"/>
      <c r="AS16" s="96"/>
      <c r="AT16" s="96"/>
      <c r="AU16" s="87">
        <f t="shared" si="56"/>
        <v>0</v>
      </c>
      <c r="AV16" s="95">
        <f t="shared" si="57"/>
        <v>0.4604471269</v>
      </c>
      <c r="AW16" s="98">
        <f t="shared" si="58"/>
        <v>0</v>
      </c>
      <c r="AX16" s="99">
        <f t="shared" si="59"/>
        <v>0</v>
      </c>
      <c r="AY16" s="90"/>
      <c r="AZ16" s="92">
        <f t="shared" si="199"/>
        <v>4</v>
      </c>
      <c r="BA16" s="93" t="str">
        <f t="shared" ref="BA16:BC16" si="231">IFERROR(VLOOKUP($R16,$A$13:$D$30,-BA$12,FALSE),"")</f>
        <v>Bauksit </v>
      </c>
      <c r="BB16" s="94" t="str">
        <f t="shared" si="231"/>
        <v>Bijih </v>
      </c>
      <c r="BC16" s="94" t="str">
        <f t="shared" si="231"/>
        <v>Ton </v>
      </c>
      <c r="BD16" s="87">
        <f t="shared" si="61"/>
        <v>0</v>
      </c>
      <c r="BE16" s="87" t="str">
        <f t="shared" si="62"/>
        <v>#DIV/0!</v>
      </c>
      <c r="BF16" s="87">
        <f t="shared" si="63"/>
        <v>0</v>
      </c>
      <c r="BG16" s="95"/>
      <c r="BH16" s="87">
        <f t="shared" si="64"/>
        <v>0</v>
      </c>
      <c r="BI16" s="410"/>
      <c r="BJ16" s="96"/>
      <c r="BK16" s="96"/>
      <c r="BL16" s="87">
        <f t="shared" si="65"/>
        <v>0</v>
      </c>
      <c r="BM16" s="95">
        <f t="shared" si="66"/>
        <v>0.4604471269</v>
      </c>
      <c r="BN16" s="98">
        <f t="shared" si="67"/>
        <v>0</v>
      </c>
      <c r="BO16" s="99">
        <f t="shared" si="68"/>
        <v>0</v>
      </c>
      <c r="BP16" s="90"/>
      <c r="BQ16" s="92">
        <f t="shared" si="201"/>
        <v>4</v>
      </c>
      <c r="BR16" s="93" t="str">
        <f t="shared" ref="BR16:BT16" si="232">IFERROR(VLOOKUP($R16,$A$13:$D$30,-BR$12,FALSE),"")</f>
        <v>Bauksit </v>
      </c>
      <c r="BS16" s="94" t="str">
        <f t="shared" si="232"/>
        <v>Bijih </v>
      </c>
      <c r="BT16" s="94" t="str">
        <f t="shared" si="232"/>
        <v>Ton </v>
      </c>
      <c r="BU16" s="87">
        <f t="shared" si="70"/>
        <v>0</v>
      </c>
      <c r="BV16" s="87" t="str">
        <f t="shared" si="71"/>
        <v>#DIV/0!</v>
      </c>
      <c r="BW16" s="87">
        <f t="shared" si="72"/>
        <v>0</v>
      </c>
      <c r="BX16" s="95"/>
      <c r="BY16" s="87">
        <f t="shared" si="73"/>
        <v>0</v>
      </c>
      <c r="BZ16" s="410"/>
      <c r="CA16" s="96"/>
      <c r="CB16" s="96"/>
      <c r="CC16" s="87">
        <f t="shared" si="74"/>
        <v>0</v>
      </c>
      <c r="CD16" s="95">
        <f t="shared" si="75"/>
        <v>0.4604471269</v>
      </c>
      <c r="CE16" s="98">
        <f t="shared" si="76"/>
        <v>0</v>
      </c>
      <c r="CF16" s="99">
        <f t="shared" si="77"/>
        <v>0</v>
      </c>
      <c r="CG16" s="90"/>
      <c r="CH16" s="92">
        <f t="shared" si="203"/>
        <v>4</v>
      </c>
      <c r="CI16" s="93" t="str">
        <f t="shared" ref="CI16:CK16" si="233">IFERROR(VLOOKUP($R16,$A$13:$D$30,-CI$12,FALSE),"")</f>
        <v>Bauksit </v>
      </c>
      <c r="CJ16" s="94" t="str">
        <f t="shared" si="233"/>
        <v>Bijih </v>
      </c>
      <c r="CK16" s="94" t="str">
        <f t="shared" si="233"/>
        <v>Ton </v>
      </c>
      <c r="CL16" s="87">
        <f t="shared" si="79"/>
        <v>0</v>
      </c>
      <c r="CM16" s="87" t="str">
        <f t="shared" si="80"/>
        <v>#DIV/0!</v>
      </c>
      <c r="CN16" s="87">
        <f t="shared" si="81"/>
        <v>0</v>
      </c>
      <c r="CO16" s="95"/>
      <c r="CP16" s="87">
        <f t="shared" si="82"/>
        <v>0</v>
      </c>
      <c r="CQ16" s="410"/>
      <c r="CR16" s="96"/>
      <c r="CS16" s="96"/>
      <c r="CT16" s="87">
        <f t="shared" si="83"/>
        <v>0</v>
      </c>
      <c r="CU16" s="95">
        <f t="shared" si="84"/>
        <v>0.4604471269</v>
      </c>
      <c r="CV16" s="98">
        <f t="shared" si="85"/>
        <v>0</v>
      </c>
      <c r="CW16" s="99">
        <f t="shared" si="86"/>
        <v>0</v>
      </c>
      <c r="CX16" s="90"/>
      <c r="CY16" s="92">
        <f t="shared" si="205"/>
        <v>4</v>
      </c>
      <c r="CZ16" s="93" t="str">
        <f t="shared" ref="CZ16:DB16" si="234">IFERROR(VLOOKUP($R16,$A$13:$D$30,-CZ$12,FALSE),"")</f>
        <v>Bauksit </v>
      </c>
      <c r="DA16" s="94" t="str">
        <f t="shared" si="234"/>
        <v>Bijih </v>
      </c>
      <c r="DB16" s="94" t="str">
        <f t="shared" si="234"/>
        <v>Ton </v>
      </c>
      <c r="DC16" s="87">
        <f t="shared" si="88"/>
        <v>0</v>
      </c>
      <c r="DD16" s="87" t="str">
        <f t="shared" si="89"/>
        <v>#DIV/0!</v>
      </c>
      <c r="DE16" s="87">
        <f t="shared" si="90"/>
        <v>0</v>
      </c>
      <c r="DF16" s="95"/>
      <c r="DG16" s="87">
        <f t="shared" si="91"/>
        <v>0</v>
      </c>
      <c r="DH16" s="410"/>
      <c r="DI16" s="96"/>
      <c r="DJ16" s="96"/>
      <c r="DK16" s="87">
        <f t="shared" si="92"/>
        <v>0</v>
      </c>
      <c r="DL16" s="95">
        <f t="shared" si="93"/>
        <v>0.4604471269</v>
      </c>
      <c r="DM16" s="98">
        <f t="shared" si="94"/>
        <v>0</v>
      </c>
      <c r="DN16" s="99">
        <f t="shared" si="95"/>
        <v>0</v>
      </c>
      <c r="DO16" s="90"/>
      <c r="DP16" s="92">
        <f t="shared" si="207"/>
        <v>4</v>
      </c>
      <c r="DQ16" s="93" t="str">
        <f t="shared" ref="DQ16:DS16" si="235">IFERROR(VLOOKUP($R16,$A$13:$D$30,-DQ$12,FALSE),"")</f>
        <v>Bauksit </v>
      </c>
      <c r="DR16" s="94" t="str">
        <f t="shared" si="235"/>
        <v>Bijih </v>
      </c>
      <c r="DS16" s="94" t="str">
        <f t="shared" si="235"/>
        <v>Ton </v>
      </c>
      <c r="DT16" s="87">
        <f t="shared" si="97"/>
        <v>0</v>
      </c>
      <c r="DU16" s="87" t="str">
        <f t="shared" si="98"/>
        <v>#DIV/0!</v>
      </c>
      <c r="DV16" s="87">
        <f t="shared" si="99"/>
        <v>0</v>
      </c>
      <c r="DW16" s="95"/>
      <c r="DX16" s="87">
        <f t="shared" si="100"/>
        <v>0</v>
      </c>
      <c r="DY16" s="410"/>
      <c r="DZ16" s="96"/>
      <c r="EA16" s="96"/>
      <c r="EB16" s="87">
        <f t="shared" si="101"/>
        <v>0</v>
      </c>
      <c r="EC16" s="95">
        <f t="shared" si="102"/>
        <v>0.4604471269</v>
      </c>
      <c r="ED16" s="98">
        <f t="shared" si="103"/>
        <v>0</v>
      </c>
      <c r="EE16" s="99">
        <f t="shared" si="104"/>
        <v>0</v>
      </c>
      <c r="EF16" s="90"/>
      <c r="EG16" s="92">
        <f t="shared" si="209"/>
        <v>4</v>
      </c>
      <c r="EH16" s="93" t="str">
        <f t="shared" ref="EH16:EJ16" si="236">IFERROR(VLOOKUP($R16,$A$13:$D$30,-EH$12,FALSE),"")</f>
        <v>Bauksit </v>
      </c>
      <c r="EI16" s="94" t="str">
        <f t="shared" si="236"/>
        <v>Bijih </v>
      </c>
      <c r="EJ16" s="94" t="str">
        <f t="shared" si="236"/>
        <v>Ton </v>
      </c>
      <c r="EK16" s="87">
        <f t="shared" si="106"/>
        <v>0</v>
      </c>
      <c r="EL16" s="87" t="str">
        <f t="shared" si="107"/>
        <v>#DIV/0!</v>
      </c>
      <c r="EM16" s="87">
        <f t="shared" si="108"/>
        <v>0</v>
      </c>
      <c r="EN16" s="95"/>
      <c r="EO16" s="87">
        <f t="shared" si="109"/>
        <v>0</v>
      </c>
      <c r="EP16" s="410"/>
      <c r="EQ16" s="96"/>
      <c r="ER16" s="96"/>
      <c r="ES16" s="87">
        <f t="shared" si="110"/>
        <v>0</v>
      </c>
      <c r="ET16" s="95">
        <f t="shared" si="111"/>
        <v>0.4604471269</v>
      </c>
      <c r="EU16" s="98">
        <f t="shared" si="112"/>
        <v>0</v>
      </c>
      <c r="EV16" s="99">
        <f t="shared" si="113"/>
        <v>0</v>
      </c>
      <c r="EW16" s="90"/>
      <c r="EX16" s="92">
        <f t="shared" si="211"/>
        <v>4</v>
      </c>
      <c r="EY16" s="93" t="str">
        <f t="shared" ref="EY16:FA16" si="237">IFERROR(VLOOKUP($R16,$A$13:$D$30,-EY$12,FALSE),"")</f>
        <v>Bauksit </v>
      </c>
      <c r="EZ16" s="94" t="str">
        <f t="shared" si="237"/>
        <v>Bijih </v>
      </c>
      <c r="FA16" s="94" t="str">
        <f t="shared" si="237"/>
        <v>Ton </v>
      </c>
      <c r="FB16" s="87">
        <f t="shared" si="115"/>
        <v>0</v>
      </c>
      <c r="FC16" s="87" t="str">
        <f t="shared" si="116"/>
        <v>#DIV/0!</v>
      </c>
      <c r="FD16" s="87">
        <f t="shared" si="117"/>
        <v>0</v>
      </c>
      <c r="FE16" s="95"/>
      <c r="FF16" s="87">
        <f t="shared" si="118"/>
        <v>0</v>
      </c>
      <c r="FG16" s="410"/>
      <c r="FH16" s="96"/>
      <c r="FI16" s="96"/>
      <c r="FJ16" s="87">
        <f t="shared" si="119"/>
        <v>0</v>
      </c>
      <c r="FK16" s="95">
        <f t="shared" si="120"/>
        <v>0.4604471269</v>
      </c>
      <c r="FL16" s="98">
        <f t="shared" si="121"/>
        <v>0</v>
      </c>
      <c r="FM16" s="99">
        <f t="shared" si="122"/>
        <v>0</v>
      </c>
      <c r="FN16" s="90"/>
      <c r="FO16" s="92">
        <f t="shared" si="213"/>
        <v>4</v>
      </c>
      <c r="FP16" s="93" t="str">
        <f t="shared" ref="FP16:FR16" si="238">IFERROR(VLOOKUP($R16,$A$13:$D$30,-FP$12,FALSE),"")</f>
        <v>Bauksit </v>
      </c>
      <c r="FQ16" s="94" t="str">
        <f t="shared" si="238"/>
        <v>Bijih </v>
      </c>
      <c r="FR16" s="94" t="str">
        <f t="shared" si="238"/>
        <v>Ton </v>
      </c>
      <c r="FS16" s="87">
        <f t="shared" si="124"/>
        <v>0</v>
      </c>
      <c r="FT16" s="87" t="str">
        <f t="shared" si="125"/>
        <v>#DIV/0!</v>
      </c>
      <c r="FU16" s="87">
        <f t="shared" si="126"/>
        <v>0</v>
      </c>
      <c r="FV16" s="95"/>
      <c r="FW16" s="87">
        <f t="shared" si="127"/>
        <v>0</v>
      </c>
      <c r="FX16" s="410"/>
      <c r="FY16" s="96"/>
      <c r="FZ16" s="96"/>
      <c r="GA16" s="87">
        <f t="shared" si="128"/>
        <v>0</v>
      </c>
      <c r="GB16" s="95">
        <f t="shared" si="129"/>
        <v>0.4604471269</v>
      </c>
      <c r="GC16" s="98">
        <f t="shared" si="130"/>
        <v>0</v>
      </c>
      <c r="GD16" s="99">
        <f t="shared" si="131"/>
        <v>0</v>
      </c>
      <c r="GE16" s="90"/>
      <c r="GF16" s="92">
        <f t="shared" si="215"/>
        <v>4</v>
      </c>
      <c r="GG16" s="93" t="str">
        <f t="shared" ref="GG16:GI16" si="239">IFERROR(VLOOKUP($R16,$A$13:$D$30,-GG$12,FALSE),"")</f>
        <v>Bauksit </v>
      </c>
      <c r="GH16" s="94" t="str">
        <f t="shared" si="239"/>
        <v>Bijih </v>
      </c>
      <c r="GI16" s="94" t="str">
        <f t="shared" si="239"/>
        <v>Ton </v>
      </c>
      <c r="GJ16" s="87">
        <f t="shared" si="133"/>
        <v>0</v>
      </c>
      <c r="GK16" s="87" t="str">
        <f t="shared" si="134"/>
        <v>#DIV/0!</v>
      </c>
      <c r="GL16" s="87">
        <f t="shared" si="135"/>
        <v>0</v>
      </c>
      <c r="GM16" s="95"/>
      <c r="GN16" s="87">
        <f t="shared" si="136"/>
        <v>0</v>
      </c>
      <c r="GO16" s="410"/>
      <c r="GP16" s="96"/>
      <c r="GQ16" s="96"/>
      <c r="GR16" s="87">
        <f t="shared" si="137"/>
        <v>0</v>
      </c>
      <c r="GS16" s="95">
        <f t="shared" si="138"/>
        <v>0.4604471269</v>
      </c>
      <c r="GT16" s="98">
        <f t="shared" si="139"/>
        <v>0</v>
      </c>
      <c r="GU16" s="99">
        <f t="shared" si="140"/>
        <v>0</v>
      </c>
      <c r="GV16" s="90"/>
      <c r="GW16" s="92">
        <f t="shared" si="217"/>
        <v>4</v>
      </c>
      <c r="GX16" s="93" t="str">
        <f t="shared" ref="GX16:GZ16" si="240">IFERROR(VLOOKUP($R16,$A$13:$D$30,-GX$12,FALSE),"")</f>
        <v>Bauksit </v>
      </c>
      <c r="GY16" s="94" t="str">
        <f t="shared" si="240"/>
        <v>Bijih </v>
      </c>
      <c r="GZ16" s="94" t="str">
        <f t="shared" si="240"/>
        <v>Ton </v>
      </c>
      <c r="HA16" s="87">
        <f t="shared" si="142"/>
        <v>0</v>
      </c>
      <c r="HB16" s="87" t="str">
        <f t="shared" si="143"/>
        <v>#DIV/0!</v>
      </c>
      <c r="HC16" s="87">
        <f t="shared" si="144"/>
        <v>0</v>
      </c>
      <c r="HD16" s="95"/>
      <c r="HE16" s="87">
        <f t="shared" si="145"/>
        <v>0</v>
      </c>
      <c r="HF16" s="410"/>
      <c r="HG16" s="96"/>
      <c r="HH16" s="96"/>
      <c r="HI16" s="87">
        <f t="shared" si="146"/>
        <v>0</v>
      </c>
      <c r="HJ16" s="95">
        <f t="shared" si="147"/>
        <v>0.4604471269</v>
      </c>
      <c r="HK16" s="98">
        <f t="shared" si="148"/>
        <v>0</v>
      </c>
      <c r="HL16" s="99">
        <f t="shared" si="149"/>
        <v>0</v>
      </c>
      <c r="HM16" s="90"/>
      <c r="HN16" s="92">
        <f t="shared" si="219"/>
        <v>4</v>
      </c>
      <c r="HO16" s="93" t="str">
        <f t="shared" ref="HO16:HQ16" si="241">IFERROR(VLOOKUP($R16,$A$13:$D$30,-HO$12,FALSE),"")</f>
        <v>Bauksit </v>
      </c>
      <c r="HP16" s="94" t="str">
        <f t="shared" si="241"/>
        <v>Bijih </v>
      </c>
      <c r="HQ16" s="94" t="str">
        <f t="shared" si="241"/>
        <v>Ton </v>
      </c>
      <c r="HR16" s="87">
        <f t="shared" si="151"/>
        <v>0</v>
      </c>
      <c r="HS16" s="87" t="str">
        <f t="shared" si="152"/>
        <v>#DIV/0!</v>
      </c>
      <c r="HT16" s="87">
        <f t="shared" si="153"/>
        <v>0</v>
      </c>
      <c r="HU16" s="95"/>
      <c r="HV16" s="87">
        <f t="shared" si="154"/>
        <v>0</v>
      </c>
      <c r="HW16" s="410"/>
      <c r="HX16" s="96"/>
      <c r="HY16" s="96"/>
      <c r="HZ16" s="87">
        <f t="shared" si="155"/>
        <v>0</v>
      </c>
      <c r="IA16" s="95">
        <f t="shared" si="156"/>
        <v>0.4604471269</v>
      </c>
      <c r="IB16" s="98">
        <f t="shared" si="157"/>
        <v>0</v>
      </c>
      <c r="IC16" s="99">
        <f t="shared" si="158"/>
        <v>0</v>
      </c>
      <c r="ID16" s="90"/>
      <c r="IE16" s="92">
        <f t="shared" si="221"/>
        <v>4</v>
      </c>
      <c r="IF16" s="93" t="str">
        <f t="shared" ref="IF16:IH16" si="242">IFERROR(VLOOKUP($R16,$A$13:$D$30,-IF$12,FALSE),"")</f>
        <v>Bauksit </v>
      </c>
      <c r="IG16" s="94" t="str">
        <f t="shared" si="242"/>
        <v>Bijih </v>
      </c>
      <c r="IH16" s="94" t="str">
        <f t="shared" si="242"/>
        <v>Ton </v>
      </c>
      <c r="II16" s="87">
        <f t="shared" si="160"/>
        <v>0</v>
      </c>
      <c r="IJ16" s="87" t="str">
        <f t="shared" si="161"/>
        <v>#DIV/0!</v>
      </c>
      <c r="IK16" s="87">
        <f t="shared" si="162"/>
        <v>0</v>
      </c>
      <c r="IL16" s="95"/>
      <c r="IM16" s="87">
        <f t="shared" si="163"/>
        <v>0</v>
      </c>
      <c r="IN16" s="410"/>
      <c r="IO16" s="96"/>
      <c r="IP16" s="96"/>
      <c r="IQ16" s="87">
        <f t="shared" si="164"/>
        <v>0</v>
      </c>
      <c r="IR16" s="95">
        <f t="shared" si="165"/>
        <v>0.4604471269</v>
      </c>
      <c r="IS16" s="98">
        <f t="shared" si="166"/>
        <v>0</v>
      </c>
      <c r="IT16" s="99">
        <f t="shared" si="167"/>
        <v>0</v>
      </c>
      <c r="IU16" s="90"/>
      <c r="IV16" s="92">
        <f t="shared" si="223"/>
        <v>4</v>
      </c>
      <c r="IW16" s="93" t="str">
        <f t="shared" ref="IW16:IY16" si="243">IFERROR(VLOOKUP($R16,$A$13:$D$30,-IW$12,FALSE),"")</f>
        <v>Bauksit </v>
      </c>
      <c r="IX16" s="94" t="str">
        <f t="shared" si="243"/>
        <v>Bijih </v>
      </c>
      <c r="IY16" s="94" t="str">
        <f t="shared" si="243"/>
        <v>Ton </v>
      </c>
      <c r="IZ16" s="87">
        <f t="shared" si="169"/>
        <v>0</v>
      </c>
      <c r="JA16" s="87" t="str">
        <f t="shared" si="170"/>
        <v>#DIV/0!</v>
      </c>
      <c r="JB16" s="87">
        <f t="shared" si="171"/>
        <v>0</v>
      </c>
      <c r="JC16" s="95"/>
      <c r="JD16" s="87">
        <f t="shared" si="172"/>
        <v>0</v>
      </c>
      <c r="JE16" s="410"/>
      <c r="JF16" s="96"/>
      <c r="JG16" s="96"/>
      <c r="JH16" s="87">
        <f t="shared" si="173"/>
        <v>0</v>
      </c>
      <c r="JI16" s="95">
        <f t="shared" si="174"/>
        <v>0.4604471269</v>
      </c>
      <c r="JJ16" s="98">
        <f t="shared" si="175"/>
        <v>0</v>
      </c>
      <c r="JK16" s="99">
        <f t="shared" si="176"/>
        <v>0</v>
      </c>
      <c r="JL16" s="90"/>
      <c r="JM16" s="92">
        <f t="shared" si="225"/>
        <v>4</v>
      </c>
      <c r="JN16" s="93" t="str">
        <f t="shared" ref="JN16:JP16" si="244">IFERROR(VLOOKUP($R16,$A$13:$D$30,-JN$12,FALSE),"")</f>
        <v>Bauksit </v>
      </c>
      <c r="JO16" s="94" t="str">
        <f t="shared" si="244"/>
        <v>Bijih </v>
      </c>
      <c r="JP16" s="94" t="str">
        <f t="shared" si="244"/>
        <v>Ton </v>
      </c>
      <c r="JQ16" s="87">
        <f t="shared" si="178"/>
        <v>0</v>
      </c>
      <c r="JR16" s="87" t="str">
        <f t="shared" si="179"/>
        <v>#DIV/0!</v>
      </c>
      <c r="JS16" s="87">
        <f t="shared" si="180"/>
        <v>0</v>
      </c>
      <c r="JT16" s="95"/>
      <c r="JU16" s="87">
        <f t="shared" si="181"/>
        <v>0</v>
      </c>
      <c r="JV16" s="410"/>
      <c r="JW16" s="96"/>
      <c r="JX16" s="96"/>
      <c r="JY16" s="87">
        <f t="shared" si="182"/>
        <v>0</v>
      </c>
      <c r="JZ16" s="95">
        <f t="shared" si="183"/>
        <v>0.4604471269</v>
      </c>
      <c r="KA16" s="98">
        <f t="shared" si="184"/>
        <v>0</v>
      </c>
      <c r="KB16" s="99">
        <f t="shared" si="185"/>
        <v>0</v>
      </c>
      <c r="KC16" s="90"/>
      <c r="KD16" s="92">
        <f t="shared" si="227"/>
        <v>4</v>
      </c>
      <c r="KE16" s="93" t="str">
        <f t="shared" ref="KE16:KG16" si="245">IFERROR(VLOOKUP($R16,$A$13:$D$30,-KE$12,FALSE),"")</f>
        <v>Bauksit </v>
      </c>
      <c r="KF16" s="94" t="str">
        <f t="shared" si="245"/>
        <v>Bijih </v>
      </c>
      <c r="KG16" s="94" t="str">
        <f t="shared" si="245"/>
        <v>Ton </v>
      </c>
      <c r="KH16" s="87">
        <f t="shared" si="187"/>
        <v>0</v>
      </c>
      <c r="KI16" s="87" t="str">
        <f t="shared" si="188"/>
        <v>#DIV/0!</v>
      </c>
      <c r="KJ16" s="87">
        <f t="shared" si="189"/>
        <v>0</v>
      </c>
      <c r="KK16" s="95"/>
      <c r="KL16" s="87">
        <f t="shared" si="190"/>
        <v>0</v>
      </c>
      <c r="KM16" s="410"/>
      <c r="KN16" s="96"/>
      <c r="KO16" s="96"/>
      <c r="KP16" s="87">
        <f t="shared" si="191"/>
        <v>0</v>
      </c>
      <c r="KQ16" s="95">
        <f t="shared" si="192"/>
        <v>0.4604471269</v>
      </c>
      <c r="KR16" s="98">
        <f t="shared" si="193"/>
        <v>0</v>
      </c>
      <c r="KS16" s="99">
        <f t="shared" si="194"/>
        <v>0</v>
      </c>
      <c r="KT16" s="90"/>
      <c r="KU16" s="91"/>
    </row>
    <row r="17">
      <c r="A17" s="92">
        <v>5.0</v>
      </c>
      <c r="B17" s="93" t="s">
        <v>75</v>
      </c>
      <c r="C17" s="94" t="s">
        <v>69</v>
      </c>
      <c r="D17" s="94" t="s">
        <v>76</v>
      </c>
      <c r="E17" s="87">
        <f t="shared" si="35"/>
        <v>0</v>
      </c>
      <c r="F17" s="87" t="str">
        <f t="shared" si="36"/>
        <v>#DIV/0!</v>
      </c>
      <c r="G17" s="87">
        <f t="shared" si="37"/>
        <v>0</v>
      </c>
      <c r="H17" s="95"/>
      <c r="I17" s="87">
        <f t="shared" si="38"/>
        <v>0</v>
      </c>
      <c r="J17" s="410"/>
      <c r="K17" s="96"/>
      <c r="L17" s="96"/>
      <c r="M17" s="87">
        <f t="shared" si="39"/>
        <v>0</v>
      </c>
      <c r="N17" s="95">
        <v>0.4604471268963365</v>
      </c>
      <c r="O17" s="98">
        <f t="shared" si="40"/>
        <v>0</v>
      </c>
      <c r="P17" s="99">
        <f t="shared" si="41"/>
        <v>0</v>
      </c>
      <c r="Q17" s="90"/>
      <c r="R17" s="92">
        <f t="shared" si="195"/>
        <v>5</v>
      </c>
      <c r="S17" s="93" t="str">
        <f t="shared" ref="S17:U17" si="246">IFERROR(VLOOKUP($R17,$A$13:$D$30,-S$12,FALSE),"")</f>
        <v>Bijih Nikel </v>
      </c>
      <c r="T17" s="94" t="str">
        <f t="shared" si="246"/>
        <v>Bijih </v>
      </c>
      <c r="U17" s="94" t="str">
        <f t="shared" si="246"/>
        <v>WMT</v>
      </c>
      <c r="V17" s="87">
        <f t="shared" si="43"/>
        <v>0</v>
      </c>
      <c r="W17" s="87" t="str">
        <f t="shared" si="44"/>
        <v>#DIV/0!</v>
      </c>
      <c r="X17" s="87">
        <f t="shared" si="45"/>
        <v>0</v>
      </c>
      <c r="Y17" s="95"/>
      <c r="Z17" s="87">
        <f t="shared" si="46"/>
        <v>0</v>
      </c>
      <c r="AA17" s="410"/>
      <c r="AB17" s="96"/>
      <c r="AC17" s="96"/>
      <c r="AD17" s="87">
        <f t="shared" si="47"/>
        <v>0</v>
      </c>
      <c r="AE17" s="95">
        <f t="shared" si="48"/>
        <v>0.4604471269</v>
      </c>
      <c r="AF17" s="98">
        <f t="shared" si="49"/>
        <v>0</v>
      </c>
      <c r="AG17" s="99">
        <f t="shared" si="50"/>
        <v>0</v>
      </c>
      <c r="AH17" s="90"/>
      <c r="AI17" s="92">
        <f t="shared" si="197"/>
        <v>5</v>
      </c>
      <c r="AJ17" s="93" t="str">
        <f t="shared" ref="AJ17:AL17" si="247">IFERROR(VLOOKUP($R17,$A$13:$D$30,-AJ$12,FALSE),"")</f>
        <v>Bijih Nikel </v>
      </c>
      <c r="AK17" s="94" t="str">
        <f t="shared" si="247"/>
        <v>Bijih </v>
      </c>
      <c r="AL17" s="94" t="str">
        <f t="shared" si="247"/>
        <v>WMT</v>
      </c>
      <c r="AM17" s="87">
        <f t="shared" si="52"/>
        <v>0</v>
      </c>
      <c r="AN17" s="87" t="str">
        <f t="shared" si="53"/>
        <v>#DIV/0!</v>
      </c>
      <c r="AO17" s="87">
        <f t="shared" si="54"/>
        <v>0</v>
      </c>
      <c r="AP17" s="95"/>
      <c r="AQ17" s="87">
        <f t="shared" si="55"/>
        <v>0</v>
      </c>
      <c r="AR17" s="410"/>
      <c r="AS17" s="96"/>
      <c r="AT17" s="96"/>
      <c r="AU17" s="87">
        <f t="shared" si="56"/>
        <v>0</v>
      </c>
      <c r="AV17" s="95">
        <f t="shared" si="57"/>
        <v>0.4604471269</v>
      </c>
      <c r="AW17" s="98">
        <f t="shared" si="58"/>
        <v>0</v>
      </c>
      <c r="AX17" s="99">
        <f t="shared" si="59"/>
        <v>0</v>
      </c>
      <c r="AY17" s="90"/>
      <c r="AZ17" s="92">
        <f t="shared" si="199"/>
        <v>5</v>
      </c>
      <c r="BA17" s="93" t="str">
        <f t="shared" ref="BA17:BC17" si="248">IFERROR(VLOOKUP($R17,$A$13:$D$30,-BA$12,FALSE),"")</f>
        <v>Bijih Nikel </v>
      </c>
      <c r="BB17" s="94" t="str">
        <f t="shared" si="248"/>
        <v>Bijih </v>
      </c>
      <c r="BC17" s="94" t="str">
        <f t="shared" si="248"/>
        <v>WMT</v>
      </c>
      <c r="BD17" s="87">
        <f t="shared" si="61"/>
        <v>0</v>
      </c>
      <c r="BE17" s="87" t="str">
        <f t="shared" si="62"/>
        <v>#DIV/0!</v>
      </c>
      <c r="BF17" s="87">
        <f t="shared" si="63"/>
        <v>0</v>
      </c>
      <c r="BG17" s="95"/>
      <c r="BH17" s="87">
        <f t="shared" si="64"/>
        <v>0</v>
      </c>
      <c r="BI17" s="410"/>
      <c r="BJ17" s="96"/>
      <c r="BK17" s="96"/>
      <c r="BL17" s="87">
        <f t="shared" si="65"/>
        <v>0</v>
      </c>
      <c r="BM17" s="95">
        <f t="shared" si="66"/>
        <v>0.4604471269</v>
      </c>
      <c r="BN17" s="98">
        <f t="shared" si="67"/>
        <v>0</v>
      </c>
      <c r="BO17" s="99">
        <f t="shared" si="68"/>
        <v>0</v>
      </c>
      <c r="BP17" s="90"/>
      <c r="BQ17" s="92">
        <f t="shared" si="201"/>
        <v>5</v>
      </c>
      <c r="BR17" s="93" t="str">
        <f t="shared" ref="BR17:BT17" si="249">IFERROR(VLOOKUP($R17,$A$13:$D$30,-BR$12,FALSE),"")</f>
        <v>Bijih Nikel </v>
      </c>
      <c r="BS17" s="94" t="str">
        <f t="shared" si="249"/>
        <v>Bijih </v>
      </c>
      <c r="BT17" s="94" t="str">
        <f t="shared" si="249"/>
        <v>WMT</v>
      </c>
      <c r="BU17" s="87">
        <f t="shared" si="70"/>
        <v>0</v>
      </c>
      <c r="BV17" s="87" t="str">
        <f t="shared" si="71"/>
        <v>#DIV/0!</v>
      </c>
      <c r="BW17" s="87">
        <f t="shared" si="72"/>
        <v>0</v>
      </c>
      <c r="BX17" s="95"/>
      <c r="BY17" s="87">
        <f t="shared" si="73"/>
        <v>0</v>
      </c>
      <c r="BZ17" s="410"/>
      <c r="CA17" s="96"/>
      <c r="CB17" s="96"/>
      <c r="CC17" s="87">
        <f t="shared" si="74"/>
        <v>0</v>
      </c>
      <c r="CD17" s="95">
        <f t="shared" si="75"/>
        <v>0.4604471269</v>
      </c>
      <c r="CE17" s="98">
        <f t="shared" si="76"/>
        <v>0</v>
      </c>
      <c r="CF17" s="99">
        <f t="shared" si="77"/>
        <v>0</v>
      </c>
      <c r="CG17" s="90"/>
      <c r="CH17" s="92">
        <f t="shared" si="203"/>
        <v>5</v>
      </c>
      <c r="CI17" s="93" t="str">
        <f t="shared" ref="CI17:CK17" si="250">IFERROR(VLOOKUP($R17,$A$13:$D$30,-CI$12,FALSE),"")</f>
        <v>Bijih Nikel </v>
      </c>
      <c r="CJ17" s="94" t="str">
        <f t="shared" si="250"/>
        <v>Bijih </v>
      </c>
      <c r="CK17" s="94" t="str">
        <f t="shared" si="250"/>
        <v>WMT</v>
      </c>
      <c r="CL17" s="87">
        <f t="shared" si="79"/>
        <v>0</v>
      </c>
      <c r="CM17" s="87" t="str">
        <f t="shared" si="80"/>
        <v>#DIV/0!</v>
      </c>
      <c r="CN17" s="87">
        <f t="shared" si="81"/>
        <v>0</v>
      </c>
      <c r="CO17" s="95"/>
      <c r="CP17" s="87">
        <f t="shared" si="82"/>
        <v>0</v>
      </c>
      <c r="CQ17" s="410"/>
      <c r="CR17" s="96"/>
      <c r="CS17" s="96"/>
      <c r="CT17" s="87">
        <f t="shared" si="83"/>
        <v>0</v>
      </c>
      <c r="CU17" s="95">
        <f t="shared" si="84"/>
        <v>0.4604471269</v>
      </c>
      <c r="CV17" s="98">
        <f t="shared" si="85"/>
        <v>0</v>
      </c>
      <c r="CW17" s="99">
        <f t="shared" si="86"/>
        <v>0</v>
      </c>
      <c r="CX17" s="90"/>
      <c r="CY17" s="92">
        <f t="shared" si="205"/>
        <v>5</v>
      </c>
      <c r="CZ17" s="93" t="str">
        <f t="shared" ref="CZ17:DB17" si="251">IFERROR(VLOOKUP($R17,$A$13:$D$30,-CZ$12,FALSE),"")</f>
        <v>Bijih Nikel </v>
      </c>
      <c r="DA17" s="94" t="str">
        <f t="shared" si="251"/>
        <v>Bijih </v>
      </c>
      <c r="DB17" s="94" t="str">
        <f t="shared" si="251"/>
        <v>WMT</v>
      </c>
      <c r="DC17" s="87">
        <f t="shared" si="88"/>
        <v>0</v>
      </c>
      <c r="DD17" s="87" t="str">
        <f t="shared" si="89"/>
        <v>#DIV/0!</v>
      </c>
      <c r="DE17" s="87">
        <f t="shared" si="90"/>
        <v>0</v>
      </c>
      <c r="DF17" s="95"/>
      <c r="DG17" s="87">
        <f t="shared" si="91"/>
        <v>0</v>
      </c>
      <c r="DH17" s="410"/>
      <c r="DI17" s="96"/>
      <c r="DJ17" s="96"/>
      <c r="DK17" s="87">
        <f t="shared" si="92"/>
        <v>0</v>
      </c>
      <c r="DL17" s="95">
        <f t="shared" si="93"/>
        <v>0.4604471269</v>
      </c>
      <c r="DM17" s="98">
        <f t="shared" si="94"/>
        <v>0</v>
      </c>
      <c r="DN17" s="99">
        <f t="shared" si="95"/>
        <v>0</v>
      </c>
      <c r="DO17" s="90"/>
      <c r="DP17" s="92">
        <f t="shared" si="207"/>
        <v>5</v>
      </c>
      <c r="DQ17" s="93" t="str">
        <f t="shared" ref="DQ17:DS17" si="252">IFERROR(VLOOKUP($R17,$A$13:$D$30,-DQ$12,FALSE),"")</f>
        <v>Bijih Nikel </v>
      </c>
      <c r="DR17" s="94" t="str">
        <f t="shared" si="252"/>
        <v>Bijih </v>
      </c>
      <c r="DS17" s="94" t="str">
        <f t="shared" si="252"/>
        <v>WMT</v>
      </c>
      <c r="DT17" s="87">
        <f t="shared" si="97"/>
        <v>0</v>
      </c>
      <c r="DU17" s="87" t="str">
        <f t="shared" si="98"/>
        <v>#DIV/0!</v>
      </c>
      <c r="DV17" s="87">
        <f t="shared" si="99"/>
        <v>0</v>
      </c>
      <c r="DW17" s="95"/>
      <c r="DX17" s="87">
        <f t="shared" si="100"/>
        <v>0</v>
      </c>
      <c r="DY17" s="410"/>
      <c r="DZ17" s="96"/>
      <c r="EA17" s="96"/>
      <c r="EB17" s="87">
        <f t="shared" si="101"/>
        <v>0</v>
      </c>
      <c r="EC17" s="95">
        <f t="shared" si="102"/>
        <v>0.4604471269</v>
      </c>
      <c r="ED17" s="98">
        <f t="shared" si="103"/>
        <v>0</v>
      </c>
      <c r="EE17" s="99">
        <f t="shared" si="104"/>
        <v>0</v>
      </c>
      <c r="EF17" s="90"/>
      <c r="EG17" s="92">
        <f t="shared" si="209"/>
        <v>5</v>
      </c>
      <c r="EH17" s="93" t="str">
        <f t="shared" ref="EH17:EJ17" si="253">IFERROR(VLOOKUP($R17,$A$13:$D$30,-EH$12,FALSE),"")</f>
        <v>Bijih Nikel </v>
      </c>
      <c r="EI17" s="94" t="str">
        <f t="shared" si="253"/>
        <v>Bijih </v>
      </c>
      <c r="EJ17" s="94" t="str">
        <f t="shared" si="253"/>
        <v>WMT</v>
      </c>
      <c r="EK17" s="87">
        <f t="shared" si="106"/>
        <v>0</v>
      </c>
      <c r="EL17" s="87" t="str">
        <f t="shared" si="107"/>
        <v>#DIV/0!</v>
      </c>
      <c r="EM17" s="87">
        <f t="shared" si="108"/>
        <v>0</v>
      </c>
      <c r="EN17" s="95"/>
      <c r="EO17" s="87">
        <f t="shared" si="109"/>
        <v>0</v>
      </c>
      <c r="EP17" s="410"/>
      <c r="EQ17" s="96"/>
      <c r="ER17" s="96"/>
      <c r="ES17" s="87">
        <f t="shared" si="110"/>
        <v>0</v>
      </c>
      <c r="ET17" s="95">
        <f t="shared" si="111"/>
        <v>0.4604471269</v>
      </c>
      <c r="EU17" s="98">
        <f t="shared" si="112"/>
        <v>0</v>
      </c>
      <c r="EV17" s="99">
        <f t="shared" si="113"/>
        <v>0</v>
      </c>
      <c r="EW17" s="90"/>
      <c r="EX17" s="92">
        <f t="shared" si="211"/>
        <v>5</v>
      </c>
      <c r="EY17" s="93" t="str">
        <f t="shared" ref="EY17:FA17" si="254">IFERROR(VLOOKUP($R17,$A$13:$D$30,-EY$12,FALSE),"")</f>
        <v>Bijih Nikel </v>
      </c>
      <c r="EZ17" s="94" t="str">
        <f t="shared" si="254"/>
        <v>Bijih </v>
      </c>
      <c r="FA17" s="94" t="str">
        <f t="shared" si="254"/>
        <v>WMT</v>
      </c>
      <c r="FB17" s="87">
        <f t="shared" si="115"/>
        <v>0</v>
      </c>
      <c r="FC17" s="87" t="str">
        <f t="shared" si="116"/>
        <v>#DIV/0!</v>
      </c>
      <c r="FD17" s="87">
        <f t="shared" si="117"/>
        <v>0</v>
      </c>
      <c r="FE17" s="95"/>
      <c r="FF17" s="87">
        <f t="shared" si="118"/>
        <v>0</v>
      </c>
      <c r="FG17" s="410"/>
      <c r="FH17" s="96"/>
      <c r="FI17" s="96"/>
      <c r="FJ17" s="87">
        <f t="shared" si="119"/>
        <v>0</v>
      </c>
      <c r="FK17" s="95">
        <f t="shared" si="120"/>
        <v>0.4604471269</v>
      </c>
      <c r="FL17" s="98">
        <f t="shared" si="121"/>
        <v>0</v>
      </c>
      <c r="FM17" s="99">
        <f t="shared" si="122"/>
        <v>0</v>
      </c>
      <c r="FN17" s="90"/>
      <c r="FO17" s="92">
        <f t="shared" si="213"/>
        <v>5</v>
      </c>
      <c r="FP17" s="93" t="str">
        <f t="shared" ref="FP17:FR17" si="255">IFERROR(VLOOKUP($R17,$A$13:$D$30,-FP$12,FALSE),"")</f>
        <v>Bijih Nikel </v>
      </c>
      <c r="FQ17" s="94" t="str">
        <f t="shared" si="255"/>
        <v>Bijih </v>
      </c>
      <c r="FR17" s="94" t="str">
        <f t="shared" si="255"/>
        <v>WMT</v>
      </c>
      <c r="FS17" s="87">
        <f t="shared" si="124"/>
        <v>20174612.75</v>
      </c>
      <c r="FT17" s="87">
        <f t="shared" si="125"/>
        <v>192960.46</v>
      </c>
      <c r="FU17" s="87">
        <f t="shared" si="126"/>
        <v>3892902.557</v>
      </c>
      <c r="FV17" s="95"/>
      <c r="FW17" s="87">
        <f t="shared" si="127"/>
        <v>0</v>
      </c>
      <c r="FX17" s="410"/>
      <c r="FY17" s="96"/>
      <c r="FZ17" s="96"/>
      <c r="GA17" s="87">
        <f t="shared" si="128"/>
        <v>3892902.557</v>
      </c>
      <c r="GB17" s="95">
        <f t="shared" si="129"/>
        <v>0.4604471269</v>
      </c>
      <c r="GC17" s="98">
        <f t="shared" si="130"/>
        <v>1792475.797</v>
      </c>
      <c r="GD17" s="99">
        <f t="shared" si="131"/>
        <v>2100426.759</v>
      </c>
      <c r="GE17" s="90"/>
      <c r="GF17" s="92">
        <f t="shared" si="215"/>
        <v>5</v>
      </c>
      <c r="GG17" s="93" t="str">
        <f t="shared" ref="GG17:GI17" si="256">IFERROR(VLOOKUP($R17,$A$13:$D$30,-GG$12,FALSE),"")</f>
        <v>Bijih Nikel </v>
      </c>
      <c r="GH17" s="94" t="str">
        <f t="shared" si="256"/>
        <v>Bijih </v>
      </c>
      <c r="GI17" s="94" t="str">
        <f t="shared" si="256"/>
        <v>WMT</v>
      </c>
      <c r="GJ17" s="87">
        <f t="shared" si="133"/>
        <v>22956838</v>
      </c>
      <c r="GK17" s="87">
        <f t="shared" si="134"/>
        <v>192960.46</v>
      </c>
      <c r="GL17" s="87">
        <f t="shared" si="135"/>
        <v>4429762.021</v>
      </c>
      <c r="GM17" s="95"/>
      <c r="GN17" s="87">
        <f t="shared" si="136"/>
        <v>0</v>
      </c>
      <c r="GO17" s="410"/>
      <c r="GP17" s="96"/>
      <c r="GQ17" s="96"/>
      <c r="GR17" s="87">
        <f t="shared" si="137"/>
        <v>4429762.021</v>
      </c>
      <c r="GS17" s="95">
        <f t="shared" si="138"/>
        <v>0.4604471269</v>
      </c>
      <c r="GT17" s="98">
        <f t="shared" si="139"/>
        <v>2039671.195</v>
      </c>
      <c r="GU17" s="99">
        <f t="shared" si="140"/>
        <v>2390090.825</v>
      </c>
      <c r="GV17" s="90"/>
      <c r="GW17" s="92">
        <f t="shared" si="217"/>
        <v>5</v>
      </c>
      <c r="GX17" s="93" t="str">
        <f t="shared" ref="GX17:GZ17" si="257">IFERROR(VLOOKUP($R17,$A$13:$D$30,-GX$12,FALSE),"")</f>
        <v>Bijih Nikel </v>
      </c>
      <c r="GY17" s="94" t="str">
        <f t="shared" si="257"/>
        <v>Bijih </v>
      </c>
      <c r="GZ17" s="94" t="str">
        <f t="shared" si="257"/>
        <v>WMT</v>
      </c>
      <c r="HA17" s="87">
        <f t="shared" si="142"/>
        <v>30166799.26</v>
      </c>
      <c r="HB17" s="87">
        <f t="shared" si="143"/>
        <v>192960.46</v>
      </c>
      <c r="HC17" s="87">
        <f t="shared" si="144"/>
        <v>5820999.461</v>
      </c>
      <c r="HD17" s="95"/>
      <c r="HE17" s="87">
        <f t="shared" si="145"/>
        <v>0</v>
      </c>
      <c r="HF17" s="410"/>
      <c r="HG17" s="96"/>
      <c r="HH17" s="96"/>
      <c r="HI17" s="87">
        <f t="shared" si="146"/>
        <v>5820999.461</v>
      </c>
      <c r="HJ17" s="95">
        <f t="shared" si="147"/>
        <v>0.4604471269</v>
      </c>
      <c r="HK17" s="98">
        <f t="shared" si="148"/>
        <v>2680262.478</v>
      </c>
      <c r="HL17" s="99">
        <f t="shared" si="149"/>
        <v>3140736.984</v>
      </c>
      <c r="HM17" s="90"/>
      <c r="HN17" s="92">
        <f t="shared" si="219"/>
        <v>5</v>
      </c>
      <c r="HO17" s="93" t="str">
        <f t="shared" ref="HO17:HQ17" si="258">IFERROR(VLOOKUP($R17,$A$13:$D$30,-HO$12,FALSE),"")</f>
        <v>Bijih Nikel </v>
      </c>
      <c r="HP17" s="94" t="str">
        <f t="shared" si="258"/>
        <v>Bijih </v>
      </c>
      <c r="HQ17" s="94" t="str">
        <f t="shared" si="258"/>
        <v>WMT</v>
      </c>
      <c r="HR17" s="87">
        <f t="shared" si="151"/>
        <v>43202621.87</v>
      </c>
      <c r="HS17" s="87">
        <f t="shared" si="152"/>
        <v>192960.46</v>
      </c>
      <c r="HT17" s="87">
        <f t="shared" si="153"/>
        <v>8336397.789</v>
      </c>
      <c r="HU17" s="95"/>
      <c r="HV17" s="87">
        <f t="shared" si="154"/>
        <v>0</v>
      </c>
      <c r="HW17" s="410"/>
      <c r="HX17" s="96"/>
      <c r="HY17" s="96"/>
      <c r="HZ17" s="87">
        <f t="shared" si="155"/>
        <v>8336397.789</v>
      </c>
      <c r="IA17" s="95">
        <f t="shared" si="156"/>
        <v>0.4604471269</v>
      </c>
      <c r="IB17" s="98">
        <f t="shared" si="157"/>
        <v>3838470.411</v>
      </c>
      <c r="IC17" s="99">
        <f t="shared" si="158"/>
        <v>4497927.378</v>
      </c>
      <c r="ID17" s="90"/>
      <c r="IE17" s="92">
        <f t="shared" si="221"/>
        <v>5</v>
      </c>
      <c r="IF17" s="93" t="str">
        <f t="shared" ref="IF17:IH17" si="259">IFERROR(VLOOKUP($R17,$A$13:$D$30,-IF$12,FALSE),"")</f>
        <v>Bijih Nikel </v>
      </c>
      <c r="IG17" s="94" t="str">
        <f t="shared" si="259"/>
        <v>Bijih </v>
      </c>
      <c r="IH17" s="94" t="str">
        <f t="shared" si="259"/>
        <v>WMT</v>
      </c>
      <c r="II17" s="87">
        <f t="shared" si="160"/>
        <v>72858506.28</v>
      </c>
      <c r="IJ17" s="87">
        <f t="shared" si="161"/>
        <v>192960.46</v>
      </c>
      <c r="IK17" s="87">
        <f t="shared" si="162"/>
        <v>14058810.89</v>
      </c>
      <c r="IL17" s="95"/>
      <c r="IM17" s="87">
        <f t="shared" si="163"/>
        <v>0</v>
      </c>
      <c r="IN17" s="410"/>
      <c r="IO17" s="96"/>
      <c r="IP17" s="96"/>
      <c r="IQ17" s="87">
        <f t="shared" si="164"/>
        <v>14058810.89</v>
      </c>
      <c r="IR17" s="95">
        <f t="shared" si="165"/>
        <v>0.4604471269</v>
      </c>
      <c r="IS17" s="98">
        <f t="shared" si="166"/>
        <v>6473339.08</v>
      </c>
      <c r="IT17" s="99">
        <f t="shared" si="167"/>
        <v>7585471.806</v>
      </c>
      <c r="IU17" s="90"/>
      <c r="IV17" s="92">
        <f t="shared" si="223"/>
        <v>5</v>
      </c>
      <c r="IW17" s="93" t="str">
        <f t="shared" ref="IW17:IY17" si="260">IFERROR(VLOOKUP($R17,$A$13:$D$30,-IW$12,FALSE),"")</f>
        <v>Bijih Nikel </v>
      </c>
      <c r="IX17" s="94" t="str">
        <f t="shared" si="260"/>
        <v>Bijih </v>
      </c>
      <c r="IY17" s="94" t="str">
        <f t="shared" si="260"/>
        <v>WMT</v>
      </c>
      <c r="IZ17" s="87">
        <f t="shared" si="169"/>
        <v>89815551.02</v>
      </c>
      <c r="JA17" s="87">
        <f t="shared" si="170"/>
        <v>192960.46</v>
      </c>
      <c r="JB17" s="87">
        <f t="shared" si="171"/>
        <v>17330850.04</v>
      </c>
      <c r="JC17" s="95"/>
      <c r="JD17" s="87">
        <f t="shared" si="172"/>
        <v>0</v>
      </c>
      <c r="JE17" s="410"/>
      <c r="JF17" s="96"/>
      <c r="JG17" s="96"/>
      <c r="JH17" s="87">
        <f t="shared" si="173"/>
        <v>17330850.04</v>
      </c>
      <c r="JI17" s="95">
        <f t="shared" si="174"/>
        <v>0.4604471269</v>
      </c>
      <c r="JJ17" s="98">
        <f t="shared" si="175"/>
        <v>7979940.108</v>
      </c>
      <c r="JK17" s="99">
        <f t="shared" si="176"/>
        <v>9350909.932</v>
      </c>
      <c r="JL17" s="90"/>
      <c r="JM17" s="92">
        <f t="shared" si="225"/>
        <v>5</v>
      </c>
      <c r="JN17" s="93" t="str">
        <f t="shared" ref="JN17:JP17" si="261">IFERROR(VLOOKUP($R17,$A$13:$D$30,-JN$12,FALSE),"")</f>
        <v>Bijih Nikel </v>
      </c>
      <c r="JO17" s="94" t="str">
        <f t="shared" si="261"/>
        <v>Bijih </v>
      </c>
      <c r="JP17" s="94" t="str">
        <f t="shared" si="261"/>
        <v>WMT</v>
      </c>
      <c r="JQ17" s="87">
        <f t="shared" si="178"/>
        <v>21210240.34</v>
      </c>
      <c r="JR17" s="87">
        <f t="shared" si="179"/>
        <v>192960.46</v>
      </c>
      <c r="JS17" s="87">
        <f t="shared" si="180"/>
        <v>4092737.732</v>
      </c>
      <c r="JT17" s="95"/>
      <c r="JU17" s="87">
        <f t="shared" si="181"/>
        <v>0</v>
      </c>
      <c r="JV17" s="410"/>
      <c r="JW17" s="96"/>
      <c r="JX17" s="96"/>
      <c r="JY17" s="87">
        <f t="shared" si="182"/>
        <v>4092737.732</v>
      </c>
      <c r="JZ17" s="95">
        <f t="shared" si="183"/>
        <v>0.4604471269</v>
      </c>
      <c r="KA17" s="98">
        <f t="shared" si="184"/>
        <v>1884489.33</v>
      </c>
      <c r="KB17" s="99">
        <f t="shared" si="185"/>
        <v>2208248.402</v>
      </c>
      <c r="KC17" s="90"/>
      <c r="KD17" s="92">
        <f t="shared" si="227"/>
        <v>5</v>
      </c>
      <c r="KE17" s="93" t="str">
        <f t="shared" ref="KE17:KG17" si="262">IFERROR(VLOOKUP($R17,$A$13:$D$30,-KE$12,FALSE),"")</f>
        <v>Bijih Nikel </v>
      </c>
      <c r="KF17" s="94" t="str">
        <f t="shared" si="262"/>
        <v>Bijih </v>
      </c>
      <c r="KG17" s="94" t="str">
        <f t="shared" si="262"/>
        <v>WMT</v>
      </c>
      <c r="KH17" s="87">
        <f t="shared" si="187"/>
        <v>0</v>
      </c>
      <c r="KI17" s="87" t="str">
        <f t="shared" si="188"/>
        <v>#DIV/0!</v>
      </c>
      <c r="KJ17" s="87">
        <f t="shared" si="189"/>
        <v>0</v>
      </c>
      <c r="KK17" s="95"/>
      <c r="KL17" s="87">
        <f t="shared" si="190"/>
        <v>0</v>
      </c>
      <c r="KM17" s="410"/>
      <c r="KN17" s="96"/>
      <c r="KO17" s="96"/>
      <c r="KP17" s="87">
        <f t="shared" si="191"/>
        <v>0</v>
      </c>
      <c r="KQ17" s="95">
        <f t="shared" si="192"/>
        <v>0.4604471269</v>
      </c>
      <c r="KR17" s="98">
        <f t="shared" si="193"/>
        <v>0</v>
      </c>
      <c r="KS17" s="99">
        <f t="shared" si="194"/>
        <v>0</v>
      </c>
      <c r="KT17" s="90"/>
      <c r="KU17" s="91"/>
    </row>
    <row r="18">
      <c r="A18" s="92">
        <v>6.0</v>
      </c>
      <c r="B18" s="93" t="s">
        <v>77</v>
      </c>
      <c r="C18" s="94" t="s">
        <v>69</v>
      </c>
      <c r="D18" s="94" t="s">
        <v>73</v>
      </c>
      <c r="E18" s="87">
        <f t="shared" si="35"/>
        <v>0</v>
      </c>
      <c r="F18" s="87" t="str">
        <f t="shared" si="36"/>
        <v>#DIV/0!</v>
      </c>
      <c r="G18" s="87">
        <f t="shared" si="37"/>
        <v>0</v>
      </c>
      <c r="H18" s="95"/>
      <c r="I18" s="87">
        <f t="shared" si="38"/>
        <v>0</v>
      </c>
      <c r="J18" s="410"/>
      <c r="K18" s="96"/>
      <c r="L18" s="96"/>
      <c r="M18" s="87">
        <f t="shared" si="39"/>
        <v>0</v>
      </c>
      <c r="N18" s="95">
        <v>0.4604471268963365</v>
      </c>
      <c r="O18" s="98">
        <f t="shared" si="40"/>
        <v>0</v>
      </c>
      <c r="P18" s="99">
        <f t="shared" si="41"/>
        <v>0</v>
      </c>
      <c r="Q18" s="90"/>
      <c r="R18" s="92">
        <f t="shared" si="195"/>
        <v>6</v>
      </c>
      <c r="S18" s="93" t="str">
        <f t="shared" ref="S18:U18" si="263">IFERROR(VLOOKUP($R18,$A$13:$D$30,-S$12,FALSE),"")</f>
        <v>Pasir Besi </v>
      </c>
      <c r="T18" s="94" t="str">
        <f t="shared" si="263"/>
        <v>Bijih </v>
      </c>
      <c r="U18" s="94" t="str">
        <f t="shared" si="263"/>
        <v>Ton </v>
      </c>
      <c r="V18" s="87">
        <f t="shared" si="43"/>
        <v>0</v>
      </c>
      <c r="W18" s="87" t="str">
        <f t="shared" si="44"/>
        <v>#DIV/0!</v>
      </c>
      <c r="X18" s="87">
        <f t="shared" si="45"/>
        <v>0</v>
      </c>
      <c r="Y18" s="95"/>
      <c r="Z18" s="87">
        <f t="shared" si="46"/>
        <v>0</v>
      </c>
      <c r="AA18" s="410"/>
      <c r="AB18" s="96"/>
      <c r="AC18" s="96"/>
      <c r="AD18" s="87">
        <f t="shared" si="47"/>
        <v>0</v>
      </c>
      <c r="AE18" s="95">
        <f t="shared" si="48"/>
        <v>0.4604471269</v>
      </c>
      <c r="AF18" s="98">
        <f t="shared" si="49"/>
        <v>0</v>
      </c>
      <c r="AG18" s="99">
        <f t="shared" si="50"/>
        <v>0</v>
      </c>
      <c r="AH18" s="90"/>
      <c r="AI18" s="92">
        <f t="shared" si="197"/>
        <v>6</v>
      </c>
      <c r="AJ18" s="93" t="str">
        <f t="shared" ref="AJ18:AL18" si="264">IFERROR(VLOOKUP($R18,$A$13:$D$30,-AJ$12,FALSE),"")</f>
        <v>Pasir Besi </v>
      </c>
      <c r="AK18" s="94" t="str">
        <f t="shared" si="264"/>
        <v>Bijih </v>
      </c>
      <c r="AL18" s="94" t="str">
        <f t="shared" si="264"/>
        <v>Ton </v>
      </c>
      <c r="AM18" s="87">
        <f t="shared" si="52"/>
        <v>0</v>
      </c>
      <c r="AN18" s="87" t="str">
        <f t="shared" si="53"/>
        <v>#DIV/0!</v>
      </c>
      <c r="AO18" s="87">
        <f t="shared" si="54"/>
        <v>0</v>
      </c>
      <c r="AP18" s="95"/>
      <c r="AQ18" s="87">
        <f t="shared" si="55"/>
        <v>0</v>
      </c>
      <c r="AR18" s="410"/>
      <c r="AS18" s="96"/>
      <c r="AT18" s="96"/>
      <c r="AU18" s="87">
        <f t="shared" si="56"/>
        <v>0</v>
      </c>
      <c r="AV18" s="95">
        <f t="shared" si="57"/>
        <v>0.4604471269</v>
      </c>
      <c r="AW18" s="98">
        <f t="shared" si="58"/>
        <v>0</v>
      </c>
      <c r="AX18" s="99">
        <f t="shared" si="59"/>
        <v>0</v>
      </c>
      <c r="AY18" s="90"/>
      <c r="AZ18" s="92">
        <f t="shared" si="199"/>
        <v>6</v>
      </c>
      <c r="BA18" s="93" t="str">
        <f t="shared" ref="BA18:BC18" si="265">IFERROR(VLOOKUP($R18,$A$13:$D$30,-BA$12,FALSE),"")</f>
        <v>Pasir Besi </v>
      </c>
      <c r="BB18" s="94" t="str">
        <f t="shared" si="265"/>
        <v>Bijih </v>
      </c>
      <c r="BC18" s="94" t="str">
        <f t="shared" si="265"/>
        <v>Ton </v>
      </c>
      <c r="BD18" s="87">
        <f t="shared" si="61"/>
        <v>0</v>
      </c>
      <c r="BE18" s="87" t="str">
        <f t="shared" si="62"/>
        <v>#DIV/0!</v>
      </c>
      <c r="BF18" s="87">
        <f t="shared" si="63"/>
        <v>0</v>
      </c>
      <c r="BG18" s="95"/>
      <c r="BH18" s="87">
        <f t="shared" si="64"/>
        <v>0</v>
      </c>
      <c r="BI18" s="410"/>
      <c r="BJ18" s="96"/>
      <c r="BK18" s="96"/>
      <c r="BL18" s="87">
        <f t="shared" si="65"/>
        <v>0</v>
      </c>
      <c r="BM18" s="95">
        <f t="shared" si="66"/>
        <v>0.4604471269</v>
      </c>
      <c r="BN18" s="98">
        <f t="shared" si="67"/>
        <v>0</v>
      </c>
      <c r="BO18" s="99">
        <f t="shared" si="68"/>
        <v>0</v>
      </c>
      <c r="BP18" s="90"/>
      <c r="BQ18" s="92">
        <f t="shared" si="201"/>
        <v>6</v>
      </c>
      <c r="BR18" s="93" t="str">
        <f t="shared" ref="BR18:BT18" si="266">IFERROR(VLOOKUP($R18,$A$13:$D$30,-BR$12,FALSE),"")</f>
        <v>Pasir Besi </v>
      </c>
      <c r="BS18" s="94" t="str">
        <f t="shared" si="266"/>
        <v>Bijih </v>
      </c>
      <c r="BT18" s="94" t="str">
        <f t="shared" si="266"/>
        <v>Ton </v>
      </c>
      <c r="BU18" s="87">
        <f t="shared" si="70"/>
        <v>0</v>
      </c>
      <c r="BV18" s="87" t="str">
        <f t="shared" si="71"/>
        <v>#DIV/0!</v>
      </c>
      <c r="BW18" s="87">
        <f t="shared" si="72"/>
        <v>0</v>
      </c>
      <c r="BX18" s="95"/>
      <c r="BY18" s="87">
        <f t="shared" si="73"/>
        <v>0</v>
      </c>
      <c r="BZ18" s="410"/>
      <c r="CA18" s="96"/>
      <c r="CB18" s="96"/>
      <c r="CC18" s="87">
        <f t="shared" si="74"/>
        <v>0</v>
      </c>
      <c r="CD18" s="95">
        <f t="shared" si="75"/>
        <v>0.4604471269</v>
      </c>
      <c r="CE18" s="98">
        <f t="shared" si="76"/>
        <v>0</v>
      </c>
      <c r="CF18" s="99">
        <f t="shared" si="77"/>
        <v>0</v>
      </c>
      <c r="CG18" s="90"/>
      <c r="CH18" s="92">
        <f t="shared" si="203"/>
        <v>6</v>
      </c>
      <c r="CI18" s="93" t="str">
        <f t="shared" ref="CI18:CK18" si="267">IFERROR(VLOOKUP($R18,$A$13:$D$30,-CI$12,FALSE),"")</f>
        <v>Pasir Besi </v>
      </c>
      <c r="CJ18" s="94" t="str">
        <f t="shared" si="267"/>
        <v>Bijih </v>
      </c>
      <c r="CK18" s="94" t="str">
        <f t="shared" si="267"/>
        <v>Ton </v>
      </c>
      <c r="CL18" s="87">
        <f t="shared" si="79"/>
        <v>0</v>
      </c>
      <c r="CM18" s="87" t="str">
        <f t="shared" si="80"/>
        <v>#DIV/0!</v>
      </c>
      <c r="CN18" s="87">
        <f t="shared" si="81"/>
        <v>0</v>
      </c>
      <c r="CO18" s="95"/>
      <c r="CP18" s="87">
        <f t="shared" si="82"/>
        <v>0</v>
      </c>
      <c r="CQ18" s="410"/>
      <c r="CR18" s="96"/>
      <c r="CS18" s="96"/>
      <c r="CT18" s="87">
        <f t="shared" si="83"/>
        <v>0</v>
      </c>
      <c r="CU18" s="95">
        <f t="shared" si="84"/>
        <v>0.4604471269</v>
      </c>
      <c r="CV18" s="98">
        <f t="shared" si="85"/>
        <v>0</v>
      </c>
      <c r="CW18" s="99">
        <f t="shared" si="86"/>
        <v>0</v>
      </c>
      <c r="CX18" s="90"/>
      <c r="CY18" s="92">
        <f t="shared" si="205"/>
        <v>6</v>
      </c>
      <c r="CZ18" s="93" t="str">
        <f t="shared" ref="CZ18:DB18" si="268">IFERROR(VLOOKUP($R18,$A$13:$D$30,-CZ$12,FALSE),"")</f>
        <v>Pasir Besi </v>
      </c>
      <c r="DA18" s="94" t="str">
        <f t="shared" si="268"/>
        <v>Bijih </v>
      </c>
      <c r="DB18" s="94" t="str">
        <f t="shared" si="268"/>
        <v>Ton </v>
      </c>
      <c r="DC18" s="87">
        <f t="shared" si="88"/>
        <v>0</v>
      </c>
      <c r="DD18" s="87" t="str">
        <f t="shared" si="89"/>
        <v>#DIV/0!</v>
      </c>
      <c r="DE18" s="87">
        <f t="shared" si="90"/>
        <v>0</v>
      </c>
      <c r="DF18" s="95"/>
      <c r="DG18" s="87">
        <f t="shared" si="91"/>
        <v>0</v>
      </c>
      <c r="DH18" s="410"/>
      <c r="DI18" s="96"/>
      <c r="DJ18" s="96"/>
      <c r="DK18" s="87">
        <f t="shared" si="92"/>
        <v>0</v>
      </c>
      <c r="DL18" s="95">
        <f t="shared" si="93"/>
        <v>0.4604471269</v>
      </c>
      <c r="DM18" s="98">
        <f t="shared" si="94"/>
        <v>0</v>
      </c>
      <c r="DN18" s="99">
        <f t="shared" si="95"/>
        <v>0</v>
      </c>
      <c r="DO18" s="90"/>
      <c r="DP18" s="92">
        <f t="shared" si="207"/>
        <v>6</v>
      </c>
      <c r="DQ18" s="93" t="str">
        <f t="shared" ref="DQ18:DS18" si="269">IFERROR(VLOOKUP($R18,$A$13:$D$30,-DQ$12,FALSE),"")</f>
        <v>Pasir Besi </v>
      </c>
      <c r="DR18" s="94" t="str">
        <f t="shared" si="269"/>
        <v>Bijih </v>
      </c>
      <c r="DS18" s="94" t="str">
        <f t="shared" si="269"/>
        <v>Ton </v>
      </c>
      <c r="DT18" s="87">
        <f t="shared" si="97"/>
        <v>0</v>
      </c>
      <c r="DU18" s="87" t="str">
        <f t="shared" si="98"/>
        <v>#DIV/0!</v>
      </c>
      <c r="DV18" s="87">
        <f t="shared" si="99"/>
        <v>0</v>
      </c>
      <c r="DW18" s="95"/>
      <c r="DX18" s="87">
        <f t="shared" si="100"/>
        <v>0</v>
      </c>
      <c r="DY18" s="410"/>
      <c r="DZ18" s="96"/>
      <c r="EA18" s="96"/>
      <c r="EB18" s="87">
        <f t="shared" si="101"/>
        <v>0</v>
      </c>
      <c r="EC18" s="95">
        <f t="shared" si="102"/>
        <v>0.4604471269</v>
      </c>
      <c r="ED18" s="98">
        <f t="shared" si="103"/>
        <v>0</v>
      </c>
      <c r="EE18" s="99">
        <f t="shared" si="104"/>
        <v>0</v>
      </c>
      <c r="EF18" s="90"/>
      <c r="EG18" s="92">
        <f t="shared" si="209"/>
        <v>6</v>
      </c>
      <c r="EH18" s="93" t="str">
        <f t="shared" ref="EH18:EJ18" si="270">IFERROR(VLOOKUP($R18,$A$13:$D$30,-EH$12,FALSE),"")</f>
        <v>Pasir Besi </v>
      </c>
      <c r="EI18" s="94" t="str">
        <f t="shared" si="270"/>
        <v>Bijih </v>
      </c>
      <c r="EJ18" s="94" t="str">
        <f t="shared" si="270"/>
        <v>Ton </v>
      </c>
      <c r="EK18" s="87">
        <f t="shared" si="106"/>
        <v>0</v>
      </c>
      <c r="EL18" s="87" t="str">
        <f t="shared" si="107"/>
        <v>#DIV/0!</v>
      </c>
      <c r="EM18" s="87">
        <f t="shared" si="108"/>
        <v>0</v>
      </c>
      <c r="EN18" s="95"/>
      <c r="EO18" s="87">
        <f t="shared" si="109"/>
        <v>0</v>
      </c>
      <c r="EP18" s="410"/>
      <c r="EQ18" s="96"/>
      <c r="ER18" s="96"/>
      <c r="ES18" s="87">
        <f t="shared" si="110"/>
        <v>0</v>
      </c>
      <c r="ET18" s="95">
        <f t="shared" si="111"/>
        <v>0.4604471269</v>
      </c>
      <c r="EU18" s="98">
        <f t="shared" si="112"/>
        <v>0</v>
      </c>
      <c r="EV18" s="99">
        <f t="shared" si="113"/>
        <v>0</v>
      </c>
      <c r="EW18" s="90"/>
      <c r="EX18" s="92">
        <f t="shared" si="211"/>
        <v>6</v>
      </c>
      <c r="EY18" s="93" t="str">
        <f t="shared" ref="EY18:FA18" si="271">IFERROR(VLOOKUP($R18,$A$13:$D$30,-EY$12,FALSE),"")</f>
        <v>Pasir Besi </v>
      </c>
      <c r="EZ18" s="94" t="str">
        <f t="shared" si="271"/>
        <v>Bijih </v>
      </c>
      <c r="FA18" s="94" t="str">
        <f t="shared" si="271"/>
        <v>Ton </v>
      </c>
      <c r="FB18" s="87">
        <f t="shared" si="115"/>
        <v>0</v>
      </c>
      <c r="FC18" s="87" t="str">
        <f t="shared" si="116"/>
        <v>#DIV/0!</v>
      </c>
      <c r="FD18" s="87">
        <f t="shared" si="117"/>
        <v>0</v>
      </c>
      <c r="FE18" s="95"/>
      <c r="FF18" s="87">
        <f t="shared" si="118"/>
        <v>0</v>
      </c>
      <c r="FG18" s="410"/>
      <c r="FH18" s="96"/>
      <c r="FI18" s="96"/>
      <c r="FJ18" s="87">
        <f t="shared" si="119"/>
        <v>0</v>
      </c>
      <c r="FK18" s="95">
        <f t="shared" si="120"/>
        <v>0.4604471269</v>
      </c>
      <c r="FL18" s="98">
        <f t="shared" si="121"/>
        <v>0</v>
      </c>
      <c r="FM18" s="99">
        <f t="shared" si="122"/>
        <v>0</v>
      </c>
      <c r="FN18" s="90"/>
      <c r="FO18" s="92">
        <f t="shared" si="213"/>
        <v>6</v>
      </c>
      <c r="FP18" s="93" t="str">
        <f t="shared" ref="FP18:FR18" si="272">IFERROR(VLOOKUP($R18,$A$13:$D$30,-FP$12,FALSE),"")</f>
        <v>Pasir Besi </v>
      </c>
      <c r="FQ18" s="94" t="str">
        <f t="shared" si="272"/>
        <v>Bijih </v>
      </c>
      <c r="FR18" s="94" t="str">
        <f t="shared" si="272"/>
        <v>Ton </v>
      </c>
      <c r="FS18" s="87">
        <f t="shared" si="124"/>
        <v>0</v>
      </c>
      <c r="FT18" s="87" t="str">
        <f t="shared" si="125"/>
        <v>#DIV/0!</v>
      </c>
      <c r="FU18" s="87">
        <f t="shared" si="126"/>
        <v>0</v>
      </c>
      <c r="FV18" s="95"/>
      <c r="FW18" s="87">
        <f t="shared" si="127"/>
        <v>0</v>
      </c>
      <c r="FX18" s="410"/>
      <c r="FY18" s="96"/>
      <c r="FZ18" s="96"/>
      <c r="GA18" s="87">
        <f t="shared" si="128"/>
        <v>0</v>
      </c>
      <c r="GB18" s="95">
        <f t="shared" si="129"/>
        <v>0.4604471269</v>
      </c>
      <c r="GC18" s="98">
        <f t="shared" si="130"/>
        <v>0</v>
      </c>
      <c r="GD18" s="99">
        <f t="shared" si="131"/>
        <v>0</v>
      </c>
      <c r="GE18" s="90"/>
      <c r="GF18" s="92">
        <f t="shared" si="215"/>
        <v>6</v>
      </c>
      <c r="GG18" s="93" t="str">
        <f t="shared" ref="GG18:GI18" si="273">IFERROR(VLOOKUP($R18,$A$13:$D$30,-GG$12,FALSE),"")</f>
        <v>Pasir Besi </v>
      </c>
      <c r="GH18" s="94" t="str">
        <f t="shared" si="273"/>
        <v>Bijih </v>
      </c>
      <c r="GI18" s="94" t="str">
        <f t="shared" si="273"/>
        <v>Ton </v>
      </c>
      <c r="GJ18" s="87">
        <f t="shared" si="133"/>
        <v>0</v>
      </c>
      <c r="GK18" s="87" t="str">
        <f t="shared" si="134"/>
        <v>#DIV/0!</v>
      </c>
      <c r="GL18" s="87">
        <f t="shared" si="135"/>
        <v>0</v>
      </c>
      <c r="GM18" s="95"/>
      <c r="GN18" s="87">
        <f t="shared" si="136"/>
        <v>0</v>
      </c>
      <c r="GO18" s="410"/>
      <c r="GP18" s="96"/>
      <c r="GQ18" s="96"/>
      <c r="GR18" s="87">
        <f t="shared" si="137"/>
        <v>0</v>
      </c>
      <c r="GS18" s="95">
        <f t="shared" si="138"/>
        <v>0.4604471269</v>
      </c>
      <c r="GT18" s="98">
        <f t="shared" si="139"/>
        <v>0</v>
      </c>
      <c r="GU18" s="99">
        <f t="shared" si="140"/>
        <v>0</v>
      </c>
      <c r="GV18" s="90"/>
      <c r="GW18" s="92">
        <f t="shared" si="217"/>
        <v>6</v>
      </c>
      <c r="GX18" s="93" t="str">
        <f t="shared" ref="GX18:GZ18" si="274">IFERROR(VLOOKUP($R18,$A$13:$D$30,-GX$12,FALSE),"")</f>
        <v>Pasir Besi </v>
      </c>
      <c r="GY18" s="94" t="str">
        <f t="shared" si="274"/>
        <v>Bijih </v>
      </c>
      <c r="GZ18" s="94" t="str">
        <f t="shared" si="274"/>
        <v>Ton </v>
      </c>
      <c r="HA18" s="87">
        <f t="shared" si="142"/>
        <v>0</v>
      </c>
      <c r="HB18" s="87" t="str">
        <f t="shared" si="143"/>
        <v>#DIV/0!</v>
      </c>
      <c r="HC18" s="87">
        <f t="shared" si="144"/>
        <v>0</v>
      </c>
      <c r="HD18" s="95"/>
      <c r="HE18" s="87">
        <f t="shared" si="145"/>
        <v>0</v>
      </c>
      <c r="HF18" s="410"/>
      <c r="HG18" s="96"/>
      <c r="HH18" s="96"/>
      <c r="HI18" s="87">
        <f t="shared" si="146"/>
        <v>0</v>
      </c>
      <c r="HJ18" s="95">
        <f t="shared" si="147"/>
        <v>0.4604471269</v>
      </c>
      <c r="HK18" s="98">
        <f t="shared" si="148"/>
        <v>0</v>
      </c>
      <c r="HL18" s="99">
        <f t="shared" si="149"/>
        <v>0</v>
      </c>
      <c r="HM18" s="90"/>
      <c r="HN18" s="92">
        <f t="shared" si="219"/>
        <v>6</v>
      </c>
      <c r="HO18" s="93" t="str">
        <f t="shared" ref="HO18:HQ18" si="275">IFERROR(VLOOKUP($R18,$A$13:$D$30,-HO$12,FALSE),"")</f>
        <v>Pasir Besi </v>
      </c>
      <c r="HP18" s="94" t="str">
        <f t="shared" si="275"/>
        <v>Bijih </v>
      </c>
      <c r="HQ18" s="94" t="str">
        <f t="shared" si="275"/>
        <v>Ton </v>
      </c>
      <c r="HR18" s="87">
        <f t="shared" si="151"/>
        <v>0</v>
      </c>
      <c r="HS18" s="87" t="str">
        <f t="shared" si="152"/>
        <v>#DIV/0!</v>
      </c>
      <c r="HT18" s="87">
        <f t="shared" si="153"/>
        <v>0</v>
      </c>
      <c r="HU18" s="95"/>
      <c r="HV18" s="87">
        <f t="shared" si="154"/>
        <v>0</v>
      </c>
      <c r="HW18" s="410"/>
      <c r="HX18" s="96"/>
      <c r="HY18" s="96"/>
      <c r="HZ18" s="87">
        <f t="shared" si="155"/>
        <v>0</v>
      </c>
      <c r="IA18" s="95">
        <f t="shared" si="156"/>
        <v>0.4604471269</v>
      </c>
      <c r="IB18" s="98">
        <f t="shared" si="157"/>
        <v>0</v>
      </c>
      <c r="IC18" s="99">
        <f t="shared" si="158"/>
        <v>0</v>
      </c>
      <c r="ID18" s="90"/>
      <c r="IE18" s="92">
        <f t="shared" si="221"/>
        <v>6</v>
      </c>
      <c r="IF18" s="93" t="str">
        <f t="shared" ref="IF18:IH18" si="276">IFERROR(VLOOKUP($R18,$A$13:$D$30,-IF$12,FALSE),"")</f>
        <v>Pasir Besi </v>
      </c>
      <c r="IG18" s="94" t="str">
        <f t="shared" si="276"/>
        <v>Bijih </v>
      </c>
      <c r="IH18" s="94" t="str">
        <f t="shared" si="276"/>
        <v>Ton </v>
      </c>
      <c r="II18" s="87">
        <f t="shared" si="160"/>
        <v>0</v>
      </c>
      <c r="IJ18" s="87" t="str">
        <f t="shared" si="161"/>
        <v>#DIV/0!</v>
      </c>
      <c r="IK18" s="87">
        <f t="shared" si="162"/>
        <v>0</v>
      </c>
      <c r="IL18" s="95"/>
      <c r="IM18" s="87">
        <f t="shared" si="163"/>
        <v>0</v>
      </c>
      <c r="IN18" s="410"/>
      <c r="IO18" s="96"/>
      <c r="IP18" s="96"/>
      <c r="IQ18" s="87">
        <f t="shared" si="164"/>
        <v>0</v>
      </c>
      <c r="IR18" s="95">
        <f t="shared" si="165"/>
        <v>0.4604471269</v>
      </c>
      <c r="IS18" s="98">
        <f t="shared" si="166"/>
        <v>0</v>
      </c>
      <c r="IT18" s="99">
        <f t="shared" si="167"/>
        <v>0</v>
      </c>
      <c r="IU18" s="90"/>
      <c r="IV18" s="92">
        <f t="shared" si="223"/>
        <v>6</v>
      </c>
      <c r="IW18" s="93" t="str">
        <f t="shared" ref="IW18:IY18" si="277">IFERROR(VLOOKUP($R18,$A$13:$D$30,-IW$12,FALSE),"")</f>
        <v>Pasir Besi </v>
      </c>
      <c r="IX18" s="94" t="str">
        <f t="shared" si="277"/>
        <v>Bijih </v>
      </c>
      <c r="IY18" s="94" t="str">
        <f t="shared" si="277"/>
        <v>Ton </v>
      </c>
      <c r="IZ18" s="87">
        <f t="shared" si="169"/>
        <v>0</v>
      </c>
      <c r="JA18" s="87" t="str">
        <f t="shared" si="170"/>
        <v>#DIV/0!</v>
      </c>
      <c r="JB18" s="87">
        <f t="shared" si="171"/>
        <v>0</v>
      </c>
      <c r="JC18" s="95"/>
      <c r="JD18" s="87">
        <f t="shared" si="172"/>
        <v>0</v>
      </c>
      <c r="JE18" s="410"/>
      <c r="JF18" s="96"/>
      <c r="JG18" s="96"/>
      <c r="JH18" s="87">
        <f t="shared" si="173"/>
        <v>0</v>
      </c>
      <c r="JI18" s="95">
        <f t="shared" si="174"/>
        <v>0.4604471269</v>
      </c>
      <c r="JJ18" s="98">
        <f t="shared" si="175"/>
        <v>0</v>
      </c>
      <c r="JK18" s="99">
        <f t="shared" si="176"/>
        <v>0</v>
      </c>
      <c r="JL18" s="90"/>
      <c r="JM18" s="92">
        <f t="shared" si="225"/>
        <v>6</v>
      </c>
      <c r="JN18" s="93" t="str">
        <f t="shared" ref="JN18:JP18" si="278">IFERROR(VLOOKUP($R18,$A$13:$D$30,-JN$12,FALSE),"")</f>
        <v>Pasir Besi </v>
      </c>
      <c r="JO18" s="94" t="str">
        <f t="shared" si="278"/>
        <v>Bijih </v>
      </c>
      <c r="JP18" s="94" t="str">
        <f t="shared" si="278"/>
        <v>Ton </v>
      </c>
      <c r="JQ18" s="87">
        <f t="shared" si="178"/>
        <v>0</v>
      </c>
      <c r="JR18" s="87" t="str">
        <f t="shared" si="179"/>
        <v>#DIV/0!</v>
      </c>
      <c r="JS18" s="87">
        <f t="shared" si="180"/>
        <v>0</v>
      </c>
      <c r="JT18" s="95"/>
      <c r="JU18" s="87">
        <f t="shared" si="181"/>
        <v>0</v>
      </c>
      <c r="JV18" s="410"/>
      <c r="JW18" s="96"/>
      <c r="JX18" s="96"/>
      <c r="JY18" s="87">
        <f t="shared" si="182"/>
        <v>0</v>
      </c>
      <c r="JZ18" s="95">
        <f t="shared" si="183"/>
        <v>0.4604471269</v>
      </c>
      <c r="KA18" s="98">
        <f t="shared" si="184"/>
        <v>0</v>
      </c>
      <c r="KB18" s="99">
        <f t="shared" si="185"/>
        <v>0</v>
      </c>
      <c r="KC18" s="90"/>
      <c r="KD18" s="92">
        <f t="shared" si="227"/>
        <v>6</v>
      </c>
      <c r="KE18" s="93" t="str">
        <f t="shared" ref="KE18:KG18" si="279">IFERROR(VLOOKUP($R18,$A$13:$D$30,-KE$12,FALSE),"")</f>
        <v>Pasir Besi </v>
      </c>
      <c r="KF18" s="94" t="str">
        <f t="shared" si="279"/>
        <v>Bijih </v>
      </c>
      <c r="KG18" s="94" t="str">
        <f t="shared" si="279"/>
        <v>Ton </v>
      </c>
      <c r="KH18" s="87">
        <f t="shared" si="187"/>
        <v>0</v>
      </c>
      <c r="KI18" s="87" t="str">
        <f t="shared" si="188"/>
        <v>#DIV/0!</v>
      </c>
      <c r="KJ18" s="87">
        <f t="shared" si="189"/>
        <v>0</v>
      </c>
      <c r="KK18" s="95"/>
      <c r="KL18" s="87">
        <f t="shared" si="190"/>
        <v>0</v>
      </c>
      <c r="KM18" s="410"/>
      <c r="KN18" s="96"/>
      <c r="KO18" s="96"/>
      <c r="KP18" s="87">
        <f t="shared" si="191"/>
        <v>0</v>
      </c>
      <c r="KQ18" s="95">
        <f t="shared" si="192"/>
        <v>0.4604471269</v>
      </c>
      <c r="KR18" s="98">
        <f t="shared" si="193"/>
        <v>0</v>
      </c>
      <c r="KS18" s="99">
        <f t="shared" si="194"/>
        <v>0</v>
      </c>
      <c r="KT18" s="90"/>
      <c r="KU18" s="91"/>
    </row>
    <row r="19">
      <c r="A19" s="92">
        <v>7.0</v>
      </c>
      <c r="B19" s="93" t="s">
        <v>78</v>
      </c>
      <c r="C19" s="94" t="s">
        <v>69</v>
      </c>
      <c r="D19" s="94" t="s">
        <v>73</v>
      </c>
      <c r="E19" s="87">
        <f t="shared" si="35"/>
        <v>0</v>
      </c>
      <c r="F19" s="87" t="str">
        <f t="shared" si="36"/>
        <v>#DIV/0!</v>
      </c>
      <c r="G19" s="87">
        <f t="shared" si="37"/>
        <v>0</v>
      </c>
      <c r="H19" s="95"/>
      <c r="I19" s="87">
        <f t="shared" si="38"/>
        <v>0</v>
      </c>
      <c r="J19" s="410"/>
      <c r="K19" s="96"/>
      <c r="L19" s="96"/>
      <c r="M19" s="87">
        <f t="shared" si="39"/>
        <v>0</v>
      </c>
      <c r="N19" s="95">
        <v>0.4604471268963365</v>
      </c>
      <c r="O19" s="98">
        <f t="shared" si="40"/>
        <v>0</v>
      </c>
      <c r="P19" s="99">
        <f t="shared" si="41"/>
        <v>0</v>
      </c>
      <c r="Q19" s="90"/>
      <c r="R19" s="92">
        <f t="shared" si="195"/>
        <v>7</v>
      </c>
      <c r="S19" s="93" t="str">
        <f t="shared" ref="S19:U19" si="280">IFERROR(VLOOKUP($R19,$A$13:$D$30,-S$12,FALSE),"")</f>
        <v>Timah</v>
      </c>
      <c r="T19" s="94" t="str">
        <f t="shared" si="280"/>
        <v>Bijih </v>
      </c>
      <c r="U19" s="94" t="str">
        <f t="shared" si="280"/>
        <v>Ton </v>
      </c>
      <c r="V19" s="87">
        <f t="shared" si="43"/>
        <v>0</v>
      </c>
      <c r="W19" s="87" t="str">
        <f t="shared" si="44"/>
        <v>#DIV/0!</v>
      </c>
      <c r="X19" s="87">
        <f t="shared" si="45"/>
        <v>0</v>
      </c>
      <c r="Y19" s="95"/>
      <c r="Z19" s="87">
        <f t="shared" si="46"/>
        <v>0</v>
      </c>
      <c r="AA19" s="410"/>
      <c r="AB19" s="96"/>
      <c r="AC19" s="96"/>
      <c r="AD19" s="87">
        <f t="shared" si="47"/>
        <v>0</v>
      </c>
      <c r="AE19" s="95">
        <f t="shared" si="48"/>
        <v>0.4604471269</v>
      </c>
      <c r="AF19" s="98">
        <f t="shared" si="49"/>
        <v>0</v>
      </c>
      <c r="AG19" s="99">
        <f t="shared" si="50"/>
        <v>0</v>
      </c>
      <c r="AH19" s="90"/>
      <c r="AI19" s="92">
        <f t="shared" si="197"/>
        <v>7</v>
      </c>
      <c r="AJ19" s="93" t="str">
        <f t="shared" ref="AJ19:AL19" si="281">IFERROR(VLOOKUP($R19,$A$13:$D$30,-AJ$12,FALSE),"")</f>
        <v>Timah</v>
      </c>
      <c r="AK19" s="94" t="str">
        <f t="shared" si="281"/>
        <v>Bijih </v>
      </c>
      <c r="AL19" s="94" t="str">
        <f t="shared" si="281"/>
        <v>Ton </v>
      </c>
      <c r="AM19" s="87">
        <f t="shared" si="52"/>
        <v>0</v>
      </c>
      <c r="AN19" s="87" t="str">
        <f t="shared" si="53"/>
        <v>#DIV/0!</v>
      </c>
      <c r="AO19" s="87">
        <f t="shared" si="54"/>
        <v>0</v>
      </c>
      <c r="AP19" s="95"/>
      <c r="AQ19" s="87">
        <f t="shared" si="55"/>
        <v>0</v>
      </c>
      <c r="AR19" s="410"/>
      <c r="AS19" s="96"/>
      <c r="AT19" s="96"/>
      <c r="AU19" s="87">
        <f t="shared" si="56"/>
        <v>0</v>
      </c>
      <c r="AV19" s="95">
        <f t="shared" si="57"/>
        <v>0.4604471269</v>
      </c>
      <c r="AW19" s="98">
        <f t="shared" si="58"/>
        <v>0</v>
      </c>
      <c r="AX19" s="99">
        <f t="shared" si="59"/>
        <v>0</v>
      </c>
      <c r="AY19" s="90"/>
      <c r="AZ19" s="92">
        <f t="shared" si="199"/>
        <v>7</v>
      </c>
      <c r="BA19" s="93" t="str">
        <f t="shared" ref="BA19:BC19" si="282">IFERROR(VLOOKUP($R19,$A$13:$D$30,-BA$12,FALSE),"")</f>
        <v>Timah</v>
      </c>
      <c r="BB19" s="94" t="str">
        <f t="shared" si="282"/>
        <v>Bijih </v>
      </c>
      <c r="BC19" s="94" t="str">
        <f t="shared" si="282"/>
        <v>Ton </v>
      </c>
      <c r="BD19" s="87">
        <f t="shared" si="61"/>
        <v>0</v>
      </c>
      <c r="BE19" s="87" t="str">
        <f t="shared" si="62"/>
        <v>#DIV/0!</v>
      </c>
      <c r="BF19" s="87">
        <f t="shared" si="63"/>
        <v>0</v>
      </c>
      <c r="BG19" s="95"/>
      <c r="BH19" s="87">
        <f t="shared" si="64"/>
        <v>0</v>
      </c>
      <c r="BI19" s="410"/>
      <c r="BJ19" s="96"/>
      <c r="BK19" s="96"/>
      <c r="BL19" s="87">
        <f t="shared" si="65"/>
        <v>0</v>
      </c>
      <c r="BM19" s="95">
        <f t="shared" si="66"/>
        <v>0.4604471269</v>
      </c>
      <c r="BN19" s="98">
        <f t="shared" si="67"/>
        <v>0</v>
      </c>
      <c r="BO19" s="99">
        <f t="shared" si="68"/>
        <v>0</v>
      </c>
      <c r="BP19" s="90"/>
      <c r="BQ19" s="92">
        <f t="shared" si="201"/>
        <v>7</v>
      </c>
      <c r="BR19" s="93" t="str">
        <f t="shared" ref="BR19:BT19" si="283">IFERROR(VLOOKUP($R19,$A$13:$D$30,-BR$12,FALSE),"")</f>
        <v>Timah</v>
      </c>
      <c r="BS19" s="94" t="str">
        <f t="shared" si="283"/>
        <v>Bijih </v>
      </c>
      <c r="BT19" s="94" t="str">
        <f t="shared" si="283"/>
        <v>Ton </v>
      </c>
      <c r="BU19" s="87">
        <f t="shared" si="70"/>
        <v>0</v>
      </c>
      <c r="BV19" s="87" t="str">
        <f t="shared" si="71"/>
        <v>#DIV/0!</v>
      </c>
      <c r="BW19" s="87">
        <f t="shared" si="72"/>
        <v>0</v>
      </c>
      <c r="BX19" s="95"/>
      <c r="BY19" s="87">
        <f t="shared" si="73"/>
        <v>0</v>
      </c>
      <c r="BZ19" s="410"/>
      <c r="CA19" s="96"/>
      <c r="CB19" s="96"/>
      <c r="CC19" s="87">
        <f t="shared" si="74"/>
        <v>0</v>
      </c>
      <c r="CD19" s="95">
        <f t="shared" si="75"/>
        <v>0.4604471269</v>
      </c>
      <c r="CE19" s="98">
        <f t="shared" si="76"/>
        <v>0</v>
      </c>
      <c r="CF19" s="99">
        <f t="shared" si="77"/>
        <v>0</v>
      </c>
      <c r="CG19" s="90"/>
      <c r="CH19" s="92">
        <f t="shared" si="203"/>
        <v>7</v>
      </c>
      <c r="CI19" s="93" t="str">
        <f t="shared" ref="CI19:CK19" si="284">IFERROR(VLOOKUP($R19,$A$13:$D$30,-CI$12,FALSE),"")</f>
        <v>Timah</v>
      </c>
      <c r="CJ19" s="94" t="str">
        <f t="shared" si="284"/>
        <v>Bijih </v>
      </c>
      <c r="CK19" s="94" t="str">
        <f t="shared" si="284"/>
        <v>Ton </v>
      </c>
      <c r="CL19" s="87">
        <f t="shared" si="79"/>
        <v>0</v>
      </c>
      <c r="CM19" s="87" t="str">
        <f t="shared" si="80"/>
        <v>#DIV/0!</v>
      </c>
      <c r="CN19" s="87">
        <f t="shared" si="81"/>
        <v>0</v>
      </c>
      <c r="CO19" s="95"/>
      <c r="CP19" s="87">
        <f t="shared" si="82"/>
        <v>0</v>
      </c>
      <c r="CQ19" s="410"/>
      <c r="CR19" s="96"/>
      <c r="CS19" s="96"/>
      <c r="CT19" s="87">
        <f t="shared" si="83"/>
        <v>0</v>
      </c>
      <c r="CU19" s="95">
        <f t="shared" si="84"/>
        <v>0.4604471269</v>
      </c>
      <c r="CV19" s="98">
        <f t="shared" si="85"/>
        <v>0</v>
      </c>
      <c r="CW19" s="99">
        <f t="shared" si="86"/>
        <v>0</v>
      </c>
      <c r="CX19" s="90"/>
      <c r="CY19" s="92">
        <f t="shared" si="205"/>
        <v>7</v>
      </c>
      <c r="CZ19" s="93" t="str">
        <f t="shared" ref="CZ19:DB19" si="285">IFERROR(VLOOKUP($R19,$A$13:$D$30,-CZ$12,FALSE),"")</f>
        <v>Timah</v>
      </c>
      <c r="DA19" s="94" t="str">
        <f t="shared" si="285"/>
        <v>Bijih </v>
      </c>
      <c r="DB19" s="94" t="str">
        <f t="shared" si="285"/>
        <v>Ton </v>
      </c>
      <c r="DC19" s="87">
        <f t="shared" si="88"/>
        <v>0</v>
      </c>
      <c r="DD19" s="87" t="str">
        <f t="shared" si="89"/>
        <v>#DIV/0!</v>
      </c>
      <c r="DE19" s="87">
        <f t="shared" si="90"/>
        <v>0</v>
      </c>
      <c r="DF19" s="95"/>
      <c r="DG19" s="87">
        <f t="shared" si="91"/>
        <v>0</v>
      </c>
      <c r="DH19" s="410"/>
      <c r="DI19" s="96"/>
      <c r="DJ19" s="96"/>
      <c r="DK19" s="87">
        <f t="shared" si="92"/>
        <v>0</v>
      </c>
      <c r="DL19" s="95">
        <f t="shared" si="93"/>
        <v>0.4604471269</v>
      </c>
      <c r="DM19" s="98">
        <f t="shared" si="94"/>
        <v>0</v>
      </c>
      <c r="DN19" s="99">
        <f t="shared" si="95"/>
        <v>0</v>
      </c>
      <c r="DO19" s="90"/>
      <c r="DP19" s="92">
        <f t="shared" si="207"/>
        <v>7</v>
      </c>
      <c r="DQ19" s="93" t="str">
        <f t="shared" ref="DQ19:DS19" si="286">IFERROR(VLOOKUP($R19,$A$13:$D$30,-DQ$12,FALSE),"")</f>
        <v>Timah</v>
      </c>
      <c r="DR19" s="94" t="str">
        <f t="shared" si="286"/>
        <v>Bijih </v>
      </c>
      <c r="DS19" s="94" t="str">
        <f t="shared" si="286"/>
        <v>Ton </v>
      </c>
      <c r="DT19" s="87">
        <f t="shared" si="97"/>
        <v>0</v>
      </c>
      <c r="DU19" s="87" t="str">
        <f t="shared" si="98"/>
        <v>#DIV/0!</v>
      </c>
      <c r="DV19" s="87">
        <f t="shared" si="99"/>
        <v>0</v>
      </c>
      <c r="DW19" s="95"/>
      <c r="DX19" s="87">
        <f t="shared" si="100"/>
        <v>0</v>
      </c>
      <c r="DY19" s="410"/>
      <c r="DZ19" s="96"/>
      <c r="EA19" s="96"/>
      <c r="EB19" s="87">
        <f t="shared" si="101"/>
        <v>0</v>
      </c>
      <c r="EC19" s="95">
        <f t="shared" si="102"/>
        <v>0.4604471269</v>
      </c>
      <c r="ED19" s="98">
        <f t="shared" si="103"/>
        <v>0</v>
      </c>
      <c r="EE19" s="99">
        <f t="shared" si="104"/>
        <v>0</v>
      </c>
      <c r="EF19" s="90"/>
      <c r="EG19" s="92">
        <f t="shared" si="209"/>
        <v>7</v>
      </c>
      <c r="EH19" s="93" t="str">
        <f t="shared" ref="EH19:EJ19" si="287">IFERROR(VLOOKUP($R19,$A$13:$D$30,-EH$12,FALSE),"")</f>
        <v>Timah</v>
      </c>
      <c r="EI19" s="94" t="str">
        <f t="shared" si="287"/>
        <v>Bijih </v>
      </c>
      <c r="EJ19" s="94" t="str">
        <f t="shared" si="287"/>
        <v>Ton </v>
      </c>
      <c r="EK19" s="87">
        <f t="shared" si="106"/>
        <v>0</v>
      </c>
      <c r="EL19" s="87" t="str">
        <f t="shared" si="107"/>
        <v>#DIV/0!</v>
      </c>
      <c r="EM19" s="87">
        <f t="shared" si="108"/>
        <v>0</v>
      </c>
      <c r="EN19" s="95"/>
      <c r="EO19" s="87">
        <f t="shared" si="109"/>
        <v>0</v>
      </c>
      <c r="EP19" s="410"/>
      <c r="EQ19" s="96"/>
      <c r="ER19" s="96"/>
      <c r="ES19" s="87">
        <f t="shared" si="110"/>
        <v>0</v>
      </c>
      <c r="ET19" s="95">
        <f t="shared" si="111"/>
        <v>0.4604471269</v>
      </c>
      <c r="EU19" s="98">
        <f t="shared" si="112"/>
        <v>0</v>
      </c>
      <c r="EV19" s="99">
        <f t="shared" si="113"/>
        <v>0</v>
      </c>
      <c r="EW19" s="90"/>
      <c r="EX19" s="92">
        <f t="shared" si="211"/>
        <v>7</v>
      </c>
      <c r="EY19" s="93" t="str">
        <f t="shared" ref="EY19:FA19" si="288">IFERROR(VLOOKUP($R19,$A$13:$D$30,-EY$12,FALSE),"")</f>
        <v>Timah</v>
      </c>
      <c r="EZ19" s="94" t="str">
        <f t="shared" si="288"/>
        <v>Bijih </v>
      </c>
      <c r="FA19" s="94" t="str">
        <f t="shared" si="288"/>
        <v>Ton </v>
      </c>
      <c r="FB19" s="87">
        <f t="shared" si="115"/>
        <v>0</v>
      </c>
      <c r="FC19" s="87" t="str">
        <f t="shared" si="116"/>
        <v>#DIV/0!</v>
      </c>
      <c r="FD19" s="87">
        <f t="shared" si="117"/>
        <v>0</v>
      </c>
      <c r="FE19" s="95"/>
      <c r="FF19" s="87">
        <f t="shared" si="118"/>
        <v>0</v>
      </c>
      <c r="FG19" s="410"/>
      <c r="FH19" s="96"/>
      <c r="FI19" s="96"/>
      <c r="FJ19" s="87">
        <f t="shared" si="119"/>
        <v>0</v>
      </c>
      <c r="FK19" s="95">
        <f t="shared" si="120"/>
        <v>0.4604471269</v>
      </c>
      <c r="FL19" s="98">
        <f t="shared" si="121"/>
        <v>0</v>
      </c>
      <c r="FM19" s="99">
        <f t="shared" si="122"/>
        <v>0</v>
      </c>
      <c r="FN19" s="90"/>
      <c r="FO19" s="92">
        <f t="shared" si="213"/>
        <v>7</v>
      </c>
      <c r="FP19" s="93" t="str">
        <f t="shared" ref="FP19:FR19" si="289">IFERROR(VLOOKUP($R19,$A$13:$D$30,-FP$12,FALSE),"")</f>
        <v>Timah</v>
      </c>
      <c r="FQ19" s="94" t="str">
        <f t="shared" si="289"/>
        <v>Bijih </v>
      </c>
      <c r="FR19" s="94" t="str">
        <f t="shared" si="289"/>
        <v>Ton </v>
      </c>
      <c r="FS19" s="87">
        <f t="shared" si="124"/>
        <v>0</v>
      </c>
      <c r="FT19" s="87" t="str">
        <f t="shared" si="125"/>
        <v>#DIV/0!</v>
      </c>
      <c r="FU19" s="87">
        <f t="shared" si="126"/>
        <v>0</v>
      </c>
      <c r="FV19" s="95"/>
      <c r="FW19" s="87">
        <f t="shared" si="127"/>
        <v>0</v>
      </c>
      <c r="FX19" s="410"/>
      <c r="FY19" s="96"/>
      <c r="FZ19" s="96"/>
      <c r="GA19" s="87">
        <f t="shared" si="128"/>
        <v>0</v>
      </c>
      <c r="GB19" s="95">
        <f t="shared" si="129"/>
        <v>0.4604471269</v>
      </c>
      <c r="GC19" s="98">
        <f t="shared" si="130"/>
        <v>0</v>
      </c>
      <c r="GD19" s="99">
        <f t="shared" si="131"/>
        <v>0</v>
      </c>
      <c r="GE19" s="90"/>
      <c r="GF19" s="92">
        <f t="shared" si="215"/>
        <v>7</v>
      </c>
      <c r="GG19" s="93" t="str">
        <f t="shared" ref="GG19:GI19" si="290">IFERROR(VLOOKUP($R19,$A$13:$D$30,-GG$12,FALSE),"")</f>
        <v>Timah</v>
      </c>
      <c r="GH19" s="94" t="str">
        <f t="shared" si="290"/>
        <v>Bijih </v>
      </c>
      <c r="GI19" s="94" t="str">
        <f t="shared" si="290"/>
        <v>Ton </v>
      </c>
      <c r="GJ19" s="87">
        <f t="shared" si="133"/>
        <v>0</v>
      </c>
      <c r="GK19" s="87" t="str">
        <f t="shared" si="134"/>
        <v>#DIV/0!</v>
      </c>
      <c r="GL19" s="87">
        <f t="shared" si="135"/>
        <v>0</v>
      </c>
      <c r="GM19" s="95"/>
      <c r="GN19" s="87">
        <f t="shared" si="136"/>
        <v>0</v>
      </c>
      <c r="GO19" s="410"/>
      <c r="GP19" s="96"/>
      <c r="GQ19" s="96"/>
      <c r="GR19" s="87">
        <f t="shared" si="137"/>
        <v>0</v>
      </c>
      <c r="GS19" s="95">
        <f t="shared" si="138"/>
        <v>0.4604471269</v>
      </c>
      <c r="GT19" s="98">
        <f t="shared" si="139"/>
        <v>0</v>
      </c>
      <c r="GU19" s="99">
        <f t="shared" si="140"/>
        <v>0</v>
      </c>
      <c r="GV19" s="90"/>
      <c r="GW19" s="92">
        <f t="shared" si="217"/>
        <v>7</v>
      </c>
      <c r="GX19" s="93" t="str">
        <f t="shared" ref="GX19:GZ19" si="291">IFERROR(VLOOKUP($R19,$A$13:$D$30,-GX$12,FALSE),"")</f>
        <v>Timah</v>
      </c>
      <c r="GY19" s="94" t="str">
        <f t="shared" si="291"/>
        <v>Bijih </v>
      </c>
      <c r="GZ19" s="94" t="str">
        <f t="shared" si="291"/>
        <v>Ton </v>
      </c>
      <c r="HA19" s="87">
        <f t="shared" si="142"/>
        <v>0</v>
      </c>
      <c r="HB19" s="87" t="str">
        <f t="shared" si="143"/>
        <v>#DIV/0!</v>
      </c>
      <c r="HC19" s="87">
        <f t="shared" si="144"/>
        <v>0</v>
      </c>
      <c r="HD19" s="95"/>
      <c r="HE19" s="87">
        <f t="shared" si="145"/>
        <v>0</v>
      </c>
      <c r="HF19" s="410"/>
      <c r="HG19" s="96"/>
      <c r="HH19" s="96"/>
      <c r="HI19" s="87">
        <f t="shared" si="146"/>
        <v>0</v>
      </c>
      <c r="HJ19" s="95">
        <f t="shared" si="147"/>
        <v>0.4604471269</v>
      </c>
      <c r="HK19" s="98">
        <f t="shared" si="148"/>
        <v>0</v>
      </c>
      <c r="HL19" s="99">
        <f t="shared" si="149"/>
        <v>0</v>
      </c>
      <c r="HM19" s="90"/>
      <c r="HN19" s="92">
        <f t="shared" si="219"/>
        <v>7</v>
      </c>
      <c r="HO19" s="93" t="str">
        <f t="shared" ref="HO19:HQ19" si="292">IFERROR(VLOOKUP($R19,$A$13:$D$30,-HO$12,FALSE),"")</f>
        <v>Timah</v>
      </c>
      <c r="HP19" s="94" t="str">
        <f t="shared" si="292"/>
        <v>Bijih </v>
      </c>
      <c r="HQ19" s="94" t="str">
        <f t="shared" si="292"/>
        <v>Ton </v>
      </c>
      <c r="HR19" s="87">
        <f t="shared" si="151"/>
        <v>0</v>
      </c>
      <c r="HS19" s="87" t="str">
        <f t="shared" si="152"/>
        <v>#DIV/0!</v>
      </c>
      <c r="HT19" s="87">
        <f t="shared" si="153"/>
        <v>0</v>
      </c>
      <c r="HU19" s="95"/>
      <c r="HV19" s="87">
        <f t="shared" si="154"/>
        <v>0</v>
      </c>
      <c r="HW19" s="410"/>
      <c r="HX19" s="96"/>
      <c r="HY19" s="96"/>
      <c r="HZ19" s="87">
        <f t="shared" si="155"/>
        <v>0</v>
      </c>
      <c r="IA19" s="95">
        <f t="shared" si="156"/>
        <v>0.4604471269</v>
      </c>
      <c r="IB19" s="98">
        <f t="shared" si="157"/>
        <v>0</v>
      </c>
      <c r="IC19" s="99">
        <f t="shared" si="158"/>
        <v>0</v>
      </c>
      <c r="ID19" s="90"/>
      <c r="IE19" s="92">
        <f t="shared" si="221"/>
        <v>7</v>
      </c>
      <c r="IF19" s="93" t="str">
        <f t="shared" ref="IF19:IH19" si="293">IFERROR(VLOOKUP($R19,$A$13:$D$30,-IF$12,FALSE),"")</f>
        <v>Timah</v>
      </c>
      <c r="IG19" s="94" t="str">
        <f t="shared" si="293"/>
        <v>Bijih </v>
      </c>
      <c r="IH19" s="94" t="str">
        <f t="shared" si="293"/>
        <v>Ton </v>
      </c>
      <c r="II19" s="87">
        <f t="shared" si="160"/>
        <v>0</v>
      </c>
      <c r="IJ19" s="87" t="str">
        <f t="shared" si="161"/>
        <v>#DIV/0!</v>
      </c>
      <c r="IK19" s="87">
        <f t="shared" si="162"/>
        <v>0</v>
      </c>
      <c r="IL19" s="95"/>
      <c r="IM19" s="87">
        <f t="shared" si="163"/>
        <v>0</v>
      </c>
      <c r="IN19" s="410"/>
      <c r="IO19" s="96"/>
      <c r="IP19" s="96"/>
      <c r="IQ19" s="87">
        <f t="shared" si="164"/>
        <v>0</v>
      </c>
      <c r="IR19" s="95">
        <f t="shared" si="165"/>
        <v>0.4604471269</v>
      </c>
      <c r="IS19" s="98">
        <f t="shared" si="166"/>
        <v>0</v>
      </c>
      <c r="IT19" s="99">
        <f t="shared" si="167"/>
        <v>0</v>
      </c>
      <c r="IU19" s="90"/>
      <c r="IV19" s="92">
        <f t="shared" si="223"/>
        <v>7</v>
      </c>
      <c r="IW19" s="93" t="str">
        <f t="shared" ref="IW19:IY19" si="294">IFERROR(VLOOKUP($R19,$A$13:$D$30,-IW$12,FALSE),"")</f>
        <v>Timah</v>
      </c>
      <c r="IX19" s="94" t="str">
        <f t="shared" si="294"/>
        <v>Bijih </v>
      </c>
      <c r="IY19" s="94" t="str">
        <f t="shared" si="294"/>
        <v>Ton </v>
      </c>
      <c r="IZ19" s="87">
        <f t="shared" si="169"/>
        <v>0</v>
      </c>
      <c r="JA19" s="87" t="str">
        <f t="shared" si="170"/>
        <v>#DIV/0!</v>
      </c>
      <c r="JB19" s="87">
        <f t="shared" si="171"/>
        <v>0</v>
      </c>
      <c r="JC19" s="95"/>
      <c r="JD19" s="87">
        <f t="shared" si="172"/>
        <v>0</v>
      </c>
      <c r="JE19" s="410"/>
      <c r="JF19" s="96"/>
      <c r="JG19" s="96"/>
      <c r="JH19" s="87">
        <f t="shared" si="173"/>
        <v>0</v>
      </c>
      <c r="JI19" s="95">
        <f t="shared" si="174"/>
        <v>0.4604471269</v>
      </c>
      <c r="JJ19" s="98">
        <f t="shared" si="175"/>
        <v>0</v>
      </c>
      <c r="JK19" s="99">
        <f t="shared" si="176"/>
        <v>0</v>
      </c>
      <c r="JL19" s="90"/>
      <c r="JM19" s="92">
        <f t="shared" si="225"/>
        <v>7</v>
      </c>
      <c r="JN19" s="93" t="str">
        <f t="shared" ref="JN19:JP19" si="295">IFERROR(VLOOKUP($R19,$A$13:$D$30,-JN$12,FALSE),"")</f>
        <v>Timah</v>
      </c>
      <c r="JO19" s="94" t="str">
        <f t="shared" si="295"/>
        <v>Bijih </v>
      </c>
      <c r="JP19" s="94" t="str">
        <f t="shared" si="295"/>
        <v>Ton </v>
      </c>
      <c r="JQ19" s="87">
        <f t="shared" si="178"/>
        <v>0</v>
      </c>
      <c r="JR19" s="87" t="str">
        <f t="shared" si="179"/>
        <v>#DIV/0!</v>
      </c>
      <c r="JS19" s="87">
        <f t="shared" si="180"/>
        <v>0</v>
      </c>
      <c r="JT19" s="95"/>
      <c r="JU19" s="87">
        <f t="shared" si="181"/>
        <v>0</v>
      </c>
      <c r="JV19" s="410"/>
      <c r="JW19" s="96"/>
      <c r="JX19" s="96"/>
      <c r="JY19" s="87">
        <f t="shared" si="182"/>
        <v>0</v>
      </c>
      <c r="JZ19" s="95">
        <f t="shared" si="183"/>
        <v>0.4604471269</v>
      </c>
      <c r="KA19" s="98">
        <f t="shared" si="184"/>
        <v>0</v>
      </c>
      <c r="KB19" s="99">
        <f t="shared" si="185"/>
        <v>0</v>
      </c>
      <c r="KC19" s="90"/>
      <c r="KD19" s="92">
        <f t="shared" si="227"/>
        <v>7</v>
      </c>
      <c r="KE19" s="93" t="str">
        <f t="shared" ref="KE19:KG19" si="296">IFERROR(VLOOKUP($R19,$A$13:$D$30,-KE$12,FALSE),"")</f>
        <v>Timah</v>
      </c>
      <c r="KF19" s="94" t="str">
        <f t="shared" si="296"/>
        <v>Bijih </v>
      </c>
      <c r="KG19" s="94" t="str">
        <f t="shared" si="296"/>
        <v>Ton </v>
      </c>
      <c r="KH19" s="87">
        <f t="shared" si="187"/>
        <v>0</v>
      </c>
      <c r="KI19" s="87" t="str">
        <f t="shared" si="188"/>
        <v>#DIV/0!</v>
      </c>
      <c r="KJ19" s="87">
        <f t="shared" si="189"/>
        <v>0</v>
      </c>
      <c r="KK19" s="95"/>
      <c r="KL19" s="87">
        <f t="shared" si="190"/>
        <v>0</v>
      </c>
      <c r="KM19" s="410"/>
      <c r="KN19" s="96"/>
      <c r="KO19" s="96"/>
      <c r="KP19" s="87">
        <f t="shared" si="191"/>
        <v>0</v>
      </c>
      <c r="KQ19" s="95">
        <f t="shared" si="192"/>
        <v>0.4604471269</v>
      </c>
      <c r="KR19" s="98">
        <f t="shared" si="193"/>
        <v>0</v>
      </c>
      <c r="KS19" s="99">
        <f t="shared" si="194"/>
        <v>0</v>
      </c>
      <c r="KT19" s="90"/>
      <c r="KU19" s="91"/>
    </row>
    <row r="20">
      <c r="A20" s="92">
        <v>8.0</v>
      </c>
      <c r="B20" s="93" t="s">
        <v>79</v>
      </c>
      <c r="C20" s="94" t="s">
        <v>69</v>
      </c>
      <c r="D20" s="94" t="s">
        <v>73</v>
      </c>
      <c r="E20" s="87">
        <f t="shared" si="35"/>
        <v>0</v>
      </c>
      <c r="F20" s="87" t="str">
        <f t="shared" si="36"/>
        <v>#DIV/0!</v>
      </c>
      <c r="G20" s="87">
        <f t="shared" si="37"/>
        <v>0</v>
      </c>
      <c r="H20" s="95"/>
      <c r="I20" s="87">
        <f t="shared" si="38"/>
        <v>0</v>
      </c>
      <c r="J20" s="410"/>
      <c r="K20" s="96"/>
      <c r="L20" s="96"/>
      <c r="M20" s="87">
        <f t="shared" si="39"/>
        <v>0</v>
      </c>
      <c r="N20" s="95">
        <v>0.4604471268963365</v>
      </c>
      <c r="O20" s="98">
        <f t="shared" si="40"/>
        <v>0</v>
      </c>
      <c r="P20" s="99">
        <f t="shared" si="41"/>
        <v>0</v>
      </c>
      <c r="Q20" s="90"/>
      <c r="R20" s="92">
        <f t="shared" si="195"/>
        <v>8</v>
      </c>
      <c r="S20" s="93" t="str">
        <f t="shared" ref="S20:U20" si="297">IFERROR(VLOOKUP($R20,$A$13:$D$30,-S$12,FALSE),"")</f>
        <v>Mangan</v>
      </c>
      <c r="T20" s="94" t="str">
        <f t="shared" si="297"/>
        <v>Bijih </v>
      </c>
      <c r="U20" s="94" t="str">
        <f t="shared" si="297"/>
        <v>Ton </v>
      </c>
      <c r="V20" s="87">
        <f t="shared" si="43"/>
        <v>0</v>
      </c>
      <c r="W20" s="87" t="str">
        <f t="shared" si="44"/>
        <v>#DIV/0!</v>
      </c>
      <c r="X20" s="87">
        <f t="shared" si="45"/>
        <v>0</v>
      </c>
      <c r="Y20" s="95"/>
      <c r="Z20" s="87">
        <f t="shared" si="46"/>
        <v>0</v>
      </c>
      <c r="AA20" s="410"/>
      <c r="AB20" s="96"/>
      <c r="AC20" s="96"/>
      <c r="AD20" s="87">
        <f t="shared" si="47"/>
        <v>0</v>
      </c>
      <c r="AE20" s="95">
        <f t="shared" si="48"/>
        <v>0.4604471269</v>
      </c>
      <c r="AF20" s="98">
        <f t="shared" si="49"/>
        <v>0</v>
      </c>
      <c r="AG20" s="99">
        <f t="shared" si="50"/>
        <v>0</v>
      </c>
      <c r="AH20" s="90"/>
      <c r="AI20" s="92">
        <f t="shared" si="197"/>
        <v>8</v>
      </c>
      <c r="AJ20" s="93" t="str">
        <f t="shared" ref="AJ20:AL20" si="298">IFERROR(VLOOKUP($R20,$A$13:$D$30,-AJ$12,FALSE),"")</f>
        <v>Mangan</v>
      </c>
      <c r="AK20" s="94" t="str">
        <f t="shared" si="298"/>
        <v>Bijih </v>
      </c>
      <c r="AL20" s="94" t="str">
        <f t="shared" si="298"/>
        <v>Ton </v>
      </c>
      <c r="AM20" s="87">
        <f t="shared" si="52"/>
        <v>0</v>
      </c>
      <c r="AN20" s="87" t="str">
        <f t="shared" si="53"/>
        <v>#DIV/0!</v>
      </c>
      <c r="AO20" s="87">
        <f t="shared" si="54"/>
        <v>0</v>
      </c>
      <c r="AP20" s="95"/>
      <c r="AQ20" s="87">
        <f t="shared" si="55"/>
        <v>0</v>
      </c>
      <c r="AR20" s="410"/>
      <c r="AS20" s="96"/>
      <c r="AT20" s="96"/>
      <c r="AU20" s="87">
        <f t="shared" si="56"/>
        <v>0</v>
      </c>
      <c r="AV20" s="95">
        <f t="shared" si="57"/>
        <v>0.4604471269</v>
      </c>
      <c r="AW20" s="98">
        <f t="shared" si="58"/>
        <v>0</v>
      </c>
      <c r="AX20" s="99">
        <f t="shared" si="59"/>
        <v>0</v>
      </c>
      <c r="AY20" s="90"/>
      <c r="AZ20" s="92">
        <f t="shared" si="199"/>
        <v>8</v>
      </c>
      <c r="BA20" s="93" t="str">
        <f t="shared" ref="BA20:BC20" si="299">IFERROR(VLOOKUP($R20,$A$13:$D$30,-BA$12,FALSE),"")</f>
        <v>Mangan</v>
      </c>
      <c r="BB20" s="94" t="str">
        <f t="shared" si="299"/>
        <v>Bijih </v>
      </c>
      <c r="BC20" s="94" t="str">
        <f t="shared" si="299"/>
        <v>Ton </v>
      </c>
      <c r="BD20" s="87">
        <f t="shared" si="61"/>
        <v>0</v>
      </c>
      <c r="BE20" s="87" t="str">
        <f t="shared" si="62"/>
        <v>#DIV/0!</v>
      </c>
      <c r="BF20" s="87">
        <f t="shared" si="63"/>
        <v>0</v>
      </c>
      <c r="BG20" s="95"/>
      <c r="BH20" s="87">
        <f t="shared" si="64"/>
        <v>0</v>
      </c>
      <c r="BI20" s="410"/>
      <c r="BJ20" s="96"/>
      <c r="BK20" s="96"/>
      <c r="BL20" s="87">
        <f t="shared" si="65"/>
        <v>0</v>
      </c>
      <c r="BM20" s="95">
        <f t="shared" si="66"/>
        <v>0.4604471269</v>
      </c>
      <c r="BN20" s="98">
        <f t="shared" si="67"/>
        <v>0</v>
      </c>
      <c r="BO20" s="99">
        <f t="shared" si="68"/>
        <v>0</v>
      </c>
      <c r="BP20" s="90"/>
      <c r="BQ20" s="92">
        <f t="shared" si="201"/>
        <v>8</v>
      </c>
      <c r="BR20" s="93" t="str">
        <f t="shared" ref="BR20:BT20" si="300">IFERROR(VLOOKUP($R20,$A$13:$D$30,-BR$12,FALSE),"")</f>
        <v>Mangan</v>
      </c>
      <c r="BS20" s="94" t="str">
        <f t="shared" si="300"/>
        <v>Bijih </v>
      </c>
      <c r="BT20" s="94" t="str">
        <f t="shared" si="300"/>
        <v>Ton </v>
      </c>
      <c r="BU20" s="87">
        <f t="shared" si="70"/>
        <v>0</v>
      </c>
      <c r="BV20" s="87" t="str">
        <f t="shared" si="71"/>
        <v>#DIV/0!</v>
      </c>
      <c r="BW20" s="87">
        <f t="shared" si="72"/>
        <v>0</v>
      </c>
      <c r="BX20" s="95"/>
      <c r="BY20" s="87">
        <f t="shared" si="73"/>
        <v>0</v>
      </c>
      <c r="BZ20" s="410"/>
      <c r="CA20" s="96"/>
      <c r="CB20" s="96"/>
      <c r="CC20" s="87">
        <f t="shared" si="74"/>
        <v>0</v>
      </c>
      <c r="CD20" s="95">
        <f t="shared" si="75"/>
        <v>0.4604471269</v>
      </c>
      <c r="CE20" s="98">
        <f t="shared" si="76"/>
        <v>0</v>
      </c>
      <c r="CF20" s="99">
        <f t="shared" si="77"/>
        <v>0</v>
      </c>
      <c r="CG20" s="90"/>
      <c r="CH20" s="92">
        <f t="shared" si="203"/>
        <v>8</v>
      </c>
      <c r="CI20" s="93" t="str">
        <f t="shared" ref="CI20:CK20" si="301">IFERROR(VLOOKUP($R20,$A$13:$D$30,-CI$12,FALSE),"")</f>
        <v>Mangan</v>
      </c>
      <c r="CJ20" s="94" t="str">
        <f t="shared" si="301"/>
        <v>Bijih </v>
      </c>
      <c r="CK20" s="94" t="str">
        <f t="shared" si="301"/>
        <v>Ton </v>
      </c>
      <c r="CL20" s="87">
        <f t="shared" si="79"/>
        <v>0</v>
      </c>
      <c r="CM20" s="87" t="str">
        <f t="shared" si="80"/>
        <v>#DIV/0!</v>
      </c>
      <c r="CN20" s="87">
        <f t="shared" si="81"/>
        <v>0</v>
      </c>
      <c r="CO20" s="95"/>
      <c r="CP20" s="87">
        <f t="shared" si="82"/>
        <v>0</v>
      </c>
      <c r="CQ20" s="410"/>
      <c r="CR20" s="96"/>
      <c r="CS20" s="96"/>
      <c r="CT20" s="87">
        <f t="shared" si="83"/>
        <v>0</v>
      </c>
      <c r="CU20" s="95">
        <f t="shared" si="84"/>
        <v>0.4604471269</v>
      </c>
      <c r="CV20" s="98">
        <f t="shared" si="85"/>
        <v>0</v>
      </c>
      <c r="CW20" s="99">
        <f t="shared" si="86"/>
        <v>0</v>
      </c>
      <c r="CX20" s="90"/>
      <c r="CY20" s="92">
        <f t="shared" si="205"/>
        <v>8</v>
      </c>
      <c r="CZ20" s="93" t="str">
        <f t="shared" ref="CZ20:DB20" si="302">IFERROR(VLOOKUP($R20,$A$13:$D$30,-CZ$12,FALSE),"")</f>
        <v>Mangan</v>
      </c>
      <c r="DA20" s="94" t="str">
        <f t="shared" si="302"/>
        <v>Bijih </v>
      </c>
      <c r="DB20" s="94" t="str">
        <f t="shared" si="302"/>
        <v>Ton </v>
      </c>
      <c r="DC20" s="87">
        <f t="shared" si="88"/>
        <v>0</v>
      </c>
      <c r="DD20" s="87" t="str">
        <f t="shared" si="89"/>
        <v>#DIV/0!</v>
      </c>
      <c r="DE20" s="87">
        <f t="shared" si="90"/>
        <v>0</v>
      </c>
      <c r="DF20" s="95"/>
      <c r="DG20" s="87">
        <f t="shared" si="91"/>
        <v>0</v>
      </c>
      <c r="DH20" s="410"/>
      <c r="DI20" s="96"/>
      <c r="DJ20" s="96"/>
      <c r="DK20" s="87">
        <f t="shared" si="92"/>
        <v>0</v>
      </c>
      <c r="DL20" s="95">
        <f t="shared" si="93"/>
        <v>0.4604471269</v>
      </c>
      <c r="DM20" s="98">
        <f t="shared" si="94"/>
        <v>0</v>
      </c>
      <c r="DN20" s="99">
        <f t="shared" si="95"/>
        <v>0</v>
      </c>
      <c r="DO20" s="90"/>
      <c r="DP20" s="92">
        <f t="shared" si="207"/>
        <v>8</v>
      </c>
      <c r="DQ20" s="93" t="str">
        <f t="shared" ref="DQ20:DS20" si="303">IFERROR(VLOOKUP($R20,$A$13:$D$30,-DQ$12,FALSE),"")</f>
        <v>Mangan</v>
      </c>
      <c r="DR20" s="94" t="str">
        <f t="shared" si="303"/>
        <v>Bijih </v>
      </c>
      <c r="DS20" s="94" t="str">
        <f t="shared" si="303"/>
        <v>Ton </v>
      </c>
      <c r="DT20" s="87">
        <f t="shared" si="97"/>
        <v>0</v>
      </c>
      <c r="DU20" s="87" t="str">
        <f t="shared" si="98"/>
        <v>#DIV/0!</v>
      </c>
      <c r="DV20" s="87">
        <f t="shared" si="99"/>
        <v>0</v>
      </c>
      <c r="DW20" s="95"/>
      <c r="DX20" s="87">
        <f t="shared" si="100"/>
        <v>0</v>
      </c>
      <c r="DY20" s="410"/>
      <c r="DZ20" s="96"/>
      <c r="EA20" s="96"/>
      <c r="EB20" s="87">
        <f t="shared" si="101"/>
        <v>0</v>
      </c>
      <c r="EC20" s="95">
        <f t="shared" si="102"/>
        <v>0.4604471269</v>
      </c>
      <c r="ED20" s="98">
        <f t="shared" si="103"/>
        <v>0</v>
      </c>
      <c r="EE20" s="99">
        <f t="shared" si="104"/>
        <v>0</v>
      </c>
      <c r="EF20" s="90"/>
      <c r="EG20" s="92">
        <f t="shared" si="209"/>
        <v>8</v>
      </c>
      <c r="EH20" s="93" t="str">
        <f t="shared" ref="EH20:EJ20" si="304">IFERROR(VLOOKUP($R20,$A$13:$D$30,-EH$12,FALSE),"")</f>
        <v>Mangan</v>
      </c>
      <c r="EI20" s="94" t="str">
        <f t="shared" si="304"/>
        <v>Bijih </v>
      </c>
      <c r="EJ20" s="94" t="str">
        <f t="shared" si="304"/>
        <v>Ton </v>
      </c>
      <c r="EK20" s="87">
        <f t="shared" si="106"/>
        <v>0</v>
      </c>
      <c r="EL20" s="87" t="str">
        <f t="shared" si="107"/>
        <v>#DIV/0!</v>
      </c>
      <c r="EM20" s="87">
        <f t="shared" si="108"/>
        <v>0</v>
      </c>
      <c r="EN20" s="95"/>
      <c r="EO20" s="87">
        <f t="shared" si="109"/>
        <v>0</v>
      </c>
      <c r="EP20" s="410"/>
      <c r="EQ20" s="96"/>
      <c r="ER20" s="96"/>
      <c r="ES20" s="87">
        <f t="shared" si="110"/>
        <v>0</v>
      </c>
      <c r="ET20" s="95">
        <f t="shared" si="111"/>
        <v>0.4604471269</v>
      </c>
      <c r="EU20" s="98">
        <f t="shared" si="112"/>
        <v>0</v>
      </c>
      <c r="EV20" s="99">
        <f t="shared" si="113"/>
        <v>0</v>
      </c>
      <c r="EW20" s="90"/>
      <c r="EX20" s="92">
        <f t="shared" si="211"/>
        <v>8</v>
      </c>
      <c r="EY20" s="93" t="str">
        <f t="shared" ref="EY20:FA20" si="305">IFERROR(VLOOKUP($R20,$A$13:$D$30,-EY$12,FALSE),"")</f>
        <v>Mangan</v>
      </c>
      <c r="EZ20" s="94" t="str">
        <f t="shared" si="305"/>
        <v>Bijih </v>
      </c>
      <c r="FA20" s="94" t="str">
        <f t="shared" si="305"/>
        <v>Ton </v>
      </c>
      <c r="FB20" s="87">
        <f t="shared" si="115"/>
        <v>0</v>
      </c>
      <c r="FC20" s="87" t="str">
        <f t="shared" si="116"/>
        <v>#DIV/0!</v>
      </c>
      <c r="FD20" s="87">
        <f t="shared" si="117"/>
        <v>0</v>
      </c>
      <c r="FE20" s="95"/>
      <c r="FF20" s="87">
        <f t="shared" si="118"/>
        <v>0</v>
      </c>
      <c r="FG20" s="410"/>
      <c r="FH20" s="96"/>
      <c r="FI20" s="96"/>
      <c r="FJ20" s="87">
        <f t="shared" si="119"/>
        <v>0</v>
      </c>
      <c r="FK20" s="95">
        <f t="shared" si="120"/>
        <v>0.4604471269</v>
      </c>
      <c r="FL20" s="98">
        <f t="shared" si="121"/>
        <v>0</v>
      </c>
      <c r="FM20" s="99">
        <f t="shared" si="122"/>
        <v>0</v>
      </c>
      <c r="FN20" s="90"/>
      <c r="FO20" s="92">
        <f t="shared" si="213"/>
        <v>8</v>
      </c>
      <c r="FP20" s="93" t="str">
        <f t="shared" ref="FP20:FR20" si="306">IFERROR(VLOOKUP($R20,$A$13:$D$30,-FP$12,FALSE),"")</f>
        <v>Mangan</v>
      </c>
      <c r="FQ20" s="94" t="str">
        <f t="shared" si="306"/>
        <v>Bijih </v>
      </c>
      <c r="FR20" s="94" t="str">
        <f t="shared" si="306"/>
        <v>Ton </v>
      </c>
      <c r="FS20" s="87">
        <f t="shared" si="124"/>
        <v>0</v>
      </c>
      <c r="FT20" s="87" t="str">
        <f t="shared" si="125"/>
        <v>#DIV/0!</v>
      </c>
      <c r="FU20" s="87">
        <f t="shared" si="126"/>
        <v>0</v>
      </c>
      <c r="FV20" s="95"/>
      <c r="FW20" s="87">
        <f t="shared" si="127"/>
        <v>0</v>
      </c>
      <c r="FX20" s="410"/>
      <c r="FY20" s="96"/>
      <c r="FZ20" s="96"/>
      <c r="GA20" s="87">
        <f t="shared" si="128"/>
        <v>0</v>
      </c>
      <c r="GB20" s="95">
        <f t="shared" si="129"/>
        <v>0.4604471269</v>
      </c>
      <c r="GC20" s="98">
        <f t="shared" si="130"/>
        <v>0</v>
      </c>
      <c r="GD20" s="99">
        <f t="shared" si="131"/>
        <v>0</v>
      </c>
      <c r="GE20" s="90"/>
      <c r="GF20" s="92">
        <f t="shared" si="215"/>
        <v>8</v>
      </c>
      <c r="GG20" s="93" t="str">
        <f t="shared" ref="GG20:GI20" si="307">IFERROR(VLOOKUP($R20,$A$13:$D$30,-GG$12,FALSE),"")</f>
        <v>Mangan</v>
      </c>
      <c r="GH20" s="94" t="str">
        <f t="shared" si="307"/>
        <v>Bijih </v>
      </c>
      <c r="GI20" s="94" t="str">
        <f t="shared" si="307"/>
        <v>Ton </v>
      </c>
      <c r="GJ20" s="87">
        <f t="shared" si="133"/>
        <v>0</v>
      </c>
      <c r="GK20" s="87" t="str">
        <f t="shared" si="134"/>
        <v>#DIV/0!</v>
      </c>
      <c r="GL20" s="87">
        <f t="shared" si="135"/>
        <v>0</v>
      </c>
      <c r="GM20" s="95"/>
      <c r="GN20" s="87">
        <f t="shared" si="136"/>
        <v>0</v>
      </c>
      <c r="GO20" s="410"/>
      <c r="GP20" s="96"/>
      <c r="GQ20" s="96"/>
      <c r="GR20" s="87">
        <f t="shared" si="137"/>
        <v>0</v>
      </c>
      <c r="GS20" s="95">
        <f t="shared" si="138"/>
        <v>0.4604471269</v>
      </c>
      <c r="GT20" s="98">
        <f t="shared" si="139"/>
        <v>0</v>
      </c>
      <c r="GU20" s="99">
        <f t="shared" si="140"/>
        <v>0</v>
      </c>
      <c r="GV20" s="90"/>
      <c r="GW20" s="92">
        <f t="shared" si="217"/>
        <v>8</v>
      </c>
      <c r="GX20" s="93" t="str">
        <f t="shared" ref="GX20:GZ20" si="308">IFERROR(VLOOKUP($R20,$A$13:$D$30,-GX$12,FALSE),"")</f>
        <v>Mangan</v>
      </c>
      <c r="GY20" s="94" t="str">
        <f t="shared" si="308"/>
        <v>Bijih </v>
      </c>
      <c r="GZ20" s="94" t="str">
        <f t="shared" si="308"/>
        <v>Ton </v>
      </c>
      <c r="HA20" s="87">
        <f t="shared" si="142"/>
        <v>0</v>
      </c>
      <c r="HB20" s="87" t="str">
        <f t="shared" si="143"/>
        <v>#DIV/0!</v>
      </c>
      <c r="HC20" s="87">
        <f t="shared" si="144"/>
        <v>0</v>
      </c>
      <c r="HD20" s="95"/>
      <c r="HE20" s="87">
        <f t="shared" si="145"/>
        <v>0</v>
      </c>
      <c r="HF20" s="410"/>
      <c r="HG20" s="96"/>
      <c r="HH20" s="96"/>
      <c r="HI20" s="87">
        <f t="shared" si="146"/>
        <v>0</v>
      </c>
      <c r="HJ20" s="95">
        <f t="shared" si="147"/>
        <v>0.4604471269</v>
      </c>
      <c r="HK20" s="98">
        <f t="shared" si="148"/>
        <v>0</v>
      </c>
      <c r="HL20" s="99">
        <f t="shared" si="149"/>
        <v>0</v>
      </c>
      <c r="HM20" s="90"/>
      <c r="HN20" s="92">
        <f t="shared" si="219"/>
        <v>8</v>
      </c>
      <c r="HO20" s="93" t="str">
        <f t="shared" ref="HO20:HQ20" si="309">IFERROR(VLOOKUP($R20,$A$13:$D$30,-HO$12,FALSE),"")</f>
        <v>Mangan</v>
      </c>
      <c r="HP20" s="94" t="str">
        <f t="shared" si="309"/>
        <v>Bijih </v>
      </c>
      <c r="HQ20" s="94" t="str">
        <f t="shared" si="309"/>
        <v>Ton </v>
      </c>
      <c r="HR20" s="87">
        <f t="shared" si="151"/>
        <v>0</v>
      </c>
      <c r="HS20" s="87" t="str">
        <f t="shared" si="152"/>
        <v>#DIV/0!</v>
      </c>
      <c r="HT20" s="87">
        <f t="shared" si="153"/>
        <v>0</v>
      </c>
      <c r="HU20" s="95"/>
      <c r="HV20" s="87">
        <f t="shared" si="154"/>
        <v>0</v>
      </c>
      <c r="HW20" s="410"/>
      <c r="HX20" s="96"/>
      <c r="HY20" s="96"/>
      <c r="HZ20" s="87">
        <f t="shared" si="155"/>
        <v>0</v>
      </c>
      <c r="IA20" s="95">
        <f t="shared" si="156"/>
        <v>0.4604471269</v>
      </c>
      <c r="IB20" s="98">
        <f t="shared" si="157"/>
        <v>0</v>
      </c>
      <c r="IC20" s="99">
        <f t="shared" si="158"/>
        <v>0</v>
      </c>
      <c r="ID20" s="90"/>
      <c r="IE20" s="92">
        <f t="shared" si="221"/>
        <v>8</v>
      </c>
      <c r="IF20" s="93" t="str">
        <f t="shared" ref="IF20:IH20" si="310">IFERROR(VLOOKUP($R20,$A$13:$D$30,-IF$12,FALSE),"")</f>
        <v>Mangan</v>
      </c>
      <c r="IG20" s="94" t="str">
        <f t="shared" si="310"/>
        <v>Bijih </v>
      </c>
      <c r="IH20" s="94" t="str">
        <f t="shared" si="310"/>
        <v>Ton </v>
      </c>
      <c r="II20" s="87">
        <f t="shared" si="160"/>
        <v>0</v>
      </c>
      <c r="IJ20" s="87" t="str">
        <f t="shared" si="161"/>
        <v>#DIV/0!</v>
      </c>
      <c r="IK20" s="87">
        <f t="shared" si="162"/>
        <v>0</v>
      </c>
      <c r="IL20" s="95"/>
      <c r="IM20" s="87">
        <f t="shared" si="163"/>
        <v>0</v>
      </c>
      <c r="IN20" s="410"/>
      <c r="IO20" s="96"/>
      <c r="IP20" s="96"/>
      <c r="IQ20" s="87">
        <f t="shared" si="164"/>
        <v>0</v>
      </c>
      <c r="IR20" s="95">
        <f t="shared" si="165"/>
        <v>0.4604471269</v>
      </c>
      <c r="IS20" s="98">
        <f t="shared" si="166"/>
        <v>0</v>
      </c>
      <c r="IT20" s="99">
        <f t="shared" si="167"/>
        <v>0</v>
      </c>
      <c r="IU20" s="90"/>
      <c r="IV20" s="92">
        <f t="shared" si="223"/>
        <v>8</v>
      </c>
      <c r="IW20" s="93" t="str">
        <f t="shared" ref="IW20:IY20" si="311">IFERROR(VLOOKUP($R20,$A$13:$D$30,-IW$12,FALSE),"")</f>
        <v>Mangan</v>
      </c>
      <c r="IX20" s="94" t="str">
        <f t="shared" si="311"/>
        <v>Bijih </v>
      </c>
      <c r="IY20" s="94" t="str">
        <f t="shared" si="311"/>
        <v>Ton </v>
      </c>
      <c r="IZ20" s="87">
        <f t="shared" si="169"/>
        <v>0</v>
      </c>
      <c r="JA20" s="87" t="str">
        <f t="shared" si="170"/>
        <v>#DIV/0!</v>
      </c>
      <c r="JB20" s="87">
        <f t="shared" si="171"/>
        <v>0</v>
      </c>
      <c r="JC20" s="95"/>
      <c r="JD20" s="87">
        <f t="shared" si="172"/>
        <v>0</v>
      </c>
      <c r="JE20" s="410"/>
      <c r="JF20" s="96"/>
      <c r="JG20" s="96"/>
      <c r="JH20" s="87">
        <f t="shared" si="173"/>
        <v>0</v>
      </c>
      <c r="JI20" s="95">
        <f t="shared" si="174"/>
        <v>0.4604471269</v>
      </c>
      <c r="JJ20" s="98">
        <f t="shared" si="175"/>
        <v>0</v>
      </c>
      <c r="JK20" s="99">
        <f t="shared" si="176"/>
        <v>0</v>
      </c>
      <c r="JL20" s="90"/>
      <c r="JM20" s="92">
        <f t="shared" si="225"/>
        <v>8</v>
      </c>
      <c r="JN20" s="93" t="str">
        <f t="shared" ref="JN20:JP20" si="312">IFERROR(VLOOKUP($R20,$A$13:$D$30,-JN$12,FALSE),"")</f>
        <v>Mangan</v>
      </c>
      <c r="JO20" s="94" t="str">
        <f t="shared" si="312"/>
        <v>Bijih </v>
      </c>
      <c r="JP20" s="94" t="str">
        <f t="shared" si="312"/>
        <v>Ton </v>
      </c>
      <c r="JQ20" s="87">
        <f t="shared" si="178"/>
        <v>0</v>
      </c>
      <c r="JR20" s="87" t="str">
        <f t="shared" si="179"/>
        <v>#DIV/0!</v>
      </c>
      <c r="JS20" s="87">
        <f t="shared" si="180"/>
        <v>0</v>
      </c>
      <c r="JT20" s="95"/>
      <c r="JU20" s="87">
        <f t="shared" si="181"/>
        <v>0</v>
      </c>
      <c r="JV20" s="410"/>
      <c r="JW20" s="96"/>
      <c r="JX20" s="96"/>
      <c r="JY20" s="87">
        <f t="shared" si="182"/>
        <v>0</v>
      </c>
      <c r="JZ20" s="95">
        <f t="shared" si="183"/>
        <v>0.4604471269</v>
      </c>
      <c r="KA20" s="98">
        <f t="shared" si="184"/>
        <v>0</v>
      </c>
      <c r="KB20" s="99">
        <f t="shared" si="185"/>
        <v>0</v>
      </c>
      <c r="KC20" s="90"/>
      <c r="KD20" s="92">
        <f t="shared" si="227"/>
        <v>8</v>
      </c>
      <c r="KE20" s="93" t="str">
        <f t="shared" ref="KE20:KG20" si="313">IFERROR(VLOOKUP($R20,$A$13:$D$30,-KE$12,FALSE),"")</f>
        <v>Mangan</v>
      </c>
      <c r="KF20" s="94" t="str">
        <f t="shared" si="313"/>
        <v>Bijih </v>
      </c>
      <c r="KG20" s="94" t="str">
        <f t="shared" si="313"/>
        <v>Ton </v>
      </c>
      <c r="KH20" s="87">
        <f t="shared" si="187"/>
        <v>0</v>
      </c>
      <c r="KI20" s="87" t="str">
        <f t="shared" si="188"/>
        <v>#DIV/0!</v>
      </c>
      <c r="KJ20" s="87">
        <f t="shared" si="189"/>
        <v>0</v>
      </c>
      <c r="KK20" s="95"/>
      <c r="KL20" s="87">
        <f t="shared" si="190"/>
        <v>0</v>
      </c>
      <c r="KM20" s="410"/>
      <c r="KN20" s="96"/>
      <c r="KO20" s="96"/>
      <c r="KP20" s="87">
        <f t="shared" si="191"/>
        <v>0</v>
      </c>
      <c r="KQ20" s="95">
        <f t="shared" si="192"/>
        <v>0.4604471269</v>
      </c>
      <c r="KR20" s="98">
        <f t="shared" si="193"/>
        <v>0</v>
      </c>
      <c r="KS20" s="99">
        <f t="shared" si="194"/>
        <v>0</v>
      </c>
      <c r="KT20" s="90"/>
      <c r="KU20" s="91"/>
    </row>
    <row r="21" ht="15.75" customHeight="1">
      <c r="A21" s="92">
        <v>9.0</v>
      </c>
      <c r="B21" s="93" t="s">
        <v>80</v>
      </c>
      <c r="C21" s="94" t="s">
        <v>69</v>
      </c>
      <c r="D21" s="94" t="s">
        <v>73</v>
      </c>
      <c r="E21" s="87">
        <f t="shared" si="35"/>
        <v>0</v>
      </c>
      <c r="F21" s="87" t="str">
        <f t="shared" si="36"/>
        <v>#DIV/0!</v>
      </c>
      <c r="G21" s="87">
        <f t="shared" si="37"/>
        <v>0</v>
      </c>
      <c r="H21" s="95"/>
      <c r="I21" s="87">
        <f t="shared" si="38"/>
        <v>0</v>
      </c>
      <c r="J21" s="410"/>
      <c r="K21" s="96"/>
      <c r="L21" s="96"/>
      <c r="M21" s="87">
        <f t="shared" si="39"/>
        <v>0</v>
      </c>
      <c r="N21" s="95">
        <v>0.4604471268963365</v>
      </c>
      <c r="O21" s="98">
        <f t="shared" si="40"/>
        <v>0</v>
      </c>
      <c r="P21" s="99">
        <f t="shared" si="41"/>
        <v>0</v>
      </c>
      <c r="Q21" s="90"/>
      <c r="R21" s="92">
        <f t="shared" si="195"/>
        <v>9</v>
      </c>
      <c r="S21" s="93" t="str">
        <f t="shared" ref="S21:U21" si="314">IFERROR(VLOOKUP($R21,$A$13:$D$30,-S$12,FALSE),"")</f>
        <v>Lainnya 2.3 (1) ……..</v>
      </c>
      <c r="T21" s="94" t="str">
        <f t="shared" si="314"/>
        <v>Bijih </v>
      </c>
      <c r="U21" s="94" t="str">
        <f t="shared" si="314"/>
        <v>Ton </v>
      </c>
      <c r="V21" s="87">
        <f t="shared" si="43"/>
        <v>0</v>
      </c>
      <c r="W21" s="87" t="str">
        <f t="shared" si="44"/>
        <v>#DIV/0!</v>
      </c>
      <c r="X21" s="87">
        <f t="shared" si="45"/>
        <v>0</v>
      </c>
      <c r="Y21" s="95"/>
      <c r="Z21" s="87">
        <f t="shared" si="46"/>
        <v>0</v>
      </c>
      <c r="AA21" s="410"/>
      <c r="AB21" s="96"/>
      <c r="AC21" s="96"/>
      <c r="AD21" s="87">
        <f t="shared" si="47"/>
        <v>0</v>
      </c>
      <c r="AE21" s="95">
        <f t="shared" si="48"/>
        <v>0.4604471269</v>
      </c>
      <c r="AF21" s="98">
        <f t="shared" si="49"/>
        <v>0</v>
      </c>
      <c r="AG21" s="99">
        <f t="shared" si="50"/>
        <v>0</v>
      </c>
      <c r="AH21" s="90"/>
      <c r="AI21" s="92">
        <f t="shared" si="197"/>
        <v>9</v>
      </c>
      <c r="AJ21" s="93" t="str">
        <f t="shared" ref="AJ21:AL21" si="315">IFERROR(VLOOKUP($R21,$A$13:$D$30,-AJ$12,FALSE),"")</f>
        <v>Lainnya 2.3 (1) ……..</v>
      </c>
      <c r="AK21" s="94" t="str">
        <f t="shared" si="315"/>
        <v>Bijih </v>
      </c>
      <c r="AL21" s="94" t="str">
        <f t="shared" si="315"/>
        <v>Ton </v>
      </c>
      <c r="AM21" s="87">
        <f t="shared" si="52"/>
        <v>0</v>
      </c>
      <c r="AN21" s="87" t="str">
        <f t="shared" si="53"/>
        <v>#DIV/0!</v>
      </c>
      <c r="AO21" s="87">
        <f t="shared" si="54"/>
        <v>0</v>
      </c>
      <c r="AP21" s="95"/>
      <c r="AQ21" s="87">
        <f t="shared" si="55"/>
        <v>0</v>
      </c>
      <c r="AR21" s="410"/>
      <c r="AS21" s="96"/>
      <c r="AT21" s="96"/>
      <c r="AU21" s="87">
        <f t="shared" si="56"/>
        <v>0</v>
      </c>
      <c r="AV21" s="95">
        <f t="shared" si="57"/>
        <v>0.4604471269</v>
      </c>
      <c r="AW21" s="98">
        <f t="shared" si="58"/>
        <v>0</v>
      </c>
      <c r="AX21" s="99">
        <f t="shared" si="59"/>
        <v>0</v>
      </c>
      <c r="AY21" s="90"/>
      <c r="AZ21" s="92">
        <f t="shared" si="199"/>
        <v>9</v>
      </c>
      <c r="BA21" s="93" t="str">
        <f t="shared" ref="BA21:BC21" si="316">IFERROR(VLOOKUP($R21,$A$13:$D$30,-BA$12,FALSE),"")</f>
        <v>Lainnya 2.3 (1) ……..</v>
      </c>
      <c r="BB21" s="94" t="str">
        <f t="shared" si="316"/>
        <v>Bijih </v>
      </c>
      <c r="BC21" s="94" t="str">
        <f t="shared" si="316"/>
        <v>Ton </v>
      </c>
      <c r="BD21" s="87">
        <f t="shared" si="61"/>
        <v>0</v>
      </c>
      <c r="BE21" s="87" t="str">
        <f t="shared" si="62"/>
        <v>#DIV/0!</v>
      </c>
      <c r="BF21" s="87">
        <f t="shared" si="63"/>
        <v>0</v>
      </c>
      <c r="BG21" s="95"/>
      <c r="BH21" s="87">
        <f t="shared" si="64"/>
        <v>0</v>
      </c>
      <c r="BI21" s="410"/>
      <c r="BJ21" s="96"/>
      <c r="BK21" s="96"/>
      <c r="BL21" s="87">
        <f t="shared" si="65"/>
        <v>0</v>
      </c>
      <c r="BM21" s="95">
        <f t="shared" si="66"/>
        <v>0.4604471269</v>
      </c>
      <c r="BN21" s="98">
        <f t="shared" si="67"/>
        <v>0</v>
      </c>
      <c r="BO21" s="99">
        <f t="shared" si="68"/>
        <v>0</v>
      </c>
      <c r="BP21" s="90"/>
      <c r="BQ21" s="92">
        <f t="shared" si="201"/>
        <v>9</v>
      </c>
      <c r="BR21" s="93" t="str">
        <f t="shared" ref="BR21:BT21" si="317">IFERROR(VLOOKUP($R21,$A$13:$D$30,-BR$12,FALSE),"")</f>
        <v>Lainnya 2.3 (1) ……..</v>
      </c>
      <c r="BS21" s="94" t="str">
        <f t="shared" si="317"/>
        <v>Bijih </v>
      </c>
      <c r="BT21" s="94" t="str">
        <f t="shared" si="317"/>
        <v>Ton </v>
      </c>
      <c r="BU21" s="87">
        <f t="shared" si="70"/>
        <v>0</v>
      </c>
      <c r="BV21" s="87" t="str">
        <f t="shared" si="71"/>
        <v>#DIV/0!</v>
      </c>
      <c r="BW21" s="87">
        <f t="shared" si="72"/>
        <v>0</v>
      </c>
      <c r="BX21" s="95"/>
      <c r="BY21" s="87">
        <f t="shared" si="73"/>
        <v>0</v>
      </c>
      <c r="BZ21" s="410"/>
      <c r="CA21" s="96"/>
      <c r="CB21" s="96"/>
      <c r="CC21" s="87">
        <f t="shared" si="74"/>
        <v>0</v>
      </c>
      <c r="CD21" s="95">
        <f t="shared" si="75"/>
        <v>0.4604471269</v>
      </c>
      <c r="CE21" s="98">
        <f t="shared" si="76"/>
        <v>0</v>
      </c>
      <c r="CF21" s="99">
        <f t="shared" si="77"/>
        <v>0</v>
      </c>
      <c r="CG21" s="90"/>
      <c r="CH21" s="92">
        <f t="shared" si="203"/>
        <v>9</v>
      </c>
      <c r="CI21" s="93" t="str">
        <f t="shared" ref="CI21:CK21" si="318">IFERROR(VLOOKUP($R21,$A$13:$D$30,-CI$12,FALSE),"")</f>
        <v>Lainnya 2.3 (1) ……..</v>
      </c>
      <c r="CJ21" s="94" t="str">
        <f t="shared" si="318"/>
        <v>Bijih </v>
      </c>
      <c r="CK21" s="94" t="str">
        <f t="shared" si="318"/>
        <v>Ton </v>
      </c>
      <c r="CL21" s="87">
        <f t="shared" si="79"/>
        <v>0</v>
      </c>
      <c r="CM21" s="87" t="str">
        <f t="shared" si="80"/>
        <v>#DIV/0!</v>
      </c>
      <c r="CN21" s="87">
        <f t="shared" si="81"/>
        <v>0</v>
      </c>
      <c r="CO21" s="95"/>
      <c r="CP21" s="87">
        <f t="shared" si="82"/>
        <v>0</v>
      </c>
      <c r="CQ21" s="410"/>
      <c r="CR21" s="96"/>
      <c r="CS21" s="96"/>
      <c r="CT21" s="87">
        <f t="shared" si="83"/>
        <v>0</v>
      </c>
      <c r="CU21" s="95">
        <f t="shared" si="84"/>
        <v>0.4604471269</v>
      </c>
      <c r="CV21" s="98">
        <f t="shared" si="85"/>
        <v>0</v>
      </c>
      <c r="CW21" s="99">
        <f t="shared" si="86"/>
        <v>0</v>
      </c>
      <c r="CX21" s="90"/>
      <c r="CY21" s="92">
        <f t="shared" si="205"/>
        <v>9</v>
      </c>
      <c r="CZ21" s="93" t="str">
        <f t="shared" ref="CZ21:DB21" si="319">IFERROR(VLOOKUP($R21,$A$13:$D$30,-CZ$12,FALSE),"")</f>
        <v>Lainnya 2.3 (1) ……..</v>
      </c>
      <c r="DA21" s="94" t="str">
        <f t="shared" si="319"/>
        <v>Bijih </v>
      </c>
      <c r="DB21" s="94" t="str">
        <f t="shared" si="319"/>
        <v>Ton </v>
      </c>
      <c r="DC21" s="87">
        <f t="shared" si="88"/>
        <v>0</v>
      </c>
      <c r="DD21" s="87" t="str">
        <f t="shared" si="89"/>
        <v>#DIV/0!</v>
      </c>
      <c r="DE21" s="87">
        <f t="shared" si="90"/>
        <v>0</v>
      </c>
      <c r="DF21" s="95"/>
      <c r="DG21" s="87">
        <f t="shared" si="91"/>
        <v>0</v>
      </c>
      <c r="DH21" s="410"/>
      <c r="DI21" s="96"/>
      <c r="DJ21" s="96"/>
      <c r="DK21" s="87">
        <f t="shared" si="92"/>
        <v>0</v>
      </c>
      <c r="DL21" s="95">
        <f t="shared" si="93"/>
        <v>0.4604471269</v>
      </c>
      <c r="DM21" s="98">
        <f t="shared" si="94"/>
        <v>0</v>
      </c>
      <c r="DN21" s="99">
        <f t="shared" si="95"/>
        <v>0</v>
      </c>
      <c r="DO21" s="90"/>
      <c r="DP21" s="92">
        <f t="shared" si="207"/>
        <v>9</v>
      </c>
      <c r="DQ21" s="93" t="str">
        <f t="shared" ref="DQ21:DS21" si="320">IFERROR(VLOOKUP($R21,$A$13:$D$30,-DQ$12,FALSE),"")</f>
        <v>Lainnya 2.3 (1) ……..</v>
      </c>
      <c r="DR21" s="94" t="str">
        <f t="shared" si="320"/>
        <v>Bijih </v>
      </c>
      <c r="DS21" s="94" t="str">
        <f t="shared" si="320"/>
        <v>Ton </v>
      </c>
      <c r="DT21" s="87">
        <f t="shared" si="97"/>
        <v>0</v>
      </c>
      <c r="DU21" s="87" t="str">
        <f t="shared" si="98"/>
        <v>#DIV/0!</v>
      </c>
      <c r="DV21" s="87">
        <f t="shared" si="99"/>
        <v>0</v>
      </c>
      <c r="DW21" s="95"/>
      <c r="DX21" s="87">
        <f t="shared" si="100"/>
        <v>0</v>
      </c>
      <c r="DY21" s="410"/>
      <c r="DZ21" s="96"/>
      <c r="EA21" s="96"/>
      <c r="EB21" s="87">
        <f t="shared" si="101"/>
        <v>0</v>
      </c>
      <c r="EC21" s="95">
        <f t="shared" si="102"/>
        <v>0.4604471269</v>
      </c>
      <c r="ED21" s="98">
        <f t="shared" si="103"/>
        <v>0</v>
      </c>
      <c r="EE21" s="99">
        <f t="shared" si="104"/>
        <v>0</v>
      </c>
      <c r="EF21" s="90"/>
      <c r="EG21" s="92">
        <f t="shared" si="209"/>
        <v>9</v>
      </c>
      <c r="EH21" s="93" t="str">
        <f t="shared" ref="EH21:EJ21" si="321">IFERROR(VLOOKUP($R21,$A$13:$D$30,-EH$12,FALSE),"")</f>
        <v>Lainnya 2.3 (1) ……..</v>
      </c>
      <c r="EI21" s="94" t="str">
        <f t="shared" si="321"/>
        <v>Bijih </v>
      </c>
      <c r="EJ21" s="94" t="str">
        <f t="shared" si="321"/>
        <v>Ton </v>
      </c>
      <c r="EK21" s="87">
        <f t="shared" si="106"/>
        <v>0</v>
      </c>
      <c r="EL21" s="87" t="str">
        <f t="shared" si="107"/>
        <v>#DIV/0!</v>
      </c>
      <c r="EM21" s="87">
        <f t="shared" si="108"/>
        <v>0</v>
      </c>
      <c r="EN21" s="95"/>
      <c r="EO21" s="87">
        <f t="shared" si="109"/>
        <v>0</v>
      </c>
      <c r="EP21" s="410"/>
      <c r="EQ21" s="96"/>
      <c r="ER21" s="96"/>
      <c r="ES21" s="87">
        <f t="shared" si="110"/>
        <v>0</v>
      </c>
      <c r="ET21" s="95">
        <f t="shared" si="111"/>
        <v>0.4604471269</v>
      </c>
      <c r="EU21" s="98">
        <f t="shared" si="112"/>
        <v>0</v>
      </c>
      <c r="EV21" s="99">
        <f t="shared" si="113"/>
        <v>0</v>
      </c>
      <c r="EW21" s="90"/>
      <c r="EX21" s="92">
        <f t="shared" si="211"/>
        <v>9</v>
      </c>
      <c r="EY21" s="93" t="str">
        <f t="shared" ref="EY21:FA21" si="322">IFERROR(VLOOKUP($R21,$A$13:$D$30,-EY$12,FALSE),"")</f>
        <v>Lainnya 2.3 (1) ……..</v>
      </c>
      <c r="EZ21" s="94" t="str">
        <f t="shared" si="322"/>
        <v>Bijih </v>
      </c>
      <c r="FA21" s="94" t="str">
        <f t="shared" si="322"/>
        <v>Ton </v>
      </c>
      <c r="FB21" s="87">
        <f t="shared" si="115"/>
        <v>0</v>
      </c>
      <c r="FC21" s="87" t="str">
        <f t="shared" si="116"/>
        <v>#DIV/0!</v>
      </c>
      <c r="FD21" s="87">
        <f t="shared" si="117"/>
        <v>0</v>
      </c>
      <c r="FE21" s="95"/>
      <c r="FF21" s="87">
        <f t="shared" si="118"/>
        <v>0</v>
      </c>
      <c r="FG21" s="410"/>
      <c r="FH21" s="96"/>
      <c r="FI21" s="96"/>
      <c r="FJ21" s="87">
        <f t="shared" si="119"/>
        <v>0</v>
      </c>
      <c r="FK21" s="95">
        <f t="shared" si="120"/>
        <v>0.4604471269</v>
      </c>
      <c r="FL21" s="98">
        <f t="shared" si="121"/>
        <v>0</v>
      </c>
      <c r="FM21" s="99">
        <f t="shared" si="122"/>
        <v>0</v>
      </c>
      <c r="FN21" s="90"/>
      <c r="FO21" s="92">
        <f t="shared" si="213"/>
        <v>9</v>
      </c>
      <c r="FP21" s="93" t="str">
        <f t="shared" ref="FP21:FR21" si="323">IFERROR(VLOOKUP($R21,$A$13:$D$30,-FP$12,FALSE),"")</f>
        <v>Lainnya 2.3 (1) ……..</v>
      </c>
      <c r="FQ21" s="94" t="str">
        <f t="shared" si="323"/>
        <v>Bijih </v>
      </c>
      <c r="FR21" s="94" t="str">
        <f t="shared" si="323"/>
        <v>Ton </v>
      </c>
      <c r="FS21" s="87">
        <f t="shared" si="124"/>
        <v>0</v>
      </c>
      <c r="FT21" s="87" t="str">
        <f t="shared" si="125"/>
        <v>#DIV/0!</v>
      </c>
      <c r="FU21" s="87">
        <f t="shared" si="126"/>
        <v>0</v>
      </c>
      <c r="FV21" s="95"/>
      <c r="FW21" s="87">
        <f t="shared" si="127"/>
        <v>0</v>
      </c>
      <c r="FX21" s="410"/>
      <c r="FY21" s="96"/>
      <c r="FZ21" s="96"/>
      <c r="GA21" s="87">
        <f t="shared" si="128"/>
        <v>0</v>
      </c>
      <c r="GB21" s="95">
        <f t="shared" si="129"/>
        <v>0.4604471269</v>
      </c>
      <c r="GC21" s="98">
        <f t="shared" si="130"/>
        <v>0</v>
      </c>
      <c r="GD21" s="99">
        <f t="shared" si="131"/>
        <v>0</v>
      </c>
      <c r="GE21" s="90"/>
      <c r="GF21" s="92">
        <f t="shared" si="215"/>
        <v>9</v>
      </c>
      <c r="GG21" s="93" t="str">
        <f t="shared" ref="GG21:GI21" si="324">IFERROR(VLOOKUP($R21,$A$13:$D$30,-GG$12,FALSE),"")</f>
        <v>Lainnya 2.3 (1) ……..</v>
      </c>
      <c r="GH21" s="94" t="str">
        <f t="shared" si="324"/>
        <v>Bijih </v>
      </c>
      <c r="GI21" s="94" t="str">
        <f t="shared" si="324"/>
        <v>Ton </v>
      </c>
      <c r="GJ21" s="87">
        <f t="shared" si="133"/>
        <v>2034628</v>
      </c>
      <c r="GK21" s="87">
        <f t="shared" si="134"/>
        <v>166269.8</v>
      </c>
      <c r="GL21" s="87">
        <f t="shared" si="135"/>
        <v>338297.1906</v>
      </c>
      <c r="GM21" s="95"/>
      <c r="GN21" s="87">
        <f t="shared" si="136"/>
        <v>0</v>
      </c>
      <c r="GO21" s="410"/>
      <c r="GP21" s="96"/>
      <c r="GQ21" s="96"/>
      <c r="GR21" s="87">
        <f t="shared" si="137"/>
        <v>338297.1906</v>
      </c>
      <c r="GS21" s="95">
        <f t="shared" si="138"/>
        <v>0.4604471269</v>
      </c>
      <c r="GT21" s="98">
        <f t="shared" si="139"/>
        <v>155767.9695</v>
      </c>
      <c r="GU21" s="99">
        <f t="shared" si="140"/>
        <v>182529.2212</v>
      </c>
      <c r="GV21" s="90"/>
      <c r="GW21" s="92">
        <f t="shared" si="217"/>
        <v>9</v>
      </c>
      <c r="GX21" s="93" t="str">
        <f t="shared" ref="GX21:GZ21" si="325">IFERROR(VLOOKUP($R21,$A$13:$D$30,-GX$12,FALSE),"")</f>
        <v>Lainnya 2.3 (1) ……..</v>
      </c>
      <c r="GY21" s="94" t="str">
        <f t="shared" si="325"/>
        <v>Bijih </v>
      </c>
      <c r="GZ21" s="94" t="str">
        <f t="shared" si="325"/>
        <v>Ton </v>
      </c>
      <c r="HA21" s="87">
        <f t="shared" si="142"/>
        <v>341476</v>
      </c>
      <c r="HB21" s="87">
        <f t="shared" si="143"/>
        <v>166269.8</v>
      </c>
      <c r="HC21" s="87">
        <f t="shared" si="144"/>
        <v>56777.14622</v>
      </c>
      <c r="HD21" s="95"/>
      <c r="HE21" s="87">
        <f t="shared" si="145"/>
        <v>0</v>
      </c>
      <c r="HF21" s="410"/>
      <c r="HG21" s="96"/>
      <c r="HH21" s="96"/>
      <c r="HI21" s="87">
        <f t="shared" si="146"/>
        <v>56777.14622</v>
      </c>
      <c r="HJ21" s="95">
        <f t="shared" si="147"/>
        <v>0.4604471269</v>
      </c>
      <c r="HK21" s="98">
        <f t="shared" si="148"/>
        <v>26142.87385</v>
      </c>
      <c r="HL21" s="99">
        <f t="shared" si="149"/>
        <v>30634.27237</v>
      </c>
      <c r="HM21" s="90"/>
      <c r="HN21" s="92">
        <f t="shared" si="219"/>
        <v>9</v>
      </c>
      <c r="HO21" s="93" t="str">
        <f t="shared" ref="HO21:HQ21" si="326">IFERROR(VLOOKUP($R21,$A$13:$D$30,-HO$12,FALSE),"")</f>
        <v>Lainnya 2.3 (1) ……..</v>
      </c>
      <c r="HP21" s="94" t="str">
        <f t="shared" si="326"/>
        <v>Bijih </v>
      </c>
      <c r="HQ21" s="94" t="str">
        <f t="shared" si="326"/>
        <v>Ton </v>
      </c>
      <c r="HR21" s="87">
        <f t="shared" si="151"/>
        <v>820659.0911</v>
      </c>
      <c r="HS21" s="87">
        <f t="shared" si="152"/>
        <v>166269.8</v>
      </c>
      <c r="HT21" s="87">
        <f t="shared" si="153"/>
        <v>136450.823</v>
      </c>
      <c r="HU21" s="95"/>
      <c r="HV21" s="87">
        <f t="shared" si="154"/>
        <v>0</v>
      </c>
      <c r="HW21" s="410"/>
      <c r="HX21" s="96"/>
      <c r="HY21" s="96"/>
      <c r="HZ21" s="87">
        <f t="shared" si="155"/>
        <v>136450.823</v>
      </c>
      <c r="IA21" s="95">
        <f t="shared" si="156"/>
        <v>0.4604471269</v>
      </c>
      <c r="IB21" s="98">
        <f t="shared" si="157"/>
        <v>62828.38939</v>
      </c>
      <c r="IC21" s="99">
        <f t="shared" si="158"/>
        <v>73622.43356</v>
      </c>
      <c r="ID21" s="90"/>
      <c r="IE21" s="92">
        <f t="shared" si="221"/>
        <v>9</v>
      </c>
      <c r="IF21" s="93" t="str">
        <f t="shared" ref="IF21:IH21" si="327">IFERROR(VLOOKUP($R21,$A$13:$D$30,-IF$12,FALSE),"")</f>
        <v>Lainnya 2.3 (1) ……..</v>
      </c>
      <c r="IG21" s="94" t="str">
        <f t="shared" si="327"/>
        <v>Bijih </v>
      </c>
      <c r="IH21" s="94" t="str">
        <f t="shared" si="327"/>
        <v>Ton </v>
      </c>
      <c r="II21" s="87">
        <f t="shared" si="160"/>
        <v>0</v>
      </c>
      <c r="IJ21" s="87" t="str">
        <f t="shared" si="161"/>
        <v>#DIV/0!</v>
      </c>
      <c r="IK21" s="87">
        <f t="shared" si="162"/>
        <v>0</v>
      </c>
      <c r="IL21" s="95"/>
      <c r="IM21" s="87">
        <f t="shared" si="163"/>
        <v>0</v>
      </c>
      <c r="IN21" s="410"/>
      <c r="IO21" s="96"/>
      <c r="IP21" s="96"/>
      <c r="IQ21" s="87">
        <f t="shared" si="164"/>
        <v>0</v>
      </c>
      <c r="IR21" s="95">
        <f t="shared" si="165"/>
        <v>0.4604471269</v>
      </c>
      <c r="IS21" s="98">
        <f t="shared" si="166"/>
        <v>0</v>
      </c>
      <c r="IT21" s="99">
        <f t="shared" si="167"/>
        <v>0</v>
      </c>
      <c r="IU21" s="90"/>
      <c r="IV21" s="92">
        <f t="shared" si="223"/>
        <v>9</v>
      </c>
      <c r="IW21" s="93" t="str">
        <f t="shared" ref="IW21:IY21" si="328">IFERROR(VLOOKUP($R21,$A$13:$D$30,-IW$12,FALSE),"")</f>
        <v>Lainnya 2.3 (1) ……..</v>
      </c>
      <c r="IX21" s="94" t="str">
        <f t="shared" si="328"/>
        <v>Bijih </v>
      </c>
      <c r="IY21" s="94" t="str">
        <f t="shared" si="328"/>
        <v>Ton </v>
      </c>
      <c r="IZ21" s="87">
        <f t="shared" si="169"/>
        <v>0</v>
      </c>
      <c r="JA21" s="87" t="str">
        <f t="shared" si="170"/>
        <v>#DIV/0!</v>
      </c>
      <c r="JB21" s="87">
        <f t="shared" si="171"/>
        <v>0</v>
      </c>
      <c r="JC21" s="95"/>
      <c r="JD21" s="87">
        <f t="shared" si="172"/>
        <v>0</v>
      </c>
      <c r="JE21" s="410"/>
      <c r="JF21" s="96"/>
      <c r="JG21" s="96"/>
      <c r="JH21" s="87">
        <f t="shared" si="173"/>
        <v>0</v>
      </c>
      <c r="JI21" s="95">
        <f t="shared" si="174"/>
        <v>0.4604471269</v>
      </c>
      <c r="JJ21" s="98">
        <f t="shared" si="175"/>
        <v>0</v>
      </c>
      <c r="JK21" s="99">
        <f t="shared" si="176"/>
        <v>0</v>
      </c>
      <c r="JL21" s="90"/>
      <c r="JM21" s="92">
        <f t="shared" si="225"/>
        <v>9</v>
      </c>
      <c r="JN21" s="93" t="str">
        <f t="shared" ref="JN21:JP21" si="329">IFERROR(VLOOKUP($R21,$A$13:$D$30,-JN$12,FALSE),"")</f>
        <v>Lainnya 2.3 (1) ……..</v>
      </c>
      <c r="JO21" s="94" t="str">
        <f t="shared" si="329"/>
        <v>Bijih </v>
      </c>
      <c r="JP21" s="94" t="str">
        <f t="shared" si="329"/>
        <v>Ton </v>
      </c>
      <c r="JQ21" s="87">
        <f t="shared" si="178"/>
        <v>0</v>
      </c>
      <c r="JR21" s="87" t="str">
        <f t="shared" si="179"/>
        <v>#DIV/0!</v>
      </c>
      <c r="JS21" s="87">
        <f t="shared" si="180"/>
        <v>0</v>
      </c>
      <c r="JT21" s="95"/>
      <c r="JU21" s="87">
        <f t="shared" si="181"/>
        <v>0</v>
      </c>
      <c r="JV21" s="410"/>
      <c r="JW21" s="96"/>
      <c r="JX21" s="96"/>
      <c r="JY21" s="87">
        <f t="shared" si="182"/>
        <v>0</v>
      </c>
      <c r="JZ21" s="95">
        <f t="shared" si="183"/>
        <v>0.4604471269</v>
      </c>
      <c r="KA21" s="98">
        <f t="shared" si="184"/>
        <v>0</v>
      </c>
      <c r="KB21" s="99">
        <f t="shared" si="185"/>
        <v>0</v>
      </c>
      <c r="KC21" s="90"/>
      <c r="KD21" s="92">
        <f t="shared" si="227"/>
        <v>9</v>
      </c>
      <c r="KE21" s="93" t="str">
        <f t="shared" ref="KE21:KG21" si="330">IFERROR(VLOOKUP($R21,$A$13:$D$30,-KE$12,FALSE),"")</f>
        <v>Lainnya 2.3 (1) ……..</v>
      </c>
      <c r="KF21" s="94" t="str">
        <f t="shared" si="330"/>
        <v>Bijih </v>
      </c>
      <c r="KG21" s="94" t="str">
        <f t="shared" si="330"/>
        <v>Ton </v>
      </c>
      <c r="KH21" s="87">
        <f t="shared" si="187"/>
        <v>0</v>
      </c>
      <c r="KI21" s="87" t="str">
        <f t="shared" si="188"/>
        <v>#DIV/0!</v>
      </c>
      <c r="KJ21" s="87">
        <f t="shared" si="189"/>
        <v>0</v>
      </c>
      <c r="KK21" s="95"/>
      <c r="KL21" s="87">
        <f t="shared" si="190"/>
        <v>0</v>
      </c>
      <c r="KM21" s="410"/>
      <c r="KN21" s="96"/>
      <c r="KO21" s="96"/>
      <c r="KP21" s="87">
        <f t="shared" si="191"/>
        <v>0</v>
      </c>
      <c r="KQ21" s="95">
        <f t="shared" si="192"/>
        <v>0.4604471269</v>
      </c>
      <c r="KR21" s="98">
        <f t="shared" si="193"/>
        <v>0</v>
      </c>
      <c r="KS21" s="99">
        <f t="shared" si="194"/>
        <v>0</v>
      </c>
      <c r="KT21" s="90"/>
      <c r="KU21" s="91"/>
    </row>
    <row r="22" ht="15.75" customHeight="1">
      <c r="A22" s="92">
        <v>10.0</v>
      </c>
      <c r="B22" s="93" t="s">
        <v>81</v>
      </c>
      <c r="C22" s="94" t="s">
        <v>69</v>
      </c>
      <c r="D22" s="94" t="s">
        <v>73</v>
      </c>
      <c r="E22" s="87">
        <f t="shared" si="35"/>
        <v>0</v>
      </c>
      <c r="F22" s="87" t="str">
        <f t="shared" si="36"/>
        <v>#DIV/0!</v>
      </c>
      <c r="G22" s="87">
        <f t="shared" si="37"/>
        <v>0</v>
      </c>
      <c r="H22" s="95"/>
      <c r="I22" s="87">
        <f t="shared" si="38"/>
        <v>0</v>
      </c>
      <c r="J22" s="410"/>
      <c r="K22" s="96"/>
      <c r="L22" s="96"/>
      <c r="M22" s="87">
        <f t="shared" si="39"/>
        <v>0</v>
      </c>
      <c r="N22" s="95">
        <v>0.4604471268963365</v>
      </c>
      <c r="O22" s="98">
        <f t="shared" si="40"/>
        <v>0</v>
      </c>
      <c r="P22" s="99">
        <f t="shared" si="41"/>
        <v>0</v>
      </c>
      <c r="Q22" s="90"/>
      <c r="R22" s="92">
        <f t="shared" si="195"/>
        <v>10</v>
      </c>
      <c r="S22" s="93" t="str">
        <f t="shared" ref="S22:U22" si="331">IFERROR(VLOOKUP($R22,$A$13:$D$30,-S$12,FALSE),"")</f>
        <v>Lainnya 2.3 (2) ………</v>
      </c>
      <c r="T22" s="94" t="str">
        <f t="shared" si="331"/>
        <v>Bijih </v>
      </c>
      <c r="U22" s="94" t="str">
        <f t="shared" si="331"/>
        <v>Ton </v>
      </c>
      <c r="V22" s="87">
        <f t="shared" si="43"/>
        <v>0</v>
      </c>
      <c r="W22" s="87" t="str">
        <f t="shared" si="44"/>
        <v>#DIV/0!</v>
      </c>
      <c r="X22" s="87">
        <f t="shared" si="45"/>
        <v>0</v>
      </c>
      <c r="Y22" s="95"/>
      <c r="Z22" s="87">
        <f t="shared" si="46"/>
        <v>0</v>
      </c>
      <c r="AA22" s="410"/>
      <c r="AB22" s="96"/>
      <c r="AC22" s="96"/>
      <c r="AD22" s="87">
        <f t="shared" si="47"/>
        <v>0</v>
      </c>
      <c r="AE22" s="95">
        <f t="shared" si="48"/>
        <v>0.4604471269</v>
      </c>
      <c r="AF22" s="98">
        <f t="shared" si="49"/>
        <v>0</v>
      </c>
      <c r="AG22" s="99">
        <f t="shared" si="50"/>
        <v>0</v>
      </c>
      <c r="AH22" s="90"/>
      <c r="AI22" s="92">
        <f t="shared" si="197"/>
        <v>10</v>
      </c>
      <c r="AJ22" s="93" t="str">
        <f t="shared" ref="AJ22:AL22" si="332">IFERROR(VLOOKUP($R22,$A$13:$D$30,-AJ$12,FALSE),"")</f>
        <v>Lainnya 2.3 (2) ………</v>
      </c>
      <c r="AK22" s="94" t="str">
        <f t="shared" si="332"/>
        <v>Bijih </v>
      </c>
      <c r="AL22" s="94" t="str">
        <f t="shared" si="332"/>
        <v>Ton </v>
      </c>
      <c r="AM22" s="87">
        <f t="shared" si="52"/>
        <v>0</v>
      </c>
      <c r="AN22" s="87" t="str">
        <f t="shared" si="53"/>
        <v>#DIV/0!</v>
      </c>
      <c r="AO22" s="87">
        <f t="shared" si="54"/>
        <v>0</v>
      </c>
      <c r="AP22" s="95"/>
      <c r="AQ22" s="87">
        <f t="shared" si="55"/>
        <v>0</v>
      </c>
      <c r="AR22" s="410"/>
      <c r="AS22" s="96"/>
      <c r="AT22" s="96"/>
      <c r="AU22" s="87">
        <f t="shared" si="56"/>
        <v>0</v>
      </c>
      <c r="AV22" s="95">
        <f t="shared" si="57"/>
        <v>0.4604471269</v>
      </c>
      <c r="AW22" s="98">
        <f t="shared" si="58"/>
        <v>0</v>
      </c>
      <c r="AX22" s="99">
        <f t="shared" si="59"/>
        <v>0</v>
      </c>
      <c r="AY22" s="90"/>
      <c r="AZ22" s="92">
        <f t="shared" si="199"/>
        <v>10</v>
      </c>
      <c r="BA22" s="93" t="str">
        <f t="shared" ref="BA22:BC22" si="333">IFERROR(VLOOKUP($R22,$A$13:$D$30,-BA$12,FALSE),"")</f>
        <v>Lainnya 2.3 (2) ………</v>
      </c>
      <c r="BB22" s="94" t="str">
        <f t="shared" si="333"/>
        <v>Bijih </v>
      </c>
      <c r="BC22" s="94" t="str">
        <f t="shared" si="333"/>
        <v>Ton </v>
      </c>
      <c r="BD22" s="87">
        <f t="shared" si="61"/>
        <v>0</v>
      </c>
      <c r="BE22" s="87" t="str">
        <f t="shared" si="62"/>
        <v>#DIV/0!</v>
      </c>
      <c r="BF22" s="87">
        <f t="shared" si="63"/>
        <v>0</v>
      </c>
      <c r="BG22" s="95"/>
      <c r="BH22" s="87">
        <f t="shared" si="64"/>
        <v>0</v>
      </c>
      <c r="BI22" s="410"/>
      <c r="BJ22" s="96"/>
      <c r="BK22" s="96"/>
      <c r="BL22" s="87">
        <f t="shared" si="65"/>
        <v>0</v>
      </c>
      <c r="BM22" s="95">
        <f t="shared" si="66"/>
        <v>0.4604471269</v>
      </c>
      <c r="BN22" s="98">
        <f t="shared" si="67"/>
        <v>0</v>
      </c>
      <c r="BO22" s="99">
        <f t="shared" si="68"/>
        <v>0</v>
      </c>
      <c r="BP22" s="90"/>
      <c r="BQ22" s="92">
        <f t="shared" si="201"/>
        <v>10</v>
      </c>
      <c r="BR22" s="93" t="str">
        <f t="shared" ref="BR22:BT22" si="334">IFERROR(VLOOKUP($R22,$A$13:$D$30,-BR$12,FALSE),"")</f>
        <v>Lainnya 2.3 (2) ………</v>
      </c>
      <c r="BS22" s="94" t="str">
        <f t="shared" si="334"/>
        <v>Bijih </v>
      </c>
      <c r="BT22" s="94" t="str">
        <f t="shared" si="334"/>
        <v>Ton </v>
      </c>
      <c r="BU22" s="87">
        <f t="shared" si="70"/>
        <v>0</v>
      </c>
      <c r="BV22" s="87" t="str">
        <f t="shared" si="71"/>
        <v>#DIV/0!</v>
      </c>
      <c r="BW22" s="87">
        <f t="shared" si="72"/>
        <v>0</v>
      </c>
      <c r="BX22" s="95"/>
      <c r="BY22" s="87">
        <f t="shared" si="73"/>
        <v>0</v>
      </c>
      <c r="BZ22" s="410"/>
      <c r="CA22" s="96"/>
      <c r="CB22" s="96"/>
      <c r="CC22" s="87">
        <f t="shared" si="74"/>
        <v>0</v>
      </c>
      <c r="CD22" s="95">
        <f t="shared" si="75"/>
        <v>0.4604471269</v>
      </c>
      <c r="CE22" s="98">
        <f t="shared" si="76"/>
        <v>0</v>
      </c>
      <c r="CF22" s="99">
        <f t="shared" si="77"/>
        <v>0</v>
      </c>
      <c r="CG22" s="90"/>
      <c r="CH22" s="92">
        <f t="shared" si="203"/>
        <v>10</v>
      </c>
      <c r="CI22" s="93" t="str">
        <f t="shared" ref="CI22:CK22" si="335">IFERROR(VLOOKUP($R22,$A$13:$D$30,-CI$12,FALSE),"")</f>
        <v>Lainnya 2.3 (2) ………</v>
      </c>
      <c r="CJ22" s="94" t="str">
        <f t="shared" si="335"/>
        <v>Bijih </v>
      </c>
      <c r="CK22" s="94" t="str">
        <f t="shared" si="335"/>
        <v>Ton </v>
      </c>
      <c r="CL22" s="87">
        <f t="shared" si="79"/>
        <v>0</v>
      </c>
      <c r="CM22" s="87" t="str">
        <f t="shared" si="80"/>
        <v>#DIV/0!</v>
      </c>
      <c r="CN22" s="87">
        <f t="shared" si="81"/>
        <v>0</v>
      </c>
      <c r="CO22" s="95"/>
      <c r="CP22" s="87">
        <f t="shared" si="82"/>
        <v>0</v>
      </c>
      <c r="CQ22" s="410"/>
      <c r="CR22" s="96"/>
      <c r="CS22" s="96"/>
      <c r="CT22" s="87">
        <f t="shared" si="83"/>
        <v>0</v>
      </c>
      <c r="CU22" s="95">
        <f t="shared" si="84"/>
        <v>0.4604471269</v>
      </c>
      <c r="CV22" s="98">
        <f t="shared" si="85"/>
        <v>0</v>
      </c>
      <c r="CW22" s="99">
        <f t="shared" si="86"/>
        <v>0</v>
      </c>
      <c r="CX22" s="90"/>
      <c r="CY22" s="92">
        <f t="shared" si="205"/>
        <v>10</v>
      </c>
      <c r="CZ22" s="93" t="str">
        <f t="shared" ref="CZ22:DB22" si="336">IFERROR(VLOOKUP($R22,$A$13:$D$30,-CZ$12,FALSE),"")</f>
        <v>Lainnya 2.3 (2) ………</v>
      </c>
      <c r="DA22" s="94" t="str">
        <f t="shared" si="336"/>
        <v>Bijih </v>
      </c>
      <c r="DB22" s="94" t="str">
        <f t="shared" si="336"/>
        <v>Ton </v>
      </c>
      <c r="DC22" s="87">
        <f t="shared" si="88"/>
        <v>0</v>
      </c>
      <c r="DD22" s="87" t="str">
        <f t="shared" si="89"/>
        <v>#DIV/0!</v>
      </c>
      <c r="DE22" s="87">
        <f t="shared" si="90"/>
        <v>0</v>
      </c>
      <c r="DF22" s="95"/>
      <c r="DG22" s="87">
        <f t="shared" si="91"/>
        <v>0</v>
      </c>
      <c r="DH22" s="410"/>
      <c r="DI22" s="96"/>
      <c r="DJ22" s="96"/>
      <c r="DK22" s="87">
        <f t="shared" si="92"/>
        <v>0</v>
      </c>
      <c r="DL22" s="95">
        <f t="shared" si="93"/>
        <v>0.4604471269</v>
      </c>
      <c r="DM22" s="98">
        <f t="shared" si="94"/>
        <v>0</v>
      </c>
      <c r="DN22" s="99">
        <f t="shared" si="95"/>
        <v>0</v>
      </c>
      <c r="DO22" s="90"/>
      <c r="DP22" s="92">
        <f t="shared" si="207"/>
        <v>10</v>
      </c>
      <c r="DQ22" s="93" t="str">
        <f t="shared" ref="DQ22:DS22" si="337">IFERROR(VLOOKUP($R22,$A$13:$D$30,-DQ$12,FALSE),"")</f>
        <v>Lainnya 2.3 (2) ………</v>
      </c>
      <c r="DR22" s="94" t="str">
        <f t="shared" si="337"/>
        <v>Bijih </v>
      </c>
      <c r="DS22" s="94" t="str">
        <f t="shared" si="337"/>
        <v>Ton </v>
      </c>
      <c r="DT22" s="87">
        <f t="shared" si="97"/>
        <v>0</v>
      </c>
      <c r="DU22" s="87" t="str">
        <f t="shared" si="98"/>
        <v>#DIV/0!</v>
      </c>
      <c r="DV22" s="87">
        <f t="shared" si="99"/>
        <v>0</v>
      </c>
      <c r="DW22" s="95"/>
      <c r="DX22" s="87">
        <f t="shared" si="100"/>
        <v>0</v>
      </c>
      <c r="DY22" s="410"/>
      <c r="DZ22" s="96"/>
      <c r="EA22" s="96"/>
      <c r="EB22" s="87">
        <f t="shared" si="101"/>
        <v>0</v>
      </c>
      <c r="EC22" s="95">
        <f t="shared" si="102"/>
        <v>0.4604471269</v>
      </c>
      <c r="ED22" s="98">
        <f t="shared" si="103"/>
        <v>0</v>
      </c>
      <c r="EE22" s="99">
        <f t="shared" si="104"/>
        <v>0</v>
      </c>
      <c r="EF22" s="90"/>
      <c r="EG22" s="92">
        <f t="shared" si="209"/>
        <v>10</v>
      </c>
      <c r="EH22" s="93" t="str">
        <f t="shared" ref="EH22:EJ22" si="338">IFERROR(VLOOKUP($R22,$A$13:$D$30,-EH$12,FALSE),"")</f>
        <v>Lainnya 2.3 (2) ………</v>
      </c>
      <c r="EI22" s="94" t="str">
        <f t="shared" si="338"/>
        <v>Bijih </v>
      </c>
      <c r="EJ22" s="94" t="str">
        <f t="shared" si="338"/>
        <v>Ton </v>
      </c>
      <c r="EK22" s="87">
        <f t="shared" si="106"/>
        <v>0</v>
      </c>
      <c r="EL22" s="87" t="str">
        <f t="shared" si="107"/>
        <v>#DIV/0!</v>
      </c>
      <c r="EM22" s="87">
        <f t="shared" si="108"/>
        <v>0</v>
      </c>
      <c r="EN22" s="95"/>
      <c r="EO22" s="87">
        <f t="shared" si="109"/>
        <v>0</v>
      </c>
      <c r="EP22" s="410"/>
      <c r="EQ22" s="96"/>
      <c r="ER22" s="96"/>
      <c r="ES22" s="87">
        <f t="shared" si="110"/>
        <v>0</v>
      </c>
      <c r="ET22" s="95">
        <f t="shared" si="111"/>
        <v>0.4604471269</v>
      </c>
      <c r="EU22" s="98">
        <f t="shared" si="112"/>
        <v>0</v>
      </c>
      <c r="EV22" s="99">
        <f t="shared" si="113"/>
        <v>0</v>
      </c>
      <c r="EW22" s="90"/>
      <c r="EX22" s="92">
        <f t="shared" si="211"/>
        <v>10</v>
      </c>
      <c r="EY22" s="93" t="str">
        <f t="shared" ref="EY22:FA22" si="339">IFERROR(VLOOKUP($R22,$A$13:$D$30,-EY$12,FALSE),"")</f>
        <v>Lainnya 2.3 (2) ………</v>
      </c>
      <c r="EZ22" s="94" t="str">
        <f t="shared" si="339"/>
        <v>Bijih </v>
      </c>
      <c r="FA22" s="94" t="str">
        <f t="shared" si="339"/>
        <v>Ton </v>
      </c>
      <c r="FB22" s="87">
        <f t="shared" si="115"/>
        <v>0</v>
      </c>
      <c r="FC22" s="87" t="str">
        <f t="shared" si="116"/>
        <v>#DIV/0!</v>
      </c>
      <c r="FD22" s="87">
        <f t="shared" si="117"/>
        <v>0</v>
      </c>
      <c r="FE22" s="95"/>
      <c r="FF22" s="87">
        <f t="shared" si="118"/>
        <v>0</v>
      </c>
      <c r="FG22" s="410"/>
      <c r="FH22" s="96"/>
      <c r="FI22" s="96"/>
      <c r="FJ22" s="87">
        <f t="shared" si="119"/>
        <v>0</v>
      </c>
      <c r="FK22" s="95">
        <f t="shared" si="120"/>
        <v>0.4604471269</v>
      </c>
      <c r="FL22" s="98">
        <f t="shared" si="121"/>
        <v>0</v>
      </c>
      <c r="FM22" s="99">
        <f t="shared" si="122"/>
        <v>0</v>
      </c>
      <c r="FN22" s="90"/>
      <c r="FO22" s="92">
        <f t="shared" si="213"/>
        <v>10</v>
      </c>
      <c r="FP22" s="93" t="str">
        <f t="shared" ref="FP22:FR22" si="340">IFERROR(VLOOKUP($R22,$A$13:$D$30,-FP$12,FALSE),"")</f>
        <v>Lainnya 2.3 (2) ………</v>
      </c>
      <c r="FQ22" s="94" t="str">
        <f t="shared" si="340"/>
        <v>Bijih </v>
      </c>
      <c r="FR22" s="94" t="str">
        <f t="shared" si="340"/>
        <v>Ton </v>
      </c>
      <c r="FS22" s="87">
        <f t="shared" si="124"/>
        <v>0</v>
      </c>
      <c r="FT22" s="87" t="str">
        <f t="shared" si="125"/>
        <v>#DIV/0!</v>
      </c>
      <c r="FU22" s="87">
        <f t="shared" si="126"/>
        <v>0</v>
      </c>
      <c r="FV22" s="95"/>
      <c r="FW22" s="87">
        <f t="shared" si="127"/>
        <v>0</v>
      </c>
      <c r="FX22" s="410"/>
      <c r="FY22" s="96"/>
      <c r="FZ22" s="96"/>
      <c r="GA22" s="87">
        <f t="shared" si="128"/>
        <v>0</v>
      </c>
      <c r="GB22" s="95">
        <f t="shared" si="129"/>
        <v>0.4604471269</v>
      </c>
      <c r="GC22" s="98">
        <f t="shared" si="130"/>
        <v>0</v>
      </c>
      <c r="GD22" s="99">
        <f t="shared" si="131"/>
        <v>0</v>
      </c>
      <c r="GE22" s="90"/>
      <c r="GF22" s="92">
        <f t="shared" si="215"/>
        <v>10</v>
      </c>
      <c r="GG22" s="93" t="str">
        <f t="shared" ref="GG22:GI22" si="341">IFERROR(VLOOKUP($R22,$A$13:$D$30,-GG$12,FALSE),"")</f>
        <v>Lainnya 2.3 (2) ………</v>
      </c>
      <c r="GH22" s="94" t="str">
        <f t="shared" si="341"/>
        <v>Bijih </v>
      </c>
      <c r="GI22" s="94" t="str">
        <f t="shared" si="341"/>
        <v>Ton </v>
      </c>
      <c r="GJ22" s="87">
        <f t="shared" si="133"/>
        <v>0</v>
      </c>
      <c r="GK22" s="87" t="str">
        <f t="shared" si="134"/>
        <v>#DIV/0!</v>
      </c>
      <c r="GL22" s="87">
        <f t="shared" si="135"/>
        <v>0</v>
      </c>
      <c r="GM22" s="95"/>
      <c r="GN22" s="87">
        <f t="shared" si="136"/>
        <v>0</v>
      </c>
      <c r="GO22" s="410"/>
      <c r="GP22" s="96"/>
      <c r="GQ22" s="96"/>
      <c r="GR22" s="87">
        <f t="shared" si="137"/>
        <v>0</v>
      </c>
      <c r="GS22" s="95">
        <f t="shared" si="138"/>
        <v>0.4604471269</v>
      </c>
      <c r="GT22" s="98">
        <f t="shared" si="139"/>
        <v>0</v>
      </c>
      <c r="GU22" s="99">
        <f t="shared" si="140"/>
        <v>0</v>
      </c>
      <c r="GV22" s="90"/>
      <c r="GW22" s="92">
        <f t="shared" si="217"/>
        <v>10</v>
      </c>
      <c r="GX22" s="93" t="str">
        <f t="shared" ref="GX22:GZ22" si="342">IFERROR(VLOOKUP($R22,$A$13:$D$30,-GX$12,FALSE),"")</f>
        <v>Lainnya 2.3 (2) ………</v>
      </c>
      <c r="GY22" s="94" t="str">
        <f t="shared" si="342"/>
        <v>Bijih </v>
      </c>
      <c r="GZ22" s="94" t="str">
        <f t="shared" si="342"/>
        <v>Ton </v>
      </c>
      <c r="HA22" s="87">
        <f t="shared" si="142"/>
        <v>0</v>
      </c>
      <c r="HB22" s="87" t="str">
        <f t="shared" si="143"/>
        <v>#DIV/0!</v>
      </c>
      <c r="HC22" s="87">
        <f t="shared" si="144"/>
        <v>0</v>
      </c>
      <c r="HD22" s="95"/>
      <c r="HE22" s="87">
        <f t="shared" si="145"/>
        <v>0</v>
      </c>
      <c r="HF22" s="410"/>
      <c r="HG22" s="96"/>
      <c r="HH22" s="96"/>
      <c r="HI22" s="87">
        <f t="shared" si="146"/>
        <v>0</v>
      </c>
      <c r="HJ22" s="95">
        <f t="shared" si="147"/>
        <v>0.4604471269</v>
      </c>
      <c r="HK22" s="98">
        <f t="shared" si="148"/>
        <v>0</v>
      </c>
      <c r="HL22" s="99">
        <f t="shared" si="149"/>
        <v>0</v>
      </c>
      <c r="HM22" s="90"/>
      <c r="HN22" s="92">
        <f t="shared" si="219"/>
        <v>10</v>
      </c>
      <c r="HO22" s="93" t="str">
        <f t="shared" ref="HO22:HQ22" si="343">IFERROR(VLOOKUP($R22,$A$13:$D$30,-HO$12,FALSE),"")</f>
        <v>Lainnya 2.3 (2) ………</v>
      </c>
      <c r="HP22" s="94" t="str">
        <f t="shared" si="343"/>
        <v>Bijih </v>
      </c>
      <c r="HQ22" s="94" t="str">
        <f t="shared" si="343"/>
        <v>Ton </v>
      </c>
      <c r="HR22" s="87">
        <f t="shared" si="151"/>
        <v>0</v>
      </c>
      <c r="HS22" s="87" t="str">
        <f t="shared" si="152"/>
        <v>#DIV/0!</v>
      </c>
      <c r="HT22" s="87">
        <f t="shared" si="153"/>
        <v>0</v>
      </c>
      <c r="HU22" s="95"/>
      <c r="HV22" s="87">
        <f t="shared" si="154"/>
        <v>0</v>
      </c>
      <c r="HW22" s="410"/>
      <c r="HX22" s="96"/>
      <c r="HY22" s="96"/>
      <c r="HZ22" s="87">
        <f t="shared" si="155"/>
        <v>0</v>
      </c>
      <c r="IA22" s="95">
        <f t="shared" si="156"/>
        <v>0.4604471269</v>
      </c>
      <c r="IB22" s="98">
        <f t="shared" si="157"/>
        <v>0</v>
      </c>
      <c r="IC22" s="99">
        <f t="shared" si="158"/>
        <v>0</v>
      </c>
      <c r="ID22" s="90"/>
      <c r="IE22" s="92">
        <f t="shared" si="221"/>
        <v>10</v>
      </c>
      <c r="IF22" s="93" t="str">
        <f t="shared" ref="IF22:IH22" si="344">IFERROR(VLOOKUP($R22,$A$13:$D$30,-IF$12,FALSE),"")</f>
        <v>Lainnya 2.3 (2) ………</v>
      </c>
      <c r="IG22" s="94" t="str">
        <f t="shared" si="344"/>
        <v>Bijih </v>
      </c>
      <c r="IH22" s="94" t="str">
        <f t="shared" si="344"/>
        <v>Ton </v>
      </c>
      <c r="II22" s="87">
        <f t="shared" si="160"/>
        <v>0</v>
      </c>
      <c r="IJ22" s="87" t="str">
        <f t="shared" si="161"/>
        <v>#DIV/0!</v>
      </c>
      <c r="IK22" s="87">
        <f t="shared" si="162"/>
        <v>0</v>
      </c>
      <c r="IL22" s="95"/>
      <c r="IM22" s="87">
        <f t="shared" si="163"/>
        <v>0</v>
      </c>
      <c r="IN22" s="410"/>
      <c r="IO22" s="96"/>
      <c r="IP22" s="96"/>
      <c r="IQ22" s="87">
        <f t="shared" si="164"/>
        <v>0</v>
      </c>
      <c r="IR22" s="95">
        <f t="shared" si="165"/>
        <v>0.4604471269</v>
      </c>
      <c r="IS22" s="98">
        <f t="shared" si="166"/>
        <v>0</v>
      </c>
      <c r="IT22" s="99">
        <f t="shared" si="167"/>
        <v>0</v>
      </c>
      <c r="IU22" s="90"/>
      <c r="IV22" s="92">
        <f t="shared" si="223"/>
        <v>10</v>
      </c>
      <c r="IW22" s="93" t="str">
        <f t="shared" ref="IW22:IY22" si="345">IFERROR(VLOOKUP($R22,$A$13:$D$30,-IW$12,FALSE),"")</f>
        <v>Lainnya 2.3 (2) ………</v>
      </c>
      <c r="IX22" s="94" t="str">
        <f t="shared" si="345"/>
        <v>Bijih </v>
      </c>
      <c r="IY22" s="94" t="str">
        <f t="shared" si="345"/>
        <v>Ton </v>
      </c>
      <c r="IZ22" s="87">
        <f t="shared" si="169"/>
        <v>0</v>
      </c>
      <c r="JA22" s="87" t="str">
        <f t="shared" si="170"/>
        <v>#DIV/0!</v>
      </c>
      <c r="JB22" s="87">
        <f t="shared" si="171"/>
        <v>0</v>
      </c>
      <c r="JC22" s="95"/>
      <c r="JD22" s="87">
        <f t="shared" si="172"/>
        <v>0</v>
      </c>
      <c r="JE22" s="410"/>
      <c r="JF22" s="96"/>
      <c r="JG22" s="96"/>
      <c r="JH22" s="87">
        <f t="shared" si="173"/>
        <v>0</v>
      </c>
      <c r="JI22" s="95">
        <f t="shared" si="174"/>
        <v>0.4604471269</v>
      </c>
      <c r="JJ22" s="98">
        <f t="shared" si="175"/>
        <v>0</v>
      </c>
      <c r="JK22" s="99">
        <f t="shared" si="176"/>
        <v>0</v>
      </c>
      <c r="JL22" s="90"/>
      <c r="JM22" s="92">
        <f t="shared" si="225"/>
        <v>10</v>
      </c>
      <c r="JN22" s="93" t="str">
        <f t="shared" ref="JN22:JP22" si="346">IFERROR(VLOOKUP($R22,$A$13:$D$30,-JN$12,FALSE),"")</f>
        <v>Lainnya 2.3 (2) ………</v>
      </c>
      <c r="JO22" s="94" t="str">
        <f t="shared" si="346"/>
        <v>Bijih </v>
      </c>
      <c r="JP22" s="94" t="str">
        <f t="shared" si="346"/>
        <v>Ton </v>
      </c>
      <c r="JQ22" s="87">
        <f t="shared" si="178"/>
        <v>0</v>
      </c>
      <c r="JR22" s="87" t="str">
        <f t="shared" si="179"/>
        <v>#DIV/0!</v>
      </c>
      <c r="JS22" s="87">
        <f t="shared" si="180"/>
        <v>0</v>
      </c>
      <c r="JT22" s="95"/>
      <c r="JU22" s="87">
        <f t="shared" si="181"/>
        <v>0</v>
      </c>
      <c r="JV22" s="410"/>
      <c r="JW22" s="96"/>
      <c r="JX22" s="96"/>
      <c r="JY22" s="87">
        <f t="shared" si="182"/>
        <v>0</v>
      </c>
      <c r="JZ22" s="95">
        <f t="shared" si="183"/>
        <v>0.4604471269</v>
      </c>
      <c r="KA22" s="98">
        <f t="shared" si="184"/>
        <v>0</v>
      </c>
      <c r="KB22" s="99">
        <f t="shared" si="185"/>
        <v>0</v>
      </c>
      <c r="KC22" s="90"/>
      <c r="KD22" s="92">
        <f t="shared" si="227"/>
        <v>10</v>
      </c>
      <c r="KE22" s="93" t="str">
        <f t="shared" ref="KE22:KG22" si="347">IFERROR(VLOOKUP($R22,$A$13:$D$30,-KE$12,FALSE),"")</f>
        <v>Lainnya 2.3 (2) ………</v>
      </c>
      <c r="KF22" s="94" t="str">
        <f t="shared" si="347"/>
        <v>Bijih </v>
      </c>
      <c r="KG22" s="94" t="str">
        <f t="shared" si="347"/>
        <v>Ton </v>
      </c>
      <c r="KH22" s="87">
        <f t="shared" si="187"/>
        <v>0</v>
      </c>
      <c r="KI22" s="87" t="str">
        <f t="shared" si="188"/>
        <v>#DIV/0!</v>
      </c>
      <c r="KJ22" s="87">
        <f t="shared" si="189"/>
        <v>0</v>
      </c>
      <c r="KK22" s="95"/>
      <c r="KL22" s="87">
        <f t="shared" si="190"/>
        <v>0</v>
      </c>
      <c r="KM22" s="410"/>
      <c r="KN22" s="96"/>
      <c r="KO22" s="96"/>
      <c r="KP22" s="87">
        <f t="shared" si="191"/>
        <v>0</v>
      </c>
      <c r="KQ22" s="95">
        <f t="shared" si="192"/>
        <v>0.4604471269</v>
      </c>
      <c r="KR22" s="98">
        <f t="shared" si="193"/>
        <v>0</v>
      </c>
      <c r="KS22" s="99">
        <f t="shared" si="194"/>
        <v>0</v>
      </c>
      <c r="KT22" s="90"/>
      <c r="KU22" s="91"/>
    </row>
    <row r="23" ht="15.75" customHeight="1">
      <c r="A23" s="92">
        <v>11.0</v>
      </c>
      <c r="B23" s="93" t="s">
        <v>82</v>
      </c>
      <c r="C23" s="94" t="s">
        <v>83</v>
      </c>
      <c r="D23" s="94" t="s">
        <v>83</v>
      </c>
      <c r="E23" s="87">
        <f t="shared" si="35"/>
        <v>0</v>
      </c>
      <c r="F23" s="87" t="str">
        <f t="shared" si="36"/>
        <v>#DIV/0!</v>
      </c>
      <c r="G23" s="87">
        <f t="shared" si="37"/>
        <v>0</v>
      </c>
      <c r="H23" s="95"/>
      <c r="I23" s="87">
        <f t="shared" si="38"/>
        <v>0</v>
      </c>
      <c r="J23" s="410"/>
      <c r="K23" s="96"/>
      <c r="L23" s="96"/>
      <c r="M23" s="87">
        <f t="shared" si="39"/>
        <v>0</v>
      </c>
      <c r="N23" s="95">
        <v>0.4604471268963365</v>
      </c>
      <c r="O23" s="98">
        <f t="shared" si="40"/>
        <v>0</v>
      </c>
      <c r="P23" s="99">
        <f t="shared" si="41"/>
        <v>0</v>
      </c>
      <c r="Q23" s="90"/>
      <c r="R23" s="92">
        <f t="shared" si="195"/>
        <v>11</v>
      </c>
      <c r="S23" s="93" t="str">
        <f t="shared" ref="S23:U23" si="348">IFERROR(VLOOKUP($R23,$A$13:$D$30,-S$12,FALSE),"")</f>
        <v>Lainnya 2.3 (3) …….</v>
      </c>
      <c r="T23" s="94" t="str">
        <f t="shared" si="348"/>
        <v/>
      </c>
      <c r="U23" s="94" t="str">
        <f t="shared" si="348"/>
        <v/>
      </c>
      <c r="V23" s="87">
        <f t="shared" si="43"/>
        <v>0</v>
      </c>
      <c r="W23" s="87" t="str">
        <f t="shared" si="44"/>
        <v>#DIV/0!</v>
      </c>
      <c r="X23" s="87">
        <f t="shared" si="45"/>
        <v>0</v>
      </c>
      <c r="Y23" s="95"/>
      <c r="Z23" s="87">
        <f t="shared" si="46"/>
        <v>0</v>
      </c>
      <c r="AA23" s="410"/>
      <c r="AB23" s="96"/>
      <c r="AC23" s="96"/>
      <c r="AD23" s="87">
        <f t="shared" si="47"/>
        <v>0</v>
      </c>
      <c r="AE23" s="95">
        <f t="shared" si="48"/>
        <v>0.4604471269</v>
      </c>
      <c r="AF23" s="98">
        <f t="shared" si="49"/>
        <v>0</v>
      </c>
      <c r="AG23" s="99">
        <f t="shared" si="50"/>
        <v>0</v>
      </c>
      <c r="AH23" s="90"/>
      <c r="AI23" s="92">
        <f t="shared" si="197"/>
        <v>11</v>
      </c>
      <c r="AJ23" s="93" t="str">
        <f t="shared" ref="AJ23:AL23" si="349">IFERROR(VLOOKUP($R23,$A$13:$D$30,-AJ$12,FALSE),"")</f>
        <v>Lainnya 2.3 (3) …….</v>
      </c>
      <c r="AK23" s="94" t="str">
        <f t="shared" si="349"/>
        <v/>
      </c>
      <c r="AL23" s="94" t="str">
        <f t="shared" si="349"/>
        <v/>
      </c>
      <c r="AM23" s="87">
        <f t="shared" si="52"/>
        <v>0</v>
      </c>
      <c r="AN23" s="87" t="str">
        <f t="shared" si="53"/>
        <v>#DIV/0!</v>
      </c>
      <c r="AO23" s="87">
        <f t="shared" si="54"/>
        <v>0</v>
      </c>
      <c r="AP23" s="95"/>
      <c r="AQ23" s="87">
        <f t="shared" si="55"/>
        <v>0</v>
      </c>
      <c r="AR23" s="410"/>
      <c r="AS23" s="96"/>
      <c r="AT23" s="96"/>
      <c r="AU23" s="87">
        <f t="shared" si="56"/>
        <v>0</v>
      </c>
      <c r="AV23" s="95">
        <f t="shared" si="57"/>
        <v>0.4604471269</v>
      </c>
      <c r="AW23" s="98">
        <f t="shared" si="58"/>
        <v>0</v>
      </c>
      <c r="AX23" s="99">
        <f t="shared" si="59"/>
        <v>0</v>
      </c>
      <c r="AY23" s="90"/>
      <c r="AZ23" s="92">
        <f t="shared" si="199"/>
        <v>11</v>
      </c>
      <c r="BA23" s="93" t="str">
        <f t="shared" ref="BA23:BC23" si="350">IFERROR(VLOOKUP($R23,$A$13:$D$30,-BA$12,FALSE),"")</f>
        <v>Lainnya 2.3 (3) …….</v>
      </c>
      <c r="BB23" s="94" t="str">
        <f t="shared" si="350"/>
        <v/>
      </c>
      <c r="BC23" s="94" t="str">
        <f t="shared" si="350"/>
        <v/>
      </c>
      <c r="BD23" s="87">
        <f t="shared" si="61"/>
        <v>0</v>
      </c>
      <c r="BE23" s="87" t="str">
        <f t="shared" si="62"/>
        <v>#DIV/0!</v>
      </c>
      <c r="BF23" s="87">
        <f t="shared" si="63"/>
        <v>0</v>
      </c>
      <c r="BG23" s="95"/>
      <c r="BH23" s="87">
        <f t="shared" si="64"/>
        <v>0</v>
      </c>
      <c r="BI23" s="410"/>
      <c r="BJ23" s="96"/>
      <c r="BK23" s="96"/>
      <c r="BL23" s="87">
        <f t="shared" si="65"/>
        <v>0</v>
      </c>
      <c r="BM23" s="95">
        <f t="shared" si="66"/>
        <v>0.4604471269</v>
      </c>
      <c r="BN23" s="98">
        <f t="shared" si="67"/>
        <v>0</v>
      </c>
      <c r="BO23" s="99">
        <f t="shared" si="68"/>
        <v>0</v>
      </c>
      <c r="BP23" s="90"/>
      <c r="BQ23" s="92">
        <f t="shared" si="201"/>
        <v>11</v>
      </c>
      <c r="BR23" s="93" t="str">
        <f t="shared" ref="BR23:BT23" si="351">IFERROR(VLOOKUP($R23,$A$13:$D$30,-BR$12,FALSE),"")</f>
        <v>Lainnya 2.3 (3) …….</v>
      </c>
      <c r="BS23" s="94" t="str">
        <f t="shared" si="351"/>
        <v/>
      </c>
      <c r="BT23" s="94" t="str">
        <f t="shared" si="351"/>
        <v/>
      </c>
      <c r="BU23" s="87">
        <f t="shared" si="70"/>
        <v>0</v>
      </c>
      <c r="BV23" s="87" t="str">
        <f t="shared" si="71"/>
        <v>#DIV/0!</v>
      </c>
      <c r="BW23" s="87">
        <f t="shared" si="72"/>
        <v>0</v>
      </c>
      <c r="BX23" s="95"/>
      <c r="BY23" s="87">
        <f t="shared" si="73"/>
        <v>0</v>
      </c>
      <c r="BZ23" s="410"/>
      <c r="CA23" s="96"/>
      <c r="CB23" s="96"/>
      <c r="CC23" s="87">
        <f t="shared" si="74"/>
        <v>0</v>
      </c>
      <c r="CD23" s="95">
        <f t="shared" si="75"/>
        <v>0.4604471269</v>
      </c>
      <c r="CE23" s="98">
        <f t="shared" si="76"/>
        <v>0</v>
      </c>
      <c r="CF23" s="99">
        <f t="shared" si="77"/>
        <v>0</v>
      </c>
      <c r="CG23" s="90"/>
      <c r="CH23" s="92">
        <f t="shared" si="203"/>
        <v>11</v>
      </c>
      <c r="CI23" s="93" t="str">
        <f t="shared" ref="CI23:CK23" si="352">IFERROR(VLOOKUP($R23,$A$13:$D$30,-CI$12,FALSE),"")</f>
        <v>Lainnya 2.3 (3) …….</v>
      </c>
      <c r="CJ23" s="94" t="str">
        <f t="shared" si="352"/>
        <v/>
      </c>
      <c r="CK23" s="94" t="str">
        <f t="shared" si="352"/>
        <v/>
      </c>
      <c r="CL23" s="87">
        <f t="shared" si="79"/>
        <v>0</v>
      </c>
      <c r="CM23" s="87" t="str">
        <f t="shared" si="80"/>
        <v>#DIV/0!</v>
      </c>
      <c r="CN23" s="87">
        <f t="shared" si="81"/>
        <v>0</v>
      </c>
      <c r="CO23" s="95"/>
      <c r="CP23" s="87">
        <f t="shared" si="82"/>
        <v>0</v>
      </c>
      <c r="CQ23" s="410"/>
      <c r="CR23" s="96"/>
      <c r="CS23" s="96"/>
      <c r="CT23" s="87">
        <f t="shared" si="83"/>
        <v>0</v>
      </c>
      <c r="CU23" s="95">
        <f t="shared" si="84"/>
        <v>0.4604471269</v>
      </c>
      <c r="CV23" s="98">
        <f t="shared" si="85"/>
        <v>0</v>
      </c>
      <c r="CW23" s="99">
        <f t="shared" si="86"/>
        <v>0</v>
      </c>
      <c r="CX23" s="90"/>
      <c r="CY23" s="92">
        <f t="shared" si="205"/>
        <v>11</v>
      </c>
      <c r="CZ23" s="93" t="str">
        <f t="shared" ref="CZ23:DB23" si="353">IFERROR(VLOOKUP($R23,$A$13:$D$30,-CZ$12,FALSE),"")</f>
        <v>Lainnya 2.3 (3) …….</v>
      </c>
      <c r="DA23" s="94" t="str">
        <f t="shared" si="353"/>
        <v/>
      </c>
      <c r="DB23" s="94" t="str">
        <f t="shared" si="353"/>
        <v/>
      </c>
      <c r="DC23" s="87">
        <f t="shared" si="88"/>
        <v>0</v>
      </c>
      <c r="DD23" s="87" t="str">
        <f t="shared" si="89"/>
        <v>#DIV/0!</v>
      </c>
      <c r="DE23" s="87">
        <f t="shared" si="90"/>
        <v>0</v>
      </c>
      <c r="DF23" s="95"/>
      <c r="DG23" s="87">
        <f t="shared" si="91"/>
        <v>0</v>
      </c>
      <c r="DH23" s="410"/>
      <c r="DI23" s="96"/>
      <c r="DJ23" s="96"/>
      <c r="DK23" s="87">
        <f t="shared" si="92"/>
        <v>0</v>
      </c>
      <c r="DL23" s="95">
        <f t="shared" si="93"/>
        <v>0.4604471269</v>
      </c>
      <c r="DM23" s="98">
        <f t="shared" si="94"/>
        <v>0</v>
      </c>
      <c r="DN23" s="99">
        <f t="shared" si="95"/>
        <v>0</v>
      </c>
      <c r="DO23" s="90"/>
      <c r="DP23" s="92">
        <f t="shared" si="207"/>
        <v>11</v>
      </c>
      <c r="DQ23" s="93" t="str">
        <f t="shared" ref="DQ23:DS23" si="354">IFERROR(VLOOKUP($R23,$A$13:$D$30,-DQ$12,FALSE),"")</f>
        <v>Lainnya 2.3 (3) …….</v>
      </c>
      <c r="DR23" s="94" t="str">
        <f t="shared" si="354"/>
        <v/>
      </c>
      <c r="DS23" s="94" t="str">
        <f t="shared" si="354"/>
        <v/>
      </c>
      <c r="DT23" s="87">
        <f t="shared" si="97"/>
        <v>0</v>
      </c>
      <c r="DU23" s="87" t="str">
        <f t="shared" si="98"/>
        <v>#DIV/0!</v>
      </c>
      <c r="DV23" s="87">
        <f t="shared" si="99"/>
        <v>0</v>
      </c>
      <c r="DW23" s="95"/>
      <c r="DX23" s="87">
        <f t="shared" si="100"/>
        <v>0</v>
      </c>
      <c r="DY23" s="410"/>
      <c r="DZ23" s="96"/>
      <c r="EA23" s="96"/>
      <c r="EB23" s="87">
        <f t="shared" si="101"/>
        <v>0</v>
      </c>
      <c r="EC23" s="95">
        <f t="shared" si="102"/>
        <v>0.4604471269</v>
      </c>
      <c r="ED23" s="98">
        <f t="shared" si="103"/>
        <v>0</v>
      </c>
      <c r="EE23" s="99">
        <f t="shared" si="104"/>
        <v>0</v>
      </c>
      <c r="EF23" s="90"/>
      <c r="EG23" s="92">
        <f t="shared" si="209"/>
        <v>11</v>
      </c>
      <c r="EH23" s="93" t="str">
        <f t="shared" ref="EH23:EJ23" si="355">IFERROR(VLOOKUP($R23,$A$13:$D$30,-EH$12,FALSE),"")</f>
        <v>Lainnya 2.3 (3) …….</v>
      </c>
      <c r="EI23" s="94" t="str">
        <f t="shared" si="355"/>
        <v/>
      </c>
      <c r="EJ23" s="94" t="str">
        <f t="shared" si="355"/>
        <v/>
      </c>
      <c r="EK23" s="87">
        <f t="shared" si="106"/>
        <v>0</v>
      </c>
      <c r="EL23" s="87" t="str">
        <f t="shared" si="107"/>
        <v>#DIV/0!</v>
      </c>
      <c r="EM23" s="87">
        <f t="shared" si="108"/>
        <v>0</v>
      </c>
      <c r="EN23" s="95"/>
      <c r="EO23" s="87">
        <f t="shared" si="109"/>
        <v>0</v>
      </c>
      <c r="EP23" s="410"/>
      <c r="EQ23" s="96"/>
      <c r="ER23" s="96"/>
      <c r="ES23" s="87">
        <f t="shared" si="110"/>
        <v>0</v>
      </c>
      <c r="ET23" s="95">
        <f t="shared" si="111"/>
        <v>0.4604471269</v>
      </c>
      <c r="EU23" s="98">
        <f t="shared" si="112"/>
        <v>0</v>
      </c>
      <c r="EV23" s="99">
        <f t="shared" si="113"/>
        <v>0</v>
      </c>
      <c r="EW23" s="90"/>
      <c r="EX23" s="92">
        <f t="shared" si="211"/>
        <v>11</v>
      </c>
      <c r="EY23" s="93" t="str">
        <f t="shared" ref="EY23:FA23" si="356">IFERROR(VLOOKUP($R23,$A$13:$D$30,-EY$12,FALSE),"")</f>
        <v>Lainnya 2.3 (3) …….</v>
      </c>
      <c r="EZ23" s="94" t="str">
        <f t="shared" si="356"/>
        <v/>
      </c>
      <c r="FA23" s="94" t="str">
        <f t="shared" si="356"/>
        <v/>
      </c>
      <c r="FB23" s="87">
        <f t="shared" si="115"/>
        <v>0</v>
      </c>
      <c r="FC23" s="87" t="str">
        <f t="shared" si="116"/>
        <v>#DIV/0!</v>
      </c>
      <c r="FD23" s="87">
        <f t="shared" si="117"/>
        <v>0</v>
      </c>
      <c r="FE23" s="95"/>
      <c r="FF23" s="87">
        <f t="shared" si="118"/>
        <v>0</v>
      </c>
      <c r="FG23" s="410"/>
      <c r="FH23" s="96"/>
      <c r="FI23" s="96"/>
      <c r="FJ23" s="87">
        <f t="shared" si="119"/>
        <v>0</v>
      </c>
      <c r="FK23" s="95">
        <f t="shared" si="120"/>
        <v>0.4604471269</v>
      </c>
      <c r="FL23" s="98">
        <f t="shared" si="121"/>
        <v>0</v>
      </c>
      <c r="FM23" s="99">
        <f t="shared" si="122"/>
        <v>0</v>
      </c>
      <c r="FN23" s="90"/>
      <c r="FO23" s="92">
        <f t="shared" si="213"/>
        <v>11</v>
      </c>
      <c r="FP23" s="93" t="str">
        <f t="shared" ref="FP23:FR23" si="357">IFERROR(VLOOKUP($R23,$A$13:$D$30,-FP$12,FALSE),"")</f>
        <v>Lainnya 2.3 (3) …….</v>
      </c>
      <c r="FQ23" s="94" t="str">
        <f t="shared" si="357"/>
        <v/>
      </c>
      <c r="FR23" s="94" t="str">
        <f t="shared" si="357"/>
        <v/>
      </c>
      <c r="FS23" s="87">
        <f t="shared" si="124"/>
        <v>0</v>
      </c>
      <c r="FT23" s="87" t="str">
        <f t="shared" si="125"/>
        <v>#DIV/0!</v>
      </c>
      <c r="FU23" s="87">
        <f t="shared" si="126"/>
        <v>0</v>
      </c>
      <c r="FV23" s="95"/>
      <c r="FW23" s="87">
        <f t="shared" si="127"/>
        <v>0</v>
      </c>
      <c r="FX23" s="410"/>
      <c r="FY23" s="96"/>
      <c r="FZ23" s="96"/>
      <c r="GA23" s="87">
        <f t="shared" si="128"/>
        <v>0</v>
      </c>
      <c r="GB23" s="95">
        <f t="shared" si="129"/>
        <v>0.4604471269</v>
      </c>
      <c r="GC23" s="98">
        <f t="shared" si="130"/>
        <v>0</v>
      </c>
      <c r="GD23" s="99">
        <f t="shared" si="131"/>
        <v>0</v>
      </c>
      <c r="GE23" s="90"/>
      <c r="GF23" s="92">
        <f t="shared" si="215"/>
        <v>11</v>
      </c>
      <c r="GG23" s="93" t="str">
        <f t="shared" ref="GG23:GI23" si="358">IFERROR(VLOOKUP($R23,$A$13:$D$30,-GG$12,FALSE),"")</f>
        <v>Lainnya 2.3 (3) …….</v>
      </c>
      <c r="GH23" s="94" t="str">
        <f t="shared" si="358"/>
        <v/>
      </c>
      <c r="GI23" s="94" t="str">
        <f t="shared" si="358"/>
        <v/>
      </c>
      <c r="GJ23" s="87">
        <f t="shared" si="133"/>
        <v>0</v>
      </c>
      <c r="GK23" s="87" t="str">
        <f t="shared" si="134"/>
        <v>#DIV/0!</v>
      </c>
      <c r="GL23" s="87">
        <f t="shared" si="135"/>
        <v>0</v>
      </c>
      <c r="GM23" s="95"/>
      <c r="GN23" s="87">
        <f t="shared" si="136"/>
        <v>0</v>
      </c>
      <c r="GO23" s="410"/>
      <c r="GP23" s="96"/>
      <c r="GQ23" s="96"/>
      <c r="GR23" s="87">
        <f t="shared" si="137"/>
        <v>0</v>
      </c>
      <c r="GS23" s="95">
        <f t="shared" si="138"/>
        <v>0.4604471269</v>
      </c>
      <c r="GT23" s="98">
        <f t="shared" si="139"/>
        <v>0</v>
      </c>
      <c r="GU23" s="99">
        <f t="shared" si="140"/>
        <v>0</v>
      </c>
      <c r="GV23" s="90"/>
      <c r="GW23" s="92">
        <f t="shared" si="217"/>
        <v>11</v>
      </c>
      <c r="GX23" s="93" t="str">
        <f t="shared" ref="GX23:GZ23" si="359">IFERROR(VLOOKUP($R23,$A$13:$D$30,-GX$12,FALSE),"")</f>
        <v>Lainnya 2.3 (3) …….</v>
      </c>
      <c r="GY23" s="94" t="str">
        <f t="shared" si="359"/>
        <v/>
      </c>
      <c r="GZ23" s="94" t="str">
        <f t="shared" si="359"/>
        <v/>
      </c>
      <c r="HA23" s="87">
        <f t="shared" si="142"/>
        <v>0</v>
      </c>
      <c r="HB23" s="87" t="str">
        <f t="shared" si="143"/>
        <v>#DIV/0!</v>
      </c>
      <c r="HC23" s="87">
        <f t="shared" si="144"/>
        <v>0</v>
      </c>
      <c r="HD23" s="95"/>
      <c r="HE23" s="87">
        <f t="shared" si="145"/>
        <v>0</v>
      </c>
      <c r="HF23" s="410"/>
      <c r="HG23" s="96"/>
      <c r="HH23" s="96"/>
      <c r="HI23" s="87">
        <f t="shared" si="146"/>
        <v>0</v>
      </c>
      <c r="HJ23" s="95">
        <f t="shared" si="147"/>
        <v>0.4604471269</v>
      </c>
      <c r="HK23" s="98">
        <f t="shared" si="148"/>
        <v>0</v>
      </c>
      <c r="HL23" s="99">
        <f t="shared" si="149"/>
        <v>0</v>
      </c>
      <c r="HM23" s="90"/>
      <c r="HN23" s="92">
        <f t="shared" si="219"/>
        <v>11</v>
      </c>
      <c r="HO23" s="93" t="str">
        <f t="shared" ref="HO23:HQ23" si="360">IFERROR(VLOOKUP($R23,$A$13:$D$30,-HO$12,FALSE),"")</f>
        <v>Lainnya 2.3 (3) …….</v>
      </c>
      <c r="HP23" s="94" t="str">
        <f t="shared" si="360"/>
        <v/>
      </c>
      <c r="HQ23" s="94" t="str">
        <f t="shared" si="360"/>
        <v/>
      </c>
      <c r="HR23" s="87">
        <f t="shared" si="151"/>
        <v>0</v>
      </c>
      <c r="HS23" s="87" t="str">
        <f t="shared" si="152"/>
        <v>#DIV/0!</v>
      </c>
      <c r="HT23" s="87">
        <f t="shared" si="153"/>
        <v>0</v>
      </c>
      <c r="HU23" s="95"/>
      <c r="HV23" s="87">
        <f t="shared" si="154"/>
        <v>0</v>
      </c>
      <c r="HW23" s="410"/>
      <c r="HX23" s="96"/>
      <c r="HY23" s="96"/>
      <c r="HZ23" s="87">
        <f t="shared" si="155"/>
        <v>0</v>
      </c>
      <c r="IA23" s="95">
        <f t="shared" si="156"/>
        <v>0.4604471269</v>
      </c>
      <c r="IB23" s="98">
        <f t="shared" si="157"/>
        <v>0</v>
      </c>
      <c r="IC23" s="99">
        <f t="shared" si="158"/>
        <v>0</v>
      </c>
      <c r="ID23" s="90"/>
      <c r="IE23" s="92">
        <f t="shared" si="221"/>
        <v>11</v>
      </c>
      <c r="IF23" s="93" t="str">
        <f t="shared" ref="IF23:IH23" si="361">IFERROR(VLOOKUP($R23,$A$13:$D$30,-IF$12,FALSE),"")</f>
        <v>Lainnya 2.3 (3) …….</v>
      </c>
      <c r="IG23" s="94" t="str">
        <f t="shared" si="361"/>
        <v/>
      </c>
      <c r="IH23" s="94" t="str">
        <f t="shared" si="361"/>
        <v/>
      </c>
      <c r="II23" s="87">
        <f t="shared" si="160"/>
        <v>0</v>
      </c>
      <c r="IJ23" s="87" t="str">
        <f t="shared" si="161"/>
        <v>#DIV/0!</v>
      </c>
      <c r="IK23" s="87">
        <f t="shared" si="162"/>
        <v>0</v>
      </c>
      <c r="IL23" s="95"/>
      <c r="IM23" s="87">
        <f t="shared" si="163"/>
        <v>0</v>
      </c>
      <c r="IN23" s="410"/>
      <c r="IO23" s="96"/>
      <c r="IP23" s="96"/>
      <c r="IQ23" s="87">
        <f t="shared" si="164"/>
        <v>0</v>
      </c>
      <c r="IR23" s="95">
        <f t="shared" si="165"/>
        <v>0.4604471269</v>
      </c>
      <c r="IS23" s="98">
        <f t="shared" si="166"/>
        <v>0</v>
      </c>
      <c r="IT23" s="99">
        <f t="shared" si="167"/>
        <v>0</v>
      </c>
      <c r="IU23" s="90"/>
      <c r="IV23" s="92">
        <f t="shared" si="223"/>
        <v>11</v>
      </c>
      <c r="IW23" s="93" t="str">
        <f t="shared" ref="IW23:IY23" si="362">IFERROR(VLOOKUP($R23,$A$13:$D$30,-IW$12,FALSE),"")</f>
        <v>Lainnya 2.3 (3) …….</v>
      </c>
      <c r="IX23" s="94" t="str">
        <f t="shared" si="362"/>
        <v/>
      </c>
      <c r="IY23" s="94" t="str">
        <f t="shared" si="362"/>
        <v/>
      </c>
      <c r="IZ23" s="87">
        <f t="shared" si="169"/>
        <v>0</v>
      </c>
      <c r="JA23" s="87" t="str">
        <f t="shared" si="170"/>
        <v>#DIV/0!</v>
      </c>
      <c r="JB23" s="87">
        <f t="shared" si="171"/>
        <v>0</v>
      </c>
      <c r="JC23" s="95"/>
      <c r="JD23" s="87">
        <f t="shared" si="172"/>
        <v>0</v>
      </c>
      <c r="JE23" s="410"/>
      <c r="JF23" s="96"/>
      <c r="JG23" s="96"/>
      <c r="JH23" s="87">
        <f t="shared" si="173"/>
        <v>0</v>
      </c>
      <c r="JI23" s="95">
        <f t="shared" si="174"/>
        <v>0.4604471269</v>
      </c>
      <c r="JJ23" s="98">
        <f t="shared" si="175"/>
        <v>0</v>
      </c>
      <c r="JK23" s="99">
        <f t="shared" si="176"/>
        <v>0</v>
      </c>
      <c r="JL23" s="90"/>
      <c r="JM23" s="92">
        <f t="shared" si="225"/>
        <v>11</v>
      </c>
      <c r="JN23" s="93" t="str">
        <f t="shared" ref="JN23:JP23" si="363">IFERROR(VLOOKUP($R23,$A$13:$D$30,-JN$12,FALSE),"")</f>
        <v>Lainnya 2.3 (3) …….</v>
      </c>
      <c r="JO23" s="94" t="str">
        <f t="shared" si="363"/>
        <v/>
      </c>
      <c r="JP23" s="94" t="str">
        <f t="shared" si="363"/>
        <v/>
      </c>
      <c r="JQ23" s="87">
        <f t="shared" si="178"/>
        <v>0</v>
      </c>
      <c r="JR23" s="87" t="str">
        <f t="shared" si="179"/>
        <v>#DIV/0!</v>
      </c>
      <c r="JS23" s="87">
        <f t="shared" si="180"/>
        <v>0</v>
      </c>
      <c r="JT23" s="95"/>
      <c r="JU23" s="87">
        <f t="shared" si="181"/>
        <v>0</v>
      </c>
      <c r="JV23" s="410"/>
      <c r="JW23" s="96"/>
      <c r="JX23" s="96"/>
      <c r="JY23" s="87">
        <f t="shared" si="182"/>
        <v>0</v>
      </c>
      <c r="JZ23" s="95">
        <f t="shared" si="183"/>
        <v>0.4604471269</v>
      </c>
      <c r="KA23" s="98">
        <f t="shared" si="184"/>
        <v>0</v>
      </c>
      <c r="KB23" s="99">
        <f t="shared" si="185"/>
        <v>0</v>
      </c>
      <c r="KC23" s="90"/>
      <c r="KD23" s="92">
        <f t="shared" si="227"/>
        <v>11</v>
      </c>
      <c r="KE23" s="93" t="str">
        <f t="shared" ref="KE23:KG23" si="364">IFERROR(VLOOKUP($R23,$A$13:$D$30,-KE$12,FALSE),"")</f>
        <v>Lainnya 2.3 (3) …….</v>
      </c>
      <c r="KF23" s="94" t="str">
        <f t="shared" si="364"/>
        <v/>
      </c>
      <c r="KG23" s="94" t="str">
        <f t="shared" si="364"/>
        <v/>
      </c>
      <c r="KH23" s="87">
        <f t="shared" si="187"/>
        <v>0</v>
      </c>
      <c r="KI23" s="87" t="str">
        <f t="shared" si="188"/>
        <v>#DIV/0!</v>
      </c>
      <c r="KJ23" s="87">
        <f t="shared" si="189"/>
        <v>0</v>
      </c>
      <c r="KK23" s="95"/>
      <c r="KL23" s="87">
        <f t="shared" si="190"/>
        <v>0</v>
      </c>
      <c r="KM23" s="410"/>
      <c r="KN23" s="96"/>
      <c r="KO23" s="96"/>
      <c r="KP23" s="87">
        <f t="shared" si="191"/>
        <v>0</v>
      </c>
      <c r="KQ23" s="95">
        <f t="shared" si="192"/>
        <v>0.4604471269</v>
      </c>
      <c r="KR23" s="98">
        <f t="shared" si="193"/>
        <v>0</v>
      </c>
      <c r="KS23" s="99">
        <f t="shared" si="194"/>
        <v>0</v>
      </c>
      <c r="KT23" s="90"/>
      <c r="KU23" s="91"/>
    </row>
    <row r="24" ht="15.75" customHeight="1">
      <c r="A24" s="92">
        <v>12.0</v>
      </c>
      <c r="B24" s="93" t="s">
        <v>84</v>
      </c>
      <c r="C24" s="94" t="s">
        <v>83</v>
      </c>
      <c r="D24" s="94" t="s">
        <v>83</v>
      </c>
      <c r="E24" s="87">
        <f t="shared" si="35"/>
        <v>0</v>
      </c>
      <c r="F24" s="87" t="str">
        <f t="shared" si="36"/>
        <v>#DIV/0!</v>
      </c>
      <c r="G24" s="87">
        <f t="shared" si="37"/>
        <v>0</v>
      </c>
      <c r="H24" s="95"/>
      <c r="I24" s="87">
        <f t="shared" si="38"/>
        <v>0</v>
      </c>
      <c r="J24" s="410"/>
      <c r="K24" s="96"/>
      <c r="L24" s="96"/>
      <c r="M24" s="87">
        <f t="shared" si="39"/>
        <v>0</v>
      </c>
      <c r="N24" s="95">
        <v>0.4604471268963365</v>
      </c>
      <c r="O24" s="98">
        <f t="shared" si="40"/>
        <v>0</v>
      </c>
      <c r="P24" s="99">
        <f t="shared" si="41"/>
        <v>0</v>
      </c>
      <c r="Q24" s="90"/>
      <c r="R24" s="92">
        <f t="shared" si="195"/>
        <v>12</v>
      </c>
      <c r="S24" s="93" t="str">
        <f t="shared" ref="S24:U24" si="365">IFERROR(VLOOKUP($R24,$A$13:$D$30,-S$12,FALSE),"")</f>
        <v>Lainnya 2.3 (4) …….</v>
      </c>
      <c r="T24" s="94" t="str">
        <f t="shared" si="365"/>
        <v/>
      </c>
      <c r="U24" s="94" t="str">
        <f t="shared" si="365"/>
        <v/>
      </c>
      <c r="V24" s="87">
        <f t="shared" si="43"/>
        <v>0</v>
      </c>
      <c r="W24" s="87" t="str">
        <f t="shared" si="44"/>
        <v>#DIV/0!</v>
      </c>
      <c r="X24" s="87">
        <f t="shared" si="45"/>
        <v>0</v>
      </c>
      <c r="Y24" s="95"/>
      <c r="Z24" s="87">
        <f t="shared" si="46"/>
        <v>0</v>
      </c>
      <c r="AA24" s="410"/>
      <c r="AB24" s="96"/>
      <c r="AC24" s="96"/>
      <c r="AD24" s="87">
        <f t="shared" si="47"/>
        <v>0</v>
      </c>
      <c r="AE24" s="95">
        <f t="shared" si="48"/>
        <v>0.4604471269</v>
      </c>
      <c r="AF24" s="98">
        <f t="shared" si="49"/>
        <v>0</v>
      </c>
      <c r="AG24" s="99">
        <f t="shared" si="50"/>
        <v>0</v>
      </c>
      <c r="AH24" s="90"/>
      <c r="AI24" s="92">
        <f t="shared" si="197"/>
        <v>12</v>
      </c>
      <c r="AJ24" s="93" t="str">
        <f t="shared" ref="AJ24:AL24" si="366">IFERROR(VLOOKUP($R24,$A$13:$D$30,-AJ$12,FALSE),"")</f>
        <v>Lainnya 2.3 (4) …….</v>
      </c>
      <c r="AK24" s="94" t="str">
        <f t="shared" si="366"/>
        <v/>
      </c>
      <c r="AL24" s="94" t="str">
        <f t="shared" si="366"/>
        <v/>
      </c>
      <c r="AM24" s="87">
        <f t="shared" si="52"/>
        <v>0</v>
      </c>
      <c r="AN24" s="87" t="str">
        <f t="shared" si="53"/>
        <v>#DIV/0!</v>
      </c>
      <c r="AO24" s="87">
        <f t="shared" si="54"/>
        <v>0</v>
      </c>
      <c r="AP24" s="95"/>
      <c r="AQ24" s="87">
        <f t="shared" si="55"/>
        <v>0</v>
      </c>
      <c r="AR24" s="410"/>
      <c r="AS24" s="96"/>
      <c r="AT24" s="96"/>
      <c r="AU24" s="87">
        <f t="shared" si="56"/>
        <v>0</v>
      </c>
      <c r="AV24" s="95">
        <f t="shared" si="57"/>
        <v>0.4604471269</v>
      </c>
      <c r="AW24" s="98">
        <f t="shared" si="58"/>
        <v>0</v>
      </c>
      <c r="AX24" s="99">
        <f t="shared" si="59"/>
        <v>0</v>
      </c>
      <c r="AY24" s="90"/>
      <c r="AZ24" s="92">
        <f t="shared" si="199"/>
        <v>12</v>
      </c>
      <c r="BA24" s="93" t="str">
        <f t="shared" ref="BA24:BC24" si="367">IFERROR(VLOOKUP($R24,$A$13:$D$30,-BA$12,FALSE),"")</f>
        <v>Lainnya 2.3 (4) …….</v>
      </c>
      <c r="BB24" s="94" t="str">
        <f t="shared" si="367"/>
        <v/>
      </c>
      <c r="BC24" s="94" t="str">
        <f t="shared" si="367"/>
        <v/>
      </c>
      <c r="BD24" s="87">
        <f t="shared" si="61"/>
        <v>0</v>
      </c>
      <c r="BE24" s="87" t="str">
        <f t="shared" si="62"/>
        <v>#DIV/0!</v>
      </c>
      <c r="BF24" s="87">
        <f t="shared" si="63"/>
        <v>0</v>
      </c>
      <c r="BG24" s="95"/>
      <c r="BH24" s="87">
        <f t="shared" si="64"/>
        <v>0</v>
      </c>
      <c r="BI24" s="410"/>
      <c r="BJ24" s="96"/>
      <c r="BK24" s="96"/>
      <c r="BL24" s="87">
        <f t="shared" si="65"/>
        <v>0</v>
      </c>
      <c r="BM24" s="95">
        <f t="shared" si="66"/>
        <v>0.4604471269</v>
      </c>
      <c r="BN24" s="98">
        <f t="shared" si="67"/>
        <v>0</v>
      </c>
      <c r="BO24" s="99">
        <f t="shared" si="68"/>
        <v>0</v>
      </c>
      <c r="BP24" s="90"/>
      <c r="BQ24" s="92">
        <f t="shared" si="201"/>
        <v>12</v>
      </c>
      <c r="BR24" s="93" t="str">
        <f t="shared" ref="BR24:BT24" si="368">IFERROR(VLOOKUP($R24,$A$13:$D$30,-BR$12,FALSE),"")</f>
        <v>Lainnya 2.3 (4) …….</v>
      </c>
      <c r="BS24" s="94" t="str">
        <f t="shared" si="368"/>
        <v/>
      </c>
      <c r="BT24" s="94" t="str">
        <f t="shared" si="368"/>
        <v/>
      </c>
      <c r="BU24" s="87">
        <f t="shared" si="70"/>
        <v>0</v>
      </c>
      <c r="BV24" s="87" t="str">
        <f t="shared" si="71"/>
        <v>#DIV/0!</v>
      </c>
      <c r="BW24" s="87">
        <f t="shared" si="72"/>
        <v>0</v>
      </c>
      <c r="BX24" s="95"/>
      <c r="BY24" s="87">
        <f t="shared" si="73"/>
        <v>0</v>
      </c>
      <c r="BZ24" s="410"/>
      <c r="CA24" s="96"/>
      <c r="CB24" s="96"/>
      <c r="CC24" s="87">
        <f t="shared" si="74"/>
        <v>0</v>
      </c>
      <c r="CD24" s="95">
        <f t="shared" si="75"/>
        <v>0.4604471269</v>
      </c>
      <c r="CE24" s="98">
        <f t="shared" si="76"/>
        <v>0</v>
      </c>
      <c r="CF24" s="99">
        <f t="shared" si="77"/>
        <v>0</v>
      </c>
      <c r="CG24" s="90"/>
      <c r="CH24" s="92">
        <f t="shared" si="203"/>
        <v>12</v>
      </c>
      <c r="CI24" s="93" t="str">
        <f t="shared" ref="CI24:CK24" si="369">IFERROR(VLOOKUP($R24,$A$13:$D$30,-CI$12,FALSE),"")</f>
        <v>Lainnya 2.3 (4) …….</v>
      </c>
      <c r="CJ24" s="94" t="str">
        <f t="shared" si="369"/>
        <v/>
      </c>
      <c r="CK24" s="94" t="str">
        <f t="shared" si="369"/>
        <v/>
      </c>
      <c r="CL24" s="87">
        <f t="shared" si="79"/>
        <v>0</v>
      </c>
      <c r="CM24" s="87" t="str">
        <f t="shared" si="80"/>
        <v>#DIV/0!</v>
      </c>
      <c r="CN24" s="87">
        <f t="shared" si="81"/>
        <v>0</v>
      </c>
      <c r="CO24" s="95"/>
      <c r="CP24" s="87">
        <f t="shared" si="82"/>
        <v>0</v>
      </c>
      <c r="CQ24" s="410"/>
      <c r="CR24" s="96"/>
      <c r="CS24" s="96"/>
      <c r="CT24" s="87">
        <f t="shared" si="83"/>
        <v>0</v>
      </c>
      <c r="CU24" s="95">
        <f t="shared" si="84"/>
        <v>0.4604471269</v>
      </c>
      <c r="CV24" s="98">
        <f t="shared" si="85"/>
        <v>0</v>
      </c>
      <c r="CW24" s="99">
        <f t="shared" si="86"/>
        <v>0</v>
      </c>
      <c r="CX24" s="90"/>
      <c r="CY24" s="92">
        <f t="shared" si="205"/>
        <v>12</v>
      </c>
      <c r="CZ24" s="93" t="str">
        <f t="shared" ref="CZ24:DB24" si="370">IFERROR(VLOOKUP($R24,$A$13:$D$30,-CZ$12,FALSE),"")</f>
        <v>Lainnya 2.3 (4) …….</v>
      </c>
      <c r="DA24" s="94" t="str">
        <f t="shared" si="370"/>
        <v/>
      </c>
      <c r="DB24" s="94" t="str">
        <f t="shared" si="370"/>
        <v/>
      </c>
      <c r="DC24" s="87">
        <f t="shared" si="88"/>
        <v>0</v>
      </c>
      <c r="DD24" s="87" t="str">
        <f t="shared" si="89"/>
        <v>#DIV/0!</v>
      </c>
      <c r="DE24" s="87">
        <f t="shared" si="90"/>
        <v>0</v>
      </c>
      <c r="DF24" s="95"/>
      <c r="DG24" s="87">
        <f t="shared" si="91"/>
        <v>0</v>
      </c>
      <c r="DH24" s="410"/>
      <c r="DI24" s="96"/>
      <c r="DJ24" s="96"/>
      <c r="DK24" s="87">
        <f t="shared" si="92"/>
        <v>0</v>
      </c>
      <c r="DL24" s="95">
        <f t="shared" si="93"/>
        <v>0.4604471269</v>
      </c>
      <c r="DM24" s="98">
        <f t="shared" si="94"/>
        <v>0</v>
      </c>
      <c r="DN24" s="99">
        <f t="shared" si="95"/>
        <v>0</v>
      </c>
      <c r="DO24" s="90"/>
      <c r="DP24" s="92">
        <f t="shared" si="207"/>
        <v>12</v>
      </c>
      <c r="DQ24" s="93" t="str">
        <f t="shared" ref="DQ24:DS24" si="371">IFERROR(VLOOKUP($R24,$A$13:$D$30,-DQ$12,FALSE),"")</f>
        <v>Lainnya 2.3 (4) …….</v>
      </c>
      <c r="DR24" s="94" t="str">
        <f t="shared" si="371"/>
        <v/>
      </c>
      <c r="DS24" s="94" t="str">
        <f t="shared" si="371"/>
        <v/>
      </c>
      <c r="DT24" s="87">
        <f t="shared" si="97"/>
        <v>0</v>
      </c>
      <c r="DU24" s="87" t="str">
        <f t="shared" si="98"/>
        <v>#DIV/0!</v>
      </c>
      <c r="DV24" s="87">
        <f t="shared" si="99"/>
        <v>0</v>
      </c>
      <c r="DW24" s="95"/>
      <c r="DX24" s="87">
        <f t="shared" si="100"/>
        <v>0</v>
      </c>
      <c r="DY24" s="410"/>
      <c r="DZ24" s="96"/>
      <c r="EA24" s="96"/>
      <c r="EB24" s="87">
        <f t="shared" si="101"/>
        <v>0</v>
      </c>
      <c r="EC24" s="95">
        <f t="shared" si="102"/>
        <v>0.4604471269</v>
      </c>
      <c r="ED24" s="98">
        <f t="shared" si="103"/>
        <v>0</v>
      </c>
      <c r="EE24" s="99">
        <f t="shared" si="104"/>
        <v>0</v>
      </c>
      <c r="EF24" s="90"/>
      <c r="EG24" s="92">
        <f t="shared" si="209"/>
        <v>12</v>
      </c>
      <c r="EH24" s="93" t="str">
        <f t="shared" ref="EH24:EJ24" si="372">IFERROR(VLOOKUP($R24,$A$13:$D$30,-EH$12,FALSE),"")</f>
        <v>Lainnya 2.3 (4) …….</v>
      </c>
      <c r="EI24" s="94" t="str">
        <f t="shared" si="372"/>
        <v/>
      </c>
      <c r="EJ24" s="94" t="str">
        <f t="shared" si="372"/>
        <v/>
      </c>
      <c r="EK24" s="87">
        <f t="shared" si="106"/>
        <v>0</v>
      </c>
      <c r="EL24" s="87" t="str">
        <f t="shared" si="107"/>
        <v>#DIV/0!</v>
      </c>
      <c r="EM24" s="87">
        <f t="shared" si="108"/>
        <v>0</v>
      </c>
      <c r="EN24" s="95"/>
      <c r="EO24" s="87">
        <f t="shared" si="109"/>
        <v>0</v>
      </c>
      <c r="EP24" s="410"/>
      <c r="EQ24" s="96"/>
      <c r="ER24" s="96"/>
      <c r="ES24" s="87">
        <f t="shared" si="110"/>
        <v>0</v>
      </c>
      <c r="ET24" s="95">
        <f t="shared" si="111"/>
        <v>0.4604471269</v>
      </c>
      <c r="EU24" s="98">
        <f t="shared" si="112"/>
        <v>0</v>
      </c>
      <c r="EV24" s="99">
        <f t="shared" si="113"/>
        <v>0</v>
      </c>
      <c r="EW24" s="90"/>
      <c r="EX24" s="92">
        <f t="shared" si="211"/>
        <v>12</v>
      </c>
      <c r="EY24" s="93" t="str">
        <f t="shared" ref="EY24:FA24" si="373">IFERROR(VLOOKUP($R24,$A$13:$D$30,-EY$12,FALSE),"")</f>
        <v>Lainnya 2.3 (4) …….</v>
      </c>
      <c r="EZ24" s="94" t="str">
        <f t="shared" si="373"/>
        <v/>
      </c>
      <c r="FA24" s="94" t="str">
        <f t="shared" si="373"/>
        <v/>
      </c>
      <c r="FB24" s="87">
        <f t="shared" si="115"/>
        <v>0</v>
      </c>
      <c r="FC24" s="87" t="str">
        <f t="shared" si="116"/>
        <v>#DIV/0!</v>
      </c>
      <c r="FD24" s="87">
        <f t="shared" si="117"/>
        <v>0</v>
      </c>
      <c r="FE24" s="95"/>
      <c r="FF24" s="87">
        <f t="shared" si="118"/>
        <v>0</v>
      </c>
      <c r="FG24" s="410"/>
      <c r="FH24" s="96"/>
      <c r="FI24" s="96"/>
      <c r="FJ24" s="87">
        <f t="shared" si="119"/>
        <v>0</v>
      </c>
      <c r="FK24" s="95">
        <f t="shared" si="120"/>
        <v>0.4604471269</v>
      </c>
      <c r="FL24" s="98">
        <f t="shared" si="121"/>
        <v>0</v>
      </c>
      <c r="FM24" s="99">
        <f t="shared" si="122"/>
        <v>0</v>
      </c>
      <c r="FN24" s="90"/>
      <c r="FO24" s="92">
        <f t="shared" si="213"/>
        <v>12</v>
      </c>
      <c r="FP24" s="93" t="str">
        <f t="shared" ref="FP24:FR24" si="374">IFERROR(VLOOKUP($R24,$A$13:$D$30,-FP$12,FALSE),"")</f>
        <v>Lainnya 2.3 (4) …….</v>
      </c>
      <c r="FQ24" s="94" t="str">
        <f t="shared" si="374"/>
        <v/>
      </c>
      <c r="FR24" s="94" t="str">
        <f t="shared" si="374"/>
        <v/>
      </c>
      <c r="FS24" s="87">
        <f t="shared" si="124"/>
        <v>0</v>
      </c>
      <c r="FT24" s="87" t="str">
        <f t="shared" si="125"/>
        <v>#DIV/0!</v>
      </c>
      <c r="FU24" s="87">
        <f t="shared" si="126"/>
        <v>0</v>
      </c>
      <c r="FV24" s="95"/>
      <c r="FW24" s="87">
        <f t="shared" si="127"/>
        <v>0</v>
      </c>
      <c r="FX24" s="410"/>
      <c r="FY24" s="96"/>
      <c r="FZ24" s="96"/>
      <c r="GA24" s="87">
        <f t="shared" si="128"/>
        <v>0</v>
      </c>
      <c r="GB24" s="95">
        <f t="shared" si="129"/>
        <v>0.4604471269</v>
      </c>
      <c r="GC24" s="98">
        <f t="shared" si="130"/>
        <v>0</v>
      </c>
      <c r="GD24" s="99">
        <f t="shared" si="131"/>
        <v>0</v>
      </c>
      <c r="GE24" s="90"/>
      <c r="GF24" s="92">
        <f t="shared" si="215"/>
        <v>12</v>
      </c>
      <c r="GG24" s="93" t="str">
        <f t="shared" ref="GG24:GI24" si="375">IFERROR(VLOOKUP($R24,$A$13:$D$30,-GG$12,FALSE),"")</f>
        <v>Lainnya 2.3 (4) …….</v>
      </c>
      <c r="GH24" s="94" t="str">
        <f t="shared" si="375"/>
        <v/>
      </c>
      <c r="GI24" s="94" t="str">
        <f t="shared" si="375"/>
        <v/>
      </c>
      <c r="GJ24" s="87">
        <f t="shared" si="133"/>
        <v>0</v>
      </c>
      <c r="GK24" s="87" t="str">
        <f t="shared" si="134"/>
        <v>#DIV/0!</v>
      </c>
      <c r="GL24" s="87">
        <f t="shared" si="135"/>
        <v>0</v>
      </c>
      <c r="GM24" s="95"/>
      <c r="GN24" s="87">
        <f t="shared" si="136"/>
        <v>0</v>
      </c>
      <c r="GO24" s="410"/>
      <c r="GP24" s="96"/>
      <c r="GQ24" s="96"/>
      <c r="GR24" s="87">
        <f t="shared" si="137"/>
        <v>0</v>
      </c>
      <c r="GS24" s="95">
        <f t="shared" si="138"/>
        <v>0.4604471269</v>
      </c>
      <c r="GT24" s="98">
        <f t="shared" si="139"/>
        <v>0</v>
      </c>
      <c r="GU24" s="99">
        <f t="shared" si="140"/>
        <v>0</v>
      </c>
      <c r="GV24" s="90"/>
      <c r="GW24" s="92">
        <f t="shared" si="217"/>
        <v>12</v>
      </c>
      <c r="GX24" s="93" t="str">
        <f t="shared" ref="GX24:GZ24" si="376">IFERROR(VLOOKUP($R24,$A$13:$D$30,-GX$12,FALSE),"")</f>
        <v>Lainnya 2.3 (4) …….</v>
      </c>
      <c r="GY24" s="94" t="str">
        <f t="shared" si="376"/>
        <v/>
      </c>
      <c r="GZ24" s="94" t="str">
        <f t="shared" si="376"/>
        <v/>
      </c>
      <c r="HA24" s="87">
        <f t="shared" si="142"/>
        <v>0</v>
      </c>
      <c r="HB24" s="87" t="str">
        <f t="shared" si="143"/>
        <v>#DIV/0!</v>
      </c>
      <c r="HC24" s="87">
        <f t="shared" si="144"/>
        <v>0</v>
      </c>
      <c r="HD24" s="95"/>
      <c r="HE24" s="87">
        <f t="shared" si="145"/>
        <v>0</v>
      </c>
      <c r="HF24" s="410"/>
      <c r="HG24" s="96"/>
      <c r="HH24" s="96"/>
      <c r="HI24" s="87">
        <f t="shared" si="146"/>
        <v>0</v>
      </c>
      <c r="HJ24" s="95">
        <f t="shared" si="147"/>
        <v>0.4604471269</v>
      </c>
      <c r="HK24" s="98">
        <f t="shared" si="148"/>
        <v>0</v>
      </c>
      <c r="HL24" s="99">
        <f t="shared" si="149"/>
        <v>0</v>
      </c>
      <c r="HM24" s="90"/>
      <c r="HN24" s="92">
        <f t="shared" si="219"/>
        <v>12</v>
      </c>
      <c r="HO24" s="93" t="str">
        <f t="shared" ref="HO24:HQ24" si="377">IFERROR(VLOOKUP($R24,$A$13:$D$30,-HO$12,FALSE),"")</f>
        <v>Lainnya 2.3 (4) …….</v>
      </c>
      <c r="HP24" s="94" t="str">
        <f t="shared" si="377"/>
        <v/>
      </c>
      <c r="HQ24" s="94" t="str">
        <f t="shared" si="377"/>
        <v/>
      </c>
      <c r="HR24" s="87">
        <f t="shared" si="151"/>
        <v>0</v>
      </c>
      <c r="HS24" s="87" t="str">
        <f t="shared" si="152"/>
        <v>#DIV/0!</v>
      </c>
      <c r="HT24" s="87">
        <f t="shared" si="153"/>
        <v>0</v>
      </c>
      <c r="HU24" s="95"/>
      <c r="HV24" s="87">
        <f t="shared" si="154"/>
        <v>0</v>
      </c>
      <c r="HW24" s="410"/>
      <c r="HX24" s="96"/>
      <c r="HY24" s="96"/>
      <c r="HZ24" s="87">
        <f t="shared" si="155"/>
        <v>0</v>
      </c>
      <c r="IA24" s="95">
        <f t="shared" si="156"/>
        <v>0.4604471269</v>
      </c>
      <c r="IB24" s="98">
        <f t="shared" si="157"/>
        <v>0</v>
      </c>
      <c r="IC24" s="99">
        <f t="shared" si="158"/>
        <v>0</v>
      </c>
      <c r="ID24" s="90"/>
      <c r="IE24" s="92">
        <f t="shared" si="221"/>
        <v>12</v>
      </c>
      <c r="IF24" s="93" t="str">
        <f t="shared" ref="IF24:IH24" si="378">IFERROR(VLOOKUP($R24,$A$13:$D$30,-IF$12,FALSE),"")</f>
        <v>Lainnya 2.3 (4) …….</v>
      </c>
      <c r="IG24" s="94" t="str">
        <f t="shared" si="378"/>
        <v/>
      </c>
      <c r="IH24" s="94" t="str">
        <f t="shared" si="378"/>
        <v/>
      </c>
      <c r="II24" s="87">
        <f t="shared" si="160"/>
        <v>0</v>
      </c>
      <c r="IJ24" s="87" t="str">
        <f t="shared" si="161"/>
        <v>#DIV/0!</v>
      </c>
      <c r="IK24" s="87">
        <f t="shared" si="162"/>
        <v>0</v>
      </c>
      <c r="IL24" s="95"/>
      <c r="IM24" s="87">
        <f t="shared" si="163"/>
        <v>0</v>
      </c>
      <c r="IN24" s="410"/>
      <c r="IO24" s="96"/>
      <c r="IP24" s="96"/>
      <c r="IQ24" s="87">
        <f t="shared" si="164"/>
        <v>0</v>
      </c>
      <c r="IR24" s="95">
        <f t="shared" si="165"/>
        <v>0.4604471269</v>
      </c>
      <c r="IS24" s="98">
        <f t="shared" si="166"/>
        <v>0</v>
      </c>
      <c r="IT24" s="99">
        <f t="shared" si="167"/>
        <v>0</v>
      </c>
      <c r="IU24" s="90"/>
      <c r="IV24" s="92">
        <f t="shared" si="223"/>
        <v>12</v>
      </c>
      <c r="IW24" s="93" t="str">
        <f t="shared" ref="IW24:IY24" si="379">IFERROR(VLOOKUP($R24,$A$13:$D$30,-IW$12,FALSE),"")</f>
        <v>Lainnya 2.3 (4) …….</v>
      </c>
      <c r="IX24" s="94" t="str">
        <f t="shared" si="379"/>
        <v/>
      </c>
      <c r="IY24" s="94" t="str">
        <f t="shared" si="379"/>
        <v/>
      </c>
      <c r="IZ24" s="87">
        <f t="shared" si="169"/>
        <v>0</v>
      </c>
      <c r="JA24" s="87" t="str">
        <f t="shared" si="170"/>
        <v>#DIV/0!</v>
      </c>
      <c r="JB24" s="87">
        <f t="shared" si="171"/>
        <v>0</v>
      </c>
      <c r="JC24" s="95"/>
      <c r="JD24" s="87">
        <f t="shared" si="172"/>
        <v>0</v>
      </c>
      <c r="JE24" s="410"/>
      <c r="JF24" s="96"/>
      <c r="JG24" s="96"/>
      <c r="JH24" s="87">
        <f t="shared" si="173"/>
        <v>0</v>
      </c>
      <c r="JI24" s="95">
        <f t="shared" si="174"/>
        <v>0.4604471269</v>
      </c>
      <c r="JJ24" s="98">
        <f t="shared" si="175"/>
        <v>0</v>
      </c>
      <c r="JK24" s="99">
        <f t="shared" si="176"/>
        <v>0</v>
      </c>
      <c r="JL24" s="90"/>
      <c r="JM24" s="92">
        <f t="shared" si="225"/>
        <v>12</v>
      </c>
      <c r="JN24" s="93" t="str">
        <f t="shared" ref="JN24:JP24" si="380">IFERROR(VLOOKUP($R24,$A$13:$D$30,-JN$12,FALSE),"")</f>
        <v>Lainnya 2.3 (4) …….</v>
      </c>
      <c r="JO24" s="94" t="str">
        <f t="shared" si="380"/>
        <v/>
      </c>
      <c r="JP24" s="94" t="str">
        <f t="shared" si="380"/>
        <v/>
      </c>
      <c r="JQ24" s="87">
        <f t="shared" si="178"/>
        <v>0</v>
      </c>
      <c r="JR24" s="87" t="str">
        <f t="shared" si="179"/>
        <v>#DIV/0!</v>
      </c>
      <c r="JS24" s="87">
        <f t="shared" si="180"/>
        <v>0</v>
      </c>
      <c r="JT24" s="95"/>
      <c r="JU24" s="87">
        <f t="shared" si="181"/>
        <v>0</v>
      </c>
      <c r="JV24" s="410"/>
      <c r="JW24" s="96"/>
      <c r="JX24" s="96"/>
      <c r="JY24" s="87">
        <f t="shared" si="182"/>
        <v>0</v>
      </c>
      <c r="JZ24" s="95">
        <f t="shared" si="183"/>
        <v>0.4604471269</v>
      </c>
      <c r="KA24" s="98">
        <f t="shared" si="184"/>
        <v>0</v>
      </c>
      <c r="KB24" s="99">
        <f t="shared" si="185"/>
        <v>0</v>
      </c>
      <c r="KC24" s="90"/>
      <c r="KD24" s="92">
        <f t="shared" si="227"/>
        <v>12</v>
      </c>
      <c r="KE24" s="93" t="str">
        <f t="shared" ref="KE24:KG24" si="381">IFERROR(VLOOKUP($R24,$A$13:$D$30,-KE$12,FALSE),"")</f>
        <v>Lainnya 2.3 (4) …….</v>
      </c>
      <c r="KF24" s="94" t="str">
        <f t="shared" si="381"/>
        <v/>
      </c>
      <c r="KG24" s="94" t="str">
        <f t="shared" si="381"/>
        <v/>
      </c>
      <c r="KH24" s="87">
        <f t="shared" si="187"/>
        <v>0</v>
      </c>
      <c r="KI24" s="87" t="str">
        <f t="shared" si="188"/>
        <v>#DIV/0!</v>
      </c>
      <c r="KJ24" s="87">
        <f t="shared" si="189"/>
        <v>0</v>
      </c>
      <c r="KK24" s="95"/>
      <c r="KL24" s="87">
        <f t="shared" si="190"/>
        <v>0</v>
      </c>
      <c r="KM24" s="410"/>
      <c r="KN24" s="96"/>
      <c r="KO24" s="96"/>
      <c r="KP24" s="87">
        <f t="shared" si="191"/>
        <v>0</v>
      </c>
      <c r="KQ24" s="95">
        <f t="shared" si="192"/>
        <v>0.4604471269</v>
      </c>
      <c r="KR24" s="98">
        <f t="shared" si="193"/>
        <v>0</v>
      </c>
      <c r="KS24" s="99">
        <f t="shared" si="194"/>
        <v>0</v>
      </c>
      <c r="KT24" s="90"/>
      <c r="KU24" s="91"/>
    </row>
    <row r="25" ht="15.75" customHeight="1">
      <c r="A25" s="92">
        <v>13.0</v>
      </c>
      <c r="B25" s="93" t="s">
        <v>85</v>
      </c>
      <c r="C25" s="94" t="s">
        <v>83</v>
      </c>
      <c r="D25" s="94" t="s">
        <v>83</v>
      </c>
      <c r="E25" s="87">
        <f t="shared" si="35"/>
        <v>0</v>
      </c>
      <c r="F25" s="87" t="str">
        <f t="shared" si="36"/>
        <v>#DIV/0!</v>
      </c>
      <c r="G25" s="87">
        <f t="shared" si="37"/>
        <v>0</v>
      </c>
      <c r="H25" s="95"/>
      <c r="I25" s="87">
        <f t="shared" si="38"/>
        <v>0</v>
      </c>
      <c r="J25" s="410"/>
      <c r="K25" s="96"/>
      <c r="L25" s="96"/>
      <c r="M25" s="87">
        <f t="shared" si="39"/>
        <v>0</v>
      </c>
      <c r="N25" s="95">
        <v>0.4604471268963365</v>
      </c>
      <c r="O25" s="98">
        <f t="shared" si="40"/>
        <v>0</v>
      </c>
      <c r="P25" s="99">
        <f t="shared" si="41"/>
        <v>0</v>
      </c>
      <c r="Q25" s="90"/>
      <c r="R25" s="92">
        <f t="shared" si="195"/>
        <v>13</v>
      </c>
      <c r="S25" s="93" t="str">
        <f t="shared" ref="S25:U25" si="382">IFERROR(VLOOKUP($R25,$A$13:$D$30,-S$12,FALSE),"")</f>
        <v>Lainnya 2.3 (5) …….</v>
      </c>
      <c r="T25" s="94" t="str">
        <f t="shared" si="382"/>
        <v/>
      </c>
      <c r="U25" s="94" t="str">
        <f t="shared" si="382"/>
        <v/>
      </c>
      <c r="V25" s="87">
        <f t="shared" si="43"/>
        <v>0</v>
      </c>
      <c r="W25" s="87" t="str">
        <f t="shared" si="44"/>
        <v>#DIV/0!</v>
      </c>
      <c r="X25" s="87">
        <f t="shared" si="45"/>
        <v>0</v>
      </c>
      <c r="Y25" s="95"/>
      <c r="Z25" s="87">
        <f t="shared" si="46"/>
        <v>0</v>
      </c>
      <c r="AA25" s="410"/>
      <c r="AB25" s="96"/>
      <c r="AC25" s="96"/>
      <c r="AD25" s="87">
        <f t="shared" si="47"/>
        <v>0</v>
      </c>
      <c r="AE25" s="95">
        <f t="shared" si="48"/>
        <v>0.4604471269</v>
      </c>
      <c r="AF25" s="98">
        <f t="shared" si="49"/>
        <v>0</v>
      </c>
      <c r="AG25" s="99">
        <f t="shared" si="50"/>
        <v>0</v>
      </c>
      <c r="AH25" s="90"/>
      <c r="AI25" s="92">
        <f t="shared" si="197"/>
        <v>13</v>
      </c>
      <c r="AJ25" s="93" t="str">
        <f t="shared" ref="AJ25:AL25" si="383">IFERROR(VLOOKUP($R25,$A$13:$D$30,-AJ$12,FALSE),"")</f>
        <v>Lainnya 2.3 (5) …….</v>
      </c>
      <c r="AK25" s="94" t="str">
        <f t="shared" si="383"/>
        <v/>
      </c>
      <c r="AL25" s="94" t="str">
        <f t="shared" si="383"/>
        <v/>
      </c>
      <c r="AM25" s="87">
        <f t="shared" si="52"/>
        <v>0</v>
      </c>
      <c r="AN25" s="87" t="str">
        <f t="shared" si="53"/>
        <v>#DIV/0!</v>
      </c>
      <c r="AO25" s="87">
        <f t="shared" si="54"/>
        <v>0</v>
      </c>
      <c r="AP25" s="95"/>
      <c r="AQ25" s="87">
        <f t="shared" si="55"/>
        <v>0</v>
      </c>
      <c r="AR25" s="410"/>
      <c r="AS25" s="96"/>
      <c r="AT25" s="96"/>
      <c r="AU25" s="87">
        <f t="shared" si="56"/>
        <v>0</v>
      </c>
      <c r="AV25" s="95">
        <f t="shared" si="57"/>
        <v>0.4604471269</v>
      </c>
      <c r="AW25" s="98">
        <f t="shared" si="58"/>
        <v>0</v>
      </c>
      <c r="AX25" s="99">
        <f t="shared" si="59"/>
        <v>0</v>
      </c>
      <c r="AY25" s="90"/>
      <c r="AZ25" s="92">
        <f t="shared" si="199"/>
        <v>13</v>
      </c>
      <c r="BA25" s="93" t="str">
        <f t="shared" ref="BA25:BC25" si="384">IFERROR(VLOOKUP($R25,$A$13:$D$30,-BA$12,FALSE),"")</f>
        <v>Lainnya 2.3 (5) …….</v>
      </c>
      <c r="BB25" s="94" t="str">
        <f t="shared" si="384"/>
        <v/>
      </c>
      <c r="BC25" s="94" t="str">
        <f t="shared" si="384"/>
        <v/>
      </c>
      <c r="BD25" s="87">
        <f t="shared" si="61"/>
        <v>0</v>
      </c>
      <c r="BE25" s="87" t="str">
        <f t="shared" si="62"/>
        <v>#DIV/0!</v>
      </c>
      <c r="BF25" s="87">
        <f t="shared" si="63"/>
        <v>0</v>
      </c>
      <c r="BG25" s="95"/>
      <c r="BH25" s="87">
        <f t="shared" si="64"/>
        <v>0</v>
      </c>
      <c r="BI25" s="410"/>
      <c r="BJ25" s="96"/>
      <c r="BK25" s="96"/>
      <c r="BL25" s="87">
        <f t="shared" si="65"/>
        <v>0</v>
      </c>
      <c r="BM25" s="95">
        <f t="shared" si="66"/>
        <v>0.4604471269</v>
      </c>
      <c r="BN25" s="98">
        <f t="shared" si="67"/>
        <v>0</v>
      </c>
      <c r="BO25" s="99">
        <f t="shared" si="68"/>
        <v>0</v>
      </c>
      <c r="BP25" s="90"/>
      <c r="BQ25" s="92">
        <f t="shared" si="201"/>
        <v>13</v>
      </c>
      <c r="BR25" s="93" t="str">
        <f t="shared" ref="BR25:BT25" si="385">IFERROR(VLOOKUP($R25,$A$13:$D$30,-BR$12,FALSE),"")</f>
        <v>Lainnya 2.3 (5) …….</v>
      </c>
      <c r="BS25" s="94" t="str">
        <f t="shared" si="385"/>
        <v/>
      </c>
      <c r="BT25" s="94" t="str">
        <f t="shared" si="385"/>
        <v/>
      </c>
      <c r="BU25" s="87">
        <f t="shared" si="70"/>
        <v>0</v>
      </c>
      <c r="BV25" s="87" t="str">
        <f t="shared" si="71"/>
        <v>#DIV/0!</v>
      </c>
      <c r="BW25" s="87">
        <f t="shared" si="72"/>
        <v>0</v>
      </c>
      <c r="BX25" s="95"/>
      <c r="BY25" s="87">
        <f t="shared" si="73"/>
        <v>0</v>
      </c>
      <c r="BZ25" s="410"/>
      <c r="CA25" s="96"/>
      <c r="CB25" s="96"/>
      <c r="CC25" s="87">
        <f t="shared" si="74"/>
        <v>0</v>
      </c>
      <c r="CD25" s="95">
        <f t="shared" si="75"/>
        <v>0.4604471269</v>
      </c>
      <c r="CE25" s="98">
        <f t="shared" si="76"/>
        <v>0</v>
      </c>
      <c r="CF25" s="99">
        <f t="shared" si="77"/>
        <v>0</v>
      </c>
      <c r="CG25" s="90"/>
      <c r="CH25" s="92">
        <f t="shared" si="203"/>
        <v>13</v>
      </c>
      <c r="CI25" s="93" t="str">
        <f t="shared" ref="CI25:CK25" si="386">IFERROR(VLOOKUP($R25,$A$13:$D$30,-CI$12,FALSE),"")</f>
        <v>Lainnya 2.3 (5) …….</v>
      </c>
      <c r="CJ25" s="94" t="str">
        <f t="shared" si="386"/>
        <v/>
      </c>
      <c r="CK25" s="94" t="str">
        <f t="shared" si="386"/>
        <v/>
      </c>
      <c r="CL25" s="87">
        <f t="shared" si="79"/>
        <v>0</v>
      </c>
      <c r="CM25" s="87" t="str">
        <f t="shared" si="80"/>
        <v>#DIV/0!</v>
      </c>
      <c r="CN25" s="87">
        <f t="shared" si="81"/>
        <v>0</v>
      </c>
      <c r="CO25" s="95"/>
      <c r="CP25" s="87">
        <f t="shared" si="82"/>
        <v>0</v>
      </c>
      <c r="CQ25" s="410"/>
      <c r="CR25" s="96"/>
      <c r="CS25" s="96"/>
      <c r="CT25" s="87">
        <f t="shared" si="83"/>
        <v>0</v>
      </c>
      <c r="CU25" s="95">
        <f t="shared" si="84"/>
        <v>0.4604471269</v>
      </c>
      <c r="CV25" s="98">
        <f t="shared" si="85"/>
        <v>0</v>
      </c>
      <c r="CW25" s="99">
        <f t="shared" si="86"/>
        <v>0</v>
      </c>
      <c r="CX25" s="90"/>
      <c r="CY25" s="92">
        <f t="shared" si="205"/>
        <v>13</v>
      </c>
      <c r="CZ25" s="93" t="str">
        <f t="shared" ref="CZ25:DB25" si="387">IFERROR(VLOOKUP($R25,$A$13:$D$30,-CZ$12,FALSE),"")</f>
        <v>Lainnya 2.3 (5) …….</v>
      </c>
      <c r="DA25" s="94" t="str">
        <f t="shared" si="387"/>
        <v/>
      </c>
      <c r="DB25" s="94" t="str">
        <f t="shared" si="387"/>
        <v/>
      </c>
      <c r="DC25" s="87">
        <f t="shared" si="88"/>
        <v>0</v>
      </c>
      <c r="DD25" s="87" t="str">
        <f t="shared" si="89"/>
        <v>#DIV/0!</v>
      </c>
      <c r="DE25" s="87">
        <f t="shared" si="90"/>
        <v>0</v>
      </c>
      <c r="DF25" s="95"/>
      <c r="DG25" s="87">
        <f t="shared" si="91"/>
        <v>0</v>
      </c>
      <c r="DH25" s="410"/>
      <c r="DI25" s="96"/>
      <c r="DJ25" s="96"/>
      <c r="DK25" s="87">
        <f t="shared" si="92"/>
        <v>0</v>
      </c>
      <c r="DL25" s="95">
        <f t="shared" si="93"/>
        <v>0.4604471269</v>
      </c>
      <c r="DM25" s="98">
        <f t="shared" si="94"/>
        <v>0</v>
      </c>
      <c r="DN25" s="99">
        <f t="shared" si="95"/>
        <v>0</v>
      </c>
      <c r="DO25" s="90"/>
      <c r="DP25" s="92">
        <f t="shared" si="207"/>
        <v>13</v>
      </c>
      <c r="DQ25" s="93" t="str">
        <f t="shared" ref="DQ25:DS25" si="388">IFERROR(VLOOKUP($R25,$A$13:$D$30,-DQ$12,FALSE),"")</f>
        <v>Lainnya 2.3 (5) …….</v>
      </c>
      <c r="DR25" s="94" t="str">
        <f t="shared" si="388"/>
        <v/>
      </c>
      <c r="DS25" s="94" t="str">
        <f t="shared" si="388"/>
        <v/>
      </c>
      <c r="DT25" s="87">
        <f t="shared" si="97"/>
        <v>0</v>
      </c>
      <c r="DU25" s="87" t="str">
        <f t="shared" si="98"/>
        <v>#DIV/0!</v>
      </c>
      <c r="DV25" s="87">
        <f t="shared" si="99"/>
        <v>0</v>
      </c>
      <c r="DW25" s="95"/>
      <c r="DX25" s="87">
        <f t="shared" si="100"/>
        <v>0</v>
      </c>
      <c r="DY25" s="410"/>
      <c r="DZ25" s="96"/>
      <c r="EA25" s="96"/>
      <c r="EB25" s="87">
        <f t="shared" si="101"/>
        <v>0</v>
      </c>
      <c r="EC25" s="95">
        <f t="shared" si="102"/>
        <v>0.4604471269</v>
      </c>
      <c r="ED25" s="98">
        <f t="shared" si="103"/>
        <v>0</v>
      </c>
      <c r="EE25" s="99">
        <f t="shared" si="104"/>
        <v>0</v>
      </c>
      <c r="EF25" s="90"/>
      <c r="EG25" s="92">
        <f t="shared" si="209"/>
        <v>13</v>
      </c>
      <c r="EH25" s="93" t="str">
        <f t="shared" ref="EH25:EJ25" si="389">IFERROR(VLOOKUP($R25,$A$13:$D$30,-EH$12,FALSE),"")</f>
        <v>Lainnya 2.3 (5) …….</v>
      </c>
      <c r="EI25" s="94" t="str">
        <f t="shared" si="389"/>
        <v/>
      </c>
      <c r="EJ25" s="94" t="str">
        <f t="shared" si="389"/>
        <v/>
      </c>
      <c r="EK25" s="87">
        <f t="shared" si="106"/>
        <v>0</v>
      </c>
      <c r="EL25" s="87" t="str">
        <f t="shared" si="107"/>
        <v>#DIV/0!</v>
      </c>
      <c r="EM25" s="87">
        <f t="shared" si="108"/>
        <v>0</v>
      </c>
      <c r="EN25" s="95"/>
      <c r="EO25" s="87">
        <f t="shared" si="109"/>
        <v>0</v>
      </c>
      <c r="EP25" s="410"/>
      <c r="EQ25" s="96"/>
      <c r="ER25" s="96"/>
      <c r="ES25" s="87">
        <f t="shared" si="110"/>
        <v>0</v>
      </c>
      <c r="ET25" s="95">
        <f t="shared" si="111"/>
        <v>0.4604471269</v>
      </c>
      <c r="EU25" s="98">
        <f t="shared" si="112"/>
        <v>0</v>
      </c>
      <c r="EV25" s="99">
        <f t="shared" si="113"/>
        <v>0</v>
      </c>
      <c r="EW25" s="90"/>
      <c r="EX25" s="92">
        <f t="shared" si="211"/>
        <v>13</v>
      </c>
      <c r="EY25" s="93" t="str">
        <f t="shared" ref="EY25:FA25" si="390">IFERROR(VLOOKUP($R25,$A$13:$D$30,-EY$12,FALSE),"")</f>
        <v>Lainnya 2.3 (5) …….</v>
      </c>
      <c r="EZ25" s="94" t="str">
        <f t="shared" si="390"/>
        <v/>
      </c>
      <c r="FA25" s="94" t="str">
        <f t="shared" si="390"/>
        <v/>
      </c>
      <c r="FB25" s="87">
        <f t="shared" si="115"/>
        <v>0</v>
      </c>
      <c r="FC25" s="87" t="str">
        <f t="shared" si="116"/>
        <v>#DIV/0!</v>
      </c>
      <c r="FD25" s="87">
        <f t="shared" si="117"/>
        <v>0</v>
      </c>
      <c r="FE25" s="95"/>
      <c r="FF25" s="87">
        <f t="shared" si="118"/>
        <v>0</v>
      </c>
      <c r="FG25" s="410"/>
      <c r="FH25" s="96"/>
      <c r="FI25" s="96"/>
      <c r="FJ25" s="87">
        <f t="shared" si="119"/>
        <v>0</v>
      </c>
      <c r="FK25" s="95">
        <f t="shared" si="120"/>
        <v>0.4604471269</v>
      </c>
      <c r="FL25" s="98">
        <f t="shared" si="121"/>
        <v>0</v>
      </c>
      <c r="FM25" s="99">
        <f t="shared" si="122"/>
        <v>0</v>
      </c>
      <c r="FN25" s="90"/>
      <c r="FO25" s="92">
        <f t="shared" si="213"/>
        <v>13</v>
      </c>
      <c r="FP25" s="93" t="str">
        <f t="shared" ref="FP25:FR25" si="391">IFERROR(VLOOKUP($R25,$A$13:$D$30,-FP$12,FALSE),"")</f>
        <v>Lainnya 2.3 (5) …….</v>
      </c>
      <c r="FQ25" s="94" t="str">
        <f t="shared" si="391"/>
        <v/>
      </c>
      <c r="FR25" s="94" t="str">
        <f t="shared" si="391"/>
        <v/>
      </c>
      <c r="FS25" s="87">
        <f t="shared" si="124"/>
        <v>0</v>
      </c>
      <c r="FT25" s="87" t="str">
        <f t="shared" si="125"/>
        <v>#DIV/0!</v>
      </c>
      <c r="FU25" s="87">
        <f t="shared" si="126"/>
        <v>0</v>
      </c>
      <c r="FV25" s="95"/>
      <c r="FW25" s="87">
        <f t="shared" si="127"/>
        <v>0</v>
      </c>
      <c r="FX25" s="410"/>
      <c r="FY25" s="96"/>
      <c r="FZ25" s="96"/>
      <c r="GA25" s="87">
        <f t="shared" si="128"/>
        <v>0</v>
      </c>
      <c r="GB25" s="95">
        <f t="shared" si="129"/>
        <v>0.4604471269</v>
      </c>
      <c r="GC25" s="98">
        <f t="shared" si="130"/>
        <v>0</v>
      </c>
      <c r="GD25" s="99">
        <f t="shared" si="131"/>
        <v>0</v>
      </c>
      <c r="GE25" s="90"/>
      <c r="GF25" s="92">
        <f t="shared" si="215"/>
        <v>13</v>
      </c>
      <c r="GG25" s="93" t="str">
        <f t="shared" ref="GG25:GI25" si="392">IFERROR(VLOOKUP($R25,$A$13:$D$30,-GG$12,FALSE),"")</f>
        <v>Lainnya 2.3 (5) …….</v>
      </c>
      <c r="GH25" s="94" t="str">
        <f t="shared" si="392"/>
        <v/>
      </c>
      <c r="GI25" s="94" t="str">
        <f t="shared" si="392"/>
        <v/>
      </c>
      <c r="GJ25" s="87">
        <f t="shared" si="133"/>
        <v>0</v>
      </c>
      <c r="GK25" s="87" t="str">
        <f t="shared" si="134"/>
        <v>#DIV/0!</v>
      </c>
      <c r="GL25" s="87">
        <f t="shared" si="135"/>
        <v>0</v>
      </c>
      <c r="GM25" s="95"/>
      <c r="GN25" s="87">
        <f t="shared" si="136"/>
        <v>0</v>
      </c>
      <c r="GO25" s="410"/>
      <c r="GP25" s="96"/>
      <c r="GQ25" s="96"/>
      <c r="GR25" s="87">
        <f t="shared" si="137"/>
        <v>0</v>
      </c>
      <c r="GS25" s="95">
        <f t="shared" si="138"/>
        <v>0.4604471269</v>
      </c>
      <c r="GT25" s="98">
        <f t="shared" si="139"/>
        <v>0</v>
      </c>
      <c r="GU25" s="99">
        <f t="shared" si="140"/>
        <v>0</v>
      </c>
      <c r="GV25" s="90"/>
      <c r="GW25" s="92">
        <f t="shared" si="217"/>
        <v>13</v>
      </c>
      <c r="GX25" s="93" t="str">
        <f t="shared" ref="GX25:GZ25" si="393">IFERROR(VLOOKUP($R25,$A$13:$D$30,-GX$12,FALSE),"")</f>
        <v>Lainnya 2.3 (5) …….</v>
      </c>
      <c r="GY25" s="94" t="str">
        <f t="shared" si="393"/>
        <v/>
      </c>
      <c r="GZ25" s="94" t="str">
        <f t="shared" si="393"/>
        <v/>
      </c>
      <c r="HA25" s="87" t="str">
        <f t="shared" si="142"/>
        <v>#VALUE!</v>
      </c>
      <c r="HB25" s="87" t="str">
        <f t="shared" si="143"/>
        <v>#VALUE!</v>
      </c>
      <c r="HC25" s="87">
        <f t="shared" si="144"/>
        <v>0</v>
      </c>
      <c r="HD25" s="95"/>
      <c r="HE25" s="87">
        <f t="shared" si="145"/>
        <v>0</v>
      </c>
      <c r="HF25" s="410"/>
      <c r="HG25" s="96"/>
      <c r="HH25" s="96"/>
      <c r="HI25" s="87">
        <f t="shared" si="146"/>
        <v>0</v>
      </c>
      <c r="HJ25" s="95">
        <f t="shared" si="147"/>
        <v>0.4604471269</v>
      </c>
      <c r="HK25" s="98">
        <f t="shared" si="148"/>
        <v>0</v>
      </c>
      <c r="HL25" s="99">
        <f t="shared" si="149"/>
        <v>0</v>
      </c>
      <c r="HM25" s="90"/>
      <c r="HN25" s="92">
        <f t="shared" si="219"/>
        <v>13</v>
      </c>
      <c r="HO25" s="93" t="str">
        <f t="shared" ref="HO25:HQ25" si="394">IFERROR(VLOOKUP($R25,$A$13:$D$30,-HO$12,FALSE),"")</f>
        <v>Lainnya 2.3 (5) …….</v>
      </c>
      <c r="HP25" s="94" t="str">
        <f t="shared" si="394"/>
        <v/>
      </c>
      <c r="HQ25" s="94" t="str">
        <f t="shared" si="394"/>
        <v/>
      </c>
      <c r="HR25" s="87">
        <f t="shared" si="151"/>
        <v>0</v>
      </c>
      <c r="HS25" s="87" t="str">
        <f t="shared" si="152"/>
        <v>#DIV/0!</v>
      </c>
      <c r="HT25" s="87">
        <f t="shared" si="153"/>
        <v>0</v>
      </c>
      <c r="HU25" s="95"/>
      <c r="HV25" s="87">
        <f t="shared" si="154"/>
        <v>0</v>
      </c>
      <c r="HW25" s="410"/>
      <c r="HX25" s="96"/>
      <c r="HY25" s="96"/>
      <c r="HZ25" s="87">
        <f t="shared" si="155"/>
        <v>0</v>
      </c>
      <c r="IA25" s="95">
        <f t="shared" si="156"/>
        <v>0.4604471269</v>
      </c>
      <c r="IB25" s="98">
        <f t="shared" si="157"/>
        <v>0</v>
      </c>
      <c r="IC25" s="99">
        <f t="shared" si="158"/>
        <v>0</v>
      </c>
      <c r="ID25" s="90"/>
      <c r="IE25" s="92">
        <f t="shared" si="221"/>
        <v>13</v>
      </c>
      <c r="IF25" s="93" t="str">
        <f t="shared" ref="IF25:IH25" si="395">IFERROR(VLOOKUP($R25,$A$13:$D$30,-IF$12,FALSE),"")</f>
        <v>Lainnya 2.3 (5) …….</v>
      </c>
      <c r="IG25" s="94" t="str">
        <f t="shared" si="395"/>
        <v/>
      </c>
      <c r="IH25" s="94" t="str">
        <f t="shared" si="395"/>
        <v/>
      </c>
      <c r="II25" s="87">
        <f t="shared" si="160"/>
        <v>0</v>
      </c>
      <c r="IJ25" s="87" t="str">
        <f t="shared" si="161"/>
        <v>#DIV/0!</v>
      </c>
      <c r="IK25" s="87">
        <f t="shared" si="162"/>
        <v>0</v>
      </c>
      <c r="IL25" s="95"/>
      <c r="IM25" s="87">
        <f t="shared" si="163"/>
        <v>0</v>
      </c>
      <c r="IN25" s="410"/>
      <c r="IO25" s="96"/>
      <c r="IP25" s="96"/>
      <c r="IQ25" s="87">
        <f t="shared" si="164"/>
        <v>0</v>
      </c>
      <c r="IR25" s="95">
        <f t="shared" si="165"/>
        <v>0.4604471269</v>
      </c>
      <c r="IS25" s="98">
        <f t="shared" si="166"/>
        <v>0</v>
      </c>
      <c r="IT25" s="99">
        <f t="shared" si="167"/>
        <v>0</v>
      </c>
      <c r="IU25" s="90"/>
      <c r="IV25" s="92">
        <f t="shared" si="223"/>
        <v>13</v>
      </c>
      <c r="IW25" s="93" t="str">
        <f t="shared" ref="IW25:IY25" si="396">IFERROR(VLOOKUP($R25,$A$13:$D$30,-IW$12,FALSE),"")</f>
        <v>Lainnya 2.3 (5) …….</v>
      </c>
      <c r="IX25" s="94" t="str">
        <f t="shared" si="396"/>
        <v/>
      </c>
      <c r="IY25" s="94" t="str">
        <f t="shared" si="396"/>
        <v/>
      </c>
      <c r="IZ25" s="87">
        <f t="shared" si="169"/>
        <v>0</v>
      </c>
      <c r="JA25" s="87" t="str">
        <f t="shared" si="170"/>
        <v>#DIV/0!</v>
      </c>
      <c r="JB25" s="87">
        <f t="shared" si="171"/>
        <v>0</v>
      </c>
      <c r="JC25" s="95"/>
      <c r="JD25" s="87">
        <f t="shared" si="172"/>
        <v>0</v>
      </c>
      <c r="JE25" s="410"/>
      <c r="JF25" s="96"/>
      <c r="JG25" s="96"/>
      <c r="JH25" s="87">
        <f t="shared" si="173"/>
        <v>0</v>
      </c>
      <c r="JI25" s="95">
        <f t="shared" si="174"/>
        <v>0.4604471269</v>
      </c>
      <c r="JJ25" s="98">
        <f t="shared" si="175"/>
        <v>0</v>
      </c>
      <c r="JK25" s="99">
        <f t="shared" si="176"/>
        <v>0</v>
      </c>
      <c r="JL25" s="90"/>
      <c r="JM25" s="92">
        <f t="shared" si="225"/>
        <v>13</v>
      </c>
      <c r="JN25" s="93" t="str">
        <f t="shared" ref="JN25:JP25" si="397">IFERROR(VLOOKUP($R25,$A$13:$D$30,-JN$12,FALSE),"")</f>
        <v>Lainnya 2.3 (5) …….</v>
      </c>
      <c r="JO25" s="94" t="str">
        <f t="shared" si="397"/>
        <v/>
      </c>
      <c r="JP25" s="94" t="str">
        <f t="shared" si="397"/>
        <v/>
      </c>
      <c r="JQ25" s="87">
        <f t="shared" si="178"/>
        <v>0</v>
      </c>
      <c r="JR25" s="87" t="str">
        <f t="shared" si="179"/>
        <v>#DIV/0!</v>
      </c>
      <c r="JS25" s="87">
        <f t="shared" si="180"/>
        <v>0</v>
      </c>
      <c r="JT25" s="95"/>
      <c r="JU25" s="87">
        <f t="shared" si="181"/>
        <v>0</v>
      </c>
      <c r="JV25" s="410"/>
      <c r="JW25" s="96"/>
      <c r="JX25" s="96"/>
      <c r="JY25" s="87">
        <f t="shared" si="182"/>
        <v>0</v>
      </c>
      <c r="JZ25" s="95">
        <f t="shared" si="183"/>
        <v>0.4604471269</v>
      </c>
      <c r="KA25" s="98">
        <f t="shared" si="184"/>
        <v>0</v>
      </c>
      <c r="KB25" s="99">
        <f t="shared" si="185"/>
        <v>0</v>
      </c>
      <c r="KC25" s="90"/>
      <c r="KD25" s="92">
        <f t="shared" si="227"/>
        <v>13</v>
      </c>
      <c r="KE25" s="93" t="str">
        <f t="shared" ref="KE25:KG25" si="398">IFERROR(VLOOKUP($R25,$A$13:$D$30,-KE$12,FALSE),"")</f>
        <v>Lainnya 2.3 (5) …….</v>
      </c>
      <c r="KF25" s="94" t="str">
        <f t="shared" si="398"/>
        <v/>
      </c>
      <c r="KG25" s="94" t="str">
        <f t="shared" si="398"/>
        <v/>
      </c>
      <c r="KH25" s="87">
        <f t="shared" si="187"/>
        <v>0</v>
      </c>
      <c r="KI25" s="87" t="str">
        <f t="shared" si="188"/>
        <v>#DIV/0!</v>
      </c>
      <c r="KJ25" s="87">
        <f t="shared" si="189"/>
        <v>0</v>
      </c>
      <c r="KK25" s="95"/>
      <c r="KL25" s="87">
        <f t="shared" si="190"/>
        <v>0</v>
      </c>
      <c r="KM25" s="410"/>
      <c r="KN25" s="96"/>
      <c r="KO25" s="96"/>
      <c r="KP25" s="87">
        <f t="shared" si="191"/>
        <v>0</v>
      </c>
      <c r="KQ25" s="95">
        <f t="shared" si="192"/>
        <v>0.4604471269</v>
      </c>
      <c r="KR25" s="98">
        <f t="shared" si="193"/>
        <v>0</v>
      </c>
      <c r="KS25" s="99">
        <f t="shared" si="194"/>
        <v>0</v>
      </c>
      <c r="KT25" s="90"/>
      <c r="KU25" s="91"/>
    </row>
    <row r="26" ht="15.75" customHeight="1">
      <c r="A26" s="92">
        <v>14.0</v>
      </c>
      <c r="B26" s="93" t="s">
        <v>86</v>
      </c>
      <c r="C26" s="94" t="s">
        <v>83</v>
      </c>
      <c r="D26" s="94" t="s">
        <v>83</v>
      </c>
      <c r="E26" s="87">
        <f t="shared" si="35"/>
        <v>0</v>
      </c>
      <c r="F26" s="87" t="str">
        <f t="shared" si="36"/>
        <v>#DIV/0!</v>
      </c>
      <c r="G26" s="87">
        <f t="shared" si="37"/>
        <v>0</v>
      </c>
      <c r="H26" s="95"/>
      <c r="I26" s="87">
        <f t="shared" si="38"/>
        <v>0</v>
      </c>
      <c r="J26" s="410"/>
      <c r="K26" s="96"/>
      <c r="L26" s="96"/>
      <c r="M26" s="87">
        <f t="shared" si="39"/>
        <v>0</v>
      </c>
      <c r="N26" s="95">
        <v>0.4604471268963365</v>
      </c>
      <c r="O26" s="98">
        <f t="shared" si="40"/>
        <v>0</v>
      </c>
      <c r="P26" s="99">
        <f t="shared" si="41"/>
        <v>0</v>
      </c>
      <c r="Q26" s="90"/>
      <c r="R26" s="92">
        <f t="shared" si="195"/>
        <v>14</v>
      </c>
      <c r="S26" s="93" t="str">
        <f t="shared" ref="S26:U26" si="399">IFERROR(VLOOKUP($R26,$A$13:$D$30,-S$12,FALSE),"")</f>
        <v>Lainnya 2.3 (6) …….</v>
      </c>
      <c r="T26" s="94" t="str">
        <f t="shared" si="399"/>
        <v/>
      </c>
      <c r="U26" s="94" t="str">
        <f t="shared" si="399"/>
        <v/>
      </c>
      <c r="V26" s="87">
        <f t="shared" si="43"/>
        <v>0</v>
      </c>
      <c r="W26" s="87" t="str">
        <f t="shared" si="44"/>
        <v>#DIV/0!</v>
      </c>
      <c r="X26" s="87">
        <f t="shared" si="45"/>
        <v>0</v>
      </c>
      <c r="Y26" s="95"/>
      <c r="Z26" s="87">
        <f t="shared" si="46"/>
        <v>0</v>
      </c>
      <c r="AA26" s="410"/>
      <c r="AB26" s="96"/>
      <c r="AC26" s="96"/>
      <c r="AD26" s="87">
        <f t="shared" si="47"/>
        <v>0</v>
      </c>
      <c r="AE26" s="95">
        <f t="shared" si="48"/>
        <v>0.4604471269</v>
      </c>
      <c r="AF26" s="98">
        <f t="shared" si="49"/>
        <v>0</v>
      </c>
      <c r="AG26" s="99">
        <f t="shared" si="50"/>
        <v>0</v>
      </c>
      <c r="AH26" s="90"/>
      <c r="AI26" s="92">
        <f t="shared" si="197"/>
        <v>14</v>
      </c>
      <c r="AJ26" s="93" t="str">
        <f t="shared" ref="AJ26:AL26" si="400">IFERROR(VLOOKUP($R26,$A$13:$D$30,-AJ$12,FALSE),"")</f>
        <v>Lainnya 2.3 (6) …….</v>
      </c>
      <c r="AK26" s="94" t="str">
        <f t="shared" si="400"/>
        <v/>
      </c>
      <c r="AL26" s="94" t="str">
        <f t="shared" si="400"/>
        <v/>
      </c>
      <c r="AM26" s="87">
        <f t="shared" si="52"/>
        <v>0</v>
      </c>
      <c r="AN26" s="87" t="str">
        <f t="shared" si="53"/>
        <v>#DIV/0!</v>
      </c>
      <c r="AO26" s="87">
        <f t="shared" si="54"/>
        <v>0</v>
      </c>
      <c r="AP26" s="95"/>
      <c r="AQ26" s="87">
        <f t="shared" si="55"/>
        <v>0</v>
      </c>
      <c r="AR26" s="410"/>
      <c r="AS26" s="96"/>
      <c r="AT26" s="96"/>
      <c r="AU26" s="87">
        <f t="shared" si="56"/>
        <v>0</v>
      </c>
      <c r="AV26" s="95">
        <f t="shared" si="57"/>
        <v>0.4604471269</v>
      </c>
      <c r="AW26" s="98">
        <f t="shared" si="58"/>
        <v>0</v>
      </c>
      <c r="AX26" s="99">
        <f t="shared" si="59"/>
        <v>0</v>
      </c>
      <c r="AY26" s="90"/>
      <c r="AZ26" s="92">
        <f t="shared" si="199"/>
        <v>14</v>
      </c>
      <c r="BA26" s="93" t="str">
        <f t="shared" ref="BA26:BC26" si="401">IFERROR(VLOOKUP($R26,$A$13:$D$30,-BA$12,FALSE),"")</f>
        <v>Lainnya 2.3 (6) …….</v>
      </c>
      <c r="BB26" s="94" t="str">
        <f t="shared" si="401"/>
        <v/>
      </c>
      <c r="BC26" s="94" t="str">
        <f t="shared" si="401"/>
        <v/>
      </c>
      <c r="BD26" s="87">
        <f t="shared" si="61"/>
        <v>0</v>
      </c>
      <c r="BE26" s="87" t="str">
        <f t="shared" si="62"/>
        <v>#DIV/0!</v>
      </c>
      <c r="BF26" s="87">
        <f t="shared" si="63"/>
        <v>0</v>
      </c>
      <c r="BG26" s="95"/>
      <c r="BH26" s="87">
        <f t="shared" si="64"/>
        <v>0</v>
      </c>
      <c r="BI26" s="410"/>
      <c r="BJ26" s="96"/>
      <c r="BK26" s="96"/>
      <c r="BL26" s="87">
        <f t="shared" si="65"/>
        <v>0</v>
      </c>
      <c r="BM26" s="95">
        <f t="shared" si="66"/>
        <v>0.4604471269</v>
      </c>
      <c r="BN26" s="98">
        <f t="shared" si="67"/>
        <v>0</v>
      </c>
      <c r="BO26" s="99">
        <f t="shared" si="68"/>
        <v>0</v>
      </c>
      <c r="BP26" s="90"/>
      <c r="BQ26" s="92">
        <f t="shared" si="201"/>
        <v>14</v>
      </c>
      <c r="BR26" s="93" t="str">
        <f t="shared" ref="BR26:BT26" si="402">IFERROR(VLOOKUP($R26,$A$13:$D$30,-BR$12,FALSE),"")</f>
        <v>Lainnya 2.3 (6) …….</v>
      </c>
      <c r="BS26" s="94" t="str">
        <f t="shared" si="402"/>
        <v/>
      </c>
      <c r="BT26" s="94" t="str">
        <f t="shared" si="402"/>
        <v/>
      </c>
      <c r="BU26" s="87">
        <f t="shared" si="70"/>
        <v>0</v>
      </c>
      <c r="BV26" s="87" t="str">
        <f t="shared" si="71"/>
        <v>#DIV/0!</v>
      </c>
      <c r="BW26" s="87">
        <f t="shared" si="72"/>
        <v>0</v>
      </c>
      <c r="BX26" s="95"/>
      <c r="BY26" s="87">
        <f t="shared" si="73"/>
        <v>0</v>
      </c>
      <c r="BZ26" s="410"/>
      <c r="CA26" s="96"/>
      <c r="CB26" s="96"/>
      <c r="CC26" s="87">
        <f t="shared" si="74"/>
        <v>0</v>
      </c>
      <c r="CD26" s="95">
        <f t="shared" si="75"/>
        <v>0.4604471269</v>
      </c>
      <c r="CE26" s="98">
        <f t="shared" si="76"/>
        <v>0</v>
      </c>
      <c r="CF26" s="99">
        <f t="shared" si="77"/>
        <v>0</v>
      </c>
      <c r="CG26" s="90"/>
      <c r="CH26" s="92">
        <f t="shared" si="203"/>
        <v>14</v>
      </c>
      <c r="CI26" s="93" t="str">
        <f t="shared" ref="CI26:CK26" si="403">IFERROR(VLOOKUP($R26,$A$13:$D$30,-CI$12,FALSE),"")</f>
        <v>Lainnya 2.3 (6) …….</v>
      </c>
      <c r="CJ26" s="94" t="str">
        <f t="shared" si="403"/>
        <v/>
      </c>
      <c r="CK26" s="94" t="str">
        <f t="shared" si="403"/>
        <v/>
      </c>
      <c r="CL26" s="87">
        <f t="shared" si="79"/>
        <v>0</v>
      </c>
      <c r="CM26" s="87" t="str">
        <f t="shared" si="80"/>
        <v>#DIV/0!</v>
      </c>
      <c r="CN26" s="87">
        <f t="shared" si="81"/>
        <v>0</v>
      </c>
      <c r="CO26" s="95"/>
      <c r="CP26" s="87">
        <f t="shared" si="82"/>
        <v>0</v>
      </c>
      <c r="CQ26" s="410"/>
      <c r="CR26" s="96"/>
      <c r="CS26" s="96"/>
      <c r="CT26" s="87">
        <f t="shared" si="83"/>
        <v>0</v>
      </c>
      <c r="CU26" s="95">
        <f t="shared" si="84"/>
        <v>0.4604471269</v>
      </c>
      <c r="CV26" s="98">
        <f t="shared" si="85"/>
        <v>0</v>
      </c>
      <c r="CW26" s="99">
        <f t="shared" si="86"/>
        <v>0</v>
      </c>
      <c r="CX26" s="90"/>
      <c r="CY26" s="92">
        <f t="shared" si="205"/>
        <v>14</v>
      </c>
      <c r="CZ26" s="93" t="str">
        <f t="shared" ref="CZ26:DB26" si="404">IFERROR(VLOOKUP($R26,$A$13:$D$30,-CZ$12,FALSE),"")</f>
        <v>Lainnya 2.3 (6) …….</v>
      </c>
      <c r="DA26" s="94" t="str">
        <f t="shared" si="404"/>
        <v/>
      </c>
      <c r="DB26" s="94" t="str">
        <f t="shared" si="404"/>
        <v/>
      </c>
      <c r="DC26" s="87">
        <f t="shared" si="88"/>
        <v>0</v>
      </c>
      <c r="DD26" s="87" t="str">
        <f t="shared" si="89"/>
        <v>#DIV/0!</v>
      </c>
      <c r="DE26" s="87">
        <f t="shared" si="90"/>
        <v>0</v>
      </c>
      <c r="DF26" s="95"/>
      <c r="DG26" s="87">
        <f t="shared" si="91"/>
        <v>0</v>
      </c>
      <c r="DH26" s="410"/>
      <c r="DI26" s="96"/>
      <c r="DJ26" s="96"/>
      <c r="DK26" s="87">
        <f t="shared" si="92"/>
        <v>0</v>
      </c>
      <c r="DL26" s="95">
        <f t="shared" si="93"/>
        <v>0.4604471269</v>
      </c>
      <c r="DM26" s="98">
        <f t="shared" si="94"/>
        <v>0</v>
      </c>
      <c r="DN26" s="99">
        <f t="shared" si="95"/>
        <v>0</v>
      </c>
      <c r="DO26" s="90"/>
      <c r="DP26" s="92">
        <f t="shared" si="207"/>
        <v>14</v>
      </c>
      <c r="DQ26" s="93" t="str">
        <f t="shared" ref="DQ26:DS26" si="405">IFERROR(VLOOKUP($R26,$A$13:$D$30,-DQ$12,FALSE),"")</f>
        <v>Lainnya 2.3 (6) …….</v>
      </c>
      <c r="DR26" s="94" t="str">
        <f t="shared" si="405"/>
        <v/>
      </c>
      <c r="DS26" s="94" t="str">
        <f t="shared" si="405"/>
        <v/>
      </c>
      <c r="DT26" s="87">
        <f t="shared" si="97"/>
        <v>0</v>
      </c>
      <c r="DU26" s="87" t="str">
        <f t="shared" si="98"/>
        <v>#DIV/0!</v>
      </c>
      <c r="DV26" s="87">
        <f t="shared" si="99"/>
        <v>0</v>
      </c>
      <c r="DW26" s="95"/>
      <c r="DX26" s="87">
        <f t="shared" si="100"/>
        <v>0</v>
      </c>
      <c r="DY26" s="410"/>
      <c r="DZ26" s="96"/>
      <c r="EA26" s="96"/>
      <c r="EB26" s="87">
        <f t="shared" si="101"/>
        <v>0</v>
      </c>
      <c r="EC26" s="95">
        <f t="shared" si="102"/>
        <v>0.4604471269</v>
      </c>
      <c r="ED26" s="98">
        <f t="shared" si="103"/>
        <v>0</v>
      </c>
      <c r="EE26" s="99">
        <f t="shared" si="104"/>
        <v>0</v>
      </c>
      <c r="EF26" s="90"/>
      <c r="EG26" s="92">
        <f t="shared" si="209"/>
        <v>14</v>
      </c>
      <c r="EH26" s="93" t="str">
        <f t="shared" ref="EH26:EJ26" si="406">IFERROR(VLOOKUP($R26,$A$13:$D$30,-EH$12,FALSE),"")</f>
        <v>Lainnya 2.3 (6) …….</v>
      </c>
      <c r="EI26" s="94" t="str">
        <f t="shared" si="406"/>
        <v/>
      </c>
      <c r="EJ26" s="94" t="str">
        <f t="shared" si="406"/>
        <v/>
      </c>
      <c r="EK26" s="87">
        <f t="shared" si="106"/>
        <v>0</v>
      </c>
      <c r="EL26" s="87" t="str">
        <f t="shared" si="107"/>
        <v>#DIV/0!</v>
      </c>
      <c r="EM26" s="87">
        <f t="shared" si="108"/>
        <v>0</v>
      </c>
      <c r="EN26" s="95"/>
      <c r="EO26" s="87">
        <f t="shared" si="109"/>
        <v>0</v>
      </c>
      <c r="EP26" s="410"/>
      <c r="EQ26" s="96"/>
      <c r="ER26" s="96"/>
      <c r="ES26" s="87">
        <f t="shared" si="110"/>
        <v>0</v>
      </c>
      <c r="ET26" s="95">
        <f t="shared" si="111"/>
        <v>0.4604471269</v>
      </c>
      <c r="EU26" s="98">
        <f t="shared" si="112"/>
        <v>0</v>
      </c>
      <c r="EV26" s="99">
        <f t="shared" si="113"/>
        <v>0</v>
      </c>
      <c r="EW26" s="90"/>
      <c r="EX26" s="92">
        <f t="shared" si="211"/>
        <v>14</v>
      </c>
      <c r="EY26" s="93" t="str">
        <f t="shared" ref="EY26:FA26" si="407">IFERROR(VLOOKUP($R26,$A$13:$D$30,-EY$12,FALSE),"")</f>
        <v>Lainnya 2.3 (6) …….</v>
      </c>
      <c r="EZ26" s="94" t="str">
        <f t="shared" si="407"/>
        <v/>
      </c>
      <c r="FA26" s="94" t="str">
        <f t="shared" si="407"/>
        <v/>
      </c>
      <c r="FB26" s="87">
        <f t="shared" si="115"/>
        <v>0</v>
      </c>
      <c r="FC26" s="87" t="str">
        <f t="shared" si="116"/>
        <v>#DIV/0!</v>
      </c>
      <c r="FD26" s="87">
        <f t="shared" si="117"/>
        <v>0</v>
      </c>
      <c r="FE26" s="95"/>
      <c r="FF26" s="87">
        <f t="shared" si="118"/>
        <v>0</v>
      </c>
      <c r="FG26" s="410"/>
      <c r="FH26" s="96"/>
      <c r="FI26" s="96"/>
      <c r="FJ26" s="87">
        <f t="shared" si="119"/>
        <v>0</v>
      </c>
      <c r="FK26" s="95">
        <f t="shared" si="120"/>
        <v>0.4604471269</v>
      </c>
      <c r="FL26" s="98">
        <f t="shared" si="121"/>
        <v>0</v>
      </c>
      <c r="FM26" s="99">
        <f t="shared" si="122"/>
        <v>0</v>
      </c>
      <c r="FN26" s="90"/>
      <c r="FO26" s="92">
        <f t="shared" si="213"/>
        <v>14</v>
      </c>
      <c r="FP26" s="93" t="str">
        <f t="shared" ref="FP26:FR26" si="408">IFERROR(VLOOKUP($R26,$A$13:$D$30,-FP$12,FALSE),"")</f>
        <v>Lainnya 2.3 (6) …….</v>
      </c>
      <c r="FQ26" s="94" t="str">
        <f t="shared" si="408"/>
        <v/>
      </c>
      <c r="FR26" s="94" t="str">
        <f t="shared" si="408"/>
        <v/>
      </c>
      <c r="FS26" s="87">
        <f t="shared" si="124"/>
        <v>0</v>
      </c>
      <c r="FT26" s="87" t="str">
        <f t="shared" si="125"/>
        <v>#DIV/0!</v>
      </c>
      <c r="FU26" s="87">
        <f t="shared" si="126"/>
        <v>0</v>
      </c>
      <c r="FV26" s="95"/>
      <c r="FW26" s="87">
        <f t="shared" si="127"/>
        <v>0</v>
      </c>
      <c r="FX26" s="410"/>
      <c r="FY26" s="96"/>
      <c r="FZ26" s="96"/>
      <c r="GA26" s="87">
        <f t="shared" si="128"/>
        <v>0</v>
      </c>
      <c r="GB26" s="95">
        <f t="shared" si="129"/>
        <v>0.4604471269</v>
      </c>
      <c r="GC26" s="98">
        <f t="shared" si="130"/>
        <v>0</v>
      </c>
      <c r="GD26" s="99">
        <f t="shared" si="131"/>
        <v>0</v>
      </c>
      <c r="GE26" s="90"/>
      <c r="GF26" s="92">
        <f t="shared" si="215"/>
        <v>14</v>
      </c>
      <c r="GG26" s="93" t="str">
        <f t="shared" ref="GG26:GI26" si="409">IFERROR(VLOOKUP($R26,$A$13:$D$30,-GG$12,FALSE),"")</f>
        <v>Lainnya 2.3 (6) …….</v>
      </c>
      <c r="GH26" s="94" t="str">
        <f t="shared" si="409"/>
        <v/>
      </c>
      <c r="GI26" s="94" t="str">
        <f t="shared" si="409"/>
        <v/>
      </c>
      <c r="GJ26" s="87">
        <f t="shared" si="133"/>
        <v>0</v>
      </c>
      <c r="GK26" s="87" t="str">
        <f t="shared" si="134"/>
        <v>#DIV/0!</v>
      </c>
      <c r="GL26" s="87">
        <f t="shared" si="135"/>
        <v>0</v>
      </c>
      <c r="GM26" s="95"/>
      <c r="GN26" s="87">
        <f t="shared" si="136"/>
        <v>0</v>
      </c>
      <c r="GO26" s="410"/>
      <c r="GP26" s="96"/>
      <c r="GQ26" s="96"/>
      <c r="GR26" s="87">
        <f t="shared" si="137"/>
        <v>0</v>
      </c>
      <c r="GS26" s="95">
        <f t="shared" si="138"/>
        <v>0.4604471269</v>
      </c>
      <c r="GT26" s="98">
        <f t="shared" si="139"/>
        <v>0</v>
      </c>
      <c r="GU26" s="99">
        <f t="shared" si="140"/>
        <v>0</v>
      </c>
      <c r="GV26" s="90"/>
      <c r="GW26" s="92">
        <f t="shared" si="217"/>
        <v>14</v>
      </c>
      <c r="GX26" s="93" t="str">
        <f t="shared" ref="GX26:GZ26" si="410">IFERROR(VLOOKUP($R26,$A$13:$D$30,-GX$12,FALSE),"")</f>
        <v>Lainnya 2.3 (6) …….</v>
      </c>
      <c r="GY26" s="94" t="str">
        <f t="shared" si="410"/>
        <v/>
      </c>
      <c r="GZ26" s="94" t="str">
        <f t="shared" si="410"/>
        <v/>
      </c>
      <c r="HA26" s="87">
        <f t="shared" si="142"/>
        <v>259156</v>
      </c>
      <c r="HB26" s="87">
        <f t="shared" si="143"/>
        <v>0</v>
      </c>
      <c r="HC26" s="87">
        <f t="shared" si="144"/>
        <v>0</v>
      </c>
      <c r="HD26" s="95"/>
      <c r="HE26" s="87">
        <f t="shared" si="145"/>
        <v>0</v>
      </c>
      <c r="HF26" s="410"/>
      <c r="HG26" s="96"/>
      <c r="HH26" s="96"/>
      <c r="HI26" s="87">
        <f t="shared" si="146"/>
        <v>0</v>
      </c>
      <c r="HJ26" s="95">
        <f t="shared" si="147"/>
        <v>0.4604471269</v>
      </c>
      <c r="HK26" s="98">
        <f t="shared" si="148"/>
        <v>0</v>
      </c>
      <c r="HL26" s="99">
        <f t="shared" si="149"/>
        <v>0</v>
      </c>
      <c r="HM26" s="90"/>
      <c r="HN26" s="92">
        <f t="shared" si="219"/>
        <v>14</v>
      </c>
      <c r="HO26" s="93" t="str">
        <f t="shared" ref="HO26:HQ26" si="411">IFERROR(VLOOKUP($R26,$A$13:$D$30,-HO$12,FALSE),"")</f>
        <v>Lainnya 2.3 (6) …….</v>
      </c>
      <c r="HP26" s="94" t="str">
        <f t="shared" si="411"/>
        <v/>
      </c>
      <c r="HQ26" s="94" t="str">
        <f t="shared" si="411"/>
        <v/>
      </c>
      <c r="HR26" s="87">
        <f t="shared" si="151"/>
        <v>0</v>
      </c>
      <c r="HS26" s="87" t="str">
        <f t="shared" si="152"/>
        <v>#DIV/0!</v>
      </c>
      <c r="HT26" s="87">
        <f t="shared" si="153"/>
        <v>0</v>
      </c>
      <c r="HU26" s="95"/>
      <c r="HV26" s="87">
        <f t="shared" si="154"/>
        <v>0</v>
      </c>
      <c r="HW26" s="410"/>
      <c r="HX26" s="96"/>
      <c r="HY26" s="96"/>
      <c r="HZ26" s="87">
        <f t="shared" si="155"/>
        <v>0</v>
      </c>
      <c r="IA26" s="95">
        <f t="shared" si="156"/>
        <v>0.4604471269</v>
      </c>
      <c r="IB26" s="98">
        <f t="shared" si="157"/>
        <v>0</v>
      </c>
      <c r="IC26" s="99">
        <f t="shared" si="158"/>
        <v>0</v>
      </c>
      <c r="ID26" s="90"/>
      <c r="IE26" s="92">
        <f t="shared" si="221"/>
        <v>14</v>
      </c>
      <c r="IF26" s="93" t="str">
        <f t="shared" ref="IF26:IH26" si="412">IFERROR(VLOOKUP($R26,$A$13:$D$30,-IF$12,FALSE),"")</f>
        <v>Lainnya 2.3 (6) …….</v>
      </c>
      <c r="IG26" s="94" t="str">
        <f t="shared" si="412"/>
        <v/>
      </c>
      <c r="IH26" s="94" t="str">
        <f t="shared" si="412"/>
        <v/>
      </c>
      <c r="II26" s="87">
        <f t="shared" si="160"/>
        <v>0</v>
      </c>
      <c r="IJ26" s="87" t="str">
        <f t="shared" si="161"/>
        <v>#DIV/0!</v>
      </c>
      <c r="IK26" s="87">
        <f t="shared" si="162"/>
        <v>0</v>
      </c>
      <c r="IL26" s="95"/>
      <c r="IM26" s="87">
        <f t="shared" si="163"/>
        <v>0</v>
      </c>
      <c r="IN26" s="410"/>
      <c r="IO26" s="96"/>
      <c r="IP26" s="96"/>
      <c r="IQ26" s="87">
        <f t="shared" si="164"/>
        <v>0</v>
      </c>
      <c r="IR26" s="95">
        <f t="shared" si="165"/>
        <v>0.4604471269</v>
      </c>
      <c r="IS26" s="98">
        <f t="shared" si="166"/>
        <v>0</v>
      </c>
      <c r="IT26" s="99">
        <f t="shared" si="167"/>
        <v>0</v>
      </c>
      <c r="IU26" s="90"/>
      <c r="IV26" s="92">
        <f t="shared" si="223"/>
        <v>14</v>
      </c>
      <c r="IW26" s="93" t="str">
        <f t="shared" ref="IW26:IY26" si="413">IFERROR(VLOOKUP($R26,$A$13:$D$30,-IW$12,FALSE),"")</f>
        <v>Lainnya 2.3 (6) …….</v>
      </c>
      <c r="IX26" s="94" t="str">
        <f t="shared" si="413"/>
        <v/>
      </c>
      <c r="IY26" s="94" t="str">
        <f t="shared" si="413"/>
        <v/>
      </c>
      <c r="IZ26" s="87">
        <f t="shared" si="169"/>
        <v>0</v>
      </c>
      <c r="JA26" s="87" t="str">
        <f t="shared" si="170"/>
        <v>#DIV/0!</v>
      </c>
      <c r="JB26" s="87">
        <f t="shared" si="171"/>
        <v>0</v>
      </c>
      <c r="JC26" s="95"/>
      <c r="JD26" s="87">
        <f t="shared" si="172"/>
        <v>0</v>
      </c>
      <c r="JE26" s="410"/>
      <c r="JF26" s="96"/>
      <c r="JG26" s="96"/>
      <c r="JH26" s="87">
        <f t="shared" si="173"/>
        <v>0</v>
      </c>
      <c r="JI26" s="95">
        <f t="shared" si="174"/>
        <v>0.4604471269</v>
      </c>
      <c r="JJ26" s="98">
        <f t="shared" si="175"/>
        <v>0</v>
      </c>
      <c r="JK26" s="99">
        <f t="shared" si="176"/>
        <v>0</v>
      </c>
      <c r="JL26" s="90"/>
      <c r="JM26" s="92">
        <f t="shared" si="225"/>
        <v>14</v>
      </c>
      <c r="JN26" s="93" t="str">
        <f t="shared" ref="JN26:JP26" si="414">IFERROR(VLOOKUP($R26,$A$13:$D$30,-JN$12,FALSE),"")</f>
        <v>Lainnya 2.3 (6) …….</v>
      </c>
      <c r="JO26" s="94" t="str">
        <f t="shared" si="414"/>
        <v/>
      </c>
      <c r="JP26" s="94" t="str">
        <f t="shared" si="414"/>
        <v/>
      </c>
      <c r="JQ26" s="87">
        <f t="shared" si="178"/>
        <v>0</v>
      </c>
      <c r="JR26" s="87" t="str">
        <f t="shared" si="179"/>
        <v>#DIV/0!</v>
      </c>
      <c r="JS26" s="87">
        <f t="shared" si="180"/>
        <v>0</v>
      </c>
      <c r="JT26" s="95"/>
      <c r="JU26" s="87">
        <f t="shared" si="181"/>
        <v>0</v>
      </c>
      <c r="JV26" s="410"/>
      <c r="JW26" s="96"/>
      <c r="JX26" s="96"/>
      <c r="JY26" s="87">
        <f t="shared" si="182"/>
        <v>0</v>
      </c>
      <c r="JZ26" s="95">
        <f t="shared" si="183"/>
        <v>0.4604471269</v>
      </c>
      <c r="KA26" s="98">
        <f t="shared" si="184"/>
        <v>0</v>
      </c>
      <c r="KB26" s="99">
        <f t="shared" si="185"/>
        <v>0</v>
      </c>
      <c r="KC26" s="90"/>
      <c r="KD26" s="92">
        <f t="shared" si="227"/>
        <v>14</v>
      </c>
      <c r="KE26" s="93" t="str">
        <f t="shared" ref="KE26:KG26" si="415">IFERROR(VLOOKUP($R26,$A$13:$D$30,-KE$12,FALSE),"")</f>
        <v>Lainnya 2.3 (6) …….</v>
      </c>
      <c r="KF26" s="94" t="str">
        <f t="shared" si="415"/>
        <v/>
      </c>
      <c r="KG26" s="94" t="str">
        <f t="shared" si="415"/>
        <v/>
      </c>
      <c r="KH26" s="87">
        <f t="shared" si="187"/>
        <v>0</v>
      </c>
      <c r="KI26" s="87" t="str">
        <f t="shared" si="188"/>
        <v>#DIV/0!</v>
      </c>
      <c r="KJ26" s="87">
        <f t="shared" si="189"/>
        <v>0</v>
      </c>
      <c r="KK26" s="95"/>
      <c r="KL26" s="87">
        <f t="shared" si="190"/>
        <v>0</v>
      </c>
      <c r="KM26" s="410"/>
      <c r="KN26" s="96"/>
      <c r="KO26" s="96"/>
      <c r="KP26" s="87">
        <f t="shared" si="191"/>
        <v>0</v>
      </c>
      <c r="KQ26" s="95">
        <f t="shared" si="192"/>
        <v>0.4604471269</v>
      </c>
      <c r="KR26" s="98">
        <f t="shared" si="193"/>
        <v>0</v>
      </c>
      <c r="KS26" s="99">
        <f t="shared" si="194"/>
        <v>0</v>
      </c>
      <c r="KT26" s="90"/>
      <c r="KU26" s="91"/>
    </row>
    <row r="27" ht="15.75" customHeight="1">
      <c r="A27" s="92">
        <v>15.0</v>
      </c>
      <c r="B27" s="93" t="s">
        <v>87</v>
      </c>
      <c r="C27" s="94" t="s">
        <v>83</v>
      </c>
      <c r="D27" s="94" t="s">
        <v>83</v>
      </c>
      <c r="E27" s="87">
        <f t="shared" si="35"/>
        <v>0</v>
      </c>
      <c r="F27" s="87" t="str">
        <f t="shared" si="36"/>
        <v>#DIV/0!</v>
      </c>
      <c r="G27" s="87">
        <f t="shared" si="37"/>
        <v>0</v>
      </c>
      <c r="H27" s="95"/>
      <c r="I27" s="87">
        <f t="shared" si="38"/>
        <v>0</v>
      </c>
      <c r="J27" s="410"/>
      <c r="K27" s="96"/>
      <c r="L27" s="96"/>
      <c r="M27" s="87">
        <f t="shared" si="39"/>
        <v>0</v>
      </c>
      <c r="N27" s="95">
        <v>0.4604471268963365</v>
      </c>
      <c r="O27" s="98">
        <f t="shared" si="40"/>
        <v>0</v>
      </c>
      <c r="P27" s="99">
        <f t="shared" si="41"/>
        <v>0</v>
      </c>
      <c r="Q27" s="90"/>
      <c r="R27" s="92">
        <f t="shared" si="195"/>
        <v>15</v>
      </c>
      <c r="S27" s="93" t="str">
        <f t="shared" ref="S27:U27" si="416">IFERROR(VLOOKUP($R27,$A$13:$D$30,-S$12,FALSE),"")</f>
        <v>Lainnya 2.3 (7) …….</v>
      </c>
      <c r="T27" s="94" t="str">
        <f t="shared" si="416"/>
        <v/>
      </c>
      <c r="U27" s="94" t="str">
        <f t="shared" si="416"/>
        <v/>
      </c>
      <c r="V27" s="87">
        <f t="shared" si="43"/>
        <v>0</v>
      </c>
      <c r="W27" s="87" t="str">
        <f t="shared" si="44"/>
        <v>#DIV/0!</v>
      </c>
      <c r="X27" s="87">
        <f t="shared" si="45"/>
        <v>0</v>
      </c>
      <c r="Y27" s="95"/>
      <c r="Z27" s="87">
        <f t="shared" si="46"/>
        <v>0</v>
      </c>
      <c r="AA27" s="410"/>
      <c r="AB27" s="96"/>
      <c r="AC27" s="96"/>
      <c r="AD27" s="87">
        <f t="shared" si="47"/>
        <v>0</v>
      </c>
      <c r="AE27" s="95">
        <f t="shared" si="48"/>
        <v>0.4604471269</v>
      </c>
      <c r="AF27" s="98">
        <f t="shared" si="49"/>
        <v>0</v>
      </c>
      <c r="AG27" s="99">
        <f t="shared" si="50"/>
        <v>0</v>
      </c>
      <c r="AH27" s="90"/>
      <c r="AI27" s="92">
        <f t="shared" si="197"/>
        <v>15</v>
      </c>
      <c r="AJ27" s="93" t="str">
        <f t="shared" ref="AJ27:AL27" si="417">IFERROR(VLOOKUP($R27,$A$13:$D$30,-AJ$12,FALSE),"")</f>
        <v>Lainnya 2.3 (7) …….</v>
      </c>
      <c r="AK27" s="94" t="str">
        <f t="shared" si="417"/>
        <v/>
      </c>
      <c r="AL27" s="94" t="str">
        <f t="shared" si="417"/>
        <v/>
      </c>
      <c r="AM27" s="87">
        <f t="shared" si="52"/>
        <v>0</v>
      </c>
      <c r="AN27" s="87" t="str">
        <f t="shared" si="53"/>
        <v>#DIV/0!</v>
      </c>
      <c r="AO27" s="87">
        <f t="shared" si="54"/>
        <v>0</v>
      </c>
      <c r="AP27" s="95"/>
      <c r="AQ27" s="87">
        <f t="shared" si="55"/>
        <v>0</v>
      </c>
      <c r="AR27" s="410"/>
      <c r="AS27" s="96"/>
      <c r="AT27" s="96"/>
      <c r="AU27" s="87">
        <f t="shared" si="56"/>
        <v>0</v>
      </c>
      <c r="AV27" s="95">
        <f t="shared" si="57"/>
        <v>0.4604471269</v>
      </c>
      <c r="AW27" s="98">
        <f t="shared" si="58"/>
        <v>0</v>
      </c>
      <c r="AX27" s="99">
        <f t="shared" si="59"/>
        <v>0</v>
      </c>
      <c r="AY27" s="90"/>
      <c r="AZ27" s="92">
        <f t="shared" si="199"/>
        <v>15</v>
      </c>
      <c r="BA27" s="93" t="str">
        <f t="shared" ref="BA27:BC27" si="418">IFERROR(VLOOKUP($R27,$A$13:$D$30,-BA$12,FALSE),"")</f>
        <v>Lainnya 2.3 (7) …….</v>
      </c>
      <c r="BB27" s="94" t="str">
        <f t="shared" si="418"/>
        <v/>
      </c>
      <c r="BC27" s="94" t="str">
        <f t="shared" si="418"/>
        <v/>
      </c>
      <c r="BD27" s="87">
        <f t="shared" si="61"/>
        <v>0</v>
      </c>
      <c r="BE27" s="87" t="str">
        <f t="shared" si="62"/>
        <v>#DIV/0!</v>
      </c>
      <c r="BF27" s="87">
        <f t="shared" si="63"/>
        <v>0</v>
      </c>
      <c r="BG27" s="95"/>
      <c r="BH27" s="87">
        <f t="shared" si="64"/>
        <v>0</v>
      </c>
      <c r="BI27" s="410"/>
      <c r="BJ27" s="96"/>
      <c r="BK27" s="96"/>
      <c r="BL27" s="87">
        <f t="shared" si="65"/>
        <v>0</v>
      </c>
      <c r="BM27" s="95">
        <f t="shared" si="66"/>
        <v>0.4604471269</v>
      </c>
      <c r="BN27" s="98">
        <f t="shared" si="67"/>
        <v>0</v>
      </c>
      <c r="BO27" s="99">
        <f t="shared" si="68"/>
        <v>0</v>
      </c>
      <c r="BP27" s="90"/>
      <c r="BQ27" s="92">
        <f t="shared" si="201"/>
        <v>15</v>
      </c>
      <c r="BR27" s="93" t="str">
        <f t="shared" ref="BR27:BT27" si="419">IFERROR(VLOOKUP($R27,$A$13:$D$30,-BR$12,FALSE),"")</f>
        <v>Lainnya 2.3 (7) …….</v>
      </c>
      <c r="BS27" s="94" t="str">
        <f t="shared" si="419"/>
        <v/>
      </c>
      <c r="BT27" s="94" t="str">
        <f t="shared" si="419"/>
        <v/>
      </c>
      <c r="BU27" s="87">
        <f t="shared" si="70"/>
        <v>0</v>
      </c>
      <c r="BV27" s="87" t="str">
        <f t="shared" si="71"/>
        <v>#DIV/0!</v>
      </c>
      <c r="BW27" s="87">
        <f t="shared" si="72"/>
        <v>0</v>
      </c>
      <c r="BX27" s="95"/>
      <c r="BY27" s="87">
        <f t="shared" si="73"/>
        <v>0</v>
      </c>
      <c r="BZ27" s="410"/>
      <c r="CA27" s="96"/>
      <c r="CB27" s="96"/>
      <c r="CC27" s="87">
        <f t="shared" si="74"/>
        <v>0</v>
      </c>
      <c r="CD27" s="95">
        <f t="shared" si="75"/>
        <v>0.4604471269</v>
      </c>
      <c r="CE27" s="98">
        <f t="shared" si="76"/>
        <v>0</v>
      </c>
      <c r="CF27" s="99">
        <f t="shared" si="77"/>
        <v>0</v>
      </c>
      <c r="CG27" s="90"/>
      <c r="CH27" s="92">
        <f t="shared" si="203"/>
        <v>15</v>
      </c>
      <c r="CI27" s="93" t="str">
        <f t="shared" ref="CI27:CK27" si="420">IFERROR(VLOOKUP($R27,$A$13:$D$30,-CI$12,FALSE),"")</f>
        <v>Lainnya 2.3 (7) …….</v>
      </c>
      <c r="CJ27" s="94" t="str">
        <f t="shared" si="420"/>
        <v/>
      </c>
      <c r="CK27" s="94" t="str">
        <f t="shared" si="420"/>
        <v/>
      </c>
      <c r="CL27" s="87">
        <f t="shared" si="79"/>
        <v>0</v>
      </c>
      <c r="CM27" s="87" t="str">
        <f t="shared" si="80"/>
        <v>#DIV/0!</v>
      </c>
      <c r="CN27" s="87">
        <f t="shared" si="81"/>
        <v>0</v>
      </c>
      <c r="CO27" s="95"/>
      <c r="CP27" s="87">
        <f t="shared" si="82"/>
        <v>0</v>
      </c>
      <c r="CQ27" s="410"/>
      <c r="CR27" s="96"/>
      <c r="CS27" s="96"/>
      <c r="CT27" s="87">
        <f t="shared" si="83"/>
        <v>0</v>
      </c>
      <c r="CU27" s="95">
        <f t="shared" si="84"/>
        <v>0.4604471269</v>
      </c>
      <c r="CV27" s="98">
        <f t="shared" si="85"/>
        <v>0</v>
      </c>
      <c r="CW27" s="99">
        <f t="shared" si="86"/>
        <v>0</v>
      </c>
      <c r="CX27" s="90"/>
      <c r="CY27" s="92">
        <f t="shared" si="205"/>
        <v>15</v>
      </c>
      <c r="CZ27" s="93" t="str">
        <f t="shared" ref="CZ27:DB27" si="421">IFERROR(VLOOKUP($R27,$A$13:$D$30,-CZ$12,FALSE),"")</f>
        <v>Lainnya 2.3 (7) …….</v>
      </c>
      <c r="DA27" s="94" t="str">
        <f t="shared" si="421"/>
        <v/>
      </c>
      <c r="DB27" s="94" t="str">
        <f t="shared" si="421"/>
        <v/>
      </c>
      <c r="DC27" s="87">
        <f t="shared" si="88"/>
        <v>0</v>
      </c>
      <c r="DD27" s="87" t="str">
        <f t="shared" si="89"/>
        <v>#DIV/0!</v>
      </c>
      <c r="DE27" s="87">
        <f t="shared" si="90"/>
        <v>0</v>
      </c>
      <c r="DF27" s="95"/>
      <c r="DG27" s="87">
        <f t="shared" si="91"/>
        <v>0</v>
      </c>
      <c r="DH27" s="410"/>
      <c r="DI27" s="96"/>
      <c r="DJ27" s="96"/>
      <c r="DK27" s="87">
        <f t="shared" si="92"/>
        <v>0</v>
      </c>
      <c r="DL27" s="95">
        <f t="shared" si="93"/>
        <v>0.4604471269</v>
      </c>
      <c r="DM27" s="98">
        <f t="shared" si="94"/>
        <v>0</v>
      </c>
      <c r="DN27" s="99">
        <f t="shared" si="95"/>
        <v>0</v>
      </c>
      <c r="DO27" s="90"/>
      <c r="DP27" s="92">
        <f t="shared" si="207"/>
        <v>15</v>
      </c>
      <c r="DQ27" s="93" t="str">
        <f t="shared" ref="DQ27:DS27" si="422">IFERROR(VLOOKUP($R27,$A$13:$D$30,-DQ$12,FALSE),"")</f>
        <v>Lainnya 2.3 (7) …….</v>
      </c>
      <c r="DR27" s="94" t="str">
        <f t="shared" si="422"/>
        <v/>
      </c>
      <c r="DS27" s="94" t="str">
        <f t="shared" si="422"/>
        <v/>
      </c>
      <c r="DT27" s="87">
        <f t="shared" si="97"/>
        <v>0</v>
      </c>
      <c r="DU27" s="87" t="str">
        <f t="shared" si="98"/>
        <v>#DIV/0!</v>
      </c>
      <c r="DV27" s="87">
        <f t="shared" si="99"/>
        <v>0</v>
      </c>
      <c r="DW27" s="95"/>
      <c r="DX27" s="87">
        <f t="shared" si="100"/>
        <v>0</v>
      </c>
      <c r="DY27" s="410"/>
      <c r="DZ27" s="96"/>
      <c r="EA27" s="96"/>
      <c r="EB27" s="87">
        <f t="shared" si="101"/>
        <v>0</v>
      </c>
      <c r="EC27" s="95">
        <f t="shared" si="102"/>
        <v>0.4604471269</v>
      </c>
      <c r="ED27" s="98">
        <f t="shared" si="103"/>
        <v>0</v>
      </c>
      <c r="EE27" s="99">
        <f t="shared" si="104"/>
        <v>0</v>
      </c>
      <c r="EF27" s="90"/>
      <c r="EG27" s="92">
        <f t="shared" si="209"/>
        <v>15</v>
      </c>
      <c r="EH27" s="93" t="str">
        <f t="shared" ref="EH27:EJ27" si="423">IFERROR(VLOOKUP($R27,$A$13:$D$30,-EH$12,FALSE),"")</f>
        <v>Lainnya 2.3 (7) …….</v>
      </c>
      <c r="EI27" s="94" t="str">
        <f t="shared" si="423"/>
        <v/>
      </c>
      <c r="EJ27" s="94" t="str">
        <f t="shared" si="423"/>
        <v/>
      </c>
      <c r="EK27" s="87">
        <f t="shared" si="106"/>
        <v>0</v>
      </c>
      <c r="EL27" s="87" t="str">
        <f t="shared" si="107"/>
        <v>#DIV/0!</v>
      </c>
      <c r="EM27" s="87">
        <f t="shared" si="108"/>
        <v>0</v>
      </c>
      <c r="EN27" s="95"/>
      <c r="EO27" s="87">
        <f t="shared" si="109"/>
        <v>0</v>
      </c>
      <c r="EP27" s="410"/>
      <c r="EQ27" s="96"/>
      <c r="ER27" s="96"/>
      <c r="ES27" s="87">
        <f t="shared" si="110"/>
        <v>0</v>
      </c>
      <c r="ET27" s="95">
        <f t="shared" si="111"/>
        <v>0.4604471269</v>
      </c>
      <c r="EU27" s="98">
        <f t="shared" si="112"/>
        <v>0</v>
      </c>
      <c r="EV27" s="99">
        <f t="shared" si="113"/>
        <v>0</v>
      </c>
      <c r="EW27" s="90"/>
      <c r="EX27" s="92">
        <f t="shared" si="211"/>
        <v>15</v>
      </c>
      <c r="EY27" s="93" t="str">
        <f t="shared" ref="EY27:FA27" si="424">IFERROR(VLOOKUP($R27,$A$13:$D$30,-EY$12,FALSE),"")</f>
        <v>Lainnya 2.3 (7) …….</v>
      </c>
      <c r="EZ27" s="94" t="str">
        <f t="shared" si="424"/>
        <v/>
      </c>
      <c r="FA27" s="94" t="str">
        <f t="shared" si="424"/>
        <v/>
      </c>
      <c r="FB27" s="87">
        <f t="shared" si="115"/>
        <v>0</v>
      </c>
      <c r="FC27" s="87" t="str">
        <f t="shared" si="116"/>
        <v>#DIV/0!</v>
      </c>
      <c r="FD27" s="87">
        <f t="shared" si="117"/>
        <v>0</v>
      </c>
      <c r="FE27" s="95"/>
      <c r="FF27" s="87">
        <f t="shared" si="118"/>
        <v>0</v>
      </c>
      <c r="FG27" s="410"/>
      <c r="FH27" s="96"/>
      <c r="FI27" s="96"/>
      <c r="FJ27" s="87">
        <f t="shared" si="119"/>
        <v>0</v>
      </c>
      <c r="FK27" s="95">
        <f t="shared" si="120"/>
        <v>0.4604471269</v>
      </c>
      <c r="FL27" s="98">
        <f t="shared" si="121"/>
        <v>0</v>
      </c>
      <c r="FM27" s="99">
        <f t="shared" si="122"/>
        <v>0</v>
      </c>
      <c r="FN27" s="90"/>
      <c r="FO27" s="92">
        <f t="shared" si="213"/>
        <v>15</v>
      </c>
      <c r="FP27" s="93" t="str">
        <f t="shared" ref="FP27:FR27" si="425">IFERROR(VLOOKUP($R27,$A$13:$D$30,-FP$12,FALSE),"")</f>
        <v>Lainnya 2.3 (7) …….</v>
      </c>
      <c r="FQ27" s="94" t="str">
        <f t="shared" si="425"/>
        <v/>
      </c>
      <c r="FR27" s="94" t="str">
        <f t="shared" si="425"/>
        <v/>
      </c>
      <c r="FS27" s="87">
        <f t="shared" si="124"/>
        <v>0</v>
      </c>
      <c r="FT27" s="87" t="str">
        <f t="shared" si="125"/>
        <v>#DIV/0!</v>
      </c>
      <c r="FU27" s="87">
        <f t="shared" si="126"/>
        <v>0</v>
      </c>
      <c r="FV27" s="95"/>
      <c r="FW27" s="87">
        <f t="shared" si="127"/>
        <v>0</v>
      </c>
      <c r="FX27" s="410"/>
      <c r="FY27" s="96"/>
      <c r="FZ27" s="96"/>
      <c r="GA27" s="87">
        <f t="shared" si="128"/>
        <v>0</v>
      </c>
      <c r="GB27" s="95">
        <f t="shared" si="129"/>
        <v>0.4604471269</v>
      </c>
      <c r="GC27" s="98">
        <f t="shared" si="130"/>
        <v>0</v>
      </c>
      <c r="GD27" s="99">
        <f t="shared" si="131"/>
        <v>0</v>
      </c>
      <c r="GE27" s="90"/>
      <c r="GF27" s="92">
        <f t="shared" si="215"/>
        <v>15</v>
      </c>
      <c r="GG27" s="93" t="str">
        <f t="shared" ref="GG27:GI27" si="426">IFERROR(VLOOKUP($R27,$A$13:$D$30,-GG$12,FALSE),"")</f>
        <v>Lainnya 2.3 (7) …….</v>
      </c>
      <c r="GH27" s="94" t="str">
        <f t="shared" si="426"/>
        <v/>
      </c>
      <c r="GI27" s="94" t="str">
        <f t="shared" si="426"/>
        <v/>
      </c>
      <c r="GJ27" s="87">
        <f t="shared" si="133"/>
        <v>0</v>
      </c>
      <c r="GK27" s="87" t="str">
        <f t="shared" si="134"/>
        <v>#DIV/0!</v>
      </c>
      <c r="GL27" s="87">
        <f t="shared" si="135"/>
        <v>0</v>
      </c>
      <c r="GM27" s="95"/>
      <c r="GN27" s="87">
        <f t="shared" si="136"/>
        <v>0</v>
      </c>
      <c r="GO27" s="410"/>
      <c r="GP27" s="96"/>
      <c r="GQ27" s="96"/>
      <c r="GR27" s="87">
        <f t="shared" si="137"/>
        <v>0</v>
      </c>
      <c r="GS27" s="95">
        <f t="shared" si="138"/>
        <v>0.4604471269</v>
      </c>
      <c r="GT27" s="98">
        <f t="shared" si="139"/>
        <v>0</v>
      </c>
      <c r="GU27" s="99">
        <f t="shared" si="140"/>
        <v>0</v>
      </c>
      <c r="GV27" s="90"/>
      <c r="GW27" s="92">
        <f t="shared" si="217"/>
        <v>15</v>
      </c>
      <c r="GX27" s="93" t="str">
        <f t="shared" ref="GX27:GZ27" si="427">IFERROR(VLOOKUP($R27,$A$13:$D$30,-GX$12,FALSE),"")</f>
        <v>Lainnya 2.3 (7) …….</v>
      </c>
      <c r="GY27" s="94" t="str">
        <f t="shared" si="427"/>
        <v/>
      </c>
      <c r="GZ27" s="94" t="str">
        <f t="shared" si="427"/>
        <v/>
      </c>
      <c r="HA27" s="87">
        <f t="shared" si="142"/>
        <v>212156</v>
      </c>
      <c r="HB27" s="87">
        <f t="shared" si="143"/>
        <v>0</v>
      </c>
      <c r="HC27" s="87">
        <f t="shared" si="144"/>
        <v>0</v>
      </c>
      <c r="HD27" s="95"/>
      <c r="HE27" s="87">
        <f t="shared" si="145"/>
        <v>0</v>
      </c>
      <c r="HF27" s="410"/>
      <c r="HG27" s="96"/>
      <c r="HH27" s="96"/>
      <c r="HI27" s="87">
        <f t="shared" si="146"/>
        <v>0</v>
      </c>
      <c r="HJ27" s="95">
        <f t="shared" si="147"/>
        <v>0.4604471269</v>
      </c>
      <c r="HK27" s="98">
        <f t="shared" si="148"/>
        <v>0</v>
      </c>
      <c r="HL27" s="99">
        <f t="shared" si="149"/>
        <v>0</v>
      </c>
      <c r="HM27" s="90"/>
      <c r="HN27" s="92">
        <f t="shared" si="219"/>
        <v>15</v>
      </c>
      <c r="HO27" s="93" t="str">
        <f t="shared" ref="HO27:HQ27" si="428">IFERROR(VLOOKUP($R27,$A$13:$D$30,-HO$12,FALSE),"")</f>
        <v>Lainnya 2.3 (7) …….</v>
      </c>
      <c r="HP27" s="94" t="str">
        <f t="shared" si="428"/>
        <v/>
      </c>
      <c r="HQ27" s="94" t="str">
        <f t="shared" si="428"/>
        <v/>
      </c>
      <c r="HR27" s="87">
        <f t="shared" si="151"/>
        <v>0</v>
      </c>
      <c r="HS27" s="87" t="str">
        <f t="shared" si="152"/>
        <v>#DIV/0!</v>
      </c>
      <c r="HT27" s="87">
        <f t="shared" si="153"/>
        <v>0</v>
      </c>
      <c r="HU27" s="95"/>
      <c r="HV27" s="87">
        <f t="shared" si="154"/>
        <v>0</v>
      </c>
      <c r="HW27" s="410"/>
      <c r="HX27" s="96"/>
      <c r="HY27" s="96"/>
      <c r="HZ27" s="87">
        <f t="shared" si="155"/>
        <v>0</v>
      </c>
      <c r="IA27" s="95">
        <f t="shared" si="156"/>
        <v>0.4604471269</v>
      </c>
      <c r="IB27" s="98">
        <f t="shared" si="157"/>
        <v>0</v>
      </c>
      <c r="IC27" s="99">
        <f t="shared" si="158"/>
        <v>0</v>
      </c>
      <c r="ID27" s="90"/>
      <c r="IE27" s="92">
        <f t="shared" si="221"/>
        <v>15</v>
      </c>
      <c r="IF27" s="93" t="str">
        <f t="shared" ref="IF27:IH27" si="429">IFERROR(VLOOKUP($R27,$A$13:$D$30,-IF$12,FALSE),"")</f>
        <v>Lainnya 2.3 (7) …….</v>
      </c>
      <c r="IG27" s="94" t="str">
        <f t="shared" si="429"/>
        <v/>
      </c>
      <c r="IH27" s="94" t="str">
        <f t="shared" si="429"/>
        <v/>
      </c>
      <c r="II27" s="87">
        <f t="shared" si="160"/>
        <v>0</v>
      </c>
      <c r="IJ27" s="87" t="str">
        <f t="shared" si="161"/>
        <v>#DIV/0!</v>
      </c>
      <c r="IK27" s="87">
        <f t="shared" si="162"/>
        <v>0</v>
      </c>
      <c r="IL27" s="95"/>
      <c r="IM27" s="87">
        <f t="shared" si="163"/>
        <v>0</v>
      </c>
      <c r="IN27" s="410"/>
      <c r="IO27" s="96"/>
      <c r="IP27" s="96"/>
      <c r="IQ27" s="87">
        <f t="shared" si="164"/>
        <v>0</v>
      </c>
      <c r="IR27" s="95">
        <f t="shared" si="165"/>
        <v>0.4604471269</v>
      </c>
      <c r="IS27" s="98">
        <f t="shared" si="166"/>
        <v>0</v>
      </c>
      <c r="IT27" s="99">
        <f t="shared" si="167"/>
        <v>0</v>
      </c>
      <c r="IU27" s="90"/>
      <c r="IV27" s="92">
        <f t="shared" si="223"/>
        <v>15</v>
      </c>
      <c r="IW27" s="93" t="str">
        <f t="shared" ref="IW27:IY27" si="430">IFERROR(VLOOKUP($R27,$A$13:$D$30,-IW$12,FALSE),"")</f>
        <v>Lainnya 2.3 (7) …….</v>
      </c>
      <c r="IX27" s="94" t="str">
        <f t="shared" si="430"/>
        <v/>
      </c>
      <c r="IY27" s="94" t="str">
        <f t="shared" si="430"/>
        <v/>
      </c>
      <c r="IZ27" s="87">
        <f t="shared" si="169"/>
        <v>0</v>
      </c>
      <c r="JA27" s="87" t="str">
        <f t="shared" si="170"/>
        <v>#DIV/0!</v>
      </c>
      <c r="JB27" s="87">
        <f t="shared" si="171"/>
        <v>0</v>
      </c>
      <c r="JC27" s="95"/>
      <c r="JD27" s="87">
        <f t="shared" si="172"/>
        <v>0</v>
      </c>
      <c r="JE27" s="410"/>
      <c r="JF27" s="96"/>
      <c r="JG27" s="96"/>
      <c r="JH27" s="87">
        <f t="shared" si="173"/>
        <v>0</v>
      </c>
      <c r="JI27" s="95">
        <f t="shared" si="174"/>
        <v>0.4604471269</v>
      </c>
      <c r="JJ27" s="98">
        <f t="shared" si="175"/>
        <v>0</v>
      </c>
      <c r="JK27" s="99">
        <f t="shared" si="176"/>
        <v>0</v>
      </c>
      <c r="JL27" s="90"/>
      <c r="JM27" s="92">
        <f t="shared" si="225"/>
        <v>15</v>
      </c>
      <c r="JN27" s="93" t="str">
        <f t="shared" ref="JN27:JP27" si="431">IFERROR(VLOOKUP($R27,$A$13:$D$30,-JN$12,FALSE),"")</f>
        <v>Lainnya 2.3 (7) …….</v>
      </c>
      <c r="JO27" s="94" t="str">
        <f t="shared" si="431"/>
        <v/>
      </c>
      <c r="JP27" s="94" t="str">
        <f t="shared" si="431"/>
        <v/>
      </c>
      <c r="JQ27" s="87">
        <f t="shared" si="178"/>
        <v>0</v>
      </c>
      <c r="JR27" s="87" t="str">
        <f t="shared" si="179"/>
        <v>#DIV/0!</v>
      </c>
      <c r="JS27" s="87">
        <f t="shared" si="180"/>
        <v>0</v>
      </c>
      <c r="JT27" s="95"/>
      <c r="JU27" s="87">
        <f t="shared" si="181"/>
        <v>0</v>
      </c>
      <c r="JV27" s="410"/>
      <c r="JW27" s="96"/>
      <c r="JX27" s="96"/>
      <c r="JY27" s="87">
        <f t="shared" si="182"/>
        <v>0</v>
      </c>
      <c r="JZ27" s="95">
        <f t="shared" si="183"/>
        <v>0.4604471269</v>
      </c>
      <c r="KA27" s="98">
        <f t="shared" si="184"/>
        <v>0</v>
      </c>
      <c r="KB27" s="99">
        <f t="shared" si="185"/>
        <v>0</v>
      </c>
      <c r="KC27" s="90"/>
      <c r="KD27" s="92">
        <f t="shared" si="227"/>
        <v>15</v>
      </c>
      <c r="KE27" s="93" t="str">
        <f t="shared" ref="KE27:KG27" si="432">IFERROR(VLOOKUP($R27,$A$13:$D$30,-KE$12,FALSE),"")</f>
        <v>Lainnya 2.3 (7) …….</v>
      </c>
      <c r="KF27" s="94" t="str">
        <f t="shared" si="432"/>
        <v/>
      </c>
      <c r="KG27" s="94" t="str">
        <f t="shared" si="432"/>
        <v/>
      </c>
      <c r="KH27" s="87">
        <f t="shared" si="187"/>
        <v>0</v>
      </c>
      <c r="KI27" s="87" t="str">
        <f t="shared" si="188"/>
        <v>#DIV/0!</v>
      </c>
      <c r="KJ27" s="87">
        <f t="shared" si="189"/>
        <v>0</v>
      </c>
      <c r="KK27" s="95"/>
      <c r="KL27" s="87">
        <f t="shared" si="190"/>
        <v>0</v>
      </c>
      <c r="KM27" s="410"/>
      <c r="KN27" s="96"/>
      <c r="KO27" s="96"/>
      <c r="KP27" s="87">
        <f t="shared" si="191"/>
        <v>0</v>
      </c>
      <c r="KQ27" s="95">
        <f t="shared" si="192"/>
        <v>0.4604471269</v>
      </c>
      <c r="KR27" s="98">
        <f t="shared" si="193"/>
        <v>0</v>
      </c>
      <c r="KS27" s="99">
        <f t="shared" si="194"/>
        <v>0</v>
      </c>
      <c r="KT27" s="90"/>
      <c r="KU27" s="91"/>
    </row>
    <row r="28" ht="15.75" customHeight="1">
      <c r="A28" s="92">
        <v>16.0</v>
      </c>
      <c r="B28" s="93" t="s">
        <v>88</v>
      </c>
      <c r="C28" s="94" t="s">
        <v>83</v>
      </c>
      <c r="D28" s="94" t="s">
        <v>83</v>
      </c>
      <c r="E28" s="87">
        <f t="shared" si="35"/>
        <v>0</v>
      </c>
      <c r="F28" s="87" t="str">
        <f t="shared" si="36"/>
        <v>#DIV/0!</v>
      </c>
      <c r="G28" s="87">
        <f t="shared" si="37"/>
        <v>0</v>
      </c>
      <c r="H28" s="95"/>
      <c r="I28" s="87">
        <f t="shared" si="38"/>
        <v>0</v>
      </c>
      <c r="J28" s="410"/>
      <c r="K28" s="96"/>
      <c r="L28" s="96"/>
      <c r="M28" s="87">
        <f t="shared" si="39"/>
        <v>0</v>
      </c>
      <c r="N28" s="95">
        <v>0.4604471268963365</v>
      </c>
      <c r="O28" s="98">
        <f t="shared" si="40"/>
        <v>0</v>
      </c>
      <c r="P28" s="99">
        <f t="shared" si="41"/>
        <v>0</v>
      </c>
      <c r="Q28" s="90"/>
      <c r="R28" s="92">
        <f t="shared" si="195"/>
        <v>16</v>
      </c>
      <c r="S28" s="93" t="str">
        <f t="shared" ref="S28:U28" si="433">IFERROR(VLOOKUP($R28,$A$13:$D$30,-S$12,FALSE),"")</f>
        <v>Lainnya 2.3 (8) …….</v>
      </c>
      <c r="T28" s="94" t="str">
        <f t="shared" si="433"/>
        <v/>
      </c>
      <c r="U28" s="94" t="str">
        <f t="shared" si="433"/>
        <v/>
      </c>
      <c r="V28" s="87">
        <f t="shared" si="43"/>
        <v>0</v>
      </c>
      <c r="W28" s="87" t="str">
        <f t="shared" si="44"/>
        <v>#DIV/0!</v>
      </c>
      <c r="X28" s="87">
        <f t="shared" si="45"/>
        <v>0</v>
      </c>
      <c r="Y28" s="95"/>
      <c r="Z28" s="87">
        <f t="shared" si="46"/>
        <v>0</v>
      </c>
      <c r="AA28" s="410"/>
      <c r="AB28" s="96"/>
      <c r="AC28" s="96"/>
      <c r="AD28" s="87">
        <f t="shared" si="47"/>
        <v>0</v>
      </c>
      <c r="AE28" s="95">
        <f t="shared" si="48"/>
        <v>0.4604471269</v>
      </c>
      <c r="AF28" s="98">
        <f t="shared" si="49"/>
        <v>0</v>
      </c>
      <c r="AG28" s="99">
        <f t="shared" si="50"/>
        <v>0</v>
      </c>
      <c r="AH28" s="90"/>
      <c r="AI28" s="92">
        <f t="shared" si="197"/>
        <v>16</v>
      </c>
      <c r="AJ28" s="93" t="str">
        <f t="shared" ref="AJ28:AL28" si="434">IFERROR(VLOOKUP($R28,$A$13:$D$30,-AJ$12,FALSE),"")</f>
        <v>Lainnya 2.3 (8) …….</v>
      </c>
      <c r="AK28" s="94" t="str">
        <f t="shared" si="434"/>
        <v/>
      </c>
      <c r="AL28" s="94" t="str">
        <f t="shared" si="434"/>
        <v/>
      </c>
      <c r="AM28" s="87">
        <f t="shared" si="52"/>
        <v>0</v>
      </c>
      <c r="AN28" s="87" t="str">
        <f t="shared" si="53"/>
        <v>#DIV/0!</v>
      </c>
      <c r="AO28" s="87">
        <f t="shared" si="54"/>
        <v>0</v>
      </c>
      <c r="AP28" s="95"/>
      <c r="AQ28" s="87">
        <f t="shared" si="55"/>
        <v>0</v>
      </c>
      <c r="AR28" s="410"/>
      <c r="AS28" s="96"/>
      <c r="AT28" s="96"/>
      <c r="AU28" s="87">
        <f t="shared" si="56"/>
        <v>0</v>
      </c>
      <c r="AV28" s="95">
        <f t="shared" si="57"/>
        <v>0.4604471269</v>
      </c>
      <c r="AW28" s="98">
        <f t="shared" si="58"/>
        <v>0</v>
      </c>
      <c r="AX28" s="99">
        <f t="shared" si="59"/>
        <v>0</v>
      </c>
      <c r="AY28" s="90"/>
      <c r="AZ28" s="92">
        <f t="shared" si="199"/>
        <v>16</v>
      </c>
      <c r="BA28" s="93" t="str">
        <f t="shared" ref="BA28:BC28" si="435">IFERROR(VLOOKUP($R28,$A$13:$D$30,-BA$12,FALSE),"")</f>
        <v>Lainnya 2.3 (8) …….</v>
      </c>
      <c r="BB28" s="94" t="str">
        <f t="shared" si="435"/>
        <v/>
      </c>
      <c r="BC28" s="94" t="str">
        <f t="shared" si="435"/>
        <v/>
      </c>
      <c r="BD28" s="87">
        <f t="shared" si="61"/>
        <v>0</v>
      </c>
      <c r="BE28" s="87" t="str">
        <f t="shared" si="62"/>
        <v>#DIV/0!</v>
      </c>
      <c r="BF28" s="87">
        <f t="shared" si="63"/>
        <v>0</v>
      </c>
      <c r="BG28" s="95"/>
      <c r="BH28" s="87">
        <f t="shared" si="64"/>
        <v>0</v>
      </c>
      <c r="BI28" s="410"/>
      <c r="BJ28" s="96"/>
      <c r="BK28" s="96"/>
      <c r="BL28" s="87">
        <f t="shared" si="65"/>
        <v>0</v>
      </c>
      <c r="BM28" s="95">
        <f t="shared" si="66"/>
        <v>0.4604471269</v>
      </c>
      <c r="BN28" s="98">
        <f t="shared" si="67"/>
        <v>0</v>
      </c>
      <c r="BO28" s="99">
        <f t="shared" si="68"/>
        <v>0</v>
      </c>
      <c r="BP28" s="90"/>
      <c r="BQ28" s="92">
        <f t="shared" si="201"/>
        <v>16</v>
      </c>
      <c r="BR28" s="93" t="str">
        <f t="shared" ref="BR28:BT28" si="436">IFERROR(VLOOKUP($R28,$A$13:$D$30,-BR$12,FALSE),"")</f>
        <v>Lainnya 2.3 (8) …….</v>
      </c>
      <c r="BS28" s="94" t="str">
        <f t="shared" si="436"/>
        <v/>
      </c>
      <c r="BT28" s="94" t="str">
        <f t="shared" si="436"/>
        <v/>
      </c>
      <c r="BU28" s="87">
        <f t="shared" si="70"/>
        <v>0</v>
      </c>
      <c r="BV28" s="87" t="str">
        <f t="shared" si="71"/>
        <v>#DIV/0!</v>
      </c>
      <c r="BW28" s="87">
        <f t="shared" si="72"/>
        <v>0</v>
      </c>
      <c r="BX28" s="95"/>
      <c r="BY28" s="87">
        <f t="shared" si="73"/>
        <v>0</v>
      </c>
      <c r="BZ28" s="410"/>
      <c r="CA28" s="96"/>
      <c r="CB28" s="96"/>
      <c r="CC28" s="87">
        <f t="shared" si="74"/>
        <v>0</v>
      </c>
      <c r="CD28" s="95">
        <f t="shared" si="75"/>
        <v>0.4604471269</v>
      </c>
      <c r="CE28" s="98">
        <f t="shared" si="76"/>
        <v>0</v>
      </c>
      <c r="CF28" s="99">
        <f t="shared" si="77"/>
        <v>0</v>
      </c>
      <c r="CG28" s="90"/>
      <c r="CH28" s="92">
        <f t="shared" si="203"/>
        <v>16</v>
      </c>
      <c r="CI28" s="93" t="str">
        <f t="shared" ref="CI28:CK28" si="437">IFERROR(VLOOKUP($R28,$A$13:$D$30,-CI$12,FALSE),"")</f>
        <v>Lainnya 2.3 (8) …….</v>
      </c>
      <c r="CJ28" s="94" t="str">
        <f t="shared" si="437"/>
        <v/>
      </c>
      <c r="CK28" s="94" t="str">
        <f t="shared" si="437"/>
        <v/>
      </c>
      <c r="CL28" s="87">
        <f t="shared" si="79"/>
        <v>0</v>
      </c>
      <c r="CM28" s="87" t="str">
        <f t="shared" si="80"/>
        <v>#DIV/0!</v>
      </c>
      <c r="CN28" s="87">
        <f t="shared" si="81"/>
        <v>0</v>
      </c>
      <c r="CO28" s="95"/>
      <c r="CP28" s="87">
        <f t="shared" si="82"/>
        <v>0</v>
      </c>
      <c r="CQ28" s="410"/>
      <c r="CR28" s="96"/>
      <c r="CS28" s="96"/>
      <c r="CT28" s="87">
        <f t="shared" si="83"/>
        <v>0</v>
      </c>
      <c r="CU28" s="95">
        <f t="shared" si="84"/>
        <v>0.4604471269</v>
      </c>
      <c r="CV28" s="98">
        <f t="shared" si="85"/>
        <v>0</v>
      </c>
      <c r="CW28" s="99">
        <f t="shared" si="86"/>
        <v>0</v>
      </c>
      <c r="CX28" s="90"/>
      <c r="CY28" s="92">
        <f t="shared" si="205"/>
        <v>16</v>
      </c>
      <c r="CZ28" s="93" t="str">
        <f t="shared" ref="CZ28:DB28" si="438">IFERROR(VLOOKUP($R28,$A$13:$D$30,-CZ$12,FALSE),"")</f>
        <v>Lainnya 2.3 (8) …….</v>
      </c>
      <c r="DA28" s="94" t="str">
        <f t="shared" si="438"/>
        <v/>
      </c>
      <c r="DB28" s="94" t="str">
        <f t="shared" si="438"/>
        <v/>
      </c>
      <c r="DC28" s="87">
        <f t="shared" si="88"/>
        <v>0</v>
      </c>
      <c r="DD28" s="87" t="str">
        <f t="shared" si="89"/>
        <v>#DIV/0!</v>
      </c>
      <c r="DE28" s="87">
        <f t="shared" si="90"/>
        <v>0</v>
      </c>
      <c r="DF28" s="95"/>
      <c r="DG28" s="87">
        <f t="shared" si="91"/>
        <v>0</v>
      </c>
      <c r="DH28" s="410"/>
      <c r="DI28" s="96"/>
      <c r="DJ28" s="96"/>
      <c r="DK28" s="87">
        <f t="shared" si="92"/>
        <v>0</v>
      </c>
      <c r="DL28" s="95">
        <f t="shared" si="93"/>
        <v>0.4604471269</v>
      </c>
      <c r="DM28" s="98">
        <f t="shared" si="94"/>
        <v>0</v>
      </c>
      <c r="DN28" s="99">
        <f t="shared" si="95"/>
        <v>0</v>
      </c>
      <c r="DO28" s="90"/>
      <c r="DP28" s="92">
        <f t="shared" si="207"/>
        <v>16</v>
      </c>
      <c r="DQ28" s="93" t="str">
        <f t="shared" ref="DQ28:DS28" si="439">IFERROR(VLOOKUP($R28,$A$13:$D$30,-DQ$12,FALSE),"")</f>
        <v>Lainnya 2.3 (8) …….</v>
      </c>
      <c r="DR28" s="94" t="str">
        <f t="shared" si="439"/>
        <v/>
      </c>
      <c r="DS28" s="94" t="str">
        <f t="shared" si="439"/>
        <v/>
      </c>
      <c r="DT28" s="87">
        <f t="shared" si="97"/>
        <v>0</v>
      </c>
      <c r="DU28" s="87" t="str">
        <f t="shared" si="98"/>
        <v>#DIV/0!</v>
      </c>
      <c r="DV28" s="87">
        <f t="shared" si="99"/>
        <v>0</v>
      </c>
      <c r="DW28" s="95"/>
      <c r="DX28" s="87">
        <f t="shared" si="100"/>
        <v>0</v>
      </c>
      <c r="DY28" s="410"/>
      <c r="DZ28" s="96"/>
      <c r="EA28" s="96"/>
      <c r="EB28" s="87">
        <f t="shared" si="101"/>
        <v>0</v>
      </c>
      <c r="EC28" s="95">
        <f t="shared" si="102"/>
        <v>0.4604471269</v>
      </c>
      <c r="ED28" s="98">
        <f t="shared" si="103"/>
        <v>0</v>
      </c>
      <c r="EE28" s="99">
        <f t="shared" si="104"/>
        <v>0</v>
      </c>
      <c r="EF28" s="90"/>
      <c r="EG28" s="92">
        <f t="shared" si="209"/>
        <v>16</v>
      </c>
      <c r="EH28" s="93" t="str">
        <f t="shared" ref="EH28:EJ28" si="440">IFERROR(VLOOKUP($R28,$A$13:$D$30,-EH$12,FALSE),"")</f>
        <v>Lainnya 2.3 (8) …….</v>
      </c>
      <c r="EI28" s="94" t="str">
        <f t="shared" si="440"/>
        <v/>
      </c>
      <c r="EJ28" s="94" t="str">
        <f t="shared" si="440"/>
        <v/>
      </c>
      <c r="EK28" s="87">
        <f t="shared" si="106"/>
        <v>0</v>
      </c>
      <c r="EL28" s="87" t="str">
        <f t="shared" si="107"/>
        <v>#DIV/0!</v>
      </c>
      <c r="EM28" s="87">
        <f t="shared" si="108"/>
        <v>0</v>
      </c>
      <c r="EN28" s="95"/>
      <c r="EO28" s="87">
        <f t="shared" si="109"/>
        <v>0</v>
      </c>
      <c r="EP28" s="410"/>
      <c r="EQ28" s="96"/>
      <c r="ER28" s="96"/>
      <c r="ES28" s="87">
        <f t="shared" si="110"/>
        <v>0</v>
      </c>
      <c r="ET28" s="95">
        <f t="shared" si="111"/>
        <v>0.4604471269</v>
      </c>
      <c r="EU28" s="98">
        <f t="shared" si="112"/>
        <v>0</v>
      </c>
      <c r="EV28" s="99">
        <f t="shared" si="113"/>
        <v>0</v>
      </c>
      <c r="EW28" s="90"/>
      <c r="EX28" s="92">
        <f t="shared" si="211"/>
        <v>16</v>
      </c>
      <c r="EY28" s="93" t="str">
        <f t="shared" ref="EY28:FA28" si="441">IFERROR(VLOOKUP($R28,$A$13:$D$30,-EY$12,FALSE),"")</f>
        <v>Lainnya 2.3 (8) …….</v>
      </c>
      <c r="EZ28" s="94" t="str">
        <f t="shared" si="441"/>
        <v/>
      </c>
      <c r="FA28" s="94" t="str">
        <f t="shared" si="441"/>
        <v/>
      </c>
      <c r="FB28" s="87">
        <f t="shared" si="115"/>
        <v>0</v>
      </c>
      <c r="FC28" s="87" t="str">
        <f t="shared" si="116"/>
        <v>#DIV/0!</v>
      </c>
      <c r="FD28" s="87">
        <f t="shared" si="117"/>
        <v>0</v>
      </c>
      <c r="FE28" s="95"/>
      <c r="FF28" s="87">
        <f t="shared" si="118"/>
        <v>0</v>
      </c>
      <c r="FG28" s="410"/>
      <c r="FH28" s="96"/>
      <c r="FI28" s="96"/>
      <c r="FJ28" s="87">
        <f t="shared" si="119"/>
        <v>0</v>
      </c>
      <c r="FK28" s="95">
        <f t="shared" si="120"/>
        <v>0.4604471269</v>
      </c>
      <c r="FL28" s="98">
        <f t="shared" si="121"/>
        <v>0</v>
      </c>
      <c r="FM28" s="99">
        <f t="shared" si="122"/>
        <v>0</v>
      </c>
      <c r="FN28" s="90"/>
      <c r="FO28" s="92">
        <f t="shared" si="213"/>
        <v>16</v>
      </c>
      <c r="FP28" s="93" t="str">
        <f t="shared" ref="FP28:FR28" si="442">IFERROR(VLOOKUP($R28,$A$13:$D$30,-FP$12,FALSE),"")</f>
        <v>Lainnya 2.3 (8) …….</v>
      </c>
      <c r="FQ28" s="94" t="str">
        <f t="shared" si="442"/>
        <v/>
      </c>
      <c r="FR28" s="94" t="str">
        <f t="shared" si="442"/>
        <v/>
      </c>
      <c r="FS28" s="87">
        <f t="shared" si="124"/>
        <v>0</v>
      </c>
      <c r="FT28" s="87" t="str">
        <f t="shared" si="125"/>
        <v>#DIV/0!</v>
      </c>
      <c r="FU28" s="87">
        <f t="shared" si="126"/>
        <v>0</v>
      </c>
      <c r="FV28" s="95"/>
      <c r="FW28" s="87">
        <f t="shared" si="127"/>
        <v>0</v>
      </c>
      <c r="FX28" s="410"/>
      <c r="FY28" s="96"/>
      <c r="FZ28" s="96"/>
      <c r="GA28" s="87">
        <f t="shared" si="128"/>
        <v>0</v>
      </c>
      <c r="GB28" s="95">
        <f t="shared" si="129"/>
        <v>0.4604471269</v>
      </c>
      <c r="GC28" s="98">
        <f t="shared" si="130"/>
        <v>0</v>
      </c>
      <c r="GD28" s="99">
        <f t="shared" si="131"/>
        <v>0</v>
      </c>
      <c r="GE28" s="90"/>
      <c r="GF28" s="92">
        <f t="shared" si="215"/>
        <v>16</v>
      </c>
      <c r="GG28" s="93" t="str">
        <f t="shared" ref="GG28:GI28" si="443">IFERROR(VLOOKUP($R28,$A$13:$D$30,-GG$12,FALSE),"")</f>
        <v>Lainnya 2.3 (8) …….</v>
      </c>
      <c r="GH28" s="94" t="str">
        <f t="shared" si="443"/>
        <v/>
      </c>
      <c r="GI28" s="94" t="str">
        <f t="shared" si="443"/>
        <v/>
      </c>
      <c r="GJ28" s="87">
        <f t="shared" si="133"/>
        <v>0</v>
      </c>
      <c r="GK28" s="87" t="str">
        <f t="shared" si="134"/>
        <v>#DIV/0!</v>
      </c>
      <c r="GL28" s="87">
        <f t="shared" si="135"/>
        <v>0</v>
      </c>
      <c r="GM28" s="95"/>
      <c r="GN28" s="87">
        <f t="shared" si="136"/>
        <v>0</v>
      </c>
      <c r="GO28" s="410"/>
      <c r="GP28" s="96"/>
      <c r="GQ28" s="96"/>
      <c r="GR28" s="87">
        <f t="shared" si="137"/>
        <v>0</v>
      </c>
      <c r="GS28" s="95">
        <f t="shared" si="138"/>
        <v>0.4604471269</v>
      </c>
      <c r="GT28" s="98">
        <f t="shared" si="139"/>
        <v>0</v>
      </c>
      <c r="GU28" s="99">
        <f t="shared" si="140"/>
        <v>0</v>
      </c>
      <c r="GV28" s="90"/>
      <c r="GW28" s="92">
        <f t="shared" si="217"/>
        <v>16</v>
      </c>
      <c r="GX28" s="93" t="str">
        <f t="shared" ref="GX28:GZ28" si="444">IFERROR(VLOOKUP($R28,$A$13:$D$30,-GX$12,FALSE),"")</f>
        <v>Lainnya 2.3 (8) …….</v>
      </c>
      <c r="GY28" s="94" t="str">
        <f t="shared" si="444"/>
        <v/>
      </c>
      <c r="GZ28" s="94" t="str">
        <f t="shared" si="444"/>
        <v/>
      </c>
      <c r="HA28" s="87">
        <f t="shared" si="142"/>
        <v>0</v>
      </c>
      <c r="HB28" s="87" t="str">
        <f t="shared" si="143"/>
        <v>#DIV/0!</v>
      </c>
      <c r="HC28" s="87">
        <f t="shared" si="144"/>
        <v>0</v>
      </c>
      <c r="HD28" s="95"/>
      <c r="HE28" s="87">
        <f t="shared" si="145"/>
        <v>0</v>
      </c>
      <c r="HF28" s="410"/>
      <c r="HG28" s="96"/>
      <c r="HH28" s="96"/>
      <c r="HI28" s="87">
        <f t="shared" si="146"/>
        <v>0</v>
      </c>
      <c r="HJ28" s="95">
        <f t="shared" si="147"/>
        <v>0.4604471269</v>
      </c>
      <c r="HK28" s="98">
        <f t="shared" si="148"/>
        <v>0</v>
      </c>
      <c r="HL28" s="99">
        <f t="shared" si="149"/>
        <v>0</v>
      </c>
      <c r="HM28" s="90"/>
      <c r="HN28" s="92">
        <f t="shared" si="219"/>
        <v>16</v>
      </c>
      <c r="HO28" s="93" t="str">
        <f t="shared" ref="HO28:HQ28" si="445">IFERROR(VLOOKUP($R28,$A$13:$D$30,-HO$12,FALSE),"")</f>
        <v>Lainnya 2.3 (8) …….</v>
      </c>
      <c r="HP28" s="94" t="str">
        <f t="shared" si="445"/>
        <v/>
      </c>
      <c r="HQ28" s="94" t="str">
        <f t="shared" si="445"/>
        <v/>
      </c>
      <c r="HR28" s="87">
        <f t="shared" si="151"/>
        <v>0</v>
      </c>
      <c r="HS28" s="87" t="str">
        <f t="shared" si="152"/>
        <v>#DIV/0!</v>
      </c>
      <c r="HT28" s="87">
        <f t="shared" si="153"/>
        <v>0</v>
      </c>
      <c r="HU28" s="95"/>
      <c r="HV28" s="87">
        <f t="shared" si="154"/>
        <v>0</v>
      </c>
      <c r="HW28" s="410"/>
      <c r="HX28" s="96"/>
      <c r="HY28" s="96"/>
      <c r="HZ28" s="87">
        <f t="shared" si="155"/>
        <v>0</v>
      </c>
      <c r="IA28" s="95">
        <f t="shared" si="156"/>
        <v>0.4604471269</v>
      </c>
      <c r="IB28" s="98">
        <f t="shared" si="157"/>
        <v>0</v>
      </c>
      <c r="IC28" s="99">
        <f t="shared" si="158"/>
        <v>0</v>
      </c>
      <c r="ID28" s="90"/>
      <c r="IE28" s="92">
        <f t="shared" si="221"/>
        <v>16</v>
      </c>
      <c r="IF28" s="93" t="str">
        <f t="shared" ref="IF28:IH28" si="446">IFERROR(VLOOKUP($R28,$A$13:$D$30,-IF$12,FALSE),"")</f>
        <v>Lainnya 2.3 (8) …….</v>
      </c>
      <c r="IG28" s="94" t="str">
        <f t="shared" si="446"/>
        <v/>
      </c>
      <c r="IH28" s="94" t="str">
        <f t="shared" si="446"/>
        <v/>
      </c>
      <c r="II28" s="87">
        <f t="shared" si="160"/>
        <v>0</v>
      </c>
      <c r="IJ28" s="87" t="str">
        <f t="shared" si="161"/>
        <v>#DIV/0!</v>
      </c>
      <c r="IK28" s="87">
        <f t="shared" si="162"/>
        <v>0</v>
      </c>
      <c r="IL28" s="95"/>
      <c r="IM28" s="87">
        <f t="shared" si="163"/>
        <v>0</v>
      </c>
      <c r="IN28" s="410"/>
      <c r="IO28" s="96"/>
      <c r="IP28" s="96"/>
      <c r="IQ28" s="87">
        <f t="shared" si="164"/>
        <v>0</v>
      </c>
      <c r="IR28" s="95">
        <f t="shared" si="165"/>
        <v>0.4604471269</v>
      </c>
      <c r="IS28" s="98">
        <f t="shared" si="166"/>
        <v>0</v>
      </c>
      <c r="IT28" s="99">
        <f t="shared" si="167"/>
        <v>0</v>
      </c>
      <c r="IU28" s="90"/>
      <c r="IV28" s="92">
        <f t="shared" si="223"/>
        <v>16</v>
      </c>
      <c r="IW28" s="93" t="str">
        <f t="shared" ref="IW28:IY28" si="447">IFERROR(VLOOKUP($R28,$A$13:$D$30,-IW$12,FALSE),"")</f>
        <v>Lainnya 2.3 (8) …….</v>
      </c>
      <c r="IX28" s="94" t="str">
        <f t="shared" si="447"/>
        <v/>
      </c>
      <c r="IY28" s="94" t="str">
        <f t="shared" si="447"/>
        <v/>
      </c>
      <c r="IZ28" s="87">
        <f t="shared" si="169"/>
        <v>0</v>
      </c>
      <c r="JA28" s="87" t="str">
        <f t="shared" si="170"/>
        <v>#DIV/0!</v>
      </c>
      <c r="JB28" s="87">
        <f t="shared" si="171"/>
        <v>0</v>
      </c>
      <c r="JC28" s="95"/>
      <c r="JD28" s="87">
        <f t="shared" si="172"/>
        <v>0</v>
      </c>
      <c r="JE28" s="410"/>
      <c r="JF28" s="96"/>
      <c r="JG28" s="96"/>
      <c r="JH28" s="87">
        <f t="shared" si="173"/>
        <v>0</v>
      </c>
      <c r="JI28" s="95">
        <f t="shared" si="174"/>
        <v>0.4604471269</v>
      </c>
      <c r="JJ28" s="98">
        <f t="shared" si="175"/>
        <v>0</v>
      </c>
      <c r="JK28" s="99">
        <f t="shared" si="176"/>
        <v>0</v>
      </c>
      <c r="JL28" s="90"/>
      <c r="JM28" s="92">
        <f t="shared" si="225"/>
        <v>16</v>
      </c>
      <c r="JN28" s="93" t="str">
        <f t="shared" ref="JN28:JP28" si="448">IFERROR(VLOOKUP($R28,$A$13:$D$30,-JN$12,FALSE),"")</f>
        <v>Lainnya 2.3 (8) …….</v>
      </c>
      <c r="JO28" s="94" t="str">
        <f t="shared" si="448"/>
        <v/>
      </c>
      <c r="JP28" s="94" t="str">
        <f t="shared" si="448"/>
        <v/>
      </c>
      <c r="JQ28" s="87">
        <f t="shared" si="178"/>
        <v>0</v>
      </c>
      <c r="JR28" s="87" t="str">
        <f t="shared" si="179"/>
        <v>#DIV/0!</v>
      </c>
      <c r="JS28" s="87">
        <f t="shared" si="180"/>
        <v>0</v>
      </c>
      <c r="JT28" s="95"/>
      <c r="JU28" s="87">
        <f t="shared" si="181"/>
        <v>0</v>
      </c>
      <c r="JV28" s="410"/>
      <c r="JW28" s="96"/>
      <c r="JX28" s="96"/>
      <c r="JY28" s="87">
        <f t="shared" si="182"/>
        <v>0</v>
      </c>
      <c r="JZ28" s="95">
        <f t="shared" si="183"/>
        <v>0.4604471269</v>
      </c>
      <c r="KA28" s="98">
        <f t="shared" si="184"/>
        <v>0</v>
      </c>
      <c r="KB28" s="99">
        <f t="shared" si="185"/>
        <v>0</v>
      </c>
      <c r="KC28" s="90"/>
      <c r="KD28" s="92">
        <f t="shared" si="227"/>
        <v>16</v>
      </c>
      <c r="KE28" s="93" t="str">
        <f t="shared" ref="KE28:KG28" si="449">IFERROR(VLOOKUP($R28,$A$13:$D$30,-KE$12,FALSE),"")</f>
        <v>Lainnya 2.3 (8) …….</v>
      </c>
      <c r="KF28" s="94" t="str">
        <f t="shared" si="449"/>
        <v/>
      </c>
      <c r="KG28" s="94" t="str">
        <f t="shared" si="449"/>
        <v/>
      </c>
      <c r="KH28" s="87">
        <f t="shared" si="187"/>
        <v>0</v>
      </c>
      <c r="KI28" s="87" t="str">
        <f t="shared" si="188"/>
        <v>#DIV/0!</v>
      </c>
      <c r="KJ28" s="87">
        <f t="shared" si="189"/>
        <v>0</v>
      </c>
      <c r="KK28" s="95"/>
      <c r="KL28" s="87">
        <f t="shared" si="190"/>
        <v>0</v>
      </c>
      <c r="KM28" s="410"/>
      <c r="KN28" s="96"/>
      <c r="KO28" s="96"/>
      <c r="KP28" s="87">
        <f t="shared" si="191"/>
        <v>0</v>
      </c>
      <c r="KQ28" s="95">
        <f t="shared" si="192"/>
        <v>0.4604471269</v>
      </c>
      <c r="KR28" s="98">
        <f t="shared" si="193"/>
        <v>0</v>
      </c>
      <c r="KS28" s="99">
        <f t="shared" si="194"/>
        <v>0</v>
      </c>
      <c r="KT28" s="90"/>
      <c r="KU28" s="91"/>
    </row>
    <row r="29" ht="15.75" customHeight="1">
      <c r="A29" s="92">
        <v>17.0</v>
      </c>
      <c r="B29" s="93" t="s">
        <v>89</v>
      </c>
      <c r="C29" s="94" t="s">
        <v>83</v>
      </c>
      <c r="D29" s="94" t="s">
        <v>83</v>
      </c>
      <c r="E29" s="87">
        <f t="shared" si="35"/>
        <v>0</v>
      </c>
      <c r="F29" s="87" t="str">
        <f t="shared" si="36"/>
        <v>#DIV/0!</v>
      </c>
      <c r="G29" s="87">
        <f t="shared" si="37"/>
        <v>0</v>
      </c>
      <c r="H29" s="95"/>
      <c r="I29" s="87">
        <f t="shared" si="38"/>
        <v>0</v>
      </c>
      <c r="J29" s="410"/>
      <c r="K29" s="96"/>
      <c r="L29" s="96"/>
      <c r="M29" s="87">
        <f t="shared" si="39"/>
        <v>0</v>
      </c>
      <c r="N29" s="95">
        <v>0.4604471268963365</v>
      </c>
      <c r="O29" s="98">
        <f t="shared" si="40"/>
        <v>0</v>
      </c>
      <c r="P29" s="99">
        <f t="shared" si="41"/>
        <v>0</v>
      </c>
      <c r="Q29" s="90"/>
      <c r="R29" s="92">
        <f t="shared" si="195"/>
        <v>17</v>
      </c>
      <c r="S29" s="93" t="str">
        <f t="shared" ref="S29:U29" si="450">IFERROR(VLOOKUP($R29,$A$13:$D$30,-S$12,FALSE),"")</f>
        <v>Lainnya 2.3 (9) …….</v>
      </c>
      <c r="T29" s="94" t="str">
        <f t="shared" si="450"/>
        <v/>
      </c>
      <c r="U29" s="94" t="str">
        <f t="shared" si="450"/>
        <v/>
      </c>
      <c r="V29" s="87">
        <f t="shared" si="43"/>
        <v>0</v>
      </c>
      <c r="W29" s="87" t="str">
        <f t="shared" si="44"/>
        <v>#DIV/0!</v>
      </c>
      <c r="X29" s="87">
        <f t="shared" si="45"/>
        <v>0</v>
      </c>
      <c r="Y29" s="95"/>
      <c r="Z29" s="87">
        <f t="shared" si="46"/>
        <v>0</v>
      </c>
      <c r="AA29" s="410"/>
      <c r="AB29" s="96"/>
      <c r="AC29" s="96"/>
      <c r="AD29" s="87">
        <f t="shared" si="47"/>
        <v>0</v>
      </c>
      <c r="AE29" s="95">
        <f t="shared" si="48"/>
        <v>0.4604471269</v>
      </c>
      <c r="AF29" s="98">
        <f t="shared" si="49"/>
        <v>0</v>
      </c>
      <c r="AG29" s="99">
        <f t="shared" si="50"/>
        <v>0</v>
      </c>
      <c r="AH29" s="90"/>
      <c r="AI29" s="92">
        <f t="shared" si="197"/>
        <v>17</v>
      </c>
      <c r="AJ29" s="93" t="str">
        <f t="shared" ref="AJ29:AL29" si="451">IFERROR(VLOOKUP($R29,$A$13:$D$30,-AJ$12,FALSE),"")</f>
        <v>Lainnya 2.3 (9) …….</v>
      </c>
      <c r="AK29" s="94" t="str">
        <f t="shared" si="451"/>
        <v/>
      </c>
      <c r="AL29" s="94" t="str">
        <f t="shared" si="451"/>
        <v/>
      </c>
      <c r="AM29" s="87">
        <f t="shared" si="52"/>
        <v>0</v>
      </c>
      <c r="AN29" s="87" t="str">
        <f t="shared" si="53"/>
        <v>#DIV/0!</v>
      </c>
      <c r="AO29" s="87">
        <f t="shared" si="54"/>
        <v>0</v>
      </c>
      <c r="AP29" s="95"/>
      <c r="AQ29" s="87">
        <f t="shared" si="55"/>
        <v>0</v>
      </c>
      <c r="AR29" s="410"/>
      <c r="AS29" s="96"/>
      <c r="AT29" s="96"/>
      <c r="AU29" s="87">
        <f t="shared" si="56"/>
        <v>0</v>
      </c>
      <c r="AV29" s="95">
        <f t="shared" si="57"/>
        <v>0.4604471269</v>
      </c>
      <c r="AW29" s="98">
        <f t="shared" si="58"/>
        <v>0</v>
      </c>
      <c r="AX29" s="99">
        <f t="shared" si="59"/>
        <v>0</v>
      </c>
      <c r="AY29" s="90"/>
      <c r="AZ29" s="92">
        <f t="shared" si="199"/>
        <v>17</v>
      </c>
      <c r="BA29" s="93" t="str">
        <f t="shared" ref="BA29:BC29" si="452">IFERROR(VLOOKUP($R29,$A$13:$D$30,-BA$12,FALSE),"")</f>
        <v>Lainnya 2.3 (9) …….</v>
      </c>
      <c r="BB29" s="94" t="str">
        <f t="shared" si="452"/>
        <v/>
      </c>
      <c r="BC29" s="94" t="str">
        <f t="shared" si="452"/>
        <v/>
      </c>
      <c r="BD29" s="87">
        <f t="shared" si="61"/>
        <v>0</v>
      </c>
      <c r="BE29" s="87" t="str">
        <f t="shared" si="62"/>
        <v>#DIV/0!</v>
      </c>
      <c r="BF29" s="87">
        <f t="shared" si="63"/>
        <v>0</v>
      </c>
      <c r="BG29" s="95"/>
      <c r="BH29" s="87">
        <f t="shared" si="64"/>
        <v>0</v>
      </c>
      <c r="BI29" s="410"/>
      <c r="BJ29" s="96"/>
      <c r="BK29" s="96"/>
      <c r="BL29" s="87">
        <f t="shared" si="65"/>
        <v>0</v>
      </c>
      <c r="BM29" s="95">
        <f t="shared" si="66"/>
        <v>0.4604471269</v>
      </c>
      <c r="BN29" s="98">
        <f t="shared" si="67"/>
        <v>0</v>
      </c>
      <c r="BO29" s="99">
        <f t="shared" si="68"/>
        <v>0</v>
      </c>
      <c r="BP29" s="90"/>
      <c r="BQ29" s="92">
        <f t="shared" si="201"/>
        <v>17</v>
      </c>
      <c r="BR29" s="93" t="str">
        <f t="shared" ref="BR29:BT29" si="453">IFERROR(VLOOKUP($R29,$A$13:$D$30,-BR$12,FALSE),"")</f>
        <v>Lainnya 2.3 (9) …….</v>
      </c>
      <c r="BS29" s="94" t="str">
        <f t="shared" si="453"/>
        <v/>
      </c>
      <c r="BT29" s="94" t="str">
        <f t="shared" si="453"/>
        <v/>
      </c>
      <c r="BU29" s="87">
        <f t="shared" si="70"/>
        <v>0</v>
      </c>
      <c r="BV29" s="87" t="str">
        <f t="shared" si="71"/>
        <v>#DIV/0!</v>
      </c>
      <c r="BW29" s="87">
        <f t="shared" si="72"/>
        <v>0</v>
      </c>
      <c r="BX29" s="95"/>
      <c r="BY29" s="87">
        <f t="shared" si="73"/>
        <v>0</v>
      </c>
      <c r="BZ29" s="410"/>
      <c r="CA29" s="96"/>
      <c r="CB29" s="96"/>
      <c r="CC29" s="87">
        <f t="shared" si="74"/>
        <v>0</v>
      </c>
      <c r="CD29" s="95">
        <f t="shared" si="75"/>
        <v>0.4604471269</v>
      </c>
      <c r="CE29" s="98">
        <f t="shared" si="76"/>
        <v>0</v>
      </c>
      <c r="CF29" s="99">
        <f t="shared" si="77"/>
        <v>0</v>
      </c>
      <c r="CG29" s="90"/>
      <c r="CH29" s="92">
        <f t="shared" si="203"/>
        <v>17</v>
      </c>
      <c r="CI29" s="93" t="str">
        <f t="shared" ref="CI29:CK29" si="454">IFERROR(VLOOKUP($R29,$A$13:$D$30,-CI$12,FALSE),"")</f>
        <v>Lainnya 2.3 (9) …….</v>
      </c>
      <c r="CJ29" s="94" t="str">
        <f t="shared" si="454"/>
        <v/>
      </c>
      <c r="CK29" s="94" t="str">
        <f t="shared" si="454"/>
        <v/>
      </c>
      <c r="CL29" s="87">
        <f t="shared" si="79"/>
        <v>0</v>
      </c>
      <c r="CM29" s="87" t="str">
        <f t="shared" si="80"/>
        <v>#DIV/0!</v>
      </c>
      <c r="CN29" s="87">
        <f t="shared" si="81"/>
        <v>0</v>
      </c>
      <c r="CO29" s="95"/>
      <c r="CP29" s="87">
        <f t="shared" si="82"/>
        <v>0</v>
      </c>
      <c r="CQ29" s="410"/>
      <c r="CR29" s="96"/>
      <c r="CS29" s="96"/>
      <c r="CT29" s="87">
        <f t="shared" si="83"/>
        <v>0</v>
      </c>
      <c r="CU29" s="95">
        <f t="shared" si="84"/>
        <v>0.4604471269</v>
      </c>
      <c r="CV29" s="98">
        <f t="shared" si="85"/>
        <v>0</v>
      </c>
      <c r="CW29" s="99">
        <f t="shared" si="86"/>
        <v>0</v>
      </c>
      <c r="CX29" s="90"/>
      <c r="CY29" s="92">
        <f t="shared" si="205"/>
        <v>17</v>
      </c>
      <c r="CZ29" s="93" t="str">
        <f t="shared" ref="CZ29:DB29" si="455">IFERROR(VLOOKUP($R29,$A$13:$D$30,-CZ$12,FALSE),"")</f>
        <v>Lainnya 2.3 (9) …….</v>
      </c>
      <c r="DA29" s="94" t="str">
        <f t="shared" si="455"/>
        <v/>
      </c>
      <c r="DB29" s="94" t="str">
        <f t="shared" si="455"/>
        <v/>
      </c>
      <c r="DC29" s="87">
        <f t="shared" si="88"/>
        <v>0</v>
      </c>
      <c r="DD29" s="87" t="str">
        <f t="shared" si="89"/>
        <v>#DIV/0!</v>
      </c>
      <c r="DE29" s="87">
        <f t="shared" si="90"/>
        <v>0</v>
      </c>
      <c r="DF29" s="95"/>
      <c r="DG29" s="87">
        <f t="shared" si="91"/>
        <v>0</v>
      </c>
      <c r="DH29" s="410"/>
      <c r="DI29" s="96"/>
      <c r="DJ29" s="96"/>
      <c r="DK29" s="87">
        <f t="shared" si="92"/>
        <v>0</v>
      </c>
      <c r="DL29" s="95">
        <f t="shared" si="93"/>
        <v>0.4604471269</v>
      </c>
      <c r="DM29" s="98">
        <f t="shared" si="94"/>
        <v>0</v>
      </c>
      <c r="DN29" s="99">
        <f t="shared" si="95"/>
        <v>0</v>
      </c>
      <c r="DO29" s="90"/>
      <c r="DP29" s="92">
        <f t="shared" si="207"/>
        <v>17</v>
      </c>
      <c r="DQ29" s="93" t="str">
        <f t="shared" ref="DQ29:DS29" si="456">IFERROR(VLOOKUP($R29,$A$13:$D$30,-DQ$12,FALSE),"")</f>
        <v>Lainnya 2.3 (9) …….</v>
      </c>
      <c r="DR29" s="94" t="str">
        <f t="shared" si="456"/>
        <v/>
      </c>
      <c r="DS29" s="94" t="str">
        <f t="shared" si="456"/>
        <v/>
      </c>
      <c r="DT29" s="87">
        <f t="shared" si="97"/>
        <v>0</v>
      </c>
      <c r="DU29" s="87" t="str">
        <f t="shared" si="98"/>
        <v>#DIV/0!</v>
      </c>
      <c r="DV29" s="87">
        <f t="shared" si="99"/>
        <v>0</v>
      </c>
      <c r="DW29" s="95"/>
      <c r="DX29" s="87">
        <f t="shared" si="100"/>
        <v>0</v>
      </c>
      <c r="DY29" s="410"/>
      <c r="DZ29" s="96"/>
      <c r="EA29" s="96"/>
      <c r="EB29" s="87">
        <f t="shared" si="101"/>
        <v>0</v>
      </c>
      <c r="EC29" s="95">
        <f t="shared" si="102"/>
        <v>0.4604471269</v>
      </c>
      <c r="ED29" s="98">
        <f t="shared" si="103"/>
        <v>0</v>
      </c>
      <c r="EE29" s="99">
        <f t="shared" si="104"/>
        <v>0</v>
      </c>
      <c r="EF29" s="90"/>
      <c r="EG29" s="92">
        <f t="shared" si="209"/>
        <v>17</v>
      </c>
      <c r="EH29" s="93" t="str">
        <f t="shared" ref="EH29:EJ29" si="457">IFERROR(VLOOKUP($R29,$A$13:$D$30,-EH$12,FALSE),"")</f>
        <v>Lainnya 2.3 (9) …….</v>
      </c>
      <c r="EI29" s="94" t="str">
        <f t="shared" si="457"/>
        <v/>
      </c>
      <c r="EJ29" s="94" t="str">
        <f t="shared" si="457"/>
        <v/>
      </c>
      <c r="EK29" s="87">
        <f t="shared" si="106"/>
        <v>0</v>
      </c>
      <c r="EL29" s="87" t="str">
        <f t="shared" si="107"/>
        <v>#DIV/0!</v>
      </c>
      <c r="EM29" s="87">
        <f t="shared" si="108"/>
        <v>0</v>
      </c>
      <c r="EN29" s="95"/>
      <c r="EO29" s="87">
        <f t="shared" si="109"/>
        <v>0</v>
      </c>
      <c r="EP29" s="410"/>
      <c r="EQ29" s="96"/>
      <c r="ER29" s="96"/>
      <c r="ES29" s="87">
        <f t="shared" si="110"/>
        <v>0</v>
      </c>
      <c r="ET29" s="95">
        <f t="shared" si="111"/>
        <v>0.4604471269</v>
      </c>
      <c r="EU29" s="98">
        <f t="shared" si="112"/>
        <v>0</v>
      </c>
      <c r="EV29" s="99">
        <f t="shared" si="113"/>
        <v>0</v>
      </c>
      <c r="EW29" s="90"/>
      <c r="EX29" s="92">
        <f t="shared" si="211"/>
        <v>17</v>
      </c>
      <c r="EY29" s="93" t="str">
        <f t="shared" ref="EY29:FA29" si="458">IFERROR(VLOOKUP($R29,$A$13:$D$30,-EY$12,FALSE),"")</f>
        <v>Lainnya 2.3 (9) …….</v>
      </c>
      <c r="EZ29" s="94" t="str">
        <f t="shared" si="458"/>
        <v/>
      </c>
      <c r="FA29" s="94" t="str">
        <f t="shared" si="458"/>
        <v/>
      </c>
      <c r="FB29" s="87">
        <f t="shared" si="115"/>
        <v>0</v>
      </c>
      <c r="FC29" s="87" t="str">
        <f t="shared" si="116"/>
        <v>#DIV/0!</v>
      </c>
      <c r="FD29" s="87">
        <f t="shared" si="117"/>
        <v>0</v>
      </c>
      <c r="FE29" s="95"/>
      <c r="FF29" s="87">
        <f t="shared" si="118"/>
        <v>0</v>
      </c>
      <c r="FG29" s="410"/>
      <c r="FH29" s="96"/>
      <c r="FI29" s="96"/>
      <c r="FJ29" s="87">
        <f t="shared" si="119"/>
        <v>0</v>
      </c>
      <c r="FK29" s="95">
        <f t="shared" si="120"/>
        <v>0.4604471269</v>
      </c>
      <c r="FL29" s="98">
        <f t="shared" si="121"/>
        <v>0</v>
      </c>
      <c r="FM29" s="99">
        <f t="shared" si="122"/>
        <v>0</v>
      </c>
      <c r="FN29" s="90"/>
      <c r="FO29" s="92">
        <f t="shared" si="213"/>
        <v>17</v>
      </c>
      <c r="FP29" s="93" t="str">
        <f t="shared" ref="FP29:FR29" si="459">IFERROR(VLOOKUP($R29,$A$13:$D$30,-FP$12,FALSE),"")</f>
        <v>Lainnya 2.3 (9) …….</v>
      </c>
      <c r="FQ29" s="94" t="str">
        <f t="shared" si="459"/>
        <v/>
      </c>
      <c r="FR29" s="94" t="str">
        <f t="shared" si="459"/>
        <v/>
      </c>
      <c r="FS29" s="87">
        <f t="shared" si="124"/>
        <v>0</v>
      </c>
      <c r="FT29" s="87" t="str">
        <f t="shared" si="125"/>
        <v>#DIV/0!</v>
      </c>
      <c r="FU29" s="87">
        <f t="shared" si="126"/>
        <v>0</v>
      </c>
      <c r="FV29" s="95"/>
      <c r="FW29" s="87">
        <f t="shared" si="127"/>
        <v>0</v>
      </c>
      <c r="FX29" s="410"/>
      <c r="FY29" s="96"/>
      <c r="FZ29" s="96"/>
      <c r="GA29" s="87">
        <f t="shared" si="128"/>
        <v>0</v>
      </c>
      <c r="GB29" s="95">
        <f t="shared" si="129"/>
        <v>0.4604471269</v>
      </c>
      <c r="GC29" s="98">
        <f t="shared" si="130"/>
        <v>0</v>
      </c>
      <c r="GD29" s="99">
        <f t="shared" si="131"/>
        <v>0</v>
      </c>
      <c r="GE29" s="90"/>
      <c r="GF29" s="92">
        <f t="shared" si="215"/>
        <v>17</v>
      </c>
      <c r="GG29" s="93" t="str">
        <f t="shared" ref="GG29:GI29" si="460">IFERROR(VLOOKUP($R29,$A$13:$D$30,-GG$12,FALSE),"")</f>
        <v>Lainnya 2.3 (9) …….</v>
      </c>
      <c r="GH29" s="94" t="str">
        <f t="shared" si="460"/>
        <v/>
      </c>
      <c r="GI29" s="94" t="str">
        <f t="shared" si="460"/>
        <v/>
      </c>
      <c r="GJ29" s="87">
        <f t="shared" si="133"/>
        <v>0</v>
      </c>
      <c r="GK29" s="87" t="str">
        <f t="shared" si="134"/>
        <v>#DIV/0!</v>
      </c>
      <c r="GL29" s="87">
        <f t="shared" si="135"/>
        <v>0</v>
      </c>
      <c r="GM29" s="95"/>
      <c r="GN29" s="87">
        <f t="shared" si="136"/>
        <v>0</v>
      </c>
      <c r="GO29" s="410"/>
      <c r="GP29" s="96"/>
      <c r="GQ29" s="96"/>
      <c r="GR29" s="87">
        <f t="shared" si="137"/>
        <v>0</v>
      </c>
      <c r="GS29" s="95">
        <f t="shared" si="138"/>
        <v>0.4604471269</v>
      </c>
      <c r="GT29" s="98">
        <f t="shared" si="139"/>
        <v>0</v>
      </c>
      <c r="GU29" s="99">
        <f t="shared" si="140"/>
        <v>0</v>
      </c>
      <c r="GV29" s="90"/>
      <c r="GW29" s="92">
        <f t="shared" si="217"/>
        <v>17</v>
      </c>
      <c r="GX29" s="93" t="str">
        <f t="shared" ref="GX29:GZ29" si="461">IFERROR(VLOOKUP($R29,$A$13:$D$30,-GX$12,FALSE),"")</f>
        <v>Lainnya 2.3 (9) …….</v>
      </c>
      <c r="GY29" s="94" t="str">
        <f t="shared" si="461"/>
        <v/>
      </c>
      <c r="GZ29" s="94" t="str">
        <f t="shared" si="461"/>
        <v/>
      </c>
      <c r="HA29" s="87">
        <f t="shared" si="142"/>
        <v>0</v>
      </c>
      <c r="HB29" s="87" t="str">
        <f t="shared" si="143"/>
        <v>#DIV/0!</v>
      </c>
      <c r="HC29" s="87">
        <f t="shared" si="144"/>
        <v>0</v>
      </c>
      <c r="HD29" s="95"/>
      <c r="HE29" s="87">
        <f t="shared" si="145"/>
        <v>0</v>
      </c>
      <c r="HF29" s="410"/>
      <c r="HG29" s="96"/>
      <c r="HH29" s="96"/>
      <c r="HI29" s="87">
        <f t="shared" si="146"/>
        <v>0</v>
      </c>
      <c r="HJ29" s="95">
        <f t="shared" si="147"/>
        <v>0.4604471269</v>
      </c>
      <c r="HK29" s="98">
        <f t="shared" si="148"/>
        <v>0</v>
      </c>
      <c r="HL29" s="99">
        <f t="shared" si="149"/>
        <v>0</v>
      </c>
      <c r="HM29" s="90"/>
      <c r="HN29" s="92">
        <f t="shared" si="219"/>
        <v>17</v>
      </c>
      <c r="HO29" s="93" t="str">
        <f t="shared" ref="HO29:HQ29" si="462">IFERROR(VLOOKUP($R29,$A$13:$D$30,-HO$12,FALSE),"")</f>
        <v>Lainnya 2.3 (9) …….</v>
      </c>
      <c r="HP29" s="94" t="str">
        <f t="shared" si="462"/>
        <v/>
      </c>
      <c r="HQ29" s="94" t="str">
        <f t="shared" si="462"/>
        <v/>
      </c>
      <c r="HR29" s="87">
        <f t="shared" si="151"/>
        <v>0</v>
      </c>
      <c r="HS29" s="87" t="str">
        <f t="shared" si="152"/>
        <v>#DIV/0!</v>
      </c>
      <c r="HT29" s="87">
        <f t="shared" si="153"/>
        <v>0</v>
      </c>
      <c r="HU29" s="95"/>
      <c r="HV29" s="87">
        <f t="shared" si="154"/>
        <v>0</v>
      </c>
      <c r="HW29" s="410"/>
      <c r="HX29" s="96"/>
      <c r="HY29" s="96"/>
      <c r="HZ29" s="87">
        <f t="shared" si="155"/>
        <v>0</v>
      </c>
      <c r="IA29" s="95">
        <f t="shared" si="156"/>
        <v>0.4604471269</v>
      </c>
      <c r="IB29" s="98">
        <f t="shared" si="157"/>
        <v>0</v>
      </c>
      <c r="IC29" s="99">
        <f t="shared" si="158"/>
        <v>0</v>
      </c>
      <c r="ID29" s="90"/>
      <c r="IE29" s="92">
        <f t="shared" si="221"/>
        <v>17</v>
      </c>
      <c r="IF29" s="93" t="str">
        <f t="shared" ref="IF29:IH29" si="463">IFERROR(VLOOKUP($R29,$A$13:$D$30,-IF$12,FALSE),"")</f>
        <v>Lainnya 2.3 (9) …….</v>
      </c>
      <c r="IG29" s="94" t="str">
        <f t="shared" si="463"/>
        <v/>
      </c>
      <c r="IH29" s="94" t="str">
        <f t="shared" si="463"/>
        <v/>
      </c>
      <c r="II29" s="87">
        <f t="shared" si="160"/>
        <v>0</v>
      </c>
      <c r="IJ29" s="87" t="str">
        <f t="shared" si="161"/>
        <v>#DIV/0!</v>
      </c>
      <c r="IK29" s="87">
        <f t="shared" si="162"/>
        <v>0</v>
      </c>
      <c r="IL29" s="95"/>
      <c r="IM29" s="87">
        <f t="shared" si="163"/>
        <v>0</v>
      </c>
      <c r="IN29" s="410"/>
      <c r="IO29" s="96"/>
      <c r="IP29" s="96"/>
      <c r="IQ29" s="87">
        <f t="shared" si="164"/>
        <v>0</v>
      </c>
      <c r="IR29" s="95">
        <f t="shared" si="165"/>
        <v>0.4604471269</v>
      </c>
      <c r="IS29" s="98">
        <f t="shared" si="166"/>
        <v>0</v>
      </c>
      <c r="IT29" s="99">
        <f t="shared" si="167"/>
        <v>0</v>
      </c>
      <c r="IU29" s="90"/>
      <c r="IV29" s="92">
        <f t="shared" si="223"/>
        <v>17</v>
      </c>
      <c r="IW29" s="93" t="str">
        <f t="shared" ref="IW29:IY29" si="464">IFERROR(VLOOKUP($R29,$A$13:$D$30,-IW$12,FALSE),"")</f>
        <v>Lainnya 2.3 (9) …….</v>
      </c>
      <c r="IX29" s="94" t="str">
        <f t="shared" si="464"/>
        <v/>
      </c>
      <c r="IY29" s="94" t="str">
        <f t="shared" si="464"/>
        <v/>
      </c>
      <c r="IZ29" s="87">
        <f t="shared" si="169"/>
        <v>0</v>
      </c>
      <c r="JA29" s="87" t="str">
        <f t="shared" si="170"/>
        <v>#DIV/0!</v>
      </c>
      <c r="JB29" s="87">
        <f t="shared" si="171"/>
        <v>0</v>
      </c>
      <c r="JC29" s="95"/>
      <c r="JD29" s="87">
        <f t="shared" si="172"/>
        <v>0</v>
      </c>
      <c r="JE29" s="410"/>
      <c r="JF29" s="96"/>
      <c r="JG29" s="96"/>
      <c r="JH29" s="87">
        <f t="shared" si="173"/>
        <v>0</v>
      </c>
      <c r="JI29" s="95">
        <f t="shared" si="174"/>
        <v>0.4604471269</v>
      </c>
      <c r="JJ29" s="98">
        <f t="shared" si="175"/>
        <v>0</v>
      </c>
      <c r="JK29" s="99">
        <f t="shared" si="176"/>
        <v>0</v>
      </c>
      <c r="JL29" s="90"/>
      <c r="JM29" s="92">
        <f t="shared" si="225"/>
        <v>17</v>
      </c>
      <c r="JN29" s="93" t="str">
        <f t="shared" ref="JN29:JP29" si="465">IFERROR(VLOOKUP($R29,$A$13:$D$30,-JN$12,FALSE),"")</f>
        <v>Lainnya 2.3 (9) …….</v>
      </c>
      <c r="JO29" s="94" t="str">
        <f t="shared" si="465"/>
        <v/>
      </c>
      <c r="JP29" s="94" t="str">
        <f t="shared" si="465"/>
        <v/>
      </c>
      <c r="JQ29" s="87">
        <f t="shared" si="178"/>
        <v>0</v>
      </c>
      <c r="JR29" s="87" t="str">
        <f t="shared" si="179"/>
        <v>#DIV/0!</v>
      </c>
      <c r="JS29" s="87">
        <f t="shared" si="180"/>
        <v>0</v>
      </c>
      <c r="JT29" s="95"/>
      <c r="JU29" s="87">
        <f t="shared" si="181"/>
        <v>0</v>
      </c>
      <c r="JV29" s="410"/>
      <c r="JW29" s="96"/>
      <c r="JX29" s="96"/>
      <c r="JY29" s="87">
        <f t="shared" si="182"/>
        <v>0</v>
      </c>
      <c r="JZ29" s="95">
        <f t="shared" si="183"/>
        <v>0.4604471269</v>
      </c>
      <c r="KA29" s="98">
        <f t="shared" si="184"/>
        <v>0</v>
      </c>
      <c r="KB29" s="99">
        <f t="shared" si="185"/>
        <v>0</v>
      </c>
      <c r="KC29" s="90"/>
      <c r="KD29" s="92">
        <f t="shared" si="227"/>
        <v>17</v>
      </c>
      <c r="KE29" s="93" t="str">
        <f t="shared" ref="KE29:KG29" si="466">IFERROR(VLOOKUP($R29,$A$13:$D$30,-KE$12,FALSE),"")</f>
        <v>Lainnya 2.3 (9) …….</v>
      </c>
      <c r="KF29" s="94" t="str">
        <f t="shared" si="466"/>
        <v/>
      </c>
      <c r="KG29" s="94" t="str">
        <f t="shared" si="466"/>
        <v/>
      </c>
      <c r="KH29" s="87">
        <f t="shared" si="187"/>
        <v>0</v>
      </c>
      <c r="KI29" s="87" t="str">
        <f t="shared" si="188"/>
        <v>#DIV/0!</v>
      </c>
      <c r="KJ29" s="87">
        <f t="shared" si="189"/>
        <v>0</v>
      </c>
      <c r="KK29" s="95"/>
      <c r="KL29" s="87">
        <f t="shared" si="190"/>
        <v>0</v>
      </c>
      <c r="KM29" s="410"/>
      <c r="KN29" s="96"/>
      <c r="KO29" s="96"/>
      <c r="KP29" s="87">
        <f t="shared" si="191"/>
        <v>0</v>
      </c>
      <c r="KQ29" s="95">
        <f t="shared" si="192"/>
        <v>0.4604471269</v>
      </c>
      <c r="KR29" s="98">
        <f t="shared" si="193"/>
        <v>0</v>
      </c>
      <c r="KS29" s="99">
        <f t="shared" si="194"/>
        <v>0</v>
      </c>
      <c r="KT29" s="90"/>
      <c r="KU29" s="91"/>
    </row>
    <row r="30" ht="15.75" customHeight="1">
      <c r="A30" s="92"/>
      <c r="B30" s="93"/>
      <c r="C30" s="100"/>
      <c r="D30" s="100"/>
      <c r="E30" s="87"/>
      <c r="F30" s="87"/>
      <c r="G30" s="87">
        <f t="shared" si="37"/>
        <v>0</v>
      </c>
      <c r="H30" s="87"/>
      <c r="I30" s="87"/>
      <c r="J30" s="96"/>
      <c r="K30" s="96"/>
      <c r="L30" s="96"/>
      <c r="M30" s="87"/>
      <c r="N30" s="87"/>
      <c r="O30" s="87"/>
      <c r="P30" s="99"/>
      <c r="Q30" s="90"/>
      <c r="R30" s="92"/>
      <c r="S30" s="93"/>
      <c r="T30" s="100"/>
      <c r="U30" s="100"/>
      <c r="V30" s="87"/>
      <c r="W30" s="87"/>
      <c r="X30" s="87">
        <f t="shared" si="45"/>
        <v>0</v>
      </c>
      <c r="Y30" s="87"/>
      <c r="Z30" s="87"/>
      <c r="AA30" s="96"/>
      <c r="AB30" s="96"/>
      <c r="AC30" s="96"/>
      <c r="AD30" s="87"/>
      <c r="AE30" s="87"/>
      <c r="AF30" s="87"/>
      <c r="AG30" s="99"/>
      <c r="AH30" s="90"/>
      <c r="AI30" s="92"/>
      <c r="AJ30" s="93"/>
      <c r="AK30" s="100"/>
      <c r="AL30" s="100"/>
      <c r="AM30" s="87"/>
      <c r="AN30" s="87"/>
      <c r="AO30" s="87">
        <f t="shared" si="54"/>
        <v>0</v>
      </c>
      <c r="AP30" s="87"/>
      <c r="AQ30" s="87"/>
      <c r="AR30" s="96"/>
      <c r="AS30" s="96"/>
      <c r="AT30" s="96"/>
      <c r="AU30" s="87"/>
      <c r="AV30" s="87"/>
      <c r="AW30" s="87"/>
      <c r="AX30" s="99"/>
      <c r="AY30" s="90"/>
      <c r="AZ30" s="92"/>
      <c r="BA30" s="93"/>
      <c r="BB30" s="100"/>
      <c r="BC30" s="100"/>
      <c r="BD30" s="87"/>
      <c r="BE30" s="87"/>
      <c r="BF30" s="87">
        <f t="shared" si="63"/>
        <v>0</v>
      </c>
      <c r="BG30" s="87"/>
      <c r="BH30" s="87"/>
      <c r="BI30" s="96"/>
      <c r="BJ30" s="96"/>
      <c r="BK30" s="96"/>
      <c r="BL30" s="87"/>
      <c r="BM30" s="87"/>
      <c r="BN30" s="87"/>
      <c r="BO30" s="99"/>
      <c r="BP30" s="90"/>
      <c r="BQ30" s="92"/>
      <c r="BR30" s="93"/>
      <c r="BS30" s="100"/>
      <c r="BT30" s="100"/>
      <c r="BU30" s="87"/>
      <c r="BV30" s="87"/>
      <c r="BW30" s="87">
        <f t="shared" si="72"/>
        <v>0</v>
      </c>
      <c r="BX30" s="87"/>
      <c r="BY30" s="87"/>
      <c r="BZ30" s="96"/>
      <c r="CA30" s="96"/>
      <c r="CB30" s="96"/>
      <c r="CC30" s="87"/>
      <c r="CD30" s="87"/>
      <c r="CE30" s="87"/>
      <c r="CF30" s="99"/>
      <c r="CG30" s="90"/>
      <c r="CH30" s="92"/>
      <c r="CI30" s="93"/>
      <c r="CJ30" s="100"/>
      <c r="CK30" s="100"/>
      <c r="CL30" s="87"/>
      <c r="CM30" s="87"/>
      <c r="CN30" s="87">
        <f t="shared" si="81"/>
        <v>0</v>
      </c>
      <c r="CO30" s="87"/>
      <c r="CP30" s="87"/>
      <c r="CQ30" s="96"/>
      <c r="CR30" s="96"/>
      <c r="CS30" s="96"/>
      <c r="CT30" s="87"/>
      <c r="CU30" s="87"/>
      <c r="CV30" s="87"/>
      <c r="CW30" s="99"/>
      <c r="CX30" s="90"/>
      <c r="CY30" s="92"/>
      <c r="CZ30" s="93"/>
      <c r="DA30" s="100"/>
      <c r="DB30" s="100"/>
      <c r="DC30" s="87"/>
      <c r="DD30" s="87"/>
      <c r="DE30" s="87">
        <f t="shared" si="90"/>
        <v>0</v>
      </c>
      <c r="DF30" s="87"/>
      <c r="DG30" s="87"/>
      <c r="DH30" s="96"/>
      <c r="DI30" s="96"/>
      <c r="DJ30" s="96"/>
      <c r="DK30" s="87"/>
      <c r="DL30" s="87"/>
      <c r="DM30" s="87"/>
      <c r="DN30" s="99"/>
      <c r="DO30" s="90"/>
      <c r="DP30" s="92"/>
      <c r="DQ30" s="93"/>
      <c r="DR30" s="100"/>
      <c r="DS30" s="100"/>
      <c r="DT30" s="87"/>
      <c r="DU30" s="87"/>
      <c r="DV30" s="87">
        <f t="shared" si="99"/>
        <v>0</v>
      </c>
      <c r="DW30" s="87"/>
      <c r="DX30" s="87"/>
      <c r="DY30" s="96"/>
      <c r="DZ30" s="96"/>
      <c r="EA30" s="96"/>
      <c r="EB30" s="87"/>
      <c r="EC30" s="87"/>
      <c r="ED30" s="87"/>
      <c r="EE30" s="99"/>
      <c r="EF30" s="90"/>
      <c r="EG30" s="92"/>
      <c r="EH30" s="93"/>
      <c r="EI30" s="100"/>
      <c r="EJ30" s="100"/>
      <c r="EK30" s="87"/>
      <c r="EL30" s="87"/>
      <c r="EM30" s="87">
        <f t="shared" si="108"/>
        <v>0</v>
      </c>
      <c r="EN30" s="87"/>
      <c r="EO30" s="87"/>
      <c r="EP30" s="96"/>
      <c r="EQ30" s="96"/>
      <c r="ER30" s="96"/>
      <c r="ES30" s="87"/>
      <c r="ET30" s="87"/>
      <c r="EU30" s="87"/>
      <c r="EV30" s="99"/>
      <c r="EW30" s="90"/>
      <c r="EX30" s="92"/>
      <c r="EY30" s="93"/>
      <c r="EZ30" s="100"/>
      <c r="FA30" s="100"/>
      <c r="FB30" s="87"/>
      <c r="FC30" s="87"/>
      <c r="FD30" s="87">
        <f t="shared" si="117"/>
        <v>0</v>
      </c>
      <c r="FE30" s="87"/>
      <c r="FF30" s="87"/>
      <c r="FG30" s="96"/>
      <c r="FH30" s="96"/>
      <c r="FI30" s="96"/>
      <c r="FJ30" s="87"/>
      <c r="FK30" s="87"/>
      <c r="FL30" s="87"/>
      <c r="FM30" s="99"/>
      <c r="FN30" s="90"/>
      <c r="FO30" s="92"/>
      <c r="FP30" s="93"/>
      <c r="FQ30" s="100"/>
      <c r="FR30" s="100"/>
      <c r="FS30" s="87"/>
      <c r="FT30" s="87"/>
      <c r="FU30" s="87">
        <f t="shared" si="126"/>
        <v>0</v>
      </c>
      <c r="FV30" s="87"/>
      <c r="FW30" s="87"/>
      <c r="FX30" s="96"/>
      <c r="FY30" s="96"/>
      <c r="FZ30" s="96"/>
      <c r="GA30" s="87"/>
      <c r="GB30" s="87"/>
      <c r="GC30" s="87"/>
      <c r="GD30" s="99"/>
      <c r="GE30" s="90"/>
      <c r="GF30" s="92"/>
      <c r="GG30" s="93"/>
      <c r="GH30" s="100"/>
      <c r="GI30" s="100"/>
      <c r="GJ30" s="87"/>
      <c r="GK30" s="87"/>
      <c r="GL30" s="87">
        <f t="shared" si="135"/>
        <v>0</v>
      </c>
      <c r="GM30" s="87"/>
      <c r="GN30" s="87"/>
      <c r="GO30" s="96"/>
      <c r="GP30" s="96"/>
      <c r="GQ30" s="96"/>
      <c r="GR30" s="87"/>
      <c r="GS30" s="87"/>
      <c r="GT30" s="87"/>
      <c r="GU30" s="99"/>
      <c r="GV30" s="90"/>
      <c r="GW30" s="92"/>
      <c r="GX30" s="93"/>
      <c r="GY30" s="100"/>
      <c r="GZ30" s="100"/>
      <c r="HA30" s="87"/>
      <c r="HB30" s="87"/>
      <c r="HC30" s="87">
        <f t="shared" si="144"/>
        <v>0</v>
      </c>
      <c r="HD30" s="87"/>
      <c r="HE30" s="87"/>
      <c r="HF30" s="96"/>
      <c r="HG30" s="96"/>
      <c r="HH30" s="96"/>
      <c r="HI30" s="87"/>
      <c r="HJ30" s="87"/>
      <c r="HK30" s="87"/>
      <c r="HL30" s="99"/>
      <c r="HM30" s="90"/>
      <c r="HN30" s="92"/>
      <c r="HO30" s="93"/>
      <c r="HP30" s="100"/>
      <c r="HQ30" s="100"/>
      <c r="HR30" s="87"/>
      <c r="HS30" s="87"/>
      <c r="HT30" s="87">
        <f t="shared" si="153"/>
        <v>0</v>
      </c>
      <c r="HU30" s="87"/>
      <c r="HV30" s="87"/>
      <c r="HW30" s="96"/>
      <c r="HX30" s="96"/>
      <c r="HY30" s="96"/>
      <c r="HZ30" s="87"/>
      <c r="IA30" s="87"/>
      <c r="IB30" s="87"/>
      <c r="IC30" s="99"/>
      <c r="ID30" s="90"/>
      <c r="IE30" s="92"/>
      <c r="IF30" s="93"/>
      <c r="IG30" s="100"/>
      <c r="IH30" s="100"/>
      <c r="II30" s="87"/>
      <c r="IJ30" s="87"/>
      <c r="IK30" s="87">
        <f t="shared" si="162"/>
        <v>0</v>
      </c>
      <c r="IL30" s="87"/>
      <c r="IM30" s="87"/>
      <c r="IN30" s="96"/>
      <c r="IO30" s="96"/>
      <c r="IP30" s="96"/>
      <c r="IQ30" s="87"/>
      <c r="IR30" s="87"/>
      <c r="IS30" s="87"/>
      <c r="IT30" s="99"/>
      <c r="IU30" s="90"/>
      <c r="IV30" s="92"/>
      <c r="IW30" s="93"/>
      <c r="IX30" s="100"/>
      <c r="IY30" s="100"/>
      <c r="IZ30" s="87"/>
      <c r="JA30" s="87"/>
      <c r="JB30" s="87">
        <f t="shared" si="171"/>
        <v>0</v>
      </c>
      <c r="JC30" s="87"/>
      <c r="JD30" s="87"/>
      <c r="JE30" s="96"/>
      <c r="JF30" s="96"/>
      <c r="JG30" s="96"/>
      <c r="JH30" s="87"/>
      <c r="JI30" s="87"/>
      <c r="JJ30" s="87"/>
      <c r="JK30" s="99"/>
      <c r="JL30" s="90"/>
      <c r="JM30" s="92"/>
      <c r="JN30" s="93"/>
      <c r="JO30" s="100"/>
      <c r="JP30" s="100"/>
      <c r="JQ30" s="87"/>
      <c r="JR30" s="87"/>
      <c r="JS30" s="87">
        <f t="shared" si="180"/>
        <v>0</v>
      </c>
      <c r="JT30" s="87"/>
      <c r="JU30" s="87"/>
      <c r="JV30" s="96"/>
      <c r="JW30" s="96"/>
      <c r="JX30" s="96"/>
      <c r="JY30" s="87"/>
      <c r="JZ30" s="87"/>
      <c r="KA30" s="87"/>
      <c r="KB30" s="99"/>
      <c r="KC30" s="90"/>
      <c r="KD30" s="92"/>
      <c r="KE30" s="93"/>
      <c r="KF30" s="100"/>
      <c r="KG30" s="100"/>
      <c r="KH30" s="87"/>
      <c r="KI30" s="87"/>
      <c r="KJ30" s="87">
        <f t="shared" si="189"/>
        <v>0</v>
      </c>
      <c r="KK30" s="87"/>
      <c r="KL30" s="87"/>
      <c r="KM30" s="96"/>
      <c r="KN30" s="96"/>
      <c r="KO30" s="96"/>
      <c r="KP30" s="87"/>
      <c r="KQ30" s="87"/>
      <c r="KR30" s="87"/>
      <c r="KS30" s="99"/>
      <c r="KT30" s="90"/>
      <c r="KU30" s="91"/>
    </row>
    <row r="31" ht="15.75" customHeight="1">
      <c r="A31" s="101" t="s">
        <v>51</v>
      </c>
      <c r="B31" s="102"/>
      <c r="C31" s="103"/>
      <c r="D31" s="103"/>
      <c r="E31" s="104"/>
      <c r="F31" s="104"/>
      <c r="G31" s="105">
        <f>SUM(G13:G30)</f>
        <v>0</v>
      </c>
      <c r="H31" s="104"/>
      <c r="I31" s="105">
        <f>SUM(I13:I30)</f>
        <v>0</v>
      </c>
      <c r="J31" s="104"/>
      <c r="K31" s="104"/>
      <c r="L31" s="104"/>
      <c r="M31" s="105">
        <f>SUM(M13:M30)</f>
        <v>0</v>
      </c>
      <c r="N31" s="104"/>
      <c r="O31" s="105">
        <f t="shared" ref="O31:P31" si="467">SUM(O13:O30)</f>
        <v>0</v>
      </c>
      <c r="P31" s="105">
        <f t="shared" si="467"/>
        <v>0</v>
      </c>
      <c r="Q31" s="106"/>
      <c r="R31" s="101" t="s">
        <v>51</v>
      </c>
      <c r="S31" s="102"/>
      <c r="T31" s="103"/>
      <c r="U31" s="103"/>
      <c r="V31" s="104"/>
      <c r="W31" s="104"/>
      <c r="X31" s="105">
        <f>SUM(X13:X30)</f>
        <v>0</v>
      </c>
      <c r="Y31" s="104"/>
      <c r="Z31" s="105">
        <f>SUM(Z13:Z30)</f>
        <v>0</v>
      </c>
      <c r="AA31" s="104"/>
      <c r="AB31" s="104"/>
      <c r="AC31" s="104"/>
      <c r="AD31" s="105">
        <f>SUM(AD13:AD30)</f>
        <v>0</v>
      </c>
      <c r="AE31" s="104"/>
      <c r="AF31" s="105">
        <f t="shared" ref="AF31:AG31" si="468">SUM(AF13:AF30)</f>
        <v>0</v>
      </c>
      <c r="AG31" s="105">
        <f t="shared" si="468"/>
        <v>0</v>
      </c>
      <c r="AH31" s="106"/>
      <c r="AI31" s="101" t="s">
        <v>51</v>
      </c>
      <c r="AJ31" s="102"/>
      <c r="AK31" s="103"/>
      <c r="AL31" s="103"/>
      <c r="AM31" s="104"/>
      <c r="AN31" s="104"/>
      <c r="AO31" s="105">
        <f>SUM(AO13:AO30)</f>
        <v>0</v>
      </c>
      <c r="AP31" s="104"/>
      <c r="AQ31" s="105">
        <f>SUM(AQ13:AQ30)</f>
        <v>0</v>
      </c>
      <c r="AR31" s="104"/>
      <c r="AS31" s="104"/>
      <c r="AT31" s="104"/>
      <c r="AU31" s="105">
        <f>SUM(AU13:AU30)</f>
        <v>0</v>
      </c>
      <c r="AV31" s="104"/>
      <c r="AW31" s="105">
        <f t="shared" ref="AW31:AX31" si="469">SUM(AW13:AW30)</f>
        <v>0</v>
      </c>
      <c r="AX31" s="105">
        <f t="shared" si="469"/>
        <v>0</v>
      </c>
      <c r="AY31" s="106"/>
      <c r="AZ31" s="101" t="s">
        <v>51</v>
      </c>
      <c r="BA31" s="102"/>
      <c r="BB31" s="103"/>
      <c r="BC31" s="103"/>
      <c r="BD31" s="104"/>
      <c r="BE31" s="104"/>
      <c r="BF31" s="105">
        <f>SUM(BF13:BF30)</f>
        <v>0</v>
      </c>
      <c r="BG31" s="104"/>
      <c r="BH31" s="105">
        <f>SUM(BH13:BH30)</f>
        <v>0</v>
      </c>
      <c r="BI31" s="104"/>
      <c r="BJ31" s="104"/>
      <c r="BK31" s="104"/>
      <c r="BL31" s="105">
        <f>SUM(BL13:BL30)</f>
        <v>0</v>
      </c>
      <c r="BM31" s="104"/>
      <c r="BN31" s="105">
        <f t="shared" ref="BN31:BO31" si="470">SUM(BN13:BN30)</f>
        <v>0</v>
      </c>
      <c r="BO31" s="105">
        <f t="shared" si="470"/>
        <v>0</v>
      </c>
      <c r="BP31" s="106"/>
      <c r="BQ31" s="101" t="s">
        <v>51</v>
      </c>
      <c r="BR31" s="102"/>
      <c r="BS31" s="103"/>
      <c r="BT31" s="103"/>
      <c r="BU31" s="104"/>
      <c r="BV31" s="104"/>
      <c r="BW31" s="105">
        <f>SUM(BW13:BW30)</f>
        <v>0</v>
      </c>
      <c r="BX31" s="104"/>
      <c r="BY31" s="105">
        <f>SUM(BY13:BY30)</f>
        <v>0</v>
      </c>
      <c r="BZ31" s="104"/>
      <c r="CA31" s="104"/>
      <c r="CB31" s="104"/>
      <c r="CC31" s="105">
        <f>SUM(CC13:CC30)</f>
        <v>0</v>
      </c>
      <c r="CD31" s="104"/>
      <c r="CE31" s="105">
        <f t="shared" ref="CE31:CF31" si="471">SUM(CE13:CE30)</f>
        <v>0</v>
      </c>
      <c r="CF31" s="105">
        <f t="shared" si="471"/>
        <v>0</v>
      </c>
      <c r="CG31" s="106"/>
      <c r="CH31" s="101" t="s">
        <v>51</v>
      </c>
      <c r="CI31" s="102"/>
      <c r="CJ31" s="103"/>
      <c r="CK31" s="103"/>
      <c r="CL31" s="104"/>
      <c r="CM31" s="104"/>
      <c r="CN31" s="105">
        <f>SUM(CN13:CN30)</f>
        <v>0</v>
      </c>
      <c r="CO31" s="104"/>
      <c r="CP31" s="105">
        <f>SUM(CP13:CP30)</f>
        <v>0</v>
      </c>
      <c r="CQ31" s="104"/>
      <c r="CR31" s="104"/>
      <c r="CS31" s="104"/>
      <c r="CT31" s="105">
        <f>SUM(CT13:CT30)</f>
        <v>0</v>
      </c>
      <c r="CU31" s="104"/>
      <c r="CV31" s="105">
        <f t="shared" ref="CV31:CW31" si="472">SUM(CV13:CV30)</f>
        <v>0</v>
      </c>
      <c r="CW31" s="105">
        <f t="shared" si="472"/>
        <v>0</v>
      </c>
      <c r="CX31" s="106"/>
      <c r="CY31" s="101" t="s">
        <v>51</v>
      </c>
      <c r="CZ31" s="102"/>
      <c r="DA31" s="103"/>
      <c r="DB31" s="103"/>
      <c r="DC31" s="104"/>
      <c r="DD31" s="104"/>
      <c r="DE31" s="105">
        <f>SUM(DE13:DE30)</f>
        <v>0</v>
      </c>
      <c r="DF31" s="104"/>
      <c r="DG31" s="105">
        <f>SUM(DG13:DG30)</f>
        <v>0</v>
      </c>
      <c r="DH31" s="104"/>
      <c r="DI31" s="104"/>
      <c r="DJ31" s="104"/>
      <c r="DK31" s="105">
        <f>SUM(DK13:DK30)</f>
        <v>0</v>
      </c>
      <c r="DL31" s="104"/>
      <c r="DM31" s="105">
        <f t="shared" ref="DM31:DN31" si="473">SUM(DM13:DM30)</f>
        <v>0</v>
      </c>
      <c r="DN31" s="105">
        <f t="shared" si="473"/>
        <v>0</v>
      </c>
      <c r="DO31" s="106"/>
      <c r="DP31" s="101" t="s">
        <v>51</v>
      </c>
      <c r="DQ31" s="102"/>
      <c r="DR31" s="103"/>
      <c r="DS31" s="103"/>
      <c r="DT31" s="104"/>
      <c r="DU31" s="104"/>
      <c r="DV31" s="105">
        <f>SUM(DV13:DV30)</f>
        <v>0</v>
      </c>
      <c r="DW31" s="104"/>
      <c r="DX31" s="105">
        <f>SUM(DX13:DX30)</f>
        <v>0</v>
      </c>
      <c r="DY31" s="104"/>
      <c r="DZ31" s="104"/>
      <c r="EA31" s="104"/>
      <c r="EB31" s="105">
        <f>SUM(EB13:EB30)</f>
        <v>0</v>
      </c>
      <c r="EC31" s="104"/>
      <c r="ED31" s="105">
        <f t="shared" ref="ED31:EE31" si="474">SUM(ED13:ED30)</f>
        <v>0</v>
      </c>
      <c r="EE31" s="105">
        <f t="shared" si="474"/>
        <v>0</v>
      </c>
      <c r="EF31" s="106"/>
      <c r="EG31" s="101" t="s">
        <v>51</v>
      </c>
      <c r="EH31" s="102"/>
      <c r="EI31" s="103"/>
      <c r="EJ31" s="103"/>
      <c r="EK31" s="104"/>
      <c r="EL31" s="104"/>
      <c r="EM31" s="105">
        <f>SUM(EM13:EM30)</f>
        <v>0</v>
      </c>
      <c r="EN31" s="104"/>
      <c r="EO31" s="105">
        <f>SUM(EO13:EO30)</f>
        <v>0</v>
      </c>
      <c r="EP31" s="104"/>
      <c r="EQ31" s="104"/>
      <c r="ER31" s="104"/>
      <c r="ES31" s="105">
        <f>SUM(ES13:ES30)</f>
        <v>0</v>
      </c>
      <c r="ET31" s="104"/>
      <c r="EU31" s="105">
        <f t="shared" ref="EU31:EV31" si="475">SUM(EU13:EU30)</f>
        <v>0</v>
      </c>
      <c r="EV31" s="105">
        <f t="shared" si="475"/>
        <v>0</v>
      </c>
      <c r="EW31" s="106"/>
      <c r="EX31" s="101" t="s">
        <v>51</v>
      </c>
      <c r="EY31" s="102"/>
      <c r="EZ31" s="103"/>
      <c r="FA31" s="103"/>
      <c r="FB31" s="104"/>
      <c r="FC31" s="104"/>
      <c r="FD31" s="105">
        <f>SUM(FD13:FD30)</f>
        <v>0</v>
      </c>
      <c r="FE31" s="104"/>
      <c r="FF31" s="105">
        <f>SUM(FF13:FF30)</f>
        <v>0</v>
      </c>
      <c r="FG31" s="104"/>
      <c r="FH31" s="104"/>
      <c r="FI31" s="104"/>
      <c r="FJ31" s="105">
        <f>SUM(FJ13:FJ30)</f>
        <v>0</v>
      </c>
      <c r="FK31" s="104"/>
      <c r="FL31" s="105">
        <f t="shared" ref="FL31:FM31" si="476">SUM(FL13:FL30)</f>
        <v>0</v>
      </c>
      <c r="FM31" s="105">
        <f t="shared" si="476"/>
        <v>0</v>
      </c>
      <c r="FN31" s="106"/>
      <c r="FO31" s="101" t="s">
        <v>51</v>
      </c>
      <c r="FP31" s="102"/>
      <c r="FQ31" s="103"/>
      <c r="FR31" s="103"/>
      <c r="FS31" s="104"/>
      <c r="FT31" s="104"/>
      <c r="FU31" s="105">
        <f>SUM(FU13:FU30)</f>
        <v>3892902.557</v>
      </c>
      <c r="FV31" s="104"/>
      <c r="FW31" s="105">
        <f>SUM(FW13:FW30)</f>
        <v>0</v>
      </c>
      <c r="FX31" s="104"/>
      <c r="FY31" s="104"/>
      <c r="FZ31" s="104"/>
      <c r="GA31" s="105">
        <f>SUM(GA13:GA30)</f>
        <v>3892902.557</v>
      </c>
      <c r="GB31" s="104"/>
      <c r="GC31" s="105">
        <f t="shared" ref="GC31:GD31" si="477">SUM(GC13:GC30)</f>
        <v>1792475.797</v>
      </c>
      <c r="GD31" s="105">
        <f t="shared" si="477"/>
        <v>2100426.759</v>
      </c>
      <c r="GE31" s="106"/>
      <c r="GF31" s="101" t="s">
        <v>51</v>
      </c>
      <c r="GG31" s="102"/>
      <c r="GH31" s="103"/>
      <c r="GI31" s="103"/>
      <c r="GJ31" s="104"/>
      <c r="GK31" s="104"/>
      <c r="GL31" s="105">
        <f>SUM(GL13:GL30)</f>
        <v>4768059.211</v>
      </c>
      <c r="GM31" s="104"/>
      <c r="GN31" s="105">
        <f>SUM(GN13:GN30)</f>
        <v>0</v>
      </c>
      <c r="GO31" s="104"/>
      <c r="GP31" s="104"/>
      <c r="GQ31" s="104"/>
      <c r="GR31" s="105">
        <f>SUM(GR13:GR30)</f>
        <v>4768059.211</v>
      </c>
      <c r="GS31" s="104"/>
      <c r="GT31" s="105">
        <f t="shared" ref="GT31:GU31" si="478">SUM(GT13:GT30)</f>
        <v>2195439.165</v>
      </c>
      <c r="GU31" s="105">
        <f t="shared" si="478"/>
        <v>2572620.047</v>
      </c>
      <c r="GV31" s="106"/>
      <c r="GW31" s="101" t="s">
        <v>51</v>
      </c>
      <c r="GX31" s="102"/>
      <c r="GY31" s="103"/>
      <c r="GZ31" s="103"/>
      <c r="HA31" s="104"/>
      <c r="HB31" s="104"/>
      <c r="HC31" s="105">
        <f>SUM(HC13:HC30)</f>
        <v>5877776.607</v>
      </c>
      <c r="HD31" s="104"/>
      <c r="HE31" s="105">
        <f>SUM(HE13:HE30)</f>
        <v>0</v>
      </c>
      <c r="HF31" s="104"/>
      <c r="HG31" s="104"/>
      <c r="HH31" s="104"/>
      <c r="HI31" s="105">
        <f>SUM(HI13:HI30)</f>
        <v>5877776.607</v>
      </c>
      <c r="HJ31" s="104"/>
      <c r="HK31" s="105">
        <f t="shared" ref="HK31:HL31" si="479">SUM(HK13:HK30)</f>
        <v>2706405.351</v>
      </c>
      <c r="HL31" s="105">
        <f t="shared" si="479"/>
        <v>3171371.256</v>
      </c>
      <c r="HM31" s="106"/>
      <c r="HN31" s="101" t="s">
        <v>51</v>
      </c>
      <c r="HO31" s="102"/>
      <c r="HP31" s="103"/>
      <c r="HQ31" s="103"/>
      <c r="HR31" s="104"/>
      <c r="HS31" s="104"/>
      <c r="HT31" s="105">
        <f>SUM(HT13:HT30)</f>
        <v>8472848.612</v>
      </c>
      <c r="HU31" s="104"/>
      <c r="HV31" s="105">
        <f>SUM(HV13:HV30)</f>
        <v>0</v>
      </c>
      <c r="HW31" s="104"/>
      <c r="HX31" s="104"/>
      <c r="HY31" s="104"/>
      <c r="HZ31" s="105">
        <f>SUM(HZ13:HZ30)</f>
        <v>8472848.612</v>
      </c>
      <c r="IA31" s="104"/>
      <c r="IB31" s="105">
        <f t="shared" ref="IB31:IC31" si="480">SUM(IB13:IB30)</f>
        <v>3901298.8</v>
      </c>
      <c r="IC31" s="105">
        <f t="shared" si="480"/>
        <v>4571549.812</v>
      </c>
      <c r="ID31" s="106"/>
      <c r="IE31" s="101" t="s">
        <v>51</v>
      </c>
      <c r="IF31" s="102"/>
      <c r="IG31" s="103"/>
      <c r="IH31" s="103"/>
      <c r="II31" s="104"/>
      <c r="IJ31" s="104"/>
      <c r="IK31" s="105">
        <f>SUM(IK13:IK30)</f>
        <v>14058810.89</v>
      </c>
      <c r="IL31" s="104"/>
      <c r="IM31" s="105">
        <f>SUM(IM13:IM30)</f>
        <v>0</v>
      </c>
      <c r="IN31" s="104"/>
      <c r="IO31" s="104"/>
      <c r="IP31" s="104"/>
      <c r="IQ31" s="105">
        <f>SUM(IQ13:IQ30)</f>
        <v>14058810.89</v>
      </c>
      <c r="IR31" s="104"/>
      <c r="IS31" s="105">
        <f t="shared" ref="IS31:IT31" si="481">SUM(IS13:IS30)</f>
        <v>6473339.08</v>
      </c>
      <c r="IT31" s="105">
        <f t="shared" si="481"/>
        <v>7585471.806</v>
      </c>
      <c r="IU31" s="106"/>
      <c r="IV31" s="101" t="s">
        <v>51</v>
      </c>
      <c r="IW31" s="102"/>
      <c r="IX31" s="103"/>
      <c r="IY31" s="103"/>
      <c r="IZ31" s="104"/>
      <c r="JA31" s="104"/>
      <c r="JB31" s="105">
        <f>SUM(JB13:JB30)</f>
        <v>17330850.04</v>
      </c>
      <c r="JC31" s="104"/>
      <c r="JD31" s="105">
        <f>SUM(JD13:JD30)</f>
        <v>0</v>
      </c>
      <c r="JE31" s="104"/>
      <c r="JF31" s="104"/>
      <c r="JG31" s="104"/>
      <c r="JH31" s="105">
        <f>SUM(JH13:JH30)</f>
        <v>17330850.04</v>
      </c>
      <c r="JI31" s="104"/>
      <c r="JJ31" s="105">
        <f t="shared" ref="JJ31:JK31" si="482">SUM(JJ13:JJ30)</f>
        <v>7979940.108</v>
      </c>
      <c r="JK31" s="105">
        <f t="shared" si="482"/>
        <v>9350909.932</v>
      </c>
      <c r="JL31" s="106"/>
      <c r="JM31" s="101" t="s">
        <v>51</v>
      </c>
      <c r="JN31" s="102"/>
      <c r="JO31" s="103"/>
      <c r="JP31" s="103"/>
      <c r="JQ31" s="104"/>
      <c r="JR31" s="104"/>
      <c r="JS31" s="105">
        <f>SUM(JS13:JS30)</f>
        <v>4092737.732</v>
      </c>
      <c r="JT31" s="104"/>
      <c r="JU31" s="105">
        <f>SUM(JU13:JU30)</f>
        <v>0</v>
      </c>
      <c r="JV31" s="104"/>
      <c r="JW31" s="104"/>
      <c r="JX31" s="104"/>
      <c r="JY31" s="105">
        <f>SUM(JY13:JY30)</f>
        <v>4092737.732</v>
      </c>
      <c r="JZ31" s="104"/>
      <c r="KA31" s="105">
        <f t="shared" ref="KA31:KB31" si="483">SUM(KA13:KA30)</f>
        <v>1884489.33</v>
      </c>
      <c r="KB31" s="105">
        <f t="shared" si="483"/>
        <v>2208248.402</v>
      </c>
      <c r="KC31" s="106"/>
      <c r="KD31" s="101" t="s">
        <v>51</v>
      </c>
      <c r="KE31" s="102"/>
      <c r="KF31" s="103"/>
      <c r="KG31" s="103"/>
      <c r="KH31" s="104"/>
      <c r="KI31" s="104"/>
      <c r="KJ31" s="105">
        <f>SUM(KJ13:KJ30)</f>
        <v>0</v>
      </c>
      <c r="KK31" s="104"/>
      <c r="KL31" s="105">
        <f>SUM(KL13:KL30)</f>
        <v>0</v>
      </c>
      <c r="KM31" s="104"/>
      <c r="KN31" s="104"/>
      <c r="KO31" s="104"/>
      <c r="KP31" s="105">
        <f>SUM(KP13:KP30)</f>
        <v>0</v>
      </c>
      <c r="KQ31" s="104"/>
      <c r="KR31" s="105">
        <f t="shared" ref="KR31:KS31" si="484">SUM(KR13:KR30)</f>
        <v>0</v>
      </c>
      <c r="KS31" s="105">
        <f t="shared" si="484"/>
        <v>0</v>
      </c>
      <c r="KT31" s="106"/>
      <c r="KU31" s="107"/>
    </row>
    <row r="32" ht="15.75" customHeight="1">
      <c r="A32" s="92"/>
      <c r="B32" s="100"/>
      <c r="C32" s="100"/>
      <c r="D32" s="100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98"/>
      <c r="P32" s="99"/>
      <c r="Q32" s="90"/>
      <c r="R32" s="92"/>
      <c r="S32" s="100"/>
      <c r="T32" s="100"/>
      <c r="U32" s="100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98"/>
      <c r="AG32" s="99"/>
      <c r="AH32" s="90"/>
      <c r="AI32" s="92"/>
      <c r="AJ32" s="100"/>
      <c r="AK32" s="100"/>
      <c r="AL32" s="100"/>
      <c r="AM32" s="87"/>
      <c r="AN32" s="87"/>
      <c r="AO32" s="87"/>
      <c r="AP32" s="87"/>
      <c r="AQ32" s="87"/>
      <c r="AR32" s="87"/>
      <c r="AS32" s="87"/>
      <c r="AT32" s="87"/>
      <c r="AU32" s="87"/>
      <c r="AV32" s="87"/>
      <c r="AW32" s="98"/>
      <c r="AX32" s="99"/>
      <c r="AY32" s="90"/>
      <c r="AZ32" s="92"/>
      <c r="BA32" s="100"/>
      <c r="BB32" s="100"/>
      <c r="BC32" s="100"/>
      <c r="BD32" s="87"/>
      <c r="BE32" s="87"/>
      <c r="BF32" s="87"/>
      <c r="BG32" s="87"/>
      <c r="BH32" s="87"/>
      <c r="BI32" s="87"/>
      <c r="BJ32" s="87"/>
      <c r="BK32" s="87"/>
      <c r="BL32" s="87"/>
      <c r="BM32" s="87"/>
      <c r="BN32" s="98"/>
      <c r="BO32" s="99"/>
      <c r="BP32" s="90"/>
      <c r="BQ32" s="92"/>
      <c r="BR32" s="100"/>
      <c r="BS32" s="100"/>
      <c r="BT32" s="100"/>
      <c r="BU32" s="87"/>
      <c r="BV32" s="87"/>
      <c r="BW32" s="87"/>
      <c r="BX32" s="87"/>
      <c r="BY32" s="87"/>
      <c r="BZ32" s="87"/>
      <c r="CA32" s="87"/>
      <c r="CB32" s="87"/>
      <c r="CC32" s="87"/>
      <c r="CD32" s="87"/>
      <c r="CE32" s="98"/>
      <c r="CF32" s="99"/>
      <c r="CG32" s="90"/>
      <c r="CH32" s="92"/>
      <c r="CI32" s="100"/>
      <c r="CJ32" s="100"/>
      <c r="CK32" s="100"/>
      <c r="CL32" s="87"/>
      <c r="CM32" s="87"/>
      <c r="CN32" s="87"/>
      <c r="CO32" s="87"/>
      <c r="CP32" s="87"/>
      <c r="CQ32" s="87"/>
      <c r="CR32" s="87"/>
      <c r="CS32" s="87"/>
      <c r="CT32" s="87"/>
      <c r="CU32" s="87"/>
      <c r="CV32" s="98"/>
      <c r="CW32" s="99"/>
      <c r="CX32" s="90"/>
      <c r="CY32" s="92"/>
      <c r="CZ32" s="100"/>
      <c r="DA32" s="100"/>
      <c r="DB32" s="100"/>
      <c r="DC32" s="87"/>
      <c r="DD32" s="87"/>
      <c r="DE32" s="87"/>
      <c r="DF32" s="87"/>
      <c r="DG32" s="87"/>
      <c r="DH32" s="87"/>
      <c r="DI32" s="87"/>
      <c r="DJ32" s="87"/>
      <c r="DK32" s="87"/>
      <c r="DL32" s="87"/>
      <c r="DM32" s="98"/>
      <c r="DN32" s="99"/>
      <c r="DO32" s="90"/>
      <c r="DP32" s="92"/>
      <c r="DQ32" s="100"/>
      <c r="DR32" s="100"/>
      <c r="DS32" s="100"/>
      <c r="DT32" s="87"/>
      <c r="DU32" s="87"/>
      <c r="DV32" s="87"/>
      <c r="DW32" s="87"/>
      <c r="DX32" s="87"/>
      <c r="DY32" s="87"/>
      <c r="DZ32" s="87"/>
      <c r="EA32" s="87"/>
      <c r="EB32" s="87"/>
      <c r="EC32" s="87"/>
      <c r="ED32" s="98"/>
      <c r="EE32" s="99"/>
      <c r="EF32" s="90"/>
      <c r="EG32" s="92"/>
      <c r="EH32" s="100"/>
      <c r="EI32" s="100"/>
      <c r="EJ32" s="100"/>
      <c r="EK32" s="87"/>
      <c r="EL32" s="87"/>
      <c r="EM32" s="87"/>
      <c r="EN32" s="87"/>
      <c r="EO32" s="87"/>
      <c r="EP32" s="87"/>
      <c r="EQ32" s="87"/>
      <c r="ER32" s="87"/>
      <c r="ES32" s="87"/>
      <c r="ET32" s="87"/>
      <c r="EU32" s="98"/>
      <c r="EV32" s="99"/>
      <c r="EW32" s="90"/>
      <c r="EX32" s="92"/>
      <c r="EY32" s="100"/>
      <c r="EZ32" s="100"/>
      <c r="FA32" s="100"/>
      <c r="FB32" s="87"/>
      <c r="FC32" s="87"/>
      <c r="FD32" s="87"/>
      <c r="FE32" s="87"/>
      <c r="FF32" s="87"/>
      <c r="FG32" s="87"/>
      <c r="FH32" s="87"/>
      <c r="FI32" s="87"/>
      <c r="FJ32" s="87"/>
      <c r="FK32" s="87"/>
      <c r="FL32" s="98"/>
      <c r="FM32" s="99"/>
      <c r="FN32" s="90"/>
      <c r="FO32" s="92"/>
      <c r="FP32" s="100"/>
      <c r="FQ32" s="100"/>
      <c r="FR32" s="100"/>
      <c r="FS32" s="87"/>
      <c r="FT32" s="87"/>
      <c r="FU32" s="87"/>
      <c r="FV32" s="87"/>
      <c r="FW32" s="87"/>
      <c r="FX32" s="87"/>
      <c r="FY32" s="87"/>
      <c r="FZ32" s="87"/>
      <c r="GA32" s="87"/>
      <c r="GB32" s="87"/>
      <c r="GC32" s="98"/>
      <c r="GD32" s="99"/>
      <c r="GE32" s="90"/>
      <c r="GF32" s="92"/>
      <c r="GG32" s="100"/>
      <c r="GH32" s="100"/>
      <c r="GI32" s="100"/>
      <c r="GJ32" s="87"/>
      <c r="GK32" s="87"/>
      <c r="GL32" s="87"/>
      <c r="GM32" s="87"/>
      <c r="GN32" s="87"/>
      <c r="GO32" s="87"/>
      <c r="GP32" s="87"/>
      <c r="GQ32" s="87"/>
      <c r="GR32" s="87"/>
      <c r="GS32" s="87"/>
      <c r="GT32" s="98"/>
      <c r="GU32" s="99"/>
      <c r="GV32" s="90"/>
      <c r="GW32" s="92"/>
      <c r="GX32" s="100"/>
      <c r="GY32" s="100"/>
      <c r="GZ32" s="100"/>
      <c r="HA32" s="87"/>
      <c r="HB32" s="87"/>
      <c r="HC32" s="87"/>
      <c r="HD32" s="87"/>
      <c r="HE32" s="87"/>
      <c r="HF32" s="87"/>
      <c r="HG32" s="87"/>
      <c r="HH32" s="87"/>
      <c r="HI32" s="87"/>
      <c r="HJ32" s="87"/>
      <c r="HK32" s="98"/>
      <c r="HL32" s="99"/>
      <c r="HM32" s="90"/>
      <c r="HN32" s="92"/>
      <c r="HO32" s="100"/>
      <c r="HP32" s="100"/>
      <c r="HQ32" s="100"/>
      <c r="HR32" s="87"/>
      <c r="HS32" s="87"/>
      <c r="HT32" s="87"/>
      <c r="HU32" s="87"/>
      <c r="HV32" s="87"/>
      <c r="HW32" s="87"/>
      <c r="HX32" s="87"/>
      <c r="HY32" s="87"/>
      <c r="HZ32" s="87"/>
      <c r="IA32" s="87"/>
      <c r="IB32" s="98"/>
      <c r="IC32" s="99"/>
      <c r="ID32" s="90"/>
      <c r="IE32" s="92"/>
      <c r="IF32" s="100"/>
      <c r="IG32" s="100"/>
      <c r="IH32" s="100"/>
      <c r="II32" s="87"/>
      <c r="IJ32" s="87"/>
      <c r="IK32" s="87"/>
      <c r="IL32" s="87"/>
      <c r="IM32" s="87"/>
      <c r="IN32" s="87"/>
      <c r="IO32" s="87"/>
      <c r="IP32" s="87"/>
      <c r="IQ32" s="87"/>
      <c r="IR32" s="87"/>
      <c r="IS32" s="98"/>
      <c r="IT32" s="99"/>
      <c r="IU32" s="90"/>
      <c r="IV32" s="92"/>
      <c r="IW32" s="100"/>
      <c r="IX32" s="100"/>
      <c r="IY32" s="100"/>
      <c r="IZ32" s="87"/>
      <c r="JA32" s="87"/>
      <c r="JB32" s="87"/>
      <c r="JC32" s="87"/>
      <c r="JD32" s="87"/>
      <c r="JE32" s="87"/>
      <c r="JF32" s="87"/>
      <c r="JG32" s="87"/>
      <c r="JH32" s="87"/>
      <c r="JI32" s="87"/>
      <c r="JJ32" s="98"/>
      <c r="JK32" s="99"/>
      <c r="JL32" s="90"/>
      <c r="JM32" s="92"/>
      <c r="JN32" s="100"/>
      <c r="JO32" s="100"/>
      <c r="JP32" s="100"/>
      <c r="JQ32" s="87"/>
      <c r="JR32" s="87"/>
      <c r="JS32" s="87"/>
      <c r="JT32" s="87"/>
      <c r="JU32" s="87"/>
      <c r="JV32" s="87"/>
      <c r="JW32" s="87"/>
      <c r="JX32" s="87"/>
      <c r="JY32" s="87"/>
      <c r="JZ32" s="87"/>
      <c r="KA32" s="98"/>
      <c r="KB32" s="99"/>
      <c r="KC32" s="90"/>
      <c r="KD32" s="92"/>
      <c r="KE32" s="100"/>
      <c r="KF32" s="100"/>
      <c r="KG32" s="100"/>
      <c r="KH32" s="87"/>
      <c r="KI32" s="87"/>
      <c r="KJ32" s="87"/>
      <c r="KK32" s="87"/>
      <c r="KL32" s="87"/>
      <c r="KM32" s="87"/>
      <c r="KN32" s="87"/>
      <c r="KO32" s="87"/>
      <c r="KP32" s="87"/>
      <c r="KQ32" s="87"/>
      <c r="KR32" s="98"/>
      <c r="KS32" s="99"/>
      <c r="KT32" s="90"/>
      <c r="KU32" s="91"/>
    </row>
    <row r="33" ht="15.75" customHeight="1">
      <c r="A33" s="92"/>
      <c r="B33" s="108" t="str">
        <f>"Output Sekunder "&amp;" %"</f>
        <v>Output Sekunder  %</v>
      </c>
      <c r="C33" s="109"/>
      <c r="D33" s="109"/>
      <c r="E33" s="87" t="str">
        <f>P33/P31*100</f>
        <v>#DIV/0!</v>
      </c>
      <c r="F33" s="110"/>
      <c r="G33" s="110"/>
      <c r="H33" s="110"/>
      <c r="I33" s="110"/>
      <c r="J33" s="110"/>
      <c r="K33" s="110"/>
      <c r="L33" s="110"/>
      <c r="M33" s="111">
        <f t="shared" ref="M33:M34" si="485">M69+M105+M141+M177</f>
        <v>0</v>
      </c>
      <c r="N33" s="110"/>
      <c r="O33" s="110"/>
      <c r="P33" s="112">
        <f t="shared" ref="P33:P34" si="486">P69+P105+P141+P177</f>
        <v>0</v>
      </c>
      <c r="Q33" s="90"/>
      <c r="R33" s="92"/>
      <c r="S33" s="108" t="str">
        <f>"Output Sekunder "&amp;" %"</f>
        <v>Output Sekunder  %</v>
      </c>
      <c r="T33" s="109"/>
      <c r="U33" s="109"/>
      <c r="V33" s="87" t="str">
        <f>AG33/AG31*100</f>
        <v>#DIV/0!</v>
      </c>
      <c r="W33" s="110"/>
      <c r="X33" s="110"/>
      <c r="Y33" s="110"/>
      <c r="Z33" s="110"/>
      <c r="AA33" s="110"/>
      <c r="AB33" s="110"/>
      <c r="AC33" s="110"/>
      <c r="AD33" s="111">
        <f t="shared" ref="AD33:AD34" si="487">AD69+AD105+AD141+AD177</f>
        <v>0</v>
      </c>
      <c r="AE33" s="110"/>
      <c r="AF33" s="110"/>
      <c r="AG33" s="112">
        <f t="shared" ref="AG33:AG34" si="488">AG69+AG105+AG141+AG177</f>
        <v>0</v>
      </c>
      <c r="AH33" s="90"/>
      <c r="AI33" s="92"/>
      <c r="AJ33" s="108" t="str">
        <f>"Output Sekunder "&amp;" %"</f>
        <v>Output Sekunder  %</v>
      </c>
      <c r="AK33" s="109"/>
      <c r="AL33" s="109"/>
      <c r="AM33" s="87" t="str">
        <f>AX33/AX31*100</f>
        <v>#DIV/0!</v>
      </c>
      <c r="AN33" s="110"/>
      <c r="AO33" s="110"/>
      <c r="AP33" s="110"/>
      <c r="AQ33" s="110"/>
      <c r="AR33" s="110"/>
      <c r="AS33" s="110"/>
      <c r="AT33" s="110"/>
      <c r="AU33" s="111">
        <f t="shared" ref="AU33:AU34" si="489">AU69+AU105+AU141+AU177</f>
        <v>0</v>
      </c>
      <c r="AV33" s="110"/>
      <c r="AW33" s="110"/>
      <c r="AX33" s="112">
        <f t="shared" ref="AX33:AX34" si="490">AX69+AX105+AX141+AX177</f>
        <v>0</v>
      </c>
      <c r="AY33" s="90"/>
      <c r="AZ33" s="92"/>
      <c r="BA33" s="108" t="str">
        <f>"Output Sekunder "&amp;" %"</f>
        <v>Output Sekunder  %</v>
      </c>
      <c r="BB33" s="109"/>
      <c r="BC33" s="109"/>
      <c r="BD33" s="87" t="str">
        <f>BO33/BO31*100</f>
        <v>#DIV/0!</v>
      </c>
      <c r="BE33" s="110"/>
      <c r="BF33" s="110"/>
      <c r="BG33" s="110"/>
      <c r="BH33" s="110"/>
      <c r="BI33" s="110"/>
      <c r="BJ33" s="110"/>
      <c r="BK33" s="110"/>
      <c r="BL33" s="111">
        <f t="shared" ref="BL33:BL34" si="491">BL69+BL105+BL141+BL177</f>
        <v>0</v>
      </c>
      <c r="BM33" s="110"/>
      <c r="BN33" s="110"/>
      <c r="BO33" s="112">
        <f t="shared" ref="BO33:BO34" si="492">BO69+BO105+BO141+BO177</f>
        <v>0</v>
      </c>
      <c r="BP33" s="90"/>
      <c r="BQ33" s="92"/>
      <c r="BR33" s="108" t="str">
        <f>"Output Sekunder "&amp;" %"</f>
        <v>Output Sekunder  %</v>
      </c>
      <c r="BS33" s="109"/>
      <c r="BT33" s="109"/>
      <c r="BU33" s="87" t="str">
        <f>CF33/CF31*100</f>
        <v>#DIV/0!</v>
      </c>
      <c r="BV33" s="110"/>
      <c r="BW33" s="110"/>
      <c r="BX33" s="110"/>
      <c r="BY33" s="110"/>
      <c r="BZ33" s="110"/>
      <c r="CA33" s="110"/>
      <c r="CB33" s="110"/>
      <c r="CC33" s="111">
        <f t="shared" ref="CC33:CC34" si="493">CC69+CC105+CC141+CC177</f>
        <v>0</v>
      </c>
      <c r="CD33" s="110"/>
      <c r="CE33" s="110"/>
      <c r="CF33" s="112">
        <f t="shared" ref="CF33:CF34" si="494">CF69+CF105+CF141+CF177</f>
        <v>0</v>
      </c>
      <c r="CG33" s="90"/>
      <c r="CH33" s="92"/>
      <c r="CI33" s="108" t="str">
        <f>"Output Sekunder "&amp;" %"</f>
        <v>Output Sekunder  %</v>
      </c>
      <c r="CJ33" s="109"/>
      <c r="CK33" s="109"/>
      <c r="CL33" s="87" t="str">
        <f>CW33/CW31*100</f>
        <v>#DIV/0!</v>
      </c>
      <c r="CM33" s="110"/>
      <c r="CN33" s="110"/>
      <c r="CO33" s="110"/>
      <c r="CP33" s="110"/>
      <c r="CQ33" s="110"/>
      <c r="CR33" s="110"/>
      <c r="CS33" s="110"/>
      <c r="CT33" s="111">
        <f t="shared" ref="CT33:CT34" si="495">CT69+CT105+CT141+CT177</f>
        <v>0</v>
      </c>
      <c r="CU33" s="110"/>
      <c r="CV33" s="110"/>
      <c r="CW33" s="112">
        <f t="shared" ref="CW33:CW34" si="496">CW69+CW105+CW141+CW177</f>
        <v>0</v>
      </c>
      <c r="CX33" s="90"/>
      <c r="CY33" s="92"/>
      <c r="CZ33" s="108" t="str">
        <f>"Output Sekunder "&amp;" %"</f>
        <v>Output Sekunder  %</v>
      </c>
      <c r="DA33" s="109"/>
      <c r="DB33" s="109"/>
      <c r="DC33" s="87" t="str">
        <f>DN33/DN31*100</f>
        <v>#DIV/0!</v>
      </c>
      <c r="DD33" s="110"/>
      <c r="DE33" s="110"/>
      <c r="DF33" s="110"/>
      <c r="DG33" s="110"/>
      <c r="DH33" s="110"/>
      <c r="DI33" s="110"/>
      <c r="DJ33" s="110"/>
      <c r="DK33" s="111">
        <f t="shared" ref="DK33:DK34" si="497">DK69+DK105+DK141+DK177</f>
        <v>0</v>
      </c>
      <c r="DL33" s="110"/>
      <c r="DM33" s="110"/>
      <c r="DN33" s="112">
        <f t="shared" ref="DN33:DN34" si="498">DN69+DN105+DN141+DN177</f>
        <v>0</v>
      </c>
      <c r="DO33" s="90"/>
      <c r="DP33" s="92"/>
      <c r="DQ33" s="108" t="str">
        <f>"Output Sekunder "&amp;" %"</f>
        <v>Output Sekunder  %</v>
      </c>
      <c r="DR33" s="109"/>
      <c r="DS33" s="109"/>
      <c r="DT33" s="87" t="str">
        <f>EE33/EE31*100</f>
        <v>#DIV/0!</v>
      </c>
      <c r="DU33" s="110"/>
      <c r="DV33" s="110"/>
      <c r="DW33" s="110"/>
      <c r="DX33" s="110"/>
      <c r="DY33" s="110"/>
      <c r="DZ33" s="110"/>
      <c r="EA33" s="110"/>
      <c r="EB33" s="111">
        <f t="shared" ref="EB33:EB34" si="499">EB69+EB105+EB141+EB177</f>
        <v>0</v>
      </c>
      <c r="EC33" s="110"/>
      <c r="ED33" s="110"/>
      <c r="EE33" s="112">
        <f t="shared" ref="EE33:EE34" si="500">EE69+EE105+EE141+EE177</f>
        <v>0</v>
      </c>
      <c r="EF33" s="90"/>
      <c r="EG33" s="92"/>
      <c r="EH33" s="108" t="str">
        <f>"Output Sekunder "&amp;" %"</f>
        <v>Output Sekunder  %</v>
      </c>
      <c r="EI33" s="109"/>
      <c r="EJ33" s="109"/>
      <c r="EK33" s="87" t="str">
        <f>EV33/EV31*100</f>
        <v>#DIV/0!</v>
      </c>
      <c r="EL33" s="110"/>
      <c r="EM33" s="110"/>
      <c r="EN33" s="110"/>
      <c r="EO33" s="110"/>
      <c r="EP33" s="110"/>
      <c r="EQ33" s="110"/>
      <c r="ER33" s="110"/>
      <c r="ES33" s="111">
        <f t="shared" ref="ES33:ES34" si="501">ES69+ES105+ES141+ES177</f>
        <v>0</v>
      </c>
      <c r="ET33" s="110"/>
      <c r="EU33" s="110"/>
      <c r="EV33" s="112">
        <f t="shared" ref="EV33:EV34" si="502">EV69+EV105+EV141+EV177</f>
        <v>0</v>
      </c>
      <c r="EW33" s="90"/>
      <c r="EX33" s="92"/>
      <c r="EY33" s="108" t="str">
        <f>"Output Sekunder "&amp;" %"</f>
        <v>Output Sekunder  %</v>
      </c>
      <c r="EZ33" s="109"/>
      <c r="FA33" s="109"/>
      <c r="FB33" s="87" t="str">
        <f>FM33/FM31*100</f>
        <v>#DIV/0!</v>
      </c>
      <c r="FC33" s="110"/>
      <c r="FD33" s="110"/>
      <c r="FE33" s="110"/>
      <c r="FF33" s="110"/>
      <c r="FG33" s="110"/>
      <c r="FH33" s="110"/>
      <c r="FI33" s="110"/>
      <c r="FJ33" s="111">
        <f t="shared" ref="FJ33:FJ34" si="503">FJ69+FJ105+FJ141+FJ177</f>
        <v>0</v>
      </c>
      <c r="FK33" s="110"/>
      <c r="FL33" s="110"/>
      <c r="FM33" s="112">
        <f t="shared" ref="FM33:FM34" si="504">FM69+FM105+FM141+FM177</f>
        <v>0</v>
      </c>
      <c r="FN33" s="90"/>
      <c r="FO33" s="92"/>
      <c r="FP33" s="108" t="str">
        <f>"Output Sekunder "&amp;" %"</f>
        <v>Output Sekunder  %</v>
      </c>
      <c r="FQ33" s="109"/>
      <c r="FR33" s="109"/>
      <c r="FS33" s="87">
        <f>GD33/GD31*100</f>
        <v>0</v>
      </c>
      <c r="FT33" s="110"/>
      <c r="FU33" s="110"/>
      <c r="FV33" s="110"/>
      <c r="FW33" s="110"/>
      <c r="FX33" s="110"/>
      <c r="FY33" s="110"/>
      <c r="FZ33" s="110"/>
      <c r="GA33" s="111">
        <f t="shared" ref="GA33:GA34" si="505">GA69+GA105+GA141+GA177</f>
        <v>0</v>
      </c>
      <c r="GB33" s="110"/>
      <c r="GC33" s="110"/>
      <c r="GD33" s="112">
        <f t="shared" ref="GD33:GD34" si="506">GD69+GD105+GD141+GD177</f>
        <v>0</v>
      </c>
      <c r="GE33" s="90"/>
      <c r="GF33" s="92"/>
      <c r="GG33" s="108" t="str">
        <f>"Output Sekunder "&amp;" %"</f>
        <v>Output Sekunder  %</v>
      </c>
      <c r="GH33" s="109"/>
      <c r="GI33" s="109"/>
      <c r="GJ33" s="87">
        <f>GU33/GU31*100</f>
        <v>0</v>
      </c>
      <c r="GK33" s="110"/>
      <c r="GL33" s="110"/>
      <c r="GM33" s="110"/>
      <c r="GN33" s="110"/>
      <c r="GO33" s="110"/>
      <c r="GP33" s="110"/>
      <c r="GQ33" s="110"/>
      <c r="GR33" s="111">
        <f t="shared" ref="GR33:GR34" si="507">GR69+GR105+GR141+GR177</f>
        <v>0</v>
      </c>
      <c r="GS33" s="110"/>
      <c r="GT33" s="110"/>
      <c r="GU33" s="112">
        <f t="shared" ref="GU33:GU34" si="508">GU69+GU105+GU141+GU177</f>
        <v>0</v>
      </c>
      <c r="GV33" s="90"/>
      <c r="GW33" s="92"/>
      <c r="GX33" s="108" t="str">
        <f>"Output Sekunder "&amp;" %"</f>
        <v>Output Sekunder  %</v>
      </c>
      <c r="GY33" s="109"/>
      <c r="GZ33" s="109"/>
      <c r="HA33" s="87">
        <f>HL33/HL31*100</f>
        <v>0</v>
      </c>
      <c r="HB33" s="110"/>
      <c r="HC33" s="110"/>
      <c r="HD33" s="110"/>
      <c r="HE33" s="110"/>
      <c r="HF33" s="110"/>
      <c r="HG33" s="110"/>
      <c r="HH33" s="110"/>
      <c r="HI33" s="111">
        <f t="shared" ref="HI33:HI34" si="509">HI69+HI105+HI141+HI177</f>
        <v>0</v>
      </c>
      <c r="HJ33" s="110"/>
      <c r="HK33" s="110"/>
      <c r="HL33" s="112">
        <f t="shared" ref="HL33:HL34" si="510">HL69+HL105+HL141+HL177</f>
        <v>0</v>
      </c>
      <c r="HM33" s="90"/>
      <c r="HN33" s="92"/>
      <c r="HO33" s="108" t="str">
        <f>"Output Sekunder "&amp;" %"</f>
        <v>Output Sekunder  %</v>
      </c>
      <c r="HP33" s="109"/>
      <c r="HQ33" s="109"/>
      <c r="HR33" s="87">
        <f>IC33/IC31*100</f>
        <v>0</v>
      </c>
      <c r="HS33" s="110"/>
      <c r="HT33" s="110"/>
      <c r="HU33" s="110"/>
      <c r="HV33" s="110"/>
      <c r="HW33" s="110"/>
      <c r="HX33" s="110"/>
      <c r="HY33" s="110"/>
      <c r="HZ33" s="111">
        <f t="shared" ref="HZ33:HZ34" si="511">HZ69+HZ105+HZ141+HZ177</f>
        <v>0</v>
      </c>
      <c r="IA33" s="110"/>
      <c r="IB33" s="110"/>
      <c r="IC33" s="112">
        <f t="shared" ref="IC33:IC34" si="512">IC69+IC105+IC141+IC177</f>
        <v>0</v>
      </c>
      <c r="ID33" s="90"/>
      <c r="IE33" s="92"/>
      <c r="IF33" s="108" t="str">
        <f>"Output Sekunder "&amp;" %"</f>
        <v>Output Sekunder  %</v>
      </c>
      <c r="IG33" s="109"/>
      <c r="IH33" s="109"/>
      <c r="II33" s="87">
        <f>IT33/IT31*100</f>
        <v>0</v>
      </c>
      <c r="IJ33" s="110"/>
      <c r="IK33" s="110"/>
      <c r="IL33" s="110"/>
      <c r="IM33" s="110"/>
      <c r="IN33" s="110"/>
      <c r="IO33" s="110"/>
      <c r="IP33" s="110"/>
      <c r="IQ33" s="111">
        <f t="shared" ref="IQ33:IQ34" si="513">IQ69+IQ105+IQ141+IQ177</f>
        <v>0</v>
      </c>
      <c r="IR33" s="110"/>
      <c r="IS33" s="110"/>
      <c r="IT33" s="112">
        <f t="shared" ref="IT33:IT34" si="514">IT69+IT105+IT141+IT177</f>
        <v>0</v>
      </c>
      <c r="IU33" s="90"/>
      <c r="IV33" s="92"/>
      <c r="IW33" s="108" t="str">
        <f>"Output Sekunder "&amp;" %"</f>
        <v>Output Sekunder  %</v>
      </c>
      <c r="IX33" s="109"/>
      <c r="IY33" s="109"/>
      <c r="IZ33" s="87">
        <f>JK33/JK31*100</f>
        <v>0</v>
      </c>
      <c r="JA33" s="110"/>
      <c r="JB33" s="110"/>
      <c r="JC33" s="110"/>
      <c r="JD33" s="110"/>
      <c r="JE33" s="110"/>
      <c r="JF33" s="110"/>
      <c r="JG33" s="110"/>
      <c r="JH33" s="111">
        <f t="shared" ref="JH33:JH34" si="515">JH69+JH105+JH141+JH177</f>
        <v>0</v>
      </c>
      <c r="JI33" s="110"/>
      <c r="JJ33" s="110"/>
      <c r="JK33" s="112">
        <f t="shared" ref="JK33:JK34" si="516">JK69+JK105+JK141+JK177</f>
        <v>0</v>
      </c>
      <c r="JL33" s="90"/>
      <c r="JM33" s="92"/>
      <c r="JN33" s="108" t="str">
        <f>"Output Sekunder "&amp;" %"</f>
        <v>Output Sekunder  %</v>
      </c>
      <c r="JO33" s="109"/>
      <c r="JP33" s="109"/>
      <c r="JQ33" s="87">
        <f>KB33/KB31*100</f>
        <v>0</v>
      </c>
      <c r="JR33" s="110"/>
      <c r="JS33" s="110"/>
      <c r="JT33" s="110"/>
      <c r="JU33" s="110"/>
      <c r="JV33" s="110"/>
      <c r="JW33" s="110"/>
      <c r="JX33" s="110"/>
      <c r="JY33" s="111">
        <f t="shared" ref="JY33:JY34" si="517">JY69+JY105+JY141+JY177</f>
        <v>0</v>
      </c>
      <c r="JZ33" s="110"/>
      <c r="KA33" s="110"/>
      <c r="KB33" s="112">
        <f t="shared" ref="KB33:KB34" si="518">KB69+KB105+KB141+KB177</f>
        <v>0</v>
      </c>
      <c r="KC33" s="90"/>
      <c r="KD33" s="92"/>
      <c r="KE33" s="108" t="str">
        <f>"Output Sekunder "&amp;" %"</f>
        <v>Output Sekunder  %</v>
      </c>
      <c r="KF33" s="109"/>
      <c r="KG33" s="109"/>
      <c r="KH33" s="87" t="str">
        <f>KS33/KS31*100</f>
        <v>#DIV/0!</v>
      </c>
      <c r="KI33" s="110"/>
      <c r="KJ33" s="110"/>
      <c r="KK33" s="110"/>
      <c r="KL33" s="110"/>
      <c r="KM33" s="110"/>
      <c r="KN33" s="110"/>
      <c r="KO33" s="110"/>
      <c r="KP33" s="111">
        <f t="shared" ref="KP33:KP34" si="519">KP69+KP105+KP141+KP177</f>
        <v>0</v>
      </c>
      <c r="KQ33" s="110"/>
      <c r="KR33" s="110"/>
      <c r="KS33" s="112">
        <f t="shared" ref="KS33:KS34" si="520">KS69+KS105+KS141+KS177</f>
        <v>0</v>
      </c>
      <c r="KT33" s="90"/>
      <c r="KU33" s="91"/>
    </row>
    <row r="34" ht="15.75" customHeight="1">
      <c r="A34" s="92"/>
      <c r="B34" s="113" t="str">
        <f>"Adjusment "&amp;" %"</f>
        <v>Adjusment  %</v>
      </c>
      <c r="C34" s="114"/>
      <c r="D34" s="114"/>
      <c r="E34" s="87" t="str">
        <f>P34/(P31+P33)*100</f>
        <v>#DIV/0!</v>
      </c>
      <c r="F34" s="110"/>
      <c r="G34" s="110"/>
      <c r="H34" s="110"/>
      <c r="I34" s="110"/>
      <c r="J34" s="110"/>
      <c r="K34" s="110"/>
      <c r="L34" s="110"/>
      <c r="M34" s="115">
        <f t="shared" si="485"/>
        <v>0</v>
      </c>
      <c r="N34" s="110"/>
      <c r="O34" s="110"/>
      <c r="P34" s="116">
        <f t="shared" si="486"/>
        <v>0</v>
      </c>
      <c r="Q34" s="90"/>
      <c r="R34" s="92"/>
      <c r="S34" s="113" t="str">
        <f>"Adjusment "&amp;" %"</f>
        <v>Adjusment  %</v>
      </c>
      <c r="T34" s="114"/>
      <c r="U34" s="114"/>
      <c r="V34" s="87" t="str">
        <f>AG34/(AG31+AG33)*100</f>
        <v>#DIV/0!</v>
      </c>
      <c r="W34" s="110"/>
      <c r="X34" s="110"/>
      <c r="Y34" s="110"/>
      <c r="Z34" s="110"/>
      <c r="AA34" s="110"/>
      <c r="AB34" s="110"/>
      <c r="AC34" s="110"/>
      <c r="AD34" s="115">
        <f t="shared" si="487"/>
        <v>0</v>
      </c>
      <c r="AE34" s="110"/>
      <c r="AF34" s="110"/>
      <c r="AG34" s="116">
        <f t="shared" si="488"/>
        <v>0</v>
      </c>
      <c r="AH34" s="90"/>
      <c r="AI34" s="92"/>
      <c r="AJ34" s="113" t="str">
        <f>"Adjusment "&amp;" %"</f>
        <v>Adjusment  %</v>
      </c>
      <c r="AK34" s="114"/>
      <c r="AL34" s="114"/>
      <c r="AM34" s="87" t="str">
        <f>AX34/(AX31+AX33)*100</f>
        <v>#DIV/0!</v>
      </c>
      <c r="AN34" s="110"/>
      <c r="AO34" s="110"/>
      <c r="AP34" s="110"/>
      <c r="AQ34" s="110"/>
      <c r="AR34" s="110"/>
      <c r="AS34" s="110"/>
      <c r="AT34" s="110"/>
      <c r="AU34" s="115">
        <f t="shared" si="489"/>
        <v>0</v>
      </c>
      <c r="AV34" s="110"/>
      <c r="AW34" s="110"/>
      <c r="AX34" s="116">
        <f t="shared" si="490"/>
        <v>0</v>
      </c>
      <c r="AY34" s="90"/>
      <c r="AZ34" s="92"/>
      <c r="BA34" s="113" t="str">
        <f>"Adjusment "&amp;" %"</f>
        <v>Adjusment  %</v>
      </c>
      <c r="BB34" s="114"/>
      <c r="BC34" s="114"/>
      <c r="BD34" s="87" t="str">
        <f>BO34/(BO31+BO33)*100</f>
        <v>#DIV/0!</v>
      </c>
      <c r="BE34" s="110"/>
      <c r="BF34" s="110"/>
      <c r="BG34" s="110"/>
      <c r="BH34" s="110"/>
      <c r="BI34" s="110"/>
      <c r="BJ34" s="110"/>
      <c r="BK34" s="110"/>
      <c r="BL34" s="115">
        <f t="shared" si="491"/>
        <v>0</v>
      </c>
      <c r="BM34" s="110"/>
      <c r="BN34" s="110"/>
      <c r="BO34" s="116">
        <f t="shared" si="492"/>
        <v>0</v>
      </c>
      <c r="BP34" s="90"/>
      <c r="BQ34" s="92"/>
      <c r="BR34" s="113" t="str">
        <f>"Adjusment "&amp;" %"</f>
        <v>Adjusment  %</v>
      </c>
      <c r="BS34" s="114"/>
      <c r="BT34" s="114"/>
      <c r="BU34" s="87" t="str">
        <f>CF34/(CF31+CF33)*100</f>
        <v>#DIV/0!</v>
      </c>
      <c r="BV34" s="110"/>
      <c r="BW34" s="110"/>
      <c r="BX34" s="110"/>
      <c r="BY34" s="110"/>
      <c r="BZ34" s="110"/>
      <c r="CA34" s="110"/>
      <c r="CB34" s="110"/>
      <c r="CC34" s="115">
        <f t="shared" si="493"/>
        <v>0</v>
      </c>
      <c r="CD34" s="110"/>
      <c r="CE34" s="110"/>
      <c r="CF34" s="116">
        <f t="shared" si="494"/>
        <v>0</v>
      </c>
      <c r="CG34" s="90"/>
      <c r="CH34" s="92"/>
      <c r="CI34" s="113" t="str">
        <f>"Adjusment "&amp;" %"</f>
        <v>Adjusment  %</v>
      </c>
      <c r="CJ34" s="114"/>
      <c r="CK34" s="114"/>
      <c r="CL34" s="87" t="str">
        <f>CW34/(CW31+CW33)*100</f>
        <v>#DIV/0!</v>
      </c>
      <c r="CM34" s="110"/>
      <c r="CN34" s="110"/>
      <c r="CO34" s="110"/>
      <c r="CP34" s="110"/>
      <c r="CQ34" s="110"/>
      <c r="CR34" s="110"/>
      <c r="CS34" s="110"/>
      <c r="CT34" s="115">
        <f t="shared" si="495"/>
        <v>0</v>
      </c>
      <c r="CU34" s="110"/>
      <c r="CV34" s="110"/>
      <c r="CW34" s="116">
        <f t="shared" si="496"/>
        <v>0</v>
      </c>
      <c r="CX34" s="90"/>
      <c r="CY34" s="92"/>
      <c r="CZ34" s="113" t="str">
        <f>"Adjusment "&amp;" %"</f>
        <v>Adjusment  %</v>
      </c>
      <c r="DA34" s="114"/>
      <c r="DB34" s="114"/>
      <c r="DC34" s="87" t="str">
        <f>DN34/(DN31+DN33)*100</f>
        <v>#DIV/0!</v>
      </c>
      <c r="DD34" s="110"/>
      <c r="DE34" s="110"/>
      <c r="DF34" s="110"/>
      <c r="DG34" s="110"/>
      <c r="DH34" s="110"/>
      <c r="DI34" s="110"/>
      <c r="DJ34" s="110"/>
      <c r="DK34" s="115">
        <f t="shared" si="497"/>
        <v>0</v>
      </c>
      <c r="DL34" s="110"/>
      <c r="DM34" s="110"/>
      <c r="DN34" s="116">
        <f t="shared" si="498"/>
        <v>0</v>
      </c>
      <c r="DO34" s="90"/>
      <c r="DP34" s="92"/>
      <c r="DQ34" s="113" t="str">
        <f>"Adjusment "&amp;" %"</f>
        <v>Adjusment  %</v>
      </c>
      <c r="DR34" s="114"/>
      <c r="DS34" s="114"/>
      <c r="DT34" s="87" t="str">
        <f>EE34/(EE31+EE33)*100</f>
        <v>#DIV/0!</v>
      </c>
      <c r="DU34" s="110"/>
      <c r="DV34" s="110"/>
      <c r="DW34" s="110"/>
      <c r="DX34" s="110"/>
      <c r="DY34" s="110"/>
      <c r="DZ34" s="110"/>
      <c r="EA34" s="110"/>
      <c r="EB34" s="115">
        <f t="shared" si="499"/>
        <v>0</v>
      </c>
      <c r="EC34" s="110"/>
      <c r="ED34" s="110"/>
      <c r="EE34" s="116">
        <f t="shared" si="500"/>
        <v>0</v>
      </c>
      <c r="EF34" s="90"/>
      <c r="EG34" s="92"/>
      <c r="EH34" s="113" t="str">
        <f>"Adjusment "&amp;" %"</f>
        <v>Adjusment  %</v>
      </c>
      <c r="EI34" s="114"/>
      <c r="EJ34" s="114"/>
      <c r="EK34" s="87" t="str">
        <f>EV34/(EV31+EV33)*100</f>
        <v>#DIV/0!</v>
      </c>
      <c r="EL34" s="110"/>
      <c r="EM34" s="110"/>
      <c r="EN34" s="110"/>
      <c r="EO34" s="110"/>
      <c r="EP34" s="110"/>
      <c r="EQ34" s="110"/>
      <c r="ER34" s="110"/>
      <c r="ES34" s="115">
        <f t="shared" si="501"/>
        <v>0</v>
      </c>
      <c r="ET34" s="110"/>
      <c r="EU34" s="110"/>
      <c r="EV34" s="116">
        <f t="shared" si="502"/>
        <v>0</v>
      </c>
      <c r="EW34" s="90"/>
      <c r="EX34" s="92"/>
      <c r="EY34" s="113" t="str">
        <f>"Adjusment "&amp;" %"</f>
        <v>Adjusment  %</v>
      </c>
      <c r="EZ34" s="114"/>
      <c r="FA34" s="114"/>
      <c r="FB34" s="87" t="str">
        <f>FM34/(FM31+FM33)*100</f>
        <v>#DIV/0!</v>
      </c>
      <c r="FC34" s="110"/>
      <c r="FD34" s="110"/>
      <c r="FE34" s="110"/>
      <c r="FF34" s="110"/>
      <c r="FG34" s="110"/>
      <c r="FH34" s="110"/>
      <c r="FI34" s="110"/>
      <c r="FJ34" s="115">
        <f t="shared" si="503"/>
        <v>0</v>
      </c>
      <c r="FK34" s="110"/>
      <c r="FL34" s="110"/>
      <c r="FM34" s="116">
        <f t="shared" si="504"/>
        <v>0</v>
      </c>
      <c r="FN34" s="90"/>
      <c r="FO34" s="92"/>
      <c r="FP34" s="113" t="str">
        <f>"Adjusment "&amp;" %"</f>
        <v>Adjusment  %</v>
      </c>
      <c r="FQ34" s="114"/>
      <c r="FR34" s="114"/>
      <c r="FS34" s="87">
        <f>GD34/(GD31+GD33)*100</f>
        <v>0</v>
      </c>
      <c r="FT34" s="110"/>
      <c r="FU34" s="110"/>
      <c r="FV34" s="110"/>
      <c r="FW34" s="110"/>
      <c r="FX34" s="110"/>
      <c r="FY34" s="110"/>
      <c r="FZ34" s="110"/>
      <c r="GA34" s="115">
        <f t="shared" si="505"/>
        <v>0</v>
      </c>
      <c r="GB34" s="110"/>
      <c r="GC34" s="110"/>
      <c r="GD34" s="116">
        <f t="shared" si="506"/>
        <v>0</v>
      </c>
      <c r="GE34" s="90"/>
      <c r="GF34" s="92"/>
      <c r="GG34" s="113" t="str">
        <f>"Adjusment "&amp;" %"</f>
        <v>Adjusment  %</v>
      </c>
      <c r="GH34" s="114"/>
      <c r="GI34" s="114"/>
      <c r="GJ34" s="87">
        <f>GU34/(GU31+GU33)*100</f>
        <v>0</v>
      </c>
      <c r="GK34" s="110"/>
      <c r="GL34" s="110"/>
      <c r="GM34" s="110"/>
      <c r="GN34" s="110"/>
      <c r="GO34" s="110"/>
      <c r="GP34" s="110"/>
      <c r="GQ34" s="110"/>
      <c r="GR34" s="115">
        <f t="shared" si="507"/>
        <v>0</v>
      </c>
      <c r="GS34" s="110"/>
      <c r="GT34" s="110"/>
      <c r="GU34" s="116">
        <f t="shared" si="508"/>
        <v>0</v>
      </c>
      <c r="GV34" s="90"/>
      <c r="GW34" s="92"/>
      <c r="GX34" s="113" t="str">
        <f>"Adjusment "&amp;" %"</f>
        <v>Adjusment  %</v>
      </c>
      <c r="GY34" s="114"/>
      <c r="GZ34" s="114"/>
      <c r="HA34" s="87">
        <f>HL34/(HL31+HL33)*100</f>
        <v>0</v>
      </c>
      <c r="HB34" s="110"/>
      <c r="HC34" s="110"/>
      <c r="HD34" s="110"/>
      <c r="HE34" s="110"/>
      <c r="HF34" s="110"/>
      <c r="HG34" s="110"/>
      <c r="HH34" s="110"/>
      <c r="HI34" s="115">
        <f t="shared" si="509"/>
        <v>0</v>
      </c>
      <c r="HJ34" s="110"/>
      <c r="HK34" s="110"/>
      <c r="HL34" s="116">
        <f t="shared" si="510"/>
        <v>0</v>
      </c>
      <c r="HM34" s="90"/>
      <c r="HN34" s="92"/>
      <c r="HO34" s="113" t="str">
        <f>"Adjusment "&amp;" %"</f>
        <v>Adjusment  %</v>
      </c>
      <c r="HP34" s="114"/>
      <c r="HQ34" s="114"/>
      <c r="HR34" s="87">
        <f>IC34/(IC31+IC33)*100</f>
        <v>0</v>
      </c>
      <c r="HS34" s="110"/>
      <c r="HT34" s="110"/>
      <c r="HU34" s="110"/>
      <c r="HV34" s="110"/>
      <c r="HW34" s="110"/>
      <c r="HX34" s="110"/>
      <c r="HY34" s="110"/>
      <c r="HZ34" s="115">
        <f t="shared" si="511"/>
        <v>0</v>
      </c>
      <c r="IA34" s="110"/>
      <c r="IB34" s="110"/>
      <c r="IC34" s="116">
        <f t="shared" si="512"/>
        <v>0</v>
      </c>
      <c r="ID34" s="90"/>
      <c r="IE34" s="92"/>
      <c r="IF34" s="113" t="str">
        <f>"Adjusment "&amp;" %"</f>
        <v>Adjusment  %</v>
      </c>
      <c r="IG34" s="114"/>
      <c r="IH34" s="114"/>
      <c r="II34" s="87">
        <f>IT34/(IT31+IT33)*100</f>
        <v>0</v>
      </c>
      <c r="IJ34" s="110"/>
      <c r="IK34" s="110"/>
      <c r="IL34" s="110"/>
      <c r="IM34" s="110"/>
      <c r="IN34" s="110"/>
      <c r="IO34" s="110"/>
      <c r="IP34" s="110"/>
      <c r="IQ34" s="115">
        <f t="shared" si="513"/>
        <v>0</v>
      </c>
      <c r="IR34" s="110"/>
      <c r="IS34" s="110"/>
      <c r="IT34" s="116">
        <f t="shared" si="514"/>
        <v>0</v>
      </c>
      <c r="IU34" s="90"/>
      <c r="IV34" s="92"/>
      <c r="IW34" s="113" t="str">
        <f>"Adjusment "&amp;" %"</f>
        <v>Adjusment  %</v>
      </c>
      <c r="IX34" s="114"/>
      <c r="IY34" s="114"/>
      <c r="IZ34" s="87">
        <f>JK34/(JK31+JK33)*100</f>
        <v>0</v>
      </c>
      <c r="JA34" s="110"/>
      <c r="JB34" s="110"/>
      <c r="JC34" s="110"/>
      <c r="JD34" s="110"/>
      <c r="JE34" s="110"/>
      <c r="JF34" s="110"/>
      <c r="JG34" s="110"/>
      <c r="JH34" s="115">
        <f t="shared" si="515"/>
        <v>0</v>
      </c>
      <c r="JI34" s="110"/>
      <c r="JJ34" s="110"/>
      <c r="JK34" s="116">
        <f t="shared" si="516"/>
        <v>0</v>
      </c>
      <c r="JL34" s="90"/>
      <c r="JM34" s="92"/>
      <c r="JN34" s="113" t="str">
        <f>"Adjusment "&amp;" %"</f>
        <v>Adjusment  %</v>
      </c>
      <c r="JO34" s="114"/>
      <c r="JP34" s="114"/>
      <c r="JQ34" s="87">
        <f>KB34/(KB31+KB33)*100</f>
        <v>0</v>
      </c>
      <c r="JR34" s="110"/>
      <c r="JS34" s="110"/>
      <c r="JT34" s="110"/>
      <c r="JU34" s="110"/>
      <c r="JV34" s="110"/>
      <c r="JW34" s="110"/>
      <c r="JX34" s="110"/>
      <c r="JY34" s="115">
        <f t="shared" si="517"/>
        <v>0</v>
      </c>
      <c r="JZ34" s="110"/>
      <c r="KA34" s="110"/>
      <c r="KB34" s="116">
        <f t="shared" si="518"/>
        <v>0</v>
      </c>
      <c r="KC34" s="90"/>
      <c r="KD34" s="92"/>
      <c r="KE34" s="113" t="str">
        <f>"Adjusment "&amp;" %"</f>
        <v>Adjusment  %</v>
      </c>
      <c r="KF34" s="114"/>
      <c r="KG34" s="114"/>
      <c r="KH34" s="87" t="str">
        <f>KS34/(KS31+KS33)*100</f>
        <v>#DIV/0!</v>
      </c>
      <c r="KI34" s="110"/>
      <c r="KJ34" s="110"/>
      <c r="KK34" s="110"/>
      <c r="KL34" s="110"/>
      <c r="KM34" s="110"/>
      <c r="KN34" s="110"/>
      <c r="KO34" s="110"/>
      <c r="KP34" s="115">
        <f t="shared" si="519"/>
        <v>0</v>
      </c>
      <c r="KQ34" s="110"/>
      <c r="KR34" s="110"/>
      <c r="KS34" s="116">
        <f t="shared" si="520"/>
        <v>0</v>
      </c>
      <c r="KT34" s="90"/>
      <c r="KU34" s="91"/>
    </row>
    <row r="35" ht="15.75" customHeight="1">
      <c r="A35" s="92"/>
      <c r="B35" s="93"/>
      <c r="C35" s="94"/>
      <c r="D35" s="94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99"/>
      <c r="Q35" s="90"/>
      <c r="R35" s="92"/>
      <c r="S35" s="93"/>
      <c r="T35" s="94"/>
      <c r="U35" s="94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99"/>
      <c r="AH35" s="90"/>
      <c r="AI35" s="92"/>
      <c r="AJ35" s="93"/>
      <c r="AK35" s="94"/>
      <c r="AL35" s="94"/>
      <c r="AM35" s="87"/>
      <c r="AN35" s="87"/>
      <c r="AO35" s="87"/>
      <c r="AP35" s="87"/>
      <c r="AQ35" s="87"/>
      <c r="AR35" s="87"/>
      <c r="AS35" s="87"/>
      <c r="AT35" s="87"/>
      <c r="AU35" s="87"/>
      <c r="AV35" s="87"/>
      <c r="AW35" s="87"/>
      <c r="AX35" s="99"/>
      <c r="AY35" s="90"/>
      <c r="AZ35" s="92"/>
      <c r="BA35" s="93"/>
      <c r="BB35" s="94"/>
      <c r="BC35" s="94"/>
      <c r="BD35" s="87"/>
      <c r="BE35" s="87"/>
      <c r="BF35" s="87"/>
      <c r="BG35" s="87"/>
      <c r="BH35" s="87"/>
      <c r="BI35" s="87"/>
      <c r="BJ35" s="87"/>
      <c r="BK35" s="87"/>
      <c r="BL35" s="87"/>
      <c r="BM35" s="87"/>
      <c r="BN35" s="87"/>
      <c r="BO35" s="99"/>
      <c r="BP35" s="90"/>
      <c r="BQ35" s="92"/>
      <c r="BR35" s="93"/>
      <c r="BS35" s="94"/>
      <c r="BT35" s="94"/>
      <c r="BU35" s="87"/>
      <c r="BV35" s="87"/>
      <c r="BW35" s="87"/>
      <c r="BX35" s="87"/>
      <c r="BY35" s="87"/>
      <c r="BZ35" s="87"/>
      <c r="CA35" s="87"/>
      <c r="CB35" s="87"/>
      <c r="CC35" s="87"/>
      <c r="CD35" s="87"/>
      <c r="CE35" s="87"/>
      <c r="CF35" s="99"/>
      <c r="CG35" s="90"/>
      <c r="CH35" s="92"/>
      <c r="CI35" s="93"/>
      <c r="CJ35" s="94"/>
      <c r="CK35" s="94"/>
      <c r="CL35" s="87"/>
      <c r="CM35" s="87"/>
      <c r="CN35" s="87"/>
      <c r="CO35" s="87"/>
      <c r="CP35" s="87"/>
      <c r="CQ35" s="87"/>
      <c r="CR35" s="87"/>
      <c r="CS35" s="87"/>
      <c r="CT35" s="87"/>
      <c r="CU35" s="87"/>
      <c r="CV35" s="87"/>
      <c r="CW35" s="99"/>
      <c r="CX35" s="90"/>
      <c r="CY35" s="92"/>
      <c r="CZ35" s="93"/>
      <c r="DA35" s="94"/>
      <c r="DB35" s="94"/>
      <c r="DC35" s="87"/>
      <c r="DD35" s="87"/>
      <c r="DE35" s="87"/>
      <c r="DF35" s="87"/>
      <c r="DG35" s="87"/>
      <c r="DH35" s="87"/>
      <c r="DI35" s="87"/>
      <c r="DJ35" s="87"/>
      <c r="DK35" s="87"/>
      <c r="DL35" s="87"/>
      <c r="DM35" s="87"/>
      <c r="DN35" s="99"/>
      <c r="DO35" s="90"/>
      <c r="DP35" s="92"/>
      <c r="DQ35" s="93"/>
      <c r="DR35" s="94"/>
      <c r="DS35" s="94"/>
      <c r="DT35" s="87"/>
      <c r="DU35" s="87"/>
      <c r="DV35" s="87"/>
      <c r="DW35" s="87"/>
      <c r="DX35" s="87"/>
      <c r="DY35" s="87"/>
      <c r="DZ35" s="87"/>
      <c r="EA35" s="87"/>
      <c r="EB35" s="87"/>
      <c r="EC35" s="87"/>
      <c r="ED35" s="87"/>
      <c r="EE35" s="99"/>
      <c r="EF35" s="90"/>
      <c r="EG35" s="92"/>
      <c r="EH35" s="93"/>
      <c r="EI35" s="94"/>
      <c r="EJ35" s="94"/>
      <c r="EK35" s="87"/>
      <c r="EL35" s="87"/>
      <c r="EM35" s="87"/>
      <c r="EN35" s="87"/>
      <c r="EO35" s="87"/>
      <c r="EP35" s="87"/>
      <c r="EQ35" s="87"/>
      <c r="ER35" s="87"/>
      <c r="ES35" s="87"/>
      <c r="ET35" s="87"/>
      <c r="EU35" s="87"/>
      <c r="EV35" s="99"/>
      <c r="EW35" s="90"/>
      <c r="EX35" s="92"/>
      <c r="EY35" s="93"/>
      <c r="EZ35" s="94"/>
      <c r="FA35" s="94"/>
      <c r="FB35" s="87"/>
      <c r="FC35" s="87"/>
      <c r="FD35" s="87"/>
      <c r="FE35" s="87"/>
      <c r="FF35" s="87"/>
      <c r="FG35" s="87"/>
      <c r="FH35" s="87"/>
      <c r="FI35" s="87"/>
      <c r="FJ35" s="87"/>
      <c r="FK35" s="87"/>
      <c r="FL35" s="87"/>
      <c r="FM35" s="99"/>
      <c r="FN35" s="90"/>
      <c r="FO35" s="92"/>
      <c r="FP35" s="93"/>
      <c r="FQ35" s="94"/>
      <c r="FR35" s="94"/>
      <c r="FS35" s="87"/>
      <c r="FT35" s="87"/>
      <c r="FU35" s="87"/>
      <c r="FV35" s="87"/>
      <c r="FW35" s="87"/>
      <c r="FX35" s="87"/>
      <c r="FY35" s="87"/>
      <c r="FZ35" s="87"/>
      <c r="GA35" s="87"/>
      <c r="GB35" s="87"/>
      <c r="GC35" s="87"/>
      <c r="GD35" s="99"/>
      <c r="GE35" s="90"/>
      <c r="GF35" s="92"/>
      <c r="GG35" s="93"/>
      <c r="GH35" s="94"/>
      <c r="GI35" s="94"/>
      <c r="GJ35" s="87"/>
      <c r="GK35" s="87"/>
      <c r="GL35" s="87"/>
      <c r="GM35" s="87"/>
      <c r="GN35" s="87"/>
      <c r="GO35" s="87"/>
      <c r="GP35" s="87"/>
      <c r="GQ35" s="87"/>
      <c r="GR35" s="87"/>
      <c r="GS35" s="87"/>
      <c r="GT35" s="87"/>
      <c r="GU35" s="99"/>
      <c r="GV35" s="90"/>
      <c r="GW35" s="92"/>
      <c r="GX35" s="93"/>
      <c r="GY35" s="94"/>
      <c r="GZ35" s="94"/>
      <c r="HA35" s="87"/>
      <c r="HB35" s="87"/>
      <c r="HC35" s="87"/>
      <c r="HD35" s="87"/>
      <c r="HE35" s="87"/>
      <c r="HF35" s="87"/>
      <c r="HG35" s="87"/>
      <c r="HH35" s="87"/>
      <c r="HI35" s="87"/>
      <c r="HJ35" s="87"/>
      <c r="HK35" s="87"/>
      <c r="HL35" s="99"/>
      <c r="HM35" s="90"/>
      <c r="HN35" s="92"/>
      <c r="HO35" s="93"/>
      <c r="HP35" s="94"/>
      <c r="HQ35" s="94"/>
      <c r="HR35" s="87"/>
      <c r="HS35" s="87"/>
      <c r="HT35" s="87"/>
      <c r="HU35" s="87"/>
      <c r="HV35" s="87"/>
      <c r="HW35" s="87"/>
      <c r="HX35" s="87"/>
      <c r="HY35" s="87"/>
      <c r="HZ35" s="87"/>
      <c r="IA35" s="87"/>
      <c r="IB35" s="87"/>
      <c r="IC35" s="99"/>
      <c r="ID35" s="90"/>
      <c r="IE35" s="92"/>
      <c r="IF35" s="93"/>
      <c r="IG35" s="94"/>
      <c r="IH35" s="94"/>
      <c r="II35" s="87"/>
      <c r="IJ35" s="87"/>
      <c r="IK35" s="87"/>
      <c r="IL35" s="87"/>
      <c r="IM35" s="87"/>
      <c r="IN35" s="87"/>
      <c r="IO35" s="87"/>
      <c r="IP35" s="87"/>
      <c r="IQ35" s="87"/>
      <c r="IR35" s="87"/>
      <c r="IS35" s="87"/>
      <c r="IT35" s="99"/>
      <c r="IU35" s="90"/>
      <c r="IV35" s="92"/>
      <c r="IW35" s="93"/>
      <c r="IX35" s="94"/>
      <c r="IY35" s="94"/>
      <c r="IZ35" s="87"/>
      <c r="JA35" s="87"/>
      <c r="JB35" s="87"/>
      <c r="JC35" s="87"/>
      <c r="JD35" s="87"/>
      <c r="JE35" s="87"/>
      <c r="JF35" s="87"/>
      <c r="JG35" s="87"/>
      <c r="JH35" s="87"/>
      <c r="JI35" s="87"/>
      <c r="JJ35" s="87"/>
      <c r="JK35" s="99"/>
      <c r="JL35" s="90"/>
      <c r="JM35" s="92"/>
      <c r="JN35" s="93"/>
      <c r="JO35" s="94"/>
      <c r="JP35" s="94"/>
      <c r="JQ35" s="87"/>
      <c r="JR35" s="87"/>
      <c r="JS35" s="87"/>
      <c r="JT35" s="87"/>
      <c r="JU35" s="87"/>
      <c r="JV35" s="87"/>
      <c r="JW35" s="87"/>
      <c r="JX35" s="87"/>
      <c r="JY35" s="87"/>
      <c r="JZ35" s="87"/>
      <c r="KA35" s="87"/>
      <c r="KB35" s="99"/>
      <c r="KC35" s="90"/>
      <c r="KD35" s="92"/>
      <c r="KE35" s="93"/>
      <c r="KF35" s="94"/>
      <c r="KG35" s="94"/>
      <c r="KH35" s="87"/>
      <c r="KI35" s="87"/>
      <c r="KJ35" s="87"/>
      <c r="KK35" s="87"/>
      <c r="KL35" s="87"/>
      <c r="KM35" s="87"/>
      <c r="KN35" s="87"/>
      <c r="KO35" s="87"/>
      <c r="KP35" s="87"/>
      <c r="KQ35" s="87"/>
      <c r="KR35" s="87"/>
      <c r="KS35" s="99"/>
      <c r="KT35" s="90"/>
      <c r="KU35" s="91"/>
    </row>
    <row r="36" ht="24.0" customHeight="1">
      <c r="A36" s="117" t="s">
        <v>52</v>
      </c>
      <c r="B36" s="118"/>
      <c r="C36" s="119"/>
      <c r="D36" s="119"/>
      <c r="E36" s="120"/>
      <c r="F36" s="120"/>
      <c r="G36" s="121">
        <f>SUM(G31:G35)</f>
        <v>0</v>
      </c>
      <c r="H36" s="120"/>
      <c r="I36" s="121">
        <f>SUM(I31:I35)</f>
        <v>0</v>
      </c>
      <c r="J36" s="120"/>
      <c r="K36" s="120"/>
      <c r="L36" s="120"/>
      <c r="M36" s="121">
        <f>SUM(M31:M35)</f>
        <v>0</v>
      </c>
      <c r="N36" s="120"/>
      <c r="O36" s="121">
        <f t="shared" ref="O36:P36" si="521">SUM(O31:O35)</f>
        <v>0</v>
      </c>
      <c r="P36" s="121">
        <f t="shared" si="521"/>
        <v>0</v>
      </c>
      <c r="Q36" s="106"/>
      <c r="R36" s="117" t="s">
        <v>52</v>
      </c>
      <c r="S36" s="118"/>
      <c r="T36" s="119"/>
      <c r="U36" s="119"/>
      <c r="V36" s="120"/>
      <c r="W36" s="120"/>
      <c r="X36" s="121">
        <f>SUM(X31:X35)</f>
        <v>0</v>
      </c>
      <c r="Y36" s="120"/>
      <c r="Z36" s="121">
        <f>SUM(Z31:Z35)</f>
        <v>0</v>
      </c>
      <c r="AA36" s="120"/>
      <c r="AB36" s="120"/>
      <c r="AC36" s="120"/>
      <c r="AD36" s="121">
        <f>SUM(AD31:AD35)</f>
        <v>0</v>
      </c>
      <c r="AE36" s="120"/>
      <c r="AF36" s="121">
        <f t="shared" ref="AF36:AG36" si="522">SUM(AF31:AF35)</f>
        <v>0</v>
      </c>
      <c r="AG36" s="121">
        <f t="shared" si="522"/>
        <v>0</v>
      </c>
      <c r="AH36" s="106"/>
      <c r="AI36" s="117" t="s">
        <v>52</v>
      </c>
      <c r="AJ36" s="118"/>
      <c r="AK36" s="119"/>
      <c r="AL36" s="119"/>
      <c r="AM36" s="120"/>
      <c r="AN36" s="120"/>
      <c r="AO36" s="121">
        <f>SUM(AO31:AO35)</f>
        <v>0</v>
      </c>
      <c r="AP36" s="120"/>
      <c r="AQ36" s="121">
        <f>SUM(AQ31:AQ35)</f>
        <v>0</v>
      </c>
      <c r="AR36" s="120"/>
      <c r="AS36" s="120"/>
      <c r="AT36" s="120"/>
      <c r="AU36" s="121">
        <f>SUM(AU31:AU35)</f>
        <v>0</v>
      </c>
      <c r="AV36" s="120"/>
      <c r="AW36" s="121">
        <f t="shared" ref="AW36:AX36" si="523">SUM(AW31:AW35)</f>
        <v>0</v>
      </c>
      <c r="AX36" s="121">
        <f t="shared" si="523"/>
        <v>0</v>
      </c>
      <c r="AY36" s="106"/>
      <c r="AZ36" s="117" t="s">
        <v>52</v>
      </c>
      <c r="BA36" s="118"/>
      <c r="BB36" s="119"/>
      <c r="BC36" s="119"/>
      <c r="BD36" s="120"/>
      <c r="BE36" s="120"/>
      <c r="BF36" s="121">
        <f>SUM(BF31:BF35)</f>
        <v>0</v>
      </c>
      <c r="BG36" s="120"/>
      <c r="BH36" s="121">
        <f>SUM(BH31:BH35)</f>
        <v>0</v>
      </c>
      <c r="BI36" s="120"/>
      <c r="BJ36" s="120"/>
      <c r="BK36" s="120"/>
      <c r="BL36" s="121">
        <f>SUM(BL31:BL35)</f>
        <v>0</v>
      </c>
      <c r="BM36" s="120"/>
      <c r="BN36" s="121">
        <f t="shared" ref="BN36:BO36" si="524">SUM(BN31:BN35)</f>
        <v>0</v>
      </c>
      <c r="BO36" s="121">
        <f t="shared" si="524"/>
        <v>0</v>
      </c>
      <c r="BP36" s="106"/>
      <c r="BQ36" s="117" t="s">
        <v>52</v>
      </c>
      <c r="BR36" s="118"/>
      <c r="BS36" s="119"/>
      <c r="BT36" s="119"/>
      <c r="BU36" s="120"/>
      <c r="BV36" s="120"/>
      <c r="BW36" s="121">
        <f>SUM(BW31:BW35)</f>
        <v>0</v>
      </c>
      <c r="BX36" s="120"/>
      <c r="BY36" s="121">
        <f>SUM(BY31:BY35)</f>
        <v>0</v>
      </c>
      <c r="BZ36" s="120"/>
      <c r="CA36" s="120"/>
      <c r="CB36" s="120"/>
      <c r="CC36" s="121">
        <f>SUM(CC31:CC35)</f>
        <v>0</v>
      </c>
      <c r="CD36" s="120"/>
      <c r="CE36" s="121">
        <f t="shared" ref="CE36:CF36" si="525">SUM(CE31:CE35)</f>
        <v>0</v>
      </c>
      <c r="CF36" s="121">
        <f t="shared" si="525"/>
        <v>0</v>
      </c>
      <c r="CG36" s="106"/>
      <c r="CH36" s="117" t="s">
        <v>52</v>
      </c>
      <c r="CI36" s="118"/>
      <c r="CJ36" s="119"/>
      <c r="CK36" s="119"/>
      <c r="CL36" s="120"/>
      <c r="CM36" s="120"/>
      <c r="CN36" s="121">
        <f>SUM(CN31:CN35)</f>
        <v>0</v>
      </c>
      <c r="CO36" s="120"/>
      <c r="CP36" s="121">
        <f>SUM(CP31:CP35)</f>
        <v>0</v>
      </c>
      <c r="CQ36" s="120"/>
      <c r="CR36" s="120"/>
      <c r="CS36" s="120"/>
      <c r="CT36" s="121">
        <f>SUM(CT31:CT35)</f>
        <v>0</v>
      </c>
      <c r="CU36" s="120"/>
      <c r="CV36" s="121">
        <f t="shared" ref="CV36:CW36" si="526">SUM(CV31:CV35)</f>
        <v>0</v>
      </c>
      <c r="CW36" s="121">
        <f t="shared" si="526"/>
        <v>0</v>
      </c>
      <c r="CX36" s="106"/>
      <c r="CY36" s="117" t="s">
        <v>52</v>
      </c>
      <c r="CZ36" s="118"/>
      <c r="DA36" s="119"/>
      <c r="DB36" s="119"/>
      <c r="DC36" s="120"/>
      <c r="DD36" s="120"/>
      <c r="DE36" s="121">
        <f>SUM(DE31:DE35)</f>
        <v>0</v>
      </c>
      <c r="DF36" s="120"/>
      <c r="DG36" s="121">
        <f>SUM(DG31:DG35)</f>
        <v>0</v>
      </c>
      <c r="DH36" s="120"/>
      <c r="DI36" s="120"/>
      <c r="DJ36" s="120"/>
      <c r="DK36" s="121">
        <f>SUM(DK31:DK35)</f>
        <v>0</v>
      </c>
      <c r="DL36" s="120"/>
      <c r="DM36" s="121">
        <f t="shared" ref="DM36:DN36" si="527">SUM(DM31:DM35)</f>
        <v>0</v>
      </c>
      <c r="DN36" s="121">
        <f t="shared" si="527"/>
        <v>0</v>
      </c>
      <c r="DO36" s="106"/>
      <c r="DP36" s="117" t="s">
        <v>52</v>
      </c>
      <c r="DQ36" s="118"/>
      <c r="DR36" s="119"/>
      <c r="DS36" s="119"/>
      <c r="DT36" s="120"/>
      <c r="DU36" s="120"/>
      <c r="DV36" s="121">
        <f>SUM(DV31:DV35)</f>
        <v>0</v>
      </c>
      <c r="DW36" s="120"/>
      <c r="DX36" s="121">
        <f>SUM(DX31:DX35)</f>
        <v>0</v>
      </c>
      <c r="DY36" s="120"/>
      <c r="DZ36" s="120"/>
      <c r="EA36" s="120"/>
      <c r="EB36" s="121">
        <f>SUM(EB31:EB35)</f>
        <v>0</v>
      </c>
      <c r="EC36" s="120"/>
      <c r="ED36" s="121">
        <f t="shared" ref="ED36:EE36" si="528">SUM(ED31:ED35)</f>
        <v>0</v>
      </c>
      <c r="EE36" s="121">
        <f t="shared" si="528"/>
        <v>0</v>
      </c>
      <c r="EF36" s="106"/>
      <c r="EG36" s="117" t="s">
        <v>52</v>
      </c>
      <c r="EH36" s="118"/>
      <c r="EI36" s="119"/>
      <c r="EJ36" s="119"/>
      <c r="EK36" s="120"/>
      <c r="EL36" s="120"/>
      <c r="EM36" s="121">
        <f>SUM(EM31:EM35)</f>
        <v>0</v>
      </c>
      <c r="EN36" s="120"/>
      <c r="EO36" s="121">
        <f>SUM(EO31:EO35)</f>
        <v>0</v>
      </c>
      <c r="EP36" s="120"/>
      <c r="EQ36" s="120"/>
      <c r="ER36" s="120"/>
      <c r="ES36" s="121">
        <f>SUM(ES31:ES35)</f>
        <v>0</v>
      </c>
      <c r="ET36" s="120"/>
      <c r="EU36" s="121">
        <f t="shared" ref="EU36:EV36" si="529">SUM(EU31:EU35)</f>
        <v>0</v>
      </c>
      <c r="EV36" s="121">
        <f t="shared" si="529"/>
        <v>0</v>
      </c>
      <c r="EW36" s="106"/>
      <c r="EX36" s="117" t="s">
        <v>52</v>
      </c>
      <c r="EY36" s="118"/>
      <c r="EZ36" s="119"/>
      <c r="FA36" s="119"/>
      <c r="FB36" s="120"/>
      <c r="FC36" s="120"/>
      <c r="FD36" s="121">
        <f>SUM(FD31:FD35)</f>
        <v>0</v>
      </c>
      <c r="FE36" s="120"/>
      <c r="FF36" s="121">
        <f>SUM(FF31:FF35)</f>
        <v>0</v>
      </c>
      <c r="FG36" s="120"/>
      <c r="FH36" s="120"/>
      <c r="FI36" s="120"/>
      <c r="FJ36" s="121">
        <f>SUM(FJ31:FJ35)</f>
        <v>0</v>
      </c>
      <c r="FK36" s="120"/>
      <c r="FL36" s="121">
        <f t="shared" ref="FL36:FM36" si="530">SUM(FL31:FL35)</f>
        <v>0</v>
      </c>
      <c r="FM36" s="121">
        <f t="shared" si="530"/>
        <v>0</v>
      </c>
      <c r="FN36" s="106"/>
      <c r="FO36" s="117" t="s">
        <v>52</v>
      </c>
      <c r="FP36" s="118"/>
      <c r="FQ36" s="119"/>
      <c r="FR36" s="119"/>
      <c r="FS36" s="120"/>
      <c r="FT36" s="120"/>
      <c r="FU36" s="121">
        <f>SUM(FU31:FU35)</f>
        <v>3892902.557</v>
      </c>
      <c r="FV36" s="120"/>
      <c r="FW36" s="121">
        <f>SUM(FW31:FW35)</f>
        <v>0</v>
      </c>
      <c r="FX36" s="120"/>
      <c r="FY36" s="120"/>
      <c r="FZ36" s="120"/>
      <c r="GA36" s="121">
        <f>SUM(GA31:GA35)</f>
        <v>3892902.557</v>
      </c>
      <c r="GB36" s="120"/>
      <c r="GC36" s="121">
        <f t="shared" ref="GC36:GD36" si="531">SUM(GC31:GC35)</f>
        <v>1792475.797</v>
      </c>
      <c r="GD36" s="121">
        <f t="shared" si="531"/>
        <v>2100426.759</v>
      </c>
      <c r="GE36" s="106"/>
      <c r="GF36" s="117" t="s">
        <v>52</v>
      </c>
      <c r="GG36" s="118"/>
      <c r="GH36" s="119"/>
      <c r="GI36" s="119"/>
      <c r="GJ36" s="120"/>
      <c r="GK36" s="120"/>
      <c r="GL36" s="121">
        <f>SUM(GL31:GL35)</f>
        <v>4768059.211</v>
      </c>
      <c r="GM36" s="120"/>
      <c r="GN36" s="121">
        <f>SUM(GN31:GN35)</f>
        <v>0</v>
      </c>
      <c r="GO36" s="120"/>
      <c r="GP36" s="120"/>
      <c r="GQ36" s="120"/>
      <c r="GR36" s="121">
        <f>SUM(GR31:GR35)</f>
        <v>4768059.211</v>
      </c>
      <c r="GS36" s="120"/>
      <c r="GT36" s="121">
        <f t="shared" ref="GT36:GU36" si="532">SUM(GT31:GT35)</f>
        <v>2195439.165</v>
      </c>
      <c r="GU36" s="121">
        <f t="shared" si="532"/>
        <v>2572620.047</v>
      </c>
      <c r="GV36" s="106"/>
      <c r="GW36" s="117" t="s">
        <v>52</v>
      </c>
      <c r="GX36" s="118"/>
      <c r="GY36" s="119"/>
      <c r="GZ36" s="119"/>
      <c r="HA36" s="120"/>
      <c r="HB36" s="120"/>
      <c r="HC36" s="121">
        <f>SUM(HC31:HC35)</f>
        <v>5877776.607</v>
      </c>
      <c r="HD36" s="120"/>
      <c r="HE36" s="121">
        <f>SUM(HE31:HE35)</f>
        <v>0</v>
      </c>
      <c r="HF36" s="120"/>
      <c r="HG36" s="120"/>
      <c r="HH36" s="120"/>
      <c r="HI36" s="121">
        <f>SUM(HI31:HI35)</f>
        <v>5877776.607</v>
      </c>
      <c r="HJ36" s="120"/>
      <c r="HK36" s="121">
        <f t="shared" ref="HK36:HL36" si="533">SUM(HK31:HK35)</f>
        <v>2706405.351</v>
      </c>
      <c r="HL36" s="121">
        <f t="shared" si="533"/>
        <v>3171371.256</v>
      </c>
      <c r="HM36" s="106"/>
      <c r="HN36" s="117" t="s">
        <v>52</v>
      </c>
      <c r="HO36" s="118"/>
      <c r="HP36" s="119"/>
      <c r="HQ36" s="119"/>
      <c r="HR36" s="120"/>
      <c r="HS36" s="120"/>
      <c r="HT36" s="121">
        <f>SUM(HT31:HT35)</f>
        <v>8472848.612</v>
      </c>
      <c r="HU36" s="120"/>
      <c r="HV36" s="121">
        <f>SUM(HV31:HV35)</f>
        <v>0</v>
      </c>
      <c r="HW36" s="120"/>
      <c r="HX36" s="120"/>
      <c r="HY36" s="120"/>
      <c r="HZ36" s="121">
        <f>SUM(HZ31:HZ35)</f>
        <v>8472848.612</v>
      </c>
      <c r="IA36" s="120"/>
      <c r="IB36" s="121">
        <f t="shared" ref="IB36:IC36" si="534">SUM(IB31:IB35)</f>
        <v>3901298.8</v>
      </c>
      <c r="IC36" s="121">
        <f t="shared" si="534"/>
        <v>4571549.812</v>
      </c>
      <c r="ID36" s="106"/>
      <c r="IE36" s="117" t="s">
        <v>52</v>
      </c>
      <c r="IF36" s="118"/>
      <c r="IG36" s="119"/>
      <c r="IH36" s="119"/>
      <c r="II36" s="120"/>
      <c r="IJ36" s="120"/>
      <c r="IK36" s="121">
        <f>SUM(IK31:IK35)</f>
        <v>14058810.89</v>
      </c>
      <c r="IL36" s="120"/>
      <c r="IM36" s="121">
        <f>SUM(IM31:IM35)</f>
        <v>0</v>
      </c>
      <c r="IN36" s="120"/>
      <c r="IO36" s="120"/>
      <c r="IP36" s="120"/>
      <c r="IQ36" s="121">
        <f>SUM(IQ31:IQ35)</f>
        <v>14058810.89</v>
      </c>
      <c r="IR36" s="120"/>
      <c r="IS36" s="121">
        <f t="shared" ref="IS36:IT36" si="535">SUM(IS31:IS35)</f>
        <v>6473339.08</v>
      </c>
      <c r="IT36" s="121">
        <f t="shared" si="535"/>
        <v>7585471.806</v>
      </c>
      <c r="IU36" s="106"/>
      <c r="IV36" s="117" t="s">
        <v>52</v>
      </c>
      <c r="IW36" s="118"/>
      <c r="IX36" s="119"/>
      <c r="IY36" s="119"/>
      <c r="IZ36" s="120"/>
      <c r="JA36" s="120"/>
      <c r="JB36" s="121">
        <f>SUM(JB31:JB35)</f>
        <v>17330850.04</v>
      </c>
      <c r="JC36" s="120"/>
      <c r="JD36" s="121">
        <f>SUM(JD31:JD35)</f>
        <v>0</v>
      </c>
      <c r="JE36" s="120"/>
      <c r="JF36" s="120"/>
      <c r="JG36" s="120"/>
      <c r="JH36" s="121">
        <f>SUM(JH31:JH35)</f>
        <v>17330850.04</v>
      </c>
      <c r="JI36" s="120"/>
      <c r="JJ36" s="121">
        <f t="shared" ref="JJ36:JK36" si="536">SUM(JJ31:JJ35)</f>
        <v>7979940.108</v>
      </c>
      <c r="JK36" s="121">
        <f t="shared" si="536"/>
        <v>9350909.932</v>
      </c>
      <c r="JL36" s="106"/>
      <c r="JM36" s="117" t="s">
        <v>52</v>
      </c>
      <c r="JN36" s="118"/>
      <c r="JO36" s="119"/>
      <c r="JP36" s="119"/>
      <c r="JQ36" s="120"/>
      <c r="JR36" s="120"/>
      <c r="JS36" s="121">
        <f>SUM(JS31:JS35)</f>
        <v>4092737.732</v>
      </c>
      <c r="JT36" s="120"/>
      <c r="JU36" s="121">
        <f>SUM(JU31:JU35)</f>
        <v>0</v>
      </c>
      <c r="JV36" s="120"/>
      <c r="JW36" s="120"/>
      <c r="JX36" s="120"/>
      <c r="JY36" s="121">
        <f>SUM(JY31:JY35)</f>
        <v>4092737.732</v>
      </c>
      <c r="JZ36" s="120"/>
      <c r="KA36" s="121">
        <f t="shared" ref="KA36:KB36" si="537">SUM(KA31:KA35)</f>
        <v>1884489.33</v>
      </c>
      <c r="KB36" s="121">
        <f t="shared" si="537"/>
        <v>2208248.402</v>
      </c>
      <c r="KC36" s="106"/>
      <c r="KD36" s="117" t="s">
        <v>52</v>
      </c>
      <c r="KE36" s="118"/>
      <c r="KF36" s="119"/>
      <c r="KG36" s="119"/>
      <c r="KH36" s="120"/>
      <c r="KI36" s="120"/>
      <c r="KJ36" s="121">
        <f>SUM(KJ31:KJ35)</f>
        <v>0</v>
      </c>
      <c r="KK36" s="120"/>
      <c r="KL36" s="121">
        <f>SUM(KL31:KL35)</f>
        <v>0</v>
      </c>
      <c r="KM36" s="120"/>
      <c r="KN36" s="120"/>
      <c r="KO36" s="120"/>
      <c r="KP36" s="121">
        <f>SUM(KP31:KP35)</f>
        <v>0</v>
      </c>
      <c r="KQ36" s="120"/>
      <c r="KR36" s="121">
        <f t="shared" ref="KR36:KS36" si="538">SUM(KR31:KR35)</f>
        <v>0</v>
      </c>
      <c r="KS36" s="121">
        <f t="shared" si="538"/>
        <v>0</v>
      </c>
      <c r="KT36" s="106"/>
      <c r="KU36" s="107"/>
    </row>
    <row r="37" ht="15.75" customHeight="1">
      <c r="A37" s="44"/>
      <c r="B37" s="48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7"/>
      <c r="R37" s="44"/>
      <c r="S37" s="48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7"/>
      <c r="AI37" s="44"/>
      <c r="AJ37" s="48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7"/>
      <c r="AZ37" s="44"/>
      <c r="BA37" s="48"/>
      <c r="BB37" s="36"/>
      <c r="BC37" s="36"/>
      <c r="BD37" s="36"/>
      <c r="BE37" s="36"/>
      <c r="BF37" s="36"/>
      <c r="BG37" s="36"/>
      <c r="BH37" s="36"/>
      <c r="BI37" s="36"/>
      <c r="BJ37" s="36"/>
      <c r="BK37" s="36"/>
      <c r="BL37" s="36"/>
      <c r="BM37" s="36"/>
      <c r="BN37" s="36"/>
      <c r="BO37" s="36"/>
      <c r="BP37" s="37"/>
      <c r="BQ37" s="44"/>
      <c r="BR37" s="48"/>
      <c r="BS37" s="36"/>
      <c r="BT37" s="36"/>
      <c r="BU37" s="36"/>
      <c r="BV37" s="36"/>
      <c r="BW37" s="36"/>
      <c r="BX37" s="36"/>
      <c r="BY37" s="36"/>
      <c r="BZ37" s="36"/>
      <c r="CA37" s="36"/>
      <c r="CB37" s="36"/>
      <c r="CC37" s="36"/>
      <c r="CD37" s="36"/>
      <c r="CE37" s="36"/>
      <c r="CF37" s="36"/>
      <c r="CG37" s="37"/>
      <c r="CH37" s="44"/>
      <c r="CI37" s="48"/>
      <c r="CJ37" s="36"/>
      <c r="CK37" s="36"/>
      <c r="CL37" s="36"/>
      <c r="CM37" s="36"/>
      <c r="CN37" s="36"/>
      <c r="CO37" s="36"/>
      <c r="CP37" s="36"/>
      <c r="CQ37" s="36"/>
      <c r="CR37" s="36"/>
      <c r="CS37" s="36"/>
      <c r="CT37" s="36"/>
      <c r="CU37" s="36"/>
      <c r="CV37" s="36"/>
      <c r="CW37" s="36"/>
      <c r="CX37" s="37"/>
      <c r="CY37" s="44"/>
      <c r="CZ37" s="48"/>
      <c r="DA37" s="36"/>
      <c r="DB37" s="36"/>
      <c r="DC37" s="36"/>
      <c r="DD37" s="36"/>
      <c r="DE37" s="36"/>
      <c r="DF37" s="36"/>
      <c r="DG37" s="36"/>
      <c r="DH37" s="36"/>
      <c r="DI37" s="36"/>
      <c r="DJ37" s="36"/>
      <c r="DK37" s="36"/>
      <c r="DL37" s="36"/>
      <c r="DM37" s="36"/>
      <c r="DN37" s="36"/>
      <c r="DO37" s="37"/>
      <c r="DP37" s="44"/>
      <c r="DQ37" s="48"/>
      <c r="DR37" s="36"/>
      <c r="DS37" s="36"/>
      <c r="DT37" s="36"/>
      <c r="DU37" s="36"/>
      <c r="DV37" s="36"/>
      <c r="DW37" s="36"/>
      <c r="DX37" s="36"/>
      <c r="DY37" s="36"/>
      <c r="DZ37" s="36"/>
      <c r="EA37" s="36"/>
      <c r="EB37" s="36"/>
      <c r="EC37" s="36"/>
      <c r="ED37" s="36"/>
      <c r="EE37" s="36"/>
      <c r="EF37" s="37"/>
      <c r="EG37" s="44"/>
      <c r="EH37" s="48"/>
      <c r="EI37" s="36"/>
      <c r="EJ37" s="36"/>
      <c r="EK37" s="36"/>
      <c r="EL37" s="36"/>
      <c r="EM37" s="36"/>
      <c r="EN37" s="36"/>
      <c r="EO37" s="36"/>
      <c r="EP37" s="36"/>
      <c r="EQ37" s="36"/>
      <c r="ER37" s="36"/>
      <c r="ES37" s="36"/>
      <c r="ET37" s="36"/>
      <c r="EU37" s="36"/>
      <c r="EV37" s="36"/>
      <c r="EW37" s="37"/>
      <c r="EX37" s="44"/>
      <c r="EY37" s="48"/>
      <c r="EZ37" s="36"/>
      <c r="FA37" s="36"/>
      <c r="FB37" s="36"/>
      <c r="FC37" s="36"/>
      <c r="FD37" s="36"/>
      <c r="FE37" s="36"/>
      <c r="FF37" s="36"/>
      <c r="FG37" s="36"/>
      <c r="FH37" s="36"/>
      <c r="FI37" s="36"/>
      <c r="FJ37" s="36"/>
      <c r="FK37" s="36"/>
      <c r="FL37" s="36"/>
      <c r="FM37" s="36"/>
      <c r="FN37" s="37"/>
      <c r="FO37" s="44"/>
      <c r="FP37" s="48"/>
      <c r="FQ37" s="36"/>
      <c r="FR37" s="36"/>
      <c r="FS37" s="36"/>
      <c r="FT37" s="36"/>
      <c r="FU37" s="36"/>
      <c r="FV37" s="36"/>
      <c r="FW37" s="36"/>
      <c r="FX37" s="36"/>
      <c r="FY37" s="36"/>
      <c r="FZ37" s="36"/>
      <c r="GA37" s="36"/>
      <c r="GB37" s="36"/>
      <c r="GC37" s="36"/>
      <c r="GD37" s="36"/>
      <c r="GE37" s="37"/>
      <c r="GF37" s="44"/>
      <c r="GG37" s="48"/>
      <c r="GH37" s="36"/>
      <c r="GI37" s="36"/>
      <c r="GJ37" s="36"/>
      <c r="GK37" s="36"/>
      <c r="GL37" s="36"/>
      <c r="GM37" s="36"/>
      <c r="GN37" s="36"/>
      <c r="GO37" s="36"/>
      <c r="GP37" s="36"/>
      <c r="GQ37" s="36"/>
      <c r="GR37" s="36"/>
      <c r="GS37" s="36"/>
      <c r="GT37" s="36"/>
      <c r="GU37" s="36"/>
      <c r="GV37" s="37"/>
      <c r="GW37" s="44"/>
      <c r="GX37" s="48"/>
      <c r="GY37" s="36"/>
      <c r="GZ37" s="36"/>
      <c r="HA37" s="36"/>
      <c r="HB37" s="36"/>
      <c r="HC37" s="36"/>
      <c r="HD37" s="36"/>
      <c r="HE37" s="36"/>
      <c r="HF37" s="36"/>
      <c r="HG37" s="36"/>
      <c r="HH37" s="36"/>
      <c r="HI37" s="36"/>
      <c r="HJ37" s="36"/>
      <c r="HK37" s="36"/>
      <c r="HL37" s="36"/>
      <c r="HM37" s="37"/>
      <c r="HN37" s="44"/>
      <c r="HO37" s="48"/>
      <c r="HP37" s="36"/>
      <c r="HQ37" s="36"/>
      <c r="HR37" s="36"/>
      <c r="HS37" s="36"/>
      <c r="HT37" s="36"/>
      <c r="HU37" s="36"/>
      <c r="HV37" s="36"/>
      <c r="HW37" s="36"/>
      <c r="HX37" s="36"/>
      <c r="HY37" s="36"/>
      <c r="HZ37" s="36"/>
      <c r="IA37" s="36"/>
      <c r="IB37" s="36"/>
      <c r="IC37" s="36"/>
      <c r="ID37" s="37"/>
      <c r="IE37" s="44"/>
      <c r="IF37" s="48"/>
      <c r="IG37" s="36"/>
      <c r="IH37" s="36"/>
      <c r="II37" s="36"/>
      <c r="IJ37" s="36"/>
      <c r="IK37" s="36"/>
      <c r="IL37" s="36"/>
      <c r="IM37" s="36"/>
      <c r="IN37" s="36"/>
      <c r="IO37" s="36"/>
      <c r="IP37" s="36"/>
      <c r="IQ37" s="36"/>
      <c r="IR37" s="36"/>
      <c r="IS37" s="36"/>
      <c r="IT37" s="36"/>
      <c r="IU37" s="37"/>
      <c r="IV37" s="44"/>
      <c r="IW37" s="48"/>
      <c r="IX37" s="36"/>
      <c r="IY37" s="36"/>
      <c r="IZ37" s="36"/>
      <c r="JA37" s="36"/>
      <c r="JB37" s="36"/>
      <c r="JC37" s="36"/>
      <c r="JD37" s="36"/>
      <c r="JE37" s="36"/>
      <c r="JF37" s="36"/>
      <c r="JG37" s="36"/>
      <c r="JH37" s="36"/>
      <c r="JI37" s="36"/>
      <c r="JJ37" s="36"/>
      <c r="JK37" s="36"/>
      <c r="JL37" s="37"/>
      <c r="JM37" s="44"/>
      <c r="JN37" s="48"/>
      <c r="JO37" s="36"/>
      <c r="JP37" s="36"/>
      <c r="JQ37" s="36"/>
      <c r="JR37" s="36"/>
      <c r="JS37" s="36"/>
      <c r="JT37" s="36"/>
      <c r="JU37" s="36"/>
      <c r="JV37" s="36"/>
      <c r="JW37" s="36"/>
      <c r="JX37" s="36"/>
      <c r="JY37" s="36"/>
      <c r="JZ37" s="36"/>
      <c r="KA37" s="36"/>
      <c r="KB37" s="36"/>
      <c r="KC37" s="37"/>
      <c r="KD37" s="44"/>
      <c r="KE37" s="48"/>
      <c r="KF37" s="36"/>
      <c r="KG37" s="36"/>
      <c r="KH37" s="36"/>
      <c r="KI37" s="36"/>
      <c r="KJ37" s="36"/>
      <c r="KK37" s="36"/>
      <c r="KL37" s="36"/>
      <c r="KM37" s="36"/>
      <c r="KN37" s="36"/>
      <c r="KO37" s="36"/>
      <c r="KP37" s="36"/>
      <c r="KQ37" s="36"/>
      <c r="KR37" s="36"/>
      <c r="KS37" s="36"/>
      <c r="KT37" s="37"/>
      <c r="KU37" s="36"/>
    </row>
    <row r="38" ht="15.75" customHeight="1">
      <c r="A38" s="44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7"/>
      <c r="R38" s="44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7"/>
      <c r="AI38" s="44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7"/>
      <c r="AZ38" s="44"/>
      <c r="BA38" s="36"/>
      <c r="BB38" s="36"/>
      <c r="BC38" s="36"/>
      <c r="BD38" s="36"/>
      <c r="BE38" s="36"/>
      <c r="BF38" s="36"/>
      <c r="BG38" s="36"/>
      <c r="BH38" s="36"/>
      <c r="BI38" s="36"/>
      <c r="BJ38" s="36"/>
      <c r="BK38" s="36"/>
      <c r="BL38" s="36"/>
      <c r="BM38" s="36"/>
      <c r="BN38" s="36"/>
      <c r="BO38" s="36"/>
      <c r="BP38" s="37"/>
      <c r="BQ38" s="44"/>
      <c r="BR38" s="36"/>
      <c r="BS38" s="36"/>
      <c r="BT38" s="36"/>
      <c r="BU38" s="36"/>
      <c r="BV38" s="36"/>
      <c r="BW38" s="36"/>
      <c r="BX38" s="36"/>
      <c r="BY38" s="36"/>
      <c r="BZ38" s="36"/>
      <c r="CA38" s="36"/>
      <c r="CB38" s="36"/>
      <c r="CC38" s="36"/>
      <c r="CD38" s="36"/>
      <c r="CE38" s="36"/>
      <c r="CF38" s="36"/>
      <c r="CG38" s="37"/>
      <c r="CH38" s="44"/>
      <c r="CI38" s="36"/>
      <c r="CJ38" s="36"/>
      <c r="CK38" s="36"/>
      <c r="CL38" s="36"/>
      <c r="CM38" s="36"/>
      <c r="CN38" s="36"/>
      <c r="CO38" s="36"/>
      <c r="CP38" s="36"/>
      <c r="CQ38" s="36"/>
      <c r="CR38" s="36"/>
      <c r="CS38" s="36"/>
      <c r="CT38" s="36"/>
      <c r="CU38" s="36"/>
      <c r="CV38" s="36"/>
      <c r="CW38" s="36"/>
      <c r="CX38" s="37"/>
      <c r="CY38" s="44"/>
      <c r="CZ38" s="36"/>
      <c r="DA38" s="36"/>
      <c r="DB38" s="36"/>
      <c r="DC38" s="36"/>
      <c r="DD38" s="36"/>
      <c r="DE38" s="36"/>
      <c r="DF38" s="36"/>
      <c r="DG38" s="36"/>
      <c r="DH38" s="36"/>
      <c r="DI38" s="36"/>
      <c r="DJ38" s="36"/>
      <c r="DK38" s="36"/>
      <c r="DL38" s="36"/>
      <c r="DM38" s="36"/>
      <c r="DN38" s="36"/>
      <c r="DO38" s="37"/>
      <c r="DP38" s="44"/>
      <c r="DQ38" s="36"/>
      <c r="DR38" s="36"/>
      <c r="DS38" s="36"/>
      <c r="DT38" s="36"/>
      <c r="DU38" s="36"/>
      <c r="DV38" s="36"/>
      <c r="DW38" s="36"/>
      <c r="DX38" s="36"/>
      <c r="DY38" s="36"/>
      <c r="DZ38" s="36"/>
      <c r="EA38" s="36"/>
      <c r="EB38" s="36"/>
      <c r="EC38" s="36"/>
      <c r="ED38" s="36"/>
      <c r="EE38" s="36"/>
      <c r="EF38" s="37"/>
      <c r="EG38" s="44"/>
      <c r="EH38" s="36"/>
      <c r="EI38" s="36"/>
      <c r="EJ38" s="36"/>
      <c r="EK38" s="36"/>
      <c r="EL38" s="36"/>
      <c r="EM38" s="36"/>
      <c r="EN38" s="36"/>
      <c r="EO38" s="36"/>
      <c r="EP38" s="36"/>
      <c r="EQ38" s="36"/>
      <c r="ER38" s="36"/>
      <c r="ES38" s="36"/>
      <c r="ET38" s="36"/>
      <c r="EU38" s="36"/>
      <c r="EV38" s="36"/>
      <c r="EW38" s="37"/>
      <c r="EX38" s="44"/>
      <c r="EY38" s="36"/>
      <c r="EZ38" s="36"/>
      <c r="FA38" s="36"/>
      <c r="FB38" s="36"/>
      <c r="FC38" s="36"/>
      <c r="FD38" s="36"/>
      <c r="FE38" s="36"/>
      <c r="FF38" s="36"/>
      <c r="FG38" s="36"/>
      <c r="FH38" s="36"/>
      <c r="FI38" s="36"/>
      <c r="FJ38" s="36"/>
      <c r="FK38" s="36"/>
      <c r="FL38" s="36"/>
      <c r="FM38" s="36"/>
      <c r="FN38" s="37"/>
      <c r="FO38" s="44"/>
      <c r="FP38" s="36"/>
      <c r="FQ38" s="36"/>
      <c r="FR38" s="36"/>
      <c r="FS38" s="36"/>
      <c r="FT38" s="36"/>
      <c r="FU38" s="36"/>
      <c r="FV38" s="36"/>
      <c r="FW38" s="36"/>
      <c r="FX38" s="36"/>
      <c r="FY38" s="36"/>
      <c r="FZ38" s="36"/>
      <c r="GA38" s="36"/>
      <c r="GB38" s="36"/>
      <c r="GC38" s="36"/>
      <c r="GD38" s="36"/>
      <c r="GE38" s="37"/>
      <c r="GF38" s="44"/>
      <c r="GG38" s="36"/>
      <c r="GH38" s="36"/>
      <c r="GI38" s="36"/>
      <c r="GJ38" s="36"/>
      <c r="GK38" s="36"/>
      <c r="GL38" s="36"/>
      <c r="GM38" s="36"/>
      <c r="GN38" s="36"/>
      <c r="GO38" s="36"/>
      <c r="GP38" s="36"/>
      <c r="GQ38" s="36"/>
      <c r="GR38" s="36"/>
      <c r="GS38" s="36"/>
      <c r="GT38" s="36"/>
      <c r="GU38" s="36"/>
      <c r="GV38" s="37"/>
      <c r="GW38" s="44"/>
      <c r="GX38" s="36"/>
      <c r="GY38" s="36"/>
      <c r="GZ38" s="36"/>
      <c r="HA38" s="36"/>
      <c r="HB38" s="36"/>
      <c r="HC38" s="36"/>
      <c r="HD38" s="36"/>
      <c r="HE38" s="36"/>
      <c r="HF38" s="36"/>
      <c r="HG38" s="36"/>
      <c r="HH38" s="36"/>
      <c r="HI38" s="36"/>
      <c r="HJ38" s="36"/>
      <c r="HK38" s="36"/>
      <c r="HL38" s="36"/>
      <c r="HM38" s="37"/>
      <c r="HN38" s="44"/>
      <c r="HO38" s="36"/>
      <c r="HP38" s="36"/>
      <c r="HQ38" s="36"/>
      <c r="HR38" s="36"/>
      <c r="HS38" s="36"/>
      <c r="HT38" s="36"/>
      <c r="HU38" s="36"/>
      <c r="HV38" s="36"/>
      <c r="HW38" s="36"/>
      <c r="HX38" s="36"/>
      <c r="HY38" s="36"/>
      <c r="HZ38" s="36"/>
      <c r="IA38" s="36"/>
      <c r="IB38" s="36"/>
      <c r="IC38" s="36"/>
      <c r="ID38" s="37"/>
      <c r="IE38" s="44"/>
      <c r="IF38" s="36"/>
      <c r="IG38" s="36"/>
      <c r="IH38" s="36"/>
      <c r="II38" s="36"/>
      <c r="IJ38" s="36"/>
      <c r="IK38" s="36"/>
      <c r="IL38" s="36"/>
      <c r="IM38" s="36"/>
      <c r="IN38" s="36"/>
      <c r="IO38" s="36"/>
      <c r="IP38" s="36"/>
      <c r="IQ38" s="36"/>
      <c r="IR38" s="36"/>
      <c r="IS38" s="36"/>
      <c r="IT38" s="36"/>
      <c r="IU38" s="37"/>
      <c r="IV38" s="44"/>
      <c r="IW38" s="36"/>
      <c r="IX38" s="36"/>
      <c r="IY38" s="36"/>
      <c r="IZ38" s="36"/>
      <c r="JA38" s="36"/>
      <c r="JB38" s="36"/>
      <c r="JC38" s="36"/>
      <c r="JD38" s="36"/>
      <c r="JE38" s="36"/>
      <c r="JF38" s="36"/>
      <c r="JG38" s="36"/>
      <c r="JH38" s="36"/>
      <c r="JI38" s="36"/>
      <c r="JJ38" s="36"/>
      <c r="JK38" s="36"/>
      <c r="JL38" s="37"/>
      <c r="JM38" s="44"/>
      <c r="JN38" s="36"/>
      <c r="JO38" s="36"/>
      <c r="JP38" s="36"/>
      <c r="JQ38" s="36"/>
      <c r="JR38" s="36"/>
      <c r="JS38" s="36"/>
      <c r="JT38" s="36"/>
      <c r="JU38" s="36"/>
      <c r="JV38" s="36"/>
      <c r="JW38" s="36"/>
      <c r="JX38" s="36"/>
      <c r="JY38" s="36"/>
      <c r="JZ38" s="36"/>
      <c r="KA38" s="36"/>
      <c r="KB38" s="36"/>
      <c r="KC38" s="37"/>
      <c r="KD38" s="44"/>
      <c r="KE38" s="36"/>
      <c r="KF38" s="36"/>
      <c r="KG38" s="36"/>
      <c r="KH38" s="36"/>
      <c r="KI38" s="36"/>
      <c r="KJ38" s="36"/>
      <c r="KK38" s="36"/>
      <c r="KL38" s="36"/>
      <c r="KM38" s="36"/>
      <c r="KN38" s="36"/>
      <c r="KO38" s="36"/>
      <c r="KP38" s="36"/>
      <c r="KQ38" s="36"/>
      <c r="KR38" s="36"/>
      <c r="KS38" s="36"/>
      <c r="KT38" s="37"/>
      <c r="KU38" s="36"/>
    </row>
    <row r="39" ht="15.75" customHeight="1">
      <c r="A39" s="44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7"/>
      <c r="R39" s="44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7"/>
      <c r="AI39" s="44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7"/>
      <c r="AZ39" s="44"/>
      <c r="BA39" s="36"/>
      <c r="BB39" s="36"/>
      <c r="BC39" s="36"/>
      <c r="BD39" s="36"/>
      <c r="BE39" s="36"/>
      <c r="BF39" s="36"/>
      <c r="BG39" s="36"/>
      <c r="BH39" s="36"/>
      <c r="BI39" s="36"/>
      <c r="BJ39" s="36"/>
      <c r="BK39" s="36"/>
      <c r="BL39" s="36"/>
      <c r="BM39" s="36"/>
      <c r="BN39" s="36"/>
      <c r="BO39" s="36"/>
      <c r="BP39" s="37"/>
      <c r="BQ39" s="44"/>
      <c r="BR39" s="36"/>
      <c r="BS39" s="36"/>
      <c r="BT39" s="36"/>
      <c r="BU39" s="36"/>
      <c r="BV39" s="36"/>
      <c r="BW39" s="36"/>
      <c r="BX39" s="36"/>
      <c r="BY39" s="36"/>
      <c r="BZ39" s="36"/>
      <c r="CA39" s="36"/>
      <c r="CB39" s="36"/>
      <c r="CC39" s="36"/>
      <c r="CD39" s="36"/>
      <c r="CE39" s="36"/>
      <c r="CF39" s="36"/>
      <c r="CG39" s="37"/>
      <c r="CH39" s="44"/>
      <c r="CI39" s="36"/>
      <c r="CJ39" s="36"/>
      <c r="CK39" s="36"/>
      <c r="CL39" s="36"/>
      <c r="CM39" s="36"/>
      <c r="CN39" s="36"/>
      <c r="CO39" s="36"/>
      <c r="CP39" s="36"/>
      <c r="CQ39" s="36"/>
      <c r="CR39" s="36"/>
      <c r="CS39" s="36"/>
      <c r="CT39" s="36"/>
      <c r="CU39" s="36"/>
      <c r="CV39" s="36"/>
      <c r="CW39" s="36"/>
      <c r="CX39" s="37"/>
      <c r="CY39" s="44"/>
      <c r="CZ39" s="36"/>
      <c r="DA39" s="36"/>
      <c r="DB39" s="36"/>
      <c r="DC39" s="36"/>
      <c r="DD39" s="36"/>
      <c r="DE39" s="36"/>
      <c r="DF39" s="36"/>
      <c r="DG39" s="36"/>
      <c r="DH39" s="36"/>
      <c r="DI39" s="36"/>
      <c r="DJ39" s="36"/>
      <c r="DK39" s="36"/>
      <c r="DL39" s="36"/>
      <c r="DM39" s="36"/>
      <c r="DN39" s="36"/>
      <c r="DO39" s="37"/>
      <c r="DP39" s="44"/>
      <c r="DQ39" s="36"/>
      <c r="DR39" s="36"/>
      <c r="DS39" s="36"/>
      <c r="DT39" s="36"/>
      <c r="DU39" s="36"/>
      <c r="DV39" s="36"/>
      <c r="DW39" s="36"/>
      <c r="DX39" s="36"/>
      <c r="DY39" s="36"/>
      <c r="DZ39" s="36"/>
      <c r="EA39" s="36"/>
      <c r="EB39" s="36"/>
      <c r="EC39" s="36"/>
      <c r="ED39" s="36"/>
      <c r="EE39" s="36"/>
      <c r="EF39" s="37"/>
      <c r="EG39" s="44"/>
      <c r="EH39" s="36"/>
      <c r="EI39" s="36"/>
      <c r="EJ39" s="36"/>
      <c r="EK39" s="36"/>
      <c r="EL39" s="36"/>
      <c r="EM39" s="36"/>
      <c r="EN39" s="36"/>
      <c r="EO39" s="36"/>
      <c r="EP39" s="36"/>
      <c r="EQ39" s="36"/>
      <c r="ER39" s="36"/>
      <c r="ES39" s="36"/>
      <c r="ET39" s="36"/>
      <c r="EU39" s="36"/>
      <c r="EV39" s="36"/>
      <c r="EW39" s="37"/>
      <c r="EX39" s="44"/>
      <c r="EY39" s="36"/>
      <c r="EZ39" s="36"/>
      <c r="FA39" s="36"/>
      <c r="FB39" s="36"/>
      <c r="FC39" s="36"/>
      <c r="FD39" s="36"/>
      <c r="FE39" s="36"/>
      <c r="FF39" s="36"/>
      <c r="FG39" s="36"/>
      <c r="FH39" s="36"/>
      <c r="FI39" s="36"/>
      <c r="FJ39" s="36"/>
      <c r="FK39" s="36"/>
      <c r="FL39" s="36"/>
      <c r="FM39" s="36"/>
      <c r="FN39" s="37"/>
      <c r="FO39" s="44"/>
      <c r="FP39" s="36"/>
      <c r="FQ39" s="36"/>
      <c r="FR39" s="36"/>
      <c r="FS39" s="36"/>
      <c r="FT39" s="36"/>
      <c r="FU39" s="36"/>
      <c r="FV39" s="36"/>
      <c r="FW39" s="36"/>
      <c r="FX39" s="36"/>
      <c r="FY39" s="36"/>
      <c r="FZ39" s="36"/>
      <c r="GA39" s="36"/>
      <c r="GB39" s="36"/>
      <c r="GC39" s="36"/>
      <c r="GD39" s="36"/>
      <c r="GE39" s="37"/>
      <c r="GF39" s="44"/>
      <c r="GG39" s="36"/>
      <c r="GH39" s="36"/>
      <c r="GI39" s="36"/>
      <c r="GJ39" s="36"/>
      <c r="GK39" s="36"/>
      <c r="GL39" s="36"/>
      <c r="GM39" s="36"/>
      <c r="GN39" s="36"/>
      <c r="GO39" s="36"/>
      <c r="GP39" s="36"/>
      <c r="GQ39" s="36"/>
      <c r="GR39" s="36"/>
      <c r="GS39" s="36"/>
      <c r="GT39" s="36"/>
      <c r="GU39" s="36"/>
      <c r="GV39" s="37"/>
      <c r="GW39" s="44"/>
      <c r="GX39" s="36"/>
      <c r="GY39" s="36"/>
      <c r="GZ39" s="36"/>
      <c r="HA39" s="36"/>
      <c r="HB39" s="36"/>
      <c r="HC39" s="36"/>
      <c r="HD39" s="36"/>
      <c r="HE39" s="36"/>
      <c r="HF39" s="36"/>
      <c r="HG39" s="36"/>
      <c r="HH39" s="36"/>
      <c r="HI39" s="36"/>
      <c r="HJ39" s="36"/>
      <c r="HK39" s="36"/>
      <c r="HL39" s="36"/>
      <c r="HM39" s="37"/>
      <c r="HN39" s="44"/>
      <c r="HO39" s="36"/>
      <c r="HP39" s="36"/>
      <c r="HQ39" s="36"/>
      <c r="HR39" s="36"/>
      <c r="HS39" s="36"/>
      <c r="HT39" s="36"/>
      <c r="HU39" s="36"/>
      <c r="HV39" s="36"/>
      <c r="HW39" s="36"/>
      <c r="HX39" s="36"/>
      <c r="HY39" s="36"/>
      <c r="HZ39" s="36"/>
      <c r="IA39" s="36"/>
      <c r="IB39" s="36"/>
      <c r="IC39" s="36"/>
      <c r="ID39" s="37"/>
      <c r="IE39" s="44"/>
      <c r="IF39" s="36"/>
      <c r="IG39" s="36"/>
      <c r="IH39" s="36"/>
      <c r="II39" s="36"/>
      <c r="IJ39" s="36"/>
      <c r="IK39" s="36"/>
      <c r="IL39" s="36"/>
      <c r="IM39" s="36"/>
      <c r="IN39" s="36"/>
      <c r="IO39" s="36"/>
      <c r="IP39" s="36"/>
      <c r="IQ39" s="36"/>
      <c r="IR39" s="36"/>
      <c r="IS39" s="36"/>
      <c r="IT39" s="36"/>
      <c r="IU39" s="37"/>
      <c r="IV39" s="44"/>
      <c r="IW39" s="36"/>
      <c r="IX39" s="36"/>
      <c r="IY39" s="36"/>
      <c r="IZ39" s="36"/>
      <c r="JA39" s="36"/>
      <c r="JB39" s="36"/>
      <c r="JC39" s="36"/>
      <c r="JD39" s="36"/>
      <c r="JE39" s="36"/>
      <c r="JF39" s="36"/>
      <c r="JG39" s="36"/>
      <c r="JH39" s="36"/>
      <c r="JI39" s="36"/>
      <c r="JJ39" s="36"/>
      <c r="JK39" s="36"/>
      <c r="JL39" s="37"/>
      <c r="JM39" s="44"/>
      <c r="JN39" s="36"/>
      <c r="JO39" s="36"/>
      <c r="JP39" s="36"/>
      <c r="JQ39" s="36"/>
      <c r="JR39" s="36"/>
      <c r="JS39" s="36"/>
      <c r="JT39" s="36"/>
      <c r="JU39" s="36"/>
      <c r="JV39" s="36"/>
      <c r="JW39" s="36"/>
      <c r="JX39" s="36"/>
      <c r="JY39" s="36"/>
      <c r="JZ39" s="36"/>
      <c r="KA39" s="36"/>
      <c r="KB39" s="36"/>
      <c r="KC39" s="37"/>
      <c r="KD39" s="44"/>
      <c r="KE39" s="36"/>
      <c r="KF39" s="36"/>
      <c r="KG39" s="36"/>
      <c r="KH39" s="36"/>
      <c r="KI39" s="36"/>
      <c r="KJ39" s="36"/>
      <c r="KK39" s="36"/>
      <c r="KL39" s="36"/>
      <c r="KM39" s="36"/>
      <c r="KN39" s="36"/>
      <c r="KO39" s="36"/>
      <c r="KP39" s="36"/>
      <c r="KQ39" s="36"/>
      <c r="KR39" s="36"/>
      <c r="KS39" s="36"/>
      <c r="KT39" s="37"/>
      <c r="KU39" s="36"/>
    </row>
    <row r="40" ht="15.0" customHeight="1">
      <c r="A40" s="122"/>
      <c r="B40" s="123" t="s">
        <v>24</v>
      </c>
      <c r="C40" s="123" t="str">
        <f t="shared" ref="C40:C44" si="539">C4</f>
        <v>: Provinsi Sulawesi Tenggara</v>
      </c>
      <c r="D40" s="123"/>
      <c r="E40" s="123"/>
      <c r="F40" s="123"/>
      <c r="G40" s="123" t="s">
        <v>25</v>
      </c>
      <c r="H40" s="123"/>
      <c r="I40" s="124"/>
      <c r="J40" s="125"/>
      <c r="K40" s="125"/>
      <c r="L40" s="125"/>
      <c r="M40" s="125"/>
      <c r="N40" s="125"/>
      <c r="O40" s="125"/>
      <c r="P40" s="49" t="s">
        <v>60</v>
      </c>
      <c r="Q40" s="126"/>
      <c r="R40" s="122"/>
      <c r="S40" s="123" t="s">
        <v>24</v>
      </c>
      <c r="T40" s="123" t="str">
        <f t="shared" ref="T40:T43" si="540">C40</f>
        <v>: Provinsi Sulawesi Tenggara</v>
      </c>
      <c r="U40" s="123"/>
      <c r="V40" s="123"/>
      <c r="W40" s="123"/>
      <c r="X40" s="123" t="s">
        <v>25</v>
      </c>
      <c r="Y40" s="123"/>
      <c r="Z40" s="124"/>
      <c r="AA40" s="125"/>
      <c r="AB40" s="125"/>
      <c r="AC40" s="125"/>
      <c r="AD40" s="125"/>
      <c r="AE40" s="125"/>
      <c r="AF40" s="125"/>
      <c r="AG40" s="49" t="s">
        <v>60</v>
      </c>
      <c r="AH40" s="126"/>
      <c r="AI40" s="122"/>
      <c r="AJ40" s="123" t="s">
        <v>24</v>
      </c>
      <c r="AK40" s="123" t="str">
        <f t="shared" ref="AK40:AK43" si="541">T40</f>
        <v>: Provinsi Sulawesi Tenggara</v>
      </c>
      <c r="AL40" s="123"/>
      <c r="AM40" s="123"/>
      <c r="AN40" s="123"/>
      <c r="AO40" s="123" t="s">
        <v>25</v>
      </c>
      <c r="AP40" s="123"/>
      <c r="AQ40" s="124"/>
      <c r="AR40" s="125"/>
      <c r="AS40" s="125"/>
      <c r="AT40" s="125"/>
      <c r="AU40" s="125"/>
      <c r="AV40" s="125"/>
      <c r="AW40" s="125"/>
      <c r="AX40" s="49" t="s">
        <v>60</v>
      </c>
      <c r="AY40" s="126"/>
      <c r="AZ40" s="122"/>
      <c r="BA40" s="123" t="s">
        <v>24</v>
      </c>
      <c r="BB40" s="123" t="str">
        <f t="shared" ref="BB40:BB43" si="542">AK40</f>
        <v>: Provinsi Sulawesi Tenggara</v>
      </c>
      <c r="BC40" s="123"/>
      <c r="BD40" s="123"/>
      <c r="BE40" s="123"/>
      <c r="BF40" s="123" t="s">
        <v>25</v>
      </c>
      <c r="BG40" s="123"/>
      <c r="BH40" s="124"/>
      <c r="BI40" s="125"/>
      <c r="BJ40" s="125"/>
      <c r="BK40" s="125"/>
      <c r="BL40" s="125"/>
      <c r="BM40" s="125"/>
      <c r="BN40" s="125"/>
      <c r="BO40" s="49" t="s">
        <v>60</v>
      </c>
      <c r="BP40" s="126"/>
      <c r="BQ40" s="122"/>
      <c r="BR40" s="123" t="s">
        <v>24</v>
      </c>
      <c r="BS40" s="123" t="str">
        <f t="shared" ref="BS40:BS43" si="543">BB40</f>
        <v>: Provinsi Sulawesi Tenggara</v>
      </c>
      <c r="BT40" s="123"/>
      <c r="BU40" s="123"/>
      <c r="BV40" s="123"/>
      <c r="BW40" s="123" t="s">
        <v>25</v>
      </c>
      <c r="BX40" s="123"/>
      <c r="BY40" s="124"/>
      <c r="BZ40" s="125"/>
      <c r="CA40" s="125"/>
      <c r="CB40" s="125"/>
      <c r="CC40" s="125"/>
      <c r="CD40" s="125"/>
      <c r="CE40" s="125"/>
      <c r="CF40" s="49" t="s">
        <v>60</v>
      </c>
      <c r="CG40" s="126"/>
      <c r="CH40" s="122"/>
      <c r="CI40" s="123" t="s">
        <v>24</v>
      </c>
      <c r="CJ40" s="123" t="str">
        <f t="shared" ref="CJ40:CJ43" si="544">BS40</f>
        <v>: Provinsi Sulawesi Tenggara</v>
      </c>
      <c r="CK40" s="123"/>
      <c r="CL40" s="123"/>
      <c r="CM40" s="123"/>
      <c r="CN40" s="123" t="s">
        <v>25</v>
      </c>
      <c r="CO40" s="123"/>
      <c r="CP40" s="124"/>
      <c r="CQ40" s="125"/>
      <c r="CR40" s="125"/>
      <c r="CS40" s="125"/>
      <c r="CT40" s="125"/>
      <c r="CU40" s="125"/>
      <c r="CV40" s="125"/>
      <c r="CW40" s="49" t="s">
        <v>60</v>
      </c>
      <c r="CX40" s="126"/>
      <c r="CY40" s="122"/>
      <c r="CZ40" s="123" t="s">
        <v>24</v>
      </c>
      <c r="DA40" s="123" t="str">
        <f t="shared" ref="DA40:DA43" si="545">CJ40</f>
        <v>: Provinsi Sulawesi Tenggara</v>
      </c>
      <c r="DB40" s="123"/>
      <c r="DC40" s="123"/>
      <c r="DD40" s="123"/>
      <c r="DE40" s="123" t="s">
        <v>25</v>
      </c>
      <c r="DF40" s="123"/>
      <c r="DG40" s="124"/>
      <c r="DH40" s="125"/>
      <c r="DI40" s="125"/>
      <c r="DJ40" s="125"/>
      <c r="DK40" s="125"/>
      <c r="DL40" s="125"/>
      <c r="DM40" s="125"/>
      <c r="DN40" s="49" t="s">
        <v>60</v>
      </c>
      <c r="DO40" s="126"/>
      <c r="DP40" s="122"/>
      <c r="DQ40" s="123" t="s">
        <v>24</v>
      </c>
      <c r="DR40" s="123" t="str">
        <f t="shared" ref="DR40:DR43" si="546">DA40</f>
        <v>: Provinsi Sulawesi Tenggara</v>
      </c>
      <c r="DS40" s="123"/>
      <c r="DT40" s="123"/>
      <c r="DU40" s="123"/>
      <c r="DV40" s="123" t="s">
        <v>25</v>
      </c>
      <c r="DW40" s="123"/>
      <c r="DX40" s="124"/>
      <c r="DY40" s="125"/>
      <c r="DZ40" s="125"/>
      <c r="EA40" s="125"/>
      <c r="EB40" s="125"/>
      <c r="EC40" s="125"/>
      <c r="ED40" s="125"/>
      <c r="EE40" s="49" t="s">
        <v>60</v>
      </c>
      <c r="EF40" s="126"/>
      <c r="EG40" s="122"/>
      <c r="EH40" s="123" t="s">
        <v>24</v>
      </c>
      <c r="EI40" s="123" t="str">
        <f t="shared" ref="EI40:EI43" si="547">DR40</f>
        <v>: Provinsi Sulawesi Tenggara</v>
      </c>
      <c r="EJ40" s="123"/>
      <c r="EK40" s="123"/>
      <c r="EL40" s="123"/>
      <c r="EM40" s="123" t="s">
        <v>25</v>
      </c>
      <c r="EN40" s="123"/>
      <c r="EO40" s="124"/>
      <c r="EP40" s="125"/>
      <c r="EQ40" s="125"/>
      <c r="ER40" s="125"/>
      <c r="ES40" s="125"/>
      <c r="ET40" s="125"/>
      <c r="EU40" s="125"/>
      <c r="EV40" s="49" t="s">
        <v>60</v>
      </c>
      <c r="EW40" s="126"/>
      <c r="EX40" s="122"/>
      <c r="EY40" s="123" t="s">
        <v>24</v>
      </c>
      <c r="EZ40" s="123" t="str">
        <f t="shared" ref="EZ40:EZ43" si="548">EI40</f>
        <v>: Provinsi Sulawesi Tenggara</v>
      </c>
      <c r="FA40" s="123"/>
      <c r="FB40" s="123"/>
      <c r="FC40" s="123"/>
      <c r="FD40" s="123" t="s">
        <v>25</v>
      </c>
      <c r="FE40" s="123"/>
      <c r="FF40" s="124"/>
      <c r="FG40" s="125"/>
      <c r="FH40" s="125"/>
      <c r="FI40" s="125"/>
      <c r="FJ40" s="125"/>
      <c r="FK40" s="125"/>
      <c r="FL40" s="125"/>
      <c r="FM40" s="49" t="s">
        <v>60</v>
      </c>
      <c r="FN40" s="126"/>
      <c r="FO40" s="122"/>
      <c r="FP40" s="123" t="s">
        <v>24</v>
      </c>
      <c r="FQ40" s="123" t="str">
        <f t="shared" ref="FQ40:FQ43" si="549">EZ40</f>
        <v>: Provinsi Sulawesi Tenggara</v>
      </c>
      <c r="FR40" s="123"/>
      <c r="FS40" s="123"/>
      <c r="FT40" s="123"/>
      <c r="FU40" s="123" t="s">
        <v>25</v>
      </c>
      <c r="FV40" s="123"/>
      <c r="FW40" s="124"/>
      <c r="FX40" s="125"/>
      <c r="FY40" s="125"/>
      <c r="FZ40" s="125"/>
      <c r="GA40" s="125"/>
      <c r="GB40" s="125"/>
      <c r="GC40" s="125"/>
      <c r="GD40" s="49" t="s">
        <v>60</v>
      </c>
      <c r="GE40" s="126"/>
      <c r="GF40" s="122"/>
      <c r="GG40" s="123" t="s">
        <v>24</v>
      </c>
      <c r="GH40" s="123" t="str">
        <f t="shared" ref="GH40:GH43" si="550">FQ40</f>
        <v>: Provinsi Sulawesi Tenggara</v>
      </c>
      <c r="GI40" s="123"/>
      <c r="GJ40" s="123"/>
      <c r="GK40" s="123"/>
      <c r="GL40" s="123" t="s">
        <v>25</v>
      </c>
      <c r="GM40" s="123"/>
      <c r="GN40" s="124"/>
      <c r="GO40" s="125"/>
      <c r="GP40" s="125"/>
      <c r="GQ40" s="125"/>
      <c r="GR40" s="125"/>
      <c r="GS40" s="125"/>
      <c r="GT40" s="125"/>
      <c r="GU40" s="49" t="s">
        <v>60</v>
      </c>
      <c r="GV40" s="126"/>
      <c r="GW40" s="122"/>
      <c r="GX40" s="123" t="s">
        <v>24</v>
      </c>
      <c r="GY40" s="123" t="str">
        <f t="shared" ref="GY40:GY43" si="551">GH40</f>
        <v>: Provinsi Sulawesi Tenggara</v>
      </c>
      <c r="GZ40" s="123"/>
      <c r="HA40" s="123"/>
      <c r="HB40" s="123"/>
      <c r="HC40" s="123" t="s">
        <v>25</v>
      </c>
      <c r="HD40" s="123"/>
      <c r="HE40" s="124"/>
      <c r="HF40" s="125"/>
      <c r="HG40" s="125"/>
      <c r="HH40" s="125"/>
      <c r="HI40" s="125"/>
      <c r="HJ40" s="125"/>
      <c r="HK40" s="125"/>
      <c r="HL40" s="49" t="s">
        <v>60</v>
      </c>
      <c r="HM40" s="126"/>
      <c r="HN40" s="122"/>
      <c r="HO40" s="123" t="s">
        <v>24</v>
      </c>
      <c r="HP40" s="123" t="str">
        <f t="shared" ref="HP40:HP43" si="552">GY40</f>
        <v>: Provinsi Sulawesi Tenggara</v>
      </c>
      <c r="HQ40" s="123"/>
      <c r="HR40" s="123"/>
      <c r="HS40" s="123"/>
      <c r="HT40" s="123" t="s">
        <v>25</v>
      </c>
      <c r="HU40" s="123"/>
      <c r="HV40" s="124"/>
      <c r="HW40" s="125"/>
      <c r="HX40" s="125"/>
      <c r="HY40" s="125"/>
      <c r="HZ40" s="125"/>
      <c r="IA40" s="125"/>
      <c r="IB40" s="125"/>
      <c r="IC40" s="49" t="s">
        <v>60</v>
      </c>
      <c r="ID40" s="126"/>
      <c r="IE40" s="122"/>
      <c r="IF40" s="123" t="s">
        <v>24</v>
      </c>
      <c r="IG40" s="123" t="str">
        <f t="shared" ref="IG40:IG43" si="553">HP40</f>
        <v>: Provinsi Sulawesi Tenggara</v>
      </c>
      <c r="IH40" s="123"/>
      <c r="II40" s="123"/>
      <c r="IJ40" s="123"/>
      <c r="IK40" s="123" t="s">
        <v>25</v>
      </c>
      <c r="IL40" s="123"/>
      <c r="IM40" s="124"/>
      <c r="IN40" s="125"/>
      <c r="IO40" s="125"/>
      <c r="IP40" s="125"/>
      <c r="IQ40" s="125"/>
      <c r="IR40" s="125"/>
      <c r="IS40" s="125"/>
      <c r="IT40" s="49" t="s">
        <v>60</v>
      </c>
      <c r="IU40" s="126"/>
      <c r="IV40" s="122"/>
      <c r="IW40" s="123" t="s">
        <v>24</v>
      </c>
      <c r="IX40" s="123" t="str">
        <f t="shared" ref="IX40:IX43" si="554">IG40</f>
        <v>: Provinsi Sulawesi Tenggara</v>
      </c>
      <c r="IY40" s="123"/>
      <c r="IZ40" s="123"/>
      <c r="JA40" s="123"/>
      <c r="JB40" s="123" t="s">
        <v>25</v>
      </c>
      <c r="JC40" s="123"/>
      <c r="JD40" s="124"/>
      <c r="JE40" s="125"/>
      <c r="JF40" s="125"/>
      <c r="JG40" s="125"/>
      <c r="JH40" s="125"/>
      <c r="JI40" s="125"/>
      <c r="JJ40" s="125"/>
      <c r="JK40" s="49" t="s">
        <v>60</v>
      </c>
      <c r="JL40" s="127"/>
      <c r="JM40" s="122"/>
      <c r="JN40" s="123" t="s">
        <v>24</v>
      </c>
      <c r="JO40" s="123" t="str">
        <f t="shared" ref="JO40:JO43" si="555">IX40</f>
        <v>: Provinsi Sulawesi Tenggara</v>
      </c>
      <c r="JP40" s="123"/>
      <c r="JQ40" s="123"/>
      <c r="JR40" s="123"/>
      <c r="JS40" s="123" t="s">
        <v>25</v>
      </c>
      <c r="JT40" s="123"/>
      <c r="JU40" s="124"/>
      <c r="JV40" s="125"/>
      <c r="JW40" s="125"/>
      <c r="JX40" s="125"/>
      <c r="JY40" s="125"/>
      <c r="JZ40" s="125"/>
      <c r="KA40" s="125"/>
      <c r="KB40" s="49" t="s">
        <v>60</v>
      </c>
      <c r="KC40" s="127"/>
      <c r="KD40" s="122"/>
      <c r="KE40" s="123" t="s">
        <v>24</v>
      </c>
      <c r="KF40" s="123" t="str">
        <f t="shared" ref="KF40:KF43" si="556">JO40</f>
        <v>: Provinsi Sulawesi Tenggara</v>
      </c>
      <c r="KG40" s="123"/>
      <c r="KH40" s="123"/>
      <c r="KI40" s="123"/>
      <c r="KJ40" s="123" t="s">
        <v>25</v>
      </c>
      <c r="KK40" s="123"/>
      <c r="KL40" s="124"/>
      <c r="KM40" s="125"/>
      <c r="KN40" s="125"/>
      <c r="KO40" s="125"/>
      <c r="KP40" s="125"/>
      <c r="KQ40" s="125"/>
      <c r="KR40" s="125"/>
      <c r="KS40" s="49" t="s">
        <v>60</v>
      </c>
      <c r="KT40" s="127"/>
      <c r="KU40" s="125"/>
    </row>
    <row r="41" ht="15.0" customHeight="1">
      <c r="A41" s="128"/>
      <c r="B41" s="129" t="s">
        <v>27</v>
      </c>
      <c r="C41" s="129" t="str">
        <f t="shared" si="539"/>
        <v>: Pertambangan dan Penggalian    </v>
      </c>
      <c r="D41" s="129"/>
      <c r="E41" s="129"/>
      <c r="F41" s="129"/>
      <c r="G41" s="129" t="s">
        <v>28</v>
      </c>
      <c r="H41" s="129"/>
      <c r="I41" s="130"/>
      <c r="J41" s="125"/>
      <c r="K41" s="125"/>
      <c r="L41" s="125"/>
      <c r="M41" s="125"/>
      <c r="N41" s="125"/>
      <c r="O41" s="125"/>
      <c r="P41" s="55"/>
      <c r="Q41" s="126"/>
      <c r="R41" s="128"/>
      <c r="S41" s="129" t="s">
        <v>27</v>
      </c>
      <c r="T41" s="129" t="str">
        <f t="shared" si="540"/>
        <v>: Pertambangan dan Penggalian    </v>
      </c>
      <c r="U41" s="129"/>
      <c r="V41" s="129"/>
      <c r="W41" s="129"/>
      <c r="X41" s="129" t="s">
        <v>28</v>
      </c>
      <c r="Y41" s="129"/>
      <c r="Z41" s="130"/>
      <c r="AA41" s="125"/>
      <c r="AB41" s="125"/>
      <c r="AC41" s="125"/>
      <c r="AD41" s="125"/>
      <c r="AE41" s="125"/>
      <c r="AF41" s="125"/>
      <c r="AG41" s="55"/>
      <c r="AH41" s="126"/>
      <c r="AI41" s="128"/>
      <c r="AJ41" s="129" t="s">
        <v>27</v>
      </c>
      <c r="AK41" s="129" t="str">
        <f t="shared" si="541"/>
        <v>: Pertambangan dan Penggalian    </v>
      </c>
      <c r="AL41" s="129"/>
      <c r="AM41" s="129"/>
      <c r="AN41" s="129"/>
      <c r="AO41" s="129" t="s">
        <v>28</v>
      </c>
      <c r="AP41" s="129"/>
      <c r="AQ41" s="130"/>
      <c r="AR41" s="125"/>
      <c r="AS41" s="125"/>
      <c r="AT41" s="125"/>
      <c r="AU41" s="125"/>
      <c r="AV41" s="125"/>
      <c r="AW41" s="125"/>
      <c r="AX41" s="55"/>
      <c r="AY41" s="126"/>
      <c r="AZ41" s="128"/>
      <c r="BA41" s="129" t="s">
        <v>27</v>
      </c>
      <c r="BB41" s="129" t="str">
        <f t="shared" si="542"/>
        <v>: Pertambangan dan Penggalian    </v>
      </c>
      <c r="BC41" s="129"/>
      <c r="BD41" s="129"/>
      <c r="BE41" s="129"/>
      <c r="BF41" s="129" t="s">
        <v>28</v>
      </c>
      <c r="BG41" s="129"/>
      <c r="BH41" s="130"/>
      <c r="BI41" s="125"/>
      <c r="BJ41" s="125"/>
      <c r="BK41" s="125"/>
      <c r="BL41" s="125"/>
      <c r="BM41" s="125"/>
      <c r="BN41" s="125"/>
      <c r="BO41" s="55"/>
      <c r="BP41" s="126"/>
      <c r="BQ41" s="128"/>
      <c r="BR41" s="129" t="s">
        <v>27</v>
      </c>
      <c r="BS41" s="129" t="str">
        <f t="shared" si="543"/>
        <v>: Pertambangan dan Penggalian    </v>
      </c>
      <c r="BT41" s="129"/>
      <c r="BU41" s="129"/>
      <c r="BV41" s="129"/>
      <c r="BW41" s="129" t="s">
        <v>28</v>
      </c>
      <c r="BX41" s="129"/>
      <c r="BY41" s="130"/>
      <c r="BZ41" s="125"/>
      <c r="CA41" s="125"/>
      <c r="CB41" s="125"/>
      <c r="CC41" s="125"/>
      <c r="CD41" s="125"/>
      <c r="CE41" s="125"/>
      <c r="CF41" s="55"/>
      <c r="CG41" s="126"/>
      <c r="CH41" s="128"/>
      <c r="CI41" s="129" t="s">
        <v>27</v>
      </c>
      <c r="CJ41" s="129" t="str">
        <f t="shared" si="544"/>
        <v>: Pertambangan dan Penggalian    </v>
      </c>
      <c r="CK41" s="129"/>
      <c r="CL41" s="129"/>
      <c r="CM41" s="129"/>
      <c r="CN41" s="129" t="s">
        <v>28</v>
      </c>
      <c r="CO41" s="129"/>
      <c r="CP41" s="130"/>
      <c r="CQ41" s="125"/>
      <c r="CR41" s="125"/>
      <c r="CS41" s="125"/>
      <c r="CT41" s="125"/>
      <c r="CU41" s="125"/>
      <c r="CV41" s="125"/>
      <c r="CW41" s="55"/>
      <c r="CX41" s="126"/>
      <c r="CY41" s="128"/>
      <c r="CZ41" s="129" t="s">
        <v>27</v>
      </c>
      <c r="DA41" s="129" t="str">
        <f t="shared" si="545"/>
        <v>: Pertambangan dan Penggalian    </v>
      </c>
      <c r="DB41" s="129"/>
      <c r="DC41" s="129"/>
      <c r="DD41" s="129"/>
      <c r="DE41" s="129" t="s">
        <v>28</v>
      </c>
      <c r="DF41" s="129"/>
      <c r="DG41" s="130"/>
      <c r="DH41" s="125"/>
      <c r="DI41" s="125"/>
      <c r="DJ41" s="125"/>
      <c r="DK41" s="125"/>
      <c r="DL41" s="125"/>
      <c r="DM41" s="125"/>
      <c r="DN41" s="55"/>
      <c r="DO41" s="126"/>
      <c r="DP41" s="128"/>
      <c r="DQ41" s="129" t="s">
        <v>27</v>
      </c>
      <c r="DR41" s="129" t="str">
        <f t="shared" si="546"/>
        <v>: Pertambangan dan Penggalian    </v>
      </c>
      <c r="DS41" s="129"/>
      <c r="DT41" s="129"/>
      <c r="DU41" s="129"/>
      <c r="DV41" s="129" t="s">
        <v>28</v>
      </c>
      <c r="DW41" s="129"/>
      <c r="DX41" s="130"/>
      <c r="DY41" s="125"/>
      <c r="DZ41" s="125"/>
      <c r="EA41" s="125"/>
      <c r="EB41" s="125"/>
      <c r="EC41" s="125"/>
      <c r="ED41" s="125"/>
      <c r="EE41" s="55"/>
      <c r="EF41" s="126"/>
      <c r="EG41" s="128"/>
      <c r="EH41" s="129" t="s">
        <v>27</v>
      </c>
      <c r="EI41" s="129" t="str">
        <f t="shared" si="547"/>
        <v>: Pertambangan dan Penggalian    </v>
      </c>
      <c r="EJ41" s="129"/>
      <c r="EK41" s="129"/>
      <c r="EL41" s="129"/>
      <c r="EM41" s="129" t="s">
        <v>28</v>
      </c>
      <c r="EN41" s="129"/>
      <c r="EO41" s="130"/>
      <c r="EP41" s="125"/>
      <c r="EQ41" s="125"/>
      <c r="ER41" s="125"/>
      <c r="ES41" s="125"/>
      <c r="ET41" s="125"/>
      <c r="EU41" s="125"/>
      <c r="EV41" s="55"/>
      <c r="EW41" s="126"/>
      <c r="EX41" s="128"/>
      <c r="EY41" s="129" t="s">
        <v>27</v>
      </c>
      <c r="EZ41" s="129" t="str">
        <f t="shared" si="548"/>
        <v>: Pertambangan dan Penggalian    </v>
      </c>
      <c r="FA41" s="129"/>
      <c r="FB41" s="129"/>
      <c r="FC41" s="129"/>
      <c r="FD41" s="129" t="s">
        <v>28</v>
      </c>
      <c r="FE41" s="129"/>
      <c r="FF41" s="130"/>
      <c r="FG41" s="125"/>
      <c r="FH41" s="125"/>
      <c r="FI41" s="125"/>
      <c r="FJ41" s="125"/>
      <c r="FK41" s="125"/>
      <c r="FL41" s="125"/>
      <c r="FM41" s="55"/>
      <c r="FN41" s="126"/>
      <c r="FO41" s="128"/>
      <c r="FP41" s="129" t="s">
        <v>27</v>
      </c>
      <c r="FQ41" s="129" t="str">
        <f t="shared" si="549"/>
        <v>: Pertambangan dan Penggalian    </v>
      </c>
      <c r="FR41" s="129"/>
      <c r="FS41" s="129"/>
      <c r="FT41" s="129"/>
      <c r="FU41" s="129" t="s">
        <v>28</v>
      </c>
      <c r="FV41" s="129"/>
      <c r="FW41" s="130"/>
      <c r="FX41" s="125"/>
      <c r="FY41" s="125"/>
      <c r="FZ41" s="125"/>
      <c r="GA41" s="125"/>
      <c r="GB41" s="125"/>
      <c r="GC41" s="125"/>
      <c r="GD41" s="55"/>
      <c r="GE41" s="126"/>
      <c r="GF41" s="128"/>
      <c r="GG41" s="129" t="s">
        <v>27</v>
      </c>
      <c r="GH41" s="129" t="str">
        <f t="shared" si="550"/>
        <v>: Pertambangan dan Penggalian    </v>
      </c>
      <c r="GI41" s="129"/>
      <c r="GJ41" s="129"/>
      <c r="GK41" s="129"/>
      <c r="GL41" s="129" t="s">
        <v>28</v>
      </c>
      <c r="GM41" s="129"/>
      <c r="GN41" s="130"/>
      <c r="GO41" s="125"/>
      <c r="GP41" s="125"/>
      <c r="GQ41" s="125"/>
      <c r="GR41" s="125"/>
      <c r="GS41" s="125"/>
      <c r="GT41" s="125"/>
      <c r="GU41" s="55"/>
      <c r="GV41" s="126"/>
      <c r="GW41" s="128"/>
      <c r="GX41" s="129" t="s">
        <v>27</v>
      </c>
      <c r="GY41" s="129" t="str">
        <f t="shared" si="551"/>
        <v>: Pertambangan dan Penggalian    </v>
      </c>
      <c r="GZ41" s="129"/>
      <c r="HA41" s="129"/>
      <c r="HB41" s="129"/>
      <c r="HC41" s="129" t="s">
        <v>28</v>
      </c>
      <c r="HD41" s="129"/>
      <c r="HE41" s="130"/>
      <c r="HF41" s="125"/>
      <c r="HG41" s="125"/>
      <c r="HH41" s="125"/>
      <c r="HI41" s="125"/>
      <c r="HJ41" s="125"/>
      <c r="HK41" s="125"/>
      <c r="HL41" s="55"/>
      <c r="HM41" s="126"/>
      <c r="HN41" s="128"/>
      <c r="HO41" s="129" t="s">
        <v>27</v>
      </c>
      <c r="HP41" s="129" t="str">
        <f t="shared" si="552"/>
        <v>: Pertambangan dan Penggalian    </v>
      </c>
      <c r="HQ41" s="129"/>
      <c r="HR41" s="129"/>
      <c r="HS41" s="129"/>
      <c r="HT41" s="129" t="s">
        <v>28</v>
      </c>
      <c r="HU41" s="129"/>
      <c r="HV41" s="130"/>
      <c r="HW41" s="125"/>
      <c r="HX41" s="125"/>
      <c r="HY41" s="125"/>
      <c r="HZ41" s="125"/>
      <c r="IA41" s="125"/>
      <c r="IB41" s="125"/>
      <c r="IC41" s="55"/>
      <c r="ID41" s="126"/>
      <c r="IE41" s="128"/>
      <c r="IF41" s="129" t="s">
        <v>27</v>
      </c>
      <c r="IG41" s="129" t="str">
        <f t="shared" si="553"/>
        <v>: Pertambangan dan Penggalian    </v>
      </c>
      <c r="IH41" s="129"/>
      <c r="II41" s="129"/>
      <c r="IJ41" s="129"/>
      <c r="IK41" s="129" t="s">
        <v>28</v>
      </c>
      <c r="IL41" s="129"/>
      <c r="IM41" s="130"/>
      <c r="IN41" s="125"/>
      <c r="IO41" s="125"/>
      <c r="IP41" s="125"/>
      <c r="IQ41" s="125"/>
      <c r="IR41" s="125"/>
      <c r="IS41" s="125"/>
      <c r="IT41" s="55"/>
      <c r="IU41" s="126"/>
      <c r="IV41" s="128"/>
      <c r="IW41" s="129" t="s">
        <v>27</v>
      </c>
      <c r="IX41" s="129" t="str">
        <f t="shared" si="554"/>
        <v>: Pertambangan dan Penggalian    </v>
      </c>
      <c r="IY41" s="129"/>
      <c r="IZ41" s="129"/>
      <c r="JA41" s="129"/>
      <c r="JB41" s="129" t="s">
        <v>28</v>
      </c>
      <c r="JC41" s="129"/>
      <c r="JD41" s="130"/>
      <c r="JE41" s="125"/>
      <c r="JF41" s="125"/>
      <c r="JG41" s="125"/>
      <c r="JH41" s="125"/>
      <c r="JI41" s="125"/>
      <c r="JJ41" s="125"/>
      <c r="JK41" s="55"/>
      <c r="JL41" s="127"/>
      <c r="JM41" s="128"/>
      <c r="JN41" s="129" t="s">
        <v>27</v>
      </c>
      <c r="JO41" s="129" t="str">
        <f t="shared" si="555"/>
        <v>: Pertambangan dan Penggalian    </v>
      </c>
      <c r="JP41" s="129"/>
      <c r="JQ41" s="129"/>
      <c r="JR41" s="129"/>
      <c r="JS41" s="129" t="s">
        <v>28</v>
      </c>
      <c r="JT41" s="129"/>
      <c r="JU41" s="130"/>
      <c r="JV41" s="125"/>
      <c r="JW41" s="125"/>
      <c r="JX41" s="125"/>
      <c r="JY41" s="125"/>
      <c r="JZ41" s="125"/>
      <c r="KA41" s="125"/>
      <c r="KB41" s="55"/>
      <c r="KC41" s="127"/>
      <c r="KD41" s="128"/>
      <c r="KE41" s="129" t="s">
        <v>27</v>
      </c>
      <c r="KF41" s="129" t="str">
        <f t="shared" si="556"/>
        <v>: Pertambangan dan Penggalian    </v>
      </c>
      <c r="KG41" s="129"/>
      <c r="KH41" s="129"/>
      <c r="KI41" s="129"/>
      <c r="KJ41" s="129" t="s">
        <v>28</v>
      </c>
      <c r="KK41" s="129"/>
      <c r="KL41" s="130"/>
      <c r="KM41" s="125"/>
      <c r="KN41" s="125"/>
      <c r="KO41" s="125"/>
      <c r="KP41" s="125"/>
      <c r="KQ41" s="125"/>
      <c r="KR41" s="125"/>
      <c r="KS41" s="55"/>
      <c r="KT41" s="127"/>
      <c r="KU41" s="125"/>
    </row>
    <row r="42" ht="15.0" customHeight="1">
      <c r="A42" s="128"/>
      <c r="B42" s="129" t="s">
        <v>29</v>
      </c>
      <c r="C42" s="129" t="str">
        <f t="shared" si="539"/>
        <v>: Pertambangan Bijih Logam</v>
      </c>
      <c r="D42" s="129"/>
      <c r="E42" s="129"/>
      <c r="F42" s="129"/>
      <c r="G42" s="131" t="s">
        <v>61</v>
      </c>
      <c r="H42" s="129"/>
      <c r="I42" s="130"/>
      <c r="J42" s="125"/>
      <c r="K42" s="125"/>
      <c r="L42" s="125"/>
      <c r="M42" s="125"/>
      <c r="N42" s="125"/>
      <c r="O42" s="125"/>
      <c r="P42" s="57" t="str">
        <f>"I/"&amp;P$6</f>
        <v>I/2010</v>
      </c>
      <c r="Q42" s="126"/>
      <c r="R42" s="128"/>
      <c r="S42" s="129" t="s">
        <v>29</v>
      </c>
      <c r="T42" s="129" t="str">
        <f t="shared" si="540"/>
        <v>: Pertambangan Bijih Logam</v>
      </c>
      <c r="U42" s="129"/>
      <c r="V42" s="129"/>
      <c r="W42" s="129"/>
      <c r="X42" s="131" t="s">
        <v>61</v>
      </c>
      <c r="Y42" s="129"/>
      <c r="Z42" s="130"/>
      <c r="AA42" s="125"/>
      <c r="AB42" s="125"/>
      <c r="AC42" s="125"/>
      <c r="AD42" s="125"/>
      <c r="AE42" s="125"/>
      <c r="AF42" s="125"/>
      <c r="AG42" s="57" t="str">
        <f>"I/"&amp;AG$6</f>
        <v>I/2011</v>
      </c>
      <c r="AH42" s="126"/>
      <c r="AI42" s="128"/>
      <c r="AJ42" s="129" t="s">
        <v>29</v>
      </c>
      <c r="AK42" s="129" t="str">
        <f t="shared" si="541"/>
        <v>: Pertambangan Bijih Logam</v>
      </c>
      <c r="AL42" s="129"/>
      <c r="AM42" s="129"/>
      <c r="AN42" s="129"/>
      <c r="AO42" s="131" t="s">
        <v>61</v>
      </c>
      <c r="AP42" s="129"/>
      <c r="AQ42" s="130"/>
      <c r="AR42" s="125"/>
      <c r="AS42" s="125"/>
      <c r="AT42" s="125"/>
      <c r="AU42" s="125"/>
      <c r="AV42" s="125"/>
      <c r="AW42" s="125"/>
      <c r="AX42" s="57" t="str">
        <f>"I/"&amp;AX$6</f>
        <v>I/2012</v>
      </c>
      <c r="AY42" s="126"/>
      <c r="AZ42" s="128"/>
      <c r="BA42" s="129" t="s">
        <v>29</v>
      </c>
      <c r="BB42" s="129" t="str">
        <f t="shared" si="542"/>
        <v>: Pertambangan Bijih Logam</v>
      </c>
      <c r="BC42" s="129"/>
      <c r="BD42" s="129"/>
      <c r="BE42" s="129"/>
      <c r="BF42" s="131" t="s">
        <v>61</v>
      </c>
      <c r="BG42" s="129"/>
      <c r="BH42" s="130"/>
      <c r="BI42" s="125"/>
      <c r="BJ42" s="125"/>
      <c r="BK42" s="125"/>
      <c r="BL42" s="125"/>
      <c r="BM42" s="125"/>
      <c r="BN42" s="125"/>
      <c r="BO42" s="57" t="str">
        <f>"I/"&amp;BO$6</f>
        <v>I/2013</v>
      </c>
      <c r="BP42" s="126"/>
      <c r="BQ42" s="128"/>
      <c r="BR42" s="129" t="s">
        <v>29</v>
      </c>
      <c r="BS42" s="129" t="str">
        <f t="shared" si="543"/>
        <v>: Pertambangan Bijih Logam</v>
      </c>
      <c r="BT42" s="129"/>
      <c r="BU42" s="129"/>
      <c r="BV42" s="129"/>
      <c r="BW42" s="131" t="s">
        <v>61</v>
      </c>
      <c r="BX42" s="129"/>
      <c r="BY42" s="130"/>
      <c r="BZ42" s="125"/>
      <c r="CA42" s="125"/>
      <c r="CB42" s="125"/>
      <c r="CC42" s="125"/>
      <c r="CD42" s="125"/>
      <c r="CE42" s="125"/>
      <c r="CF42" s="57" t="str">
        <f>"I/"&amp;CF$6</f>
        <v>I/2014</v>
      </c>
      <c r="CG42" s="126"/>
      <c r="CH42" s="128"/>
      <c r="CI42" s="129" t="s">
        <v>29</v>
      </c>
      <c r="CJ42" s="129" t="str">
        <f t="shared" si="544"/>
        <v>: Pertambangan Bijih Logam</v>
      </c>
      <c r="CK42" s="129"/>
      <c r="CL42" s="129"/>
      <c r="CM42" s="129"/>
      <c r="CN42" s="131" t="s">
        <v>61</v>
      </c>
      <c r="CO42" s="129"/>
      <c r="CP42" s="130"/>
      <c r="CQ42" s="125"/>
      <c r="CR42" s="125"/>
      <c r="CS42" s="125"/>
      <c r="CT42" s="125"/>
      <c r="CU42" s="125"/>
      <c r="CV42" s="125"/>
      <c r="CW42" s="57" t="str">
        <f>"I/"&amp;CW$6</f>
        <v>I/2015</v>
      </c>
      <c r="CX42" s="126"/>
      <c r="CY42" s="128"/>
      <c r="CZ42" s="129" t="s">
        <v>29</v>
      </c>
      <c r="DA42" s="129" t="str">
        <f t="shared" si="545"/>
        <v>: Pertambangan Bijih Logam</v>
      </c>
      <c r="DB42" s="129"/>
      <c r="DC42" s="129"/>
      <c r="DD42" s="129"/>
      <c r="DE42" s="131" t="s">
        <v>61</v>
      </c>
      <c r="DF42" s="129"/>
      <c r="DG42" s="130"/>
      <c r="DH42" s="125"/>
      <c r="DI42" s="125"/>
      <c r="DJ42" s="125"/>
      <c r="DK42" s="125"/>
      <c r="DL42" s="125"/>
      <c r="DM42" s="125"/>
      <c r="DN42" s="57" t="str">
        <f>"I/"&amp;DN$6</f>
        <v>I/2016</v>
      </c>
      <c r="DO42" s="126"/>
      <c r="DP42" s="128"/>
      <c r="DQ42" s="129" t="s">
        <v>29</v>
      </c>
      <c r="DR42" s="129" t="str">
        <f t="shared" si="546"/>
        <v>: Pertambangan Bijih Logam</v>
      </c>
      <c r="DS42" s="129"/>
      <c r="DT42" s="129"/>
      <c r="DU42" s="129"/>
      <c r="DV42" s="131" t="s">
        <v>61</v>
      </c>
      <c r="DW42" s="129"/>
      <c r="DX42" s="130"/>
      <c r="DY42" s="125"/>
      <c r="DZ42" s="125"/>
      <c r="EA42" s="125"/>
      <c r="EB42" s="125"/>
      <c r="EC42" s="125"/>
      <c r="ED42" s="125"/>
      <c r="EE42" s="57" t="str">
        <f>"I/"&amp;EE$6</f>
        <v>I/2017</v>
      </c>
      <c r="EF42" s="126"/>
      <c r="EG42" s="128"/>
      <c r="EH42" s="129" t="s">
        <v>29</v>
      </c>
      <c r="EI42" s="129" t="str">
        <f t="shared" si="547"/>
        <v>: Pertambangan Bijih Logam</v>
      </c>
      <c r="EJ42" s="129"/>
      <c r="EK42" s="129"/>
      <c r="EL42" s="129"/>
      <c r="EM42" s="131" t="s">
        <v>61</v>
      </c>
      <c r="EN42" s="129"/>
      <c r="EO42" s="130"/>
      <c r="EP42" s="125"/>
      <c r="EQ42" s="125"/>
      <c r="ER42" s="125"/>
      <c r="ES42" s="125"/>
      <c r="ET42" s="125"/>
      <c r="EU42" s="125"/>
      <c r="EV42" s="57" t="str">
        <f>"I/"&amp;EV$6</f>
        <v>I/2018</v>
      </c>
      <c r="EW42" s="126"/>
      <c r="EX42" s="128"/>
      <c r="EY42" s="129" t="s">
        <v>29</v>
      </c>
      <c r="EZ42" s="129" t="str">
        <f t="shared" si="548"/>
        <v>: Pertambangan Bijih Logam</v>
      </c>
      <c r="FA42" s="129"/>
      <c r="FB42" s="129"/>
      <c r="FC42" s="129"/>
      <c r="FD42" s="131" t="s">
        <v>61</v>
      </c>
      <c r="FE42" s="129"/>
      <c r="FF42" s="130"/>
      <c r="FG42" s="125"/>
      <c r="FH42" s="125"/>
      <c r="FI42" s="125"/>
      <c r="FJ42" s="125"/>
      <c r="FK42" s="125"/>
      <c r="FL42" s="125"/>
      <c r="FM42" s="57" t="str">
        <f>"I/"&amp;FM$6</f>
        <v>I/2019</v>
      </c>
      <c r="FN42" s="126"/>
      <c r="FO42" s="128"/>
      <c r="FP42" s="129" t="s">
        <v>29</v>
      </c>
      <c r="FQ42" s="129" t="str">
        <f t="shared" si="549"/>
        <v>: Pertambangan Bijih Logam</v>
      </c>
      <c r="FR42" s="129"/>
      <c r="FS42" s="129"/>
      <c r="FT42" s="129"/>
      <c r="FU42" s="131" t="s">
        <v>61</v>
      </c>
      <c r="FV42" s="129"/>
      <c r="FW42" s="130"/>
      <c r="FX42" s="125"/>
      <c r="FY42" s="125"/>
      <c r="FZ42" s="125"/>
      <c r="GA42" s="125"/>
      <c r="GB42" s="125"/>
      <c r="GC42" s="125"/>
      <c r="GD42" s="57" t="str">
        <f>"I/"&amp;GD$6</f>
        <v>I/2020</v>
      </c>
      <c r="GE42" s="126"/>
      <c r="GF42" s="128"/>
      <c r="GG42" s="129" t="s">
        <v>29</v>
      </c>
      <c r="GH42" s="129" t="str">
        <f t="shared" si="550"/>
        <v>: Pertambangan Bijih Logam</v>
      </c>
      <c r="GI42" s="129"/>
      <c r="GJ42" s="129"/>
      <c r="GK42" s="129"/>
      <c r="GL42" s="131" t="s">
        <v>61</v>
      </c>
      <c r="GM42" s="129"/>
      <c r="GN42" s="130"/>
      <c r="GO42" s="125"/>
      <c r="GP42" s="125"/>
      <c r="GQ42" s="125"/>
      <c r="GR42" s="125"/>
      <c r="GS42" s="125"/>
      <c r="GT42" s="125"/>
      <c r="GU42" s="57" t="str">
        <f>"I/"&amp;GU$6</f>
        <v>I/2021</v>
      </c>
      <c r="GV42" s="126"/>
      <c r="GW42" s="128"/>
      <c r="GX42" s="129" t="s">
        <v>29</v>
      </c>
      <c r="GY42" s="129" t="str">
        <f t="shared" si="551"/>
        <v>: Pertambangan Bijih Logam</v>
      </c>
      <c r="GZ42" s="129"/>
      <c r="HA42" s="129"/>
      <c r="HB42" s="129"/>
      <c r="HC42" s="131" t="s">
        <v>61</v>
      </c>
      <c r="HD42" s="129"/>
      <c r="HE42" s="130"/>
      <c r="HF42" s="125"/>
      <c r="HG42" s="125"/>
      <c r="HH42" s="125"/>
      <c r="HI42" s="125"/>
      <c r="HJ42" s="125"/>
      <c r="HK42" s="125"/>
      <c r="HL42" s="57" t="str">
        <f>"I/"&amp;HL$6</f>
        <v>I/2022</v>
      </c>
      <c r="HM42" s="126"/>
      <c r="HN42" s="128"/>
      <c r="HO42" s="129" t="s">
        <v>29</v>
      </c>
      <c r="HP42" s="129" t="str">
        <f t="shared" si="552"/>
        <v>: Pertambangan Bijih Logam</v>
      </c>
      <c r="HQ42" s="129"/>
      <c r="HR42" s="129"/>
      <c r="HS42" s="129"/>
      <c r="HT42" s="131" t="s">
        <v>61</v>
      </c>
      <c r="HU42" s="129"/>
      <c r="HV42" s="130"/>
      <c r="HW42" s="125"/>
      <c r="HX42" s="125"/>
      <c r="HY42" s="125"/>
      <c r="HZ42" s="125"/>
      <c r="IA42" s="125"/>
      <c r="IB42" s="125"/>
      <c r="IC42" s="57" t="str">
        <f>"I/"&amp;IC$6</f>
        <v>I/2023</v>
      </c>
      <c r="ID42" s="126"/>
      <c r="IE42" s="128"/>
      <c r="IF42" s="129" t="s">
        <v>29</v>
      </c>
      <c r="IG42" s="129" t="str">
        <f t="shared" si="553"/>
        <v>: Pertambangan Bijih Logam</v>
      </c>
      <c r="IH42" s="129"/>
      <c r="II42" s="129"/>
      <c r="IJ42" s="129"/>
      <c r="IK42" s="131" t="s">
        <v>61</v>
      </c>
      <c r="IL42" s="129"/>
      <c r="IM42" s="130"/>
      <c r="IN42" s="125"/>
      <c r="IO42" s="125"/>
      <c r="IP42" s="125"/>
      <c r="IQ42" s="125"/>
      <c r="IR42" s="125"/>
      <c r="IS42" s="125"/>
      <c r="IT42" s="57" t="str">
        <f>"I/"&amp;IT$6</f>
        <v>I/2024</v>
      </c>
      <c r="IU42" s="126"/>
      <c r="IV42" s="128"/>
      <c r="IW42" s="129" t="s">
        <v>29</v>
      </c>
      <c r="IX42" s="129" t="str">
        <f t="shared" si="554"/>
        <v>: Pertambangan Bijih Logam</v>
      </c>
      <c r="IY42" s="129"/>
      <c r="IZ42" s="129"/>
      <c r="JA42" s="129"/>
      <c r="JB42" s="131" t="s">
        <v>61</v>
      </c>
      <c r="JC42" s="129"/>
      <c r="JD42" s="130"/>
      <c r="JE42" s="125"/>
      <c r="JF42" s="125"/>
      <c r="JG42" s="125"/>
      <c r="JH42" s="125"/>
      <c r="JI42" s="125"/>
      <c r="JJ42" s="125"/>
      <c r="JK42" s="57" t="str">
        <f>"I/"&amp;JK$6</f>
        <v>I/2025</v>
      </c>
      <c r="JL42" s="127"/>
      <c r="JM42" s="128"/>
      <c r="JN42" s="129" t="s">
        <v>29</v>
      </c>
      <c r="JO42" s="129" t="str">
        <f t="shared" si="555"/>
        <v>: Pertambangan Bijih Logam</v>
      </c>
      <c r="JP42" s="129"/>
      <c r="JQ42" s="129"/>
      <c r="JR42" s="129"/>
      <c r="JS42" s="131" t="s">
        <v>61</v>
      </c>
      <c r="JT42" s="129"/>
      <c r="JU42" s="130"/>
      <c r="JV42" s="125"/>
      <c r="JW42" s="125"/>
      <c r="JX42" s="125"/>
      <c r="JY42" s="125"/>
      <c r="JZ42" s="125"/>
      <c r="KA42" s="125"/>
      <c r="KB42" s="57" t="str">
        <f>"I/"&amp;KB$6</f>
        <v>I/2026</v>
      </c>
      <c r="KC42" s="127"/>
      <c r="KD42" s="128"/>
      <c r="KE42" s="129" t="s">
        <v>29</v>
      </c>
      <c r="KF42" s="129" t="str">
        <f t="shared" si="556"/>
        <v>: Pertambangan Bijih Logam</v>
      </c>
      <c r="KG42" s="129"/>
      <c r="KH42" s="129"/>
      <c r="KI42" s="129"/>
      <c r="KJ42" s="131" t="s">
        <v>61</v>
      </c>
      <c r="KK42" s="129"/>
      <c r="KL42" s="130"/>
      <c r="KM42" s="125"/>
      <c r="KN42" s="125"/>
      <c r="KO42" s="125"/>
      <c r="KP42" s="125"/>
      <c r="KQ42" s="125"/>
      <c r="KR42" s="125"/>
      <c r="KS42" s="57" t="str">
        <f>"I/"&amp;KS$6</f>
        <v>I/2027</v>
      </c>
      <c r="KT42" s="127"/>
      <c r="KU42" s="125"/>
    </row>
    <row r="43" ht="15.0" customHeight="1">
      <c r="A43" s="128"/>
      <c r="B43" s="129" t="s">
        <v>31</v>
      </c>
      <c r="C43" s="129" t="str">
        <f t="shared" si="539"/>
        <v>: Pertambangan Bijih Logam</v>
      </c>
      <c r="D43" s="129"/>
      <c r="E43" s="129"/>
      <c r="F43" s="129"/>
      <c r="G43" s="132" t="s">
        <v>53</v>
      </c>
      <c r="H43" s="129"/>
      <c r="I43" s="130"/>
      <c r="J43" s="125"/>
      <c r="K43" s="125"/>
      <c r="L43" s="125"/>
      <c r="M43" s="125"/>
      <c r="N43" s="125"/>
      <c r="O43" s="125"/>
      <c r="P43" s="55"/>
      <c r="Q43" s="126"/>
      <c r="R43" s="128"/>
      <c r="S43" s="129" t="s">
        <v>31</v>
      </c>
      <c r="T43" s="129" t="str">
        <f t="shared" si="540"/>
        <v>: Pertambangan Bijih Logam</v>
      </c>
      <c r="U43" s="129"/>
      <c r="V43" s="129"/>
      <c r="W43" s="129"/>
      <c r="X43" s="132" t="s">
        <v>53</v>
      </c>
      <c r="Y43" s="129"/>
      <c r="Z43" s="130"/>
      <c r="AA43" s="125"/>
      <c r="AB43" s="125"/>
      <c r="AC43" s="125"/>
      <c r="AD43" s="125"/>
      <c r="AE43" s="125"/>
      <c r="AF43" s="125"/>
      <c r="AG43" s="55"/>
      <c r="AH43" s="126"/>
      <c r="AI43" s="128"/>
      <c r="AJ43" s="129" t="s">
        <v>31</v>
      </c>
      <c r="AK43" s="129" t="str">
        <f t="shared" si="541"/>
        <v>: Pertambangan Bijih Logam</v>
      </c>
      <c r="AL43" s="129"/>
      <c r="AM43" s="129"/>
      <c r="AN43" s="129"/>
      <c r="AO43" s="132" t="s">
        <v>53</v>
      </c>
      <c r="AP43" s="129"/>
      <c r="AQ43" s="130"/>
      <c r="AR43" s="125"/>
      <c r="AS43" s="125"/>
      <c r="AT43" s="125"/>
      <c r="AU43" s="125"/>
      <c r="AV43" s="125"/>
      <c r="AW43" s="125"/>
      <c r="AX43" s="55"/>
      <c r="AY43" s="126"/>
      <c r="AZ43" s="128"/>
      <c r="BA43" s="129" t="s">
        <v>31</v>
      </c>
      <c r="BB43" s="129" t="str">
        <f t="shared" si="542"/>
        <v>: Pertambangan Bijih Logam</v>
      </c>
      <c r="BC43" s="129"/>
      <c r="BD43" s="129"/>
      <c r="BE43" s="129"/>
      <c r="BF43" s="132" t="s">
        <v>53</v>
      </c>
      <c r="BG43" s="129"/>
      <c r="BH43" s="130"/>
      <c r="BI43" s="125"/>
      <c r="BJ43" s="125"/>
      <c r="BK43" s="125"/>
      <c r="BL43" s="125"/>
      <c r="BM43" s="125"/>
      <c r="BN43" s="125"/>
      <c r="BO43" s="55"/>
      <c r="BP43" s="126"/>
      <c r="BQ43" s="128"/>
      <c r="BR43" s="129" t="s">
        <v>31</v>
      </c>
      <c r="BS43" s="129" t="str">
        <f t="shared" si="543"/>
        <v>: Pertambangan Bijih Logam</v>
      </c>
      <c r="BT43" s="129"/>
      <c r="BU43" s="129"/>
      <c r="BV43" s="129"/>
      <c r="BW43" s="132" t="s">
        <v>53</v>
      </c>
      <c r="BX43" s="129"/>
      <c r="BY43" s="130"/>
      <c r="BZ43" s="125"/>
      <c r="CA43" s="125"/>
      <c r="CB43" s="125"/>
      <c r="CC43" s="125"/>
      <c r="CD43" s="125"/>
      <c r="CE43" s="125"/>
      <c r="CF43" s="55"/>
      <c r="CG43" s="126"/>
      <c r="CH43" s="128"/>
      <c r="CI43" s="129" t="s">
        <v>31</v>
      </c>
      <c r="CJ43" s="129" t="str">
        <f t="shared" si="544"/>
        <v>: Pertambangan Bijih Logam</v>
      </c>
      <c r="CK43" s="129"/>
      <c r="CL43" s="129"/>
      <c r="CM43" s="129"/>
      <c r="CN43" s="132" t="s">
        <v>53</v>
      </c>
      <c r="CO43" s="129"/>
      <c r="CP43" s="130"/>
      <c r="CQ43" s="125"/>
      <c r="CR43" s="125"/>
      <c r="CS43" s="125"/>
      <c r="CT43" s="125"/>
      <c r="CU43" s="125"/>
      <c r="CV43" s="125"/>
      <c r="CW43" s="55"/>
      <c r="CX43" s="126"/>
      <c r="CY43" s="128"/>
      <c r="CZ43" s="129" t="s">
        <v>31</v>
      </c>
      <c r="DA43" s="129" t="str">
        <f t="shared" si="545"/>
        <v>: Pertambangan Bijih Logam</v>
      </c>
      <c r="DB43" s="129"/>
      <c r="DC43" s="129"/>
      <c r="DD43" s="129"/>
      <c r="DE43" s="132" t="s">
        <v>53</v>
      </c>
      <c r="DF43" s="129"/>
      <c r="DG43" s="130"/>
      <c r="DH43" s="125"/>
      <c r="DI43" s="125"/>
      <c r="DJ43" s="125"/>
      <c r="DK43" s="125"/>
      <c r="DL43" s="125"/>
      <c r="DM43" s="125"/>
      <c r="DN43" s="55"/>
      <c r="DO43" s="126"/>
      <c r="DP43" s="128"/>
      <c r="DQ43" s="129" t="s">
        <v>31</v>
      </c>
      <c r="DR43" s="129" t="str">
        <f t="shared" si="546"/>
        <v>: Pertambangan Bijih Logam</v>
      </c>
      <c r="DS43" s="129"/>
      <c r="DT43" s="129"/>
      <c r="DU43" s="129"/>
      <c r="DV43" s="132" t="s">
        <v>53</v>
      </c>
      <c r="DW43" s="129"/>
      <c r="DX43" s="130"/>
      <c r="DY43" s="125"/>
      <c r="DZ43" s="125"/>
      <c r="EA43" s="125"/>
      <c r="EB43" s="125"/>
      <c r="EC43" s="125"/>
      <c r="ED43" s="125"/>
      <c r="EE43" s="55"/>
      <c r="EF43" s="126"/>
      <c r="EG43" s="128"/>
      <c r="EH43" s="129" t="s">
        <v>31</v>
      </c>
      <c r="EI43" s="129" t="str">
        <f t="shared" si="547"/>
        <v>: Pertambangan Bijih Logam</v>
      </c>
      <c r="EJ43" s="129"/>
      <c r="EK43" s="129"/>
      <c r="EL43" s="129"/>
      <c r="EM43" s="132" t="s">
        <v>53</v>
      </c>
      <c r="EN43" s="129"/>
      <c r="EO43" s="130"/>
      <c r="EP43" s="125"/>
      <c r="EQ43" s="125"/>
      <c r="ER43" s="125"/>
      <c r="ES43" s="125"/>
      <c r="ET43" s="125"/>
      <c r="EU43" s="125"/>
      <c r="EV43" s="55"/>
      <c r="EW43" s="126"/>
      <c r="EX43" s="128"/>
      <c r="EY43" s="129" t="s">
        <v>31</v>
      </c>
      <c r="EZ43" s="129" t="str">
        <f t="shared" si="548"/>
        <v>: Pertambangan Bijih Logam</v>
      </c>
      <c r="FA43" s="129"/>
      <c r="FB43" s="129"/>
      <c r="FC43" s="129"/>
      <c r="FD43" s="132" t="s">
        <v>53</v>
      </c>
      <c r="FE43" s="129"/>
      <c r="FF43" s="130"/>
      <c r="FG43" s="125"/>
      <c r="FH43" s="125"/>
      <c r="FI43" s="125"/>
      <c r="FJ43" s="125"/>
      <c r="FK43" s="125"/>
      <c r="FL43" s="125"/>
      <c r="FM43" s="55"/>
      <c r="FN43" s="126"/>
      <c r="FO43" s="128"/>
      <c r="FP43" s="129" t="s">
        <v>31</v>
      </c>
      <c r="FQ43" s="129" t="str">
        <f t="shared" si="549"/>
        <v>: Pertambangan Bijih Logam</v>
      </c>
      <c r="FR43" s="129"/>
      <c r="FS43" s="129"/>
      <c r="FT43" s="129"/>
      <c r="FU43" s="132" t="s">
        <v>53</v>
      </c>
      <c r="FV43" s="129"/>
      <c r="FW43" s="130"/>
      <c r="FX43" s="125"/>
      <c r="FY43" s="125"/>
      <c r="FZ43" s="125"/>
      <c r="GA43" s="125"/>
      <c r="GB43" s="125"/>
      <c r="GC43" s="125"/>
      <c r="GD43" s="55"/>
      <c r="GE43" s="126"/>
      <c r="GF43" s="128"/>
      <c r="GG43" s="129" t="s">
        <v>31</v>
      </c>
      <c r="GH43" s="129" t="str">
        <f t="shared" si="550"/>
        <v>: Pertambangan Bijih Logam</v>
      </c>
      <c r="GI43" s="129"/>
      <c r="GJ43" s="129"/>
      <c r="GK43" s="129"/>
      <c r="GL43" s="132" t="s">
        <v>53</v>
      </c>
      <c r="GM43" s="129"/>
      <c r="GN43" s="130"/>
      <c r="GO43" s="125"/>
      <c r="GP43" s="125"/>
      <c r="GQ43" s="125"/>
      <c r="GR43" s="125"/>
      <c r="GS43" s="125"/>
      <c r="GT43" s="125"/>
      <c r="GU43" s="55"/>
      <c r="GV43" s="126"/>
      <c r="GW43" s="128"/>
      <c r="GX43" s="129" t="s">
        <v>31</v>
      </c>
      <c r="GY43" s="129" t="str">
        <f t="shared" si="551"/>
        <v>: Pertambangan Bijih Logam</v>
      </c>
      <c r="GZ43" s="129"/>
      <c r="HA43" s="129"/>
      <c r="HB43" s="129"/>
      <c r="HC43" s="132" t="s">
        <v>53</v>
      </c>
      <c r="HD43" s="129"/>
      <c r="HE43" s="130"/>
      <c r="HF43" s="125"/>
      <c r="HG43" s="125"/>
      <c r="HH43" s="125"/>
      <c r="HI43" s="125"/>
      <c r="HJ43" s="125"/>
      <c r="HK43" s="125"/>
      <c r="HL43" s="55"/>
      <c r="HM43" s="126"/>
      <c r="HN43" s="128"/>
      <c r="HO43" s="129" t="s">
        <v>31</v>
      </c>
      <c r="HP43" s="129" t="str">
        <f t="shared" si="552"/>
        <v>: Pertambangan Bijih Logam</v>
      </c>
      <c r="HQ43" s="129"/>
      <c r="HR43" s="129"/>
      <c r="HS43" s="129"/>
      <c r="HT43" s="132" t="s">
        <v>53</v>
      </c>
      <c r="HU43" s="129"/>
      <c r="HV43" s="130"/>
      <c r="HW43" s="125"/>
      <c r="HX43" s="125"/>
      <c r="HY43" s="125"/>
      <c r="HZ43" s="125"/>
      <c r="IA43" s="125"/>
      <c r="IB43" s="125"/>
      <c r="IC43" s="55"/>
      <c r="ID43" s="126"/>
      <c r="IE43" s="128"/>
      <c r="IF43" s="129" t="s">
        <v>31</v>
      </c>
      <c r="IG43" s="129" t="str">
        <f t="shared" si="553"/>
        <v>: Pertambangan Bijih Logam</v>
      </c>
      <c r="IH43" s="129"/>
      <c r="II43" s="129"/>
      <c r="IJ43" s="129"/>
      <c r="IK43" s="132" t="s">
        <v>53</v>
      </c>
      <c r="IL43" s="129"/>
      <c r="IM43" s="130"/>
      <c r="IN43" s="125"/>
      <c r="IO43" s="125"/>
      <c r="IP43" s="125"/>
      <c r="IQ43" s="125"/>
      <c r="IR43" s="125"/>
      <c r="IS43" s="125"/>
      <c r="IT43" s="55"/>
      <c r="IU43" s="126"/>
      <c r="IV43" s="128"/>
      <c r="IW43" s="129" t="s">
        <v>31</v>
      </c>
      <c r="IX43" s="129" t="str">
        <f t="shared" si="554"/>
        <v>: Pertambangan Bijih Logam</v>
      </c>
      <c r="IY43" s="129"/>
      <c r="IZ43" s="129"/>
      <c r="JA43" s="129"/>
      <c r="JB43" s="132" t="s">
        <v>53</v>
      </c>
      <c r="JC43" s="129"/>
      <c r="JD43" s="130"/>
      <c r="JE43" s="125"/>
      <c r="JF43" s="125"/>
      <c r="JG43" s="125"/>
      <c r="JH43" s="125"/>
      <c r="JI43" s="125"/>
      <c r="JJ43" s="125"/>
      <c r="JK43" s="55"/>
      <c r="JL43" s="127"/>
      <c r="JM43" s="128"/>
      <c r="JN43" s="129" t="s">
        <v>31</v>
      </c>
      <c r="JO43" s="129" t="str">
        <f t="shared" si="555"/>
        <v>: Pertambangan Bijih Logam</v>
      </c>
      <c r="JP43" s="129"/>
      <c r="JQ43" s="129"/>
      <c r="JR43" s="129"/>
      <c r="JS43" s="132" t="s">
        <v>53</v>
      </c>
      <c r="JT43" s="129"/>
      <c r="JU43" s="130"/>
      <c r="JV43" s="125"/>
      <c r="JW43" s="125"/>
      <c r="JX43" s="125"/>
      <c r="JY43" s="125"/>
      <c r="JZ43" s="125"/>
      <c r="KA43" s="125"/>
      <c r="KB43" s="55"/>
      <c r="KC43" s="127"/>
      <c r="KD43" s="128"/>
      <c r="KE43" s="129" t="s">
        <v>31</v>
      </c>
      <c r="KF43" s="129" t="str">
        <f t="shared" si="556"/>
        <v>: Pertambangan Bijih Logam</v>
      </c>
      <c r="KG43" s="129"/>
      <c r="KH43" s="129"/>
      <c r="KI43" s="129"/>
      <c r="KJ43" s="132" t="s">
        <v>53</v>
      </c>
      <c r="KK43" s="129"/>
      <c r="KL43" s="130"/>
      <c r="KM43" s="125"/>
      <c r="KN43" s="125"/>
      <c r="KO43" s="125"/>
      <c r="KP43" s="125"/>
      <c r="KQ43" s="125"/>
      <c r="KR43" s="125"/>
      <c r="KS43" s="55"/>
      <c r="KT43" s="127"/>
      <c r="KU43" s="125"/>
    </row>
    <row r="44" ht="15.75" customHeight="1">
      <c r="A44" s="133"/>
      <c r="B44" s="134" t="s">
        <v>32</v>
      </c>
      <c r="C44" s="134" t="str">
        <f t="shared" si="539"/>
        <v>: Revaluasi </v>
      </c>
      <c r="D44" s="134"/>
      <c r="E44" s="134"/>
      <c r="F44" s="134"/>
      <c r="G44" s="134" t="str">
        <f>"Tahun "&amp;P$6</f>
        <v>Tahun 2010</v>
      </c>
      <c r="H44" s="134"/>
      <c r="I44" s="135"/>
      <c r="J44" s="125"/>
      <c r="K44" s="125"/>
      <c r="L44" s="125"/>
      <c r="M44" s="125"/>
      <c r="N44" s="125"/>
      <c r="O44" s="125"/>
      <c r="P44" s="125"/>
      <c r="Q44" s="126"/>
      <c r="R44" s="133"/>
      <c r="S44" s="134" t="s">
        <v>32</v>
      </c>
      <c r="T44" s="134" t="s">
        <v>33</v>
      </c>
      <c r="U44" s="134"/>
      <c r="V44" s="134"/>
      <c r="W44" s="134"/>
      <c r="X44" s="134" t="str">
        <f>"Tahun "&amp;AG$6</f>
        <v>Tahun 2011</v>
      </c>
      <c r="Y44" s="134"/>
      <c r="Z44" s="135"/>
      <c r="AA44" s="125"/>
      <c r="AB44" s="125"/>
      <c r="AC44" s="125"/>
      <c r="AD44" s="125"/>
      <c r="AE44" s="125"/>
      <c r="AF44" s="125"/>
      <c r="AG44" s="125"/>
      <c r="AH44" s="126"/>
      <c r="AI44" s="133"/>
      <c r="AJ44" s="134" t="s">
        <v>32</v>
      </c>
      <c r="AK44" s="134" t="s">
        <v>33</v>
      </c>
      <c r="AL44" s="134"/>
      <c r="AM44" s="134"/>
      <c r="AN44" s="134"/>
      <c r="AO44" s="134" t="str">
        <f>"Tahun "&amp;AX$6</f>
        <v>Tahun 2012</v>
      </c>
      <c r="AP44" s="134"/>
      <c r="AQ44" s="135"/>
      <c r="AR44" s="125"/>
      <c r="AS44" s="125"/>
      <c r="AT44" s="125"/>
      <c r="AU44" s="125"/>
      <c r="AV44" s="125"/>
      <c r="AW44" s="125"/>
      <c r="AX44" s="125"/>
      <c r="AY44" s="126"/>
      <c r="AZ44" s="133"/>
      <c r="BA44" s="134" t="s">
        <v>32</v>
      </c>
      <c r="BB44" s="134" t="s">
        <v>33</v>
      </c>
      <c r="BC44" s="134"/>
      <c r="BD44" s="134"/>
      <c r="BE44" s="134"/>
      <c r="BF44" s="134" t="str">
        <f>"Tahun "&amp;BO$6</f>
        <v>Tahun 2013</v>
      </c>
      <c r="BG44" s="134"/>
      <c r="BH44" s="135"/>
      <c r="BI44" s="125"/>
      <c r="BJ44" s="125"/>
      <c r="BK44" s="125"/>
      <c r="BL44" s="125"/>
      <c r="BM44" s="125"/>
      <c r="BN44" s="125"/>
      <c r="BO44" s="125"/>
      <c r="BP44" s="126"/>
      <c r="BQ44" s="133"/>
      <c r="BR44" s="134" t="s">
        <v>32</v>
      </c>
      <c r="BS44" s="134" t="s">
        <v>33</v>
      </c>
      <c r="BT44" s="134"/>
      <c r="BU44" s="134"/>
      <c r="BV44" s="134"/>
      <c r="BW44" s="134" t="str">
        <f>"Tahun "&amp;CF$6</f>
        <v>Tahun 2014</v>
      </c>
      <c r="BX44" s="134"/>
      <c r="BY44" s="135"/>
      <c r="BZ44" s="125"/>
      <c r="CA44" s="125"/>
      <c r="CB44" s="125"/>
      <c r="CC44" s="125"/>
      <c r="CD44" s="125"/>
      <c r="CE44" s="125"/>
      <c r="CF44" s="125"/>
      <c r="CG44" s="126"/>
      <c r="CH44" s="133"/>
      <c r="CI44" s="134" t="s">
        <v>32</v>
      </c>
      <c r="CJ44" s="134" t="s">
        <v>33</v>
      </c>
      <c r="CK44" s="134"/>
      <c r="CL44" s="134"/>
      <c r="CM44" s="134"/>
      <c r="CN44" s="134" t="str">
        <f>"Tahun "&amp;CW$6</f>
        <v>Tahun 2015</v>
      </c>
      <c r="CO44" s="134"/>
      <c r="CP44" s="135"/>
      <c r="CQ44" s="125"/>
      <c r="CR44" s="125"/>
      <c r="CS44" s="125"/>
      <c r="CT44" s="125"/>
      <c r="CU44" s="125"/>
      <c r="CV44" s="125"/>
      <c r="CW44" s="125"/>
      <c r="CX44" s="126"/>
      <c r="CY44" s="133"/>
      <c r="CZ44" s="134" t="s">
        <v>32</v>
      </c>
      <c r="DA44" s="134" t="s">
        <v>33</v>
      </c>
      <c r="DB44" s="134"/>
      <c r="DC44" s="134"/>
      <c r="DD44" s="134"/>
      <c r="DE44" s="134" t="str">
        <f>"Tahun "&amp;DN$6</f>
        <v>Tahun 2016</v>
      </c>
      <c r="DF44" s="134"/>
      <c r="DG44" s="135"/>
      <c r="DH44" s="125"/>
      <c r="DI44" s="125"/>
      <c r="DJ44" s="125"/>
      <c r="DK44" s="125"/>
      <c r="DL44" s="125"/>
      <c r="DM44" s="125"/>
      <c r="DN44" s="125"/>
      <c r="DO44" s="126"/>
      <c r="DP44" s="133"/>
      <c r="DQ44" s="134" t="s">
        <v>32</v>
      </c>
      <c r="DR44" s="134" t="s">
        <v>33</v>
      </c>
      <c r="DS44" s="134"/>
      <c r="DT44" s="134"/>
      <c r="DU44" s="134"/>
      <c r="DV44" s="134" t="str">
        <f>"Tahun "&amp;EE$6</f>
        <v>Tahun 2017</v>
      </c>
      <c r="DW44" s="134"/>
      <c r="DX44" s="135"/>
      <c r="DY44" s="125"/>
      <c r="DZ44" s="125"/>
      <c r="EA44" s="125"/>
      <c r="EB44" s="125"/>
      <c r="EC44" s="125"/>
      <c r="ED44" s="125"/>
      <c r="EE44" s="125"/>
      <c r="EF44" s="126"/>
      <c r="EG44" s="133"/>
      <c r="EH44" s="134" t="s">
        <v>32</v>
      </c>
      <c r="EI44" s="134" t="s">
        <v>33</v>
      </c>
      <c r="EJ44" s="134"/>
      <c r="EK44" s="134"/>
      <c r="EL44" s="134"/>
      <c r="EM44" s="134" t="str">
        <f>"Tahun "&amp;EV$6</f>
        <v>Tahun 2018</v>
      </c>
      <c r="EN44" s="134"/>
      <c r="EO44" s="135"/>
      <c r="EP44" s="125"/>
      <c r="EQ44" s="125"/>
      <c r="ER44" s="125"/>
      <c r="ES44" s="125"/>
      <c r="ET44" s="125"/>
      <c r="EU44" s="125"/>
      <c r="EV44" s="125"/>
      <c r="EW44" s="126"/>
      <c r="EX44" s="133"/>
      <c r="EY44" s="134" t="s">
        <v>32</v>
      </c>
      <c r="EZ44" s="134" t="s">
        <v>33</v>
      </c>
      <c r="FA44" s="134"/>
      <c r="FB44" s="134"/>
      <c r="FC44" s="134"/>
      <c r="FD44" s="134" t="str">
        <f>"Tahun "&amp;FM$6</f>
        <v>Tahun 2019</v>
      </c>
      <c r="FE44" s="134"/>
      <c r="FF44" s="135"/>
      <c r="FG44" s="125"/>
      <c r="FH44" s="125"/>
      <c r="FI44" s="125"/>
      <c r="FJ44" s="125"/>
      <c r="FK44" s="125"/>
      <c r="FL44" s="125"/>
      <c r="FM44" s="125"/>
      <c r="FN44" s="126"/>
      <c r="FO44" s="133"/>
      <c r="FP44" s="134" t="s">
        <v>32</v>
      </c>
      <c r="FQ44" s="134" t="s">
        <v>33</v>
      </c>
      <c r="FR44" s="134"/>
      <c r="FS44" s="134"/>
      <c r="FT44" s="134"/>
      <c r="FU44" s="134" t="str">
        <f>"Tahun "&amp;GD$6</f>
        <v>Tahun 2020</v>
      </c>
      <c r="FV44" s="134"/>
      <c r="FW44" s="135"/>
      <c r="FX44" s="125"/>
      <c r="FY44" s="125"/>
      <c r="FZ44" s="125"/>
      <c r="GA44" s="125"/>
      <c r="GB44" s="125"/>
      <c r="GC44" s="125"/>
      <c r="GD44" s="125"/>
      <c r="GE44" s="126"/>
      <c r="GF44" s="133"/>
      <c r="GG44" s="134" t="s">
        <v>32</v>
      </c>
      <c r="GH44" s="134" t="s">
        <v>33</v>
      </c>
      <c r="GI44" s="134"/>
      <c r="GJ44" s="134"/>
      <c r="GK44" s="134"/>
      <c r="GL44" s="134" t="str">
        <f>"Tahun "&amp;GU$6</f>
        <v>Tahun 2021</v>
      </c>
      <c r="GM44" s="134"/>
      <c r="GN44" s="135"/>
      <c r="GO44" s="125"/>
      <c r="GP44" s="125"/>
      <c r="GQ44" s="125"/>
      <c r="GR44" s="125"/>
      <c r="GS44" s="125"/>
      <c r="GT44" s="125"/>
      <c r="GU44" s="125"/>
      <c r="GV44" s="126"/>
      <c r="GW44" s="133"/>
      <c r="GX44" s="134" t="s">
        <v>32</v>
      </c>
      <c r="GY44" s="134" t="s">
        <v>33</v>
      </c>
      <c r="GZ44" s="134"/>
      <c r="HA44" s="134"/>
      <c r="HB44" s="134"/>
      <c r="HC44" s="134" t="str">
        <f>"Tahun "&amp;HL$6</f>
        <v>Tahun 2022</v>
      </c>
      <c r="HD44" s="134"/>
      <c r="HE44" s="135"/>
      <c r="HF44" s="125"/>
      <c r="HG44" s="125"/>
      <c r="HH44" s="125"/>
      <c r="HI44" s="125"/>
      <c r="HJ44" s="125"/>
      <c r="HK44" s="125"/>
      <c r="HL44" s="125"/>
      <c r="HM44" s="126"/>
      <c r="HN44" s="133"/>
      <c r="HO44" s="134" t="s">
        <v>32</v>
      </c>
      <c r="HP44" s="134" t="s">
        <v>33</v>
      </c>
      <c r="HQ44" s="134"/>
      <c r="HR44" s="134"/>
      <c r="HS44" s="134"/>
      <c r="HT44" s="134" t="str">
        <f>"Tahun "&amp;IC$6</f>
        <v>Tahun 2023</v>
      </c>
      <c r="HU44" s="134"/>
      <c r="HV44" s="135"/>
      <c r="HW44" s="125"/>
      <c r="HX44" s="125"/>
      <c r="HY44" s="125"/>
      <c r="HZ44" s="125"/>
      <c r="IA44" s="125"/>
      <c r="IB44" s="125"/>
      <c r="IC44" s="125"/>
      <c r="ID44" s="126"/>
      <c r="IE44" s="133"/>
      <c r="IF44" s="134" t="s">
        <v>32</v>
      </c>
      <c r="IG44" s="134" t="s">
        <v>33</v>
      </c>
      <c r="IH44" s="134"/>
      <c r="II44" s="134"/>
      <c r="IJ44" s="134"/>
      <c r="IK44" s="134" t="str">
        <f>"Tahun "&amp;IT$6</f>
        <v>Tahun 2024</v>
      </c>
      <c r="IL44" s="134"/>
      <c r="IM44" s="135"/>
      <c r="IN44" s="125"/>
      <c r="IO44" s="125"/>
      <c r="IP44" s="125"/>
      <c r="IQ44" s="125"/>
      <c r="IR44" s="125"/>
      <c r="IS44" s="125"/>
      <c r="IT44" s="125"/>
      <c r="IU44" s="126"/>
      <c r="IV44" s="133"/>
      <c r="IW44" s="134" t="s">
        <v>32</v>
      </c>
      <c r="IX44" s="134" t="s">
        <v>33</v>
      </c>
      <c r="IY44" s="134"/>
      <c r="IZ44" s="134"/>
      <c r="JA44" s="134"/>
      <c r="JB44" s="134" t="str">
        <f>"Tahun "&amp;JK$6</f>
        <v>Tahun 2025</v>
      </c>
      <c r="JC44" s="134"/>
      <c r="JD44" s="135"/>
      <c r="JE44" s="125"/>
      <c r="JF44" s="125"/>
      <c r="JG44" s="125"/>
      <c r="JH44" s="125"/>
      <c r="JI44" s="125"/>
      <c r="JJ44" s="125"/>
      <c r="JK44" s="125"/>
      <c r="JL44" s="126"/>
      <c r="JM44" s="133"/>
      <c r="JN44" s="134" t="s">
        <v>32</v>
      </c>
      <c r="JO44" s="134" t="s">
        <v>33</v>
      </c>
      <c r="JP44" s="134"/>
      <c r="JQ44" s="134"/>
      <c r="JR44" s="134"/>
      <c r="JS44" s="134" t="str">
        <f>"Tahun "&amp;KB$6</f>
        <v>Tahun 2026</v>
      </c>
      <c r="JT44" s="134"/>
      <c r="JU44" s="135"/>
      <c r="JV44" s="125"/>
      <c r="JW44" s="125"/>
      <c r="JX44" s="125"/>
      <c r="JY44" s="125"/>
      <c r="JZ44" s="125"/>
      <c r="KA44" s="125"/>
      <c r="KB44" s="125"/>
      <c r="KC44" s="126"/>
      <c r="KD44" s="133"/>
      <c r="KE44" s="134" t="s">
        <v>32</v>
      </c>
      <c r="KF44" s="134" t="s">
        <v>33</v>
      </c>
      <c r="KG44" s="134"/>
      <c r="KH44" s="134"/>
      <c r="KI44" s="134"/>
      <c r="KJ44" s="134" t="str">
        <f>"Tahun "&amp;KS$6</f>
        <v>Tahun 2027</v>
      </c>
      <c r="KK44" s="134"/>
      <c r="KL44" s="135"/>
      <c r="KM44" s="125"/>
      <c r="KN44" s="125"/>
      <c r="KO44" s="125"/>
      <c r="KP44" s="125"/>
      <c r="KQ44" s="125"/>
      <c r="KR44" s="125"/>
      <c r="KS44" s="125"/>
      <c r="KT44" s="126"/>
      <c r="KU44" s="125"/>
    </row>
    <row r="45" ht="15.75" customHeight="1">
      <c r="A45" s="44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7"/>
      <c r="R45" s="44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7"/>
      <c r="AI45" s="44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7"/>
      <c r="AZ45" s="44"/>
      <c r="BA45" s="36"/>
      <c r="BB45" s="36"/>
      <c r="BC45" s="36"/>
      <c r="BD45" s="36"/>
      <c r="BE45" s="36"/>
      <c r="BF45" s="36"/>
      <c r="BG45" s="36"/>
      <c r="BH45" s="36"/>
      <c r="BI45" s="36"/>
      <c r="BJ45" s="36"/>
      <c r="BK45" s="36"/>
      <c r="BL45" s="36"/>
      <c r="BM45" s="36"/>
      <c r="BN45" s="36"/>
      <c r="BO45" s="36"/>
      <c r="BP45" s="37"/>
      <c r="BQ45" s="44"/>
      <c r="BR45" s="36"/>
      <c r="BS45" s="36"/>
      <c r="BT45" s="36"/>
      <c r="BU45" s="36"/>
      <c r="BV45" s="36"/>
      <c r="BW45" s="36"/>
      <c r="BX45" s="36"/>
      <c r="BY45" s="36"/>
      <c r="BZ45" s="36"/>
      <c r="CA45" s="36"/>
      <c r="CB45" s="36"/>
      <c r="CC45" s="36"/>
      <c r="CD45" s="36"/>
      <c r="CE45" s="36"/>
      <c r="CF45" s="36"/>
      <c r="CG45" s="37"/>
      <c r="CH45" s="44"/>
      <c r="CI45" s="36"/>
      <c r="CJ45" s="36"/>
      <c r="CK45" s="36"/>
      <c r="CL45" s="36"/>
      <c r="CM45" s="36"/>
      <c r="CN45" s="36"/>
      <c r="CO45" s="36"/>
      <c r="CP45" s="36"/>
      <c r="CQ45" s="36"/>
      <c r="CR45" s="36"/>
      <c r="CS45" s="36"/>
      <c r="CT45" s="36"/>
      <c r="CU45" s="36"/>
      <c r="CV45" s="36"/>
      <c r="CW45" s="36"/>
      <c r="CX45" s="37"/>
      <c r="CY45" s="44"/>
      <c r="CZ45" s="36"/>
      <c r="DA45" s="36"/>
      <c r="DB45" s="36"/>
      <c r="DC45" s="36"/>
      <c r="DD45" s="36"/>
      <c r="DE45" s="36"/>
      <c r="DF45" s="36"/>
      <c r="DG45" s="36"/>
      <c r="DH45" s="36"/>
      <c r="DI45" s="36"/>
      <c r="DJ45" s="36"/>
      <c r="DK45" s="36"/>
      <c r="DL45" s="36"/>
      <c r="DM45" s="36"/>
      <c r="DN45" s="36"/>
      <c r="DO45" s="37"/>
      <c r="DP45" s="44"/>
      <c r="DQ45" s="36"/>
      <c r="DR45" s="36"/>
      <c r="DS45" s="36"/>
      <c r="DT45" s="36"/>
      <c r="DU45" s="36"/>
      <c r="DV45" s="36"/>
      <c r="DW45" s="36"/>
      <c r="DX45" s="36"/>
      <c r="DY45" s="36"/>
      <c r="DZ45" s="36"/>
      <c r="EA45" s="36"/>
      <c r="EB45" s="36"/>
      <c r="EC45" s="36"/>
      <c r="ED45" s="36"/>
      <c r="EE45" s="36"/>
      <c r="EF45" s="37"/>
      <c r="EG45" s="44"/>
      <c r="EH45" s="36"/>
      <c r="EI45" s="36"/>
      <c r="EJ45" s="36"/>
      <c r="EK45" s="36"/>
      <c r="EL45" s="36"/>
      <c r="EM45" s="36"/>
      <c r="EN45" s="36"/>
      <c r="EO45" s="36"/>
      <c r="EP45" s="36"/>
      <c r="EQ45" s="36"/>
      <c r="ER45" s="36"/>
      <c r="ES45" s="36"/>
      <c r="ET45" s="36"/>
      <c r="EU45" s="36"/>
      <c r="EV45" s="36"/>
      <c r="EW45" s="37"/>
      <c r="EX45" s="44"/>
      <c r="EY45" s="36"/>
      <c r="EZ45" s="36"/>
      <c r="FA45" s="36"/>
      <c r="FB45" s="36"/>
      <c r="FC45" s="36"/>
      <c r="FD45" s="36"/>
      <c r="FE45" s="36"/>
      <c r="FF45" s="36"/>
      <c r="FG45" s="36"/>
      <c r="FH45" s="36"/>
      <c r="FI45" s="36"/>
      <c r="FJ45" s="36"/>
      <c r="FK45" s="36"/>
      <c r="FL45" s="36"/>
      <c r="FM45" s="36"/>
      <c r="FN45" s="37"/>
      <c r="FO45" s="44"/>
      <c r="FP45" s="36"/>
      <c r="FQ45" s="36"/>
      <c r="FR45" s="36"/>
      <c r="FS45" s="36"/>
      <c r="FT45" s="36"/>
      <c r="FU45" s="36"/>
      <c r="FV45" s="36"/>
      <c r="FW45" s="36"/>
      <c r="FX45" s="36"/>
      <c r="FY45" s="36"/>
      <c r="FZ45" s="36"/>
      <c r="GA45" s="36"/>
      <c r="GB45" s="36"/>
      <c r="GC45" s="36"/>
      <c r="GD45" s="36"/>
      <c r="GE45" s="37"/>
      <c r="GF45" s="44"/>
      <c r="GG45" s="36"/>
      <c r="GH45" s="36"/>
      <c r="GI45" s="36"/>
      <c r="GJ45" s="36"/>
      <c r="GK45" s="36"/>
      <c r="GL45" s="36"/>
      <c r="GM45" s="36"/>
      <c r="GN45" s="36"/>
      <c r="GO45" s="36"/>
      <c r="GP45" s="36"/>
      <c r="GQ45" s="36"/>
      <c r="GR45" s="36"/>
      <c r="GS45" s="36"/>
      <c r="GT45" s="36"/>
      <c r="GU45" s="36"/>
      <c r="GV45" s="37"/>
      <c r="GW45" s="44"/>
      <c r="GX45" s="36"/>
      <c r="GY45" s="36"/>
      <c r="GZ45" s="36"/>
      <c r="HA45" s="36"/>
      <c r="HB45" s="36"/>
      <c r="HC45" s="36"/>
      <c r="HD45" s="36"/>
      <c r="HE45" s="36"/>
      <c r="HF45" s="36"/>
      <c r="HG45" s="36"/>
      <c r="HH45" s="36"/>
      <c r="HI45" s="36"/>
      <c r="HJ45" s="36"/>
      <c r="HK45" s="36"/>
      <c r="HL45" s="36"/>
      <c r="HM45" s="37"/>
      <c r="HN45" s="44"/>
      <c r="HO45" s="36"/>
      <c r="HP45" s="36"/>
      <c r="HQ45" s="36"/>
      <c r="HR45" s="36"/>
      <c r="HS45" s="36"/>
      <c r="HT45" s="36"/>
      <c r="HU45" s="36"/>
      <c r="HV45" s="36"/>
      <c r="HW45" s="36"/>
      <c r="HX45" s="36"/>
      <c r="HY45" s="36"/>
      <c r="HZ45" s="36"/>
      <c r="IA45" s="36"/>
      <c r="IB45" s="36"/>
      <c r="IC45" s="36"/>
      <c r="ID45" s="37"/>
      <c r="IE45" s="44"/>
      <c r="IF45" s="36"/>
      <c r="IG45" s="36"/>
      <c r="IH45" s="36"/>
      <c r="II45" s="36"/>
      <c r="IJ45" s="36"/>
      <c r="IK45" s="36"/>
      <c r="IL45" s="36"/>
      <c r="IM45" s="36"/>
      <c r="IN45" s="36"/>
      <c r="IO45" s="36"/>
      <c r="IP45" s="36"/>
      <c r="IQ45" s="36"/>
      <c r="IR45" s="36"/>
      <c r="IS45" s="36"/>
      <c r="IT45" s="36"/>
      <c r="IU45" s="37"/>
      <c r="IV45" s="44"/>
      <c r="IW45" s="36"/>
      <c r="IX45" s="36"/>
      <c r="IY45" s="36"/>
      <c r="IZ45" s="36"/>
      <c r="JA45" s="36"/>
      <c r="JB45" s="36"/>
      <c r="JC45" s="36"/>
      <c r="JD45" s="36"/>
      <c r="JE45" s="36"/>
      <c r="JF45" s="36"/>
      <c r="JG45" s="36"/>
      <c r="JH45" s="36"/>
      <c r="JI45" s="36"/>
      <c r="JJ45" s="36"/>
      <c r="JK45" s="36"/>
      <c r="JL45" s="37"/>
      <c r="JM45" s="44"/>
      <c r="JN45" s="36"/>
      <c r="JO45" s="36"/>
      <c r="JP45" s="36"/>
      <c r="JQ45" s="36"/>
      <c r="JR45" s="36"/>
      <c r="JS45" s="36"/>
      <c r="JT45" s="36"/>
      <c r="JU45" s="36"/>
      <c r="JV45" s="36"/>
      <c r="JW45" s="36"/>
      <c r="JX45" s="36"/>
      <c r="JY45" s="36"/>
      <c r="JZ45" s="36"/>
      <c r="KA45" s="36"/>
      <c r="KB45" s="36"/>
      <c r="KC45" s="37"/>
      <c r="KD45" s="44"/>
      <c r="KE45" s="36"/>
      <c r="KF45" s="36"/>
      <c r="KG45" s="36"/>
      <c r="KH45" s="36"/>
      <c r="KI45" s="36"/>
      <c r="KJ45" s="36"/>
      <c r="KK45" s="36"/>
      <c r="KL45" s="36"/>
      <c r="KM45" s="36"/>
      <c r="KN45" s="36"/>
      <c r="KO45" s="36"/>
      <c r="KP45" s="36"/>
      <c r="KQ45" s="36"/>
      <c r="KR45" s="36"/>
      <c r="KS45" s="36"/>
      <c r="KT45" s="37"/>
      <c r="KU45" s="36"/>
    </row>
    <row r="46" ht="33.75" customHeight="1">
      <c r="A46" s="136" t="s">
        <v>34</v>
      </c>
      <c r="B46" s="137" t="s">
        <v>35</v>
      </c>
      <c r="C46" s="138" t="s">
        <v>36</v>
      </c>
      <c r="D46" s="66"/>
      <c r="E46" s="66"/>
      <c r="F46" s="66"/>
      <c r="G46" s="67"/>
      <c r="H46" s="138" t="s">
        <v>37</v>
      </c>
      <c r="I46" s="67"/>
      <c r="J46" s="138" t="s">
        <v>38</v>
      </c>
      <c r="K46" s="66"/>
      <c r="L46" s="67"/>
      <c r="M46" s="137" t="s">
        <v>39</v>
      </c>
      <c r="N46" s="138" t="s">
        <v>40</v>
      </c>
      <c r="O46" s="67"/>
      <c r="P46" s="139" t="s">
        <v>41</v>
      </c>
      <c r="Q46" s="140"/>
      <c r="R46" s="136" t="s">
        <v>34</v>
      </c>
      <c r="S46" s="137" t="s">
        <v>35</v>
      </c>
      <c r="T46" s="138" t="s">
        <v>36</v>
      </c>
      <c r="U46" s="66"/>
      <c r="V46" s="66"/>
      <c r="W46" s="66"/>
      <c r="X46" s="67"/>
      <c r="Y46" s="138" t="s">
        <v>37</v>
      </c>
      <c r="Z46" s="67"/>
      <c r="AA46" s="138" t="s">
        <v>38</v>
      </c>
      <c r="AB46" s="66"/>
      <c r="AC46" s="67"/>
      <c r="AD46" s="137" t="s">
        <v>39</v>
      </c>
      <c r="AE46" s="138" t="s">
        <v>40</v>
      </c>
      <c r="AF46" s="67"/>
      <c r="AG46" s="139" t="s">
        <v>41</v>
      </c>
      <c r="AH46" s="140"/>
      <c r="AI46" s="136" t="s">
        <v>34</v>
      </c>
      <c r="AJ46" s="137" t="s">
        <v>35</v>
      </c>
      <c r="AK46" s="138" t="s">
        <v>36</v>
      </c>
      <c r="AL46" s="66"/>
      <c r="AM46" s="66"/>
      <c r="AN46" s="66"/>
      <c r="AO46" s="67"/>
      <c r="AP46" s="138" t="s">
        <v>37</v>
      </c>
      <c r="AQ46" s="67"/>
      <c r="AR46" s="138" t="s">
        <v>38</v>
      </c>
      <c r="AS46" s="66"/>
      <c r="AT46" s="67"/>
      <c r="AU46" s="137" t="s">
        <v>39</v>
      </c>
      <c r="AV46" s="138" t="s">
        <v>40</v>
      </c>
      <c r="AW46" s="67"/>
      <c r="AX46" s="139" t="s">
        <v>41</v>
      </c>
      <c r="AY46" s="140"/>
      <c r="AZ46" s="136" t="s">
        <v>34</v>
      </c>
      <c r="BA46" s="137" t="s">
        <v>35</v>
      </c>
      <c r="BB46" s="138" t="s">
        <v>36</v>
      </c>
      <c r="BC46" s="66"/>
      <c r="BD46" s="66"/>
      <c r="BE46" s="66"/>
      <c r="BF46" s="67"/>
      <c r="BG46" s="138" t="s">
        <v>37</v>
      </c>
      <c r="BH46" s="67"/>
      <c r="BI46" s="138" t="s">
        <v>38</v>
      </c>
      <c r="BJ46" s="66"/>
      <c r="BK46" s="67"/>
      <c r="BL46" s="137" t="s">
        <v>39</v>
      </c>
      <c r="BM46" s="138" t="s">
        <v>40</v>
      </c>
      <c r="BN46" s="67"/>
      <c r="BO46" s="139" t="s">
        <v>41</v>
      </c>
      <c r="BP46" s="140"/>
      <c r="BQ46" s="136" t="s">
        <v>34</v>
      </c>
      <c r="BR46" s="137" t="s">
        <v>35</v>
      </c>
      <c r="BS46" s="138" t="s">
        <v>36</v>
      </c>
      <c r="BT46" s="66"/>
      <c r="BU46" s="66"/>
      <c r="BV46" s="66"/>
      <c r="BW46" s="67"/>
      <c r="BX46" s="138" t="s">
        <v>37</v>
      </c>
      <c r="BY46" s="67"/>
      <c r="BZ46" s="138" t="s">
        <v>38</v>
      </c>
      <c r="CA46" s="66"/>
      <c r="CB46" s="67"/>
      <c r="CC46" s="137" t="s">
        <v>39</v>
      </c>
      <c r="CD46" s="138" t="s">
        <v>40</v>
      </c>
      <c r="CE46" s="67"/>
      <c r="CF46" s="139" t="s">
        <v>41</v>
      </c>
      <c r="CG46" s="140"/>
      <c r="CH46" s="136" t="s">
        <v>34</v>
      </c>
      <c r="CI46" s="137" t="s">
        <v>35</v>
      </c>
      <c r="CJ46" s="138" t="s">
        <v>36</v>
      </c>
      <c r="CK46" s="66"/>
      <c r="CL46" s="66"/>
      <c r="CM46" s="66"/>
      <c r="CN46" s="67"/>
      <c r="CO46" s="138" t="s">
        <v>37</v>
      </c>
      <c r="CP46" s="67"/>
      <c r="CQ46" s="138" t="s">
        <v>38</v>
      </c>
      <c r="CR46" s="66"/>
      <c r="CS46" s="67"/>
      <c r="CT46" s="137" t="s">
        <v>39</v>
      </c>
      <c r="CU46" s="138" t="s">
        <v>40</v>
      </c>
      <c r="CV46" s="67"/>
      <c r="CW46" s="139" t="s">
        <v>41</v>
      </c>
      <c r="CX46" s="140"/>
      <c r="CY46" s="136" t="s">
        <v>34</v>
      </c>
      <c r="CZ46" s="137" t="s">
        <v>35</v>
      </c>
      <c r="DA46" s="138" t="s">
        <v>36</v>
      </c>
      <c r="DB46" s="66"/>
      <c r="DC46" s="66"/>
      <c r="DD46" s="66"/>
      <c r="DE46" s="67"/>
      <c r="DF46" s="138" t="s">
        <v>37</v>
      </c>
      <c r="DG46" s="67"/>
      <c r="DH46" s="138" t="s">
        <v>38</v>
      </c>
      <c r="DI46" s="66"/>
      <c r="DJ46" s="67"/>
      <c r="DK46" s="137" t="s">
        <v>39</v>
      </c>
      <c r="DL46" s="138" t="s">
        <v>40</v>
      </c>
      <c r="DM46" s="67"/>
      <c r="DN46" s="139" t="s">
        <v>41</v>
      </c>
      <c r="DO46" s="140"/>
      <c r="DP46" s="136" t="s">
        <v>34</v>
      </c>
      <c r="DQ46" s="137" t="s">
        <v>35</v>
      </c>
      <c r="DR46" s="138" t="s">
        <v>36</v>
      </c>
      <c r="DS46" s="66"/>
      <c r="DT46" s="66"/>
      <c r="DU46" s="66"/>
      <c r="DV46" s="67"/>
      <c r="DW46" s="138" t="s">
        <v>37</v>
      </c>
      <c r="DX46" s="67"/>
      <c r="DY46" s="138" t="s">
        <v>38</v>
      </c>
      <c r="DZ46" s="66"/>
      <c r="EA46" s="67"/>
      <c r="EB46" s="137" t="s">
        <v>39</v>
      </c>
      <c r="EC46" s="138" t="s">
        <v>40</v>
      </c>
      <c r="ED46" s="67"/>
      <c r="EE46" s="139" t="s">
        <v>41</v>
      </c>
      <c r="EF46" s="140"/>
      <c r="EG46" s="136" t="s">
        <v>34</v>
      </c>
      <c r="EH46" s="137" t="s">
        <v>35</v>
      </c>
      <c r="EI46" s="138" t="s">
        <v>36</v>
      </c>
      <c r="EJ46" s="66"/>
      <c r="EK46" s="66"/>
      <c r="EL46" s="66"/>
      <c r="EM46" s="67"/>
      <c r="EN46" s="138" t="s">
        <v>37</v>
      </c>
      <c r="EO46" s="67"/>
      <c r="EP46" s="138" t="s">
        <v>38</v>
      </c>
      <c r="EQ46" s="66"/>
      <c r="ER46" s="67"/>
      <c r="ES46" s="137" t="s">
        <v>39</v>
      </c>
      <c r="ET46" s="138" t="s">
        <v>40</v>
      </c>
      <c r="EU46" s="67"/>
      <c r="EV46" s="139" t="s">
        <v>41</v>
      </c>
      <c r="EW46" s="140"/>
      <c r="EX46" s="136" t="s">
        <v>34</v>
      </c>
      <c r="EY46" s="137" t="s">
        <v>35</v>
      </c>
      <c r="EZ46" s="138" t="s">
        <v>36</v>
      </c>
      <c r="FA46" s="66"/>
      <c r="FB46" s="66"/>
      <c r="FC46" s="66"/>
      <c r="FD46" s="67"/>
      <c r="FE46" s="138" t="s">
        <v>37</v>
      </c>
      <c r="FF46" s="67"/>
      <c r="FG46" s="138" t="s">
        <v>38</v>
      </c>
      <c r="FH46" s="66"/>
      <c r="FI46" s="67"/>
      <c r="FJ46" s="137" t="s">
        <v>39</v>
      </c>
      <c r="FK46" s="138" t="s">
        <v>40</v>
      </c>
      <c r="FL46" s="67"/>
      <c r="FM46" s="139" t="s">
        <v>41</v>
      </c>
      <c r="FN46" s="140"/>
      <c r="FO46" s="136" t="s">
        <v>34</v>
      </c>
      <c r="FP46" s="137" t="s">
        <v>35</v>
      </c>
      <c r="FQ46" s="138" t="s">
        <v>36</v>
      </c>
      <c r="FR46" s="66"/>
      <c r="FS46" s="66"/>
      <c r="FT46" s="66"/>
      <c r="FU46" s="67"/>
      <c r="FV46" s="138" t="s">
        <v>37</v>
      </c>
      <c r="FW46" s="67"/>
      <c r="FX46" s="138" t="s">
        <v>38</v>
      </c>
      <c r="FY46" s="66"/>
      <c r="FZ46" s="67"/>
      <c r="GA46" s="137" t="s">
        <v>39</v>
      </c>
      <c r="GB46" s="138" t="s">
        <v>40</v>
      </c>
      <c r="GC46" s="67"/>
      <c r="GD46" s="139" t="s">
        <v>41</v>
      </c>
      <c r="GE46" s="140"/>
      <c r="GF46" s="136" t="s">
        <v>34</v>
      </c>
      <c r="GG46" s="137" t="s">
        <v>35</v>
      </c>
      <c r="GH46" s="138" t="s">
        <v>36</v>
      </c>
      <c r="GI46" s="66"/>
      <c r="GJ46" s="66"/>
      <c r="GK46" s="66"/>
      <c r="GL46" s="67"/>
      <c r="GM46" s="138" t="s">
        <v>37</v>
      </c>
      <c r="GN46" s="67"/>
      <c r="GO46" s="138" t="s">
        <v>38</v>
      </c>
      <c r="GP46" s="66"/>
      <c r="GQ46" s="67"/>
      <c r="GR46" s="137" t="s">
        <v>39</v>
      </c>
      <c r="GS46" s="138" t="s">
        <v>40</v>
      </c>
      <c r="GT46" s="67"/>
      <c r="GU46" s="139" t="s">
        <v>41</v>
      </c>
      <c r="GV46" s="140"/>
      <c r="GW46" s="136" t="s">
        <v>34</v>
      </c>
      <c r="GX46" s="137" t="s">
        <v>35</v>
      </c>
      <c r="GY46" s="138" t="s">
        <v>36</v>
      </c>
      <c r="GZ46" s="66"/>
      <c r="HA46" s="66"/>
      <c r="HB46" s="66"/>
      <c r="HC46" s="67"/>
      <c r="HD46" s="138" t="s">
        <v>37</v>
      </c>
      <c r="HE46" s="67"/>
      <c r="HF46" s="138" t="s">
        <v>38</v>
      </c>
      <c r="HG46" s="66"/>
      <c r="HH46" s="67"/>
      <c r="HI46" s="137" t="s">
        <v>39</v>
      </c>
      <c r="HJ46" s="138" t="s">
        <v>40</v>
      </c>
      <c r="HK46" s="67"/>
      <c r="HL46" s="139" t="s">
        <v>41</v>
      </c>
      <c r="HM46" s="140"/>
      <c r="HN46" s="136" t="s">
        <v>34</v>
      </c>
      <c r="HO46" s="137" t="s">
        <v>35</v>
      </c>
      <c r="HP46" s="138" t="s">
        <v>36</v>
      </c>
      <c r="HQ46" s="66"/>
      <c r="HR46" s="66"/>
      <c r="HS46" s="66"/>
      <c r="HT46" s="67"/>
      <c r="HU46" s="138" t="s">
        <v>37</v>
      </c>
      <c r="HV46" s="67"/>
      <c r="HW46" s="138" t="s">
        <v>38</v>
      </c>
      <c r="HX46" s="66"/>
      <c r="HY46" s="67"/>
      <c r="HZ46" s="137" t="s">
        <v>39</v>
      </c>
      <c r="IA46" s="138" t="s">
        <v>40</v>
      </c>
      <c r="IB46" s="67"/>
      <c r="IC46" s="139" t="s">
        <v>41</v>
      </c>
      <c r="ID46" s="140"/>
      <c r="IE46" s="136" t="s">
        <v>34</v>
      </c>
      <c r="IF46" s="137" t="s">
        <v>35</v>
      </c>
      <c r="IG46" s="138" t="s">
        <v>36</v>
      </c>
      <c r="IH46" s="66"/>
      <c r="II46" s="66"/>
      <c r="IJ46" s="66"/>
      <c r="IK46" s="67"/>
      <c r="IL46" s="138" t="s">
        <v>37</v>
      </c>
      <c r="IM46" s="67"/>
      <c r="IN46" s="138" t="s">
        <v>38</v>
      </c>
      <c r="IO46" s="66"/>
      <c r="IP46" s="67"/>
      <c r="IQ46" s="137" t="s">
        <v>39</v>
      </c>
      <c r="IR46" s="138" t="s">
        <v>40</v>
      </c>
      <c r="IS46" s="67"/>
      <c r="IT46" s="139" t="s">
        <v>41</v>
      </c>
      <c r="IU46" s="140"/>
      <c r="IV46" s="136" t="s">
        <v>34</v>
      </c>
      <c r="IW46" s="137" t="s">
        <v>35</v>
      </c>
      <c r="IX46" s="138" t="s">
        <v>36</v>
      </c>
      <c r="IY46" s="66"/>
      <c r="IZ46" s="66"/>
      <c r="JA46" s="66"/>
      <c r="JB46" s="67"/>
      <c r="JC46" s="138" t="s">
        <v>37</v>
      </c>
      <c r="JD46" s="67"/>
      <c r="JE46" s="138" t="s">
        <v>38</v>
      </c>
      <c r="JF46" s="66"/>
      <c r="JG46" s="67"/>
      <c r="JH46" s="137" t="s">
        <v>39</v>
      </c>
      <c r="JI46" s="138" t="s">
        <v>40</v>
      </c>
      <c r="JJ46" s="67"/>
      <c r="JK46" s="139" t="s">
        <v>41</v>
      </c>
      <c r="JL46" s="141"/>
      <c r="JM46" s="136" t="s">
        <v>34</v>
      </c>
      <c r="JN46" s="137" t="s">
        <v>35</v>
      </c>
      <c r="JO46" s="138" t="s">
        <v>36</v>
      </c>
      <c r="JP46" s="66"/>
      <c r="JQ46" s="66"/>
      <c r="JR46" s="66"/>
      <c r="JS46" s="67"/>
      <c r="JT46" s="138" t="s">
        <v>37</v>
      </c>
      <c r="JU46" s="67"/>
      <c r="JV46" s="138" t="s">
        <v>38</v>
      </c>
      <c r="JW46" s="66"/>
      <c r="JX46" s="67"/>
      <c r="JY46" s="137" t="s">
        <v>39</v>
      </c>
      <c r="JZ46" s="138" t="s">
        <v>40</v>
      </c>
      <c r="KA46" s="67"/>
      <c r="KB46" s="139" t="s">
        <v>41</v>
      </c>
      <c r="KC46" s="141"/>
      <c r="KD46" s="136" t="s">
        <v>34</v>
      </c>
      <c r="KE46" s="137" t="s">
        <v>35</v>
      </c>
      <c r="KF46" s="138" t="s">
        <v>36</v>
      </c>
      <c r="KG46" s="66"/>
      <c r="KH46" s="66"/>
      <c r="KI46" s="66"/>
      <c r="KJ46" s="67"/>
      <c r="KK46" s="138" t="s">
        <v>37</v>
      </c>
      <c r="KL46" s="67"/>
      <c r="KM46" s="138" t="s">
        <v>38</v>
      </c>
      <c r="KN46" s="66"/>
      <c r="KO46" s="67"/>
      <c r="KP46" s="137" t="s">
        <v>39</v>
      </c>
      <c r="KQ46" s="138" t="s">
        <v>40</v>
      </c>
      <c r="KR46" s="67"/>
      <c r="KS46" s="139" t="s">
        <v>41</v>
      </c>
      <c r="KT46" s="141"/>
      <c r="KU46" s="142"/>
    </row>
    <row r="47" ht="66.0" customHeight="1">
      <c r="A47" s="72"/>
      <c r="B47" s="55"/>
      <c r="C47" s="143" t="s">
        <v>42</v>
      </c>
      <c r="D47" s="143" t="s">
        <v>43</v>
      </c>
      <c r="E47" s="143" t="s">
        <v>44</v>
      </c>
      <c r="F47" s="143" t="s">
        <v>63</v>
      </c>
      <c r="G47" s="143" t="s">
        <v>46</v>
      </c>
      <c r="H47" s="144" t="s">
        <v>64</v>
      </c>
      <c r="I47" s="143" t="s">
        <v>48</v>
      </c>
      <c r="J47" s="144" t="s">
        <v>65</v>
      </c>
      <c r="K47" s="143" t="s">
        <v>66</v>
      </c>
      <c r="L47" s="143" t="s">
        <v>67</v>
      </c>
      <c r="M47" s="55"/>
      <c r="N47" s="144" t="s">
        <v>64</v>
      </c>
      <c r="O47" s="144" t="s">
        <v>50</v>
      </c>
      <c r="P47" s="75"/>
      <c r="Q47" s="140"/>
      <c r="R47" s="72"/>
      <c r="S47" s="55"/>
      <c r="T47" s="143" t="s">
        <v>42</v>
      </c>
      <c r="U47" s="143" t="s">
        <v>43</v>
      </c>
      <c r="V47" s="143" t="s">
        <v>44</v>
      </c>
      <c r="W47" s="143" t="s">
        <v>63</v>
      </c>
      <c r="X47" s="143" t="s">
        <v>46</v>
      </c>
      <c r="Y47" s="144" t="s">
        <v>64</v>
      </c>
      <c r="Z47" s="143" t="s">
        <v>48</v>
      </c>
      <c r="AA47" s="144" t="s">
        <v>65</v>
      </c>
      <c r="AB47" s="143" t="s">
        <v>66</v>
      </c>
      <c r="AC47" s="143" t="s">
        <v>67</v>
      </c>
      <c r="AD47" s="55"/>
      <c r="AE47" s="144" t="s">
        <v>64</v>
      </c>
      <c r="AF47" s="144" t="s">
        <v>50</v>
      </c>
      <c r="AG47" s="75"/>
      <c r="AH47" s="140"/>
      <c r="AI47" s="72"/>
      <c r="AJ47" s="55"/>
      <c r="AK47" s="143" t="s">
        <v>42</v>
      </c>
      <c r="AL47" s="143" t="s">
        <v>43</v>
      </c>
      <c r="AM47" s="143" t="s">
        <v>44</v>
      </c>
      <c r="AN47" s="143" t="s">
        <v>63</v>
      </c>
      <c r="AO47" s="143" t="s">
        <v>46</v>
      </c>
      <c r="AP47" s="144" t="s">
        <v>64</v>
      </c>
      <c r="AQ47" s="143" t="s">
        <v>48</v>
      </c>
      <c r="AR47" s="144" t="s">
        <v>65</v>
      </c>
      <c r="AS47" s="143" t="s">
        <v>66</v>
      </c>
      <c r="AT47" s="143" t="s">
        <v>67</v>
      </c>
      <c r="AU47" s="55"/>
      <c r="AV47" s="144" t="s">
        <v>64</v>
      </c>
      <c r="AW47" s="144" t="s">
        <v>50</v>
      </c>
      <c r="AX47" s="75"/>
      <c r="AY47" s="140"/>
      <c r="AZ47" s="72"/>
      <c r="BA47" s="55"/>
      <c r="BB47" s="143" t="s">
        <v>42</v>
      </c>
      <c r="BC47" s="143" t="s">
        <v>43</v>
      </c>
      <c r="BD47" s="143" t="s">
        <v>44</v>
      </c>
      <c r="BE47" s="143" t="s">
        <v>63</v>
      </c>
      <c r="BF47" s="143" t="s">
        <v>46</v>
      </c>
      <c r="BG47" s="144" t="s">
        <v>64</v>
      </c>
      <c r="BH47" s="143" t="s">
        <v>48</v>
      </c>
      <c r="BI47" s="144" t="s">
        <v>65</v>
      </c>
      <c r="BJ47" s="143" t="s">
        <v>66</v>
      </c>
      <c r="BK47" s="143" t="s">
        <v>67</v>
      </c>
      <c r="BL47" s="55"/>
      <c r="BM47" s="144" t="s">
        <v>64</v>
      </c>
      <c r="BN47" s="144" t="s">
        <v>50</v>
      </c>
      <c r="BO47" s="75"/>
      <c r="BP47" s="140"/>
      <c r="BQ47" s="72"/>
      <c r="BR47" s="55"/>
      <c r="BS47" s="143" t="s">
        <v>42</v>
      </c>
      <c r="BT47" s="143" t="s">
        <v>43</v>
      </c>
      <c r="BU47" s="143" t="s">
        <v>44</v>
      </c>
      <c r="BV47" s="143" t="s">
        <v>63</v>
      </c>
      <c r="BW47" s="143" t="s">
        <v>46</v>
      </c>
      <c r="BX47" s="144" t="s">
        <v>64</v>
      </c>
      <c r="BY47" s="143" t="s">
        <v>48</v>
      </c>
      <c r="BZ47" s="144" t="s">
        <v>65</v>
      </c>
      <c r="CA47" s="143" t="s">
        <v>66</v>
      </c>
      <c r="CB47" s="143" t="s">
        <v>67</v>
      </c>
      <c r="CC47" s="55"/>
      <c r="CD47" s="144" t="s">
        <v>64</v>
      </c>
      <c r="CE47" s="144" t="s">
        <v>50</v>
      </c>
      <c r="CF47" s="75"/>
      <c r="CG47" s="140"/>
      <c r="CH47" s="72"/>
      <c r="CI47" s="55"/>
      <c r="CJ47" s="143" t="s">
        <v>42</v>
      </c>
      <c r="CK47" s="143" t="s">
        <v>43</v>
      </c>
      <c r="CL47" s="143" t="s">
        <v>44</v>
      </c>
      <c r="CM47" s="143" t="s">
        <v>63</v>
      </c>
      <c r="CN47" s="143" t="s">
        <v>46</v>
      </c>
      <c r="CO47" s="144" t="s">
        <v>64</v>
      </c>
      <c r="CP47" s="143" t="s">
        <v>48</v>
      </c>
      <c r="CQ47" s="144" t="s">
        <v>65</v>
      </c>
      <c r="CR47" s="143" t="s">
        <v>66</v>
      </c>
      <c r="CS47" s="143" t="s">
        <v>67</v>
      </c>
      <c r="CT47" s="55"/>
      <c r="CU47" s="144" t="s">
        <v>64</v>
      </c>
      <c r="CV47" s="144" t="s">
        <v>50</v>
      </c>
      <c r="CW47" s="75"/>
      <c r="CX47" s="140"/>
      <c r="CY47" s="72"/>
      <c r="CZ47" s="55"/>
      <c r="DA47" s="143" t="s">
        <v>42</v>
      </c>
      <c r="DB47" s="143" t="s">
        <v>43</v>
      </c>
      <c r="DC47" s="143" t="s">
        <v>44</v>
      </c>
      <c r="DD47" s="143" t="s">
        <v>63</v>
      </c>
      <c r="DE47" s="143" t="s">
        <v>46</v>
      </c>
      <c r="DF47" s="144" t="s">
        <v>64</v>
      </c>
      <c r="DG47" s="143" t="s">
        <v>48</v>
      </c>
      <c r="DH47" s="144" t="s">
        <v>65</v>
      </c>
      <c r="DI47" s="143" t="s">
        <v>66</v>
      </c>
      <c r="DJ47" s="143" t="s">
        <v>67</v>
      </c>
      <c r="DK47" s="55"/>
      <c r="DL47" s="144" t="s">
        <v>64</v>
      </c>
      <c r="DM47" s="144" t="s">
        <v>50</v>
      </c>
      <c r="DN47" s="75"/>
      <c r="DO47" s="140"/>
      <c r="DP47" s="72"/>
      <c r="DQ47" s="55"/>
      <c r="DR47" s="143" t="s">
        <v>42</v>
      </c>
      <c r="DS47" s="143" t="s">
        <v>43</v>
      </c>
      <c r="DT47" s="143" t="s">
        <v>44</v>
      </c>
      <c r="DU47" s="143" t="s">
        <v>63</v>
      </c>
      <c r="DV47" s="143" t="s">
        <v>46</v>
      </c>
      <c r="DW47" s="144" t="s">
        <v>64</v>
      </c>
      <c r="DX47" s="143" t="s">
        <v>48</v>
      </c>
      <c r="DY47" s="144" t="s">
        <v>65</v>
      </c>
      <c r="DZ47" s="143" t="s">
        <v>66</v>
      </c>
      <c r="EA47" s="143" t="s">
        <v>67</v>
      </c>
      <c r="EB47" s="55"/>
      <c r="EC47" s="144" t="s">
        <v>64</v>
      </c>
      <c r="ED47" s="144" t="s">
        <v>50</v>
      </c>
      <c r="EE47" s="75"/>
      <c r="EF47" s="140"/>
      <c r="EG47" s="72"/>
      <c r="EH47" s="55"/>
      <c r="EI47" s="143" t="s">
        <v>42</v>
      </c>
      <c r="EJ47" s="143" t="s">
        <v>43</v>
      </c>
      <c r="EK47" s="143" t="s">
        <v>44</v>
      </c>
      <c r="EL47" s="143" t="s">
        <v>63</v>
      </c>
      <c r="EM47" s="143" t="s">
        <v>46</v>
      </c>
      <c r="EN47" s="144" t="s">
        <v>64</v>
      </c>
      <c r="EO47" s="143" t="s">
        <v>48</v>
      </c>
      <c r="EP47" s="144" t="s">
        <v>65</v>
      </c>
      <c r="EQ47" s="143" t="s">
        <v>66</v>
      </c>
      <c r="ER47" s="143" t="s">
        <v>67</v>
      </c>
      <c r="ES47" s="55"/>
      <c r="ET47" s="144" t="s">
        <v>64</v>
      </c>
      <c r="EU47" s="144" t="s">
        <v>50</v>
      </c>
      <c r="EV47" s="75"/>
      <c r="EW47" s="140"/>
      <c r="EX47" s="72"/>
      <c r="EY47" s="55"/>
      <c r="EZ47" s="143" t="s">
        <v>42</v>
      </c>
      <c r="FA47" s="143" t="s">
        <v>43</v>
      </c>
      <c r="FB47" s="143" t="s">
        <v>44</v>
      </c>
      <c r="FC47" s="143" t="s">
        <v>63</v>
      </c>
      <c r="FD47" s="143" t="s">
        <v>46</v>
      </c>
      <c r="FE47" s="144" t="s">
        <v>64</v>
      </c>
      <c r="FF47" s="143" t="s">
        <v>48</v>
      </c>
      <c r="FG47" s="144" t="s">
        <v>65</v>
      </c>
      <c r="FH47" s="143" t="s">
        <v>66</v>
      </c>
      <c r="FI47" s="143" t="s">
        <v>67</v>
      </c>
      <c r="FJ47" s="55"/>
      <c r="FK47" s="144" t="s">
        <v>64</v>
      </c>
      <c r="FL47" s="144" t="s">
        <v>50</v>
      </c>
      <c r="FM47" s="75"/>
      <c r="FN47" s="140"/>
      <c r="FO47" s="72"/>
      <c r="FP47" s="55"/>
      <c r="FQ47" s="143" t="s">
        <v>42</v>
      </c>
      <c r="FR47" s="143" t="s">
        <v>43</v>
      </c>
      <c r="FS47" s="143" t="s">
        <v>44</v>
      </c>
      <c r="FT47" s="143" t="s">
        <v>63</v>
      </c>
      <c r="FU47" s="143" t="s">
        <v>46</v>
      </c>
      <c r="FV47" s="144" t="s">
        <v>64</v>
      </c>
      <c r="FW47" s="143" t="s">
        <v>48</v>
      </c>
      <c r="FX47" s="144" t="s">
        <v>65</v>
      </c>
      <c r="FY47" s="143" t="s">
        <v>66</v>
      </c>
      <c r="FZ47" s="143" t="s">
        <v>67</v>
      </c>
      <c r="GA47" s="55"/>
      <c r="GB47" s="144" t="s">
        <v>64</v>
      </c>
      <c r="GC47" s="144" t="s">
        <v>50</v>
      </c>
      <c r="GD47" s="75"/>
      <c r="GE47" s="140"/>
      <c r="GF47" s="72"/>
      <c r="GG47" s="55"/>
      <c r="GH47" s="143" t="s">
        <v>42</v>
      </c>
      <c r="GI47" s="143" t="s">
        <v>43</v>
      </c>
      <c r="GJ47" s="143" t="s">
        <v>44</v>
      </c>
      <c r="GK47" s="143" t="s">
        <v>63</v>
      </c>
      <c r="GL47" s="143" t="s">
        <v>46</v>
      </c>
      <c r="GM47" s="144" t="s">
        <v>64</v>
      </c>
      <c r="GN47" s="143" t="s">
        <v>48</v>
      </c>
      <c r="GO47" s="144" t="s">
        <v>65</v>
      </c>
      <c r="GP47" s="143" t="s">
        <v>66</v>
      </c>
      <c r="GQ47" s="143" t="s">
        <v>67</v>
      </c>
      <c r="GR47" s="55"/>
      <c r="GS47" s="144" t="s">
        <v>64</v>
      </c>
      <c r="GT47" s="144" t="s">
        <v>50</v>
      </c>
      <c r="GU47" s="75"/>
      <c r="GV47" s="140"/>
      <c r="GW47" s="72"/>
      <c r="GX47" s="55"/>
      <c r="GY47" s="143" t="s">
        <v>42</v>
      </c>
      <c r="GZ47" s="143" t="s">
        <v>43</v>
      </c>
      <c r="HA47" s="143" t="s">
        <v>44</v>
      </c>
      <c r="HB47" s="143" t="s">
        <v>63</v>
      </c>
      <c r="HC47" s="143" t="s">
        <v>46</v>
      </c>
      <c r="HD47" s="144" t="s">
        <v>64</v>
      </c>
      <c r="HE47" s="143" t="s">
        <v>48</v>
      </c>
      <c r="HF47" s="144" t="s">
        <v>65</v>
      </c>
      <c r="HG47" s="143" t="s">
        <v>66</v>
      </c>
      <c r="HH47" s="143" t="s">
        <v>67</v>
      </c>
      <c r="HI47" s="55"/>
      <c r="HJ47" s="144" t="s">
        <v>64</v>
      </c>
      <c r="HK47" s="144" t="s">
        <v>50</v>
      </c>
      <c r="HL47" s="75"/>
      <c r="HM47" s="140"/>
      <c r="HN47" s="72"/>
      <c r="HO47" s="55"/>
      <c r="HP47" s="143" t="s">
        <v>42</v>
      </c>
      <c r="HQ47" s="143" t="s">
        <v>43</v>
      </c>
      <c r="HR47" s="143" t="s">
        <v>44</v>
      </c>
      <c r="HS47" s="143" t="s">
        <v>63</v>
      </c>
      <c r="HT47" s="143" t="s">
        <v>46</v>
      </c>
      <c r="HU47" s="144" t="s">
        <v>64</v>
      </c>
      <c r="HV47" s="143" t="s">
        <v>48</v>
      </c>
      <c r="HW47" s="144" t="s">
        <v>65</v>
      </c>
      <c r="HX47" s="143" t="s">
        <v>66</v>
      </c>
      <c r="HY47" s="143" t="s">
        <v>67</v>
      </c>
      <c r="HZ47" s="55"/>
      <c r="IA47" s="144" t="s">
        <v>64</v>
      </c>
      <c r="IB47" s="144" t="s">
        <v>50</v>
      </c>
      <c r="IC47" s="75"/>
      <c r="ID47" s="140"/>
      <c r="IE47" s="72"/>
      <c r="IF47" s="55"/>
      <c r="IG47" s="143" t="s">
        <v>42</v>
      </c>
      <c r="IH47" s="143" t="s">
        <v>43</v>
      </c>
      <c r="II47" s="143" t="s">
        <v>44</v>
      </c>
      <c r="IJ47" s="143" t="s">
        <v>63</v>
      </c>
      <c r="IK47" s="143" t="s">
        <v>46</v>
      </c>
      <c r="IL47" s="144" t="s">
        <v>64</v>
      </c>
      <c r="IM47" s="143" t="s">
        <v>48</v>
      </c>
      <c r="IN47" s="144" t="s">
        <v>65</v>
      </c>
      <c r="IO47" s="143" t="s">
        <v>66</v>
      </c>
      <c r="IP47" s="143" t="s">
        <v>67</v>
      </c>
      <c r="IQ47" s="55"/>
      <c r="IR47" s="144" t="s">
        <v>64</v>
      </c>
      <c r="IS47" s="144" t="s">
        <v>50</v>
      </c>
      <c r="IT47" s="75"/>
      <c r="IU47" s="140"/>
      <c r="IV47" s="72"/>
      <c r="IW47" s="55"/>
      <c r="IX47" s="143" t="s">
        <v>42</v>
      </c>
      <c r="IY47" s="143" t="s">
        <v>43</v>
      </c>
      <c r="IZ47" s="143" t="s">
        <v>44</v>
      </c>
      <c r="JA47" s="143" t="s">
        <v>63</v>
      </c>
      <c r="JB47" s="143" t="s">
        <v>46</v>
      </c>
      <c r="JC47" s="144" t="s">
        <v>64</v>
      </c>
      <c r="JD47" s="143" t="s">
        <v>48</v>
      </c>
      <c r="JE47" s="144" t="s">
        <v>65</v>
      </c>
      <c r="JF47" s="143" t="s">
        <v>66</v>
      </c>
      <c r="JG47" s="143" t="s">
        <v>67</v>
      </c>
      <c r="JH47" s="55"/>
      <c r="JI47" s="144" t="s">
        <v>64</v>
      </c>
      <c r="JJ47" s="144" t="s">
        <v>50</v>
      </c>
      <c r="JK47" s="75"/>
      <c r="JL47" s="141"/>
      <c r="JM47" s="72"/>
      <c r="JN47" s="55"/>
      <c r="JO47" s="143" t="s">
        <v>42</v>
      </c>
      <c r="JP47" s="143" t="s">
        <v>43</v>
      </c>
      <c r="JQ47" s="143" t="s">
        <v>44</v>
      </c>
      <c r="JR47" s="143" t="s">
        <v>63</v>
      </c>
      <c r="JS47" s="143" t="s">
        <v>46</v>
      </c>
      <c r="JT47" s="144" t="s">
        <v>64</v>
      </c>
      <c r="JU47" s="143" t="s">
        <v>48</v>
      </c>
      <c r="JV47" s="144" t="s">
        <v>65</v>
      </c>
      <c r="JW47" s="143" t="s">
        <v>66</v>
      </c>
      <c r="JX47" s="143" t="s">
        <v>67</v>
      </c>
      <c r="JY47" s="55"/>
      <c r="JZ47" s="144" t="s">
        <v>64</v>
      </c>
      <c r="KA47" s="144" t="s">
        <v>50</v>
      </c>
      <c r="KB47" s="75"/>
      <c r="KC47" s="141"/>
      <c r="KD47" s="72"/>
      <c r="KE47" s="55"/>
      <c r="KF47" s="143" t="s">
        <v>42</v>
      </c>
      <c r="KG47" s="143" t="s">
        <v>43</v>
      </c>
      <c r="KH47" s="143" t="s">
        <v>44</v>
      </c>
      <c r="KI47" s="143" t="s">
        <v>63</v>
      </c>
      <c r="KJ47" s="143" t="s">
        <v>46</v>
      </c>
      <c r="KK47" s="144" t="s">
        <v>64</v>
      </c>
      <c r="KL47" s="143" t="s">
        <v>48</v>
      </c>
      <c r="KM47" s="144" t="s">
        <v>65</v>
      </c>
      <c r="KN47" s="143" t="s">
        <v>66</v>
      </c>
      <c r="KO47" s="143" t="s">
        <v>67</v>
      </c>
      <c r="KP47" s="55"/>
      <c r="KQ47" s="144" t="s">
        <v>64</v>
      </c>
      <c r="KR47" s="144" t="s">
        <v>50</v>
      </c>
      <c r="KS47" s="75"/>
      <c r="KT47" s="141"/>
      <c r="KU47" s="142"/>
    </row>
    <row r="48" ht="15.75" customHeight="1">
      <c r="A48" s="145">
        <v>-1.0</v>
      </c>
      <c r="B48" s="146">
        <v>-2.0</v>
      </c>
      <c r="C48" s="146">
        <v>-3.0</v>
      </c>
      <c r="D48" s="146">
        <v>-4.0</v>
      </c>
      <c r="E48" s="146">
        <v>-5.0</v>
      </c>
      <c r="F48" s="146">
        <v>-6.0</v>
      </c>
      <c r="G48" s="146">
        <v>-7.0</v>
      </c>
      <c r="H48" s="146">
        <v>-8.0</v>
      </c>
      <c r="I48" s="146">
        <v>-9.0</v>
      </c>
      <c r="J48" s="146">
        <v>-10.0</v>
      </c>
      <c r="K48" s="146">
        <v>-11.0</v>
      </c>
      <c r="L48" s="146">
        <v>-12.0</v>
      </c>
      <c r="M48" s="146">
        <v>-13.0</v>
      </c>
      <c r="N48" s="146">
        <v>-14.0</v>
      </c>
      <c r="O48" s="146">
        <v>-15.0</v>
      </c>
      <c r="P48" s="411">
        <v>-16.0</v>
      </c>
      <c r="Q48" s="147"/>
      <c r="R48" s="145">
        <v>-1.0</v>
      </c>
      <c r="S48" s="146">
        <v>-2.0</v>
      </c>
      <c r="T48" s="146">
        <v>-3.0</v>
      </c>
      <c r="U48" s="146">
        <v>-4.0</v>
      </c>
      <c r="V48" s="146">
        <v>-5.0</v>
      </c>
      <c r="W48" s="146">
        <v>-6.0</v>
      </c>
      <c r="X48" s="146">
        <v>-7.0</v>
      </c>
      <c r="Y48" s="146">
        <v>-8.0</v>
      </c>
      <c r="Z48" s="146">
        <v>-9.0</v>
      </c>
      <c r="AA48" s="146">
        <v>-10.0</v>
      </c>
      <c r="AB48" s="146">
        <v>-11.0</v>
      </c>
      <c r="AC48" s="146">
        <v>-12.0</v>
      </c>
      <c r="AD48" s="146">
        <v>-13.0</v>
      </c>
      <c r="AE48" s="146">
        <v>-14.0</v>
      </c>
      <c r="AF48" s="146">
        <v>-15.0</v>
      </c>
      <c r="AG48" s="146">
        <v>-16.0</v>
      </c>
      <c r="AH48" s="147"/>
      <c r="AI48" s="145">
        <v>-1.0</v>
      </c>
      <c r="AJ48" s="146">
        <v>-2.0</v>
      </c>
      <c r="AK48" s="146">
        <v>-3.0</v>
      </c>
      <c r="AL48" s="146">
        <v>-4.0</v>
      </c>
      <c r="AM48" s="146">
        <v>-5.0</v>
      </c>
      <c r="AN48" s="146">
        <v>-6.0</v>
      </c>
      <c r="AO48" s="146">
        <v>-7.0</v>
      </c>
      <c r="AP48" s="146">
        <v>-8.0</v>
      </c>
      <c r="AQ48" s="146">
        <v>-9.0</v>
      </c>
      <c r="AR48" s="146">
        <v>-10.0</v>
      </c>
      <c r="AS48" s="146">
        <v>-11.0</v>
      </c>
      <c r="AT48" s="146">
        <v>-12.0</v>
      </c>
      <c r="AU48" s="146">
        <v>-13.0</v>
      </c>
      <c r="AV48" s="146">
        <v>-14.0</v>
      </c>
      <c r="AW48" s="146">
        <v>-15.0</v>
      </c>
      <c r="AX48" s="146">
        <v>-16.0</v>
      </c>
      <c r="AY48" s="147"/>
      <c r="AZ48" s="145">
        <v>-1.0</v>
      </c>
      <c r="BA48" s="146">
        <v>-2.0</v>
      </c>
      <c r="BB48" s="146">
        <v>-3.0</v>
      </c>
      <c r="BC48" s="146">
        <v>-4.0</v>
      </c>
      <c r="BD48" s="146">
        <v>-5.0</v>
      </c>
      <c r="BE48" s="146">
        <v>-6.0</v>
      </c>
      <c r="BF48" s="146">
        <v>-7.0</v>
      </c>
      <c r="BG48" s="146">
        <v>-8.0</v>
      </c>
      <c r="BH48" s="146">
        <v>-9.0</v>
      </c>
      <c r="BI48" s="146">
        <v>-10.0</v>
      </c>
      <c r="BJ48" s="146">
        <v>-11.0</v>
      </c>
      <c r="BK48" s="146">
        <v>-12.0</v>
      </c>
      <c r="BL48" s="146">
        <v>-13.0</v>
      </c>
      <c r="BM48" s="146">
        <v>-14.0</v>
      </c>
      <c r="BN48" s="146">
        <v>-15.0</v>
      </c>
      <c r="BO48" s="146">
        <v>-16.0</v>
      </c>
      <c r="BP48" s="147"/>
      <c r="BQ48" s="145">
        <v>-1.0</v>
      </c>
      <c r="BR48" s="146">
        <v>-2.0</v>
      </c>
      <c r="BS48" s="146">
        <v>-3.0</v>
      </c>
      <c r="BT48" s="146">
        <v>-4.0</v>
      </c>
      <c r="BU48" s="146">
        <v>-5.0</v>
      </c>
      <c r="BV48" s="146">
        <v>-6.0</v>
      </c>
      <c r="BW48" s="146">
        <v>-7.0</v>
      </c>
      <c r="BX48" s="146">
        <v>-8.0</v>
      </c>
      <c r="BY48" s="146">
        <v>-9.0</v>
      </c>
      <c r="BZ48" s="146">
        <v>-10.0</v>
      </c>
      <c r="CA48" s="146">
        <v>-11.0</v>
      </c>
      <c r="CB48" s="146">
        <v>-12.0</v>
      </c>
      <c r="CC48" s="146">
        <v>-13.0</v>
      </c>
      <c r="CD48" s="146">
        <v>-14.0</v>
      </c>
      <c r="CE48" s="146">
        <v>-15.0</v>
      </c>
      <c r="CF48" s="146">
        <v>-16.0</v>
      </c>
      <c r="CG48" s="147"/>
      <c r="CH48" s="145">
        <v>-1.0</v>
      </c>
      <c r="CI48" s="146">
        <v>-2.0</v>
      </c>
      <c r="CJ48" s="146">
        <v>-3.0</v>
      </c>
      <c r="CK48" s="146">
        <v>-4.0</v>
      </c>
      <c r="CL48" s="146">
        <v>-5.0</v>
      </c>
      <c r="CM48" s="146">
        <v>-6.0</v>
      </c>
      <c r="CN48" s="146">
        <v>-7.0</v>
      </c>
      <c r="CO48" s="146">
        <v>-8.0</v>
      </c>
      <c r="CP48" s="146">
        <v>-9.0</v>
      </c>
      <c r="CQ48" s="146">
        <v>-10.0</v>
      </c>
      <c r="CR48" s="146">
        <v>-11.0</v>
      </c>
      <c r="CS48" s="146">
        <v>-12.0</v>
      </c>
      <c r="CT48" s="146">
        <v>-13.0</v>
      </c>
      <c r="CU48" s="146">
        <v>-14.0</v>
      </c>
      <c r="CV48" s="146">
        <v>-15.0</v>
      </c>
      <c r="CW48" s="146">
        <v>-16.0</v>
      </c>
      <c r="CX48" s="147"/>
      <c r="CY48" s="145">
        <v>-1.0</v>
      </c>
      <c r="CZ48" s="146">
        <v>-2.0</v>
      </c>
      <c r="DA48" s="146">
        <v>-3.0</v>
      </c>
      <c r="DB48" s="146">
        <v>-4.0</v>
      </c>
      <c r="DC48" s="146">
        <v>-5.0</v>
      </c>
      <c r="DD48" s="146">
        <v>-6.0</v>
      </c>
      <c r="DE48" s="146">
        <v>-7.0</v>
      </c>
      <c r="DF48" s="146">
        <v>-8.0</v>
      </c>
      <c r="DG48" s="146">
        <v>-9.0</v>
      </c>
      <c r="DH48" s="146">
        <v>-10.0</v>
      </c>
      <c r="DI48" s="146">
        <v>-11.0</v>
      </c>
      <c r="DJ48" s="146">
        <v>-12.0</v>
      </c>
      <c r="DK48" s="146">
        <v>-13.0</v>
      </c>
      <c r="DL48" s="146">
        <v>-14.0</v>
      </c>
      <c r="DM48" s="146">
        <v>-15.0</v>
      </c>
      <c r="DN48" s="146">
        <v>-16.0</v>
      </c>
      <c r="DO48" s="147"/>
      <c r="DP48" s="145">
        <v>-1.0</v>
      </c>
      <c r="DQ48" s="146">
        <v>-2.0</v>
      </c>
      <c r="DR48" s="146">
        <v>-3.0</v>
      </c>
      <c r="DS48" s="146">
        <v>-4.0</v>
      </c>
      <c r="DT48" s="146">
        <v>-5.0</v>
      </c>
      <c r="DU48" s="146">
        <v>-6.0</v>
      </c>
      <c r="DV48" s="146">
        <v>-7.0</v>
      </c>
      <c r="DW48" s="146">
        <v>-8.0</v>
      </c>
      <c r="DX48" s="146">
        <v>-9.0</v>
      </c>
      <c r="DY48" s="146">
        <v>-10.0</v>
      </c>
      <c r="DZ48" s="146">
        <v>-11.0</v>
      </c>
      <c r="EA48" s="146">
        <v>-12.0</v>
      </c>
      <c r="EB48" s="146">
        <v>-13.0</v>
      </c>
      <c r="EC48" s="146">
        <v>-14.0</v>
      </c>
      <c r="ED48" s="146">
        <v>-15.0</v>
      </c>
      <c r="EE48" s="146">
        <v>-16.0</v>
      </c>
      <c r="EF48" s="147"/>
      <c r="EG48" s="145">
        <v>-1.0</v>
      </c>
      <c r="EH48" s="146">
        <v>-2.0</v>
      </c>
      <c r="EI48" s="146">
        <v>-3.0</v>
      </c>
      <c r="EJ48" s="146">
        <v>-4.0</v>
      </c>
      <c r="EK48" s="146">
        <v>-5.0</v>
      </c>
      <c r="EL48" s="146">
        <v>-6.0</v>
      </c>
      <c r="EM48" s="146">
        <v>-7.0</v>
      </c>
      <c r="EN48" s="146">
        <v>-8.0</v>
      </c>
      <c r="EO48" s="146">
        <v>-9.0</v>
      </c>
      <c r="EP48" s="146">
        <v>-10.0</v>
      </c>
      <c r="EQ48" s="146">
        <v>-11.0</v>
      </c>
      <c r="ER48" s="146">
        <v>-12.0</v>
      </c>
      <c r="ES48" s="146">
        <v>-13.0</v>
      </c>
      <c r="ET48" s="146">
        <v>-14.0</v>
      </c>
      <c r="EU48" s="146">
        <v>-15.0</v>
      </c>
      <c r="EV48" s="146">
        <v>-16.0</v>
      </c>
      <c r="EW48" s="147"/>
      <c r="EX48" s="145">
        <v>-1.0</v>
      </c>
      <c r="EY48" s="146">
        <v>-2.0</v>
      </c>
      <c r="EZ48" s="146">
        <v>-3.0</v>
      </c>
      <c r="FA48" s="146">
        <v>-4.0</v>
      </c>
      <c r="FB48" s="146">
        <v>-5.0</v>
      </c>
      <c r="FC48" s="146">
        <v>-6.0</v>
      </c>
      <c r="FD48" s="146">
        <v>-7.0</v>
      </c>
      <c r="FE48" s="146">
        <v>-8.0</v>
      </c>
      <c r="FF48" s="146">
        <v>-9.0</v>
      </c>
      <c r="FG48" s="146">
        <v>-10.0</v>
      </c>
      <c r="FH48" s="146">
        <v>-11.0</v>
      </c>
      <c r="FI48" s="146">
        <v>-12.0</v>
      </c>
      <c r="FJ48" s="146">
        <v>-13.0</v>
      </c>
      <c r="FK48" s="146">
        <v>-14.0</v>
      </c>
      <c r="FL48" s="146">
        <v>-15.0</v>
      </c>
      <c r="FM48" s="146">
        <v>-16.0</v>
      </c>
      <c r="FN48" s="147"/>
      <c r="FO48" s="145">
        <v>-1.0</v>
      </c>
      <c r="FP48" s="146">
        <v>-2.0</v>
      </c>
      <c r="FQ48" s="146">
        <v>-3.0</v>
      </c>
      <c r="FR48" s="146">
        <v>-4.0</v>
      </c>
      <c r="FS48" s="146">
        <v>-5.0</v>
      </c>
      <c r="FT48" s="146">
        <v>-6.0</v>
      </c>
      <c r="FU48" s="146">
        <v>-7.0</v>
      </c>
      <c r="FV48" s="146">
        <v>-8.0</v>
      </c>
      <c r="FW48" s="146">
        <v>-9.0</v>
      </c>
      <c r="FX48" s="146">
        <v>-10.0</v>
      </c>
      <c r="FY48" s="146">
        <v>-11.0</v>
      </c>
      <c r="FZ48" s="146">
        <v>-12.0</v>
      </c>
      <c r="GA48" s="146">
        <v>-13.0</v>
      </c>
      <c r="GB48" s="146">
        <v>-14.0</v>
      </c>
      <c r="GC48" s="146">
        <v>-15.0</v>
      </c>
      <c r="GD48" s="146">
        <v>-16.0</v>
      </c>
      <c r="GE48" s="147"/>
      <c r="GF48" s="145">
        <v>-1.0</v>
      </c>
      <c r="GG48" s="146">
        <v>-2.0</v>
      </c>
      <c r="GH48" s="146">
        <v>-3.0</v>
      </c>
      <c r="GI48" s="146">
        <v>-4.0</v>
      </c>
      <c r="GJ48" s="146">
        <v>-5.0</v>
      </c>
      <c r="GK48" s="146">
        <v>-6.0</v>
      </c>
      <c r="GL48" s="146">
        <v>-7.0</v>
      </c>
      <c r="GM48" s="146">
        <v>-8.0</v>
      </c>
      <c r="GN48" s="146">
        <v>-9.0</v>
      </c>
      <c r="GO48" s="146">
        <v>-10.0</v>
      </c>
      <c r="GP48" s="146">
        <v>-11.0</v>
      </c>
      <c r="GQ48" s="146">
        <v>-12.0</v>
      </c>
      <c r="GR48" s="146">
        <v>-13.0</v>
      </c>
      <c r="GS48" s="146">
        <v>-14.0</v>
      </c>
      <c r="GT48" s="146">
        <v>-15.0</v>
      </c>
      <c r="GU48" s="146">
        <v>-16.0</v>
      </c>
      <c r="GV48" s="147"/>
      <c r="GW48" s="145">
        <v>-1.0</v>
      </c>
      <c r="GX48" s="146">
        <v>-2.0</v>
      </c>
      <c r="GY48" s="146">
        <v>-3.0</v>
      </c>
      <c r="GZ48" s="146">
        <v>-4.0</v>
      </c>
      <c r="HA48" s="146">
        <v>-5.0</v>
      </c>
      <c r="HB48" s="146">
        <v>-6.0</v>
      </c>
      <c r="HC48" s="146">
        <v>-7.0</v>
      </c>
      <c r="HD48" s="146">
        <v>-8.0</v>
      </c>
      <c r="HE48" s="146">
        <v>-9.0</v>
      </c>
      <c r="HF48" s="146">
        <v>-10.0</v>
      </c>
      <c r="HG48" s="146">
        <v>-11.0</v>
      </c>
      <c r="HH48" s="146">
        <v>-12.0</v>
      </c>
      <c r="HI48" s="146">
        <v>-13.0</v>
      </c>
      <c r="HJ48" s="146">
        <v>-14.0</v>
      </c>
      <c r="HK48" s="146">
        <v>-15.0</v>
      </c>
      <c r="HL48" s="146">
        <v>-16.0</v>
      </c>
      <c r="HM48" s="147"/>
      <c r="HN48" s="145">
        <v>-1.0</v>
      </c>
      <c r="HO48" s="146">
        <v>-2.0</v>
      </c>
      <c r="HP48" s="146">
        <v>-3.0</v>
      </c>
      <c r="HQ48" s="146">
        <v>-4.0</v>
      </c>
      <c r="HR48" s="146">
        <v>-5.0</v>
      </c>
      <c r="HS48" s="146">
        <v>-6.0</v>
      </c>
      <c r="HT48" s="146">
        <v>-7.0</v>
      </c>
      <c r="HU48" s="146">
        <v>-8.0</v>
      </c>
      <c r="HV48" s="146">
        <v>-9.0</v>
      </c>
      <c r="HW48" s="146">
        <v>-10.0</v>
      </c>
      <c r="HX48" s="146">
        <v>-11.0</v>
      </c>
      <c r="HY48" s="146">
        <v>-12.0</v>
      </c>
      <c r="HZ48" s="146">
        <v>-13.0</v>
      </c>
      <c r="IA48" s="146">
        <v>-14.0</v>
      </c>
      <c r="IB48" s="146">
        <v>-15.0</v>
      </c>
      <c r="IC48" s="146">
        <v>-16.0</v>
      </c>
      <c r="ID48" s="147"/>
      <c r="IE48" s="145">
        <v>-1.0</v>
      </c>
      <c r="IF48" s="146">
        <v>-2.0</v>
      </c>
      <c r="IG48" s="146">
        <v>-3.0</v>
      </c>
      <c r="IH48" s="146">
        <v>-4.0</v>
      </c>
      <c r="II48" s="146">
        <v>-5.0</v>
      </c>
      <c r="IJ48" s="146">
        <v>-6.0</v>
      </c>
      <c r="IK48" s="146">
        <v>-7.0</v>
      </c>
      <c r="IL48" s="146">
        <v>-8.0</v>
      </c>
      <c r="IM48" s="146">
        <v>-9.0</v>
      </c>
      <c r="IN48" s="146">
        <v>-10.0</v>
      </c>
      <c r="IO48" s="146">
        <v>-11.0</v>
      </c>
      <c r="IP48" s="146">
        <v>-12.0</v>
      </c>
      <c r="IQ48" s="146">
        <v>-13.0</v>
      </c>
      <c r="IR48" s="146">
        <v>-14.0</v>
      </c>
      <c r="IS48" s="146">
        <v>-15.0</v>
      </c>
      <c r="IT48" s="146">
        <v>-16.0</v>
      </c>
      <c r="IU48" s="147"/>
      <c r="IV48" s="145">
        <v>-1.0</v>
      </c>
      <c r="IW48" s="146">
        <v>-2.0</v>
      </c>
      <c r="IX48" s="146">
        <v>-3.0</v>
      </c>
      <c r="IY48" s="146">
        <v>-4.0</v>
      </c>
      <c r="IZ48" s="146">
        <v>-5.0</v>
      </c>
      <c r="JA48" s="146">
        <v>-6.0</v>
      </c>
      <c r="JB48" s="146">
        <v>-7.0</v>
      </c>
      <c r="JC48" s="146">
        <v>-8.0</v>
      </c>
      <c r="JD48" s="146">
        <v>-9.0</v>
      </c>
      <c r="JE48" s="146">
        <v>-10.0</v>
      </c>
      <c r="JF48" s="146">
        <v>-11.0</v>
      </c>
      <c r="JG48" s="146">
        <v>-12.0</v>
      </c>
      <c r="JH48" s="146">
        <v>-13.0</v>
      </c>
      <c r="JI48" s="146">
        <v>-14.0</v>
      </c>
      <c r="JJ48" s="146">
        <v>-15.0</v>
      </c>
      <c r="JK48" s="146">
        <v>-16.0</v>
      </c>
      <c r="JL48" s="147"/>
      <c r="JM48" s="145">
        <v>-1.0</v>
      </c>
      <c r="JN48" s="146">
        <v>-2.0</v>
      </c>
      <c r="JO48" s="146">
        <v>-3.0</v>
      </c>
      <c r="JP48" s="146">
        <v>-4.0</v>
      </c>
      <c r="JQ48" s="146">
        <v>-5.0</v>
      </c>
      <c r="JR48" s="146">
        <v>-6.0</v>
      </c>
      <c r="JS48" s="146">
        <v>-7.0</v>
      </c>
      <c r="JT48" s="146">
        <v>-8.0</v>
      </c>
      <c r="JU48" s="146">
        <v>-9.0</v>
      </c>
      <c r="JV48" s="146">
        <v>-10.0</v>
      </c>
      <c r="JW48" s="146">
        <v>-11.0</v>
      </c>
      <c r="JX48" s="146">
        <v>-12.0</v>
      </c>
      <c r="JY48" s="146">
        <v>-13.0</v>
      </c>
      <c r="JZ48" s="146">
        <v>-14.0</v>
      </c>
      <c r="KA48" s="146">
        <v>-15.0</v>
      </c>
      <c r="KB48" s="146">
        <v>-16.0</v>
      </c>
      <c r="KC48" s="147"/>
      <c r="KD48" s="145">
        <v>-1.0</v>
      </c>
      <c r="KE48" s="146">
        <v>-2.0</v>
      </c>
      <c r="KF48" s="146">
        <v>-3.0</v>
      </c>
      <c r="KG48" s="146">
        <v>-4.0</v>
      </c>
      <c r="KH48" s="146">
        <v>-5.0</v>
      </c>
      <c r="KI48" s="146">
        <v>-6.0</v>
      </c>
      <c r="KJ48" s="146">
        <v>-7.0</v>
      </c>
      <c r="KK48" s="146">
        <v>-8.0</v>
      </c>
      <c r="KL48" s="146">
        <v>-9.0</v>
      </c>
      <c r="KM48" s="146">
        <v>-10.0</v>
      </c>
      <c r="KN48" s="146">
        <v>-11.0</v>
      </c>
      <c r="KO48" s="146">
        <v>-12.0</v>
      </c>
      <c r="KP48" s="146">
        <v>-13.0</v>
      </c>
      <c r="KQ48" s="146">
        <v>-14.0</v>
      </c>
      <c r="KR48" s="146">
        <v>-15.0</v>
      </c>
      <c r="KS48" s="146">
        <v>-16.0</v>
      </c>
      <c r="KT48" s="147"/>
      <c r="KU48" s="148"/>
    </row>
    <row r="49" ht="15.75" customHeight="1">
      <c r="A49" s="149">
        <v>1.0</v>
      </c>
      <c r="B49" s="150" t="str">
        <f t="shared" ref="B49:D49" si="557">IFERROR(VLOOKUP($A49,$A$13:$D$30,-B$12,FALSE),"")</f>
        <v>Bijih  Emas</v>
      </c>
      <c r="C49" s="151" t="str">
        <f t="shared" si="557"/>
        <v>Bijih </v>
      </c>
      <c r="D49" s="151" t="str">
        <f t="shared" si="557"/>
        <v>Kg</v>
      </c>
      <c r="E49" s="152"/>
      <c r="F49" s="152"/>
      <c r="G49" s="152">
        <f t="shared" ref="G49:G65" si="576">IFERROR(+E49*F49/1000000,"")</f>
        <v>0</v>
      </c>
      <c r="H49" s="153"/>
      <c r="I49" s="152">
        <f t="shared" ref="I49:I65" si="577">IFERROR(+G49*H49,"")</f>
        <v>0</v>
      </c>
      <c r="J49" s="412"/>
      <c r="K49" s="154"/>
      <c r="L49" s="154"/>
      <c r="M49" s="156">
        <f t="shared" ref="M49:M65" si="578">IFERROR(+(IF(G49="","0",G49))+(IF(I49="","0",I49))+(IF(L49="","0",L49)),"")</f>
        <v>0</v>
      </c>
      <c r="N49" s="153">
        <f t="shared" ref="N49:N63" si="579">N13</f>
        <v>0.4604471269</v>
      </c>
      <c r="O49" s="157">
        <f t="shared" ref="O49:O65" si="580">IFERROR(+N49*(M49-L49),"")</f>
        <v>0</v>
      </c>
      <c r="P49" s="158">
        <f t="shared" ref="P49:P65" si="581">IFERROR(+(IF(M49="","0",M49))-(IF(O49="","0",O49)),"")</f>
        <v>0</v>
      </c>
      <c r="Q49" s="159"/>
      <c r="R49" s="149">
        <v>1.0</v>
      </c>
      <c r="S49" s="150" t="str">
        <f t="shared" ref="S49:U49" si="558">IFERROR(VLOOKUP($R49,$A$13:$D$30,-S$12,FALSE),"")</f>
        <v>Bijih  Emas</v>
      </c>
      <c r="T49" s="151" t="str">
        <f t="shared" si="558"/>
        <v>Bijih </v>
      </c>
      <c r="U49" s="151" t="str">
        <f t="shared" si="558"/>
        <v>Kg</v>
      </c>
      <c r="V49" s="152"/>
      <c r="W49" s="152" t="str">
        <f t="shared" ref="W49:W65" si="583">F49</f>
        <v/>
      </c>
      <c r="X49" s="152">
        <f t="shared" ref="X49:X65" si="584">IFERROR(+V49*W49/1000000,"")</f>
        <v>0</v>
      </c>
      <c r="Y49" s="153"/>
      <c r="Z49" s="152">
        <f t="shared" ref="Z49:Z65" si="585">IFERROR(+X49*Y49,"")</f>
        <v>0</v>
      </c>
      <c r="AA49" s="412"/>
      <c r="AB49" s="154"/>
      <c r="AC49" s="154"/>
      <c r="AD49" s="156">
        <f t="shared" ref="AD49:AD65" si="586">IFERROR(+(IF(X49="","0",X49))+(IF(Z49="","0",Z49))+(IF(AC49="","0",AC49)),"")</f>
        <v>0</v>
      </c>
      <c r="AE49" s="153">
        <f t="shared" ref="AE49:AE65" si="587">N49</f>
        <v>0.4604471269</v>
      </c>
      <c r="AF49" s="157">
        <f t="shared" ref="AF49:AF65" si="588">IFERROR(+AE49*(AD49-AC49),"")</f>
        <v>0</v>
      </c>
      <c r="AG49" s="158">
        <f t="shared" ref="AG49:AG65" si="589">IFERROR(+(IF(AD49="","0",AD49))-(IF(AF49="","0",AF49)),"")</f>
        <v>0</v>
      </c>
      <c r="AH49" s="159"/>
      <c r="AI49" s="149">
        <v>1.0</v>
      </c>
      <c r="AJ49" s="150" t="str">
        <f t="shared" ref="AJ49:AL49" si="559">IFERROR(VLOOKUP($R49,$A$13:$D$30,-AJ$12,FALSE),"")</f>
        <v>Bijih  Emas</v>
      </c>
      <c r="AK49" s="151" t="str">
        <f t="shared" si="559"/>
        <v>Bijih </v>
      </c>
      <c r="AL49" s="151" t="str">
        <f t="shared" si="559"/>
        <v>Kg</v>
      </c>
      <c r="AM49" s="152"/>
      <c r="AN49" s="152" t="str">
        <f t="shared" ref="AN49:AN65" si="591">W49</f>
        <v/>
      </c>
      <c r="AO49" s="152">
        <f t="shared" ref="AO49:AO65" si="592">IFERROR(+AM49*AN49/1000000,"")</f>
        <v>0</v>
      </c>
      <c r="AP49" s="153"/>
      <c r="AQ49" s="152">
        <f t="shared" ref="AQ49:AQ65" si="593">IFERROR(+AO49*AP49,"")</f>
        <v>0</v>
      </c>
      <c r="AR49" s="412"/>
      <c r="AS49" s="154"/>
      <c r="AT49" s="154"/>
      <c r="AU49" s="156">
        <f t="shared" ref="AU49:AU65" si="594">IFERROR(+(IF(AO49="","0",AO49))+(IF(AQ49="","0",AQ49))+(IF(AT49="","0",AT49)),"")</f>
        <v>0</v>
      </c>
      <c r="AV49" s="153">
        <f t="shared" ref="AV49:AV65" si="595">AE49</f>
        <v>0.4604471269</v>
      </c>
      <c r="AW49" s="157">
        <f t="shared" ref="AW49:AW65" si="596">IFERROR(+AV49*(AU49-AT49),"")</f>
        <v>0</v>
      </c>
      <c r="AX49" s="158">
        <f t="shared" ref="AX49:AX65" si="597">IFERROR(+(IF(AU49="","0",AU49))-(IF(AW49="","0",AW49)),"")</f>
        <v>0</v>
      </c>
      <c r="AY49" s="159"/>
      <c r="AZ49" s="149">
        <v>1.0</v>
      </c>
      <c r="BA49" s="150" t="str">
        <f t="shared" ref="BA49:BC49" si="560">IFERROR(VLOOKUP($R49,$A$13:$D$30,-BA$12,FALSE),"")</f>
        <v>Bijih  Emas</v>
      </c>
      <c r="BB49" s="151" t="str">
        <f t="shared" si="560"/>
        <v>Bijih </v>
      </c>
      <c r="BC49" s="151" t="str">
        <f t="shared" si="560"/>
        <v>Kg</v>
      </c>
      <c r="BD49" s="152"/>
      <c r="BE49" s="152" t="str">
        <f t="shared" ref="BE49:BE65" si="599">AN49</f>
        <v/>
      </c>
      <c r="BF49" s="152">
        <f t="shared" ref="BF49:BF65" si="600">IFERROR(+BD49*BE49/1000000,"")</f>
        <v>0</v>
      </c>
      <c r="BG49" s="153"/>
      <c r="BH49" s="152">
        <f t="shared" ref="BH49:BH65" si="601">IFERROR(+BF49*BG49,"")</f>
        <v>0</v>
      </c>
      <c r="BI49" s="412"/>
      <c r="BJ49" s="154"/>
      <c r="BK49" s="154"/>
      <c r="BL49" s="156">
        <f t="shared" ref="BL49:BL65" si="602">IFERROR(+(IF(BF49="","0",BF49))+(IF(BH49="","0",BH49))+(IF(BK49="","0",BK49)),"")</f>
        <v>0</v>
      </c>
      <c r="BM49" s="153">
        <f t="shared" ref="BM49:BM65" si="603">AV49</f>
        <v>0.4604471269</v>
      </c>
      <c r="BN49" s="157">
        <f t="shared" ref="BN49:BN65" si="604">IFERROR(+BM49*(BL49-BK49),"")</f>
        <v>0</v>
      </c>
      <c r="BO49" s="158">
        <f t="shared" ref="BO49:BO65" si="605">IFERROR(+(IF(BL49="","0",BL49))-(IF(BN49="","0",BN49)),"")</f>
        <v>0</v>
      </c>
      <c r="BP49" s="159"/>
      <c r="BQ49" s="149">
        <v>1.0</v>
      </c>
      <c r="BR49" s="150" t="str">
        <f t="shared" ref="BR49:BT49" si="561">IFERROR(VLOOKUP($R49,$A$13:$D$30,-BR$12,FALSE),"")</f>
        <v>Bijih  Emas</v>
      </c>
      <c r="BS49" s="151" t="str">
        <f t="shared" si="561"/>
        <v>Bijih </v>
      </c>
      <c r="BT49" s="151" t="str">
        <f t="shared" si="561"/>
        <v>Kg</v>
      </c>
      <c r="BU49" s="152"/>
      <c r="BV49" s="152" t="str">
        <f t="shared" ref="BV49:BV65" si="607">BE49</f>
        <v/>
      </c>
      <c r="BW49" s="152">
        <f t="shared" ref="BW49:BW65" si="608">IFERROR(+BU49*BV49/1000000,"")</f>
        <v>0</v>
      </c>
      <c r="BX49" s="153"/>
      <c r="BY49" s="152">
        <f t="shared" ref="BY49:BY65" si="609">IFERROR(+BW49*BX49,"")</f>
        <v>0</v>
      </c>
      <c r="BZ49" s="412"/>
      <c r="CA49" s="154"/>
      <c r="CB49" s="154"/>
      <c r="CC49" s="156">
        <f t="shared" ref="CC49:CC65" si="610">IFERROR(+(IF(BW49="","0",BW49))+(IF(BY49="","0",BY49))+(IF(CB49="","0",CB49)),"")</f>
        <v>0</v>
      </c>
      <c r="CD49" s="153">
        <f t="shared" ref="CD49:CD65" si="611">BM49</f>
        <v>0.4604471269</v>
      </c>
      <c r="CE49" s="157">
        <f t="shared" ref="CE49:CE65" si="612">IFERROR(+CD49*(CC49-CB49),"")</f>
        <v>0</v>
      </c>
      <c r="CF49" s="158">
        <f t="shared" ref="CF49:CF65" si="613">IFERROR(+(IF(CC49="","0",CC49))-(IF(CE49="","0",CE49)),"")</f>
        <v>0</v>
      </c>
      <c r="CG49" s="159"/>
      <c r="CH49" s="149">
        <v>1.0</v>
      </c>
      <c r="CI49" s="150" t="str">
        <f t="shared" ref="CI49:CK49" si="562">IFERROR(VLOOKUP($R49,$A$13:$D$30,-CI$12,FALSE),"")</f>
        <v>Bijih  Emas</v>
      </c>
      <c r="CJ49" s="151" t="str">
        <f t="shared" si="562"/>
        <v>Bijih </v>
      </c>
      <c r="CK49" s="151" t="str">
        <f t="shared" si="562"/>
        <v>Kg</v>
      </c>
      <c r="CL49" s="152"/>
      <c r="CM49" s="152" t="str">
        <f t="shared" ref="CM49:CM65" si="615">BV49</f>
        <v/>
      </c>
      <c r="CN49" s="152">
        <f t="shared" ref="CN49:CN65" si="616">IFERROR(+CL49*CM49/1000000,"")</f>
        <v>0</v>
      </c>
      <c r="CO49" s="153"/>
      <c r="CP49" s="152">
        <f t="shared" ref="CP49:CP65" si="617">IFERROR(+CN49*CO49,"")</f>
        <v>0</v>
      </c>
      <c r="CQ49" s="412"/>
      <c r="CR49" s="154"/>
      <c r="CS49" s="154"/>
      <c r="CT49" s="156">
        <f t="shared" ref="CT49:CT65" si="618">IFERROR(+(IF(CN49="","0",CN49))+(IF(CP49="","0",CP49))+(IF(CS49="","0",CS49)),"")</f>
        <v>0</v>
      </c>
      <c r="CU49" s="153">
        <f t="shared" ref="CU49:CU65" si="619">CD49</f>
        <v>0.4604471269</v>
      </c>
      <c r="CV49" s="157">
        <f t="shared" ref="CV49:CV65" si="620">IFERROR(+CU49*(CT49-CS49),"")</f>
        <v>0</v>
      </c>
      <c r="CW49" s="158">
        <f t="shared" ref="CW49:CW65" si="621">IFERROR(+(IF(CT49="","0",CT49))-(IF(CV49="","0",CV49)),"")</f>
        <v>0</v>
      </c>
      <c r="CX49" s="159"/>
      <c r="CY49" s="149">
        <v>1.0</v>
      </c>
      <c r="CZ49" s="150" t="str">
        <f t="shared" ref="CZ49:DB49" si="563">IFERROR(VLOOKUP($R49,$A$13:$D$30,-CZ$12,FALSE),"")</f>
        <v>Bijih  Emas</v>
      </c>
      <c r="DA49" s="151" t="str">
        <f t="shared" si="563"/>
        <v>Bijih </v>
      </c>
      <c r="DB49" s="151" t="str">
        <f t="shared" si="563"/>
        <v>Kg</v>
      </c>
      <c r="DC49" s="152"/>
      <c r="DD49" s="152" t="str">
        <f t="shared" ref="DD49:DD65" si="623">CM49</f>
        <v/>
      </c>
      <c r="DE49" s="152">
        <f t="shared" ref="DE49:DE65" si="624">IFERROR(+DC49*DD49/1000000,"")</f>
        <v>0</v>
      </c>
      <c r="DF49" s="153"/>
      <c r="DG49" s="152">
        <f t="shared" ref="DG49:DG65" si="625">IFERROR(+DE49*DF49,"")</f>
        <v>0</v>
      </c>
      <c r="DH49" s="412"/>
      <c r="DI49" s="154"/>
      <c r="DJ49" s="154"/>
      <c r="DK49" s="156">
        <f t="shared" ref="DK49:DK65" si="626">IFERROR(+(IF(DE49="","0",DE49))+(IF(DG49="","0",DG49))+(IF(DJ49="","0",DJ49)),"")</f>
        <v>0</v>
      </c>
      <c r="DL49" s="153">
        <f t="shared" ref="DL49:DL65" si="627">CU49</f>
        <v>0.4604471269</v>
      </c>
      <c r="DM49" s="157">
        <f t="shared" ref="DM49:DM65" si="628">IFERROR(+DL49*(DK49-DJ49),"")</f>
        <v>0</v>
      </c>
      <c r="DN49" s="158">
        <f t="shared" ref="DN49:DN65" si="629">IFERROR(+(IF(DK49="","0",DK49))-(IF(DM49="","0",DM49)),"")</f>
        <v>0</v>
      </c>
      <c r="DO49" s="159"/>
      <c r="DP49" s="149">
        <v>1.0</v>
      </c>
      <c r="DQ49" s="150" t="str">
        <f t="shared" ref="DQ49:DS49" si="564">IFERROR(VLOOKUP($R49,$A$13:$D$30,-DQ$12,FALSE),"")</f>
        <v>Bijih  Emas</v>
      </c>
      <c r="DR49" s="151" t="str">
        <f t="shared" si="564"/>
        <v>Bijih </v>
      </c>
      <c r="DS49" s="151" t="str">
        <f t="shared" si="564"/>
        <v>Kg</v>
      </c>
      <c r="DT49" s="152"/>
      <c r="DU49" s="152" t="str">
        <f t="shared" ref="DU49:DU65" si="631">DD49</f>
        <v/>
      </c>
      <c r="DV49" s="152">
        <f t="shared" ref="DV49:DV65" si="632">IFERROR(+DT49*DU49/1000000,"")</f>
        <v>0</v>
      </c>
      <c r="DW49" s="153"/>
      <c r="DX49" s="152">
        <f t="shared" ref="DX49:DX65" si="633">IFERROR(+DV49*DW49,"")</f>
        <v>0</v>
      </c>
      <c r="DY49" s="412"/>
      <c r="DZ49" s="154"/>
      <c r="EA49" s="154"/>
      <c r="EB49" s="156">
        <f t="shared" ref="EB49:EB65" si="634">IFERROR(+(IF(DV49="","0",DV49))+(IF(DX49="","0",DX49))+(IF(EA49="","0",EA49)),"")</f>
        <v>0</v>
      </c>
      <c r="EC49" s="153">
        <f t="shared" ref="EC49:EC65" si="635">DL49</f>
        <v>0.4604471269</v>
      </c>
      <c r="ED49" s="157">
        <f t="shared" ref="ED49:ED65" si="636">IFERROR(+EC49*(EB49-EA49),"")</f>
        <v>0</v>
      </c>
      <c r="EE49" s="158">
        <f t="shared" ref="EE49:EE65" si="637">IFERROR(+(IF(EB49="","0",EB49))-(IF(ED49="","0",ED49)),"")</f>
        <v>0</v>
      </c>
      <c r="EF49" s="159"/>
      <c r="EG49" s="149">
        <v>1.0</v>
      </c>
      <c r="EH49" s="150" t="str">
        <f t="shared" ref="EH49:EJ49" si="565">IFERROR(VLOOKUP($R49,$A$13:$D$30,-EH$12,FALSE),"")</f>
        <v>Bijih  Emas</v>
      </c>
      <c r="EI49" s="151" t="str">
        <f t="shared" si="565"/>
        <v>Bijih </v>
      </c>
      <c r="EJ49" s="151" t="str">
        <f t="shared" si="565"/>
        <v>Kg</v>
      </c>
      <c r="EK49" s="152"/>
      <c r="EL49" s="152" t="str">
        <f t="shared" ref="EL49:EL65" si="639">DU49</f>
        <v/>
      </c>
      <c r="EM49" s="152">
        <f t="shared" ref="EM49:EM65" si="640">IFERROR(+EK49*EL49/1000000,"")</f>
        <v>0</v>
      </c>
      <c r="EN49" s="153"/>
      <c r="EO49" s="152">
        <f t="shared" ref="EO49:EO65" si="641">IFERROR(+EM49*EN49,"")</f>
        <v>0</v>
      </c>
      <c r="EP49" s="412"/>
      <c r="EQ49" s="154"/>
      <c r="ER49" s="154"/>
      <c r="ES49" s="156">
        <f t="shared" ref="ES49:ES65" si="642">IFERROR(+(IF(EM49="","0",EM49))+(IF(EO49="","0",EO49))+(IF(ER49="","0",ER49)),"")</f>
        <v>0</v>
      </c>
      <c r="ET49" s="153">
        <f t="shared" ref="ET49:ET65" si="643">EC49</f>
        <v>0.4604471269</v>
      </c>
      <c r="EU49" s="157">
        <f t="shared" ref="EU49:EU65" si="644">IFERROR(+ET49*(ES49-ER49),"")</f>
        <v>0</v>
      </c>
      <c r="EV49" s="158">
        <f t="shared" ref="EV49:EV65" si="645">IFERROR(+(IF(ES49="","0",ES49))-(IF(EU49="","0",EU49)),"")</f>
        <v>0</v>
      </c>
      <c r="EW49" s="159"/>
      <c r="EX49" s="149">
        <v>1.0</v>
      </c>
      <c r="EY49" s="150" t="str">
        <f t="shared" ref="EY49:FA49" si="566">IFERROR(VLOOKUP($R49,$A$13:$D$30,-EY$12,FALSE),"")</f>
        <v>Bijih  Emas</v>
      </c>
      <c r="EZ49" s="151" t="str">
        <f t="shared" si="566"/>
        <v>Bijih </v>
      </c>
      <c r="FA49" s="151" t="str">
        <f t="shared" si="566"/>
        <v>Kg</v>
      </c>
      <c r="FB49" s="152"/>
      <c r="FC49" s="152" t="str">
        <f t="shared" ref="FC49:FC65" si="647">EL49</f>
        <v/>
      </c>
      <c r="FD49" s="152">
        <f t="shared" ref="FD49:FD65" si="648">IFERROR(+FB49*FC49/1000000,"")</f>
        <v>0</v>
      </c>
      <c r="FE49" s="153"/>
      <c r="FF49" s="152">
        <f t="shared" ref="FF49:FF65" si="649">IFERROR(+FD49*FE49,"")</f>
        <v>0</v>
      </c>
      <c r="FG49" s="412"/>
      <c r="FH49" s="154"/>
      <c r="FI49" s="154"/>
      <c r="FJ49" s="156">
        <f t="shared" ref="FJ49:FJ65" si="650">IFERROR(+(IF(FD49="","0",FD49))+(IF(FF49="","0",FF49))+(IF(FI49="","0",FI49)),"")</f>
        <v>0</v>
      </c>
      <c r="FK49" s="153">
        <f t="shared" ref="FK49:FK65" si="651">ET49</f>
        <v>0.4604471269</v>
      </c>
      <c r="FL49" s="157">
        <f t="shared" ref="FL49:FL65" si="652">IFERROR(+FK49*(FJ49-FI49),"")</f>
        <v>0</v>
      </c>
      <c r="FM49" s="158">
        <f t="shared" ref="FM49:FM65" si="653">IFERROR(+(IF(FJ49="","0",FJ49))-(IF(FL49="","0",FL49)),"")</f>
        <v>0</v>
      </c>
      <c r="FN49" s="159"/>
      <c r="FO49" s="149">
        <v>1.0</v>
      </c>
      <c r="FP49" s="150" t="str">
        <f t="shared" ref="FP49:FR49" si="567">IFERROR(VLOOKUP($R49,$A$13:$D$30,-FP$12,FALSE),"")</f>
        <v>Bijih  Emas</v>
      </c>
      <c r="FQ49" s="151" t="str">
        <f t="shared" si="567"/>
        <v>Bijih </v>
      </c>
      <c r="FR49" s="151" t="str">
        <f t="shared" si="567"/>
        <v>Kg</v>
      </c>
      <c r="FS49" s="152"/>
      <c r="FT49" s="152" t="str">
        <f t="shared" ref="FT49:FT52" si="655">FC49</f>
        <v/>
      </c>
      <c r="FU49" s="152">
        <f t="shared" ref="FU49:FU65" si="656">IFERROR(+FS49*FT49/1000000,"")</f>
        <v>0</v>
      </c>
      <c r="FV49" s="153"/>
      <c r="FW49" s="152">
        <f t="shared" ref="FW49:FW65" si="657">IFERROR(+FU49*FV49,"")</f>
        <v>0</v>
      </c>
      <c r="FX49" s="412"/>
      <c r="FY49" s="154"/>
      <c r="FZ49" s="154"/>
      <c r="GA49" s="156">
        <f t="shared" ref="GA49:GA65" si="658">IFERROR(+(IF(FU49="","0",FU49))+(IF(FW49="","0",FW49))+(IF(FZ49="","0",FZ49)),"")</f>
        <v>0</v>
      </c>
      <c r="GB49" s="153">
        <f t="shared" ref="GB49:GB65" si="659">FK49</f>
        <v>0.4604471269</v>
      </c>
      <c r="GC49" s="157">
        <f t="shared" ref="GC49:GC65" si="660">IFERROR(+GB49*(GA49-FZ49),"")</f>
        <v>0</v>
      </c>
      <c r="GD49" s="158">
        <f t="shared" ref="GD49:GD65" si="661">IFERROR(+(IF(GA49="","0",GA49))-(IF(GC49="","0",GC49)),"")</f>
        <v>0</v>
      </c>
      <c r="GE49" s="159"/>
      <c r="GF49" s="149">
        <v>1.0</v>
      </c>
      <c r="GG49" s="150" t="str">
        <f t="shared" ref="GG49:GI49" si="568">IFERROR(VLOOKUP($R49,$A$13:$D$30,-GG$12,FALSE),"")</f>
        <v>Bijih  Emas</v>
      </c>
      <c r="GH49" s="151" t="str">
        <f t="shared" si="568"/>
        <v>Bijih </v>
      </c>
      <c r="GI49" s="151" t="str">
        <f t="shared" si="568"/>
        <v>Kg</v>
      </c>
      <c r="GJ49" s="156"/>
      <c r="GK49" s="152" t="str">
        <f t="shared" ref="GK49:GK52" si="663">FT49</f>
        <v/>
      </c>
      <c r="GL49" s="152">
        <f t="shared" ref="GL49:GL65" si="664">IFERROR(+GJ49*GK49/1000000,"")</f>
        <v>0</v>
      </c>
      <c r="GM49" s="153"/>
      <c r="GN49" s="152">
        <f t="shared" ref="GN49:GN65" si="665">IFERROR(+GL49*GM49,"")</f>
        <v>0</v>
      </c>
      <c r="GO49" s="412"/>
      <c r="GP49" s="154"/>
      <c r="GQ49" s="154"/>
      <c r="GR49" s="156">
        <f t="shared" ref="GR49:GR65" si="666">IFERROR(+(IF(GL49="","0",GL49))+(IF(GN49="","0",GN49))+(IF(GQ49="","0",GQ49)),"")</f>
        <v>0</v>
      </c>
      <c r="GS49" s="153">
        <f t="shared" ref="GS49:GS65" si="667">GB49</f>
        <v>0.4604471269</v>
      </c>
      <c r="GT49" s="157">
        <f t="shared" ref="GT49:GT65" si="668">IFERROR(+GS49*(GR49-GQ49),"")</f>
        <v>0</v>
      </c>
      <c r="GU49" s="158">
        <f t="shared" ref="GU49:GU65" si="669">IFERROR(+(IF(GR49="","0",GR49))-(IF(GT49="","0",GT49)),"")</f>
        <v>0</v>
      </c>
      <c r="GV49" s="159"/>
      <c r="GW49" s="149">
        <v>1.0</v>
      </c>
      <c r="GX49" s="150" t="str">
        <f t="shared" ref="GX49:GZ49" si="569">IFERROR(VLOOKUP($R49,$A$13:$D$30,-GX$12,FALSE),"")</f>
        <v>Bijih  Emas</v>
      </c>
      <c r="GY49" s="151" t="str">
        <f t="shared" si="569"/>
        <v>Bijih </v>
      </c>
      <c r="GZ49" s="151" t="str">
        <f t="shared" si="569"/>
        <v>Kg</v>
      </c>
      <c r="HA49" s="152"/>
      <c r="HB49" s="152" t="str">
        <f t="shared" ref="HB49:HB60" si="671">GK49</f>
        <v/>
      </c>
      <c r="HC49" s="152">
        <f t="shared" ref="HC49:HC65" si="672">IFERROR(+HA49*HB49/1000000,"")</f>
        <v>0</v>
      </c>
      <c r="HD49" s="153"/>
      <c r="HE49" s="152">
        <f t="shared" ref="HE49:HE65" si="673">IFERROR(+HC49*HD49,"")</f>
        <v>0</v>
      </c>
      <c r="HF49" s="412"/>
      <c r="HG49" s="154"/>
      <c r="HH49" s="154"/>
      <c r="HI49" s="156">
        <f t="shared" ref="HI49:HI65" si="674">IFERROR(+(IF(HC49="","0",HC49))+(IF(HE49="","0",HE49))+(IF(HH49="","0",HH49)),"")</f>
        <v>0</v>
      </c>
      <c r="HJ49" s="153">
        <f t="shared" ref="HJ49:HJ65" si="675">GS49</f>
        <v>0.4604471269</v>
      </c>
      <c r="HK49" s="157">
        <f t="shared" ref="HK49:HK65" si="676">IFERROR(+HJ49*(HI49-HH49),"")</f>
        <v>0</v>
      </c>
      <c r="HL49" s="158">
        <f t="shared" ref="HL49:HL65" si="677">IFERROR(+(IF(HI49="","0",HI49))-(IF(HK49="","0",HK49)),"")</f>
        <v>0</v>
      </c>
      <c r="HM49" s="159"/>
      <c r="HN49" s="149">
        <v>1.0</v>
      </c>
      <c r="HO49" s="150" t="str">
        <f t="shared" ref="HO49:HQ49" si="570">IFERROR(VLOOKUP($R49,$A$13:$D$30,-HO$12,FALSE),"")</f>
        <v>Bijih  Emas</v>
      </c>
      <c r="HP49" s="151" t="str">
        <f t="shared" si="570"/>
        <v>Bijih </v>
      </c>
      <c r="HQ49" s="151" t="str">
        <f t="shared" si="570"/>
        <v>Kg</v>
      </c>
      <c r="HR49" s="152"/>
      <c r="HS49" s="152" t="str">
        <f t="shared" ref="HS49:HS65" si="679">HB49</f>
        <v/>
      </c>
      <c r="HT49" s="152">
        <f t="shared" ref="HT49:HT65" si="680">IFERROR(+HR49*HS49/1000000,"")</f>
        <v>0</v>
      </c>
      <c r="HU49" s="153"/>
      <c r="HV49" s="152">
        <f t="shared" ref="HV49:HV65" si="681">IFERROR(+HT49*HU49,"")</f>
        <v>0</v>
      </c>
      <c r="HW49" s="412"/>
      <c r="HX49" s="154"/>
      <c r="HY49" s="154"/>
      <c r="HZ49" s="156">
        <f t="shared" ref="HZ49:HZ65" si="682">IFERROR(+(IF(HT49="","0",HT49))+(IF(HV49="","0",HV49))+(IF(HY49="","0",HY49)),"")</f>
        <v>0</v>
      </c>
      <c r="IA49" s="153">
        <f t="shared" ref="IA49:IA65" si="683">HJ49</f>
        <v>0.4604471269</v>
      </c>
      <c r="IB49" s="157">
        <f t="shared" ref="IB49:IB65" si="684">IFERROR(+IA49*(HZ49-HY49),"")</f>
        <v>0</v>
      </c>
      <c r="IC49" s="158">
        <f t="shared" ref="IC49:IC65" si="685">IFERROR(+(IF(HZ49="","0",HZ49))-(IF(IB49="","0",IB49)),"")</f>
        <v>0</v>
      </c>
      <c r="ID49" s="159"/>
      <c r="IE49" s="149">
        <v>1.0</v>
      </c>
      <c r="IF49" s="150" t="str">
        <f t="shared" ref="IF49:IH49" si="571">IFERROR(VLOOKUP($R49,$A$13:$D$30,-IF$12,FALSE),"")</f>
        <v>Bijih  Emas</v>
      </c>
      <c r="IG49" s="151" t="str">
        <f t="shared" si="571"/>
        <v>Bijih </v>
      </c>
      <c r="IH49" s="151" t="str">
        <f t="shared" si="571"/>
        <v>Kg</v>
      </c>
      <c r="II49" s="152"/>
      <c r="IJ49" s="152" t="str">
        <f t="shared" ref="IJ49:IJ65" si="687">HS49</f>
        <v/>
      </c>
      <c r="IK49" s="152">
        <f t="shared" ref="IK49:IK65" si="688">IFERROR(+II49*IJ49/1000000,"")</f>
        <v>0</v>
      </c>
      <c r="IL49" s="153"/>
      <c r="IM49" s="152">
        <f t="shared" ref="IM49:IM65" si="689">IFERROR(+IK49*IL49,"")</f>
        <v>0</v>
      </c>
      <c r="IN49" s="412"/>
      <c r="IO49" s="154"/>
      <c r="IP49" s="154"/>
      <c r="IQ49" s="156">
        <f t="shared" ref="IQ49:IQ65" si="690">IFERROR(+(IF(IK49="","0",IK49))+(IF(IM49="","0",IM49))+(IF(IP49="","0",IP49)),"")</f>
        <v>0</v>
      </c>
      <c r="IR49" s="153">
        <f t="shared" ref="IR49:IR65" si="691">IA49</f>
        <v>0.4604471269</v>
      </c>
      <c r="IS49" s="157">
        <f t="shared" ref="IS49:IS65" si="692">IFERROR(+IR49*(IQ49-IP49),"")</f>
        <v>0</v>
      </c>
      <c r="IT49" s="158">
        <f t="shared" ref="IT49:IT65" si="693">IFERROR(+(IF(IQ49="","0",IQ49))-(IF(IS49="","0",IS49)),"")</f>
        <v>0</v>
      </c>
      <c r="IU49" s="159"/>
      <c r="IV49" s="149">
        <v>1.0</v>
      </c>
      <c r="IW49" s="150" t="str">
        <f t="shared" ref="IW49:IY49" si="572">IFERROR(VLOOKUP($R49,$A$13:$D$30,-IW$12,FALSE),"")</f>
        <v>Bijih  Emas</v>
      </c>
      <c r="IX49" s="151" t="str">
        <f t="shared" si="572"/>
        <v>Bijih </v>
      </c>
      <c r="IY49" s="151" t="str">
        <f t="shared" si="572"/>
        <v>Kg</v>
      </c>
      <c r="IZ49" s="152"/>
      <c r="JA49" s="152" t="str">
        <f t="shared" ref="JA49:JA65" si="695">IJ49</f>
        <v/>
      </c>
      <c r="JB49" s="152">
        <f t="shared" ref="JB49:JB65" si="696">IFERROR(+IZ49*JA49/1000000,"")</f>
        <v>0</v>
      </c>
      <c r="JC49" s="153"/>
      <c r="JD49" s="152">
        <f t="shared" ref="JD49:JD65" si="697">IFERROR(+JB49*JC49,"")</f>
        <v>0</v>
      </c>
      <c r="JE49" s="412"/>
      <c r="JF49" s="154"/>
      <c r="JG49" s="154"/>
      <c r="JH49" s="156">
        <f t="shared" ref="JH49:JH65" si="698">IFERROR(+(IF(JB49="","0",JB49))+(IF(JD49="","0",JD49))+(IF(JG49="","0",JG49)),"")</f>
        <v>0</v>
      </c>
      <c r="JI49" s="153">
        <f t="shared" ref="JI49:JI65" si="699">IR49</f>
        <v>0.4604471269</v>
      </c>
      <c r="JJ49" s="157">
        <f t="shared" ref="JJ49:JJ65" si="700">IFERROR(+JI49*(JH49-JG49),"")</f>
        <v>0</v>
      </c>
      <c r="JK49" s="158">
        <f t="shared" ref="JK49:JK65" si="701">IFERROR(+(IF(JH49="","0",JH49))-(IF(JJ49="","0",JJ49)),"")</f>
        <v>0</v>
      </c>
      <c r="JL49" s="159"/>
      <c r="JM49" s="149">
        <v>1.0</v>
      </c>
      <c r="JN49" s="150" t="str">
        <f t="shared" ref="JN49:JP49" si="573">IFERROR(VLOOKUP($R49,$A$13:$D$30,-JN$12,FALSE),"")</f>
        <v>Bijih  Emas</v>
      </c>
      <c r="JO49" s="151" t="str">
        <f t="shared" si="573"/>
        <v>Bijih </v>
      </c>
      <c r="JP49" s="151" t="str">
        <f t="shared" si="573"/>
        <v>Kg</v>
      </c>
      <c r="JQ49" s="152"/>
      <c r="JR49" s="152" t="str">
        <f t="shared" ref="JR49:JR53" si="703">JA49</f>
        <v/>
      </c>
      <c r="JS49" s="152">
        <f t="shared" ref="JS49:JS65" si="704">IFERROR(+JQ49*JR49/1000000,"")</f>
        <v>0</v>
      </c>
      <c r="JT49" s="153"/>
      <c r="JU49" s="152">
        <f t="shared" ref="JU49:JU65" si="705">IFERROR(+JS49*JT49,"")</f>
        <v>0</v>
      </c>
      <c r="JV49" s="412"/>
      <c r="JW49" s="154"/>
      <c r="JX49" s="154"/>
      <c r="JY49" s="156">
        <f t="shared" ref="JY49:JY65" si="706">IFERROR(+(IF(JS49="","0",JS49))+(IF(JU49="","0",JU49))+(IF(JX49="","0",JX49)),"")</f>
        <v>0</v>
      </c>
      <c r="JZ49" s="153">
        <f t="shared" ref="JZ49:JZ65" si="707">JI49</f>
        <v>0.4604471269</v>
      </c>
      <c r="KA49" s="157">
        <f t="shared" ref="KA49:KA65" si="708">IFERROR(+JZ49*(JY49-JX49),"")</f>
        <v>0</v>
      </c>
      <c r="KB49" s="158">
        <f t="shared" ref="KB49:KB65" si="709">IFERROR(+(IF(JY49="","0",JY49))-(IF(KA49="","0",KA49)),"")</f>
        <v>0</v>
      </c>
      <c r="KC49" s="159"/>
      <c r="KD49" s="149">
        <v>1.0</v>
      </c>
      <c r="KE49" s="150" t="str">
        <f t="shared" ref="KE49:KG49" si="574">IFERROR(VLOOKUP($R49,$A$13:$D$30,-KE$12,FALSE),"")</f>
        <v>Bijih  Emas</v>
      </c>
      <c r="KF49" s="151" t="str">
        <f t="shared" si="574"/>
        <v>Bijih </v>
      </c>
      <c r="KG49" s="151" t="str">
        <f t="shared" si="574"/>
        <v>Kg</v>
      </c>
      <c r="KH49" s="152"/>
      <c r="KI49" s="152" t="str">
        <f t="shared" ref="KI49:KI52" si="711">JR49</f>
        <v/>
      </c>
      <c r="KJ49" s="152">
        <f t="shared" ref="KJ49:KJ65" si="712">IFERROR(+KH49*KI49/1000000,"")</f>
        <v>0</v>
      </c>
      <c r="KK49" s="153"/>
      <c r="KL49" s="152">
        <f t="shared" ref="KL49:KL65" si="713">IFERROR(+KJ49*KK49,"")</f>
        <v>0</v>
      </c>
      <c r="KM49" s="412"/>
      <c r="KN49" s="154"/>
      <c r="KO49" s="154"/>
      <c r="KP49" s="156">
        <f t="shared" ref="KP49:KP65" si="714">IFERROR(+(IF(KJ49="","0",KJ49))+(IF(KL49="","0",KL49))+(IF(KO49="","0",KO49)),"")</f>
        <v>0</v>
      </c>
      <c r="KQ49" s="153">
        <f t="shared" ref="KQ49:KQ65" si="715">JZ49</f>
        <v>0.4604471269</v>
      </c>
      <c r="KR49" s="157">
        <f t="shared" ref="KR49:KR65" si="716">IFERROR(+KQ49*(KP49-KO49),"")</f>
        <v>0</v>
      </c>
      <c r="KS49" s="158">
        <f t="shared" ref="KS49:KS65" si="717">IFERROR(+(IF(KP49="","0",KP49))-(IF(KR49="","0",KR49)),"")</f>
        <v>0</v>
      </c>
      <c r="KT49" s="159"/>
      <c r="KU49" s="160"/>
    </row>
    <row r="50" ht="15.75" customHeight="1">
      <c r="A50" s="161">
        <f t="shared" ref="A50:A65" si="718">A49+1</f>
        <v>2</v>
      </c>
      <c r="B50" s="162" t="str">
        <f t="shared" ref="B50:D50" si="575">IFERROR(VLOOKUP($A50,$A$13:$D$30,-B$12,FALSE),"")</f>
        <v>Bijih  Perak</v>
      </c>
      <c r="C50" s="163" t="str">
        <f t="shared" si="575"/>
        <v>Bijih </v>
      </c>
      <c r="D50" s="163" t="str">
        <f t="shared" si="575"/>
        <v>Kg</v>
      </c>
      <c r="E50" s="156"/>
      <c r="F50" s="156"/>
      <c r="G50" s="156">
        <f t="shared" si="576"/>
        <v>0</v>
      </c>
      <c r="H50" s="164"/>
      <c r="I50" s="156">
        <f t="shared" si="577"/>
        <v>0</v>
      </c>
      <c r="J50" s="413"/>
      <c r="K50" s="165"/>
      <c r="L50" s="165"/>
      <c r="M50" s="156">
        <f t="shared" si="578"/>
        <v>0</v>
      </c>
      <c r="N50" s="164">
        <f t="shared" si="579"/>
        <v>0.4604471269</v>
      </c>
      <c r="O50" s="167">
        <f t="shared" si="580"/>
        <v>0</v>
      </c>
      <c r="P50" s="168">
        <f t="shared" si="581"/>
        <v>0</v>
      </c>
      <c r="Q50" s="159"/>
      <c r="R50" s="161">
        <f t="shared" ref="R50:R65" si="720">R49+1</f>
        <v>2</v>
      </c>
      <c r="S50" s="162" t="str">
        <f t="shared" ref="S50:U50" si="582">IFERROR(VLOOKUP($R50,$A$13:$D$30,-S$12,FALSE),"")</f>
        <v>Bijih  Perak</v>
      </c>
      <c r="T50" s="163" t="str">
        <f t="shared" si="582"/>
        <v>Bijih </v>
      </c>
      <c r="U50" s="163" t="str">
        <f t="shared" si="582"/>
        <v>Kg</v>
      </c>
      <c r="V50" s="156"/>
      <c r="W50" s="156" t="str">
        <f t="shared" si="583"/>
        <v/>
      </c>
      <c r="X50" s="156">
        <f t="shared" si="584"/>
        <v>0</v>
      </c>
      <c r="Y50" s="164"/>
      <c r="Z50" s="156">
        <f t="shared" si="585"/>
        <v>0</v>
      </c>
      <c r="AA50" s="413"/>
      <c r="AB50" s="165"/>
      <c r="AC50" s="165"/>
      <c r="AD50" s="156">
        <f t="shared" si="586"/>
        <v>0</v>
      </c>
      <c r="AE50" s="164">
        <f t="shared" si="587"/>
        <v>0.4604471269</v>
      </c>
      <c r="AF50" s="167">
        <f t="shared" si="588"/>
        <v>0</v>
      </c>
      <c r="AG50" s="168">
        <f t="shared" si="589"/>
        <v>0</v>
      </c>
      <c r="AH50" s="159"/>
      <c r="AI50" s="161">
        <f t="shared" ref="AI50:AI65" si="722">AI49+1</f>
        <v>2</v>
      </c>
      <c r="AJ50" s="162" t="str">
        <f t="shared" ref="AJ50:AL50" si="590">IFERROR(VLOOKUP($R50,$A$13:$D$30,-AJ$12,FALSE),"")</f>
        <v>Bijih  Perak</v>
      </c>
      <c r="AK50" s="163" t="str">
        <f t="shared" si="590"/>
        <v>Bijih </v>
      </c>
      <c r="AL50" s="163" t="str">
        <f t="shared" si="590"/>
        <v>Kg</v>
      </c>
      <c r="AM50" s="156"/>
      <c r="AN50" s="156" t="str">
        <f t="shared" si="591"/>
        <v/>
      </c>
      <c r="AO50" s="156">
        <f t="shared" si="592"/>
        <v>0</v>
      </c>
      <c r="AP50" s="164"/>
      <c r="AQ50" s="156">
        <f t="shared" si="593"/>
        <v>0</v>
      </c>
      <c r="AR50" s="413"/>
      <c r="AS50" s="165"/>
      <c r="AT50" s="165"/>
      <c r="AU50" s="156">
        <f t="shared" si="594"/>
        <v>0</v>
      </c>
      <c r="AV50" s="164">
        <f t="shared" si="595"/>
        <v>0.4604471269</v>
      </c>
      <c r="AW50" s="167">
        <f t="shared" si="596"/>
        <v>0</v>
      </c>
      <c r="AX50" s="168">
        <f t="shared" si="597"/>
        <v>0</v>
      </c>
      <c r="AY50" s="159"/>
      <c r="AZ50" s="161">
        <f t="shared" ref="AZ50:AZ65" si="724">AZ49+1</f>
        <v>2</v>
      </c>
      <c r="BA50" s="162" t="str">
        <f t="shared" ref="BA50:BC50" si="598">IFERROR(VLOOKUP($R50,$A$13:$D$30,-BA$12,FALSE),"")</f>
        <v>Bijih  Perak</v>
      </c>
      <c r="BB50" s="163" t="str">
        <f t="shared" si="598"/>
        <v>Bijih </v>
      </c>
      <c r="BC50" s="163" t="str">
        <f t="shared" si="598"/>
        <v>Kg</v>
      </c>
      <c r="BD50" s="156"/>
      <c r="BE50" s="156" t="str">
        <f t="shared" si="599"/>
        <v/>
      </c>
      <c r="BF50" s="156">
        <f t="shared" si="600"/>
        <v>0</v>
      </c>
      <c r="BG50" s="164"/>
      <c r="BH50" s="156">
        <f t="shared" si="601"/>
        <v>0</v>
      </c>
      <c r="BI50" s="413"/>
      <c r="BJ50" s="165"/>
      <c r="BK50" s="165"/>
      <c r="BL50" s="156">
        <f t="shared" si="602"/>
        <v>0</v>
      </c>
      <c r="BM50" s="164">
        <f t="shared" si="603"/>
        <v>0.4604471269</v>
      </c>
      <c r="BN50" s="167">
        <f t="shared" si="604"/>
        <v>0</v>
      </c>
      <c r="BO50" s="168">
        <f t="shared" si="605"/>
        <v>0</v>
      </c>
      <c r="BP50" s="159"/>
      <c r="BQ50" s="161">
        <f t="shared" ref="BQ50:BQ65" si="726">BQ49+1</f>
        <v>2</v>
      </c>
      <c r="BR50" s="162" t="str">
        <f t="shared" ref="BR50:BT50" si="606">IFERROR(VLOOKUP($R50,$A$13:$D$30,-BR$12,FALSE),"")</f>
        <v>Bijih  Perak</v>
      </c>
      <c r="BS50" s="163" t="str">
        <f t="shared" si="606"/>
        <v>Bijih </v>
      </c>
      <c r="BT50" s="163" t="str">
        <f t="shared" si="606"/>
        <v>Kg</v>
      </c>
      <c r="BU50" s="156"/>
      <c r="BV50" s="156" t="str">
        <f t="shared" si="607"/>
        <v/>
      </c>
      <c r="BW50" s="156">
        <f t="shared" si="608"/>
        <v>0</v>
      </c>
      <c r="BX50" s="164"/>
      <c r="BY50" s="156">
        <f t="shared" si="609"/>
        <v>0</v>
      </c>
      <c r="BZ50" s="413"/>
      <c r="CA50" s="165"/>
      <c r="CB50" s="165"/>
      <c r="CC50" s="156">
        <f t="shared" si="610"/>
        <v>0</v>
      </c>
      <c r="CD50" s="164">
        <f t="shared" si="611"/>
        <v>0.4604471269</v>
      </c>
      <c r="CE50" s="167">
        <f t="shared" si="612"/>
        <v>0</v>
      </c>
      <c r="CF50" s="168">
        <f t="shared" si="613"/>
        <v>0</v>
      </c>
      <c r="CG50" s="159"/>
      <c r="CH50" s="161">
        <f t="shared" ref="CH50:CH65" si="728">CH49+1</f>
        <v>2</v>
      </c>
      <c r="CI50" s="162" t="str">
        <f t="shared" ref="CI50:CK50" si="614">IFERROR(VLOOKUP($R50,$A$13:$D$30,-CI$12,FALSE),"")</f>
        <v>Bijih  Perak</v>
      </c>
      <c r="CJ50" s="163" t="str">
        <f t="shared" si="614"/>
        <v>Bijih </v>
      </c>
      <c r="CK50" s="163" t="str">
        <f t="shared" si="614"/>
        <v>Kg</v>
      </c>
      <c r="CL50" s="156"/>
      <c r="CM50" s="156" t="str">
        <f t="shared" si="615"/>
        <v/>
      </c>
      <c r="CN50" s="156">
        <f t="shared" si="616"/>
        <v>0</v>
      </c>
      <c r="CO50" s="164"/>
      <c r="CP50" s="156">
        <f t="shared" si="617"/>
        <v>0</v>
      </c>
      <c r="CQ50" s="413"/>
      <c r="CR50" s="165"/>
      <c r="CS50" s="165"/>
      <c r="CT50" s="156">
        <f t="shared" si="618"/>
        <v>0</v>
      </c>
      <c r="CU50" s="164">
        <f t="shared" si="619"/>
        <v>0.4604471269</v>
      </c>
      <c r="CV50" s="167">
        <f t="shared" si="620"/>
        <v>0</v>
      </c>
      <c r="CW50" s="168">
        <f t="shared" si="621"/>
        <v>0</v>
      </c>
      <c r="CX50" s="159"/>
      <c r="CY50" s="161">
        <f t="shared" ref="CY50:CY65" si="730">CY49+1</f>
        <v>2</v>
      </c>
      <c r="CZ50" s="162" t="str">
        <f t="shared" ref="CZ50:DB50" si="622">IFERROR(VLOOKUP($R50,$A$13:$D$30,-CZ$12,FALSE),"")</f>
        <v>Bijih  Perak</v>
      </c>
      <c r="DA50" s="163" t="str">
        <f t="shared" si="622"/>
        <v>Bijih </v>
      </c>
      <c r="DB50" s="163" t="str">
        <f t="shared" si="622"/>
        <v>Kg</v>
      </c>
      <c r="DC50" s="156"/>
      <c r="DD50" s="156" t="str">
        <f t="shared" si="623"/>
        <v/>
      </c>
      <c r="DE50" s="156">
        <f t="shared" si="624"/>
        <v>0</v>
      </c>
      <c r="DF50" s="164"/>
      <c r="DG50" s="156">
        <f t="shared" si="625"/>
        <v>0</v>
      </c>
      <c r="DH50" s="413"/>
      <c r="DI50" s="165"/>
      <c r="DJ50" s="165"/>
      <c r="DK50" s="156">
        <f t="shared" si="626"/>
        <v>0</v>
      </c>
      <c r="DL50" s="164">
        <f t="shared" si="627"/>
        <v>0.4604471269</v>
      </c>
      <c r="DM50" s="167">
        <f t="shared" si="628"/>
        <v>0</v>
      </c>
      <c r="DN50" s="168">
        <f t="shared" si="629"/>
        <v>0</v>
      </c>
      <c r="DO50" s="159"/>
      <c r="DP50" s="161">
        <f t="shared" ref="DP50:DP65" si="732">DP49+1</f>
        <v>2</v>
      </c>
      <c r="DQ50" s="162" t="str">
        <f t="shared" ref="DQ50:DS50" si="630">IFERROR(VLOOKUP($R50,$A$13:$D$30,-DQ$12,FALSE),"")</f>
        <v>Bijih  Perak</v>
      </c>
      <c r="DR50" s="163" t="str">
        <f t="shared" si="630"/>
        <v>Bijih </v>
      </c>
      <c r="DS50" s="163" t="str">
        <f t="shared" si="630"/>
        <v>Kg</v>
      </c>
      <c r="DT50" s="156"/>
      <c r="DU50" s="156" t="str">
        <f t="shared" si="631"/>
        <v/>
      </c>
      <c r="DV50" s="156">
        <f t="shared" si="632"/>
        <v>0</v>
      </c>
      <c r="DW50" s="164"/>
      <c r="DX50" s="156">
        <f t="shared" si="633"/>
        <v>0</v>
      </c>
      <c r="DY50" s="413"/>
      <c r="DZ50" s="165"/>
      <c r="EA50" s="165"/>
      <c r="EB50" s="156">
        <f t="shared" si="634"/>
        <v>0</v>
      </c>
      <c r="EC50" s="164">
        <f t="shared" si="635"/>
        <v>0.4604471269</v>
      </c>
      <c r="ED50" s="167">
        <f t="shared" si="636"/>
        <v>0</v>
      </c>
      <c r="EE50" s="168">
        <f t="shared" si="637"/>
        <v>0</v>
      </c>
      <c r="EF50" s="159"/>
      <c r="EG50" s="161">
        <f t="shared" ref="EG50:EG65" si="734">EG49+1</f>
        <v>2</v>
      </c>
      <c r="EH50" s="162" t="str">
        <f t="shared" ref="EH50:EJ50" si="638">IFERROR(VLOOKUP($R50,$A$13:$D$30,-EH$12,FALSE),"")</f>
        <v>Bijih  Perak</v>
      </c>
      <c r="EI50" s="163" t="str">
        <f t="shared" si="638"/>
        <v>Bijih </v>
      </c>
      <c r="EJ50" s="163" t="str">
        <f t="shared" si="638"/>
        <v>Kg</v>
      </c>
      <c r="EK50" s="156"/>
      <c r="EL50" s="156" t="str">
        <f t="shared" si="639"/>
        <v/>
      </c>
      <c r="EM50" s="156">
        <f t="shared" si="640"/>
        <v>0</v>
      </c>
      <c r="EN50" s="164"/>
      <c r="EO50" s="156">
        <f t="shared" si="641"/>
        <v>0</v>
      </c>
      <c r="EP50" s="413"/>
      <c r="EQ50" s="165"/>
      <c r="ER50" s="165"/>
      <c r="ES50" s="156">
        <f t="shared" si="642"/>
        <v>0</v>
      </c>
      <c r="ET50" s="164">
        <f t="shared" si="643"/>
        <v>0.4604471269</v>
      </c>
      <c r="EU50" s="167">
        <f t="shared" si="644"/>
        <v>0</v>
      </c>
      <c r="EV50" s="168">
        <f t="shared" si="645"/>
        <v>0</v>
      </c>
      <c r="EW50" s="159"/>
      <c r="EX50" s="161">
        <f t="shared" ref="EX50:EX65" si="736">EX49+1</f>
        <v>2</v>
      </c>
      <c r="EY50" s="162" t="str">
        <f t="shared" ref="EY50:FA50" si="646">IFERROR(VLOOKUP($R50,$A$13:$D$30,-EY$12,FALSE),"")</f>
        <v>Bijih  Perak</v>
      </c>
      <c r="EZ50" s="163" t="str">
        <f t="shared" si="646"/>
        <v>Bijih </v>
      </c>
      <c r="FA50" s="163" t="str">
        <f t="shared" si="646"/>
        <v>Kg</v>
      </c>
      <c r="FB50" s="156"/>
      <c r="FC50" s="156" t="str">
        <f t="shared" si="647"/>
        <v/>
      </c>
      <c r="FD50" s="156">
        <f t="shared" si="648"/>
        <v>0</v>
      </c>
      <c r="FE50" s="164"/>
      <c r="FF50" s="156">
        <f t="shared" si="649"/>
        <v>0</v>
      </c>
      <c r="FG50" s="413"/>
      <c r="FH50" s="165"/>
      <c r="FI50" s="165"/>
      <c r="FJ50" s="156">
        <f t="shared" si="650"/>
        <v>0</v>
      </c>
      <c r="FK50" s="164">
        <f t="shared" si="651"/>
        <v>0.4604471269</v>
      </c>
      <c r="FL50" s="167">
        <f t="shared" si="652"/>
        <v>0</v>
      </c>
      <c r="FM50" s="168">
        <f t="shared" si="653"/>
        <v>0</v>
      </c>
      <c r="FN50" s="159"/>
      <c r="FO50" s="161">
        <f t="shared" ref="FO50:FO65" si="738">FO49+1</f>
        <v>2</v>
      </c>
      <c r="FP50" s="162" t="str">
        <f t="shared" ref="FP50:FR50" si="654">IFERROR(VLOOKUP($R50,$A$13:$D$30,-FP$12,FALSE),"")</f>
        <v>Bijih  Perak</v>
      </c>
      <c r="FQ50" s="163" t="str">
        <f t="shared" si="654"/>
        <v>Bijih </v>
      </c>
      <c r="FR50" s="163" t="str">
        <f t="shared" si="654"/>
        <v>Kg</v>
      </c>
      <c r="FS50" s="156"/>
      <c r="FT50" s="156" t="str">
        <f t="shared" si="655"/>
        <v/>
      </c>
      <c r="FU50" s="156">
        <f t="shared" si="656"/>
        <v>0</v>
      </c>
      <c r="FV50" s="164"/>
      <c r="FW50" s="156">
        <f t="shared" si="657"/>
        <v>0</v>
      </c>
      <c r="FX50" s="413"/>
      <c r="FY50" s="165"/>
      <c r="FZ50" s="165"/>
      <c r="GA50" s="156">
        <f t="shared" si="658"/>
        <v>0</v>
      </c>
      <c r="GB50" s="164">
        <f t="shared" si="659"/>
        <v>0.4604471269</v>
      </c>
      <c r="GC50" s="167">
        <f t="shared" si="660"/>
        <v>0</v>
      </c>
      <c r="GD50" s="168">
        <f t="shared" si="661"/>
        <v>0</v>
      </c>
      <c r="GE50" s="159"/>
      <c r="GF50" s="161">
        <f t="shared" ref="GF50:GF65" si="740">GF49+1</f>
        <v>2</v>
      </c>
      <c r="GG50" s="162" t="str">
        <f t="shared" ref="GG50:GI50" si="662">IFERROR(VLOOKUP($R50,$A$13:$D$30,-GG$12,FALSE),"")</f>
        <v>Bijih  Perak</v>
      </c>
      <c r="GH50" s="163" t="str">
        <f t="shared" si="662"/>
        <v>Bijih </v>
      </c>
      <c r="GI50" s="163" t="str">
        <f t="shared" si="662"/>
        <v>Kg</v>
      </c>
      <c r="GJ50" s="156"/>
      <c r="GK50" s="156" t="str">
        <f t="shared" si="663"/>
        <v/>
      </c>
      <c r="GL50" s="156">
        <f t="shared" si="664"/>
        <v>0</v>
      </c>
      <c r="GM50" s="164"/>
      <c r="GN50" s="156">
        <f t="shared" si="665"/>
        <v>0</v>
      </c>
      <c r="GO50" s="413"/>
      <c r="GP50" s="165"/>
      <c r="GQ50" s="165"/>
      <c r="GR50" s="156">
        <f t="shared" si="666"/>
        <v>0</v>
      </c>
      <c r="GS50" s="164">
        <f t="shared" si="667"/>
        <v>0.4604471269</v>
      </c>
      <c r="GT50" s="167">
        <f t="shared" si="668"/>
        <v>0</v>
      </c>
      <c r="GU50" s="168">
        <f t="shared" si="669"/>
        <v>0</v>
      </c>
      <c r="GV50" s="159"/>
      <c r="GW50" s="161">
        <f t="shared" ref="GW50:GW65" si="742">GW49+1</f>
        <v>2</v>
      </c>
      <c r="GX50" s="162" t="str">
        <f t="shared" ref="GX50:GZ50" si="670">IFERROR(VLOOKUP($R50,$A$13:$D$30,-GX$12,FALSE),"")</f>
        <v>Bijih  Perak</v>
      </c>
      <c r="GY50" s="163" t="str">
        <f t="shared" si="670"/>
        <v>Bijih </v>
      </c>
      <c r="GZ50" s="163" t="str">
        <f t="shared" si="670"/>
        <v>Kg</v>
      </c>
      <c r="HA50" s="156"/>
      <c r="HB50" s="156" t="str">
        <f t="shared" si="671"/>
        <v/>
      </c>
      <c r="HC50" s="156">
        <f t="shared" si="672"/>
        <v>0</v>
      </c>
      <c r="HD50" s="164"/>
      <c r="HE50" s="156">
        <f t="shared" si="673"/>
        <v>0</v>
      </c>
      <c r="HF50" s="413"/>
      <c r="HG50" s="165"/>
      <c r="HH50" s="165"/>
      <c r="HI50" s="156">
        <f t="shared" si="674"/>
        <v>0</v>
      </c>
      <c r="HJ50" s="164">
        <f t="shared" si="675"/>
        <v>0.4604471269</v>
      </c>
      <c r="HK50" s="167">
        <f t="shared" si="676"/>
        <v>0</v>
      </c>
      <c r="HL50" s="168">
        <f t="shared" si="677"/>
        <v>0</v>
      </c>
      <c r="HM50" s="159"/>
      <c r="HN50" s="161">
        <f t="shared" ref="HN50:HN65" si="744">HN49+1</f>
        <v>2</v>
      </c>
      <c r="HO50" s="162" t="str">
        <f t="shared" ref="HO50:HQ50" si="678">IFERROR(VLOOKUP($R50,$A$13:$D$30,-HO$12,FALSE),"")</f>
        <v>Bijih  Perak</v>
      </c>
      <c r="HP50" s="163" t="str">
        <f t="shared" si="678"/>
        <v>Bijih </v>
      </c>
      <c r="HQ50" s="163" t="str">
        <f t="shared" si="678"/>
        <v>Kg</v>
      </c>
      <c r="HR50" s="156"/>
      <c r="HS50" s="156" t="str">
        <f t="shared" si="679"/>
        <v/>
      </c>
      <c r="HT50" s="156">
        <f t="shared" si="680"/>
        <v>0</v>
      </c>
      <c r="HU50" s="164"/>
      <c r="HV50" s="156">
        <f t="shared" si="681"/>
        <v>0</v>
      </c>
      <c r="HW50" s="413"/>
      <c r="HX50" s="165"/>
      <c r="HY50" s="165"/>
      <c r="HZ50" s="156">
        <f t="shared" si="682"/>
        <v>0</v>
      </c>
      <c r="IA50" s="164">
        <f t="shared" si="683"/>
        <v>0.4604471269</v>
      </c>
      <c r="IB50" s="167">
        <f t="shared" si="684"/>
        <v>0</v>
      </c>
      <c r="IC50" s="168">
        <f t="shared" si="685"/>
        <v>0</v>
      </c>
      <c r="ID50" s="159"/>
      <c r="IE50" s="161">
        <f t="shared" ref="IE50:IE65" si="746">IE49+1</f>
        <v>2</v>
      </c>
      <c r="IF50" s="162" t="str">
        <f t="shared" ref="IF50:IH50" si="686">IFERROR(VLOOKUP($R50,$A$13:$D$30,-IF$12,FALSE),"")</f>
        <v>Bijih  Perak</v>
      </c>
      <c r="IG50" s="163" t="str">
        <f t="shared" si="686"/>
        <v>Bijih </v>
      </c>
      <c r="IH50" s="163" t="str">
        <f t="shared" si="686"/>
        <v>Kg</v>
      </c>
      <c r="II50" s="156"/>
      <c r="IJ50" s="156" t="str">
        <f t="shared" si="687"/>
        <v/>
      </c>
      <c r="IK50" s="156">
        <f t="shared" si="688"/>
        <v>0</v>
      </c>
      <c r="IL50" s="164"/>
      <c r="IM50" s="156">
        <f t="shared" si="689"/>
        <v>0</v>
      </c>
      <c r="IN50" s="413"/>
      <c r="IO50" s="165"/>
      <c r="IP50" s="165"/>
      <c r="IQ50" s="156">
        <f t="shared" si="690"/>
        <v>0</v>
      </c>
      <c r="IR50" s="164">
        <f t="shared" si="691"/>
        <v>0.4604471269</v>
      </c>
      <c r="IS50" s="167">
        <f t="shared" si="692"/>
        <v>0</v>
      </c>
      <c r="IT50" s="168">
        <f t="shared" si="693"/>
        <v>0</v>
      </c>
      <c r="IU50" s="159"/>
      <c r="IV50" s="161">
        <f t="shared" ref="IV50:IV65" si="748">IV49+1</f>
        <v>2</v>
      </c>
      <c r="IW50" s="162" t="str">
        <f t="shared" ref="IW50:IY50" si="694">IFERROR(VLOOKUP($R50,$A$13:$D$30,-IW$12,FALSE),"")</f>
        <v>Bijih  Perak</v>
      </c>
      <c r="IX50" s="163" t="str">
        <f t="shared" si="694"/>
        <v>Bijih </v>
      </c>
      <c r="IY50" s="163" t="str">
        <f t="shared" si="694"/>
        <v>Kg</v>
      </c>
      <c r="IZ50" s="156"/>
      <c r="JA50" s="156" t="str">
        <f t="shared" si="695"/>
        <v/>
      </c>
      <c r="JB50" s="156">
        <f t="shared" si="696"/>
        <v>0</v>
      </c>
      <c r="JC50" s="164"/>
      <c r="JD50" s="156">
        <f t="shared" si="697"/>
        <v>0</v>
      </c>
      <c r="JE50" s="413"/>
      <c r="JF50" s="165"/>
      <c r="JG50" s="165"/>
      <c r="JH50" s="156">
        <f t="shared" si="698"/>
        <v>0</v>
      </c>
      <c r="JI50" s="164">
        <f t="shared" si="699"/>
        <v>0.4604471269</v>
      </c>
      <c r="JJ50" s="167">
        <f t="shared" si="700"/>
        <v>0</v>
      </c>
      <c r="JK50" s="168">
        <f t="shared" si="701"/>
        <v>0</v>
      </c>
      <c r="JL50" s="159"/>
      <c r="JM50" s="161">
        <f t="shared" ref="JM50:JM65" si="750">JM49+1</f>
        <v>2</v>
      </c>
      <c r="JN50" s="162" t="str">
        <f t="shared" ref="JN50:JP50" si="702">IFERROR(VLOOKUP($R50,$A$13:$D$30,-JN$12,FALSE),"")</f>
        <v>Bijih  Perak</v>
      </c>
      <c r="JO50" s="163" t="str">
        <f t="shared" si="702"/>
        <v>Bijih </v>
      </c>
      <c r="JP50" s="163" t="str">
        <f t="shared" si="702"/>
        <v>Kg</v>
      </c>
      <c r="JQ50" s="156"/>
      <c r="JR50" s="156" t="str">
        <f t="shared" si="703"/>
        <v/>
      </c>
      <c r="JS50" s="156">
        <f t="shared" si="704"/>
        <v>0</v>
      </c>
      <c r="JT50" s="164"/>
      <c r="JU50" s="156">
        <f t="shared" si="705"/>
        <v>0</v>
      </c>
      <c r="JV50" s="413"/>
      <c r="JW50" s="165"/>
      <c r="JX50" s="165"/>
      <c r="JY50" s="156">
        <f t="shared" si="706"/>
        <v>0</v>
      </c>
      <c r="JZ50" s="164">
        <f t="shared" si="707"/>
        <v>0.4604471269</v>
      </c>
      <c r="KA50" s="167">
        <f t="shared" si="708"/>
        <v>0</v>
      </c>
      <c r="KB50" s="168">
        <f t="shared" si="709"/>
        <v>0</v>
      </c>
      <c r="KC50" s="159"/>
      <c r="KD50" s="161">
        <f t="shared" ref="KD50:KD65" si="752">KD49+1</f>
        <v>2</v>
      </c>
      <c r="KE50" s="162" t="str">
        <f t="shared" ref="KE50:KG50" si="710">IFERROR(VLOOKUP($R50,$A$13:$D$30,-KE$12,FALSE),"")</f>
        <v>Bijih  Perak</v>
      </c>
      <c r="KF50" s="163" t="str">
        <f t="shared" si="710"/>
        <v>Bijih </v>
      </c>
      <c r="KG50" s="163" t="str">
        <f t="shared" si="710"/>
        <v>Kg</v>
      </c>
      <c r="KH50" s="156"/>
      <c r="KI50" s="156" t="str">
        <f t="shared" si="711"/>
        <v/>
      </c>
      <c r="KJ50" s="156">
        <f t="shared" si="712"/>
        <v>0</v>
      </c>
      <c r="KK50" s="164"/>
      <c r="KL50" s="156">
        <f t="shared" si="713"/>
        <v>0</v>
      </c>
      <c r="KM50" s="413"/>
      <c r="KN50" s="165"/>
      <c r="KO50" s="165"/>
      <c r="KP50" s="156">
        <f t="shared" si="714"/>
        <v>0</v>
      </c>
      <c r="KQ50" s="164">
        <f t="shared" si="715"/>
        <v>0.4604471269</v>
      </c>
      <c r="KR50" s="167">
        <f t="shared" si="716"/>
        <v>0</v>
      </c>
      <c r="KS50" s="168">
        <f t="shared" si="717"/>
        <v>0</v>
      </c>
      <c r="KT50" s="159"/>
      <c r="KU50" s="160"/>
    </row>
    <row r="51" ht="15.75" customHeight="1">
      <c r="A51" s="161">
        <f t="shared" si="718"/>
        <v>3</v>
      </c>
      <c r="B51" s="162" t="str">
        <f t="shared" ref="B51:D51" si="719">IFERROR(VLOOKUP($A51,$A$13:$D$30,-B$12,FALSE),"")</f>
        <v>Tembaga</v>
      </c>
      <c r="C51" s="163" t="str">
        <f t="shared" si="719"/>
        <v>Bijih </v>
      </c>
      <c r="D51" s="163" t="str">
        <f t="shared" si="719"/>
        <v>Ton </v>
      </c>
      <c r="E51" s="156"/>
      <c r="F51" s="156"/>
      <c r="G51" s="156">
        <f t="shared" si="576"/>
        <v>0</v>
      </c>
      <c r="H51" s="164"/>
      <c r="I51" s="156">
        <f t="shared" si="577"/>
        <v>0</v>
      </c>
      <c r="J51" s="413"/>
      <c r="K51" s="165"/>
      <c r="L51" s="165"/>
      <c r="M51" s="156">
        <f t="shared" si="578"/>
        <v>0</v>
      </c>
      <c r="N51" s="164">
        <f t="shared" si="579"/>
        <v>0.4604471269</v>
      </c>
      <c r="O51" s="167">
        <f t="shared" si="580"/>
        <v>0</v>
      </c>
      <c r="P51" s="168">
        <f t="shared" si="581"/>
        <v>0</v>
      </c>
      <c r="Q51" s="159"/>
      <c r="R51" s="161">
        <f t="shared" si="720"/>
        <v>3</v>
      </c>
      <c r="S51" s="162" t="str">
        <f t="shared" ref="S51:U51" si="721">IFERROR(VLOOKUP($R51,$A$13:$D$30,-S$12,FALSE),"")</f>
        <v>Tembaga</v>
      </c>
      <c r="T51" s="163" t="str">
        <f t="shared" si="721"/>
        <v>Bijih </v>
      </c>
      <c r="U51" s="163" t="str">
        <f t="shared" si="721"/>
        <v>Ton </v>
      </c>
      <c r="V51" s="156"/>
      <c r="W51" s="156" t="str">
        <f t="shared" si="583"/>
        <v/>
      </c>
      <c r="X51" s="156">
        <f t="shared" si="584"/>
        <v>0</v>
      </c>
      <c r="Y51" s="164"/>
      <c r="Z51" s="156">
        <f t="shared" si="585"/>
        <v>0</v>
      </c>
      <c r="AA51" s="413"/>
      <c r="AB51" s="165"/>
      <c r="AC51" s="165"/>
      <c r="AD51" s="156">
        <f t="shared" si="586"/>
        <v>0</v>
      </c>
      <c r="AE51" s="164">
        <f t="shared" si="587"/>
        <v>0.4604471269</v>
      </c>
      <c r="AF51" s="167">
        <f t="shared" si="588"/>
        <v>0</v>
      </c>
      <c r="AG51" s="168">
        <f t="shared" si="589"/>
        <v>0</v>
      </c>
      <c r="AH51" s="159"/>
      <c r="AI51" s="161">
        <f t="shared" si="722"/>
        <v>3</v>
      </c>
      <c r="AJ51" s="162" t="str">
        <f t="shared" ref="AJ51:AL51" si="723">IFERROR(VLOOKUP($R51,$A$13:$D$30,-AJ$12,FALSE),"")</f>
        <v>Tembaga</v>
      </c>
      <c r="AK51" s="163" t="str">
        <f t="shared" si="723"/>
        <v>Bijih </v>
      </c>
      <c r="AL51" s="163" t="str">
        <f t="shared" si="723"/>
        <v>Ton </v>
      </c>
      <c r="AM51" s="156"/>
      <c r="AN51" s="156" t="str">
        <f t="shared" si="591"/>
        <v/>
      </c>
      <c r="AO51" s="156">
        <f t="shared" si="592"/>
        <v>0</v>
      </c>
      <c r="AP51" s="164"/>
      <c r="AQ51" s="156">
        <f t="shared" si="593"/>
        <v>0</v>
      </c>
      <c r="AR51" s="413"/>
      <c r="AS51" s="165"/>
      <c r="AT51" s="165"/>
      <c r="AU51" s="156">
        <f t="shared" si="594"/>
        <v>0</v>
      </c>
      <c r="AV51" s="164">
        <f t="shared" si="595"/>
        <v>0.4604471269</v>
      </c>
      <c r="AW51" s="167">
        <f t="shared" si="596"/>
        <v>0</v>
      </c>
      <c r="AX51" s="168">
        <f t="shared" si="597"/>
        <v>0</v>
      </c>
      <c r="AY51" s="159"/>
      <c r="AZ51" s="161">
        <f t="shared" si="724"/>
        <v>3</v>
      </c>
      <c r="BA51" s="162" t="str">
        <f t="shared" ref="BA51:BC51" si="725">IFERROR(VLOOKUP($R51,$A$13:$D$30,-BA$12,FALSE),"")</f>
        <v>Tembaga</v>
      </c>
      <c r="BB51" s="163" t="str">
        <f t="shared" si="725"/>
        <v>Bijih </v>
      </c>
      <c r="BC51" s="163" t="str">
        <f t="shared" si="725"/>
        <v>Ton </v>
      </c>
      <c r="BD51" s="156"/>
      <c r="BE51" s="156" t="str">
        <f t="shared" si="599"/>
        <v/>
      </c>
      <c r="BF51" s="156">
        <f t="shared" si="600"/>
        <v>0</v>
      </c>
      <c r="BG51" s="164"/>
      <c r="BH51" s="156">
        <f t="shared" si="601"/>
        <v>0</v>
      </c>
      <c r="BI51" s="413"/>
      <c r="BJ51" s="165"/>
      <c r="BK51" s="165"/>
      <c r="BL51" s="156">
        <f t="shared" si="602"/>
        <v>0</v>
      </c>
      <c r="BM51" s="164">
        <f t="shared" si="603"/>
        <v>0.4604471269</v>
      </c>
      <c r="BN51" s="167">
        <f t="shared" si="604"/>
        <v>0</v>
      </c>
      <c r="BO51" s="168">
        <f t="shared" si="605"/>
        <v>0</v>
      </c>
      <c r="BP51" s="159"/>
      <c r="BQ51" s="161">
        <f t="shared" si="726"/>
        <v>3</v>
      </c>
      <c r="BR51" s="162" t="str">
        <f t="shared" ref="BR51:BT51" si="727">IFERROR(VLOOKUP($R51,$A$13:$D$30,-BR$12,FALSE),"")</f>
        <v>Tembaga</v>
      </c>
      <c r="BS51" s="163" t="str">
        <f t="shared" si="727"/>
        <v>Bijih </v>
      </c>
      <c r="BT51" s="163" t="str">
        <f t="shared" si="727"/>
        <v>Ton </v>
      </c>
      <c r="BU51" s="156"/>
      <c r="BV51" s="156" t="str">
        <f t="shared" si="607"/>
        <v/>
      </c>
      <c r="BW51" s="156">
        <f t="shared" si="608"/>
        <v>0</v>
      </c>
      <c r="BX51" s="164"/>
      <c r="BY51" s="156">
        <f t="shared" si="609"/>
        <v>0</v>
      </c>
      <c r="BZ51" s="413"/>
      <c r="CA51" s="165"/>
      <c r="CB51" s="165"/>
      <c r="CC51" s="156">
        <f t="shared" si="610"/>
        <v>0</v>
      </c>
      <c r="CD51" s="164">
        <f t="shared" si="611"/>
        <v>0.4604471269</v>
      </c>
      <c r="CE51" s="167">
        <f t="shared" si="612"/>
        <v>0</v>
      </c>
      <c r="CF51" s="168">
        <f t="shared" si="613"/>
        <v>0</v>
      </c>
      <c r="CG51" s="159"/>
      <c r="CH51" s="161">
        <f t="shared" si="728"/>
        <v>3</v>
      </c>
      <c r="CI51" s="162" t="str">
        <f t="shared" ref="CI51:CK51" si="729">IFERROR(VLOOKUP($R51,$A$13:$D$30,-CI$12,FALSE),"")</f>
        <v>Tembaga</v>
      </c>
      <c r="CJ51" s="163" t="str">
        <f t="shared" si="729"/>
        <v>Bijih </v>
      </c>
      <c r="CK51" s="163" t="str">
        <f t="shared" si="729"/>
        <v>Ton </v>
      </c>
      <c r="CL51" s="156"/>
      <c r="CM51" s="156" t="str">
        <f t="shared" si="615"/>
        <v/>
      </c>
      <c r="CN51" s="156">
        <f t="shared" si="616"/>
        <v>0</v>
      </c>
      <c r="CO51" s="164"/>
      <c r="CP51" s="156">
        <f t="shared" si="617"/>
        <v>0</v>
      </c>
      <c r="CQ51" s="413"/>
      <c r="CR51" s="165"/>
      <c r="CS51" s="165"/>
      <c r="CT51" s="156">
        <f t="shared" si="618"/>
        <v>0</v>
      </c>
      <c r="CU51" s="164">
        <f t="shared" si="619"/>
        <v>0.4604471269</v>
      </c>
      <c r="CV51" s="167">
        <f t="shared" si="620"/>
        <v>0</v>
      </c>
      <c r="CW51" s="168">
        <f t="shared" si="621"/>
        <v>0</v>
      </c>
      <c r="CX51" s="159"/>
      <c r="CY51" s="161">
        <f t="shared" si="730"/>
        <v>3</v>
      </c>
      <c r="CZ51" s="162" t="str">
        <f t="shared" ref="CZ51:DB51" si="731">IFERROR(VLOOKUP($R51,$A$13:$D$30,-CZ$12,FALSE),"")</f>
        <v>Tembaga</v>
      </c>
      <c r="DA51" s="163" t="str">
        <f t="shared" si="731"/>
        <v>Bijih </v>
      </c>
      <c r="DB51" s="163" t="str">
        <f t="shared" si="731"/>
        <v>Ton </v>
      </c>
      <c r="DC51" s="156"/>
      <c r="DD51" s="156" t="str">
        <f t="shared" si="623"/>
        <v/>
      </c>
      <c r="DE51" s="156">
        <f t="shared" si="624"/>
        <v>0</v>
      </c>
      <c r="DF51" s="164"/>
      <c r="DG51" s="156">
        <f t="shared" si="625"/>
        <v>0</v>
      </c>
      <c r="DH51" s="413"/>
      <c r="DI51" s="165"/>
      <c r="DJ51" s="165"/>
      <c r="DK51" s="156">
        <f t="shared" si="626"/>
        <v>0</v>
      </c>
      <c r="DL51" s="164">
        <f t="shared" si="627"/>
        <v>0.4604471269</v>
      </c>
      <c r="DM51" s="167">
        <f t="shared" si="628"/>
        <v>0</v>
      </c>
      <c r="DN51" s="168">
        <f t="shared" si="629"/>
        <v>0</v>
      </c>
      <c r="DO51" s="159"/>
      <c r="DP51" s="161">
        <f t="shared" si="732"/>
        <v>3</v>
      </c>
      <c r="DQ51" s="162" t="str">
        <f t="shared" ref="DQ51:DS51" si="733">IFERROR(VLOOKUP($R51,$A$13:$D$30,-DQ$12,FALSE),"")</f>
        <v>Tembaga</v>
      </c>
      <c r="DR51" s="163" t="str">
        <f t="shared" si="733"/>
        <v>Bijih </v>
      </c>
      <c r="DS51" s="163" t="str">
        <f t="shared" si="733"/>
        <v>Ton </v>
      </c>
      <c r="DT51" s="156"/>
      <c r="DU51" s="156" t="str">
        <f t="shared" si="631"/>
        <v/>
      </c>
      <c r="DV51" s="156">
        <f t="shared" si="632"/>
        <v>0</v>
      </c>
      <c r="DW51" s="164"/>
      <c r="DX51" s="156">
        <f t="shared" si="633"/>
        <v>0</v>
      </c>
      <c r="DY51" s="413"/>
      <c r="DZ51" s="165"/>
      <c r="EA51" s="165"/>
      <c r="EB51" s="156">
        <f t="shared" si="634"/>
        <v>0</v>
      </c>
      <c r="EC51" s="164">
        <f t="shared" si="635"/>
        <v>0.4604471269</v>
      </c>
      <c r="ED51" s="167">
        <f t="shared" si="636"/>
        <v>0</v>
      </c>
      <c r="EE51" s="168">
        <f t="shared" si="637"/>
        <v>0</v>
      </c>
      <c r="EF51" s="159"/>
      <c r="EG51" s="161">
        <f t="shared" si="734"/>
        <v>3</v>
      </c>
      <c r="EH51" s="162" t="str">
        <f t="shared" ref="EH51:EJ51" si="735">IFERROR(VLOOKUP($R51,$A$13:$D$30,-EH$12,FALSE),"")</f>
        <v>Tembaga</v>
      </c>
      <c r="EI51" s="163" t="str">
        <f t="shared" si="735"/>
        <v>Bijih </v>
      </c>
      <c r="EJ51" s="163" t="str">
        <f t="shared" si="735"/>
        <v>Ton </v>
      </c>
      <c r="EK51" s="156"/>
      <c r="EL51" s="156" t="str">
        <f t="shared" si="639"/>
        <v/>
      </c>
      <c r="EM51" s="156">
        <f t="shared" si="640"/>
        <v>0</v>
      </c>
      <c r="EN51" s="164"/>
      <c r="EO51" s="156">
        <f t="shared" si="641"/>
        <v>0</v>
      </c>
      <c r="EP51" s="413"/>
      <c r="EQ51" s="165"/>
      <c r="ER51" s="165"/>
      <c r="ES51" s="156">
        <f t="shared" si="642"/>
        <v>0</v>
      </c>
      <c r="ET51" s="164">
        <f t="shared" si="643"/>
        <v>0.4604471269</v>
      </c>
      <c r="EU51" s="167">
        <f t="shared" si="644"/>
        <v>0</v>
      </c>
      <c r="EV51" s="168">
        <f t="shared" si="645"/>
        <v>0</v>
      </c>
      <c r="EW51" s="159"/>
      <c r="EX51" s="161">
        <f t="shared" si="736"/>
        <v>3</v>
      </c>
      <c r="EY51" s="162" t="str">
        <f t="shared" ref="EY51:FA51" si="737">IFERROR(VLOOKUP($R51,$A$13:$D$30,-EY$12,FALSE),"")</f>
        <v>Tembaga</v>
      </c>
      <c r="EZ51" s="163" t="str">
        <f t="shared" si="737"/>
        <v>Bijih </v>
      </c>
      <c r="FA51" s="163" t="str">
        <f t="shared" si="737"/>
        <v>Ton </v>
      </c>
      <c r="FB51" s="156"/>
      <c r="FC51" s="156" t="str">
        <f t="shared" si="647"/>
        <v/>
      </c>
      <c r="FD51" s="156">
        <f t="shared" si="648"/>
        <v>0</v>
      </c>
      <c r="FE51" s="164"/>
      <c r="FF51" s="156">
        <f t="shared" si="649"/>
        <v>0</v>
      </c>
      <c r="FG51" s="413"/>
      <c r="FH51" s="165"/>
      <c r="FI51" s="165"/>
      <c r="FJ51" s="156">
        <f t="shared" si="650"/>
        <v>0</v>
      </c>
      <c r="FK51" s="164">
        <f t="shared" si="651"/>
        <v>0.4604471269</v>
      </c>
      <c r="FL51" s="167">
        <f t="shared" si="652"/>
        <v>0</v>
      </c>
      <c r="FM51" s="168">
        <f t="shared" si="653"/>
        <v>0</v>
      </c>
      <c r="FN51" s="159"/>
      <c r="FO51" s="161">
        <f t="shared" si="738"/>
        <v>3</v>
      </c>
      <c r="FP51" s="162" t="str">
        <f t="shared" ref="FP51:FR51" si="739">IFERROR(VLOOKUP($R51,$A$13:$D$30,-FP$12,FALSE),"")</f>
        <v>Tembaga</v>
      </c>
      <c r="FQ51" s="163" t="str">
        <f t="shared" si="739"/>
        <v>Bijih </v>
      </c>
      <c r="FR51" s="163" t="str">
        <f t="shared" si="739"/>
        <v>Ton </v>
      </c>
      <c r="FS51" s="156"/>
      <c r="FT51" s="156" t="str">
        <f t="shared" si="655"/>
        <v/>
      </c>
      <c r="FU51" s="156">
        <f t="shared" si="656"/>
        <v>0</v>
      </c>
      <c r="FV51" s="164"/>
      <c r="FW51" s="156">
        <f t="shared" si="657"/>
        <v>0</v>
      </c>
      <c r="FX51" s="413"/>
      <c r="FY51" s="165"/>
      <c r="FZ51" s="165"/>
      <c r="GA51" s="156">
        <f t="shared" si="658"/>
        <v>0</v>
      </c>
      <c r="GB51" s="164">
        <f t="shared" si="659"/>
        <v>0.4604471269</v>
      </c>
      <c r="GC51" s="167">
        <f t="shared" si="660"/>
        <v>0</v>
      </c>
      <c r="GD51" s="168">
        <f t="shared" si="661"/>
        <v>0</v>
      </c>
      <c r="GE51" s="159"/>
      <c r="GF51" s="161">
        <f t="shared" si="740"/>
        <v>3</v>
      </c>
      <c r="GG51" s="162" t="str">
        <f t="shared" ref="GG51:GI51" si="741">IFERROR(VLOOKUP($R51,$A$13:$D$30,-GG$12,FALSE),"")</f>
        <v>Tembaga</v>
      </c>
      <c r="GH51" s="163" t="str">
        <f t="shared" si="741"/>
        <v>Bijih </v>
      </c>
      <c r="GI51" s="163" t="str">
        <f t="shared" si="741"/>
        <v>Ton </v>
      </c>
      <c r="GJ51" s="156"/>
      <c r="GK51" s="156" t="str">
        <f t="shared" si="663"/>
        <v/>
      </c>
      <c r="GL51" s="156">
        <f t="shared" si="664"/>
        <v>0</v>
      </c>
      <c r="GM51" s="164"/>
      <c r="GN51" s="156">
        <f t="shared" si="665"/>
        <v>0</v>
      </c>
      <c r="GO51" s="413"/>
      <c r="GP51" s="165"/>
      <c r="GQ51" s="165"/>
      <c r="GR51" s="156">
        <f t="shared" si="666"/>
        <v>0</v>
      </c>
      <c r="GS51" s="164">
        <f t="shared" si="667"/>
        <v>0.4604471269</v>
      </c>
      <c r="GT51" s="167">
        <f t="shared" si="668"/>
        <v>0</v>
      </c>
      <c r="GU51" s="168">
        <f t="shared" si="669"/>
        <v>0</v>
      </c>
      <c r="GV51" s="159"/>
      <c r="GW51" s="161">
        <f t="shared" si="742"/>
        <v>3</v>
      </c>
      <c r="GX51" s="162" t="str">
        <f t="shared" ref="GX51:GZ51" si="743">IFERROR(VLOOKUP($R51,$A$13:$D$30,-GX$12,FALSE),"")</f>
        <v>Tembaga</v>
      </c>
      <c r="GY51" s="163" t="str">
        <f t="shared" si="743"/>
        <v>Bijih </v>
      </c>
      <c r="GZ51" s="163" t="str">
        <f t="shared" si="743"/>
        <v>Ton </v>
      </c>
      <c r="HA51" s="156"/>
      <c r="HB51" s="156" t="str">
        <f t="shared" si="671"/>
        <v/>
      </c>
      <c r="HC51" s="156">
        <f t="shared" si="672"/>
        <v>0</v>
      </c>
      <c r="HD51" s="164"/>
      <c r="HE51" s="156">
        <f t="shared" si="673"/>
        <v>0</v>
      </c>
      <c r="HF51" s="413"/>
      <c r="HG51" s="165"/>
      <c r="HH51" s="165"/>
      <c r="HI51" s="156">
        <f t="shared" si="674"/>
        <v>0</v>
      </c>
      <c r="HJ51" s="164">
        <f t="shared" si="675"/>
        <v>0.4604471269</v>
      </c>
      <c r="HK51" s="167">
        <f t="shared" si="676"/>
        <v>0</v>
      </c>
      <c r="HL51" s="168">
        <f t="shared" si="677"/>
        <v>0</v>
      </c>
      <c r="HM51" s="159"/>
      <c r="HN51" s="161">
        <f t="shared" si="744"/>
        <v>3</v>
      </c>
      <c r="HO51" s="162" t="str">
        <f t="shared" ref="HO51:HQ51" si="745">IFERROR(VLOOKUP($R51,$A$13:$D$30,-HO$12,FALSE),"")</f>
        <v>Tembaga</v>
      </c>
      <c r="HP51" s="163" t="str">
        <f t="shared" si="745"/>
        <v>Bijih </v>
      </c>
      <c r="HQ51" s="163" t="str">
        <f t="shared" si="745"/>
        <v>Ton </v>
      </c>
      <c r="HR51" s="156"/>
      <c r="HS51" s="156" t="str">
        <f t="shared" si="679"/>
        <v/>
      </c>
      <c r="HT51" s="156">
        <f t="shared" si="680"/>
        <v>0</v>
      </c>
      <c r="HU51" s="164"/>
      <c r="HV51" s="156">
        <f t="shared" si="681"/>
        <v>0</v>
      </c>
      <c r="HW51" s="413"/>
      <c r="HX51" s="165"/>
      <c r="HY51" s="165"/>
      <c r="HZ51" s="156">
        <f t="shared" si="682"/>
        <v>0</v>
      </c>
      <c r="IA51" s="164">
        <f t="shared" si="683"/>
        <v>0.4604471269</v>
      </c>
      <c r="IB51" s="167">
        <f t="shared" si="684"/>
        <v>0</v>
      </c>
      <c r="IC51" s="168">
        <f t="shared" si="685"/>
        <v>0</v>
      </c>
      <c r="ID51" s="159"/>
      <c r="IE51" s="161">
        <f t="shared" si="746"/>
        <v>3</v>
      </c>
      <c r="IF51" s="162" t="str">
        <f t="shared" ref="IF51:IH51" si="747">IFERROR(VLOOKUP($R51,$A$13:$D$30,-IF$12,FALSE),"")</f>
        <v>Tembaga</v>
      </c>
      <c r="IG51" s="163" t="str">
        <f t="shared" si="747"/>
        <v>Bijih </v>
      </c>
      <c r="IH51" s="163" t="str">
        <f t="shared" si="747"/>
        <v>Ton </v>
      </c>
      <c r="II51" s="156"/>
      <c r="IJ51" s="156" t="str">
        <f t="shared" si="687"/>
        <v/>
      </c>
      <c r="IK51" s="156">
        <f t="shared" si="688"/>
        <v>0</v>
      </c>
      <c r="IL51" s="164"/>
      <c r="IM51" s="156">
        <f t="shared" si="689"/>
        <v>0</v>
      </c>
      <c r="IN51" s="413"/>
      <c r="IO51" s="165"/>
      <c r="IP51" s="165"/>
      <c r="IQ51" s="156">
        <f t="shared" si="690"/>
        <v>0</v>
      </c>
      <c r="IR51" s="164">
        <f t="shared" si="691"/>
        <v>0.4604471269</v>
      </c>
      <c r="IS51" s="167">
        <f t="shared" si="692"/>
        <v>0</v>
      </c>
      <c r="IT51" s="168">
        <f t="shared" si="693"/>
        <v>0</v>
      </c>
      <c r="IU51" s="159"/>
      <c r="IV51" s="161">
        <f t="shared" si="748"/>
        <v>3</v>
      </c>
      <c r="IW51" s="162" t="str">
        <f t="shared" ref="IW51:IY51" si="749">IFERROR(VLOOKUP($R51,$A$13:$D$30,-IW$12,FALSE),"")</f>
        <v>Tembaga</v>
      </c>
      <c r="IX51" s="163" t="str">
        <f t="shared" si="749"/>
        <v>Bijih </v>
      </c>
      <c r="IY51" s="163" t="str">
        <f t="shared" si="749"/>
        <v>Ton </v>
      </c>
      <c r="IZ51" s="156"/>
      <c r="JA51" s="156" t="str">
        <f t="shared" si="695"/>
        <v/>
      </c>
      <c r="JB51" s="156">
        <f t="shared" si="696"/>
        <v>0</v>
      </c>
      <c r="JC51" s="164"/>
      <c r="JD51" s="156">
        <f t="shared" si="697"/>
        <v>0</v>
      </c>
      <c r="JE51" s="413"/>
      <c r="JF51" s="165"/>
      <c r="JG51" s="165"/>
      <c r="JH51" s="156">
        <f t="shared" si="698"/>
        <v>0</v>
      </c>
      <c r="JI51" s="164">
        <f t="shared" si="699"/>
        <v>0.4604471269</v>
      </c>
      <c r="JJ51" s="167">
        <f t="shared" si="700"/>
        <v>0</v>
      </c>
      <c r="JK51" s="168">
        <f t="shared" si="701"/>
        <v>0</v>
      </c>
      <c r="JL51" s="159"/>
      <c r="JM51" s="161">
        <f t="shared" si="750"/>
        <v>3</v>
      </c>
      <c r="JN51" s="162" t="str">
        <f t="shared" ref="JN51:JP51" si="751">IFERROR(VLOOKUP($R51,$A$13:$D$30,-JN$12,FALSE),"")</f>
        <v>Tembaga</v>
      </c>
      <c r="JO51" s="163" t="str">
        <f t="shared" si="751"/>
        <v>Bijih </v>
      </c>
      <c r="JP51" s="163" t="str">
        <f t="shared" si="751"/>
        <v>Ton </v>
      </c>
      <c r="JQ51" s="156"/>
      <c r="JR51" s="156" t="str">
        <f t="shared" si="703"/>
        <v/>
      </c>
      <c r="JS51" s="156">
        <f t="shared" si="704"/>
        <v>0</v>
      </c>
      <c r="JT51" s="164"/>
      <c r="JU51" s="156">
        <f t="shared" si="705"/>
        <v>0</v>
      </c>
      <c r="JV51" s="413"/>
      <c r="JW51" s="165"/>
      <c r="JX51" s="165"/>
      <c r="JY51" s="156">
        <f t="shared" si="706"/>
        <v>0</v>
      </c>
      <c r="JZ51" s="164">
        <f t="shared" si="707"/>
        <v>0.4604471269</v>
      </c>
      <c r="KA51" s="167">
        <f t="shared" si="708"/>
        <v>0</v>
      </c>
      <c r="KB51" s="168">
        <f t="shared" si="709"/>
        <v>0</v>
      </c>
      <c r="KC51" s="159"/>
      <c r="KD51" s="161">
        <f t="shared" si="752"/>
        <v>3</v>
      </c>
      <c r="KE51" s="162" t="str">
        <f t="shared" ref="KE51:KG51" si="753">IFERROR(VLOOKUP($R51,$A$13:$D$30,-KE$12,FALSE),"")</f>
        <v>Tembaga</v>
      </c>
      <c r="KF51" s="163" t="str">
        <f t="shared" si="753"/>
        <v>Bijih </v>
      </c>
      <c r="KG51" s="163" t="str">
        <f t="shared" si="753"/>
        <v>Ton </v>
      </c>
      <c r="KH51" s="156"/>
      <c r="KI51" s="156" t="str">
        <f t="shared" si="711"/>
        <v/>
      </c>
      <c r="KJ51" s="156">
        <f t="shared" si="712"/>
        <v>0</v>
      </c>
      <c r="KK51" s="164"/>
      <c r="KL51" s="156">
        <f t="shared" si="713"/>
        <v>0</v>
      </c>
      <c r="KM51" s="413"/>
      <c r="KN51" s="165"/>
      <c r="KO51" s="165"/>
      <c r="KP51" s="156">
        <f t="shared" si="714"/>
        <v>0</v>
      </c>
      <c r="KQ51" s="164">
        <f t="shared" si="715"/>
        <v>0.4604471269</v>
      </c>
      <c r="KR51" s="167">
        <f t="shared" si="716"/>
        <v>0</v>
      </c>
      <c r="KS51" s="168">
        <f t="shared" si="717"/>
        <v>0</v>
      </c>
      <c r="KT51" s="159"/>
      <c r="KU51" s="160"/>
    </row>
    <row r="52" ht="15.75" customHeight="1">
      <c r="A52" s="161">
        <f t="shared" si="718"/>
        <v>4</v>
      </c>
      <c r="B52" s="162" t="str">
        <f t="shared" ref="B52:D52" si="754">IFERROR(VLOOKUP($A52,$A$13:$D$30,-B$12,FALSE),"")</f>
        <v>Bauksit </v>
      </c>
      <c r="C52" s="163" t="str">
        <f t="shared" si="754"/>
        <v>Bijih </v>
      </c>
      <c r="D52" s="163" t="str">
        <f t="shared" si="754"/>
        <v>Ton </v>
      </c>
      <c r="E52" s="156"/>
      <c r="F52" s="156"/>
      <c r="G52" s="156">
        <f t="shared" si="576"/>
        <v>0</v>
      </c>
      <c r="H52" s="164"/>
      <c r="I52" s="156">
        <f t="shared" si="577"/>
        <v>0</v>
      </c>
      <c r="J52" s="413"/>
      <c r="K52" s="165"/>
      <c r="L52" s="165"/>
      <c r="M52" s="156">
        <f t="shared" si="578"/>
        <v>0</v>
      </c>
      <c r="N52" s="164">
        <f t="shared" si="579"/>
        <v>0.4604471269</v>
      </c>
      <c r="O52" s="167">
        <f t="shared" si="580"/>
        <v>0</v>
      </c>
      <c r="P52" s="168">
        <f t="shared" si="581"/>
        <v>0</v>
      </c>
      <c r="Q52" s="159"/>
      <c r="R52" s="161">
        <f t="shared" si="720"/>
        <v>4</v>
      </c>
      <c r="S52" s="162" t="str">
        <f t="shared" ref="S52:U52" si="755">IFERROR(VLOOKUP($R52,$A$13:$D$30,-S$12,FALSE),"")</f>
        <v>Bauksit </v>
      </c>
      <c r="T52" s="163" t="str">
        <f t="shared" si="755"/>
        <v>Bijih </v>
      </c>
      <c r="U52" s="163" t="str">
        <f t="shared" si="755"/>
        <v>Ton </v>
      </c>
      <c r="V52" s="156"/>
      <c r="W52" s="156" t="str">
        <f t="shared" si="583"/>
        <v/>
      </c>
      <c r="X52" s="156">
        <f t="shared" si="584"/>
        <v>0</v>
      </c>
      <c r="Y52" s="164"/>
      <c r="Z52" s="156">
        <f t="shared" si="585"/>
        <v>0</v>
      </c>
      <c r="AA52" s="413"/>
      <c r="AB52" s="165"/>
      <c r="AC52" s="165"/>
      <c r="AD52" s="156">
        <f t="shared" si="586"/>
        <v>0</v>
      </c>
      <c r="AE52" s="164">
        <f t="shared" si="587"/>
        <v>0.4604471269</v>
      </c>
      <c r="AF52" s="167">
        <f t="shared" si="588"/>
        <v>0</v>
      </c>
      <c r="AG52" s="168">
        <f t="shared" si="589"/>
        <v>0</v>
      </c>
      <c r="AH52" s="159"/>
      <c r="AI52" s="161">
        <f t="shared" si="722"/>
        <v>4</v>
      </c>
      <c r="AJ52" s="162" t="str">
        <f t="shared" ref="AJ52:AL52" si="756">IFERROR(VLOOKUP($R52,$A$13:$D$30,-AJ$12,FALSE),"")</f>
        <v>Bauksit </v>
      </c>
      <c r="AK52" s="163" t="str">
        <f t="shared" si="756"/>
        <v>Bijih </v>
      </c>
      <c r="AL52" s="163" t="str">
        <f t="shared" si="756"/>
        <v>Ton </v>
      </c>
      <c r="AM52" s="156"/>
      <c r="AN52" s="156" t="str">
        <f t="shared" si="591"/>
        <v/>
      </c>
      <c r="AO52" s="156">
        <f t="shared" si="592"/>
        <v>0</v>
      </c>
      <c r="AP52" s="164"/>
      <c r="AQ52" s="156">
        <f t="shared" si="593"/>
        <v>0</v>
      </c>
      <c r="AR52" s="413"/>
      <c r="AS52" s="165"/>
      <c r="AT52" s="165"/>
      <c r="AU52" s="156">
        <f t="shared" si="594"/>
        <v>0</v>
      </c>
      <c r="AV52" s="164">
        <f t="shared" si="595"/>
        <v>0.4604471269</v>
      </c>
      <c r="AW52" s="167">
        <f t="shared" si="596"/>
        <v>0</v>
      </c>
      <c r="AX52" s="168">
        <f t="shared" si="597"/>
        <v>0</v>
      </c>
      <c r="AY52" s="159"/>
      <c r="AZ52" s="161">
        <f t="shared" si="724"/>
        <v>4</v>
      </c>
      <c r="BA52" s="162" t="str">
        <f t="shared" ref="BA52:BC52" si="757">IFERROR(VLOOKUP($R52,$A$13:$D$30,-BA$12,FALSE),"")</f>
        <v>Bauksit </v>
      </c>
      <c r="BB52" s="163" t="str">
        <f t="shared" si="757"/>
        <v>Bijih </v>
      </c>
      <c r="BC52" s="163" t="str">
        <f t="shared" si="757"/>
        <v>Ton </v>
      </c>
      <c r="BD52" s="156"/>
      <c r="BE52" s="156" t="str">
        <f t="shared" si="599"/>
        <v/>
      </c>
      <c r="BF52" s="156">
        <f t="shared" si="600"/>
        <v>0</v>
      </c>
      <c r="BG52" s="164"/>
      <c r="BH52" s="156">
        <f t="shared" si="601"/>
        <v>0</v>
      </c>
      <c r="BI52" s="413"/>
      <c r="BJ52" s="165"/>
      <c r="BK52" s="165"/>
      <c r="BL52" s="156">
        <f t="shared" si="602"/>
        <v>0</v>
      </c>
      <c r="BM52" s="164">
        <f t="shared" si="603"/>
        <v>0.4604471269</v>
      </c>
      <c r="BN52" s="167">
        <f t="shared" si="604"/>
        <v>0</v>
      </c>
      <c r="BO52" s="168">
        <f t="shared" si="605"/>
        <v>0</v>
      </c>
      <c r="BP52" s="159"/>
      <c r="BQ52" s="161">
        <f t="shared" si="726"/>
        <v>4</v>
      </c>
      <c r="BR52" s="162" t="str">
        <f t="shared" ref="BR52:BT52" si="758">IFERROR(VLOOKUP($R52,$A$13:$D$30,-BR$12,FALSE),"")</f>
        <v>Bauksit </v>
      </c>
      <c r="BS52" s="163" t="str">
        <f t="shared" si="758"/>
        <v>Bijih </v>
      </c>
      <c r="BT52" s="163" t="str">
        <f t="shared" si="758"/>
        <v>Ton </v>
      </c>
      <c r="BU52" s="156"/>
      <c r="BV52" s="156" t="str">
        <f t="shared" si="607"/>
        <v/>
      </c>
      <c r="BW52" s="156">
        <f t="shared" si="608"/>
        <v>0</v>
      </c>
      <c r="BX52" s="164"/>
      <c r="BY52" s="156">
        <f t="shared" si="609"/>
        <v>0</v>
      </c>
      <c r="BZ52" s="413"/>
      <c r="CA52" s="165"/>
      <c r="CB52" s="165"/>
      <c r="CC52" s="156">
        <f t="shared" si="610"/>
        <v>0</v>
      </c>
      <c r="CD52" s="164">
        <f t="shared" si="611"/>
        <v>0.4604471269</v>
      </c>
      <c r="CE52" s="167">
        <f t="shared" si="612"/>
        <v>0</v>
      </c>
      <c r="CF52" s="168">
        <f t="shared" si="613"/>
        <v>0</v>
      </c>
      <c r="CG52" s="159"/>
      <c r="CH52" s="161">
        <f t="shared" si="728"/>
        <v>4</v>
      </c>
      <c r="CI52" s="162" t="str">
        <f t="shared" ref="CI52:CK52" si="759">IFERROR(VLOOKUP($R52,$A$13:$D$30,-CI$12,FALSE),"")</f>
        <v>Bauksit </v>
      </c>
      <c r="CJ52" s="163" t="str">
        <f t="shared" si="759"/>
        <v>Bijih </v>
      </c>
      <c r="CK52" s="163" t="str">
        <f t="shared" si="759"/>
        <v>Ton </v>
      </c>
      <c r="CL52" s="156"/>
      <c r="CM52" s="156" t="str">
        <f t="shared" si="615"/>
        <v/>
      </c>
      <c r="CN52" s="156">
        <f t="shared" si="616"/>
        <v>0</v>
      </c>
      <c r="CO52" s="164"/>
      <c r="CP52" s="156">
        <f t="shared" si="617"/>
        <v>0</v>
      </c>
      <c r="CQ52" s="413"/>
      <c r="CR52" s="165"/>
      <c r="CS52" s="165"/>
      <c r="CT52" s="156">
        <f t="shared" si="618"/>
        <v>0</v>
      </c>
      <c r="CU52" s="164">
        <f t="shared" si="619"/>
        <v>0.4604471269</v>
      </c>
      <c r="CV52" s="167">
        <f t="shared" si="620"/>
        <v>0</v>
      </c>
      <c r="CW52" s="168">
        <f t="shared" si="621"/>
        <v>0</v>
      </c>
      <c r="CX52" s="159"/>
      <c r="CY52" s="161">
        <f t="shared" si="730"/>
        <v>4</v>
      </c>
      <c r="CZ52" s="162" t="str">
        <f t="shared" ref="CZ52:DB52" si="760">IFERROR(VLOOKUP($R52,$A$13:$D$30,-CZ$12,FALSE),"")</f>
        <v>Bauksit </v>
      </c>
      <c r="DA52" s="163" t="str">
        <f t="shared" si="760"/>
        <v>Bijih </v>
      </c>
      <c r="DB52" s="163" t="str">
        <f t="shared" si="760"/>
        <v>Ton </v>
      </c>
      <c r="DC52" s="156"/>
      <c r="DD52" s="156" t="str">
        <f t="shared" si="623"/>
        <v/>
      </c>
      <c r="DE52" s="156">
        <f t="shared" si="624"/>
        <v>0</v>
      </c>
      <c r="DF52" s="164"/>
      <c r="DG52" s="156">
        <f t="shared" si="625"/>
        <v>0</v>
      </c>
      <c r="DH52" s="413"/>
      <c r="DI52" s="165"/>
      <c r="DJ52" s="165"/>
      <c r="DK52" s="156">
        <f t="shared" si="626"/>
        <v>0</v>
      </c>
      <c r="DL52" s="164">
        <f t="shared" si="627"/>
        <v>0.4604471269</v>
      </c>
      <c r="DM52" s="167">
        <f t="shared" si="628"/>
        <v>0</v>
      </c>
      <c r="DN52" s="168">
        <f t="shared" si="629"/>
        <v>0</v>
      </c>
      <c r="DO52" s="159"/>
      <c r="DP52" s="161">
        <f t="shared" si="732"/>
        <v>4</v>
      </c>
      <c r="DQ52" s="162" t="str">
        <f t="shared" ref="DQ52:DS52" si="761">IFERROR(VLOOKUP($R52,$A$13:$D$30,-DQ$12,FALSE),"")</f>
        <v>Bauksit </v>
      </c>
      <c r="DR52" s="163" t="str">
        <f t="shared" si="761"/>
        <v>Bijih </v>
      </c>
      <c r="DS52" s="163" t="str">
        <f t="shared" si="761"/>
        <v>Ton </v>
      </c>
      <c r="DT52" s="156"/>
      <c r="DU52" s="156" t="str">
        <f t="shared" si="631"/>
        <v/>
      </c>
      <c r="DV52" s="156">
        <f t="shared" si="632"/>
        <v>0</v>
      </c>
      <c r="DW52" s="164"/>
      <c r="DX52" s="156">
        <f t="shared" si="633"/>
        <v>0</v>
      </c>
      <c r="DY52" s="413"/>
      <c r="DZ52" s="165"/>
      <c r="EA52" s="165"/>
      <c r="EB52" s="156">
        <f t="shared" si="634"/>
        <v>0</v>
      </c>
      <c r="EC52" s="164">
        <f t="shared" si="635"/>
        <v>0.4604471269</v>
      </c>
      <c r="ED52" s="167">
        <f t="shared" si="636"/>
        <v>0</v>
      </c>
      <c r="EE52" s="168">
        <f t="shared" si="637"/>
        <v>0</v>
      </c>
      <c r="EF52" s="159"/>
      <c r="EG52" s="161">
        <f t="shared" si="734"/>
        <v>4</v>
      </c>
      <c r="EH52" s="162" t="str">
        <f t="shared" ref="EH52:EJ52" si="762">IFERROR(VLOOKUP($R52,$A$13:$D$30,-EH$12,FALSE),"")</f>
        <v>Bauksit </v>
      </c>
      <c r="EI52" s="163" t="str">
        <f t="shared" si="762"/>
        <v>Bijih </v>
      </c>
      <c r="EJ52" s="163" t="str">
        <f t="shared" si="762"/>
        <v>Ton </v>
      </c>
      <c r="EK52" s="156"/>
      <c r="EL52" s="156" t="str">
        <f t="shared" si="639"/>
        <v/>
      </c>
      <c r="EM52" s="156">
        <f t="shared" si="640"/>
        <v>0</v>
      </c>
      <c r="EN52" s="164"/>
      <c r="EO52" s="156">
        <f t="shared" si="641"/>
        <v>0</v>
      </c>
      <c r="EP52" s="413"/>
      <c r="EQ52" s="165"/>
      <c r="ER52" s="165"/>
      <c r="ES52" s="156">
        <f t="shared" si="642"/>
        <v>0</v>
      </c>
      <c r="ET52" s="164">
        <f t="shared" si="643"/>
        <v>0.4604471269</v>
      </c>
      <c r="EU52" s="167">
        <f t="shared" si="644"/>
        <v>0</v>
      </c>
      <c r="EV52" s="168">
        <f t="shared" si="645"/>
        <v>0</v>
      </c>
      <c r="EW52" s="159"/>
      <c r="EX52" s="161">
        <f t="shared" si="736"/>
        <v>4</v>
      </c>
      <c r="EY52" s="162" t="str">
        <f t="shared" ref="EY52:FA52" si="763">IFERROR(VLOOKUP($R52,$A$13:$D$30,-EY$12,FALSE),"")</f>
        <v>Bauksit </v>
      </c>
      <c r="EZ52" s="163" t="str">
        <f t="shared" si="763"/>
        <v>Bijih </v>
      </c>
      <c r="FA52" s="163" t="str">
        <f t="shared" si="763"/>
        <v>Ton </v>
      </c>
      <c r="FB52" s="156"/>
      <c r="FC52" s="156" t="str">
        <f t="shared" si="647"/>
        <v/>
      </c>
      <c r="FD52" s="156">
        <f t="shared" si="648"/>
        <v>0</v>
      </c>
      <c r="FE52" s="164"/>
      <c r="FF52" s="156">
        <f t="shared" si="649"/>
        <v>0</v>
      </c>
      <c r="FG52" s="413"/>
      <c r="FH52" s="165"/>
      <c r="FI52" s="165"/>
      <c r="FJ52" s="156">
        <f t="shared" si="650"/>
        <v>0</v>
      </c>
      <c r="FK52" s="164">
        <f t="shared" si="651"/>
        <v>0.4604471269</v>
      </c>
      <c r="FL52" s="167">
        <f t="shared" si="652"/>
        <v>0</v>
      </c>
      <c r="FM52" s="168">
        <f t="shared" si="653"/>
        <v>0</v>
      </c>
      <c r="FN52" s="159"/>
      <c r="FO52" s="161">
        <f t="shared" si="738"/>
        <v>4</v>
      </c>
      <c r="FP52" s="162" t="str">
        <f t="shared" ref="FP52:FR52" si="764">IFERROR(VLOOKUP($R52,$A$13:$D$30,-FP$12,FALSE),"")</f>
        <v>Bauksit </v>
      </c>
      <c r="FQ52" s="163" t="str">
        <f t="shared" si="764"/>
        <v>Bijih </v>
      </c>
      <c r="FR52" s="163" t="str">
        <f t="shared" si="764"/>
        <v>Ton </v>
      </c>
      <c r="FS52" s="156"/>
      <c r="FT52" s="156" t="str">
        <f t="shared" si="655"/>
        <v/>
      </c>
      <c r="FU52" s="156">
        <f t="shared" si="656"/>
        <v>0</v>
      </c>
      <c r="FV52" s="164"/>
      <c r="FW52" s="156">
        <f t="shared" si="657"/>
        <v>0</v>
      </c>
      <c r="FX52" s="413"/>
      <c r="FY52" s="165"/>
      <c r="FZ52" s="165"/>
      <c r="GA52" s="156">
        <f t="shared" si="658"/>
        <v>0</v>
      </c>
      <c r="GB52" s="164">
        <f t="shared" si="659"/>
        <v>0.4604471269</v>
      </c>
      <c r="GC52" s="167">
        <f t="shared" si="660"/>
        <v>0</v>
      </c>
      <c r="GD52" s="168">
        <f t="shared" si="661"/>
        <v>0</v>
      </c>
      <c r="GE52" s="159"/>
      <c r="GF52" s="161">
        <f t="shared" si="740"/>
        <v>4</v>
      </c>
      <c r="GG52" s="162" t="str">
        <f t="shared" ref="GG52:GI52" si="765">IFERROR(VLOOKUP($R52,$A$13:$D$30,-GG$12,FALSE),"")</f>
        <v>Bauksit </v>
      </c>
      <c r="GH52" s="163" t="str">
        <f t="shared" si="765"/>
        <v>Bijih </v>
      </c>
      <c r="GI52" s="163" t="str">
        <f t="shared" si="765"/>
        <v>Ton </v>
      </c>
      <c r="GJ52" s="156"/>
      <c r="GK52" s="156" t="str">
        <f t="shared" si="663"/>
        <v/>
      </c>
      <c r="GL52" s="156">
        <f t="shared" si="664"/>
        <v>0</v>
      </c>
      <c r="GM52" s="164"/>
      <c r="GN52" s="156">
        <f t="shared" si="665"/>
        <v>0</v>
      </c>
      <c r="GO52" s="413"/>
      <c r="GP52" s="165"/>
      <c r="GQ52" s="165"/>
      <c r="GR52" s="156">
        <f t="shared" si="666"/>
        <v>0</v>
      </c>
      <c r="GS52" s="164">
        <f t="shared" si="667"/>
        <v>0.4604471269</v>
      </c>
      <c r="GT52" s="167">
        <f t="shared" si="668"/>
        <v>0</v>
      </c>
      <c r="GU52" s="168">
        <f t="shared" si="669"/>
        <v>0</v>
      </c>
      <c r="GV52" s="159"/>
      <c r="GW52" s="161">
        <f t="shared" si="742"/>
        <v>4</v>
      </c>
      <c r="GX52" s="162" t="str">
        <f t="shared" ref="GX52:GZ52" si="766">IFERROR(VLOOKUP($R52,$A$13:$D$30,-GX$12,FALSE),"")</f>
        <v>Bauksit </v>
      </c>
      <c r="GY52" s="163" t="str">
        <f t="shared" si="766"/>
        <v>Bijih </v>
      </c>
      <c r="GZ52" s="163" t="str">
        <f t="shared" si="766"/>
        <v>Ton </v>
      </c>
      <c r="HA52" s="156"/>
      <c r="HB52" s="156" t="str">
        <f t="shared" si="671"/>
        <v/>
      </c>
      <c r="HC52" s="156">
        <f t="shared" si="672"/>
        <v>0</v>
      </c>
      <c r="HD52" s="164"/>
      <c r="HE52" s="156">
        <f t="shared" si="673"/>
        <v>0</v>
      </c>
      <c r="HF52" s="413"/>
      <c r="HG52" s="165"/>
      <c r="HH52" s="165"/>
      <c r="HI52" s="156">
        <f t="shared" si="674"/>
        <v>0</v>
      </c>
      <c r="HJ52" s="164">
        <f t="shared" si="675"/>
        <v>0.4604471269</v>
      </c>
      <c r="HK52" s="167">
        <f t="shared" si="676"/>
        <v>0</v>
      </c>
      <c r="HL52" s="168">
        <f t="shared" si="677"/>
        <v>0</v>
      </c>
      <c r="HM52" s="159"/>
      <c r="HN52" s="161">
        <f t="shared" si="744"/>
        <v>4</v>
      </c>
      <c r="HO52" s="162" t="str">
        <f t="shared" ref="HO52:HQ52" si="767">IFERROR(VLOOKUP($R52,$A$13:$D$30,-HO$12,FALSE),"")</f>
        <v>Bauksit </v>
      </c>
      <c r="HP52" s="163" t="str">
        <f t="shared" si="767"/>
        <v>Bijih </v>
      </c>
      <c r="HQ52" s="163" t="str">
        <f t="shared" si="767"/>
        <v>Ton </v>
      </c>
      <c r="HR52" s="156"/>
      <c r="HS52" s="156" t="str">
        <f t="shared" si="679"/>
        <v/>
      </c>
      <c r="HT52" s="156">
        <f t="shared" si="680"/>
        <v>0</v>
      </c>
      <c r="HU52" s="164"/>
      <c r="HV52" s="156">
        <f t="shared" si="681"/>
        <v>0</v>
      </c>
      <c r="HW52" s="413"/>
      <c r="HX52" s="165"/>
      <c r="HY52" s="165"/>
      <c r="HZ52" s="156">
        <f t="shared" si="682"/>
        <v>0</v>
      </c>
      <c r="IA52" s="164">
        <f t="shared" si="683"/>
        <v>0.4604471269</v>
      </c>
      <c r="IB52" s="167">
        <f t="shared" si="684"/>
        <v>0</v>
      </c>
      <c r="IC52" s="168">
        <f t="shared" si="685"/>
        <v>0</v>
      </c>
      <c r="ID52" s="159"/>
      <c r="IE52" s="161">
        <f t="shared" si="746"/>
        <v>4</v>
      </c>
      <c r="IF52" s="162" t="str">
        <f t="shared" ref="IF52:IH52" si="768">IFERROR(VLOOKUP($R52,$A$13:$D$30,-IF$12,FALSE),"")</f>
        <v>Bauksit </v>
      </c>
      <c r="IG52" s="163" t="str">
        <f t="shared" si="768"/>
        <v>Bijih </v>
      </c>
      <c r="IH52" s="163" t="str">
        <f t="shared" si="768"/>
        <v>Ton </v>
      </c>
      <c r="II52" s="156"/>
      <c r="IJ52" s="156" t="str">
        <f t="shared" si="687"/>
        <v/>
      </c>
      <c r="IK52" s="156">
        <f t="shared" si="688"/>
        <v>0</v>
      </c>
      <c r="IL52" s="164"/>
      <c r="IM52" s="156">
        <f t="shared" si="689"/>
        <v>0</v>
      </c>
      <c r="IN52" s="413"/>
      <c r="IO52" s="165"/>
      <c r="IP52" s="165"/>
      <c r="IQ52" s="156">
        <f t="shared" si="690"/>
        <v>0</v>
      </c>
      <c r="IR52" s="164">
        <f t="shared" si="691"/>
        <v>0.4604471269</v>
      </c>
      <c r="IS52" s="167">
        <f t="shared" si="692"/>
        <v>0</v>
      </c>
      <c r="IT52" s="168">
        <f t="shared" si="693"/>
        <v>0</v>
      </c>
      <c r="IU52" s="159"/>
      <c r="IV52" s="161">
        <f t="shared" si="748"/>
        <v>4</v>
      </c>
      <c r="IW52" s="162" t="str">
        <f t="shared" ref="IW52:IY52" si="769">IFERROR(VLOOKUP($R52,$A$13:$D$30,-IW$12,FALSE),"")</f>
        <v>Bauksit </v>
      </c>
      <c r="IX52" s="163" t="str">
        <f t="shared" si="769"/>
        <v>Bijih </v>
      </c>
      <c r="IY52" s="163" t="str">
        <f t="shared" si="769"/>
        <v>Ton </v>
      </c>
      <c r="IZ52" s="156"/>
      <c r="JA52" s="156" t="str">
        <f t="shared" si="695"/>
        <v/>
      </c>
      <c r="JB52" s="156">
        <f t="shared" si="696"/>
        <v>0</v>
      </c>
      <c r="JC52" s="164"/>
      <c r="JD52" s="156">
        <f t="shared" si="697"/>
        <v>0</v>
      </c>
      <c r="JE52" s="413"/>
      <c r="JF52" s="165"/>
      <c r="JG52" s="165"/>
      <c r="JH52" s="156">
        <f t="shared" si="698"/>
        <v>0</v>
      </c>
      <c r="JI52" s="164">
        <f t="shared" si="699"/>
        <v>0.4604471269</v>
      </c>
      <c r="JJ52" s="167">
        <f t="shared" si="700"/>
        <v>0</v>
      </c>
      <c r="JK52" s="168">
        <f t="shared" si="701"/>
        <v>0</v>
      </c>
      <c r="JL52" s="159"/>
      <c r="JM52" s="161">
        <f t="shared" si="750"/>
        <v>4</v>
      </c>
      <c r="JN52" s="162" t="str">
        <f t="shared" ref="JN52:JP52" si="770">IFERROR(VLOOKUP($R52,$A$13:$D$30,-JN$12,FALSE),"")</f>
        <v>Bauksit </v>
      </c>
      <c r="JO52" s="163" t="str">
        <f t="shared" si="770"/>
        <v>Bijih </v>
      </c>
      <c r="JP52" s="163" t="str">
        <f t="shared" si="770"/>
        <v>Ton </v>
      </c>
      <c r="JQ52" s="156"/>
      <c r="JR52" s="156" t="str">
        <f t="shared" si="703"/>
        <v/>
      </c>
      <c r="JS52" s="156">
        <f t="shared" si="704"/>
        <v>0</v>
      </c>
      <c r="JT52" s="164"/>
      <c r="JU52" s="156">
        <f t="shared" si="705"/>
        <v>0</v>
      </c>
      <c r="JV52" s="413"/>
      <c r="JW52" s="165"/>
      <c r="JX52" s="165"/>
      <c r="JY52" s="156">
        <f t="shared" si="706"/>
        <v>0</v>
      </c>
      <c r="JZ52" s="164">
        <f t="shared" si="707"/>
        <v>0.4604471269</v>
      </c>
      <c r="KA52" s="167">
        <f t="shared" si="708"/>
        <v>0</v>
      </c>
      <c r="KB52" s="168">
        <f t="shared" si="709"/>
        <v>0</v>
      </c>
      <c r="KC52" s="159"/>
      <c r="KD52" s="161">
        <f t="shared" si="752"/>
        <v>4</v>
      </c>
      <c r="KE52" s="162" t="str">
        <f t="shared" ref="KE52:KG52" si="771">IFERROR(VLOOKUP($R52,$A$13:$D$30,-KE$12,FALSE),"")</f>
        <v>Bauksit </v>
      </c>
      <c r="KF52" s="163" t="str">
        <f t="shared" si="771"/>
        <v>Bijih </v>
      </c>
      <c r="KG52" s="163" t="str">
        <f t="shared" si="771"/>
        <v>Ton </v>
      </c>
      <c r="KH52" s="156"/>
      <c r="KI52" s="156" t="str">
        <f t="shared" si="711"/>
        <v/>
      </c>
      <c r="KJ52" s="156">
        <f t="shared" si="712"/>
        <v>0</v>
      </c>
      <c r="KK52" s="164"/>
      <c r="KL52" s="156">
        <f t="shared" si="713"/>
        <v>0</v>
      </c>
      <c r="KM52" s="413"/>
      <c r="KN52" s="165"/>
      <c r="KO52" s="165"/>
      <c r="KP52" s="156">
        <f t="shared" si="714"/>
        <v>0</v>
      </c>
      <c r="KQ52" s="164">
        <f t="shared" si="715"/>
        <v>0.4604471269</v>
      </c>
      <c r="KR52" s="167">
        <f t="shared" si="716"/>
        <v>0</v>
      </c>
      <c r="KS52" s="168">
        <f t="shared" si="717"/>
        <v>0</v>
      </c>
      <c r="KT52" s="159"/>
      <c r="KU52" s="160"/>
    </row>
    <row r="53" ht="15.75" customHeight="1">
      <c r="A53" s="161">
        <f t="shared" si="718"/>
        <v>5</v>
      </c>
      <c r="B53" s="162" t="str">
        <f t="shared" ref="B53:D53" si="772">IFERROR(VLOOKUP($A53,$A$13:$D$30,-B$12,FALSE),"")</f>
        <v>Bijih Nikel </v>
      </c>
      <c r="C53" s="163" t="str">
        <f t="shared" si="772"/>
        <v>Bijih </v>
      </c>
      <c r="D53" s="163" t="str">
        <f t="shared" si="772"/>
        <v>WMT</v>
      </c>
      <c r="E53" s="156"/>
      <c r="F53" s="156"/>
      <c r="G53" s="156">
        <f t="shared" si="576"/>
        <v>0</v>
      </c>
      <c r="H53" s="164"/>
      <c r="I53" s="156">
        <f t="shared" si="577"/>
        <v>0</v>
      </c>
      <c r="J53" s="413"/>
      <c r="K53" s="165"/>
      <c r="L53" s="165"/>
      <c r="M53" s="156">
        <f t="shared" si="578"/>
        <v>0</v>
      </c>
      <c r="N53" s="164">
        <f t="shared" si="579"/>
        <v>0.4604471269</v>
      </c>
      <c r="O53" s="167">
        <f t="shared" si="580"/>
        <v>0</v>
      </c>
      <c r="P53" s="168">
        <f t="shared" si="581"/>
        <v>0</v>
      </c>
      <c r="Q53" s="159"/>
      <c r="R53" s="161">
        <f t="shared" si="720"/>
        <v>5</v>
      </c>
      <c r="S53" s="162" t="str">
        <f t="shared" ref="S53:U53" si="773">IFERROR(VLOOKUP($R53,$A$13:$D$30,-S$12,FALSE),"")</f>
        <v>Bijih Nikel </v>
      </c>
      <c r="T53" s="163" t="str">
        <f t="shared" si="773"/>
        <v>Bijih </v>
      </c>
      <c r="U53" s="163" t="str">
        <f t="shared" si="773"/>
        <v>WMT</v>
      </c>
      <c r="V53" s="156"/>
      <c r="W53" s="156" t="str">
        <f t="shared" si="583"/>
        <v/>
      </c>
      <c r="X53" s="156">
        <f t="shared" si="584"/>
        <v>0</v>
      </c>
      <c r="Y53" s="164"/>
      <c r="Z53" s="156">
        <f t="shared" si="585"/>
        <v>0</v>
      </c>
      <c r="AA53" s="413"/>
      <c r="AB53" s="165"/>
      <c r="AC53" s="165"/>
      <c r="AD53" s="156">
        <f t="shared" si="586"/>
        <v>0</v>
      </c>
      <c r="AE53" s="164">
        <f t="shared" si="587"/>
        <v>0.4604471269</v>
      </c>
      <c r="AF53" s="167">
        <f t="shared" si="588"/>
        <v>0</v>
      </c>
      <c r="AG53" s="168">
        <f t="shared" si="589"/>
        <v>0</v>
      </c>
      <c r="AH53" s="159"/>
      <c r="AI53" s="161">
        <f t="shared" si="722"/>
        <v>5</v>
      </c>
      <c r="AJ53" s="162" t="str">
        <f t="shared" ref="AJ53:AL53" si="774">IFERROR(VLOOKUP($R53,$A$13:$D$30,-AJ$12,FALSE),"")</f>
        <v>Bijih Nikel </v>
      </c>
      <c r="AK53" s="163" t="str">
        <f t="shared" si="774"/>
        <v>Bijih </v>
      </c>
      <c r="AL53" s="163" t="str">
        <f t="shared" si="774"/>
        <v>WMT</v>
      </c>
      <c r="AM53" s="156"/>
      <c r="AN53" s="156" t="str">
        <f t="shared" si="591"/>
        <v/>
      </c>
      <c r="AO53" s="156">
        <f t="shared" si="592"/>
        <v>0</v>
      </c>
      <c r="AP53" s="164"/>
      <c r="AQ53" s="156">
        <f t="shared" si="593"/>
        <v>0</v>
      </c>
      <c r="AR53" s="413"/>
      <c r="AS53" s="165"/>
      <c r="AT53" s="165"/>
      <c r="AU53" s="156">
        <f t="shared" si="594"/>
        <v>0</v>
      </c>
      <c r="AV53" s="164">
        <f t="shared" si="595"/>
        <v>0.4604471269</v>
      </c>
      <c r="AW53" s="167">
        <f t="shared" si="596"/>
        <v>0</v>
      </c>
      <c r="AX53" s="168">
        <f t="shared" si="597"/>
        <v>0</v>
      </c>
      <c r="AY53" s="159"/>
      <c r="AZ53" s="161">
        <f t="shared" si="724"/>
        <v>5</v>
      </c>
      <c r="BA53" s="162" t="str">
        <f t="shared" ref="BA53:BC53" si="775">IFERROR(VLOOKUP($R53,$A$13:$D$30,-BA$12,FALSE),"")</f>
        <v>Bijih Nikel </v>
      </c>
      <c r="BB53" s="163" t="str">
        <f t="shared" si="775"/>
        <v>Bijih </v>
      </c>
      <c r="BC53" s="163" t="str">
        <f t="shared" si="775"/>
        <v>WMT</v>
      </c>
      <c r="BD53" s="156"/>
      <c r="BE53" s="156" t="str">
        <f t="shared" si="599"/>
        <v/>
      </c>
      <c r="BF53" s="156">
        <f t="shared" si="600"/>
        <v>0</v>
      </c>
      <c r="BG53" s="164"/>
      <c r="BH53" s="156">
        <f t="shared" si="601"/>
        <v>0</v>
      </c>
      <c r="BI53" s="413"/>
      <c r="BJ53" s="165"/>
      <c r="BK53" s="165"/>
      <c r="BL53" s="156">
        <f t="shared" si="602"/>
        <v>0</v>
      </c>
      <c r="BM53" s="164">
        <f t="shared" si="603"/>
        <v>0.4604471269</v>
      </c>
      <c r="BN53" s="167">
        <f t="shared" si="604"/>
        <v>0</v>
      </c>
      <c r="BO53" s="168">
        <f t="shared" si="605"/>
        <v>0</v>
      </c>
      <c r="BP53" s="159"/>
      <c r="BQ53" s="161">
        <f t="shared" si="726"/>
        <v>5</v>
      </c>
      <c r="BR53" s="162" t="str">
        <f t="shared" ref="BR53:BT53" si="776">IFERROR(VLOOKUP($R53,$A$13:$D$30,-BR$12,FALSE),"")</f>
        <v>Bijih Nikel </v>
      </c>
      <c r="BS53" s="163" t="str">
        <f t="shared" si="776"/>
        <v>Bijih </v>
      </c>
      <c r="BT53" s="163" t="str">
        <f t="shared" si="776"/>
        <v>WMT</v>
      </c>
      <c r="BU53" s="156"/>
      <c r="BV53" s="156" t="str">
        <f t="shared" si="607"/>
        <v/>
      </c>
      <c r="BW53" s="156">
        <f t="shared" si="608"/>
        <v>0</v>
      </c>
      <c r="BX53" s="164"/>
      <c r="BY53" s="156">
        <f t="shared" si="609"/>
        <v>0</v>
      </c>
      <c r="BZ53" s="413"/>
      <c r="CA53" s="165"/>
      <c r="CB53" s="165"/>
      <c r="CC53" s="156">
        <f t="shared" si="610"/>
        <v>0</v>
      </c>
      <c r="CD53" s="164">
        <f t="shared" si="611"/>
        <v>0.4604471269</v>
      </c>
      <c r="CE53" s="167">
        <f t="shared" si="612"/>
        <v>0</v>
      </c>
      <c r="CF53" s="168">
        <f t="shared" si="613"/>
        <v>0</v>
      </c>
      <c r="CG53" s="159"/>
      <c r="CH53" s="161">
        <f t="shared" si="728"/>
        <v>5</v>
      </c>
      <c r="CI53" s="162" t="str">
        <f t="shared" ref="CI53:CK53" si="777">IFERROR(VLOOKUP($R53,$A$13:$D$30,-CI$12,FALSE),"")</f>
        <v>Bijih Nikel </v>
      </c>
      <c r="CJ53" s="163" t="str">
        <f t="shared" si="777"/>
        <v>Bijih </v>
      </c>
      <c r="CK53" s="163" t="str">
        <f t="shared" si="777"/>
        <v>WMT</v>
      </c>
      <c r="CL53" s="156"/>
      <c r="CM53" s="156" t="str">
        <f t="shared" si="615"/>
        <v/>
      </c>
      <c r="CN53" s="156">
        <f t="shared" si="616"/>
        <v>0</v>
      </c>
      <c r="CO53" s="164"/>
      <c r="CP53" s="156">
        <f t="shared" si="617"/>
        <v>0</v>
      </c>
      <c r="CQ53" s="413"/>
      <c r="CR53" s="165"/>
      <c r="CS53" s="165"/>
      <c r="CT53" s="156">
        <f t="shared" si="618"/>
        <v>0</v>
      </c>
      <c r="CU53" s="164">
        <f t="shared" si="619"/>
        <v>0.4604471269</v>
      </c>
      <c r="CV53" s="167">
        <f t="shared" si="620"/>
        <v>0</v>
      </c>
      <c r="CW53" s="168">
        <f t="shared" si="621"/>
        <v>0</v>
      </c>
      <c r="CX53" s="159"/>
      <c r="CY53" s="161">
        <f t="shared" si="730"/>
        <v>5</v>
      </c>
      <c r="CZ53" s="162" t="str">
        <f t="shared" ref="CZ53:DB53" si="778">IFERROR(VLOOKUP($R53,$A$13:$D$30,-CZ$12,FALSE),"")</f>
        <v>Bijih Nikel </v>
      </c>
      <c r="DA53" s="163" t="str">
        <f t="shared" si="778"/>
        <v>Bijih </v>
      </c>
      <c r="DB53" s="163" t="str">
        <f t="shared" si="778"/>
        <v>WMT</v>
      </c>
      <c r="DC53" s="156"/>
      <c r="DD53" s="156" t="str">
        <f t="shared" si="623"/>
        <v/>
      </c>
      <c r="DE53" s="156">
        <f t="shared" si="624"/>
        <v>0</v>
      </c>
      <c r="DF53" s="164"/>
      <c r="DG53" s="156">
        <f t="shared" si="625"/>
        <v>0</v>
      </c>
      <c r="DH53" s="413"/>
      <c r="DI53" s="165"/>
      <c r="DJ53" s="165"/>
      <c r="DK53" s="156">
        <f t="shared" si="626"/>
        <v>0</v>
      </c>
      <c r="DL53" s="164">
        <f t="shared" si="627"/>
        <v>0.4604471269</v>
      </c>
      <c r="DM53" s="167">
        <f t="shared" si="628"/>
        <v>0</v>
      </c>
      <c r="DN53" s="168">
        <f t="shared" si="629"/>
        <v>0</v>
      </c>
      <c r="DO53" s="159"/>
      <c r="DP53" s="161">
        <f t="shared" si="732"/>
        <v>5</v>
      </c>
      <c r="DQ53" s="162" t="str">
        <f t="shared" ref="DQ53:DS53" si="779">IFERROR(VLOOKUP($R53,$A$13:$D$30,-DQ$12,FALSE),"")</f>
        <v>Bijih Nikel </v>
      </c>
      <c r="DR53" s="163" t="str">
        <f t="shared" si="779"/>
        <v>Bijih </v>
      </c>
      <c r="DS53" s="163" t="str">
        <f t="shared" si="779"/>
        <v>WMT</v>
      </c>
      <c r="DT53" s="156"/>
      <c r="DU53" s="156" t="str">
        <f t="shared" si="631"/>
        <v/>
      </c>
      <c r="DV53" s="156">
        <f t="shared" si="632"/>
        <v>0</v>
      </c>
      <c r="DW53" s="164"/>
      <c r="DX53" s="156">
        <f t="shared" si="633"/>
        <v>0</v>
      </c>
      <c r="DY53" s="413"/>
      <c r="DZ53" s="165"/>
      <c r="EA53" s="165"/>
      <c r="EB53" s="156">
        <f t="shared" si="634"/>
        <v>0</v>
      </c>
      <c r="EC53" s="164">
        <f t="shared" si="635"/>
        <v>0.4604471269</v>
      </c>
      <c r="ED53" s="167">
        <f t="shared" si="636"/>
        <v>0</v>
      </c>
      <c r="EE53" s="168">
        <f t="shared" si="637"/>
        <v>0</v>
      </c>
      <c r="EF53" s="159"/>
      <c r="EG53" s="161">
        <f t="shared" si="734"/>
        <v>5</v>
      </c>
      <c r="EH53" s="162" t="str">
        <f t="shared" ref="EH53:EJ53" si="780">IFERROR(VLOOKUP($R53,$A$13:$D$30,-EH$12,FALSE),"")</f>
        <v>Bijih Nikel </v>
      </c>
      <c r="EI53" s="163" t="str">
        <f t="shared" si="780"/>
        <v>Bijih </v>
      </c>
      <c r="EJ53" s="163" t="str">
        <f t="shared" si="780"/>
        <v>WMT</v>
      </c>
      <c r="EK53" s="156"/>
      <c r="EL53" s="156" t="str">
        <f t="shared" si="639"/>
        <v/>
      </c>
      <c r="EM53" s="156">
        <f t="shared" si="640"/>
        <v>0</v>
      </c>
      <c r="EN53" s="164"/>
      <c r="EO53" s="156">
        <f t="shared" si="641"/>
        <v>0</v>
      </c>
      <c r="EP53" s="413"/>
      <c r="EQ53" s="165"/>
      <c r="ER53" s="165"/>
      <c r="ES53" s="156">
        <f t="shared" si="642"/>
        <v>0</v>
      </c>
      <c r="ET53" s="164">
        <f t="shared" si="643"/>
        <v>0.4604471269</v>
      </c>
      <c r="EU53" s="167">
        <f t="shared" si="644"/>
        <v>0</v>
      </c>
      <c r="EV53" s="168">
        <f t="shared" si="645"/>
        <v>0</v>
      </c>
      <c r="EW53" s="159"/>
      <c r="EX53" s="161">
        <f t="shared" si="736"/>
        <v>5</v>
      </c>
      <c r="EY53" s="162" t="str">
        <f t="shared" ref="EY53:FA53" si="781">IFERROR(VLOOKUP($R53,$A$13:$D$30,-EY$12,FALSE),"")</f>
        <v>Bijih Nikel </v>
      </c>
      <c r="EZ53" s="163" t="str">
        <f t="shared" si="781"/>
        <v>Bijih </v>
      </c>
      <c r="FA53" s="163" t="str">
        <f t="shared" si="781"/>
        <v>WMT</v>
      </c>
      <c r="FB53" s="156"/>
      <c r="FC53" s="156" t="str">
        <f t="shared" si="647"/>
        <v/>
      </c>
      <c r="FD53" s="156">
        <f t="shared" si="648"/>
        <v>0</v>
      </c>
      <c r="FE53" s="164"/>
      <c r="FF53" s="156">
        <f t="shared" si="649"/>
        <v>0</v>
      </c>
      <c r="FG53" s="413"/>
      <c r="FH53" s="165"/>
      <c r="FI53" s="165"/>
      <c r="FJ53" s="156">
        <f t="shared" si="650"/>
        <v>0</v>
      </c>
      <c r="FK53" s="164">
        <f t="shared" si="651"/>
        <v>0.4604471269</v>
      </c>
      <c r="FL53" s="167">
        <f t="shared" si="652"/>
        <v>0</v>
      </c>
      <c r="FM53" s="168">
        <f t="shared" si="653"/>
        <v>0</v>
      </c>
      <c r="FN53" s="159"/>
      <c r="FO53" s="161">
        <f t="shared" si="738"/>
        <v>5</v>
      </c>
      <c r="FP53" s="162" t="str">
        <f t="shared" ref="FP53:FR53" si="782">IFERROR(VLOOKUP($R53,$A$13:$D$30,-FP$12,FALSE),"")</f>
        <v>Bijih Nikel </v>
      </c>
      <c r="FQ53" s="163" t="str">
        <f t="shared" si="782"/>
        <v>Bijih </v>
      </c>
      <c r="FR53" s="163" t="str">
        <f t="shared" si="782"/>
        <v>WMT</v>
      </c>
      <c r="FS53" s="169">
        <f>ADHB!FS53</f>
        <v>3000570.24</v>
      </c>
      <c r="FT53" s="169">
        <v>192960.46</v>
      </c>
      <c r="FU53" s="156">
        <f t="shared" si="656"/>
        <v>578991.4138</v>
      </c>
      <c r="FV53" s="164"/>
      <c r="FW53" s="156">
        <f t="shared" si="657"/>
        <v>0</v>
      </c>
      <c r="FX53" s="413"/>
      <c r="FY53" s="165"/>
      <c r="FZ53" s="165"/>
      <c r="GA53" s="156">
        <f t="shared" si="658"/>
        <v>578991.4138</v>
      </c>
      <c r="GB53" s="164">
        <f t="shared" si="659"/>
        <v>0.4604471269</v>
      </c>
      <c r="GC53" s="167">
        <f t="shared" si="660"/>
        <v>266594.933</v>
      </c>
      <c r="GD53" s="168">
        <f t="shared" si="661"/>
        <v>312396.4808</v>
      </c>
      <c r="GE53" s="159"/>
      <c r="GF53" s="161">
        <f t="shared" si="740"/>
        <v>5</v>
      </c>
      <c r="GG53" s="162" t="str">
        <f t="shared" ref="GG53:GI53" si="783">IFERROR(VLOOKUP($R53,$A$13:$D$30,-GG$12,FALSE),"")</f>
        <v>Bijih Nikel </v>
      </c>
      <c r="GH53" s="163" t="str">
        <f t="shared" si="783"/>
        <v>Bijih </v>
      </c>
      <c r="GI53" s="163" t="str">
        <f t="shared" si="783"/>
        <v>WMT</v>
      </c>
      <c r="GJ53" s="169">
        <f>ADHB!GJ53</f>
        <v>6761943</v>
      </c>
      <c r="GK53" s="169">
        <v>192960.46</v>
      </c>
      <c r="GL53" s="156">
        <f t="shared" si="664"/>
        <v>1304787.632</v>
      </c>
      <c r="GM53" s="164"/>
      <c r="GN53" s="156">
        <f t="shared" si="665"/>
        <v>0</v>
      </c>
      <c r="GO53" s="413"/>
      <c r="GP53" s="165"/>
      <c r="GQ53" s="165"/>
      <c r="GR53" s="156">
        <f t="shared" si="666"/>
        <v>1304787.632</v>
      </c>
      <c r="GS53" s="164">
        <f t="shared" si="667"/>
        <v>0.4604471269</v>
      </c>
      <c r="GT53" s="167">
        <f t="shared" si="668"/>
        <v>600785.7163</v>
      </c>
      <c r="GU53" s="168">
        <f t="shared" si="669"/>
        <v>704001.9155</v>
      </c>
      <c r="GV53" s="159"/>
      <c r="GW53" s="161">
        <f t="shared" si="742"/>
        <v>5</v>
      </c>
      <c r="GX53" s="162" t="str">
        <f t="shared" ref="GX53:GZ53" si="784">IFERROR(VLOOKUP($R53,$A$13:$D$30,-GX$12,FALSE),"")</f>
        <v>Bijih Nikel </v>
      </c>
      <c r="GY53" s="163" t="str">
        <f t="shared" si="784"/>
        <v>Bijih </v>
      </c>
      <c r="GZ53" s="163" t="str">
        <f t="shared" si="784"/>
        <v>WMT</v>
      </c>
      <c r="HA53" s="156">
        <f>ADHB!HA53</f>
        <v>7658511</v>
      </c>
      <c r="HB53" s="156">
        <f t="shared" si="671"/>
        <v>192960.46</v>
      </c>
      <c r="HC53" s="156">
        <f t="shared" si="672"/>
        <v>1477789.805</v>
      </c>
      <c r="HD53" s="414">
        <v>1.0</v>
      </c>
      <c r="HE53" s="156">
        <f t="shared" si="673"/>
        <v>1477789.805</v>
      </c>
      <c r="HF53" s="413"/>
      <c r="HG53" s="165"/>
      <c r="HH53" s="165"/>
      <c r="HI53" s="156">
        <f t="shared" si="674"/>
        <v>2955579.611</v>
      </c>
      <c r="HJ53" s="164">
        <f t="shared" si="675"/>
        <v>0.4604471269</v>
      </c>
      <c r="HK53" s="167">
        <f t="shared" si="676"/>
        <v>1360888.14</v>
      </c>
      <c r="HL53" s="168">
        <f t="shared" si="677"/>
        <v>1594691.471</v>
      </c>
      <c r="HM53" s="159"/>
      <c r="HN53" s="161">
        <f t="shared" si="744"/>
        <v>5</v>
      </c>
      <c r="HO53" s="162" t="str">
        <f t="shared" ref="HO53:HQ53" si="785">IFERROR(VLOOKUP($R53,$A$13:$D$30,-HO$12,FALSE),"")</f>
        <v>Bijih Nikel </v>
      </c>
      <c r="HP53" s="163" t="str">
        <f t="shared" si="785"/>
        <v>Bijih </v>
      </c>
      <c r="HQ53" s="163" t="str">
        <f t="shared" si="785"/>
        <v>WMT</v>
      </c>
      <c r="HR53" s="156">
        <f>ADHB!HR53</f>
        <v>10020803.37</v>
      </c>
      <c r="HS53" s="156">
        <f t="shared" si="679"/>
        <v>192960.46</v>
      </c>
      <c r="HT53" s="156">
        <f t="shared" si="680"/>
        <v>1933618.828</v>
      </c>
      <c r="HU53" s="414">
        <v>1.0</v>
      </c>
      <c r="HV53" s="156">
        <f t="shared" si="681"/>
        <v>1933618.828</v>
      </c>
      <c r="HW53" s="413"/>
      <c r="HX53" s="165"/>
      <c r="HY53" s="165"/>
      <c r="HZ53" s="156">
        <f t="shared" si="682"/>
        <v>3867237.656</v>
      </c>
      <c r="IA53" s="164">
        <f t="shared" si="683"/>
        <v>0.4604471269</v>
      </c>
      <c r="IB53" s="167">
        <f t="shared" si="684"/>
        <v>1780658.468</v>
      </c>
      <c r="IC53" s="168">
        <f t="shared" si="685"/>
        <v>2086579.189</v>
      </c>
      <c r="ID53" s="159"/>
      <c r="IE53" s="161">
        <f t="shared" si="746"/>
        <v>5</v>
      </c>
      <c r="IF53" s="162" t="str">
        <f t="shared" ref="IF53:IH53" si="786">IFERROR(VLOOKUP($R53,$A$13:$D$30,-IF$12,FALSE),"")</f>
        <v>Bijih Nikel </v>
      </c>
      <c r="IG53" s="163" t="str">
        <f t="shared" si="786"/>
        <v>Bijih </v>
      </c>
      <c r="IH53" s="163" t="str">
        <f t="shared" si="786"/>
        <v>WMT</v>
      </c>
      <c r="II53" s="156">
        <f>ADHB!II53</f>
        <v>8496295.305</v>
      </c>
      <c r="IJ53" s="156">
        <f t="shared" si="687"/>
        <v>192960.46</v>
      </c>
      <c r="IK53" s="156">
        <f t="shared" si="688"/>
        <v>1639449.05</v>
      </c>
      <c r="IL53" s="164"/>
      <c r="IM53" s="156">
        <f t="shared" si="689"/>
        <v>0</v>
      </c>
      <c r="IN53" s="413"/>
      <c r="IO53" s="165"/>
      <c r="IP53" s="165"/>
      <c r="IQ53" s="156">
        <f t="shared" si="690"/>
        <v>1639449.05</v>
      </c>
      <c r="IR53" s="164">
        <f t="shared" si="691"/>
        <v>0.4604471269</v>
      </c>
      <c r="IS53" s="167">
        <f t="shared" si="692"/>
        <v>754879.6049</v>
      </c>
      <c r="IT53" s="168">
        <f t="shared" si="693"/>
        <v>884569.4454</v>
      </c>
      <c r="IU53" s="159"/>
      <c r="IV53" s="161">
        <f t="shared" si="748"/>
        <v>5</v>
      </c>
      <c r="IW53" s="162" t="str">
        <f t="shared" ref="IW53:IY53" si="787">IFERROR(VLOOKUP($R53,$A$13:$D$30,-IW$12,FALSE),"")</f>
        <v>Bijih Nikel </v>
      </c>
      <c r="IX53" s="163" t="str">
        <f t="shared" si="787"/>
        <v>Bijih </v>
      </c>
      <c r="IY53" s="163" t="str">
        <f t="shared" si="787"/>
        <v>WMT</v>
      </c>
      <c r="IZ53" s="156">
        <f>ADHB!IZ53</f>
        <v>20307220.36</v>
      </c>
      <c r="JA53" s="156">
        <f t="shared" si="695"/>
        <v>192960.46</v>
      </c>
      <c r="JB53" s="156">
        <f t="shared" si="696"/>
        <v>3918490.581</v>
      </c>
      <c r="JC53" s="164"/>
      <c r="JD53" s="156">
        <f t="shared" si="697"/>
        <v>0</v>
      </c>
      <c r="JE53" s="413"/>
      <c r="JF53" s="165"/>
      <c r="JG53" s="165"/>
      <c r="JH53" s="156">
        <f t="shared" si="698"/>
        <v>3918490.581</v>
      </c>
      <c r="JI53" s="164">
        <f t="shared" si="699"/>
        <v>0.4604471269</v>
      </c>
      <c r="JJ53" s="167">
        <f t="shared" si="700"/>
        <v>1804257.73</v>
      </c>
      <c r="JK53" s="168">
        <f t="shared" si="701"/>
        <v>2114232.851</v>
      </c>
      <c r="JL53" s="159"/>
      <c r="JM53" s="161">
        <f t="shared" si="750"/>
        <v>5</v>
      </c>
      <c r="JN53" s="162" t="str">
        <f t="shared" ref="JN53:JP53" si="788">IFERROR(VLOOKUP($R53,$A$13:$D$30,-JN$12,FALSE),"")</f>
        <v>Bijih Nikel </v>
      </c>
      <c r="JO53" s="163" t="str">
        <f t="shared" si="788"/>
        <v>Bijih </v>
      </c>
      <c r="JP53" s="163" t="str">
        <f t="shared" si="788"/>
        <v>WMT</v>
      </c>
      <c r="JQ53" s="156">
        <f>ADHB!JQ53</f>
        <v>21210240.34</v>
      </c>
      <c r="JR53" s="156">
        <f t="shared" si="703"/>
        <v>192960.46</v>
      </c>
      <c r="JS53" s="156">
        <f t="shared" si="704"/>
        <v>4092737.732</v>
      </c>
      <c r="JT53" s="164"/>
      <c r="JU53" s="156">
        <f t="shared" si="705"/>
        <v>0</v>
      </c>
      <c r="JV53" s="413"/>
      <c r="JW53" s="165"/>
      <c r="JX53" s="165"/>
      <c r="JY53" s="156">
        <f t="shared" si="706"/>
        <v>4092737.732</v>
      </c>
      <c r="JZ53" s="164">
        <f t="shared" si="707"/>
        <v>0.4604471269</v>
      </c>
      <c r="KA53" s="167">
        <f t="shared" si="708"/>
        <v>1884489.33</v>
      </c>
      <c r="KB53" s="168">
        <f t="shared" si="709"/>
        <v>2208248.402</v>
      </c>
      <c r="KC53" s="159"/>
      <c r="KD53" s="161">
        <f t="shared" si="752"/>
        <v>5</v>
      </c>
      <c r="KE53" s="162" t="str">
        <f t="shared" ref="KE53:KG53" si="789">IFERROR(VLOOKUP($R53,$A$13:$D$30,-KE$12,FALSE),"")</f>
        <v>Bijih Nikel </v>
      </c>
      <c r="KF53" s="163" t="str">
        <f t="shared" si="789"/>
        <v>Bijih </v>
      </c>
      <c r="KG53" s="163" t="str">
        <f t="shared" si="789"/>
        <v>WMT</v>
      </c>
      <c r="KH53" s="156" t="str">
        <f>ADHB!KH53</f>
        <v/>
      </c>
      <c r="KI53" s="156"/>
      <c r="KJ53" s="156">
        <f t="shared" si="712"/>
        <v>0</v>
      </c>
      <c r="KK53" s="164"/>
      <c r="KL53" s="156">
        <f t="shared" si="713"/>
        <v>0</v>
      </c>
      <c r="KM53" s="413"/>
      <c r="KN53" s="165"/>
      <c r="KO53" s="165"/>
      <c r="KP53" s="156">
        <f t="shared" si="714"/>
        <v>0</v>
      </c>
      <c r="KQ53" s="164">
        <f t="shared" si="715"/>
        <v>0.4604471269</v>
      </c>
      <c r="KR53" s="167">
        <f t="shared" si="716"/>
        <v>0</v>
      </c>
      <c r="KS53" s="168">
        <f t="shared" si="717"/>
        <v>0</v>
      </c>
      <c r="KT53" s="159"/>
      <c r="KU53" s="160"/>
    </row>
    <row r="54" ht="15.75" customHeight="1">
      <c r="A54" s="161">
        <f t="shared" si="718"/>
        <v>6</v>
      </c>
      <c r="B54" s="162" t="str">
        <f t="shared" ref="B54:D54" si="790">IFERROR(VLOOKUP($A54,$A$13:$D$30,-B$12,FALSE),"")</f>
        <v>Pasir Besi </v>
      </c>
      <c r="C54" s="163" t="str">
        <f t="shared" si="790"/>
        <v>Bijih </v>
      </c>
      <c r="D54" s="163" t="str">
        <f t="shared" si="790"/>
        <v>Ton </v>
      </c>
      <c r="E54" s="156"/>
      <c r="F54" s="156"/>
      <c r="G54" s="156">
        <f t="shared" si="576"/>
        <v>0</v>
      </c>
      <c r="H54" s="164"/>
      <c r="I54" s="156">
        <f t="shared" si="577"/>
        <v>0</v>
      </c>
      <c r="J54" s="413"/>
      <c r="K54" s="165"/>
      <c r="L54" s="165"/>
      <c r="M54" s="156">
        <f t="shared" si="578"/>
        <v>0</v>
      </c>
      <c r="N54" s="164">
        <f t="shared" si="579"/>
        <v>0.4604471269</v>
      </c>
      <c r="O54" s="167">
        <f t="shared" si="580"/>
        <v>0</v>
      </c>
      <c r="P54" s="168">
        <f t="shared" si="581"/>
        <v>0</v>
      </c>
      <c r="Q54" s="159"/>
      <c r="R54" s="161">
        <f t="shared" si="720"/>
        <v>6</v>
      </c>
      <c r="S54" s="162" t="str">
        <f t="shared" ref="S54:U54" si="791">IFERROR(VLOOKUP($R54,$A$13:$D$30,-S$12,FALSE),"")</f>
        <v>Pasir Besi </v>
      </c>
      <c r="T54" s="163" t="str">
        <f t="shared" si="791"/>
        <v>Bijih </v>
      </c>
      <c r="U54" s="163" t="str">
        <f t="shared" si="791"/>
        <v>Ton </v>
      </c>
      <c r="V54" s="156"/>
      <c r="W54" s="156" t="str">
        <f t="shared" si="583"/>
        <v/>
      </c>
      <c r="X54" s="156">
        <f t="shared" si="584"/>
        <v>0</v>
      </c>
      <c r="Y54" s="164"/>
      <c r="Z54" s="156">
        <f t="shared" si="585"/>
        <v>0</v>
      </c>
      <c r="AA54" s="413"/>
      <c r="AB54" s="165"/>
      <c r="AC54" s="165"/>
      <c r="AD54" s="156">
        <f t="shared" si="586"/>
        <v>0</v>
      </c>
      <c r="AE54" s="164">
        <f t="shared" si="587"/>
        <v>0.4604471269</v>
      </c>
      <c r="AF54" s="167">
        <f t="shared" si="588"/>
        <v>0</v>
      </c>
      <c r="AG54" s="168">
        <f t="shared" si="589"/>
        <v>0</v>
      </c>
      <c r="AH54" s="159"/>
      <c r="AI54" s="161">
        <f t="shared" si="722"/>
        <v>6</v>
      </c>
      <c r="AJ54" s="162" t="str">
        <f t="shared" ref="AJ54:AL54" si="792">IFERROR(VLOOKUP($R54,$A$13:$D$30,-AJ$12,FALSE),"")</f>
        <v>Pasir Besi </v>
      </c>
      <c r="AK54" s="163" t="str">
        <f t="shared" si="792"/>
        <v>Bijih </v>
      </c>
      <c r="AL54" s="163" t="str">
        <f t="shared" si="792"/>
        <v>Ton </v>
      </c>
      <c r="AM54" s="156"/>
      <c r="AN54" s="156" t="str">
        <f t="shared" si="591"/>
        <v/>
      </c>
      <c r="AO54" s="156">
        <f t="shared" si="592"/>
        <v>0</v>
      </c>
      <c r="AP54" s="164"/>
      <c r="AQ54" s="156">
        <f t="shared" si="593"/>
        <v>0</v>
      </c>
      <c r="AR54" s="413"/>
      <c r="AS54" s="165"/>
      <c r="AT54" s="165"/>
      <c r="AU54" s="156">
        <f t="shared" si="594"/>
        <v>0</v>
      </c>
      <c r="AV54" s="164">
        <f t="shared" si="595"/>
        <v>0.4604471269</v>
      </c>
      <c r="AW54" s="167">
        <f t="shared" si="596"/>
        <v>0</v>
      </c>
      <c r="AX54" s="168">
        <f t="shared" si="597"/>
        <v>0</v>
      </c>
      <c r="AY54" s="159"/>
      <c r="AZ54" s="161">
        <f t="shared" si="724"/>
        <v>6</v>
      </c>
      <c r="BA54" s="162" t="str">
        <f t="shared" ref="BA54:BC54" si="793">IFERROR(VLOOKUP($R54,$A$13:$D$30,-BA$12,FALSE),"")</f>
        <v>Pasir Besi </v>
      </c>
      <c r="BB54" s="163" t="str">
        <f t="shared" si="793"/>
        <v>Bijih </v>
      </c>
      <c r="BC54" s="163" t="str">
        <f t="shared" si="793"/>
        <v>Ton </v>
      </c>
      <c r="BD54" s="156"/>
      <c r="BE54" s="156" t="str">
        <f t="shared" si="599"/>
        <v/>
      </c>
      <c r="BF54" s="156">
        <f t="shared" si="600"/>
        <v>0</v>
      </c>
      <c r="BG54" s="164"/>
      <c r="BH54" s="156">
        <f t="shared" si="601"/>
        <v>0</v>
      </c>
      <c r="BI54" s="413"/>
      <c r="BJ54" s="165"/>
      <c r="BK54" s="165"/>
      <c r="BL54" s="156">
        <f t="shared" si="602"/>
        <v>0</v>
      </c>
      <c r="BM54" s="164">
        <f t="shared" si="603"/>
        <v>0.4604471269</v>
      </c>
      <c r="BN54" s="167">
        <f t="shared" si="604"/>
        <v>0</v>
      </c>
      <c r="BO54" s="168">
        <f t="shared" si="605"/>
        <v>0</v>
      </c>
      <c r="BP54" s="159"/>
      <c r="BQ54" s="161">
        <f t="shared" si="726"/>
        <v>6</v>
      </c>
      <c r="BR54" s="162" t="str">
        <f t="shared" ref="BR54:BT54" si="794">IFERROR(VLOOKUP($R54,$A$13:$D$30,-BR$12,FALSE),"")</f>
        <v>Pasir Besi </v>
      </c>
      <c r="BS54" s="163" t="str">
        <f t="shared" si="794"/>
        <v>Bijih </v>
      </c>
      <c r="BT54" s="163" t="str">
        <f t="shared" si="794"/>
        <v>Ton </v>
      </c>
      <c r="BU54" s="156"/>
      <c r="BV54" s="156" t="str">
        <f t="shared" si="607"/>
        <v/>
      </c>
      <c r="BW54" s="156">
        <f t="shared" si="608"/>
        <v>0</v>
      </c>
      <c r="BX54" s="164"/>
      <c r="BY54" s="156">
        <f t="shared" si="609"/>
        <v>0</v>
      </c>
      <c r="BZ54" s="413"/>
      <c r="CA54" s="165"/>
      <c r="CB54" s="165"/>
      <c r="CC54" s="156">
        <f t="shared" si="610"/>
        <v>0</v>
      </c>
      <c r="CD54" s="164">
        <f t="shared" si="611"/>
        <v>0.4604471269</v>
      </c>
      <c r="CE54" s="167">
        <f t="shared" si="612"/>
        <v>0</v>
      </c>
      <c r="CF54" s="168">
        <f t="shared" si="613"/>
        <v>0</v>
      </c>
      <c r="CG54" s="159"/>
      <c r="CH54" s="161">
        <f t="shared" si="728"/>
        <v>6</v>
      </c>
      <c r="CI54" s="162" t="str">
        <f t="shared" ref="CI54:CK54" si="795">IFERROR(VLOOKUP($R54,$A$13:$D$30,-CI$12,FALSE),"")</f>
        <v>Pasir Besi </v>
      </c>
      <c r="CJ54" s="163" t="str">
        <f t="shared" si="795"/>
        <v>Bijih </v>
      </c>
      <c r="CK54" s="163" t="str">
        <f t="shared" si="795"/>
        <v>Ton </v>
      </c>
      <c r="CL54" s="156"/>
      <c r="CM54" s="156" t="str">
        <f t="shared" si="615"/>
        <v/>
      </c>
      <c r="CN54" s="156">
        <f t="shared" si="616"/>
        <v>0</v>
      </c>
      <c r="CO54" s="164"/>
      <c r="CP54" s="156">
        <f t="shared" si="617"/>
        <v>0</v>
      </c>
      <c r="CQ54" s="413"/>
      <c r="CR54" s="165"/>
      <c r="CS54" s="165"/>
      <c r="CT54" s="156">
        <f t="shared" si="618"/>
        <v>0</v>
      </c>
      <c r="CU54" s="164">
        <f t="shared" si="619"/>
        <v>0.4604471269</v>
      </c>
      <c r="CV54" s="167">
        <f t="shared" si="620"/>
        <v>0</v>
      </c>
      <c r="CW54" s="168">
        <f t="shared" si="621"/>
        <v>0</v>
      </c>
      <c r="CX54" s="159"/>
      <c r="CY54" s="161">
        <f t="shared" si="730"/>
        <v>6</v>
      </c>
      <c r="CZ54" s="162" t="str">
        <f t="shared" ref="CZ54:DB54" si="796">IFERROR(VLOOKUP($R54,$A$13:$D$30,-CZ$12,FALSE),"")</f>
        <v>Pasir Besi </v>
      </c>
      <c r="DA54" s="163" t="str">
        <f t="shared" si="796"/>
        <v>Bijih </v>
      </c>
      <c r="DB54" s="163" t="str">
        <f t="shared" si="796"/>
        <v>Ton </v>
      </c>
      <c r="DC54" s="156"/>
      <c r="DD54" s="156" t="str">
        <f t="shared" si="623"/>
        <v/>
      </c>
      <c r="DE54" s="156">
        <f t="shared" si="624"/>
        <v>0</v>
      </c>
      <c r="DF54" s="164"/>
      <c r="DG54" s="156">
        <f t="shared" si="625"/>
        <v>0</v>
      </c>
      <c r="DH54" s="413"/>
      <c r="DI54" s="165"/>
      <c r="DJ54" s="165"/>
      <c r="DK54" s="156">
        <f t="shared" si="626"/>
        <v>0</v>
      </c>
      <c r="DL54" s="164">
        <f t="shared" si="627"/>
        <v>0.4604471269</v>
      </c>
      <c r="DM54" s="167">
        <f t="shared" si="628"/>
        <v>0</v>
      </c>
      <c r="DN54" s="168">
        <f t="shared" si="629"/>
        <v>0</v>
      </c>
      <c r="DO54" s="159"/>
      <c r="DP54" s="161">
        <f t="shared" si="732"/>
        <v>6</v>
      </c>
      <c r="DQ54" s="162" t="str">
        <f t="shared" ref="DQ54:DS54" si="797">IFERROR(VLOOKUP($R54,$A$13:$D$30,-DQ$12,FALSE),"")</f>
        <v>Pasir Besi </v>
      </c>
      <c r="DR54" s="163" t="str">
        <f t="shared" si="797"/>
        <v>Bijih </v>
      </c>
      <c r="DS54" s="163" t="str">
        <f t="shared" si="797"/>
        <v>Ton </v>
      </c>
      <c r="DT54" s="156"/>
      <c r="DU54" s="156" t="str">
        <f t="shared" si="631"/>
        <v/>
      </c>
      <c r="DV54" s="156">
        <f t="shared" si="632"/>
        <v>0</v>
      </c>
      <c r="DW54" s="164"/>
      <c r="DX54" s="156">
        <f t="shared" si="633"/>
        <v>0</v>
      </c>
      <c r="DY54" s="413"/>
      <c r="DZ54" s="165"/>
      <c r="EA54" s="165"/>
      <c r="EB54" s="156">
        <f t="shared" si="634"/>
        <v>0</v>
      </c>
      <c r="EC54" s="164">
        <f t="shared" si="635"/>
        <v>0.4604471269</v>
      </c>
      <c r="ED54" s="167">
        <f t="shared" si="636"/>
        <v>0</v>
      </c>
      <c r="EE54" s="168">
        <f t="shared" si="637"/>
        <v>0</v>
      </c>
      <c r="EF54" s="159"/>
      <c r="EG54" s="161">
        <f t="shared" si="734"/>
        <v>6</v>
      </c>
      <c r="EH54" s="162" t="str">
        <f t="shared" ref="EH54:EJ54" si="798">IFERROR(VLOOKUP($R54,$A$13:$D$30,-EH$12,FALSE),"")</f>
        <v>Pasir Besi </v>
      </c>
      <c r="EI54" s="163" t="str">
        <f t="shared" si="798"/>
        <v>Bijih </v>
      </c>
      <c r="EJ54" s="163" t="str">
        <f t="shared" si="798"/>
        <v>Ton </v>
      </c>
      <c r="EK54" s="156"/>
      <c r="EL54" s="156" t="str">
        <f t="shared" si="639"/>
        <v/>
      </c>
      <c r="EM54" s="156">
        <f t="shared" si="640"/>
        <v>0</v>
      </c>
      <c r="EN54" s="164"/>
      <c r="EO54" s="156">
        <f t="shared" si="641"/>
        <v>0</v>
      </c>
      <c r="EP54" s="413"/>
      <c r="EQ54" s="165"/>
      <c r="ER54" s="165"/>
      <c r="ES54" s="156">
        <f t="shared" si="642"/>
        <v>0</v>
      </c>
      <c r="ET54" s="164">
        <f t="shared" si="643"/>
        <v>0.4604471269</v>
      </c>
      <c r="EU54" s="167">
        <f t="shared" si="644"/>
        <v>0</v>
      </c>
      <c r="EV54" s="168">
        <f t="shared" si="645"/>
        <v>0</v>
      </c>
      <c r="EW54" s="159"/>
      <c r="EX54" s="161">
        <f t="shared" si="736"/>
        <v>6</v>
      </c>
      <c r="EY54" s="162" t="str">
        <f t="shared" ref="EY54:FA54" si="799">IFERROR(VLOOKUP($R54,$A$13:$D$30,-EY$12,FALSE),"")</f>
        <v>Pasir Besi </v>
      </c>
      <c r="EZ54" s="163" t="str">
        <f t="shared" si="799"/>
        <v>Bijih </v>
      </c>
      <c r="FA54" s="163" t="str">
        <f t="shared" si="799"/>
        <v>Ton </v>
      </c>
      <c r="FB54" s="156"/>
      <c r="FC54" s="156" t="str">
        <f t="shared" si="647"/>
        <v/>
      </c>
      <c r="FD54" s="156">
        <f t="shared" si="648"/>
        <v>0</v>
      </c>
      <c r="FE54" s="164"/>
      <c r="FF54" s="156">
        <f t="shared" si="649"/>
        <v>0</v>
      </c>
      <c r="FG54" s="413"/>
      <c r="FH54" s="165"/>
      <c r="FI54" s="165"/>
      <c r="FJ54" s="156">
        <f t="shared" si="650"/>
        <v>0</v>
      </c>
      <c r="FK54" s="164">
        <f t="shared" si="651"/>
        <v>0.4604471269</v>
      </c>
      <c r="FL54" s="167">
        <f t="shared" si="652"/>
        <v>0</v>
      </c>
      <c r="FM54" s="168">
        <f t="shared" si="653"/>
        <v>0</v>
      </c>
      <c r="FN54" s="159"/>
      <c r="FO54" s="161">
        <f t="shared" si="738"/>
        <v>6</v>
      </c>
      <c r="FP54" s="162" t="str">
        <f t="shared" ref="FP54:FR54" si="800">IFERROR(VLOOKUP($R54,$A$13:$D$30,-FP$12,FALSE),"")</f>
        <v>Pasir Besi </v>
      </c>
      <c r="FQ54" s="163" t="str">
        <f t="shared" si="800"/>
        <v>Bijih </v>
      </c>
      <c r="FR54" s="163" t="str">
        <f t="shared" si="800"/>
        <v>Ton </v>
      </c>
      <c r="FS54" s="156"/>
      <c r="FT54" s="156" t="str">
        <f t="shared" ref="FT54:FT65" si="819">FC54</f>
        <v/>
      </c>
      <c r="FU54" s="156">
        <f t="shared" si="656"/>
        <v>0</v>
      </c>
      <c r="FV54" s="164"/>
      <c r="FW54" s="156">
        <f t="shared" si="657"/>
        <v>0</v>
      </c>
      <c r="FX54" s="413"/>
      <c r="FY54" s="165"/>
      <c r="FZ54" s="165"/>
      <c r="GA54" s="156">
        <f t="shared" si="658"/>
        <v>0</v>
      </c>
      <c r="GB54" s="164">
        <f t="shared" si="659"/>
        <v>0.4604471269</v>
      </c>
      <c r="GC54" s="167">
        <f t="shared" si="660"/>
        <v>0</v>
      </c>
      <c r="GD54" s="168">
        <f t="shared" si="661"/>
        <v>0</v>
      </c>
      <c r="GE54" s="159"/>
      <c r="GF54" s="161">
        <f t="shared" si="740"/>
        <v>6</v>
      </c>
      <c r="GG54" s="162" t="str">
        <f t="shared" ref="GG54:GI54" si="801">IFERROR(VLOOKUP($R54,$A$13:$D$30,-GG$12,FALSE),"")</f>
        <v>Pasir Besi </v>
      </c>
      <c r="GH54" s="163" t="str">
        <f t="shared" si="801"/>
        <v>Bijih </v>
      </c>
      <c r="GI54" s="163" t="str">
        <f t="shared" si="801"/>
        <v>Ton </v>
      </c>
      <c r="GJ54" s="169"/>
      <c r="GK54" s="156" t="str">
        <f t="shared" ref="GK54:GK56" si="821">FT54</f>
        <v/>
      </c>
      <c r="GL54" s="156">
        <f t="shared" si="664"/>
        <v>0</v>
      </c>
      <c r="GM54" s="164"/>
      <c r="GN54" s="156">
        <f t="shared" si="665"/>
        <v>0</v>
      </c>
      <c r="GO54" s="413"/>
      <c r="GP54" s="165"/>
      <c r="GQ54" s="165"/>
      <c r="GR54" s="156">
        <f t="shared" si="666"/>
        <v>0</v>
      </c>
      <c r="GS54" s="164">
        <f t="shared" si="667"/>
        <v>0.4604471269</v>
      </c>
      <c r="GT54" s="167">
        <f t="shared" si="668"/>
        <v>0</v>
      </c>
      <c r="GU54" s="168">
        <f t="shared" si="669"/>
        <v>0</v>
      </c>
      <c r="GV54" s="159"/>
      <c r="GW54" s="161">
        <f t="shared" si="742"/>
        <v>6</v>
      </c>
      <c r="GX54" s="162" t="str">
        <f t="shared" ref="GX54:GZ54" si="802">IFERROR(VLOOKUP($R54,$A$13:$D$30,-GX$12,FALSE),"")</f>
        <v>Pasir Besi </v>
      </c>
      <c r="GY54" s="163" t="str">
        <f t="shared" si="802"/>
        <v>Bijih </v>
      </c>
      <c r="GZ54" s="163" t="str">
        <f t="shared" si="802"/>
        <v>Ton </v>
      </c>
      <c r="HA54" s="156"/>
      <c r="HB54" s="156" t="str">
        <f t="shared" si="671"/>
        <v/>
      </c>
      <c r="HC54" s="156">
        <f t="shared" si="672"/>
        <v>0</v>
      </c>
      <c r="HD54" s="164"/>
      <c r="HE54" s="156">
        <f t="shared" si="673"/>
        <v>0</v>
      </c>
      <c r="HF54" s="413"/>
      <c r="HG54" s="165"/>
      <c r="HH54" s="165"/>
      <c r="HI54" s="156">
        <f t="shared" si="674"/>
        <v>0</v>
      </c>
      <c r="HJ54" s="164">
        <f t="shared" si="675"/>
        <v>0.4604471269</v>
      </c>
      <c r="HK54" s="167">
        <f t="shared" si="676"/>
        <v>0</v>
      </c>
      <c r="HL54" s="168">
        <f t="shared" si="677"/>
        <v>0</v>
      </c>
      <c r="HM54" s="159"/>
      <c r="HN54" s="161">
        <f t="shared" si="744"/>
        <v>6</v>
      </c>
      <c r="HO54" s="162" t="str">
        <f t="shared" ref="HO54:HQ54" si="803">IFERROR(VLOOKUP($R54,$A$13:$D$30,-HO$12,FALSE),"")</f>
        <v>Pasir Besi </v>
      </c>
      <c r="HP54" s="163" t="str">
        <f t="shared" si="803"/>
        <v>Bijih </v>
      </c>
      <c r="HQ54" s="163" t="str">
        <f t="shared" si="803"/>
        <v>Ton </v>
      </c>
      <c r="HR54" s="156"/>
      <c r="HS54" s="156" t="str">
        <f t="shared" si="679"/>
        <v/>
      </c>
      <c r="HT54" s="156">
        <f t="shared" si="680"/>
        <v>0</v>
      </c>
      <c r="HU54" s="164"/>
      <c r="HV54" s="156">
        <f t="shared" si="681"/>
        <v>0</v>
      </c>
      <c r="HW54" s="413"/>
      <c r="HX54" s="165"/>
      <c r="HY54" s="165"/>
      <c r="HZ54" s="156">
        <f t="shared" si="682"/>
        <v>0</v>
      </c>
      <c r="IA54" s="164">
        <f t="shared" si="683"/>
        <v>0.4604471269</v>
      </c>
      <c r="IB54" s="167">
        <f t="shared" si="684"/>
        <v>0</v>
      </c>
      <c r="IC54" s="168">
        <f t="shared" si="685"/>
        <v>0</v>
      </c>
      <c r="ID54" s="159"/>
      <c r="IE54" s="161">
        <f t="shared" si="746"/>
        <v>6</v>
      </c>
      <c r="IF54" s="162" t="str">
        <f t="shared" ref="IF54:IH54" si="804">IFERROR(VLOOKUP($R54,$A$13:$D$30,-IF$12,FALSE),"")</f>
        <v>Pasir Besi </v>
      </c>
      <c r="IG54" s="163" t="str">
        <f t="shared" si="804"/>
        <v>Bijih </v>
      </c>
      <c r="IH54" s="163" t="str">
        <f t="shared" si="804"/>
        <v>Ton </v>
      </c>
      <c r="II54" s="156"/>
      <c r="IJ54" s="156" t="str">
        <f t="shared" si="687"/>
        <v/>
      </c>
      <c r="IK54" s="156">
        <f t="shared" si="688"/>
        <v>0</v>
      </c>
      <c r="IL54" s="164"/>
      <c r="IM54" s="156">
        <f t="shared" si="689"/>
        <v>0</v>
      </c>
      <c r="IN54" s="413"/>
      <c r="IO54" s="165"/>
      <c r="IP54" s="165"/>
      <c r="IQ54" s="156">
        <f t="shared" si="690"/>
        <v>0</v>
      </c>
      <c r="IR54" s="164">
        <f t="shared" si="691"/>
        <v>0.4604471269</v>
      </c>
      <c r="IS54" s="167">
        <f t="shared" si="692"/>
        <v>0</v>
      </c>
      <c r="IT54" s="168">
        <f t="shared" si="693"/>
        <v>0</v>
      </c>
      <c r="IU54" s="159"/>
      <c r="IV54" s="161">
        <f t="shared" si="748"/>
        <v>6</v>
      </c>
      <c r="IW54" s="162" t="str">
        <f t="shared" ref="IW54:IY54" si="805">IFERROR(VLOOKUP($R54,$A$13:$D$30,-IW$12,FALSE),"")</f>
        <v>Pasir Besi </v>
      </c>
      <c r="IX54" s="163" t="str">
        <f t="shared" si="805"/>
        <v>Bijih </v>
      </c>
      <c r="IY54" s="163" t="str">
        <f t="shared" si="805"/>
        <v>Ton </v>
      </c>
      <c r="IZ54" s="156"/>
      <c r="JA54" s="156" t="str">
        <f t="shared" si="695"/>
        <v/>
      </c>
      <c r="JB54" s="156">
        <f t="shared" si="696"/>
        <v>0</v>
      </c>
      <c r="JC54" s="164"/>
      <c r="JD54" s="156">
        <f t="shared" si="697"/>
        <v>0</v>
      </c>
      <c r="JE54" s="413"/>
      <c r="JF54" s="165"/>
      <c r="JG54" s="165"/>
      <c r="JH54" s="156">
        <f t="shared" si="698"/>
        <v>0</v>
      </c>
      <c r="JI54" s="164">
        <f t="shared" si="699"/>
        <v>0.4604471269</v>
      </c>
      <c r="JJ54" s="167">
        <f t="shared" si="700"/>
        <v>0</v>
      </c>
      <c r="JK54" s="168">
        <f t="shared" si="701"/>
        <v>0</v>
      </c>
      <c r="JL54" s="159"/>
      <c r="JM54" s="161">
        <f t="shared" si="750"/>
        <v>6</v>
      </c>
      <c r="JN54" s="162" t="str">
        <f t="shared" ref="JN54:JP54" si="806">IFERROR(VLOOKUP($R54,$A$13:$D$30,-JN$12,FALSE),"")</f>
        <v>Pasir Besi </v>
      </c>
      <c r="JO54" s="163" t="str">
        <f t="shared" si="806"/>
        <v>Bijih </v>
      </c>
      <c r="JP54" s="163" t="str">
        <f t="shared" si="806"/>
        <v>Ton </v>
      </c>
      <c r="JQ54" s="156"/>
      <c r="JR54" s="156"/>
      <c r="JS54" s="156">
        <f t="shared" si="704"/>
        <v>0</v>
      </c>
      <c r="JT54" s="164"/>
      <c r="JU54" s="156">
        <f t="shared" si="705"/>
        <v>0</v>
      </c>
      <c r="JV54" s="413"/>
      <c r="JW54" s="165"/>
      <c r="JX54" s="165"/>
      <c r="JY54" s="156">
        <f t="shared" si="706"/>
        <v>0</v>
      </c>
      <c r="JZ54" s="164">
        <f t="shared" si="707"/>
        <v>0.4604471269</v>
      </c>
      <c r="KA54" s="167">
        <f t="shared" si="708"/>
        <v>0</v>
      </c>
      <c r="KB54" s="168">
        <f t="shared" si="709"/>
        <v>0</v>
      </c>
      <c r="KC54" s="159"/>
      <c r="KD54" s="161">
        <f t="shared" si="752"/>
        <v>6</v>
      </c>
      <c r="KE54" s="162" t="str">
        <f t="shared" ref="KE54:KG54" si="807">IFERROR(VLOOKUP($R54,$A$13:$D$30,-KE$12,FALSE),"")</f>
        <v>Pasir Besi </v>
      </c>
      <c r="KF54" s="163" t="str">
        <f t="shared" si="807"/>
        <v>Bijih </v>
      </c>
      <c r="KG54" s="163" t="str">
        <f t="shared" si="807"/>
        <v>Ton </v>
      </c>
      <c r="KH54" s="156"/>
      <c r="KI54" s="156"/>
      <c r="KJ54" s="156">
        <f t="shared" si="712"/>
        <v>0</v>
      </c>
      <c r="KK54" s="164"/>
      <c r="KL54" s="156">
        <f t="shared" si="713"/>
        <v>0</v>
      </c>
      <c r="KM54" s="413"/>
      <c r="KN54" s="165"/>
      <c r="KO54" s="165"/>
      <c r="KP54" s="156">
        <f t="shared" si="714"/>
        <v>0</v>
      </c>
      <c r="KQ54" s="164">
        <f t="shared" si="715"/>
        <v>0.4604471269</v>
      </c>
      <c r="KR54" s="167">
        <f t="shared" si="716"/>
        <v>0</v>
      </c>
      <c r="KS54" s="168">
        <f t="shared" si="717"/>
        <v>0</v>
      </c>
      <c r="KT54" s="159"/>
      <c r="KU54" s="160"/>
    </row>
    <row r="55" ht="15.75" customHeight="1">
      <c r="A55" s="161">
        <f t="shared" si="718"/>
        <v>7</v>
      </c>
      <c r="B55" s="162" t="str">
        <f t="shared" ref="B55:D55" si="808">IFERROR(VLOOKUP($A55,$A$13:$D$30,-B$12,FALSE),"")</f>
        <v>Timah</v>
      </c>
      <c r="C55" s="163" t="str">
        <f t="shared" si="808"/>
        <v>Bijih </v>
      </c>
      <c r="D55" s="163" t="str">
        <f t="shared" si="808"/>
        <v>Ton </v>
      </c>
      <c r="E55" s="156"/>
      <c r="F55" s="156"/>
      <c r="G55" s="156">
        <f t="shared" si="576"/>
        <v>0</v>
      </c>
      <c r="H55" s="164"/>
      <c r="I55" s="156">
        <f t="shared" si="577"/>
        <v>0</v>
      </c>
      <c r="J55" s="413"/>
      <c r="K55" s="165"/>
      <c r="L55" s="165"/>
      <c r="M55" s="156">
        <f t="shared" si="578"/>
        <v>0</v>
      </c>
      <c r="N55" s="164">
        <f t="shared" si="579"/>
        <v>0.4604471269</v>
      </c>
      <c r="O55" s="167">
        <f t="shared" si="580"/>
        <v>0</v>
      </c>
      <c r="P55" s="168">
        <f t="shared" si="581"/>
        <v>0</v>
      </c>
      <c r="Q55" s="159"/>
      <c r="R55" s="161">
        <f t="shared" si="720"/>
        <v>7</v>
      </c>
      <c r="S55" s="162" t="str">
        <f t="shared" ref="S55:U55" si="809">IFERROR(VLOOKUP($R55,$A$13:$D$30,-S$12,FALSE),"")</f>
        <v>Timah</v>
      </c>
      <c r="T55" s="163" t="str">
        <f t="shared" si="809"/>
        <v>Bijih </v>
      </c>
      <c r="U55" s="163" t="str">
        <f t="shared" si="809"/>
        <v>Ton </v>
      </c>
      <c r="V55" s="156"/>
      <c r="W55" s="156" t="str">
        <f t="shared" si="583"/>
        <v/>
      </c>
      <c r="X55" s="156">
        <f t="shared" si="584"/>
        <v>0</v>
      </c>
      <c r="Y55" s="164"/>
      <c r="Z55" s="156">
        <f t="shared" si="585"/>
        <v>0</v>
      </c>
      <c r="AA55" s="413"/>
      <c r="AB55" s="165"/>
      <c r="AC55" s="165"/>
      <c r="AD55" s="156">
        <f t="shared" si="586"/>
        <v>0</v>
      </c>
      <c r="AE55" s="164">
        <f t="shared" si="587"/>
        <v>0.4604471269</v>
      </c>
      <c r="AF55" s="167">
        <f t="shared" si="588"/>
        <v>0</v>
      </c>
      <c r="AG55" s="168">
        <f t="shared" si="589"/>
        <v>0</v>
      </c>
      <c r="AH55" s="159"/>
      <c r="AI55" s="161">
        <f t="shared" si="722"/>
        <v>7</v>
      </c>
      <c r="AJ55" s="162" t="str">
        <f t="shared" ref="AJ55:AL55" si="810">IFERROR(VLOOKUP($R55,$A$13:$D$30,-AJ$12,FALSE),"")</f>
        <v>Timah</v>
      </c>
      <c r="AK55" s="163" t="str">
        <f t="shared" si="810"/>
        <v>Bijih </v>
      </c>
      <c r="AL55" s="163" t="str">
        <f t="shared" si="810"/>
        <v>Ton </v>
      </c>
      <c r="AM55" s="156"/>
      <c r="AN55" s="156" t="str">
        <f t="shared" si="591"/>
        <v/>
      </c>
      <c r="AO55" s="156">
        <f t="shared" si="592"/>
        <v>0</v>
      </c>
      <c r="AP55" s="164"/>
      <c r="AQ55" s="156">
        <f t="shared" si="593"/>
        <v>0</v>
      </c>
      <c r="AR55" s="413"/>
      <c r="AS55" s="165"/>
      <c r="AT55" s="165"/>
      <c r="AU55" s="156">
        <f t="shared" si="594"/>
        <v>0</v>
      </c>
      <c r="AV55" s="164">
        <f t="shared" si="595"/>
        <v>0.4604471269</v>
      </c>
      <c r="AW55" s="167">
        <f t="shared" si="596"/>
        <v>0</v>
      </c>
      <c r="AX55" s="168">
        <f t="shared" si="597"/>
        <v>0</v>
      </c>
      <c r="AY55" s="159"/>
      <c r="AZ55" s="161">
        <f t="shared" si="724"/>
        <v>7</v>
      </c>
      <c r="BA55" s="162" t="str">
        <f t="shared" ref="BA55:BC55" si="811">IFERROR(VLOOKUP($R55,$A$13:$D$30,-BA$12,FALSE),"")</f>
        <v>Timah</v>
      </c>
      <c r="BB55" s="163" t="str">
        <f t="shared" si="811"/>
        <v>Bijih </v>
      </c>
      <c r="BC55" s="163" t="str">
        <f t="shared" si="811"/>
        <v>Ton </v>
      </c>
      <c r="BD55" s="156"/>
      <c r="BE55" s="156" t="str">
        <f t="shared" si="599"/>
        <v/>
      </c>
      <c r="BF55" s="156">
        <f t="shared" si="600"/>
        <v>0</v>
      </c>
      <c r="BG55" s="164"/>
      <c r="BH55" s="156">
        <f t="shared" si="601"/>
        <v>0</v>
      </c>
      <c r="BI55" s="413"/>
      <c r="BJ55" s="165"/>
      <c r="BK55" s="165"/>
      <c r="BL55" s="156">
        <f t="shared" si="602"/>
        <v>0</v>
      </c>
      <c r="BM55" s="164">
        <f t="shared" si="603"/>
        <v>0.4604471269</v>
      </c>
      <c r="BN55" s="167">
        <f t="shared" si="604"/>
        <v>0</v>
      </c>
      <c r="BO55" s="168">
        <f t="shared" si="605"/>
        <v>0</v>
      </c>
      <c r="BP55" s="159"/>
      <c r="BQ55" s="161">
        <f t="shared" si="726"/>
        <v>7</v>
      </c>
      <c r="BR55" s="162" t="str">
        <f t="shared" ref="BR55:BT55" si="812">IFERROR(VLOOKUP($R55,$A$13:$D$30,-BR$12,FALSE),"")</f>
        <v>Timah</v>
      </c>
      <c r="BS55" s="163" t="str">
        <f t="shared" si="812"/>
        <v>Bijih </v>
      </c>
      <c r="BT55" s="163" t="str">
        <f t="shared" si="812"/>
        <v>Ton </v>
      </c>
      <c r="BU55" s="156"/>
      <c r="BV55" s="156" t="str">
        <f t="shared" si="607"/>
        <v/>
      </c>
      <c r="BW55" s="156">
        <f t="shared" si="608"/>
        <v>0</v>
      </c>
      <c r="BX55" s="164"/>
      <c r="BY55" s="156">
        <f t="shared" si="609"/>
        <v>0</v>
      </c>
      <c r="BZ55" s="413"/>
      <c r="CA55" s="165"/>
      <c r="CB55" s="165"/>
      <c r="CC55" s="156">
        <f t="shared" si="610"/>
        <v>0</v>
      </c>
      <c r="CD55" s="164">
        <f t="shared" si="611"/>
        <v>0.4604471269</v>
      </c>
      <c r="CE55" s="167">
        <f t="shared" si="612"/>
        <v>0</v>
      </c>
      <c r="CF55" s="168">
        <f t="shared" si="613"/>
        <v>0</v>
      </c>
      <c r="CG55" s="159"/>
      <c r="CH55" s="161">
        <f t="shared" si="728"/>
        <v>7</v>
      </c>
      <c r="CI55" s="162" t="str">
        <f t="shared" ref="CI55:CK55" si="813">IFERROR(VLOOKUP($R55,$A$13:$D$30,-CI$12,FALSE),"")</f>
        <v>Timah</v>
      </c>
      <c r="CJ55" s="163" t="str">
        <f t="shared" si="813"/>
        <v>Bijih </v>
      </c>
      <c r="CK55" s="163" t="str">
        <f t="shared" si="813"/>
        <v>Ton </v>
      </c>
      <c r="CL55" s="156"/>
      <c r="CM55" s="156" t="str">
        <f t="shared" si="615"/>
        <v/>
      </c>
      <c r="CN55" s="156">
        <f t="shared" si="616"/>
        <v>0</v>
      </c>
      <c r="CO55" s="164"/>
      <c r="CP55" s="156">
        <f t="shared" si="617"/>
        <v>0</v>
      </c>
      <c r="CQ55" s="413"/>
      <c r="CR55" s="165"/>
      <c r="CS55" s="165"/>
      <c r="CT55" s="156">
        <f t="shared" si="618"/>
        <v>0</v>
      </c>
      <c r="CU55" s="164">
        <f t="shared" si="619"/>
        <v>0.4604471269</v>
      </c>
      <c r="CV55" s="167">
        <f t="shared" si="620"/>
        <v>0</v>
      </c>
      <c r="CW55" s="168">
        <f t="shared" si="621"/>
        <v>0</v>
      </c>
      <c r="CX55" s="159"/>
      <c r="CY55" s="161">
        <f t="shared" si="730"/>
        <v>7</v>
      </c>
      <c r="CZ55" s="162" t="str">
        <f t="shared" ref="CZ55:DB55" si="814">IFERROR(VLOOKUP($R55,$A$13:$D$30,-CZ$12,FALSE),"")</f>
        <v>Timah</v>
      </c>
      <c r="DA55" s="163" t="str">
        <f t="shared" si="814"/>
        <v>Bijih </v>
      </c>
      <c r="DB55" s="163" t="str">
        <f t="shared" si="814"/>
        <v>Ton </v>
      </c>
      <c r="DC55" s="156"/>
      <c r="DD55" s="156" t="str">
        <f t="shared" si="623"/>
        <v/>
      </c>
      <c r="DE55" s="156">
        <f t="shared" si="624"/>
        <v>0</v>
      </c>
      <c r="DF55" s="164"/>
      <c r="DG55" s="156">
        <f t="shared" si="625"/>
        <v>0</v>
      </c>
      <c r="DH55" s="413"/>
      <c r="DI55" s="165"/>
      <c r="DJ55" s="165"/>
      <c r="DK55" s="156">
        <f t="shared" si="626"/>
        <v>0</v>
      </c>
      <c r="DL55" s="164">
        <f t="shared" si="627"/>
        <v>0.4604471269</v>
      </c>
      <c r="DM55" s="167">
        <f t="shared" si="628"/>
        <v>0</v>
      </c>
      <c r="DN55" s="168">
        <f t="shared" si="629"/>
        <v>0</v>
      </c>
      <c r="DO55" s="159"/>
      <c r="DP55" s="161">
        <f t="shared" si="732"/>
        <v>7</v>
      </c>
      <c r="DQ55" s="162" t="str">
        <f t="shared" ref="DQ55:DS55" si="815">IFERROR(VLOOKUP($R55,$A$13:$D$30,-DQ$12,FALSE),"")</f>
        <v>Timah</v>
      </c>
      <c r="DR55" s="163" t="str">
        <f t="shared" si="815"/>
        <v>Bijih </v>
      </c>
      <c r="DS55" s="163" t="str">
        <f t="shared" si="815"/>
        <v>Ton </v>
      </c>
      <c r="DT55" s="156"/>
      <c r="DU55" s="156" t="str">
        <f t="shared" si="631"/>
        <v/>
      </c>
      <c r="DV55" s="156">
        <f t="shared" si="632"/>
        <v>0</v>
      </c>
      <c r="DW55" s="164"/>
      <c r="DX55" s="156">
        <f t="shared" si="633"/>
        <v>0</v>
      </c>
      <c r="DY55" s="413"/>
      <c r="DZ55" s="165"/>
      <c r="EA55" s="165"/>
      <c r="EB55" s="156">
        <f t="shared" si="634"/>
        <v>0</v>
      </c>
      <c r="EC55" s="164">
        <f t="shared" si="635"/>
        <v>0.4604471269</v>
      </c>
      <c r="ED55" s="167">
        <f t="shared" si="636"/>
        <v>0</v>
      </c>
      <c r="EE55" s="168">
        <f t="shared" si="637"/>
        <v>0</v>
      </c>
      <c r="EF55" s="159"/>
      <c r="EG55" s="161">
        <f t="shared" si="734"/>
        <v>7</v>
      </c>
      <c r="EH55" s="162" t="str">
        <f t="shared" ref="EH55:EJ55" si="816">IFERROR(VLOOKUP($R55,$A$13:$D$30,-EH$12,FALSE),"")</f>
        <v>Timah</v>
      </c>
      <c r="EI55" s="163" t="str">
        <f t="shared" si="816"/>
        <v>Bijih </v>
      </c>
      <c r="EJ55" s="163" t="str">
        <f t="shared" si="816"/>
        <v>Ton </v>
      </c>
      <c r="EK55" s="156"/>
      <c r="EL55" s="156" t="str">
        <f t="shared" si="639"/>
        <v/>
      </c>
      <c r="EM55" s="156">
        <f t="shared" si="640"/>
        <v>0</v>
      </c>
      <c r="EN55" s="164"/>
      <c r="EO55" s="156">
        <f t="shared" si="641"/>
        <v>0</v>
      </c>
      <c r="EP55" s="413"/>
      <c r="EQ55" s="165"/>
      <c r="ER55" s="165"/>
      <c r="ES55" s="156">
        <f t="shared" si="642"/>
        <v>0</v>
      </c>
      <c r="ET55" s="164">
        <f t="shared" si="643"/>
        <v>0.4604471269</v>
      </c>
      <c r="EU55" s="167">
        <f t="shared" si="644"/>
        <v>0</v>
      </c>
      <c r="EV55" s="168">
        <f t="shared" si="645"/>
        <v>0</v>
      </c>
      <c r="EW55" s="159"/>
      <c r="EX55" s="161">
        <f t="shared" si="736"/>
        <v>7</v>
      </c>
      <c r="EY55" s="162" t="str">
        <f t="shared" ref="EY55:FA55" si="817">IFERROR(VLOOKUP($R55,$A$13:$D$30,-EY$12,FALSE),"")</f>
        <v>Timah</v>
      </c>
      <c r="EZ55" s="163" t="str">
        <f t="shared" si="817"/>
        <v>Bijih </v>
      </c>
      <c r="FA55" s="163" t="str">
        <f t="shared" si="817"/>
        <v>Ton </v>
      </c>
      <c r="FB55" s="156"/>
      <c r="FC55" s="156" t="str">
        <f t="shared" si="647"/>
        <v/>
      </c>
      <c r="FD55" s="156">
        <f t="shared" si="648"/>
        <v>0</v>
      </c>
      <c r="FE55" s="164"/>
      <c r="FF55" s="156">
        <f t="shared" si="649"/>
        <v>0</v>
      </c>
      <c r="FG55" s="413"/>
      <c r="FH55" s="165"/>
      <c r="FI55" s="165"/>
      <c r="FJ55" s="156">
        <f t="shared" si="650"/>
        <v>0</v>
      </c>
      <c r="FK55" s="164">
        <f t="shared" si="651"/>
        <v>0.4604471269</v>
      </c>
      <c r="FL55" s="167">
        <f t="shared" si="652"/>
        <v>0</v>
      </c>
      <c r="FM55" s="168">
        <f t="shared" si="653"/>
        <v>0</v>
      </c>
      <c r="FN55" s="159"/>
      <c r="FO55" s="161">
        <f t="shared" si="738"/>
        <v>7</v>
      </c>
      <c r="FP55" s="162" t="str">
        <f t="shared" ref="FP55:FR55" si="818">IFERROR(VLOOKUP($R55,$A$13:$D$30,-FP$12,FALSE),"")</f>
        <v>Timah</v>
      </c>
      <c r="FQ55" s="163" t="str">
        <f t="shared" si="818"/>
        <v>Bijih </v>
      </c>
      <c r="FR55" s="163" t="str">
        <f t="shared" si="818"/>
        <v>Ton </v>
      </c>
      <c r="FS55" s="156"/>
      <c r="FT55" s="156" t="str">
        <f t="shared" si="819"/>
        <v/>
      </c>
      <c r="FU55" s="156">
        <f t="shared" si="656"/>
        <v>0</v>
      </c>
      <c r="FV55" s="164"/>
      <c r="FW55" s="156">
        <f t="shared" si="657"/>
        <v>0</v>
      </c>
      <c r="FX55" s="413"/>
      <c r="FY55" s="165"/>
      <c r="FZ55" s="165"/>
      <c r="GA55" s="156">
        <f t="shared" si="658"/>
        <v>0</v>
      </c>
      <c r="GB55" s="164">
        <f t="shared" si="659"/>
        <v>0.4604471269</v>
      </c>
      <c r="GC55" s="167">
        <f t="shared" si="660"/>
        <v>0</v>
      </c>
      <c r="GD55" s="168">
        <f t="shared" si="661"/>
        <v>0</v>
      </c>
      <c r="GE55" s="159"/>
      <c r="GF55" s="161">
        <f t="shared" si="740"/>
        <v>7</v>
      </c>
      <c r="GG55" s="162" t="str">
        <f t="shared" ref="GG55:GI55" si="820">IFERROR(VLOOKUP($R55,$A$13:$D$30,-GG$12,FALSE),"")</f>
        <v>Timah</v>
      </c>
      <c r="GH55" s="163" t="str">
        <f t="shared" si="820"/>
        <v>Bijih </v>
      </c>
      <c r="GI55" s="163" t="str">
        <f t="shared" si="820"/>
        <v>Ton </v>
      </c>
      <c r="GJ55" s="169"/>
      <c r="GK55" s="156" t="str">
        <f t="shared" si="821"/>
        <v/>
      </c>
      <c r="GL55" s="156">
        <f t="shared" si="664"/>
        <v>0</v>
      </c>
      <c r="GM55" s="164"/>
      <c r="GN55" s="156">
        <f t="shared" si="665"/>
        <v>0</v>
      </c>
      <c r="GO55" s="413"/>
      <c r="GP55" s="165"/>
      <c r="GQ55" s="165"/>
      <c r="GR55" s="156">
        <f t="shared" si="666"/>
        <v>0</v>
      </c>
      <c r="GS55" s="164">
        <f t="shared" si="667"/>
        <v>0.4604471269</v>
      </c>
      <c r="GT55" s="167">
        <f t="shared" si="668"/>
        <v>0</v>
      </c>
      <c r="GU55" s="168">
        <f t="shared" si="669"/>
        <v>0</v>
      </c>
      <c r="GV55" s="159"/>
      <c r="GW55" s="161">
        <f t="shared" si="742"/>
        <v>7</v>
      </c>
      <c r="GX55" s="162" t="str">
        <f t="shared" ref="GX55:GZ55" si="822">IFERROR(VLOOKUP($R55,$A$13:$D$30,-GX$12,FALSE),"")</f>
        <v>Timah</v>
      </c>
      <c r="GY55" s="163" t="str">
        <f t="shared" si="822"/>
        <v>Bijih </v>
      </c>
      <c r="GZ55" s="163" t="str">
        <f t="shared" si="822"/>
        <v>Ton </v>
      </c>
      <c r="HA55" s="156"/>
      <c r="HB55" s="156" t="str">
        <f t="shared" si="671"/>
        <v/>
      </c>
      <c r="HC55" s="156">
        <f t="shared" si="672"/>
        <v>0</v>
      </c>
      <c r="HD55" s="164"/>
      <c r="HE55" s="156">
        <f t="shared" si="673"/>
        <v>0</v>
      </c>
      <c r="HF55" s="413"/>
      <c r="HG55" s="165"/>
      <c r="HH55" s="165"/>
      <c r="HI55" s="156">
        <f t="shared" si="674"/>
        <v>0</v>
      </c>
      <c r="HJ55" s="164">
        <f t="shared" si="675"/>
        <v>0.4604471269</v>
      </c>
      <c r="HK55" s="167">
        <f t="shared" si="676"/>
        <v>0</v>
      </c>
      <c r="HL55" s="168">
        <f t="shared" si="677"/>
        <v>0</v>
      </c>
      <c r="HM55" s="159"/>
      <c r="HN55" s="161">
        <f t="shared" si="744"/>
        <v>7</v>
      </c>
      <c r="HO55" s="162" t="str">
        <f t="shared" ref="HO55:HQ55" si="823">IFERROR(VLOOKUP($R55,$A$13:$D$30,-HO$12,FALSE),"")</f>
        <v>Timah</v>
      </c>
      <c r="HP55" s="163" t="str">
        <f t="shared" si="823"/>
        <v>Bijih </v>
      </c>
      <c r="HQ55" s="163" t="str">
        <f t="shared" si="823"/>
        <v>Ton </v>
      </c>
      <c r="HR55" s="156"/>
      <c r="HS55" s="156" t="str">
        <f t="shared" si="679"/>
        <v/>
      </c>
      <c r="HT55" s="156">
        <f t="shared" si="680"/>
        <v>0</v>
      </c>
      <c r="HU55" s="164"/>
      <c r="HV55" s="156">
        <f t="shared" si="681"/>
        <v>0</v>
      </c>
      <c r="HW55" s="413"/>
      <c r="HX55" s="165"/>
      <c r="HY55" s="165"/>
      <c r="HZ55" s="156">
        <f t="shared" si="682"/>
        <v>0</v>
      </c>
      <c r="IA55" s="164">
        <f t="shared" si="683"/>
        <v>0.4604471269</v>
      </c>
      <c r="IB55" s="167">
        <f t="shared" si="684"/>
        <v>0</v>
      </c>
      <c r="IC55" s="168">
        <f t="shared" si="685"/>
        <v>0</v>
      </c>
      <c r="ID55" s="159"/>
      <c r="IE55" s="161">
        <f t="shared" si="746"/>
        <v>7</v>
      </c>
      <c r="IF55" s="162" t="str">
        <f t="shared" ref="IF55:IH55" si="824">IFERROR(VLOOKUP($R55,$A$13:$D$30,-IF$12,FALSE),"")</f>
        <v>Timah</v>
      </c>
      <c r="IG55" s="163" t="str">
        <f t="shared" si="824"/>
        <v>Bijih </v>
      </c>
      <c r="IH55" s="163" t="str">
        <f t="shared" si="824"/>
        <v>Ton </v>
      </c>
      <c r="II55" s="156"/>
      <c r="IJ55" s="156" t="str">
        <f t="shared" si="687"/>
        <v/>
      </c>
      <c r="IK55" s="156">
        <f t="shared" si="688"/>
        <v>0</v>
      </c>
      <c r="IL55" s="164"/>
      <c r="IM55" s="156">
        <f t="shared" si="689"/>
        <v>0</v>
      </c>
      <c r="IN55" s="413"/>
      <c r="IO55" s="165"/>
      <c r="IP55" s="165"/>
      <c r="IQ55" s="156">
        <f t="shared" si="690"/>
        <v>0</v>
      </c>
      <c r="IR55" s="164">
        <f t="shared" si="691"/>
        <v>0.4604471269</v>
      </c>
      <c r="IS55" s="167">
        <f t="shared" si="692"/>
        <v>0</v>
      </c>
      <c r="IT55" s="168">
        <f t="shared" si="693"/>
        <v>0</v>
      </c>
      <c r="IU55" s="159"/>
      <c r="IV55" s="161">
        <f t="shared" si="748"/>
        <v>7</v>
      </c>
      <c r="IW55" s="162" t="str">
        <f t="shared" ref="IW55:IY55" si="825">IFERROR(VLOOKUP($R55,$A$13:$D$30,-IW$12,FALSE),"")</f>
        <v>Timah</v>
      </c>
      <c r="IX55" s="163" t="str">
        <f t="shared" si="825"/>
        <v>Bijih </v>
      </c>
      <c r="IY55" s="163" t="str">
        <f t="shared" si="825"/>
        <v>Ton </v>
      </c>
      <c r="IZ55" s="156"/>
      <c r="JA55" s="156" t="str">
        <f t="shared" si="695"/>
        <v/>
      </c>
      <c r="JB55" s="156">
        <f t="shared" si="696"/>
        <v>0</v>
      </c>
      <c r="JC55" s="164"/>
      <c r="JD55" s="156">
        <f t="shared" si="697"/>
        <v>0</v>
      </c>
      <c r="JE55" s="413"/>
      <c r="JF55" s="165"/>
      <c r="JG55" s="165"/>
      <c r="JH55" s="156">
        <f t="shared" si="698"/>
        <v>0</v>
      </c>
      <c r="JI55" s="164">
        <f t="shared" si="699"/>
        <v>0.4604471269</v>
      </c>
      <c r="JJ55" s="167">
        <f t="shared" si="700"/>
        <v>0</v>
      </c>
      <c r="JK55" s="168">
        <f t="shared" si="701"/>
        <v>0</v>
      </c>
      <c r="JL55" s="159"/>
      <c r="JM55" s="161">
        <f t="shared" si="750"/>
        <v>7</v>
      </c>
      <c r="JN55" s="162" t="str">
        <f t="shared" ref="JN55:JP55" si="826">IFERROR(VLOOKUP($R55,$A$13:$D$30,-JN$12,FALSE),"")</f>
        <v>Timah</v>
      </c>
      <c r="JO55" s="163" t="str">
        <f t="shared" si="826"/>
        <v>Bijih </v>
      </c>
      <c r="JP55" s="163" t="str">
        <f t="shared" si="826"/>
        <v>Ton </v>
      </c>
      <c r="JQ55" s="156"/>
      <c r="JR55" s="156"/>
      <c r="JS55" s="156">
        <f t="shared" si="704"/>
        <v>0</v>
      </c>
      <c r="JT55" s="164"/>
      <c r="JU55" s="156">
        <f t="shared" si="705"/>
        <v>0</v>
      </c>
      <c r="JV55" s="413"/>
      <c r="JW55" s="165"/>
      <c r="JX55" s="165"/>
      <c r="JY55" s="156">
        <f t="shared" si="706"/>
        <v>0</v>
      </c>
      <c r="JZ55" s="164">
        <f t="shared" si="707"/>
        <v>0.4604471269</v>
      </c>
      <c r="KA55" s="167">
        <f t="shared" si="708"/>
        <v>0</v>
      </c>
      <c r="KB55" s="168">
        <f t="shared" si="709"/>
        <v>0</v>
      </c>
      <c r="KC55" s="159"/>
      <c r="KD55" s="161">
        <f t="shared" si="752"/>
        <v>7</v>
      </c>
      <c r="KE55" s="162" t="str">
        <f t="shared" ref="KE55:KG55" si="827">IFERROR(VLOOKUP($R55,$A$13:$D$30,-KE$12,FALSE),"")</f>
        <v>Timah</v>
      </c>
      <c r="KF55" s="163" t="str">
        <f t="shared" si="827"/>
        <v>Bijih </v>
      </c>
      <c r="KG55" s="163" t="str">
        <f t="shared" si="827"/>
        <v>Ton </v>
      </c>
      <c r="KH55" s="156"/>
      <c r="KI55" s="156"/>
      <c r="KJ55" s="156">
        <f t="shared" si="712"/>
        <v>0</v>
      </c>
      <c r="KK55" s="164"/>
      <c r="KL55" s="156">
        <f t="shared" si="713"/>
        <v>0</v>
      </c>
      <c r="KM55" s="413"/>
      <c r="KN55" s="165"/>
      <c r="KO55" s="165"/>
      <c r="KP55" s="156">
        <f t="shared" si="714"/>
        <v>0</v>
      </c>
      <c r="KQ55" s="164">
        <f t="shared" si="715"/>
        <v>0.4604471269</v>
      </c>
      <c r="KR55" s="167">
        <f t="shared" si="716"/>
        <v>0</v>
      </c>
      <c r="KS55" s="168">
        <f t="shared" si="717"/>
        <v>0</v>
      </c>
      <c r="KT55" s="159"/>
      <c r="KU55" s="160"/>
    </row>
    <row r="56" ht="15.75" customHeight="1">
      <c r="A56" s="161">
        <f t="shared" si="718"/>
        <v>8</v>
      </c>
      <c r="B56" s="162" t="str">
        <f t="shared" ref="B56:D56" si="828">IFERROR(VLOOKUP($A56,$A$13:$D$30,-B$12,FALSE),"")</f>
        <v>Mangan</v>
      </c>
      <c r="C56" s="163" t="str">
        <f t="shared" si="828"/>
        <v>Bijih </v>
      </c>
      <c r="D56" s="163" t="str">
        <f t="shared" si="828"/>
        <v>Ton </v>
      </c>
      <c r="E56" s="156"/>
      <c r="F56" s="156"/>
      <c r="G56" s="156">
        <f t="shared" si="576"/>
        <v>0</v>
      </c>
      <c r="H56" s="164"/>
      <c r="I56" s="156">
        <f t="shared" si="577"/>
        <v>0</v>
      </c>
      <c r="J56" s="413"/>
      <c r="K56" s="165"/>
      <c r="L56" s="165"/>
      <c r="M56" s="156">
        <f t="shared" si="578"/>
        <v>0</v>
      </c>
      <c r="N56" s="164">
        <f t="shared" si="579"/>
        <v>0.4604471269</v>
      </c>
      <c r="O56" s="167">
        <f t="shared" si="580"/>
        <v>0</v>
      </c>
      <c r="P56" s="168">
        <f t="shared" si="581"/>
        <v>0</v>
      </c>
      <c r="Q56" s="159"/>
      <c r="R56" s="161">
        <f t="shared" si="720"/>
        <v>8</v>
      </c>
      <c r="S56" s="162" t="str">
        <f t="shared" ref="S56:U56" si="829">IFERROR(VLOOKUP($R56,$A$13:$D$30,-S$12,FALSE),"")</f>
        <v>Mangan</v>
      </c>
      <c r="T56" s="163" t="str">
        <f t="shared" si="829"/>
        <v>Bijih </v>
      </c>
      <c r="U56" s="163" t="str">
        <f t="shared" si="829"/>
        <v>Ton </v>
      </c>
      <c r="V56" s="156"/>
      <c r="W56" s="156" t="str">
        <f t="shared" si="583"/>
        <v/>
      </c>
      <c r="X56" s="156">
        <f t="shared" si="584"/>
        <v>0</v>
      </c>
      <c r="Y56" s="164"/>
      <c r="Z56" s="156">
        <f t="shared" si="585"/>
        <v>0</v>
      </c>
      <c r="AA56" s="413"/>
      <c r="AB56" s="165"/>
      <c r="AC56" s="165"/>
      <c r="AD56" s="156">
        <f t="shared" si="586"/>
        <v>0</v>
      </c>
      <c r="AE56" s="164">
        <f t="shared" si="587"/>
        <v>0.4604471269</v>
      </c>
      <c r="AF56" s="167">
        <f t="shared" si="588"/>
        <v>0</v>
      </c>
      <c r="AG56" s="168">
        <f t="shared" si="589"/>
        <v>0</v>
      </c>
      <c r="AH56" s="159"/>
      <c r="AI56" s="161">
        <f t="shared" si="722"/>
        <v>8</v>
      </c>
      <c r="AJ56" s="162" t="str">
        <f t="shared" ref="AJ56:AL56" si="830">IFERROR(VLOOKUP($R56,$A$13:$D$30,-AJ$12,FALSE),"")</f>
        <v>Mangan</v>
      </c>
      <c r="AK56" s="163" t="str">
        <f t="shared" si="830"/>
        <v>Bijih </v>
      </c>
      <c r="AL56" s="163" t="str">
        <f t="shared" si="830"/>
        <v>Ton </v>
      </c>
      <c r="AM56" s="156"/>
      <c r="AN56" s="156" t="str">
        <f t="shared" si="591"/>
        <v/>
      </c>
      <c r="AO56" s="156">
        <f t="shared" si="592"/>
        <v>0</v>
      </c>
      <c r="AP56" s="164"/>
      <c r="AQ56" s="156">
        <f t="shared" si="593"/>
        <v>0</v>
      </c>
      <c r="AR56" s="413"/>
      <c r="AS56" s="165"/>
      <c r="AT56" s="165"/>
      <c r="AU56" s="156">
        <f t="shared" si="594"/>
        <v>0</v>
      </c>
      <c r="AV56" s="164">
        <f t="shared" si="595"/>
        <v>0.4604471269</v>
      </c>
      <c r="AW56" s="167">
        <f t="shared" si="596"/>
        <v>0</v>
      </c>
      <c r="AX56" s="168">
        <f t="shared" si="597"/>
        <v>0</v>
      </c>
      <c r="AY56" s="159"/>
      <c r="AZ56" s="161">
        <f t="shared" si="724"/>
        <v>8</v>
      </c>
      <c r="BA56" s="162" t="str">
        <f t="shared" ref="BA56:BC56" si="831">IFERROR(VLOOKUP($R56,$A$13:$D$30,-BA$12,FALSE),"")</f>
        <v>Mangan</v>
      </c>
      <c r="BB56" s="163" t="str">
        <f t="shared" si="831"/>
        <v>Bijih </v>
      </c>
      <c r="BC56" s="163" t="str">
        <f t="shared" si="831"/>
        <v>Ton </v>
      </c>
      <c r="BD56" s="156"/>
      <c r="BE56" s="156" t="str">
        <f t="shared" si="599"/>
        <v/>
      </c>
      <c r="BF56" s="156">
        <f t="shared" si="600"/>
        <v>0</v>
      </c>
      <c r="BG56" s="164"/>
      <c r="BH56" s="156">
        <f t="shared" si="601"/>
        <v>0</v>
      </c>
      <c r="BI56" s="413"/>
      <c r="BJ56" s="165"/>
      <c r="BK56" s="165"/>
      <c r="BL56" s="156">
        <f t="shared" si="602"/>
        <v>0</v>
      </c>
      <c r="BM56" s="164">
        <f t="shared" si="603"/>
        <v>0.4604471269</v>
      </c>
      <c r="BN56" s="167">
        <f t="shared" si="604"/>
        <v>0</v>
      </c>
      <c r="BO56" s="168">
        <f t="shared" si="605"/>
        <v>0</v>
      </c>
      <c r="BP56" s="159"/>
      <c r="BQ56" s="161">
        <f t="shared" si="726"/>
        <v>8</v>
      </c>
      <c r="BR56" s="162" t="str">
        <f t="shared" ref="BR56:BT56" si="832">IFERROR(VLOOKUP($R56,$A$13:$D$30,-BR$12,FALSE),"")</f>
        <v>Mangan</v>
      </c>
      <c r="BS56" s="163" t="str">
        <f t="shared" si="832"/>
        <v>Bijih </v>
      </c>
      <c r="BT56" s="163" t="str">
        <f t="shared" si="832"/>
        <v>Ton </v>
      </c>
      <c r="BU56" s="156"/>
      <c r="BV56" s="156" t="str">
        <f t="shared" si="607"/>
        <v/>
      </c>
      <c r="BW56" s="156">
        <f t="shared" si="608"/>
        <v>0</v>
      </c>
      <c r="BX56" s="164"/>
      <c r="BY56" s="156">
        <f t="shared" si="609"/>
        <v>0</v>
      </c>
      <c r="BZ56" s="413"/>
      <c r="CA56" s="165"/>
      <c r="CB56" s="165"/>
      <c r="CC56" s="156">
        <f t="shared" si="610"/>
        <v>0</v>
      </c>
      <c r="CD56" s="164">
        <f t="shared" si="611"/>
        <v>0.4604471269</v>
      </c>
      <c r="CE56" s="167">
        <f t="shared" si="612"/>
        <v>0</v>
      </c>
      <c r="CF56" s="168">
        <f t="shared" si="613"/>
        <v>0</v>
      </c>
      <c r="CG56" s="159"/>
      <c r="CH56" s="161">
        <f t="shared" si="728"/>
        <v>8</v>
      </c>
      <c r="CI56" s="162" t="str">
        <f t="shared" ref="CI56:CK56" si="833">IFERROR(VLOOKUP($R56,$A$13:$D$30,-CI$12,FALSE),"")</f>
        <v>Mangan</v>
      </c>
      <c r="CJ56" s="163" t="str">
        <f t="shared" si="833"/>
        <v>Bijih </v>
      </c>
      <c r="CK56" s="163" t="str">
        <f t="shared" si="833"/>
        <v>Ton </v>
      </c>
      <c r="CL56" s="156"/>
      <c r="CM56" s="156" t="str">
        <f t="shared" si="615"/>
        <v/>
      </c>
      <c r="CN56" s="156">
        <f t="shared" si="616"/>
        <v>0</v>
      </c>
      <c r="CO56" s="164"/>
      <c r="CP56" s="156">
        <f t="shared" si="617"/>
        <v>0</v>
      </c>
      <c r="CQ56" s="413"/>
      <c r="CR56" s="165"/>
      <c r="CS56" s="165"/>
      <c r="CT56" s="156">
        <f t="shared" si="618"/>
        <v>0</v>
      </c>
      <c r="CU56" s="164">
        <f t="shared" si="619"/>
        <v>0.4604471269</v>
      </c>
      <c r="CV56" s="167">
        <f t="shared" si="620"/>
        <v>0</v>
      </c>
      <c r="CW56" s="168">
        <f t="shared" si="621"/>
        <v>0</v>
      </c>
      <c r="CX56" s="159"/>
      <c r="CY56" s="161">
        <f t="shared" si="730"/>
        <v>8</v>
      </c>
      <c r="CZ56" s="162" t="str">
        <f t="shared" ref="CZ56:DB56" si="834">IFERROR(VLOOKUP($R56,$A$13:$D$30,-CZ$12,FALSE),"")</f>
        <v>Mangan</v>
      </c>
      <c r="DA56" s="163" t="str">
        <f t="shared" si="834"/>
        <v>Bijih </v>
      </c>
      <c r="DB56" s="163" t="str">
        <f t="shared" si="834"/>
        <v>Ton </v>
      </c>
      <c r="DC56" s="156"/>
      <c r="DD56" s="156" t="str">
        <f t="shared" si="623"/>
        <v/>
      </c>
      <c r="DE56" s="156">
        <f t="shared" si="624"/>
        <v>0</v>
      </c>
      <c r="DF56" s="164"/>
      <c r="DG56" s="156">
        <f t="shared" si="625"/>
        <v>0</v>
      </c>
      <c r="DH56" s="413"/>
      <c r="DI56" s="165"/>
      <c r="DJ56" s="165"/>
      <c r="DK56" s="156">
        <f t="shared" si="626"/>
        <v>0</v>
      </c>
      <c r="DL56" s="164">
        <f t="shared" si="627"/>
        <v>0.4604471269</v>
      </c>
      <c r="DM56" s="167">
        <f t="shared" si="628"/>
        <v>0</v>
      </c>
      <c r="DN56" s="168">
        <f t="shared" si="629"/>
        <v>0</v>
      </c>
      <c r="DO56" s="159"/>
      <c r="DP56" s="161">
        <f t="shared" si="732"/>
        <v>8</v>
      </c>
      <c r="DQ56" s="162" t="str">
        <f t="shared" ref="DQ56:DS56" si="835">IFERROR(VLOOKUP($R56,$A$13:$D$30,-DQ$12,FALSE),"")</f>
        <v>Mangan</v>
      </c>
      <c r="DR56" s="163" t="str">
        <f t="shared" si="835"/>
        <v>Bijih </v>
      </c>
      <c r="DS56" s="163" t="str">
        <f t="shared" si="835"/>
        <v>Ton </v>
      </c>
      <c r="DT56" s="156"/>
      <c r="DU56" s="156" t="str">
        <f t="shared" si="631"/>
        <v/>
      </c>
      <c r="DV56" s="156">
        <f t="shared" si="632"/>
        <v>0</v>
      </c>
      <c r="DW56" s="164"/>
      <c r="DX56" s="156">
        <f t="shared" si="633"/>
        <v>0</v>
      </c>
      <c r="DY56" s="413"/>
      <c r="DZ56" s="165"/>
      <c r="EA56" s="165"/>
      <c r="EB56" s="156">
        <f t="shared" si="634"/>
        <v>0</v>
      </c>
      <c r="EC56" s="164">
        <f t="shared" si="635"/>
        <v>0.4604471269</v>
      </c>
      <c r="ED56" s="167">
        <f t="shared" si="636"/>
        <v>0</v>
      </c>
      <c r="EE56" s="168">
        <f t="shared" si="637"/>
        <v>0</v>
      </c>
      <c r="EF56" s="159"/>
      <c r="EG56" s="161">
        <f t="shared" si="734"/>
        <v>8</v>
      </c>
      <c r="EH56" s="162" t="str">
        <f t="shared" ref="EH56:EJ56" si="836">IFERROR(VLOOKUP($R56,$A$13:$D$30,-EH$12,FALSE),"")</f>
        <v>Mangan</v>
      </c>
      <c r="EI56" s="163" t="str">
        <f t="shared" si="836"/>
        <v>Bijih </v>
      </c>
      <c r="EJ56" s="163" t="str">
        <f t="shared" si="836"/>
        <v>Ton </v>
      </c>
      <c r="EK56" s="156"/>
      <c r="EL56" s="156" t="str">
        <f t="shared" si="639"/>
        <v/>
      </c>
      <c r="EM56" s="156">
        <f t="shared" si="640"/>
        <v>0</v>
      </c>
      <c r="EN56" s="164"/>
      <c r="EO56" s="156">
        <f t="shared" si="641"/>
        <v>0</v>
      </c>
      <c r="EP56" s="413"/>
      <c r="EQ56" s="165"/>
      <c r="ER56" s="165"/>
      <c r="ES56" s="156">
        <f t="shared" si="642"/>
        <v>0</v>
      </c>
      <c r="ET56" s="164">
        <f t="shared" si="643"/>
        <v>0.4604471269</v>
      </c>
      <c r="EU56" s="167">
        <f t="shared" si="644"/>
        <v>0</v>
      </c>
      <c r="EV56" s="168">
        <f t="shared" si="645"/>
        <v>0</v>
      </c>
      <c r="EW56" s="159"/>
      <c r="EX56" s="161">
        <f t="shared" si="736"/>
        <v>8</v>
      </c>
      <c r="EY56" s="162" t="str">
        <f t="shared" ref="EY56:FA56" si="837">IFERROR(VLOOKUP($R56,$A$13:$D$30,-EY$12,FALSE),"")</f>
        <v>Mangan</v>
      </c>
      <c r="EZ56" s="163" t="str">
        <f t="shared" si="837"/>
        <v>Bijih </v>
      </c>
      <c r="FA56" s="163" t="str">
        <f t="shared" si="837"/>
        <v>Ton </v>
      </c>
      <c r="FB56" s="156"/>
      <c r="FC56" s="156" t="str">
        <f t="shared" si="647"/>
        <v/>
      </c>
      <c r="FD56" s="156">
        <f t="shared" si="648"/>
        <v>0</v>
      </c>
      <c r="FE56" s="164"/>
      <c r="FF56" s="156">
        <f t="shared" si="649"/>
        <v>0</v>
      </c>
      <c r="FG56" s="413"/>
      <c r="FH56" s="165"/>
      <c r="FI56" s="165"/>
      <c r="FJ56" s="156">
        <f t="shared" si="650"/>
        <v>0</v>
      </c>
      <c r="FK56" s="164">
        <f t="shared" si="651"/>
        <v>0.4604471269</v>
      </c>
      <c r="FL56" s="167">
        <f t="shared" si="652"/>
        <v>0</v>
      </c>
      <c r="FM56" s="168">
        <f t="shared" si="653"/>
        <v>0</v>
      </c>
      <c r="FN56" s="159"/>
      <c r="FO56" s="161">
        <f t="shared" si="738"/>
        <v>8</v>
      </c>
      <c r="FP56" s="162" t="str">
        <f t="shared" ref="FP56:FR56" si="838">IFERROR(VLOOKUP($R56,$A$13:$D$30,-FP$12,FALSE),"")</f>
        <v>Mangan</v>
      </c>
      <c r="FQ56" s="163" t="str">
        <f t="shared" si="838"/>
        <v>Bijih </v>
      </c>
      <c r="FR56" s="163" t="str">
        <f t="shared" si="838"/>
        <v>Ton </v>
      </c>
      <c r="FS56" s="156"/>
      <c r="FT56" s="156" t="str">
        <f t="shared" si="819"/>
        <v/>
      </c>
      <c r="FU56" s="156">
        <f t="shared" si="656"/>
        <v>0</v>
      </c>
      <c r="FV56" s="164"/>
      <c r="FW56" s="156">
        <f t="shared" si="657"/>
        <v>0</v>
      </c>
      <c r="FX56" s="413"/>
      <c r="FY56" s="165"/>
      <c r="FZ56" s="165"/>
      <c r="GA56" s="156">
        <f t="shared" si="658"/>
        <v>0</v>
      </c>
      <c r="GB56" s="164">
        <f t="shared" si="659"/>
        <v>0.4604471269</v>
      </c>
      <c r="GC56" s="167">
        <f t="shared" si="660"/>
        <v>0</v>
      </c>
      <c r="GD56" s="168">
        <f t="shared" si="661"/>
        <v>0</v>
      </c>
      <c r="GE56" s="159"/>
      <c r="GF56" s="161">
        <f t="shared" si="740"/>
        <v>8</v>
      </c>
      <c r="GG56" s="162" t="str">
        <f t="shared" ref="GG56:GI56" si="839">IFERROR(VLOOKUP($R56,$A$13:$D$30,-GG$12,FALSE),"")</f>
        <v>Mangan</v>
      </c>
      <c r="GH56" s="163" t="str">
        <f t="shared" si="839"/>
        <v>Bijih </v>
      </c>
      <c r="GI56" s="163" t="str">
        <f t="shared" si="839"/>
        <v>Ton </v>
      </c>
      <c r="GJ56" s="169"/>
      <c r="GK56" s="156" t="str">
        <f t="shared" si="821"/>
        <v/>
      </c>
      <c r="GL56" s="156">
        <f t="shared" si="664"/>
        <v>0</v>
      </c>
      <c r="GM56" s="164"/>
      <c r="GN56" s="156">
        <f t="shared" si="665"/>
        <v>0</v>
      </c>
      <c r="GO56" s="413"/>
      <c r="GP56" s="165"/>
      <c r="GQ56" s="165"/>
      <c r="GR56" s="156">
        <f t="shared" si="666"/>
        <v>0</v>
      </c>
      <c r="GS56" s="164">
        <f t="shared" si="667"/>
        <v>0.4604471269</v>
      </c>
      <c r="GT56" s="167">
        <f t="shared" si="668"/>
        <v>0</v>
      </c>
      <c r="GU56" s="168">
        <f t="shared" si="669"/>
        <v>0</v>
      </c>
      <c r="GV56" s="159"/>
      <c r="GW56" s="161">
        <f t="shared" si="742"/>
        <v>8</v>
      </c>
      <c r="GX56" s="162" t="str">
        <f t="shared" ref="GX56:GZ56" si="840">IFERROR(VLOOKUP($R56,$A$13:$D$30,-GX$12,FALSE),"")</f>
        <v>Mangan</v>
      </c>
      <c r="GY56" s="163" t="str">
        <f t="shared" si="840"/>
        <v>Bijih </v>
      </c>
      <c r="GZ56" s="163" t="str">
        <f t="shared" si="840"/>
        <v>Ton </v>
      </c>
      <c r="HA56" s="156"/>
      <c r="HB56" s="156" t="str">
        <f t="shared" si="671"/>
        <v/>
      </c>
      <c r="HC56" s="156">
        <f t="shared" si="672"/>
        <v>0</v>
      </c>
      <c r="HD56" s="164"/>
      <c r="HE56" s="156">
        <f t="shared" si="673"/>
        <v>0</v>
      </c>
      <c r="HF56" s="413"/>
      <c r="HG56" s="165"/>
      <c r="HH56" s="165"/>
      <c r="HI56" s="156">
        <f t="shared" si="674"/>
        <v>0</v>
      </c>
      <c r="HJ56" s="164">
        <f t="shared" si="675"/>
        <v>0.4604471269</v>
      </c>
      <c r="HK56" s="167">
        <f t="shared" si="676"/>
        <v>0</v>
      </c>
      <c r="HL56" s="168">
        <f t="shared" si="677"/>
        <v>0</v>
      </c>
      <c r="HM56" s="159"/>
      <c r="HN56" s="161">
        <f t="shared" si="744"/>
        <v>8</v>
      </c>
      <c r="HO56" s="162" t="str">
        <f t="shared" ref="HO56:HQ56" si="841">IFERROR(VLOOKUP($R56,$A$13:$D$30,-HO$12,FALSE),"")</f>
        <v>Mangan</v>
      </c>
      <c r="HP56" s="163" t="str">
        <f t="shared" si="841"/>
        <v>Bijih </v>
      </c>
      <c r="HQ56" s="163" t="str">
        <f t="shared" si="841"/>
        <v>Ton </v>
      </c>
      <c r="HR56" s="156"/>
      <c r="HS56" s="156" t="str">
        <f t="shared" si="679"/>
        <v/>
      </c>
      <c r="HT56" s="156">
        <f t="shared" si="680"/>
        <v>0</v>
      </c>
      <c r="HU56" s="164"/>
      <c r="HV56" s="156">
        <f t="shared" si="681"/>
        <v>0</v>
      </c>
      <c r="HW56" s="413"/>
      <c r="HX56" s="165"/>
      <c r="HY56" s="165"/>
      <c r="HZ56" s="156">
        <f t="shared" si="682"/>
        <v>0</v>
      </c>
      <c r="IA56" s="164">
        <f t="shared" si="683"/>
        <v>0.4604471269</v>
      </c>
      <c r="IB56" s="167">
        <f t="shared" si="684"/>
        <v>0</v>
      </c>
      <c r="IC56" s="168">
        <f t="shared" si="685"/>
        <v>0</v>
      </c>
      <c r="ID56" s="159"/>
      <c r="IE56" s="161">
        <f t="shared" si="746"/>
        <v>8</v>
      </c>
      <c r="IF56" s="162" t="str">
        <f t="shared" ref="IF56:IH56" si="842">IFERROR(VLOOKUP($R56,$A$13:$D$30,-IF$12,FALSE),"")</f>
        <v>Mangan</v>
      </c>
      <c r="IG56" s="163" t="str">
        <f t="shared" si="842"/>
        <v>Bijih </v>
      </c>
      <c r="IH56" s="163" t="str">
        <f t="shared" si="842"/>
        <v>Ton </v>
      </c>
      <c r="II56" s="156"/>
      <c r="IJ56" s="156" t="str">
        <f t="shared" si="687"/>
        <v/>
      </c>
      <c r="IK56" s="156">
        <f t="shared" si="688"/>
        <v>0</v>
      </c>
      <c r="IL56" s="164"/>
      <c r="IM56" s="156">
        <f t="shared" si="689"/>
        <v>0</v>
      </c>
      <c r="IN56" s="413"/>
      <c r="IO56" s="165"/>
      <c r="IP56" s="165"/>
      <c r="IQ56" s="156">
        <f t="shared" si="690"/>
        <v>0</v>
      </c>
      <c r="IR56" s="164">
        <f t="shared" si="691"/>
        <v>0.4604471269</v>
      </c>
      <c r="IS56" s="167">
        <f t="shared" si="692"/>
        <v>0</v>
      </c>
      <c r="IT56" s="168">
        <f t="shared" si="693"/>
        <v>0</v>
      </c>
      <c r="IU56" s="159"/>
      <c r="IV56" s="161">
        <f t="shared" si="748"/>
        <v>8</v>
      </c>
      <c r="IW56" s="162" t="str">
        <f t="shared" ref="IW56:IY56" si="843">IFERROR(VLOOKUP($R56,$A$13:$D$30,-IW$12,FALSE),"")</f>
        <v>Mangan</v>
      </c>
      <c r="IX56" s="163" t="str">
        <f t="shared" si="843"/>
        <v>Bijih </v>
      </c>
      <c r="IY56" s="163" t="str">
        <f t="shared" si="843"/>
        <v>Ton </v>
      </c>
      <c r="IZ56" s="156"/>
      <c r="JA56" s="156" t="str">
        <f t="shared" si="695"/>
        <v/>
      </c>
      <c r="JB56" s="156">
        <f t="shared" si="696"/>
        <v>0</v>
      </c>
      <c r="JC56" s="164"/>
      <c r="JD56" s="156">
        <f t="shared" si="697"/>
        <v>0</v>
      </c>
      <c r="JE56" s="413"/>
      <c r="JF56" s="165"/>
      <c r="JG56" s="165"/>
      <c r="JH56" s="156">
        <f t="shared" si="698"/>
        <v>0</v>
      </c>
      <c r="JI56" s="164">
        <f t="shared" si="699"/>
        <v>0.4604471269</v>
      </c>
      <c r="JJ56" s="167">
        <f t="shared" si="700"/>
        <v>0</v>
      </c>
      <c r="JK56" s="168">
        <f t="shared" si="701"/>
        <v>0</v>
      </c>
      <c r="JL56" s="159"/>
      <c r="JM56" s="161">
        <f t="shared" si="750"/>
        <v>8</v>
      </c>
      <c r="JN56" s="162" t="str">
        <f t="shared" ref="JN56:JP56" si="844">IFERROR(VLOOKUP($R56,$A$13:$D$30,-JN$12,FALSE),"")</f>
        <v>Mangan</v>
      </c>
      <c r="JO56" s="163" t="str">
        <f t="shared" si="844"/>
        <v>Bijih </v>
      </c>
      <c r="JP56" s="163" t="str">
        <f t="shared" si="844"/>
        <v>Ton </v>
      </c>
      <c r="JQ56" s="156"/>
      <c r="JR56" s="156"/>
      <c r="JS56" s="156">
        <f t="shared" si="704"/>
        <v>0</v>
      </c>
      <c r="JT56" s="164"/>
      <c r="JU56" s="156">
        <f t="shared" si="705"/>
        <v>0</v>
      </c>
      <c r="JV56" s="413"/>
      <c r="JW56" s="165"/>
      <c r="JX56" s="165"/>
      <c r="JY56" s="156">
        <f t="shared" si="706"/>
        <v>0</v>
      </c>
      <c r="JZ56" s="164">
        <f t="shared" si="707"/>
        <v>0.4604471269</v>
      </c>
      <c r="KA56" s="167">
        <f t="shared" si="708"/>
        <v>0</v>
      </c>
      <c r="KB56" s="168">
        <f t="shared" si="709"/>
        <v>0</v>
      </c>
      <c r="KC56" s="159"/>
      <c r="KD56" s="161">
        <f t="shared" si="752"/>
        <v>8</v>
      </c>
      <c r="KE56" s="162" t="str">
        <f t="shared" ref="KE56:KG56" si="845">IFERROR(VLOOKUP($R56,$A$13:$D$30,-KE$12,FALSE),"")</f>
        <v>Mangan</v>
      </c>
      <c r="KF56" s="163" t="str">
        <f t="shared" si="845"/>
        <v>Bijih </v>
      </c>
      <c r="KG56" s="163" t="str">
        <f t="shared" si="845"/>
        <v>Ton </v>
      </c>
      <c r="KH56" s="156"/>
      <c r="KI56" s="156"/>
      <c r="KJ56" s="156">
        <f t="shared" si="712"/>
        <v>0</v>
      </c>
      <c r="KK56" s="164"/>
      <c r="KL56" s="156">
        <f t="shared" si="713"/>
        <v>0</v>
      </c>
      <c r="KM56" s="413"/>
      <c r="KN56" s="165"/>
      <c r="KO56" s="165"/>
      <c r="KP56" s="156">
        <f t="shared" si="714"/>
        <v>0</v>
      </c>
      <c r="KQ56" s="164">
        <f t="shared" si="715"/>
        <v>0.4604471269</v>
      </c>
      <c r="KR56" s="167">
        <f t="shared" si="716"/>
        <v>0</v>
      </c>
      <c r="KS56" s="168">
        <f t="shared" si="717"/>
        <v>0</v>
      </c>
      <c r="KT56" s="159"/>
      <c r="KU56" s="160"/>
    </row>
    <row r="57" ht="15.75" customHeight="1">
      <c r="A57" s="161">
        <f t="shared" si="718"/>
        <v>9</v>
      </c>
      <c r="B57" s="162" t="str">
        <f t="shared" ref="B57:D57" si="846">IFERROR(VLOOKUP($A57,$A$13:$D$30,-B$12,FALSE),"")</f>
        <v>Lainnya 2.3 (1) ……..</v>
      </c>
      <c r="C57" s="163" t="str">
        <f t="shared" si="846"/>
        <v>Bijih </v>
      </c>
      <c r="D57" s="163" t="str">
        <f t="shared" si="846"/>
        <v>Ton </v>
      </c>
      <c r="E57" s="156"/>
      <c r="F57" s="156"/>
      <c r="G57" s="156">
        <f t="shared" si="576"/>
        <v>0</v>
      </c>
      <c r="H57" s="164"/>
      <c r="I57" s="156">
        <f t="shared" si="577"/>
        <v>0</v>
      </c>
      <c r="J57" s="413"/>
      <c r="K57" s="165"/>
      <c r="L57" s="165"/>
      <c r="M57" s="156">
        <f t="shared" si="578"/>
        <v>0</v>
      </c>
      <c r="N57" s="164">
        <f t="shared" si="579"/>
        <v>0.4604471269</v>
      </c>
      <c r="O57" s="167">
        <f t="shared" si="580"/>
        <v>0</v>
      </c>
      <c r="P57" s="168">
        <f t="shared" si="581"/>
        <v>0</v>
      </c>
      <c r="Q57" s="159"/>
      <c r="R57" s="161">
        <f t="shared" si="720"/>
        <v>9</v>
      </c>
      <c r="S57" s="162" t="str">
        <f t="shared" ref="S57:U57" si="847">IFERROR(VLOOKUP($R57,$A$13:$D$30,-S$12,FALSE),"")</f>
        <v>Lainnya 2.3 (1) ……..</v>
      </c>
      <c r="T57" s="163" t="str">
        <f t="shared" si="847"/>
        <v>Bijih </v>
      </c>
      <c r="U57" s="163" t="str">
        <f t="shared" si="847"/>
        <v>Ton </v>
      </c>
      <c r="V57" s="156"/>
      <c r="W57" s="156" t="str">
        <f t="shared" si="583"/>
        <v/>
      </c>
      <c r="X57" s="156">
        <f t="shared" si="584"/>
        <v>0</v>
      </c>
      <c r="Y57" s="164"/>
      <c r="Z57" s="156">
        <f t="shared" si="585"/>
        <v>0</v>
      </c>
      <c r="AA57" s="413"/>
      <c r="AB57" s="165"/>
      <c r="AC57" s="165"/>
      <c r="AD57" s="156">
        <f t="shared" si="586"/>
        <v>0</v>
      </c>
      <c r="AE57" s="164">
        <f t="shared" si="587"/>
        <v>0.4604471269</v>
      </c>
      <c r="AF57" s="167">
        <f t="shared" si="588"/>
        <v>0</v>
      </c>
      <c r="AG57" s="168">
        <f t="shared" si="589"/>
        <v>0</v>
      </c>
      <c r="AH57" s="159"/>
      <c r="AI57" s="161">
        <f t="shared" si="722"/>
        <v>9</v>
      </c>
      <c r="AJ57" s="162" t="str">
        <f t="shared" ref="AJ57:AL57" si="848">IFERROR(VLOOKUP($R57,$A$13:$D$30,-AJ$12,FALSE),"")</f>
        <v>Lainnya 2.3 (1) ……..</v>
      </c>
      <c r="AK57" s="163" t="str">
        <f t="shared" si="848"/>
        <v>Bijih </v>
      </c>
      <c r="AL57" s="163" t="str">
        <f t="shared" si="848"/>
        <v>Ton </v>
      </c>
      <c r="AM57" s="156"/>
      <c r="AN57" s="156" t="str">
        <f t="shared" si="591"/>
        <v/>
      </c>
      <c r="AO57" s="156">
        <f t="shared" si="592"/>
        <v>0</v>
      </c>
      <c r="AP57" s="164"/>
      <c r="AQ57" s="156">
        <f t="shared" si="593"/>
        <v>0</v>
      </c>
      <c r="AR57" s="413"/>
      <c r="AS57" s="165"/>
      <c r="AT57" s="165"/>
      <c r="AU57" s="156">
        <f t="shared" si="594"/>
        <v>0</v>
      </c>
      <c r="AV57" s="164">
        <f t="shared" si="595"/>
        <v>0.4604471269</v>
      </c>
      <c r="AW57" s="167">
        <f t="shared" si="596"/>
        <v>0</v>
      </c>
      <c r="AX57" s="168">
        <f t="shared" si="597"/>
        <v>0</v>
      </c>
      <c r="AY57" s="159"/>
      <c r="AZ57" s="161">
        <f t="shared" si="724"/>
        <v>9</v>
      </c>
      <c r="BA57" s="162" t="str">
        <f t="shared" ref="BA57:BC57" si="849">IFERROR(VLOOKUP($R57,$A$13:$D$30,-BA$12,FALSE),"")</f>
        <v>Lainnya 2.3 (1) ……..</v>
      </c>
      <c r="BB57" s="163" t="str">
        <f t="shared" si="849"/>
        <v>Bijih </v>
      </c>
      <c r="BC57" s="163" t="str">
        <f t="shared" si="849"/>
        <v>Ton </v>
      </c>
      <c r="BD57" s="156"/>
      <c r="BE57" s="156" t="str">
        <f t="shared" si="599"/>
        <v/>
      </c>
      <c r="BF57" s="156">
        <f t="shared" si="600"/>
        <v>0</v>
      </c>
      <c r="BG57" s="164"/>
      <c r="BH57" s="156">
        <f t="shared" si="601"/>
        <v>0</v>
      </c>
      <c r="BI57" s="413"/>
      <c r="BJ57" s="165"/>
      <c r="BK57" s="165"/>
      <c r="BL57" s="156">
        <f t="shared" si="602"/>
        <v>0</v>
      </c>
      <c r="BM57" s="164">
        <f t="shared" si="603"/>
        <v>0.4604471269</v>
      </c>
      <c r="BN57" s="167">
        <f t="shared" si="604"/>
        <v>0</v>
      </c>
      <c r="BO57" s="168">
        <f t="shared" si="605"/>
        <v>0</v>
      </c>
      <c r="BP57" s="159"/>
      <c r="BQ57" s="161">
        <f t="shared" si="726"/>
        <v>9</v>
      </c>
      <c r="BR57" s="162" t="str">
        <f t="shared" ref="BR57:BT57" si="850">IFERROR(VLOOKUP($R57,$A$13:$D$30,-BR$12,FALSE),"")</f>
        <v>Lainnya 2.3 (1) ……..</v>
      </c>
      <c r="BS57" s="163" t="str">
        <f t="shared" si="850"/>
        <v>Bijih </v>
      </c>
      <c r="BT57" s="163" t="str">
        <f t="shared" si="850"/>
        <v>Ton </v>
      </c>
      <c r="BU57" s="156"/>
      <c r="BV57" s="156" t="str">
        <f t="shared" si="607"/>
        <v/>
      </c>
      <c r="BW57" s="156">
        <f t="shared" si="608"/>
        <v>0</v>
      </c>
      <c r="BX57" s="164"/>
      <c r="BY57" s="156">
        <f t="shared" si="609"/>
        <v>0</v>
      </c>
      <c r="BZ57" s="413"/>
      <c r="CA57" s="165"/>
      <c r="CB57" s="165"/>
      <c r="CC57" s="156">
        <f t="shared" si="610"/>
        <v>0</v>
      </c>
      <c r="CD57" s="164">
        <f t="shared" si="611"/>
        <v>0.4604471269</v>
      </c>
      <c r="CE57" s="167">
        <f t="shared" si="612"/>
        <v>0</v>
      </c>
      <c r="CF57" s="168">
        <f t="shared" si="613"/>
        <v>0</v>
      </c>
      <c r="CG57" s="159"/>
      <c r="CH57" s="161">
        <f t="shared" si="728"/>
        <v>9</v>
      </c>
      <c r="CI57" s="162" t="str">
        <f t="shared" ref="CI57:CK57" si="851">IFERROR(VLOOKUP($R57,$A$13:$D$30,-CI$12,FALSE),"")</f>
        <v>Lainnya 2.3 (1) ……..</v>
      </c>
      <c r="CJ57" s="163" t="str">
        <f t="shared" si="851"/>
        <v>Bijih </v>
      </c>
      <c r="CK57" s="163" t="str">
        <f t="shared" si="851"/>
        <v>Ton </v>
      </c>
      <c r="CL57" s="156"/>
      <c r="CM57" s="156" t="str">
        <f t="shared" si="615"/>
        <v/>
      </c>
      <c r="CN57" s="156">
        <f t="shared" si="616"/>
        <v>0</v>
      </c>
      <c r="CO57" s="164"/>
      <c r="CP57" s="156">
        <f t="shared" si="617"/>
        <v>0</v>
      </c>
      <c r="CQ57" s="413"/>
      <c r="CR57" s="165"/>
      <c r="CS57" s="165"/>
      <c r="CT57" s="156">
        <f t="shared" si="618"/>
        <v>0</v>
      </c>
      <c r="CU57" s="164">
        <f t="shared" si="619"/>
        <v>0.4604471269</v>
      </c>
      <c r="CV57" s="167">
        <f t="shared" si="620"/>
        <v>0</v>
      </c>
      <c r="CW57" s="168">
        <f t="shared" si="621"/>
        <v>0</v>
      </c>
      <c r="CX57" s="159"/>
      <c r="CY57" s="161">
        <f t="shared" si="730"/>
        <v>9</v>
      </c>
      <c r="CZ57" s="162" t="str">
        <f t="shared" ref="CZ57:DB57" si="852">IFERROR(VLOOKUP($R57,$A$13:$D$30,-CZ$12,FALSE),"")</f>
        <v>Lainnya 2.3 (1) ……..</v>
      </c>
      <c r="DA57" s="163" t="str">
        <f t="shared" si="852"/>
        <v>Bijih </v>
      </c>
      <c r="DB57" s="163" t="str">
        <f t="shared" si="852"/>
        <v>Ton </v>
      </c>
      <c r="DC57" s="156"/>
      <c r="DD57" s="156" t="str">
        <f t="shared" si="623"/>
        <v/>
      </c>
      <c r="DE57" s="156">
        <f t="shared" si="624"/>
        <v>0</v>
      </c>
      <c r="DF57" s="164"/>
      <c r="DG57" s="156">
        <f t="shared" si="625"/>
        <v>0</v>
      </c>
      <c r="DH57" s="413"/>
      <c r="DI57" s="165"/>
      <c r="DJ57" s="165"/>
      <c r="DK57" s="156">
        <f t="shared" si="626"/>
        <v>0</v>
      </c>
      <c r="DL57" s="164">
        <f t="shared" si="627"/>
        <v>0.4604471269</v>
      </c>
      <c r="DM57" s="167">
        <f t="shared" si="628"/>
        <v>0</v>
      </c>
      <c r="DN57" s="168">
        <f t="shared" si="629"/>
        <v>0</v>
      </c>
      <c r="DO57" s="159"/>
      <c r="DP57" s="161">
        <f t="shared" si="732"/>
        <v>9</v>
      </c>
      <c r="DQ57" s="162" t="str">
        <f t="shared" ref="DQ57:DS57" si="853">IFERROR(VLOOKUP($R57,$A$13:$D$30,-DQ$12,FALSE),"")</f>
        <v>Lainnya 2.3 (1) ……..</v>
      </c>
      <c r="DR57" s="163" t="str">
        <f t="shared" si="853"/>
        <v>Bijih </v>
      </c>
      <c r="DS57" s="163" t="str">
        <f t="shared" si="853"/>
        <v>Ton </v>
      </c>
      <c r="DT57" s="156"/>
      <c r="DU57" s="156" t="str">
        <f t="shared" si="631"/>
        <v/>
      </c>
      <c r="DV57" s="156">
        <f t="shared" si="632"/>
        <v>0</v>
      </c>
      <c r="DW57" s="164"/>
      <c r="DX57" s="156">
        <f t="shared" si="633"/>
        <v>0</v>
      </c>
      <c r="DY57" s="413"/>
      <c r="DZ57" s="165"/>
      <c r="EA57" s="165"/>
      <c r="EB57" s="156">
        <f t="shared" si="634"/>
        <v>0</v>
      </c>
      <c r="EC57" s="164">
        <f t="shared" si="635"/>
        <v>0.4604471269</v>
      </c>
      <c r="ED57" s="167">
        <f t="shared" si="636"/>
        <v>0</v>
      </c>
      <c r="EE57" s="168">
        <f t="shared" si="637"/>
        <v>0</v>
      </c>
      <c r="EF57" s="159"/>
      <c r="EG57" s="161">
        <f t="shared" si="734"/>
        <v>9</v>
      </c>
      <c r="EH57" s="162" t="str">
        <f t="shared" ref="EH57:EJ57" si="854">IFERROR(VLOOKUP($R57,$A$13:$D$30,-EH$12,FALSE),"")</f>
        <v>Lainnya 2.3 (1) ……..</v>
      </c>
      <c r="EI57" s="163" t="str">
        <f t="shared" si="854"/>
        <v>Bijih </v>
      </c>
      <c r="EJ57" s="163" t="str">
        <f t="shared" si="854"/>
        <v>Ton </v>
      </c>
      <c r="EK57" s="156"/>
      <c r="EL57" s="156" t="str">
        <f t="shared" si="639"/>
        <v/>
      </c>
      <c r="EM57" s="156">
        <f t="shared" si="640"/>
        <v>0</v>
      </c>
      <c r="EN57" s="164"/>
      <c r="EO57" s="156">
        <f t="shared" si="641"/>
        <v>0</v>
      </c>
      <c r="EP57" s="413"/>
      <c r="EQ57" s="165"/>
      <c r="ER57" s="165"/>
      <c r="ES57" s="156">
        <f t="shared" si="642"/>
        <v>0</v>
      </c>
      <c r="ET57" s="164">
        <f t="shared" si="643"/>
        <v>0.4604471269</v>
      </c>
      <c r="EU57" s="167">
        <f t="shared" si="644"/>
        <v>0</v>
      </c>
      <c r="EV57" s="168">
        <f t="shared" si="645"/>
        <v>0</v>
      </c>
      <c r="EW57" s="159"/>
      <c r="EX57" s="161">
        <f t="shared" si="736"/>
        <v>9</v>
      </c>
      <c r="EY57" s="162" t="str">
        <f t="shared" ref="EY57:FA57" si="855">IFERROR(VLOOKUP($R57,$A$13:$D$30,-EY$12,FALSE),"")</f>
        <v>Lainnya 2.3 (1) ……..</v>
      </c>
      <c r="EZ57" s="163" t="str">
        <f t="shared" si="855"/>
        <v>Bijih </v>
      </c>
      <c r="FA57" s="163" t="str">
        <f t="shared" si="855"/>
        <v>Ton </v>
      </c>
      <c r="FB57" s="156"/>
      <c r="FC57" s="156" t="str">
        <f t="shared" si="647"/>
        <v/>
      </c>
      <c r="FD57" s="156">
        <f t="shared" si="648"/>
        <v>0</v>
      </c>
      <c r="FE57" s="164"/>
      <c r="FF57" s="156">
        <f t="shared" si="649"/>
        <v>0</v>
      </c>
      <c r="FG57" s="413"/>
      <c r="FH57" s="165"/>
      <c r="FI57" s="165"/>
      <c r="FJ57" s="156">
        <f t="shared" si="650"/>
        <v>0</v>
      </c>
      <c r="FK57" s="164">
        <f t="shared" si="651"/>
        <v>0.4604471269</v>
      </c>
      <c r="FL57" s="167">
        <f t="shared" si="652"/>
        <v>0</v>
      </c>
      <c r="FM57" s="168">
        <f t="shared" si="653"/>
        <v>0</v>
      </c>
      <c r="FN57" s="159"/>
      <c r="FO57" s="161">
        <f t="shared" si="738"/>
        <v>9</v>
      </c>
      <c r="FP57" s="162" t="str">
        <f t="shared" ref="FP57:FR57" si="856">IFERROR(VLOOKUP($R57,$A$13:$D$30,-FP$12,FALSE),"")</f>
        <v>Lainnya 2.3 (1) ……..</v>
      </c>
      <c r="FQ57" s="163" t="str">
        <f t="shared" si="856"/>
        <v>Bijih </v>
      </c>
      <c r="FR57" s="163" t="str">
        <f t="shared" si="856"/>
        <v>Ton </v>
      </c>
      <c r="FS57" s="156"/>
      <c r="FT57" s="156" t="str">
        <f t="shared" si="819"/>
        <v/>
      </c>
      <c r="FU57" s="156">
        <f t="shared" si="656"/>
        <v>0</v>
      </c>
      <c r="FV57" s="164"/>
      <c r="FW57" s="156">
        <f t="shared" si="657"/>
        <v>0</v>
      </c>
      <c r="FX57" s="413"/>
      <c r="FY57" s="165"/>
      <c r="FZ57" s="165"/>
      <c r="GA57" s="156">
        <f t="shared" si="658"/>
        <v>0</v>
      </c>
      <c r="GB57" s="164">
        <f t="shared" si="659"/>
        <v>0.4604471269</v>
      </c>
      <c r="GC57" s="167">
        <f t="shared" si="660"/>
        <v>0</v>
      </c>
      <c r="GD57" s="168">
        <f t="shared" si="661"/>
        <v>0</v>
      </c>
      <c r="GE57" s="159"/>
      <c r="GF57" s="161">
        <f t="shared" si="740"/>
        <v>9</v>
      </c>
      <c r="GG57" s="162" t="str">
        <f t="shared" ref="GG57:GI57" si="857">IFERROR(VLOOKUP($R57,$A$13:$D$30,-GG$12,FALSE),"")</f>
        <v>Lainnya 2.3 (1) ……..</v>
      </c>
      <c r="GH57" s="163" t="str">
        <f t="shared" si="857"/>
        <v>Bijih </v>
      </c>
      <c r="GI57" s="163" t="str">
        <f t="shared" si="857"/>
        <v>Ton </v>
      </c>
      <c r="GJ57" s="169">
        <f>ADHB!GJ57</f>
        <v>637436</v>
      </c>
      <c r="GK57" s="169">
        <v>166269.8</v>
      </c>
      <c r="GL57" s="156">
        <f t="shared" si="664"/>
        <v>105986.3562</v>
      </c>
      <c r="GM57" s="164"/>
      <c r="GN57" s="156">
        <f t="shared" si="665"/>
        <v>0</v>
      </c>
      <c r="GO57" s="413"/>
      <c r="GP57" s="165"/>
      <c r="GQ57" s="165"/>
      <c r="GR57" s="156">
        <f t="shared" si="666"/>
        <v>105986.3562</v>
      </c>
      <c r="GS57" s="164">
        <f t="shared" si="667"/>
        <v>0.4604471269</v>
      </c>
      <c r="GT57" s="167">
        <f t="shared" si="668"/>
        <v>48801.11322</v>
      </c>
      <c r="GU57" s="168">
        <f t="shared" si="669"/>
        <v>57185.24302</v>
      </c>
      <c r="GV57" s="159"/>
      <c r="GW57" s="161">
        <f t="shared" si="742"/>
        <v>9</v>
      </c>
      <c r="GX57" s="162" t="str">
        <f t="shared" ref="GX57:GZ57" si="858">IFERROR(VLOOKUP($R57,$A$13:$D$30,-GX$12,FALSE),"")</f>
        <v>Lainnya 2.3 (1) ……..</v>
      </c>
      <c r="GY57" s="163" t="str">
        <f t="shared" si="858"/>
        <v>Bijih </v>
      </c>
      <c r="GZ57" s="163" t="str">
        <f t="shared" si="858"/>
        <v>Ton </v>
      </c>
      <c r="HA57" s="156">
        <f>ADHB!HA57</f>
        <v>212591</v>
      </c>
      <c r="HB57" s="156">
        <f t="shared" si="671"/>
        <v>166269.8</v>
      </c>
      <c r="HC57" s="156">
        <f t="shared" si="672"/>
        <v>35347.46305</v>
      </c>
      <c r="HD57" s="414">
        <v>1.0</v>
      </c>
      <c r="HE57" s="156">
        <f t="shared" si="673"/>
        <v>35347.46305</v>
      </c>
      <c r="HF57" s="413"/>
      <c r="HG57" s="165"/>
      <c r="HH57" s="165"/>
      <c r="HI57" s="156">
        <f t="shared" si="674"/>
        <v>70694.9261</v>
      </c>
      <c r="HJ57" s="164">
        <f t="shared" si="675"/>
        <v>0.4604471269</v>
      </c>
      <c r="HK57" s="167">
        <f t="shared" si="676"/>
        <v>32551.27561</v>
      </c>
      <c r="HL57" s="168">
        <f t="shared" si="677"/>
        <v>38143.65049</v>
      </c>
      <c r="HM57" s="159"/>
      <c r="HN57" s="161">
        <f t="shared" si="744"/>
        <v>9</v>
      </c>
      <c r="HO57" s="162" t="str">
        <f t="shared" ref="HO57:HQ57" si="859">IFERROR(VLOOKUP($R57,$A$13:$D$30,-HO$12,FALSE),"")</f>
        <v>Lainnya 2.3 (1) ……..</v>
      </c>
      <c r="HP57" s="163" t="str">
        <f t="shared" si="859"/>
        <v>Bijih </v>
      </c>
      <c r="HQ57" s="163" t="str">
        <f t="shared" si="859"/>
        <v>Ton </v>
      </c>
      <c r="HR57" s="156" t="str">
        <f>ADHB!HR57</f>
        <v/>
      </c>
      <c r="HS57" s="156">
        <f t="shared" si="679"/>
        <v>166269.8</v>
      </c>
      <c r="HT57" s="156">
        <f t="shared" si="680"/>
        <v>0</v>
      </c>
      <c r="HU57" s="414">
        <v>1.0</v>
      </c>
      <c r="HV57" s="156">
        <f t="shared" si="681"/>
        <v>0</v>
      </c>
      <c r="HW57" s="413"/>
      <c r="HX57" s="165"/>
      <c r="HY57" s="165"/>
      <c r="HZ57" s="156">
        <f t="shared" si="682"/>
        <v>0</v>
      </c>
      <c r="IA57" s="164">
        <f t="shared" si="683"/>
        <v>0.4604471269</v>
      </c>
      <c r="IB57" s="167">
        <f t="shared" si="684"/>
        <v>0</v>
      </c>
      <c r="IC57" s="168">
        <f t="shared" si="685"/>
        <v>0</v>
      </c>
      <c r="ID57" s="159"/>
      <c r="IE57" s="161">
        <f t="shared" si="746"/>
        <v>9</v>
      </c>
      <c r="IF57" s="162" t="str">
        <f t="shared" ref="IF57:IH57" si="860">IFERROR(VLOOKUP($R57,$A$13:$D$30,-IF$12,FALSE),"")</f>
        <v>Lainnya 2.3 (1) ……..</v>
      </c>
      <c r="IG57" s="163" t="str">
        <f t="shared" si="860"/>
        <v>Bijih </v>
      </c>
      <c r="IH57" s="163" t="str">
        <f t="shared" si="860"/>
        <v>Ton </v>
      </c>
      <c r="II57" s="156" t="str">
        <f>ADHB!II57</f>
        <v/>
      </c>
      <c r="IJ57" s="156">
        <f t="shared" si="687"/>
        <v>166269.8</v>
      </c>
      <c r="IK57" s="156">
        <f t="shared" si="688"/>
        <v>0</v>
      </c>
      <c r="IL57" s="164"/>
      <c r="IM57" s="156">
        <f t="shared" si="689"/>
        <v>0</v>
      </c>
      <c r="IN57" s="413"/>
      <c r="IO57" s="165"/>
      <c r="IP57" s="165"/>
      <c r="IQ57" s="156">
        <f t="shared" si="690"/>
        <v>0</v>
      </c>
      <c r="IR57" s="164">
        <f t="shared" si="691"/>
        <v>0.4604471269</v>
      </c>
      <c r="IS57" s="167">
        <f t="shared" si="692"/>
        <v>0</v>
      </c>
      <c r="IT57" s="168">
        <f t="shared" si="693"/>
        <v>0</v>
      </c>
      <c r="IU57" s="159"/>
      <c r="IV57" s="161">
        <f t="shared" si="748"/>
        <v>9</v>
      </c>
      <c r="IW57" s="162" t="str">
        <f t="shared" ref="IW57:IY57" si="861">IFERROR(VLOOKUP($R57,$A$13:$D$30,-IW$12,FALSE),"")</f>
        <v>Lainnya 2.3 (1) ……..</v>
      </c>
      <c r="IX57" s="163" t="str">
        <f t="shared" si="861"/>
        <v>Bijih </v>
      </c>
      <c r="IY57" s="163" t="str">
        <f t="shared" si="861"/>
        <v>Ton </v>
      </c>
      <c r="IZ57" s="156" t="str">
        <f>ADHB!IZ57</f>
        <v/>
      </c>
      <c r="JA57" s="156">
        <f t="shared" si="695"/>
        <v>166269.8</v>
      </c>
      <c r="JB57" s="156">
        <f t="shared" si="696"/>
        <v>0</v>
      </c>
      <c r="JC57" s="164"/>
      <c r="JD57" s="156">
        <f t="shared" si="697"/>
        <v>0</v>
      </c>
      <c r="JE57" s="413"/>
      <c r="JF57" s="165"/>
      <c r="JG57" s="165"/>
      <c r="JH57" s="156">
        <f t="shared" si="698"/>
        <v>0</v>
      </c>
      <c r="JI57" s="164">
        <f t="shared" si="699"/>
        <v>0.4604471269</v>
      </c>
      <c r="JJ57" s="167">
        <f t="shared" si="700"/>
        <v>0</v>
      </c>
      <c r="JK57" s="168">
        <f t="shared" si="701"/>
        <v>0</v>
      </c>
      <c r="JL57" s="159"/>
      <c r="JM57" s="161">
        <f t="shared" si="750"/>
        <v>9</v>
      </c>
      <c r="JN57" s="162" t="str">
        <f t="shared" ref="JN57:JP57" si="862">IFERROR(VLOOKUP($R57,$A$13:$D$30,-JN$12,FALSE),"")</f>
        <v>Lainnya 2.3 (1) ……..</v>
      </c>
      <c r="JO57" s="163" t="str">
        <f t="shared" si="862"/>
        <v>Bijih </v>
      </c>
      <c r="JP57" s="163" t="str">
        <f t="shared" si="862"/>
        <v>Ton </v>
      </c>
      <c r="JQ57" s="156" t="str">
        <f>ADHB!JQ57</f>
        <v/>
      </c>
      <c r="JR57" s="156"/>
      <c r="JS57" s="156">
        <f t="shared" si="704"/>
        <v>0</v>
      </c>
      <c r="JT57" s="164"/>
      <c r="JU57" s="156">
        <f t="shared" si="705"/>
        <v>0</v>
      </c>
      <c r="JV57" s="413"/>
      <c r="JW57" s="165"/>
      <c r="JX57" s="165"/>
      <c r="JY57" s="156">
        <f t="shared" si="706"/>
        <v>0</v>
      </c>
      <c r="JZ57" s="164">
        <f t="shared" si="707"/>
        <v>0.4604471269</v>
      </c>
      <c r="KA57" s="167">
        <f t="shared" si="708"/>
        <v>0</v>
      </c>
      <c r="KB57" s="168">
        <f t="shared" si="709"/>
        <v>0</v>
      </c>
      <c r="KC57" s="159"/>
      <c r="KD57" s="161">
        <f t="shared" si="752"/>
        <v>9</v>
      </c>
      <c r="KE57" s="162" t="str">
        <f t="shared" ref="KE57:KG57" si="863">IFERROR(VLOOKUP($R57,$A$13:$D$30,-KE$12,FALSE),"")</f>
        <v>Lainnya 2.3 (1) ……..</v>
      </c>
      <c r="KF57" s="163" t="str">
        <f t="shared" si="863"/>
        <v>Bijih </v>
      </c>
      <c r="KG57" s="163" t="str">
        <f t="shared" si="863"/>
        <v>Ton </v>
      </c>
      <c r="KH57" s="156" t="str">
        <f>ADHB!KH57</f>
        <v/>
      </c>
      <c r="KI57" s="156"/>
      <c r="KJ57" s="156">
        <f t="shared" si="712"/>
        <v>0</v>
      </c>
      <c r="KK57" s="164"/>
      <c r="KL57" s="156">
        <f t="shared" si="713"/>
        <v>0</v>
      </c>
      <c r="KM57" s="413"/>
      <c r="KN57" s="165"/>
      <c r="KO57" s="165"/>
      <c r="KP57" s="156">
        <f t="shared" si="714"/>
        <v>0</v>
      </c>
      <c r="KQ57" s="164">
        <f t="shared" si="715"/>
        <v>0.4604471269</v>
      </c>
      <c r="KR57" s="167">
        <f t="shared" si="716"/>
        <v>0</v>
      </c>
      <c r="KS57" s="168">
        <f t="shared" si="717"/>
        <v>0</v>
      </c>
      <c r="KT57" s="159"/>
      <c r="KU57" s="160"/>
    </row>
    <row r="58" ht="15.75" customHeight="1">
      <c r="A58" s="161">
        <f t="shared" si="718"/>
        <v>10</v>
      </c>
      <c r="B58" s="162" t="str">
        <f t="shared" ref="B58:D58" si="864">IFERROR(VLOOKUP($A58,$A$13:$D$30,-B$12,FALSE),"")</f>
        <v>Lainnya 2.3 (2) ………</v>
      </c>
      <c r="C58" s="163" t="str">
        <f t="shared" si="864"/>
        <v>Bijih </v>
      </c>
      <c r="D58" s="163" t="str">
        <f t="shared" si="864"/>
        <v>Ton </v>
      </c>
      <c r="E58" s="156"/>
      <c r="F58" s="156"/>
      <c r="G58" s="156">
        <f t="shared" si="576"/>
        <v>0</v>
      </c>
      <c r="H58" s="164"/>
      <c r="I58" s="156">
        <f t="shared" si="577"/>
        <v>0</v>
      </c>
      <c r="J58" s="413"/>
      <c r="K58" s="165"/>
      <c r="L58" s="165"/>
      <c r="M58" s="156">
        <f t="shared" si="578"/>
        <v>0</v>
      </c>
      <c r="N58" s="164">
        <f t="shared" si="579"/>
        <v>0.4604471269</v>
      </c>
      <c r="O58" s="167">
        <f t="shared" si="580"/>
        <v>0</v>
      </c>
      <c r="P58" s="168">
        <f t="shared" si="581"/>
        <v>0</v>
      </c>
      <c r="Q58" s="159"/>
      <c r="R58" s="161">
        <f t="shared" si="720"/>
        <v>10</v>
      </c>
      <c r="S58" s="162" t="str">
        <f t="shared" ref="S58:U58" si="865">IFERROR(VLOOKUP($R58,$A$13:$D$30,-S$12,FALSE),"")</f>
        <v>Lainnya 2.3 (2) ………</v>
      </c>
      <c r="T58" s="163" t="str">
        <f t="shared" si="865"/>
        <v>Bijih </v>
      </c>
      <c r="U58" s="163" t="str">
        <f t="shared" si="865"/>
        <v>Ton </v>
      </c>
      <c r="V58" s="156"/>
      <c r="W58" s="156" t="str">
        <f t="shared" si="583"/>
        <v/>
      </c>
      <c r="X58" s="156">
        <f t="shared" si="584"/>
        <v>0</v>
      </c>
      <c r="Y58" s="164"/>
      <c r="Z58" s="156">
        <f t="shared" si="585"/>
        <v>0</v>
      </c>
      <c r="AA58" s="413"/>
      <c r="AB58" s="165"/>
      <c r="AC58" s="165"/>
      <c r="AD58" s="156">
        <f t="shared" si="586"/>
        <v>0</v>
      </c>
      <c r="AE58" s="164">
        <f t="shared" si="587"/>
        <v>0.4604471269</v>
      </c>
      <c r="AF58" s="167">
        <f t="shared" si="588"/>
        <v>0</v>
      </c>
      <c r="AG58" s="168">
        <f t="shared" si="589"/>
        <v>0</v>
      </c>
      <c r="AH58" s="159"/>
      <c r="AI58" s="161">
        <f t="shared" si="722"/>
        <v>10</v>
      </c>
      <c r="AJ58" s="162" t="str">
        <f t="shared" ref="AJ58:AL58" si="866">IFERROR(VLOOKUP($R58,$A$13:$D$30,-AJ$12,FALSE),"")</f>
        <v>Lainnya 2.3 (2) ………</v>
      </c>
      <c r="AK58" s="163" t="str">
        <f t="shared" si="866"/>
        <v>Bijih </v>
      </c>
      <c r="AL58" s="163" t="str">
        <f t="shared" si="866"/>
        <v>Ton </v>
      </c>
      <c r="AM58" s="156"/>
      <c r="AN58" s="156" t="str">
        <f t="shared" si="591"/>
        <v/>
      </c>
      <c r="AO58" s="156">
        <f t="shared" si="592"/>
        <v>0</v>
      </c>
      <c r="AP58" s="164"/>
      <c r="AQ58" s="156">
        <f t="shared" si="593"/>
        <v>0</v>
      </c>
      <c r="AR58" s="413"/>
      <c r="AS58" s="165"/>
      <c r="AT58" s="165"/>
      <c r="AU58" s="156">
        <f t="shared" si="594"/>
        <v>0</v>
      </c>
      <c r="AV58" s="164">
        <f t="shared" si="595"/>
        <v>0.4604471269</v>
      </c>
      <c r="AW58" s="167">
        <f t="shared" si="596"/>
        <v>0</v>
      </c>
      <c r="AX58" s="168">
        <f t="shared" si="597"/>
        <v>0</v>
      </c>
      <c r="AY58" s="159"/>
      <c r="AZ58" s="161">
        <f t="shared" si="724"/>
        <v>10</v>
      </c>
      <c r="BA58" s="162" t="str">
        <f t="shared" ref="BA58:BC58" si="867">IFERROR(VLOOKUP($R58,$A$13:$D$30,-BA$12,FALSE),"")</f>
        <v>Lainnya 2.3 (2) ………</v>
      </c>
      <c r="BB58" s="163" t="str">
        <f t="shared" si="867"/>
        <v>Bijih </v>
      </c>
      <c r="BC58" s="163" t="str">
        <f t="shared" si="867"/>
        <v>Ton </v>
      </c>
      <c r="BD58" s="156"/>
      <c r="BE58" s="156" t="str">
        <f t="shared" si="599"/>
        <v/>
      </c>
      <c r="BF58" s="156">
        <f t="shared" si="600"/>
        <v>0</v>
      </c>
      <c r="BG58" s="164"/>
      <c r="BH58" s="156">
        <f t="shared" si="601"/>
        <v>0</v>
      </c>
      <c r="BI58" s="413"/>
      <c r="BJ58" s="165"/>
      <c r="BK58" s="165"/>
      <c r="BL58" s="156">
        <f t="shared" si="602"/>
        <v>0</v>
      </c>
      <c r="BM58" s="164">
        <f t="shared" si="603"/>
        <v>0.4604471269</v>
      </c>
      <c r="BN58" s="167">
        <f t="shared" si="604"/>
        <v>0</v>
      </c>
      <c r="BO58" s="168">
        <f t="shared" si="605"/>
        <v>0</v>
      </c>
      <c r="BP58" s="159"/>
      <c r="BQ58" s="161">
        <f t="shared" si="726"/>
        <v>10</v>
      </c>
      <c r="BR58" s="162" t="str">
        <f t="shared" ref="BR58:BT58" si="868">IFERROR(VLOOKUP($R58,$A$13:$D$30,-BR$12,FALSE),"")</f>
        <v>Lainnya 2.3 (2) ………</v>
      </c>
      <c r="BS58" s="163" t="str">
        <f t="shared" si="868"/>
        <v>Bijih </v>
      </c>
      <c r="BT58" s="163" t="str">
        <f t="shared" si="868"/>
        <v>Ton </v>
      </c>
      <c r="BU58" s="156"/>
      <c r="BV58" s="156" t="str">
        <f t="shared" si="607"/>
        <v/>
      </c>
      <c r="BW58" s="156">
        <f t="shared" si="608"/>
        <v>0</v>
      </c>
      <c r="BX58" s="164"/>
      <c r="BY58" s="156">
        <f t="shared" si="609"/>
        <v>0</v>
      </c>
      <c r="BZ58" s="413"/>
      <c r="CA58" s="165"/>
      <c r="CB58" s="165"/>
      <c r="CC58" s="156">
        <f t="shared" si="610"/>
        <v>0</v>
      </c>
      <c r="CD58" s="164">
        <f t="shared" si="611"/>
        <v>0.4604471269</v>
      </c>
      <c r="CE58" s="167">
        <f t="shared" si="612"/>
        <v>0</v>
      </c>
      <c r="CF58" s="168">
        <f t="shared" si="613"/>
        <v>0</v>
      </c>
      <c r="CG58" s="159"/>
      <c r="CH58" s="161">
        <f t="shared" si="728"/>
        <v>10</v>
      </c>
      <c r="CI58" s="162" t="str">
        <f t="shared" ref="CI58:CK58" si="869">IFERROR(VLOOKUP($R58,$A$13:$D$30,-CI$12,FALSE),"")</f>
        <v>Lainnya 2.3 (2) ………</v>
      </c>
      <c r="CJ58" s="163" t="str">
        <f t="shared" si="869"/>
        <v>Bijih </v>
      </c>
      <c r="CK58" s="163" t="str">
        <f t="shared" si="869"/>
        <v>Ton </v>
      </c>
      <c r="CL58" s="156"/>
      <c r="CM58" s="156" t="str">
        <f t="shared" si="615"/>
        <v/>
      </c>
      <c r="CN58" s="156">
        <f t="shared" si="616"/>
        <v>0</v>
      </c>
      <c r="CO58" s="164"/>
      <c r="CP58" s="156">
        <f t="shared" si="617"/>
        <v>0</v>
      </c>
      <c r="CQ58" s="413"/>
      <c r="CR58" s="165"/>
      <c r="CS58" s="165"/>
      <c r="CT58" s="156">
        <f t="shared" si="618"/>
        <v>0</v>
      </c>
      <c r="CU58" s="164">
        <f t="shared" si="619"/>
        <v>0.4604471269</v>
      </c>
      <c r="CV58" s="167">
        <f t="shared" si="620"/>
        <v>0</v>
      </c>
      <c r="CW58" s="168">
        <f t="shared" si="621"/>
        <v>0</v>
      </c>
      <c r="CX58" s="159"/>
      <c r="CY58" s="161">
        <f t="shared" si="730"/>
        <v>10</v>
      </c>
      <c r="CZ58" s="162" t="str">
        <f t="shared" ref="CZ58:DB58" si="870">IFERROR(VLOOKUP($R58,$A$13:$D$30,-CZ$12,FALSE),"")</f>
        <v>Lainnya 2.3 (2) ………</v>
      </c>
      <c r="DA58" s="163" t="str">
        <f t="shared" si="870"/>
        <v>Bijih </v>
      </c>
      <c r="DB58" s="163" t="str">
        <f t="shared" si="870"/>
        <v>Ton </v>
      </c>
      <c r="DC58" s="156"/>
      <c r="DD58" s="156" t="str">
        <f t="shared" si="623"/>
        <v/>
      </c>
      <c r="DE58" s="156">
        <f t="shared" si="624"/>
        <v>0</v>
      </c>
      <c r="DF58" s="164"/>
      <c r="DG58" s="156">
        <f t="shared" si="625"/>
        <v>0</v>
      </c>
      <c r="DH58" s="413"/>
      <c r="DI58" s="165"/>
      <c r="DJ58" s="165"/>
      <c r="DK58" s="156">
        <f t="shared" si="626"/>
        <v>0</v>
      </c>
      <c r="DL58" s="164">
        <f t="shared" si="627"/>
        <v>0.4604471269</v>
      </c>
      <c r="DM58" s="167">
        <f t="shared" si="628"/>
        <v>0</v>
      </c>
      <c r="DN58" s="168">
        <f t="shared" si="629"/>
        <v>0</v>
      </c>
      <c r="DO58" s="159"/>
      <c r="DP58" s="161">
        <f t="shared" si="732"/>
        <v>10</v>
      </c>
      <c r="DQ58" s="162" t="str">
        <f t="shared" ref="DQ58:DS58" si="871">IFERROR(VLOOKUP($R58,$A$13:$D$30,-DQ$12,FALSE),"")</f>
        <v>Lainnya 2.3 (2) ………</v>
      </c>
      <c r="DR58" s="163" t="str">
        <f t="shared" si="871"/>
        <v>Bijih </v>
      </c>
      <c r="DS58" s="163" t="str">
        <f t="shared" si="871"/>
        <v>Ton </v>
      </c>
      <c r="DT58" s="156"/>
      <c r="DU58" s="156" t="str">
        <f t="shared" si="631"/>
        <v/>
      </c>
      <c r="DV58" s="156">
        <f t="shared" si="632"/>
        <v>0</v>
      </c>
      <c r="DW58" s="164"/>
      <c r="DX58" s="156">
        <f t="shared" si="633"/>
        <v>0</v>
      </c>
      <c r="DY58" s="413"/>
      <c r="DZ58" s="165"/>
      <c r="EA58" s="165"/>
      <c r="EB58" s="156">
        <f t="shared" si="634"/>
        <v>0</v>
      </c>
      <c r="EC58" s="164">
        <f t="shared" si="635"/>
        <v>0.4604471269</v>
      </c>
      <c r="ED58" s="167">
        <f t="shared" si="636"/>
        <v>0</v>
      </c>
      <c r="EE58" s="168">
        <f t="shared" si="637"/>
        <v>0</v>
      </c>
      <c r="EF58" s="159"/>
      <c r="EG58" s="161">
        <f t="shared" si="734"/>
        <v>10</v>
      </c>
      <c r="EH58" s="162" t="str">
        <f t="shared" ref="EH58:EJ58" si="872">IFERROR(VLOOKUP($R58,$A$13:$D$30,-EH$12,FALSE),"")</f>
        <v>Lainnya 2.3 (2) ………</v>
      </c>
      <c r="EI58" s="163" t="str">
        <f t="shared" si="872"/>
        <v>Bijih </v>
      </c>
      <c r="EJ58" s="163" t="str">
        <f t="shared" si="872"/>
        <v>Ton </v>
      </c>
      <c r="EK58" s="156"/>
      <c r="EL58" s="156" t="str">
        <f t="shared" si="639"/>
        <v/>
      </c>
      <c r="EM58" s="156">
        <f t="shared" si="640"/>
        <v>0</v>
      </c>
      <c r="EN58" s="164"/>
      <c r="EO58" s="156">
        <f t="shared" si="641"/>
        <v>0</v>
      </c>
      <c r="EP58" s="413"/>
      <c r="EQ58" s="165"/>
      <c r="ER58" s="165"/>
      <c r="ES58" s="156">
        <f t="shared" si="642"/>
        <v>0</v>
      </c>
      <c r="ET58" s="164">
        <f t="shared" si="643"/>
        <v>0.4604471269</v>
      </c>
      <c r="EU58" s="167">
        <f t="shared" si="644"/>
        <v>0</v>
      </c>
      <c r="EV58" s="168">
        <f t="shared" si="645"/>
        <v>0</v>
      </c>
      <c r="EW58" s="159"/>
      <c r="EX58" s="161">
        <f t="shared" si="736"/>
        <v>10</v>
      </c>
      <c r="EY58" s="162" t="str">
        <f t="shared" ref="EY58:FA58" si="873">IFERROR(VLOOKUP($R58,$A$13:$D$30,-EY$12,FALSE),"")</f>
        <v>Lainnya 2.3 (2) ………</v>
      </c>
      <c r="EZ58" s="163" t="str">
        <f t="shared" si="873"/>
        <v>Bijih </v>
      </c>
      <c r="FA58" s="163" t="str">
        <f t="shared" si="873"/>
        <v>Ton </v>
      </c>
      <c r="FB58" s="156"/>
      <c r="FC58" s="156" t="str">
        <f t="shared" si="647"/>
        <v/>
      </c>
      <c r="FD58" s="156">
        <f t="shared" si="648"/>
        <v>0</v>
      </c>
      <c r="FE58" s="164"/>
      <c r="FF58" s="156">
        <f t="shared" si="649"/>
        <v>0</v>
      </c>
      <c r="FG58" s="413"/>
      <c r="FH58" s="165"/>
      <c r="FI58" s="165"/>
      <c r="FJ58" s="156">
        <f t="shared" si="650"/>
        <v>0</v>
      </c>
      <c r="FK58" s="164">
        <f t="shared" si="651"/>
        <v>0.4604471269</v>
      </c>
      <c r="FL58" s="167">
        <f t="shared" si="652"/>
        <v>0</v>
      </c>
      <c r="FM58" s="168">
        <f t="shared" si="653"/>
        <v>0</v>
      </c>
      <c r="FN58" s="159"/>
      <c r="FO58" s="161">
        <f t="shared" si="738"/>
        <v>10</v>
      </c>
      <c r="FP58" s="162" t="str">
        <f t="shared" ref="FP58:FR58" si="874">IFERROR(VLOOKUP($R58,$A$13:$D$30,-FP$12,FALSE),"")</f>
        <v>Lainnya 2.3 (2) ………</v>
      </c>
      <c r="FQ58" s="163" t="str">
        <f t="shared" si="874"/>
        <v>Bijih </v>
      </c>
      <c r="FR58" s="163" t="str">
        <f t="shared" si="874"/>
        <v>Ton </v>
      </c>
      <c r="FS58" s="156"/>
      <c r="FT58" s="156" t="str">
        <f t="shared" si="819"/>
        <v/>
      </c>
      <c r="FU58" s="156">
        <f t="shared" si="656"/>
        <v>0</v>
      </c>
      <c r="FV58" s="164"/>
      <c r="FW58" s="156">
        <f t="shared" si="657"/>
        <v>0</v>
      </c>
      <c r="FX58" s="413"/>
      <c r="FY58" s="165"/>
      <c r="FZ58" s="165"/>
      <c r="GA58" s="156">
        <f t="shared" si="658"/>
        <v>0</v>
      </c>
      <c r="GB58" s="164">
        <f t="shared" si="659"/>
        <v>0.4604471269</v>
      </c>
      <c r="GC58" s="167">
        <f t="shared" si="660"/>
        <v>0</v>
      </c>
      <c r="GD58" s="168">
        <f t="shared" si="661"/>
        <v>0</v>
      </c>
      <c r="GE58" s="159"/>
      <c r="GF58" s="161">
        <f t="shared" si="740"/>
        <v>10</v>
      </c>
      <c r="GG58" s="162" t="str">
        <f t="shared" ref="GG58:GI58" si="875">IFERROR(VLOOKUP($R58,$A$13:$D$30,-GG$12,FALSE),"")</f>
        <v>Lainnya 2.3 (2) ………</v>
      </c>
      <c r="GH58" s="163" t="str">
        <f t="shared" si="875"/>
        <v>Bijih </v>
      </c>
      <c r="GI58" s="163" t="str">
        <f t="shared" si="875"/>
        <v>Ton </v>
      </c>
      <c r="GJ58" s="156"/>
      <c r="GK58" s="156" t="str">
        <f t="shared" ref="GK58:GK62" si="894">FT58</f>
        <v/>
      </c>
      <c r="GL58" s="156">
        <f t="shared" si="664"/>
        <v>0</v>
      </c>
      <c r="GM58" s="164"/>
      <c r="GN58" s="156">
        <f t="shared" si="665"/>
        <v>0</v>
      </c>
      <c r="GO58" s="413"/>
      <c r="GP58" s="165"/>
      <c r="GQ58" s="165"/>
      <c r="GR58" s="156">
        <f t="shared" si="666"/>
        <v>0</v>
      </c>
      <c r="GS58" s="164">
        <f t="shared" si="667"/>
        <v>0.4604471269</v>
      </c>
      <c r="GT58" s="167">
        <f t="shared" si="668"/>
        <v>0</v>
      </c>
      <c r="GU58" s="168">
        <f t="shared" si="669"/>
        <v>0</v>
      </c>
      <c r="GV58" s="159"/>
      <c r="GW58" s="161">
        <f t="shared" si="742"/>
        <v>10</v>
      </c>
      <c r="GX58" s="162" t="str">
        <f t="shared" ref="GX58:GZ58" si="876">IFERROR(VLOOKUP($R58,$A$13:$D$30,-GX$12,FALSE),"")</f>
        <v>Lainnya 2.3 (2) ………</v>
      </c>
      <c r="GY58" s="163" t="str">
        <f t="shared" si="876"/>
        <v>Bijih </v>
      </c>
      <c r="GZ58" s="163" t="str">
        <f t="shared" si="876"/>
        <v>Ton </v>
      </c>
      <c r="HA58" s="156"/>
      <c r="HB58" s="156" t="str">
        <f t="shared" si="671"/>
        <v/>
      </c>
      <c r="HC58" s="156">
        <f t="shared" si="672"/>
        <v>0</v>
      </c>
      <c r="HD58" s="164"/>
      <c r="HE58" s="156">
        <f t="shared" si="673"/>
        <v>0</v>
      </c>
      <c r="HF58" s="413"/>
      <c r="HG58" s="165"/>
      <c r="HH58" s="165"/>
      <c r="HI58" s="156">
        <f t="shared" si="674"/>
        <v>0</v>
      </c>
      <c r="HJ58" s="164">
        <f t="shared" si="675"/>
        <v>0.4604471269</v>
      </c>
      <c r="HK58" s="167">
        <f t="shared" si="676"/>
        <v>0</v>
      </c>
      <c r="HL58" s="168">
        <f t="shared" si="677"/>
        <v>0</v>
      </c>
      <c r="HM58" s="159"/>
      <c r="HN58" s="161">
        <f t="shared" si="744"/>
        <v>10</v>
      </c>
      <c r="HO58" s="162" t="str">
        <f t="shared" ref="HO58:HQ58" si="877">IFERROR(VLOOKUP($R58,$A$13:$D$30,-HO$12,FALSE),"")</f>
        <v>Lainnya 2.3 (2) ………</v>
      </c>
      <c r="HP58" s="163" t="str">
        <f t="shared" si="877"/>
        <v>Bijih </v>
      </c>
      <c r="HQ58" s="163" t="str">
        <f t="shared" si="877"/>
        <v>Ton </v>
      </c>
      <c r="HR58" s="156"/>
      <c r="HS58" s="156" t="str">
        <f t="shared" si="679"/>
        <v/>
      </c>
      <c r="HT58" s="156">
        <f t="shared" si="680"/>
        <v>0</v>
      </c>
      <c r="HU58" s="164"/>
      <c r="HV58" s="156">
        <f t="shared" si="681"/>
        <v>0</v>
      </c>
      <c r="HW58" s="413"/>
      <c r="HX58" s="165"/>
      <c r="HY58" s="165"/>
      <c r="HZ58" s="156">
        <f t="shared" si="682"/>
        <v>0</v>
      </c>
      <c r="IA58" s="164">
        <f t="shared" si="683"/>
        <v>0.4604471269</v>
      </c>
      <c r="IB58" s="167">
        <f t="shared" si="684"/>
        <v>0</v>
      </c>
      <c r="IC58" s="168">
        <f t="shared" si="685"/>
        <v>0</v>
      </c>
      <c r="ID58" s="159"/>
      <c r="IE58" s="161">
        <f t="shared" si="746"/>
        <v>10</v>
      </c>
      <c r="IF58" s="162" t="str">
        <f t="shared" ref="IF58:IH58" si="878">IFERROR(VLOOKUP($R58,$A$13:$D$30,-IF$12,FALSE),"")</f>
        <v>Lainnya 2.3 (2) ………</v>
      </c>
      <c r="IG58" s="163" t="str">
        <f t="shared" si="878"/>
        <v>Bijih </v>
      </c>
      <c r="IH58" s="163" t="str">
        <f t="shared" si="878"/>
        <v>Ton </v>
      </c>
      <c r="II58" s="156"/>
      <c r="IJ58" s="156" t="str">
        <f t="shared" si="687"/>
        <v/>
      </c>
      <c r="IK58" s="156">
        <f t="shared" si="688"/>
        <v>0</v>
      </c>
      <c r="IL58" s="164"/>
      <c r="IM58" s="156">
        <f t="shared" si="689"/>
        <v>0</v>
      </c>
      <c r="IN58" s="413"/>
      <c r="IO58" s="165"/>
      <c r="IP58" s="165"/>
      <c r="IQ58" s="156">
        <f t="shared" si="690"/>
        <v>0</v>
      </c>
      <c r="IR58" s="164">
        <f t="shared" si="691"/>
        <v>0.4604471269</v>
      </c>
      <c r="IS58" s="167">
        <f t="shared" si="692"/>
        <v>0</v>
      </c>
      <c r="IT58" s="168">
        <f t="shared" si="693"/>
        <v>0</v>
      </c>
      <c r="IU58" s="159"/>
      <c r="IV58" s="161">
        <f t="shared" si="748"/>
        <v>10</v>
      </c>
      <c r="IW58" s="162" t="str">
        <f t="shared" ref="IW58:IY58" si="879">IFERROR(VLOOKUP($R58,$A$13:$D$30,-IW$12,FALSE),"")</f>
        <v>Lainnya 2.3 (2) ………</v>
      </c>
      <c r="IX58" s="163" t="str">
        <f t="shared" si="879"/>
        <v>Bijih </v>
      </c>
      <c r="IY58" s="163" t="str">
        <f t="shared" si="879"/>
        <v>Ton </v>
      </c>
      <c r="IZ58" s="156"/>
      <c r="JA58" s="156" t="str">
        <f t="shared" si="695"/>
        <v/>
      </c>
      <c r="JB58" s="156">
        <f t="shared" si="696"/>
        <v>0</v>
      </c>
      <c r="JC58" s="164"/>
      <c r="JD58" s="156">
        <f t="shared" si="697"/>
        <v>0</v>
      </c>
      <c r="JE58" s="413"/>
      <c r="JF58" s="165"/>
      <c r="JG58" s="165"/>
      <c r="JH58" s="156">
        <f t="shared" si="698"/>
        <v>0</v>
      </c>
      <c r="JI58" s="164">
        <f t="shared" si="699"/>
        <v>0.4604471269</v>
      </c>
      <c r="JJ58" s="167">
        <f t="shared" si="700"/>
        <v>0</v>
      </c>
      <c r="JK58" s="168">
        <f t="shared" si="701"/>
        <v>0</v>
      </c>
      <c r="JL58" s="159"/>
      <c r="JM58" s="161">
        <f t="shared" si="750"/>
        <v>10</v>
      </c>
      <c r="JN58" s="162" t="str">
        <f t="shared" ref="JN58:JP58" si="880">IFERROR(VLOOKUP($R58,$A$13:$D$30,-JN$12,FALSE),"")</f>
        <v>Lainnya 2.3 (2) ………</v>
      </c>
      <c r="JO58" s="163" t="str">
        <f t="shared" si="880"/>
        <v>Bijih </v>
      </c>
      <c r="JP58" s="163" t="str">
        <f t="shared" si="880"/>
        <v>Ton </v>
      </c>
      <c r="JQ58" s="156"/>
      <c r="JR58" s="156" t="str">
        <f t="shared" ref="JR58:JR65" si="900">JA58</f>
        <v/>
      </c>
      <c r="JS58" s="156">
        <f t="shared" si="704"/>
        <v>0</v>
      </c>
      <c r="JT58" s="164"/>
      <c r="JU58" s="156">
        <f t="shared" si="705"/>
        <v>0</v>
      </c>
      <c r="JV58" s="413"/>
      <c r="JW58" s="165"/>
      <c r="JX58" s="165"/>
      <c r="JY58" s="156">
        <f t="shared" si="706"/>
        <v>0</v>
      </c>
      <c r="JZ58" s="164">
        <f t="shared" si="707"/>
        <v>0.4604471269</v>
      </c>
      <c r="KA58" s="167">
        <f t="shared" si="708"/>
        <v>0</v>
      </c>
      <c r="KB58" s="168">
        <f t="shared" si="709"/>
        <v>0</v>
      </c>
      <c r="KC58" s="159"/>
      <c r="KD58" s="161">
        <f t="shared" si="752"/>
        <v>10</v>
      </c>
      <c r="KE58" s="162" t="str">
        <f t="shared" ref="KE58:KG58" si="881">IFERROR(VLOOKUP($R58,$A$13:$D$30,-KE$12,FALSE),"")</f>
        <v>Lainnya 2.3 (2) ………</v>
      </c>
      <c r="KF58" s="163" t="str">
        <f t="shared" si="881"/>
        <v>Bijih </v>
      </c>
      <c r="KG58" s="163" t="str">
        <f t="shared" si="881"/>
        <v>Ton </v>
      </c>
      <c r="KH58" s="156"/>
      <c r="KI58" s="156" t="str">
        <f t="shared" ref="KI58:KI65" si="902">JR58</f>
        <v/>
      </c>
      <c r="KJ58" s="156">
        <f t="shared" si="712"/>
        <v>0</v>
      </c>
      <c r="KK58" s="164"/>
      <c r="KL58" s="156">
        <f t="shared" si="713"/>
        <v>0</v>
      </c>
      <c r="KM58" s="413"/>
      <c r="KN58" s="165"/>
      <c r="KO58" s="165"/>
      <c r="KP58" s="156">
        <f t="shared" si="714"/>
        <v>0</v>
      </c>
      <c r="KQ58" s="164">
        <f t="shared" si="715"/>
        <v>0.4604471269</v>
      </c>
      <c r="KR58" s="167">
        <f t="shared" si="716"/>
        <v>0</v>
      </c>
      <c r="KS58" s="168">
        <f t="shared" si="717"/>
        <v>0</v>
      </c>
      <c r="KT58" s="159"/>
      <c r="KU58" s="160"/>
    </row>
    <row r="59" ht="15.75" customHeight="1">
      <c r="A59" s="161">
        <f t="shared" si="718"/>
        <v>11</v>
      </c>
      <c r="B59" s="162" t="str">
        <f t="shared" ref="B59:D59" si="882">IFERROR(VLOOKUP($A59,$A$13:$D$30,-B$12,FALSE),"")</f>
        <v>Lainnya 2.3 (3) …….</v>
      </c>
      <c r="C59" s="163" t="str">
        <f t="shared" si="882"/>
        <v/>
      </c>
      <c r="D59" s="163" t="str">
        <f t="shared" si="882"/>
        <v/>
      </c>
      <c r="E59" s="156"/>
      <c r="F59" s="156"/>
      <c r="G59" s="156">
        <f t="shared" si="576"/>
        <v>0</v>
      </c>
      <c r="H59" s="164"/>
      <c r="I59" s="156">
        <f t="shared" si="577"/>
        <v>0</v>
      </c>
      <c r="J59" s="413"/>
      <c r="K59" s="165"/>
      <c r="L59" s="165"/>
      <c r="M59" s="156">
        <f t="shared" si="578"/>
        <v>0</v>
      </c>
      <c r="N59" s="164">
        <f t="shared" si="579"/>
        <v>0.4604471269</v>
      </c>
      <c r="O59" s="167">
        <f t="shared" si="580"/>
        <v>0</v>
      </c>
      <c r="P59" s="168">
        <f t="shared" si="581"/>
        <v>0</v>
      </c>
      <c r="Q59" s="159"/>
      <c r="R59" s="161">
        <f t="shared" si="720"/>
        <v>11</v>
      </c>
      <c r="S59" s="162" t="str">
        <f t="shared" ref="S59:U59" si="883">IFERROR(VLOOKUP($R59,$A$13:$D$30,-S$12,FALSE),"")</f>
        <v>Lainnya 2.3 (3) …….</v>
      </c>
      <c r="T59" s="163" t="str">
        <f t="shared" si="883"/>
        <v/>
      </c>
      <c r="U59" s="163" t="str">
        <f t="shared" si="883"/>
        <v/>
      </c>
      <c r="V59" s="156"/>
      <c r="W59" s="156" t="str">
        <f t="shared" si="583"/>
        <v/>
      </c>
      <c r="X59" s="156">
        <f t="shared" si="584"/>
        <v>0</v>
      </c>
      <c r="Y59" s="164"/>
      <c r="Z59" s="156">
        <f t="shared" si="585"/>
        <v>0</v>
      </c>
      <c r="AA59" s="413"/>
      <c r="AB59" s="165"/>
      <c r="AC59" s="165"/>
      <c r="AD59" s="156">
        <f t="shared" si="586"/>
        <v>0</v>
      </c>
      <c r="AE59" s="164">
        <f t="shared" si="587"/>
        <v>0.4604471269</v>
      </c>
      <c r="AF59" s="167">
        <f t="shared" si="588"/>
        <v>0</v>
      </c>
      <c r="AG59" s="168">
        <f t="shared" si="589"/>
        <v>0</v>
      </c>
      <c r="AH59" s="159"/>
      <c r="AI59" s="161">
        <f t="shared" si="722"/>
        <v>11</v>
      </c>
      <c r="AJ59" s="162" t="str">
        <f t="shared" ref="AJ59:AL59" si="884">IFERROR(VLOOKUP($R59,$A$13:$D$30,-AJ$12,FALSE),"")</f>
        <v>Lainnya 2.3 (3) …….</v>
      </c>
      <c r="AK59" s="163" t="str">
        <f t="shared" si="884"/>
        <v/>
      </c>
      <c r="AL59" s="163" t="str">
        <f t="shared" si="884"/>
        <v/>
      </c>
      <c r="AM59" s="156"/>
      <c r="AN59" s="156" t="str">
        <f t="shared" si="591"/>
        <v/>
      </c>
      <c r="AO59" s="156">
        <f t="shared" si="592"/>
        <v>0</v>
      </c>
      <c r="AP59" s="164"/>
      <c r="AQ59" s="156">
        <f t="shared" si="593"/>
        <v>0</v>
      </c>
      <c r="AR59" s="413"/>
      <c r="AS59" s="165"/>
      <c r="AT59" s="165"/>
      <c r="AU59" s="156">
        <f t="shared" si="594"/>
        <v>0</v>
      </c>
      <c r="AV59" s="164">
        <f t="shared" si="595"/>
        <v>0.4604471269</v>
      </c>
      <c r="AW59" s="167">
        <f t="shared" si="596"/>
        <v>0</v>
      </c>
      <c r="AX59" s="168">
        <f t="shared" si="597"/>
        <v>0</v>
      </c>
      <c r="AY59" s="159"/>
      <c r="AZ59" s="161">
        <f t="shared" si="724"/>
        <v>11</v>
      </c>
      <c r="BA59" s="162" t="str">
        <f t="shared" ref="BA59:BC59" si="885">IFERROR(VLOOKUP($R59,$A$13:$D$30,-BA$12,FALSE),"")</f>
        <v>Lainnya 2.3 (3) …….</v>
      </c>
      <c r="BB59" s="163" t="str">
        <f t="shared" si="885"/>
        <v/>
      </c>
      <c r="BC59" s="163" t="str">
        <f t="shared" si="885"/>
        <v/>
      </c>
      <c r="BD59" s="156"/>
      <c r="BE59" s="156" t="str">
        <f t="shared" si="599"/>
        <v/>
      </c>
      <c r="BF59" s="156">
        <f t="shared" si="600"/>
        <v>0</v>
      </c>
      <c r="BG59" s="164"/>
      <c r="BH59" s="156">
        <f t="shared" si="601"/>
        <v>0</v>
      </c>
      <c r="BI59" s="413"/>
      <c r="BJ59" s="165"/>
      <c r="BK59" s="165"/>
      <c r="BL59" s="156">
        <f t="shared" si="602"/>
        <v>0</v>
      </c>
      <c r="BM59" s="164">
        <f t="shared" si="603"/>
        <v>0.4604471269</v>
      </c>
      <c r="BN59" s="167">
        <f t="shared" si="604"/>
        <v>0</v>
      </c>
      <c r="BO59" s="168">
        <f t="shared" si="605"/>
        <v>0</v>
      </c>
      <c r="BP59" s="159"/>
      <c r="BQ59" s="161">
        <f t="shared" si="726"/>
        <v>11</v>
      </c>
      <c r="BR59" s="162" t="str">
        <f t="shared" ref="BR59:BT59" si="886">IFERROR(VLOOKUP($R59,$A$13:$D$30,-BR$12,FALSE),"")</f>
        <v>Lainnya 2.3 (3) …….</v>
      </c>
      <c r="BS59" s="163" t="str">
        <f t="shared" si="886"/>
        <v/>
      </c>
      <c r="BT59" s="163" t="str">
        <f t="shared" si="886"/>
        <v/>
      </c>
      <c r="BU59" s="156"/>
      <c r="BV59" s="156" t="str">
        <f t="shared" si="607"/>
        <v/>
      </c>
      <c r="BW59" s="156">
        <f t="shared" si="608"/>
        <v>0</v>
      </c>
      <c r="BX59" s="164"/>
      <c r="BY59" s="156">
        <f t="shared" si="609"/>
        <v>0</v>
      </c>
      <c r="BZ59" s="413"/>
      <c r="CA59" s="165"/>
      <c r="CB59" s="165"/>
      <c r="CC59" s="156">
        <f t="shared" si="610"/>
        <v>0</v>
      </c>
      <c r="CD59" s="164">
        <f t="shared" si="611"/>
        <v>0.4604471269</v>
      </c>
      <c r="CE59" s="167">
        <f t="shared" si="612"/>
        <v>0</v>
      </c>
      <c r="CF59" s="168">
        <f t="shared" si="613"/>
        <v>0</v>
      </c>
      <c r="CG59" s="159"/>
      <c r="CH59" s="161">
        <f t="shared" si="728"/>
        <v>11</v>
      </c>
      <c r="CI59" s="162" t="str">
        <f t="shared" ref="CI59:CK59" si="887">IFERROR(VLOOKUP($R59,$A$13:$D$30,-CI$12,FALSE),"")</f>
        <v>Lainnya 2.3 (3) …….</v>
      </c>
      <c r="CJ59" s="163" t="str">
        <f t="shared" si="887"/>
        <v/>
      </c>
      <c r="CK59" s="163" t="str">
        <f t="shared" si="887"/>
        <v/>
      </c>
      <c r="CL59" s="156"/>
      <c r="CM59" s="156" t="str">
        <f t="shared" si="615"/>
        <v/>
      </c>
      <c r="CN59" s="156">
        <f t="shared" si="616"/>
        <v>0</v>
      </c>
      <c r="CO59" s="164"/>
      <c r="CP59" s="156">
        <f t="shared" si="617"/>
        <v>0</v>
      </c>
      <c r="CQ59" s="413"/>
      <c r="CR59" s="165"/>
      <c r="CS59" s="165"/>
      <c r="CT59" s="156">
        <f t="shared" si="618"/>
        <v>0</v>
      </c>
      <c r="CU59" s="164">
        <f t="shared" si="619"/>
        <v>0.4604471269</v>
      </c>
      <c r="CV59" s="167">
        <f t="shared" si="620"/>
        <v>0</v>
      </c>
      <c r="CW59" s="168">
        <f t="shared" si="621"/>
        <v>0</v>
      </c>
      <c r="CX59" s="159"/>
      <c r="CY59" s="161">
        <f t="shared" si="730"/>
        <v>11</v>
      </c>
      <c r="CZ59" s="162" t="str">
        <f t="shared" ref="CZ59:DB59" si="888">IFERROR(VLOOKUP($R59,$A$13:$D$30,-CZ$12,FALSE),"")</f>
        <v>Lainnya 2.3 (3) …….</v>
      </c>
      <c r="DA59" s="163" t="str">
        <f t="shared" si="888"/>
        <v/>
      </c>
      <c r="DB59" s="163" t="str">
        <f t="shared" si="888"/>
        <v/>
      </c>
      <c r="DC59" s="156"/>
      <c r="DD59" s="156" t="str">
        <f t="shared" si="623"/>
        <v/>
      </c>
      <c r="DE59" s="156">
        <f t="shared" si="624"/>
        <v>0</v>
      </c>
      <c r="DF59" s="164"/>
      <c r="DG59" s="156">
        <f t="shared" si="625"/>
        <v>0</v>
      </c>
      <c r="DH59" s="413"/>
      <c r="DI59" s="165"/>
      <c r="DJ59" s="165"/>
      <c r="DK59" s="156">
        <f t="shared" si="626"/>
        <v>0</v>
      </c>
      <c r="DL59" s="164">
        <f t="shared" si="627"/>
        <v>0.4604471269</v>
      </c>
      <c r="DM59" s="167">
        <f t="shared" si="628"/>
        <v>0</v>
      </c>
      <c r="DN59" s="168">
        <f t="shared" si="629"/>
        <v>0</v>
      </c>
      <c r="DO59" s="159"/>
      <c r="DP59" s="161">
        <f t="shared" si="732"/>
        <v>11</v>
      </c>
      <c r="DQ59" s="162" t="str">
        <f t="shared" ref="DQ59:DS59" si="889">IFERROR(VLOOKUP($R59,$A$13:$D$30,-DQ$12,FALSE),"")</f>
        <v>Lainnya 2.3 (3) …….</v>
      </c>
      <c r="DR59" s="163" t="str">
        <f t="shared" si="889"/>
        <v/>
      </c>
      <c r="DS59" s="163" t="str">
        <f t="shared" si="889"/>
        <v/>
      </c>
      <c r="DT59" s="156"/>
      <c r="DU59" s="156" t="str">
        <f t="shared" si="631"/>
        <v/>
      </c>
      <c r="DV59" s="156">
        <f t="shared" si="632"/>
        <v>0</v>
      </c>
      <c r="DW59" s="164"/>
      <c r="DX59" s="156">
        <f t="shared" si="633"/>
        <v>0</v>
      </c>
      <c r="DY59" s="413"/>
      <c r="DZ59" s="165"/>
      <c r="EA59" s="165"/>
      <c r="EB59" s="156">
        <f t="shared" si="634"/>
        <v>0</v>
      </c>
      <c r="EC59" s="164">
        <f t="shared" si="635"/>
        <v>0.4604471269</v>
      </c>
      <c r="ED59" s="167">
        <f t="shared" si="636"/>
        <v>0</v>
      </c>
      <c r="EE59" s="168">
        <f t="shared" si="637"/>
        <v>0</v>
      </c>
      <c r="EF59" s="159"/>
      <c r="EG59" s="161">
        <f t="shared" si="734"/>
        <v>11</v>
      </c>
      <c r="EH59" s="162" t="str">
        <f t="shared" ref="EH59:EJ59" si="890">IFERROR(VLOOKUP($R59,$A$13:$D$30,-EH$12,FALSE),"")</f>
        <v>Lainnya 2.3 (3) …….</v>
      </c>
      <c r="EI59" s="163" t="str">
        <f t="shared" si="890"/>
        <v/>
      </c>
      <c r="EJ59" s="163" t="str">
        <f t="shared" si="890"/>
        <v/>
      </c>
      <c r="EK59" s="156"/>
      <c r="EL59" s="156" t="str">
        <f t="shared" si="639"/>
        <v/>
      </c>
      <c r="EM59" s="156">
        <f t="shared" si="640"/>
        <v>0</v>
      </c>
      <c r="EN59" s="164"/>
      <c r="EO59" s="156">
        <f t="shared" si="641"/>
        <v>0</v>
      </c>
      <c r="EP59" s="413"/>
      <c r="EQ59" s="165"/>
      <c r="ER59" s="165"/>
      <c r="ES59" s="156">
        <f t="shared" si="642"/>
        <v>0</v>
      </c>
      <c r="ET59" s="164">
        <f t="shared" si="643"/>
        <v>0.4604471269</v>
      </c>
      <c r="EU59" s="167">
        <f t="shared" si="644"/>
        <v>0</v>
      </c>
      <c r="EV59" s="168">
        <f t="shared" si="645"/>
        <v>0</v>
      </c>
      <c r="EW59" s="159"/>
      <c r="EX59" s="161">
        <f t="shared" si="736"/>
        <v>11</v>
      </c>
      <c r="EY59" s="162" t="str">
        <f t="shared" ref="EY59:FA59" si="891">IFERROR(VLOOKUP($R59,$A$13:$D$30,-EY$12,FALSE),"")</f>
        <v>Lainnya 2.3 (3) …….</v>
      </c>
      <c r="EZ59" s="163" t="str">
        <f t="shared" si="891"/>
        <v/>
      </c>
      <c r="FA59" s="163" t="str">
        <f t="shared" si="891"/>
        <v/>
      </c>
      <c r="FB59" s="156"/>
      <c r="FC59" s="156" t="str">
        <f t="shared" si="647"/>
        <v/>
      </c>
      <c r="FD59" s="156">
        <f t="shared" si="648"/>
        <v>0</v>
      </c>
      <c r="FE59" s="164"/>
      <c r="FF59" s="156">
        <f t="shared" si="649"/>
        <v>0</v>
      </c>
      <c r="FG59" s="413"/>
      <c r="FH59" s="165"/>
      <c r="FI59" s="165"/>
      <c r="FJ59" s="156">
        <f t="shared" si="650"/>
        <v>0</v>
      </c>
      <c r="FK59" s="164">
        <f t="shared" si="651"/>
        <v>0.4604471269</v>
      </c>
      <c r="FL59" s="167">
        <f t="shared" si="652"/>
        <v>0</v>
      </c>
      <c r="FM59" s="168">
        <f t="shared" si="653"/>
        <v>0</v>
      </c>
      <c r="FN59" s="159"/>
      <c r="FO59" s="161">
        <f t="shared" si="738"/>
        <v>11</v>
      </c>
      <c r="FP59" s="162" t="str">
        <f t="shared" ref="FP59:FR59" si="892">IFERROR(VLOOKUP($R59,$A$13:$D$30,-FP$12,FALSE),"")</f>
        <v>Lainnya 2.3 (3) …….</v>
      </c>
      <c r="FQ59" s="163" t="str">
        <f t="shared" si="892"/>
        <v/>
      </c>
      <c r="FR59" s="163" t="str">
        <f t="shared" si="892"/>
        <v/>
      </c>
      <c r="FS59" s="156"/>
      <c r="FT59" s="156" t="str">
        <f t="shared" si="819"/>
        <v/>
      </c>
      <c r="FU59" s="156">
        <f t="shared" si="656"/>
        <v>0</v>
      </c>
      <c r="FV59" s="164"/>
      <c r="FW59" s="156">
        <f t="shared" si="657"/>
        <v>0</v>
      </c>
      <c r="FX59" s="413"/>
      <c r="FY59" s="165"/>
      <c r="FZ59" s="165"/>
      <c r="GA59" s="156">
        <f t="shared" si="658"/>
        <v>0</v>
      </c>
      <c r="GB59" s="164">
        <f t="shared" si="659"/>
        <v>0.4604471269</v>
      </c>
      <c r="GC59" s="167">
        <f t="shared" si="660"/>
        <v>0</v>
      </c>
      <c r="GD59" s="168">
        <f t="shared" si="661"/>
        <v>0</v>
      </c>
      <c r="GE59" s="159"/>
      <c r="GF59" s="161">
        <f t="shared" si="740"/>
        <v>11</v>
      </c>
      <c r="GG59" s="162" t="str">
        <f t="shared" ref="GG59:GI59" si="893">IFERROR(VLOOKUP($R59,$A$13:$D$30,-GG$12,FALSE),"")</f>
        <v>Lainnya 2.3 (3) …….</v>
      </c>
      <c r="GH59" s="163" t="str">
        <f t="shared" si="893"/>
        <v/>
      </c>
      <c r="GI59" s="163" t="str">
        <f t="shared" si="893"/>
        <v/>
      </c>
      <c r="GJ59" s="156"/>
      <c r="GK59" s="156" t="str">
        <f t="shared" si="894"/>
        <v/>
      </c>
      <c r="GL59" s="156">
        <f t="shared" si="664"/>
        <v>0</v>
      </c>
      <c r="GM59" s="164"/>
      <c r="GN59" s="156">
        <f t="shared" si="665"/>
        <v>0</v>
      </c>
      <c r="GO59" s="413"/>
      <c r="GP59" s="165"/>
      <c r="GQ59" s="165"/>
      <c r="GR59" s="156">
        <f t="shared" si="666"/>
        <v>0</v>
      </c>
      <c r="GS59" s="164">
        <f t="shared" si="667"/>
        <v>0.4604471269</v>
      </c>
      <c r="GT59" s="167">
        <f t="shared" si="668"/>
        <v>0</v>
      </c>
      <c r="GU59" s="168">
        <f t="shared" si="669"/>
        <v>0</v>
      </c>
      <c r="GV59" s="159"/>
      <c r="GW59" s="161">
        <f t="shared" si="742"/>
        <v>11</v>
      </c>
      <c r="GX59" s="162" t="str">
        <f t="shared" ref="GX59:GY59" si="895">IFERROR(VLOOKUP($R59,$A$13:$D$30,-GX$12,FALSE),"")</f>
        <v>Lainnya 2.3 (3) …….</v>
      </c>
      <c r="GY59" s="163" t="str">
        <f t="shared" si="895"/>
        <v/>
      </c>
      <c r="GZ59" s="163"/>
      <c r="HA59" s="169"/>
      <c r="HB59" s="156" t="str">
        <f t="shared" si="671"/>
        <v/>
      </c>
      <c r="HC59" s="156">
        <f t="shared" si="672"/>
        <v>0</v>
      </c>
      <c r="HD59" s="164"/>
      <c r="HE59" s="156">
        <f t="shared" si="673"/>
        <v>0</v>
      </c>
      <c r="HF59" s="413"/>
      <c r="HG59" s="165"/>
      <c r="HH59" s="165"/>
      <c r="HI59" s="156">
        <f t="shared" si="674"/>
        <v>0</v>
      </c>
      <c r="HJ59" s="164">
        <f t="shared" si="675"/>
        <v>0.4604471269</v>
      </c>
      <c r="HK59" s="167">
        <f t="shared" si="676"/>
        <v>0</v>
      </c>
      <c r="HL59" s="168">
        <f t="shared" si="677"/>
        <v>0</v>
      </c>
      <c r="HM59" s="159"/>
      <c r="HN59" s="161">
        <f t="shared" si="744"/>
        <v>11</v>
      </c>
      <c r="HO59" s="162" t="str">
        <f t="shared" ref="HO59:HQ59" si="896">IFERROR(VLOOKUP($R59,$A$13:$D$30,-HO$12,FALSE),"")</f>
        <v>Lainnya 2.3 (3) …….</v>
      </c>
      <c r="HP59" s="163" t="str">
        <f t="shared" si="896"/>
        <v/>
      </c>
      <c r="HQ59" s="163" t="str">
        <f t="shared" si="896"/>
        <v/>
      </c>
      <c r="HR59" s="156"/>
      <c r="HS59" s="156" t="str">
        <f t="shared" si="679"/>
        <v/>
      </c>
      <c r="HT59" s="156">
        <f t="shared" si="680"/>
        <v>0</v>
      </c>
      <c r="HU59" s="164"/>
      <c r="HV59" s="156">
        <f t="shared" si="681"/>
        <v>0</v>
      </c>
      <c r="HW59" s="413"/>
      <c r="HX59" s="165"/>
      <c r="HY59" s="165"/>
      <c r="HZ59" s="156">
        <f t="shared" si="682"/>
        <v>0</v>
      </c>
      <c r="IA59" s="164">
        <f t="shared" si="683"/>
        <v>0.4604471269</v>
      </c>
      <c r="IB59" s="167">
        <f t="shared" si="684"/>
        <v>0</v>
      </c>
      <c r="IC59" s="168">
        <f t="shared" si="685"/>
        <v>0</v>
      </c>
      <c r="ID59" s="159"/>
      <c r="IE59" s="161">
        <f t="shared" si="746"/>
        <v>11</v>
      </c>
      <c r="IF59" s="162" t="str">
        <f t="shared" ref="IF59:IH59" si="897">IFERROR(VLOOKUP($R59,$A$13:$D$30,-IF$12,FALSE),"")</f>
        <v>Lainnya 2.3 (3) …….</v>
      </c>
      <c r="IG59" s="163" t="str">
        <f t="shared" si="897"/>
        <v/>
      </c>
      <c r="IH59" s="163" t="str">
        <f t="shared" si="897"/>
        <v/>
      </c>
      <c r="II59" s="156"/>
      <c r="IJ59" s="156" t="str">
        <f t="shared" si="687"/>
        <v/>
      </c>
      <c r="IK59" s="156">
        <f t="shared" si="688"/>
        <v>0</v>
      </c>
      <c r="IL59" s="164"/>
      <c r="IM59" s="156">
        <f t="shared" si="689"/>
        <v>0</v>
      </c>
      <c r="IN59" s="413"/>
      <c r="IO59" s="165"/>
      <c r="IP59" s="165"/>
      <c r="IQ59" s="156">
        <f t="shared" si="690"/>
        <v>0</v>
      </c>
      <c r="IR59" s="164">
        <f t="shared" si="691"/>
        <v>0.4604471269</v>
      </c>
      <c r="IS59" s="167">
        <f t="shared" si="692"/>
        <v>0</v>
      </c>
      <c r="IT59" s="168">
        <f t="shared" si="693"/>
        <v>0</v>
      </c>
      <c r="IU59" s="159"/>
      <c r="IV59" s="161">
        <f t="shared" si="748"/>
        <v>11</v>
      </c>
      <c r="IW59" s="162" t="str">
        <f t="shared" ref="IW59:IY59" si="898">IFERROR(VLOOKUP($R59,$A$13:$D$30,-IW$12,FALSE),"")</f>
        <v>Lainnya 2.3 (3) …….</v>
      </c>
      <c r="IX59" s="163" t="str">
        <f t="shared" si="898"/>
        <v/>
      </c>
      <c r="IY59" s="163" t="str">
        <f t="shared" si="898"/>
        <v/>
      </c>
      <c r="IZ59" s="156"/>
      <c r="JA59" s="156" t="str">
        <f t="shared" si="695"/>
        <v/>
      </c>
      <c r="JB59" s="156">
        <f t="shared" si="696"/>
        <v>0</v>
      </c>
      <c r="JC59" s="164"/>
      <c r="JD59" s="156">
        <f t="shared" si="697"/>
        <v>0</v>
      </c>
      <c r="JE59" s="413"/>
      <c r="JF59" s="165"/>
      <c r="JG59" s="165"/>
      <c r="JH59" s="156">
        <f t="shared" si="698"/>
        <v>0</v>
      </c>
      <c r="JI59" s="164">
        <f t="shared" si="699"/>
        <v>0.4604471269</v>
      </c>
      <c r="JJ59" s="167">
        <f t="shared" si="700"/>
        <v>0</v>
      </c>
      <c r="JK59" s="168">
        <f t="shared" si="701"/>
        <v>0</v>
      </c>
      <c r="JL59" s="159"/>
      <c r="JM59" s="161">
        <f t="shared" si="750"/>
        <v>11</v>
      </c>
      <c r="JN59" s="162" t="str">
        <f t="shared" ref="JN59:JP59" si="899">IFERROR(VLOOKUP($R59,$A$13:$D$30,-JN$12,FALSE),"")</f>
        <v>Lainnya 2.3 (3) …….</v>
      </c>
      <c r="JO59" s="163" t="str">
        <f t="shared" si="899"/>
        <v/>
      </c>
      <c r="JP59" s="163" t="str">
        <f t="shared" si="899"/>
        <v/>
      </c>
      <c r="JQ59" s="156"/>
      <c r="JR59" s="156" t="str">
        <f t="shared" si="900"/>
        <v/>
      </c>
      <c r="JS59" s="156">
        <f t="shared" si="704"/>
        <v>0</v>
      </c>
      <c r="JT59" s="164"/>
      <c r="JU59" s="156">
        <f t="shared" si="705"/>
        <v>0</v>
      </c>
      <c r="JV59" s="413"/>
      <c r="JW59" s="165"/>
      <c r="JX59" s="165"/>
      <c r="JY59" s="156">
        <f t="shared" si="706"/>
        <v>0</v>
      </c>
      <c r="JZ59" s="164">
        <f t="shared" si="707"/>
        <v>0.4604471269</v>
      </c>
      <c r="KA59" s="167">
        <f t="shared" si="708"/>
        <v>0</v>
      </c>
      <c r="KB59" s="168">
        <f t="shared" si="709"/>
        <v>0</v>
      </c>
      <c r="KC59" s="159"/>
      <c r="KD59" s="161">
        <f t="shared" si="752"/>
        <v>11</v>
      </c>
      <c r="KE59" s="162" t="str">
        <f t="shared" ref="KE59:KG59" si="901">IFERROR(VLOOKUP($R59,$A$13:$D$30,-KE$12,FALSE),"")</f>
        <v>Lainnya 2.3 (3) …….</v>
      </c>
      <c r="KF59" s="163" t="str">
        <f t="shared" si="901"/>
        <v/>
      </c>
      <c r="KG59" s="163" t="str">
        <f t="shared" si="901"/>
        <v/>
      </c>
      <c r="KH59" s="156"/>
      <c r="KI59" s="156" t="str">
        <f t="shared" si="902"/>
        <v/>
      </c>
      <c r="KJ59" s="156">
        <f t="shared" si="712"/>
        <v>0</v>
      </c>
      <c r="KK59" s="164"/>
      <c r="KL59" s="156">
        <f t="shared" si="713"/>
        <v>0</v>
      </c>
      <c r="KM59" s="413"/>
      <c r="KN59" s="165"/>
      <c r="KO59" s="165"/>
      <c r="KP59" s="156">
        <f t="shared" si="714"/>
        <v>0</v>
      </c>
      <c r="KQ59" s="164">
        <f t="shared" si="715"/>
        <v>0.4604471269</v>
      </c>
      <c r="KR59" s="167">
        <f t="shared" si="716"/>
        <v>0</v>
      </c>
      <c r="KS59" s="168">
        <f t="shared" si="717"/>
        <v>0</v>
      </c>
      <c r="KT59" s="159"/>
      <c r="KU59" s="160"/>
    </row>
    <row r="60" ht="15.75" customHeight="1">
      <c r="A60" s="161">
        <f t="shared" si="718"/>
        <v>12</v>
      </c>
      <c r="B60" s="162" t="str">
        <f t="shared" ref="B60:D60" si="903">IFERROR(VLOOKUP($A60,$A$13:$D$30,-B$12,FALSE),"")</f>
        <v>Lainnya 2.3 (4) …….</v>
      </c>
      <c r="C60" s="163" t="str">
        <f t="shared" si="903"/>
        <v/>
      </c>
      <c r="D60" s="163" t="str">
        <f t="shared" si="903"/>
        <v/>
      </c>
      <c r="E60" s="156"/>
      <c r="F60" s="156"/>
      <c r="G60" s="156">
        <f t="shared" si="576"/>
        <v>0</v>
      </c>
      <c r="H60" s="164"/>
      <c r="I60" s="156">
        <f t="shared" si="577"/>
        <v>0</v>
      </c>
      <c r="J60" s="413"/>
      <c r="K60" s="165"/>
      <c r="L60" s="165"/>
      <c r="M60" s="156">
        <f t="shared" si="578"/>
        <v>0</v>
      </c>
      <c r="N60" s="164">
        <f t="shared" si="579"/>
        <v>0.4604471269</v>
      </c>
      <c r="O60" s="167">
        <f t="shared" si="580"/>
        <v>0</v>
      </c>
      <c r="P60" s="168">
        <f t="shared" si="581"/>
        <v>0</v>
      </c>
      <c r="Q60" s="159"/>
      <c r="R60" s="161">
        <f t="shared" si="720"/>
        <v>12</v>
      </c>
      <c r="S60" s="162" t="str">
        <f t="shared" ref="S60:U60" si="904">IFERROR(VLOOKUP($R60,$A$13:$D$30,-S$12,FALSE),"")</f>
        <v>Lainnya 2.3 (4) …….</v>
      </c>
      <c r="T60" s="163" t="str">
        <f t="shared" si="904"/>
        <v/>
      </c>
      <c r="U60" s="163" t="str">
        <f t="shared" si="904"/>
        <v/>
      </c>
      <c r="V60" s="156"/>
      <c r="W60" s="156" t="str">
        <f t="shared" si="583"/>
        <v/>
      </c>
      <c r="X60" s="156">
        <f t="shared" si="584"/>
        <v>0</v>
      </c>
      <c r="Y60" s="164"/>
      <c r="Z60" s="156">
        <f t="shared" si="585"/>
        <v>0</v>
      </c>
      <c r="AA60" s="413"/>
      <c r="AB60" s="165"/>
      <c r="AC60" s="165"/>
      <c r="AD60" s="156">
        <f t="shared" si="586"/>
        <v>0</v>
      </c>
      <c r="AE60" s="164">
        <f t="shared" si="587"/>
        <v>0.4604471269</v>
      </c>
      <c r="AF60" s="167">
        <f t="shared" si="588"/>
        <v>0</v>
      </c>
      <c r="AG60" s="168">
        <f t="shared" si="589"/>
        <v>0</v>
      </c>
      <c r="AH60" s="159"/>
      <c r="AI60" s="161">
        <f t="shared" si="722"/>
        <v>12</v>
      </c>
      <c r="AJ60" s="162" t="str">
        <f t="shared" ref="AJ60:AL60" si="905">IFERROR(VLOOKUP($R60,$A$13:$D$30,-AJ$12,FALSE),"")</f>
        <v>Lainnya 2.3 (4) …….</v>
      </c>
      <c r="AK60" s="163" t="str">
        <f t="shared" si="905"/>
        <v/>
      </c>
      <c r="AL60" s="163" t="str">
        <f t="shared" si="905"/>
        <v/>
      </c>
      <c r="AM60" s="156"/>
      <c r="AN60" s="156" t="str">
        <f t="shared" si="591"/>
        <v/>
      </c>
      <c r="AO60" s="156">
        <f t="shared" si="592"/>
        <v>0</v>
      </c>
      <c r="AP60" s="164"/>
      <c r="AQ60" s="156">
        <f t="shared" si="593"/>
        <v>0</v>
      </c>
      <c r="AR60" s="413"/>
      <c r="AS60" s="165"/>
      <c r="AT60" s="165"/>
      <c r="AU60" s="156">
        <f t="shared" si="594"/>
        <v>0</v>
      </c>
      <c r="AV60" s="164">
        <f t="shared" si="595"/>
        <v>0.4604471269</v>
      </c>
      <c r="AW60" s="167">
        <f t="shared" si="596"/>
        <v>0</v>
      </c>
      <c r="AX60" s="168">
        <f t="shared" si="597"/>
        <v>0</v>
      </c>
      <c r="AY60" s="159"/>
      <c r="AZ60" s="161">
        <f t="shared" si="724"/>
        <v>12</v>
      </c>
      <c r="BA60" s="162" t="str">
        <f t="shared" ref="BA60:BC60" si="906">IFERROR(VLOOKUP($R60,$A$13:$D$30,-BA$12,FALSE),"")</f>
        <v>Lainnya 2.3 (4) …….</v>
      </c>
      <c r="BB60" s="163" t="str">
        <f t="shared" si="906"/>
        <v/>
      </c>
      <c r="BC60" s="163" t="str">
        <f t="shared" si="906"/>
        <v/>
      </c>
      <c r="BD60" s="156"/>
      <c r="BE60" s="156" t="str">
        <f t="shared" si="599"/>
        <v/>
      </c>
      <c r="BF60" s="156">
        <f t="shared" si="600"/>
        <v>0</v>
      </c>
      <c r="BG60" s="164"/>
      <c r="BH60" s="156">
        <f t="shared" si="601"/>
        <v>0</v>
      </c>
      <c r="BI60" s="413"/>
      <c r="BJ60" s="165"/>
      <c r="BK60" s="165"/>
      <c r="BL60" s="156">
        <f t="shared" si="602"/>
        <v>0</v>
      </c>
      <c r="BM60" s="164">
        <f t="shared" si="603"/>
        <v>0.4604471269</v>
      </c>
      <c r="BN60" s="167">
        <f t="shared" si="604"/>
        <v>0</v>
      </c>
      <c r="BO60" s="168">
        <f t="shared" si="605"/>
        <v>0</v>
      </c>
      <c r="BP60" s="159"/>
      <c r="BQ60" s="161">
        <f t="shared" si="726"/>
        <v>12</v>
      </c>
      <c r="BR60" s="162" t="str">
        <f t="shared" ref="BR60:BT60" si="907">IFERROR(VLOOKUP($R60,$A$13:$D$30,-BR$12,FALSE),"")</f>
        <v>Lainnya 2.3 (4) …….</v>
      </c>
      <c r="BS60" s="163" t="str">
        <f t="shared" si="907"/>
        <v/>
      </c>
      <c r="BT60" s="163" t="str">
        <f t="shared" si="907"/>
        <v/>
      </c>
      <c r="BU60" s="156"/>
      <c r="BV60" s="156" t="str">
        <f t="shared" si="607"/>
        <v/>
      </c>
      <c r="BW60" s="156">
        <f t="shared" si="608"/>
        <v>0</v>
      </c>
      <c r="BX60" s="164"/>
      <c r="BY60" s="156">
        <f t="shared" si="609"/>
        <v>0</v>
      </c>
      <c r="BZ60" s="413"/>
      <c r="CA60" s="165"/>
      <c r="CB60" s="165"/>
      <c r="CC60" s="156">
        <f t="shared" si="610"/>
        <v>0</v>
      </c>
      <c r="CD60" s="164">
        <f t="shared" si="611"/>
        <v>0.4604471269</v>
      </c>
      <c r="CE60" s="167">
        <f t="shared" si="612"/>
        <v>0</v>
      </c>
      <c r="CF60" s="168">
        <f t="shared" si="613"/>
        <v>0</v>
      </c>
      <c r="CG60" s="159"/>
      <c r="CH60" s="161">
        <f t="shared" si="728"/>
        <v>12</v>
      </c>
      <c r="CI60" s="162" t="str">
        <f t="shared" ref="CI60:CK60" si="908">IFERROR(VLOOKUP($R60,$A$13:$D$30,-CI$12,FALSE),"")</f>
        <v>Lainnya 2.3 (4) …….</v>
      </c>
      <c r="CJ60" s="163" t="str">
        <f t="shared" si="908"/>
        <v/>
      </c>
      <c r="CK60" s="163" t="str">
        <f t="shared" si="908"/>
        <v/>
      </c>
      <c r="CL60" s="156"/>
      <c r="CM60" s="156" t="str">
        <f t="shared" si="615"/>
        <v/>
      </c>
      <c r="CN60" s="156">
        <f t="shared" si="616"/>
        <v>0</v>
      </c>
      <c r="CO60" s="164"/>
      <c r="CP60" s="156">
        <f t="shared" si="617"/>
        <v>0</v>
      </c>
      <c r="CQ60" s="413"/>
      <c r="CR60" s="165"/>
      <c r="CS60" s="165"/>
      <c r="CT60" s="156">
        <f t="shared" si="618"/>
        <v>0</v>
      </c>
      <c r="CU60" s="164">
        <f t="shared" si="619"/>
        <v>0.4604471269</v>
      </c>
      <c r="CV60" s="167">
        <f t="shared" si="620"/>
        <v>0</v>
      </c>
      <c r="CW60" s="168">
        <f t="shared" si="621"/>
        <v>0</v>
      </c>
      <c r="CX60" s="159"/>
      <c r="CY60" s="161">
        <f t="shared" si="730"/>
        <v>12</v>
      </c>
      <c r="CZ60" s="162" t="str">
        <f t="shared" ref="CZ60:DB60" si="909">IFERROR(VLOOKUP($R60,$A$13:$D$30,-CZ$12,FALSE),"")</f>
        <v>Lainnya 2.3 (4) …….</v>
      </c>
      <c r="DA60" s="163" t="str">
        <f t="shared" si="909"/>
        <v/>
      </c>
      <c r="DB60" s="163" t="str">
        <f t="shared" si="909"/>
        <v/>
      </c>
      <c r="DC60" s="156"/>
      <c r="DD60" s="156" t="str">
        <f t="shared" si="623"/>
        <v/>
      </c>
      <c r="DE60" s="156">
        <f t="shared" si="624"/>
        <v>0</v>
      </c>
      <c r="DF60" s="164"/>
      <c r="DG60" s="156">
        <f t="shared" si="625"/>
        <v>0</v>
      </c>
      <c r="DH60" s="413"/>
      <c r="DI60" s="165"/>
      <c r="DJ60" s="165"/>
      <c r="DK60" s="156">
        <f t="shared" si="626"/>
        <v>0</v>
      </c>
      <c r="DL60" s="164">
        <f t="shared" si="627"/>
        <v>0.4604471269</v>
      </c>
      <c r="DM60" s="167">
        <f t="shared" si="628"/>
        <v>0</v>
      </c>
      <c r="DN60" s="168">
        <f t="shared" si="629"/>
        <v>0</v>
      </c>
      <c r="DO60" s="159"/>
      <c r="DP60" s="161">
        <f t="shared" si="732"/>
        <v>12</v>
      </c>
      <c r="DQ60" s="162" t="str">
        <f t="shared" ref="DQ60:DS60" si="910">IFERROR(VLOOKUP($R60,$A$13:$D$30,-DQ$12,FALSE),"")</f>
        <v>Lainnya 2.3 (4) …….</v>
      </c>
      <c r="DR60" s="163" t="str">
        <f t="shared" si="910"/>
        <v/>
      </c>
      <c r="DS60" s="163" t="str">
        <f t="shared" si="910"/>
        <v/>
      </c>
      <c r="DT60" s="156"/>
      <c r="DU60" s="156" t="str">
        <f t="shared" si="631"/>
        <v/>
      </c>
      <c r="DV60" s="156">
        <f t="shared" si="632"/>
        <v>0</v>
      </c>
      <c r="DW60" s="164"/>
      <c r="DX60" s="156">
        <f t="shared" si="633"/>
        <v>0</v>
      </c>
      <c r="DY60" s="413"/>
      <c r="DZ60" s="165"/>
      <c r="EA60" s="165"/>
      <c r="EB60" s="156">
        <f t="shared" si="634"/>
        <v>0</v>
      </c>
      <c r="EC60" s="164">
        <f t="shared" si="635"/>
        <v>0.4604471269</v>
      </c>
      <c r="ED60" s="167">
        <f t="shared" si="636"/>
        <v>0</v>
      </c>
      <c r="EE60" s="168">
        <f t="shared" si="637"/>
        <v>0</v>
      </c>
      <c r="EF60" s="159"/>
      <c r="EG60" s="161">
        <f t="shared" si="734"/>
        <v>12</v>
      </c>
      <c r="EH60" s="162" t="str">
        <f t="shared" ref="EH60:EJ60" si="911">IFERROR(VLOOKUP($R60,$A$13:$D$30,-EH$12,FALSE),"")</f>
        <v>Lainnya 2.3 (4) …….</v>
      </c>
      <c r="EI60" s="163" t="str">
        <f t="shared" si="911"/>
        <v/>
      </c>
      <c r="EJ60" s="163" t="str">
        <f t="shared" si="911"/>
        <v/>
      </c>
      <c r="EK60" s="156"/>
      <c r="EL60" s="156" t="str">
        <f t="shared" si="639"/>
        <v/>
      </c>
      <c r="EM60" s="156">
        <f t="shared" si="640"/>
        <v>0</v>
      </c>
      <c r="EN60" s="164"/>
      <c r="EO60" s="156">
        <f t="shared" si="641"/>
        <v>0</v>
      </c>
      <c r="EP60" s="413"/>
      <c r="EQ60" s="165"/>
      <c r="ER60" s="165"/>
      <c r="ES60" s="156">
        <f t="shared" si="642"/>
        <v>0</v>
      </c>
      <c r="ET60" s="164">
        <f t="shared" si="643"/>
        <v>0.4604471269</v>
      </c>
      <c r="EU60" s="167">
        <f t="shared" si="644"/>
        <v>0</v>
      </c>
      <c r="EV60" s="168">
        <f t="shared" si="645"/>
        <v>0</v>
      </c>
      <c r="EW60" s="159"/>
      <c r="EX60" s="161">
        <f t="shared" si="736"/>
        <v>12</v>
      </c>
      <c r="EY60" s="162" t="str">
        <f t="shared" ref="EY60:FA60" si="912">IFERROR(VLOOKUP($R60,$A$13:$D$30,-EY$12,FALSE),"")</f>
        <v>Lainnya 2.3 (4) …….</v>
      </c>
      <c r="EZ60" s="163" t="str">
        <f t="shared" si="912"/>
        <v/>
      </c>
      <c r="FA60" s="163" t="str">
        <f t="shared" si="912"/>
        <v/>
      </c>
      <c r="FB60" s="156"/>
      <c r="FC60" s="156" t="str">
        <f t="shared" si="647"/>
        <v/>
      </c>
      <c r="FD60" s="156">
        <f t="shared" si="648"/>
        <v>0</v>
      </c>
      <c r="FE60" s="164"/>
      <c r="FF60" s="156">
        <f t="shared" si="649"/>
        <v>0</v>
      </c>
      <c r="FG60" s="413"/>
      <c r="FH60" s="165"/>
      <c r="FI60" s="165"/>
      <c r="FJ60" s="156">
        <f t="shared" si="650"/>
        <v>0</v>
      </c>
      <c r="FK60" s="164">
        <f t="shared" si="651"/>
        <v>0.4604471269</v>
      </c>
      <c r="FL60" s="167">
        <f t="shared" si="652"/>
        <v>0</v>
      </c>
      <c r="FM60" s="168">
        <f t="shared" si="653"/>
        <v>0</v>
      </c>
      <c r="FN60" s="159"/>
      <c r="FO60" s="161">
        <f t="shared" si="738"/>
        <v>12</v>
      </c>
      <c r="FP60" s="162" t="str">
        <f t="shared" ref="FP60:FR60" si="913">IFERROR(VLOOKUP($R60,$A$13:$D$30,-FP$12,FALSE),"")</f>
        <v>Lainnya 2.3 (4) …….</v>
      </c>
      <c r="FQ60" s="163" t="str">
        <f t="shared" si="913"/>
        <v/>
      </c>
      <c r="FR60" s="163" t="str">
        <f t="shared" si="913"/>
        <v/>
      </c>
      <c r="FS60" s="156"/>
      <c r="FT60" s="156" t="str">
        <f t="shared" si="819"/>
        <v/>
      </c>
      <c r="FU60" s="156">
        <f t="shared" si="656"/>
        <v>0</v>
      </c>
      <c r="FV60" s="164"/>
      <c r="FW60" s="156">
        <f t="shared" si="657"/>
        <v>0</v>
      </c>
      <c r="FX60" s="413"/>
      <c r="FY60" s="165"/>
      <c r="FZ60" s="165"/>
      <c r="GA60" s="156">
        <f t="shared" si="658"/>
        <v>0</v>
      </c>
      <c r="GB60" s="164">
        <f t="shared" si="659"/>
        <v>0.4604471269</v>
      </c>
      <c r="GC60" s="167">
        <f t="shared" si="660"/>
        <v>0</v>
      </c>
      <c r="GD60" s="168">
        <f t="shared" si="661"/>
        <v>0</v>
      </c>
      <c r="GE60" s="159"/>
      <c r="GF60" s="161">
        <f t="shared" si="740"/>
        <v>12</v>
      </c>
      <c r="GG60" s="162" t="str">
        <f t="shared" ref="GG60:GI60" si="914">IFERROR(VLOOKUP($R60,$A$13:$D$30,-GG$12,FALSE),"")</f>
        <v>Lainnya 2.3 (4) …….</v>
      </c>
      <c r="GH60" s="163" t="str">
        <f t="shared" si="914"/>
        <v/>
      </c>
      <c r="GI60" s="163" t="str">
        <f t="shared" si="914"/>
        <v/>
      </c>
      <c r="GJ60" s="156"/>
      <c r="GK60" s="156" t="str">
        <f t="shared" si="894"/>
        <v/>
      </c>
      <c r="GL60" s="156">
        <f t="shared" si="664"/>
        <v>0</v>
      </c>
      <c r="GM60" s="164"/>
      <c r="GN60" s="156">
        <f t="shared" si="665"/>
        <v>0</v>
      </c>
      <c r="GO60" s="413"/>
      <c r="GP60" s="165"/>
      <c r="GQ60" s="165"/>
      <c r="GR60" s="156">
        <f t="shared" si="666"/>
        <v>0</v>
      </c>
      <c r="GS60" s="164">
        <f t="shared" si="667"/>
        <v>0.4604471269</v>
      </c>
      <c r="GT60" s="167">
        <f t="shared" si="668"/>
        <v>0</v>
      </c>
      <c r="GU60" s="168">
        <f t="shared" si="669"/>
        <v>0</v>
      </c>
      <c r="GV60" s="159"/>
      <c r="GW60" s="161">
        <f t="shared" si="742"/>
        <v>12</v>
      </c>
      <c r="GX60" s="162" t="str">
        <f t="shared" ref="GX60:GY60" si="915">IFERROR(VLOOKUP($R60,$A$13:$D$30,-GX$12,FALSE),"")</f>
        <v>Lainnya 2.3 (4) …….</v>
      </c>
      <c r="GY60" s="163" t="str">
        <f t="shared" si="915"/>
        <v/>
      </c>
      <c r="GZ60" s="163"/>
      <c r="HA60" s="156"/>
      <c r="HB60" s="156" t="str">
        <f t="shared" si="671"/>
        <v/>
      </c>
      <c r="HC60" s="156">
        <f t="shared" si="672"/>
        <v>0</v>
      </c>
      <c r="HD60" s="164"/>
      <c r="HE60" s="156">
        <f t="shared" si="673"/>
        <v>0</v>
      </c>
      <c r="HF60" s="413"/>
      <c r="HG60" s="165"/>
      <c r="HH60" s="165"/>
      <c r="HI60" s="156">
        <f t="shared" si="674"/>
        <v>0</v>
      </c>
      <c r="HJ60" s="164">
        <f t="shared" si="675"/>
        <v>0.4604471269</v>
      </c>
      <c r="HK60" s="167">
        <f t="shared" si="676"/>
        <v>0</v>
      </c>
      <c r="HL60" s="168">
        <f t="shared" si="677"/>
        <v>0</v>
      </c>
      <c r="HM60" s="159"/>
      <c r="HN60" s="161">
        <f t="shared" si="744"/>
        <v>12</v>
      </c>
      <c r="HO60" s="162" t="str">
        <f t="shared" ref="HO60:HQ60" si="916">IFERROR(VLOOKUP($R60,$A$13:$D$30,-HO$12,FALSE),"")</f>
        <v>Lainnya 2.3 (4) …….</v>
      </c>
      <c r="HP60" s="163" t="str">
        <f t="shared" si="916"/>
        <v/>
      </c>
      <c r="HQ60" s="163" t="str">
        <f t="shared" si="916"/>
        <v/>
      </c>
      <c r="HR60" s="156"/>
      <c r="HS60" s="156" t="str">
        <f t="shared" si="679"/>
        <v/>
      </c>
      <c r="HT60" s="156">
        <f t="shared" si="680"/>
        <v>0</v>
      </c>
      <c r="HU60" s="164"/>
      <c r="HV60" s="156">
        <f t="shared" si="681"/>
        <v>0</v>
      </c>
      <c r="HW60" s="413"/>
      <c r="HX60" s="165"/>
      <c r="HY60" s="165"/>
      <c r="HZ60" s="156">
        <f t="shared" si="682"/>
        <v>0</v>
      </c>
      <c r="IA60" s="164">
        <f t="shared" si="683"/>
        <v>0.4604471269</v>
      </c>
      <c r="IB60" s="167">
        <f t="shared" si="684"/>
        <v>0</v>
      </c>
      <c r="IC60" s="168">
        <f t="shared" si="685"/>
        <v>0</v>
      </c>
      <c r="ID60" s="159"/>
      <c r="IE60" s="161">
        <f t="shared" si="746"/>
        <v>12</v>
      </c>
      <c r="IF60" s="162" t="str">
        <f t="shared" ref="IF60:IH60" si="917">IFERROR(VLOOKUP($R60,$A$13:$D$30,-IF$12,FALSE),"")</f>
        <v>Lainnya 2.3 (4) …….</v>
      </c>
      <c r="IG60" s="163" t="str">
        <f t="shared" si="917"/>
        <v/>
      </c>
      <c r="IH60" s="163" t="str">
        <f t="shared" si="917"/>
        <v/>
      </c>
      <c r="II60" s="156"/>
      <c r="IJ60" s="156" t="str">
        <f t="shared" si="687"/>
        <v/>
      </c>
      <c r="IK60" s="156">
        <f t="shared" si="688"/>
        <v>0</v>
      </c>
      <c r="IL60" s="164"/>
      <c r="IM60" s="156">
        <f t="shared" si="689"/>
        <v>0</v>
      </c>
      <c r="IN60" s="413"/>
      <c r="IO60" s="165"/>
      <c r="IP60" s="165"/>
      <c r="IQ60" s="156">
        <f t="shared" si="690"/>
        <v>0</v>
      </c>
      <c r="IR60" s="164">
        <f t="shared" si="691"/>
        <v>0.4604471269</v>
      </c>
      <c r="IS60" s="167">
        <f t="shared" si="692"/>
        <v>0</v>
      </c>
      <c r="IT60" s="168">
        <f t="shared" si="693"/>
        <v>0</v>
      </c>
      <c r="IU60" s="159"/>
      <c r="IV60" s="161">
        <f t="shared" si="748"/>
        <v>12</v>
      </c>
      <c r="IW60" s="162" t="str">
        <f t="shared" ref="IW60:IY60" si="918">IFERROR(VLOOKUP($R60,$A$13:$D$30,-IW$12,FALSE),"")</f>
        <v>Lainnya 2.3 (4) …….</v>
      </c>
      <c r="IX60" s="163" t="str">
        <f t="shared" si="918"/>
        <v/>
      </c>
      <c r="IY60" s="163" t="str">
        <f t="shared" si="918"/>
        <v/>
      </c>
      <c r="IZ60" s="156"/>
      <c r="JA60" s="156" t="str">
        <f t="shared" si="695"/>
        <v/>
      </c>
      <c r="JB60" s="156">
        <f t="shared" si="696"/>
        <v>0</v>
      </c>
      <c r="JC60" s="164"/>
      <c r="JD60" s="156">
        <f t="shared" si="697"/>
        <v>0</v>
      </c>
      <c r="JE60" s="413"/>
      <c r="JF60" s="165"/>
      <c r="JG60" s="165"/>
      <c r="JH60" s="156">
        <f t="shared" si="698"/>
        <v>0</v>
      </c>
      <c r="JI60" s="164">
        <f t="shared" si="699"/>
        <v>0.4604471269</v>
      </c>
      <c r="JJ60" s="167">
        <f t="shared" si="700"/>
        <v>0</v>
      </c>
      <c r="JK60" s="168">
        <f t="shared" si="701"/>
        <v>0</v>
      </c>
      <c r="JL60" s="159"/>
      <c r="JM60" s="161">
        <f t="shared" si="750"/>
        <v>12</v>
      </c>
      <c r="JN60" s="162" t="str">
        <f t="shared" ref="JN60:JP60" si="919">IFERROR(VLOOKUP($R60,$A$13:$D$30,-JN$12,FALSE),"")</f>
        <v>Lainnya 2.3 (4) …….</v>
      </c>
      <c r="JO60" s="163" t="str">
        <f t="shared" si="919"/>
        <v/>
      </c>
      <c r="JP60" s="163" t="str">
        <f t="shared" si="919"/>
        <v/>
      </c>
      <c r="JQ60" s="156"/>
      <c r="JR60" s="156" t="str">
        <f t="shared" si="900"/>
        <v/>
      </c>
      <c r="JS60" s="156">
        <f t="shared" si="704"/>
        <v>0</v>
      </c>
      <c r="JT60" s="164"/>
      <c r="JU60" s="156">
        <f t="shared" si="705"/>
        <v>0</v>
      </c>
      <c r="JV60" s="413"/>
      <c r="JW60" s="165"/>
      <c r="JX60" s="165"/>
      <c r="JY60" s="156">
        <f t="shared" si="706"/>
        <v>0</v>
      </c>
      <c r="JZ60" s="164">
        <f t="shared" si="707"/>
        <v>0.4604471269</v>
      </c>
      <c r="KA60" s="167">
        <f t="shared" si="708"/>
        <v>0</v>
      </c>
      <c r="KB60" s="168">
        <f t="shared" si="709"/>
        <v>0</v>
      </c>
      <c r="KC60" s="159"/>
      <c r="KD60" s="161">
        <f t="shared" si="752"/>
        <v>12</v>
      </c>
      <c r="KE60" s="162" t="str">
        <f t="shared" ref="KE60:KG60" si="920">IFERROR(VLOOKUP($R60,$A$13:$D$30,-KE$12,FALSE),"")</f>
        <v>Lainnya 2.3 (4) …….</v>
      </c>
      <c r="KF60" s="163" t="str">
        <f t="shared" si="920"/>
        <v/>
      </c>
      <c r="KG60" s="163" t="str">
        <f t="shared" si="920"/>
        <v/>
      </c>
      <c r="KH60" s="156"/>
      <c r="KI60" s="156" t="str">
        <f t="shared" si="902"/>
        <v/>
      </c>
      <c r="KJ60" s="156">
        <f t="shared" si="712"/>
        <v>0</v>
      </c>
      <c r="KK60" s="164"/>
      <c r="KL60" s="156">
        <f t="shared" si="713"/>
        <v>0</v>
      </c>
      <c r="KM60" s="413"/>
      <c r="KN60" s="165"/>
      <c r="KO60" s="165"/>
      <c r="KP60" s="156">
        <f t="shared" si="714"/>
        <v>0</v>
      </c>
      <c r="KQ60" s="164">
        <f t="shared" si="715"/>
        <v>0.4604471269</v>
      </c>
      <c r="KR60" s="167">
        <f t="shared" si="716"/>
        <v>0</v>
      </c>
      <c r="KS60" s="168">
        <f t="shared" si="717"/>
        <v>0</v>
      </c>
      <c r="KT60" s="159"/>
      <c r="KU60" s="160"/>
    </row>
    <row r="61" ht="15.75" customHeight="1">
      <c r="A61" s="161">
        <f t="shared" si="718"/>
        <v>13</v>
      </c>
      <c r="B61" s="162" t="str">
        <f t="shared" ref="B61:D61" si="921">IFERROR(VLOOKUP($A61,$A$13:$D$30,-B$12,FALSE),"")</f>
        <v>Lainnya 2.3 (5) …….</v>
      </c>
      <c r="C61" s="163" t="str">
        <f t="shared" si="921"/>
        <v/>
      </c>
      <c r="D61" s="163" t="str">
        <f t="shared" si="921"/>
        <v/>
      </c>
      <c r="E61" s="156"/>
      <c r="F61" s="156"/>
      <c r="G61" s="156">
        <f t="shared" si="576"/>
        <v>0</v>
      </c>
      <c r="H61" s="164"/>
      <c r="I61" s="156">
        <f t="shared" si="577"/>
        <v>0</v>
      </c>
      <c r="J61" s="413"/>
      <c r="K61" s="165"/>
      <c r="L61" s="165"/>
      <c r="M61" s="156">
        <f t="shared" si="578"/>
        <v>0</v>
      </c>
      <c r="N61" s="164">
        <f t="shared" si="579"/>
        <v>0.4604471269</v>
      </c>
      <c r="O61" s="167">
        <f t="shared" si="580"/>
        <v>0</v>
      </c>
      <c r="P61" s="168">
        <f t="shared" si="581"/>
        <v>0</v>
      </c>
      <c r="Q61" s="159"/>
      <c r="R61" s="161">
        <f t="shared" si="720"/>
        <v>13</v>
      </c>
      <c r="S61" s="162" t="str">
        <f t="shared" ref="S61:U61" si="922">IFERROR(VLOOKUP($R61,$A$13:$D$30,-S$12,FALSE),"")</f>
        <v>Lainnya 2.3 (5) …….</v>
      </c>
      <c r="T61" s="163" t="str">
        <f t="shared" si="922"/>
        <v/>
      </c>
      <c r="U61" s="163" t="str">
        <f t="shared" si="922"/>
        <v/>
      </c>
      <c r="V61" s="156"/>
      <c r="W61" s="156" t="str">
        <f t="shared" si="583"/>
        <v/>
      </c>
      <c r="X61" s="156">
        <f t="shared" si="584"/>
        <v>0</v>
      </c>
      <c r="Y61" s="164"/>
      <c r="Z61" s="156">
        <f t="shared" si="585"/>
        <v>0</v>
      </c>
      <c r="AA61" s="413"/>
      <c r="AB61" s="165"/>
      <c r="AC61" s="165"/>
      <c r="AD61" s="156">
        <f t="shared" si="586"/>
        <v>0</v>
      </c>
      <c r="AE61" s="164">
        <f t="shared" si="587"/>
        <v>0.4604471269</v>
      </c>
      <c r="AF61" s="167">
        <f t="shared" si="588"/>
        <v>0</v>
      </c>
      <c r="AG61" s="168">
        <f t="shared" si="589"/>
        <v>0</v>
      </c>
      <c r="AH61" s="159"/>
      <c r="AI61" s="161">
        <f t="shared" si="722"/>
        <v>13</v>
      </c>
      <c r="AJ61" s="162" t="str">
        <f t="shared" ref="AJ61:AL61" si="923">IFERROR(VLOOKUP($R61,$A$13:$D$30,-AJ$12,FALSE),"")</f>
        <v>Lainnya 2.3 (5) …….</v>
      </c>
      <c r="AK61" s="163" t="str">
        <f t="shared" si="923"/>
        <v/>
      </c>
      <c r="AL61" s="163" t="str">
        <f t="shared" si="923"/>
        <v/>
      </c>
      <c r="AM61" s="156"/>
      <c r="AN61" s="156" t="str">
        <f t="shared" si="591"/>
        <v/>
      </c>
      <c r="AO61" s="156">
        <f t="shared" si="592"/>
        <v>0</v>
      </c>
      <c r="AP61" s="164"/>
      <c r="AQ61" s="156">
        <f t="shared" si="593"/>
        <v>0</v>
      </c>
      <c r="AR61" s="413"/>
      <c r="AS61" s="165"/>
      <c r="AT61" s="165"/>
      <c r="AU61" s="156">
        <f t="shared" si="594"/>
        <v>0</v>
      </c>
      <c r="AV61" s="164">
        <f t="shared" si="595"/>
        <v>0.4604471269</v>
      </c>
      <c r="AW61" s="167">
        <f t="shared" si="596"/>
        <v>0</v>
      </c>
      <c r="AX61" s="168">
        <f t="shared" si="597"/>
        <v>0</v>
      </c>
      <c r="AY61" s="159"/>
      <c r="AZ61" s="161">
        <f t="shared" si="724"/>
        <v>13</v>
      </c>
      <c r="BA61" s="162" t="str">
        <f t="shared" ref="BA61:BC61" si="924">IFERROR(VLOOKUP($R61,$A$13:$D$30,-BA$12,FALSE),"")</f>
        <v>Lainnya 2.3 (5) …….</v>
      </c>
      <c r="BB61" s="163" t="str">
        <f t="shared" si="924"/>
        <v/>
      </c>
      <c r="BC61" s="163" t="str">
        <f t="shared" si="924"/>
        <v/>
      </c>
      <c r="BD61" s="156"/>
      <c r="BE61" s="156" t="str">
        <f t="shared" si="599"/>
        <v/>
      </c>
      <c r="BF61" s="156">
        <f t="shared" si="600"/>
        <v>0</v>
      </c>
      <c r="BG61" s="164"/>
      <c r="BH61" s="156">
        <f t="shared" si="601"/>
        <v>0</v>
      </c>
      <c r="BI61" s="413"/>
      <c r="BJ61" s="165"/>
      <c r="BK61" s="165"/>
      <c r="BL61" s="156">
        <f t="shared" si="602"/>
        <v>0</v>
      </c>
      <c r="BM61" s="164">
        <f t="shared" si="603"/>
        <v>0.4604471269</v>
      </c>
      <c r="BN61" s="167">
        <f t="shared" si="604"/>
        <v>0</v>
      </c>
      <c r="BO61" s="168">
        <f t="shared" si="605"/>
        <v>0</v>
      </c>
      <c r="BP61" s="159"/>
      <c r="BQ61" s="161">
        <f t="shared" si="726"/>
        <v>13</v>
      </c>
      <c r="BR61" s="162" t="str">
        <f t="shared" ref="BR61:BT61" si="925">IFERROR(VLOOKUP($R61,$A$13:$D$30,-BR$12,FALSE),"")</f>
        <v>Lainnya 2.3 (5) …….</v>
      </c>
      <c r="BS61" s="163" t="str">
        <f t="shared" si="925"/>
        <v/>
      </c>
      <c r="BT61" s="163" t="str">
        <f t="shared" si="925"/>
        <v/>
      </c>
      <c r="BU61" s="156"/>
      <c r="BV61" s="156" t="str">
        <f t="shared" si="607"/>
        <v/>
      </c>
      <c r="BW61" s="156">
        <f t="shared" si="608"/>
        <v>0</v>
      </c>
      <c r="BX61" s="164"/>
      <c r="BY61" s="156">
        <f t="shared" si="609"/>
        <v>0</v>
      </c>
      <c r="BZ61" s="413"/>
      <c r="CA61" s="165"/>
      <c r="CB61" s="165"/>
      <c r="CC61" s="156">
        <f t="shared" si="610"/>
        <v>0</v>
      </c>
      <c r="CD61" s="164">
        <f t="shared" si="611"/>
        <v>0.4604471269</v>
      </c>
      <c r="CE61" s="167">
        <f t="shared" si="612"/>
        <v>0</v>
      </c>
      <c r="CF61" s="168">
        <f t="shared" si="613"/>
        <v>0</v>
      </c>
      <c r="CG61" s="159"/>
      <c r="CH61" s="161">
        <f t="shared" si="728"/>
        <v>13</v>
      </c>
      <c r="CI61" s="162" t="str">
        <f t="shared" ref="CI61:CK61" si="926">IFERROR(VLOOKUP($R61,$A$13:$D$30,-CI$12,FALSE),"")</f>
        <v>Lainnya 2.3 (5) …….</v>
      </c>
      <c r="CJ61" s="163" t="str">
        <f t="shared" si="926"/>
        <v/>
      </c>
      <c r="CK61" s="163" t="str">
        <f t="shared" si="926"/>
        <v/>
      </c>
      <c r="CL61" s="156"/>
      <c r="CM61" s="156" t="str">
        <f t="shared" si="615"/>
        <v/>
      </c>
      <c r="CN61" s="156">
        <f t="shared" si="616"/>
        <v>0</v>
      </c>
      <c r="CO61" s="164"/>
      <c r="CP61" s="156">
        <f t="shared" si="617"/>
        <v>0</v>
      </c>
      <c r="CQ61" s="413"/>
      <c r="CR61" s="165"/>
      <c r="CS61" s="165"/>
      <c r="CT61" s="156">
        <f t="shared" si="618"/>
        <v>0</v>
      </c>
      <c r="CU61" s="164">
        <f t="shared" si="619"/>
        <v>0.4604471269</v>
      </c>
      <c r="CV61" s="167">
        <f t="shared" si="620"/>
        <v>0</v>
      </c>
      <c r="CW61" s="168">
        <f t="shared" si="621"/>
        <v>0</v>
      </c>
      <c r="CX61" s="159"/>
      <c r="CY61" s="161">
        <f t="shared" si="730"/>
        <v>13</v>
      </c>
      <c r="CZ61" s="162" t="str">
        <f t="shared" ref="CZ61:DB61" si="927">IFERROR(VLOOKUP($R61,$A$13:$D$30,-CZ$12,FALSE),"")</f>
        <v>Lainnya 2.3 (5) …….</v>
      </c>
      <c r="DA61" s="163" t="str">
        <f t="shared" si="927"/>
        <v/>
      </c>
      <c r="DB61" s="163" t="str">
        <f t="shared" si="927"/>
        <v/>
      </c>
      <c r="DC61" s="156"/>
      <c r="DD61" s="156" t="str">
        <f t="shared" si="623"/>
        <v/>
      </c>
      <c r="DE61" s="156">
        <f t="shared" si="624"/>
        <v>0</v>
      </c>
      <c r="DF61" s="164"/>
      <c r="DG61" s="156">
        <f t="shared" si="625"/>
        <v>0</v>
      </c>
      <c r="DH61" s="413"/>
      <c r="DI61" s="165"/>
      <c r="DJ61" s="165"/>
      <c r="DK61" s="156">
        <f t="shared" si="626"/>
        <v>0</v>
      </c>
      <c r="DL61" s="164">
        <f t="shared" si="627"/>
        <v>0.4604471269</v>
      </c>
      <c r="DM61" s="167">
        <f t="shared" si="628"/>
        <v>0</v>
      </c>
      <c r="DN61" s="168">
        <f t="shared" si="629"/>
        <v>0</v>
      </c>
      <c r="DO61" s="159"/>
      <c r="DP61" s="161">
        <f t="shared" si="732"/>
        <v>13</v>
      </c>
      <c r="DQ61" s="162" t="str">
        <f t="shared" ref="DQ61:DS61" si="928">IFERROR(VLOOKUP($R61,$A$13:$D$30,-DQ$12,FALSE),"")</f>
        <v>Lainnya 2.3 (5) …….</v>
      </c>
      <c r="DR61" s="163" t="str">
        <f t="shared" si="928"/>
        <v/>
      </c>
      <c r="DS61" s="163" t="str">
        <f t="shared" si="928"/>
        <v/>
      </c>
      <c r="DT61" s="156"/>
      <c r="DU61" s="156" t="str">
        <f t="shared" si="631"/>
        <v/>
      </c>
      <c r="DV61" s="156">
        <f t="shared" si="632"/>
        <v>0</v>
      </c>
      <c r="DW61" s="164"/>
      <c r="DX61" s="156">
        <f t="shared" si="633"/>
        <v>0</v>
      </c>
      <c r="DY61" s="413"/>
      <c r="DZ61" s="165"/>
      <c r="EA61" s="165"/>
      <c r="EB61" s="156">
        <f t="shared" si="634"/>
        <v>0</v>
      </c>
      <c r="EC61" s="164">
        <f t="shared" si="635"/>
        <v>0.4604471269</v>
      </c>
      <c r="ED61" s="167">
        <f t="shared" si="636"/>
        <v>0</v>
      </c>
      <c r="EE61" s="168">
        <f t="shared" si="637"/>
        <v>0</v>
      </c>
      <c r="EF61" s="159"/>
      <c r="EG61" s="161">
        <f t="shared" si="734"/>
        <v>13</v>
      </c>
      <c r="EH61" s="162" t="str">
        <f t="shared" ref="EH61:EJ61" si="929">IFERROR(VLOOKUP($R61,$A$13:$D$30,-EH$12,FALSE),"")</f>
        <v>Lainnya 2.3 (5) …….</v>
      </c>
      <c r="EI61" s="163" t="str">
        <f t="shared" si="929"/>
        <v/>
      </c>
      <c r="EJ61" s="163" t="str">
        <f t="shared" si="929"/>
        <v/>
      </c>
      <c r="EK61" s="156"/>
      <c r="EL61" s="156" t="str">
        <f t="shared" si="639"/>
        <v/>
      </c>
      <c r="EM61" s="156">
        <f t="shared" si="640"/>
        <v>0</v>
      </c>
      <c r="EN61" s="164"/>
      <c r="EO61" s="156">
        <f t="shared" si="641"/>
        <v>0</v>
      </c>
      <c r="EP61" s="413"/>
      <c r="EQ61" s="165"/>
      <c r="ER61" s="165"/>
      <c r="ES61" s="156">
        <f t="shared" si="642"/>
        <v>0</v>
      </c>
      <c r="ET61" s="164">
        <f t="shared" si="643"/>
        <v>0.4604471269</v>
      </c>
      <c r="EU61" s="167">
        <f t="shared" si="644"/>
        <v>0</v>
      </c>
      <c r="EV61" s="168">
        <f t="shared" si="645"/>
        <v>0</v>
      </c>
      <c r="EW61" s="159"/>
      <c r="EX61" s="161">
        <f t="shared" si="736"/>
        <v>13</v>
      </c>
      <c r="EY61" s="162" t="str">
        <f t="shared" ref="EY61:FA61" si="930">IFERROR(VLOOKUP($R61,$A$13:$D$30,-EY$12,FALSE),"")</f>
        <v>Lainnya 2.3 (5) …….</v>
      </c>
      <c r="EZ61" s="163" t="str">
        <f t="shared" si="930"/>
        <v/>
      </c>
      <c r="FA61" s="163" t="str">
        <f t="shared" si="930"/>
        <v/>
      </c>
      <c r="FB61" s="156"/>
      <c r="FC61" s="156" t="str">
        <f t="shared" si="647"/>
        <v/>
      </c>
      <c r="FD61" s="156">
        <f t="shared" si="648"/>
        <v>0</v>
      </c>
      <c r="FE61" s="164"/>
      <c r="FF61" s="156">
        <f t="shared" si="649"/>
        <v>0</v>
      </c>
      <c r="FG61" s="413"/>
      <c r="FH61" s="165"/>
      <c r="FI61" s="165"/>
      <c r="FJ61" s="156">
        <f t="shared" si="650"/>
        <v>0</v>
      </c>
      <c r="FK61" s="164">
        <f t="shared" si="651"/>
        <v>0.4604471269</v>
      </c>
      <c r="FL61" s="167">
        <f t="shared" si="652"/>
        <v>0</v>
      </c>
      <c r="FM61" s="168">
        <f t="shared" si="653"/>
        <v>0</v>
      </c>
      <c r="FN61" s="159"/>
      <c r="FO61" s="161">
        <f t="shared" si="738"/>
        <v>13</v>
      </c>
      <c r="FP61" s="162" t="str">
        <f t="shared" ref="FP61:FR61" si="931">IFERROR(VLOOKUP($R61,$A$13:$D$30,-FP$12,FALSE),"")</f>
        <v>Lainnya 2.3 (5) …….</v>
      </c>
      <c r="FQ61" s="163" t="str">
        <f t="shared" si="931"/>
        <v/>
      </c>
      <c r="FR61" s="163" t="str">
        <f t="shared" si="931"/>
        <v/>
      </c>
      <c r="FS61" s="156"/>
      <c r="FT61" s="156" t="str">
        <f t="shared" si="819"/>
        <v/>
      </c>
      <c r="FU61" s="156">
        <f t="shared" si="656"/>
        <v>0</v>
      </c>
      <c r="FV61" s="164"/>
      <c r="FW61" s="156">
        <f t="shared" si="657"/>
        <v>0</v>
      </c>
      <c r="FX61" s="413"/>
      <c r="FY61" s="165"/>
      <c r="FZ61" s="165"/>
      <c r="GA61" s="156">
        <f t="shared" si="658"/>
        <v>0</v>
      </c>
      <c r="GB61" s="164">
        <f t="shared" si="659"/>
        <v>0.4604471269</v>
      </c>
      <c r="GC61" s="167">
        <f t="shared" si="660"/>
        <v>0</v>
      </c>
      <c r="GD61" s="168">
        <f t="shared" si="661"/>
        <v>0</v>
      </c>
      <c r="GE61" s="159"/>
      <c r="GF61" s="161">
        <f t="shared" si="740"/>
        <v>13</v>
      </c>
      <c r="GG61" s="162" t="str">
        <f t="shared" ref="GG61:GI61" si="932">IFERROR(VLOOKUP($R61,$A$13:$D$30,-GG$12,FALSE),"")</f>
        <v>Lainnya 2.3 (5) …….</v>
      </c>
      <c r="GH61" s="163" t="str">
        <f t="shared" si="932"/>
        <v/>
      </c>
      <c r="GI61" s="163" t="str">
        <f t="shared" si="932"/>
        <v/>
      </c>
      <c r="GJ61" s="156"/>
      <c r="GK61" s="156" t="str">
        <f t="shared" si="894"/>
        <v/>
      </c>
      <c r="GL61" s="156">
        <f t="shared" si="664"/>
        <v>0</v>
      </c>
      <c r="GM61" s="164"/>
      <c r="GN61" s="156">
        <f t="shared" si="665"/>
        <v>0</v>
      </c>
      <c r="GO61" s="413"/>
      <c r="GP61" s="165"/>
      <c r="GQ61" s="165"/>
      <c r="GR61" s="156">
        <f t="shared" si="666"/>
        <v>0</v>
      </c>
      <c r="GS61" s="164">
        <f t="shared" si="667"/>
        <v>0.4604471269</v>
      </c>
      <c r="GT61" s="167">
        <f t="shared" si="668"/>
        <v>0</v>
      </c>
      <c r="GU61" s="168">
        <f t="shared" si="669"/>
        <v>0</v>
      </c>
      <c r="GV61" s="159"/>
      <c r="GW61" s="161">
        <f t="shared" si="742"/>
        <v>13</v>
      </c>
      <c r="GX61" s="162" t="str">
        <f t="shared" ref="GX61:GY61" si="933">IFERROR(VLOOKUP($R61,$A$13:$D$30,-GX$12,FALSE),"")</f>
        <v>Lainnya 2.3 (5) …….</v>
      </c>
      <c r="GY61" s="163" t="str">
        <f t="shared" si="933"/>
        <v/>
      </c>
      <c r="GZ61" s="163"/>
      <c r="HA61" s="169" t="s">
        <v>90</v>
      </c>
      <c r="HB61" s="156"/>
      <c r="HC61" s="156" t="str">
        <f t="shared" si="672"/>
        <v/>
      </c>
      <c r="HD61" s="164"/>
      <c r="HE61" s="156">
        <f t="shared" si="673"/>
        <v>0</v>
      </c>
      <c r="HF61" s="413"/>
      <c r="HG61" s="165"/>
      <c r="HH61" s="165"/>
      <c r="HI61" s="156">
        <f t="shared" si="674"/>
        <v>0</v>
      </c>
      <c r="HJ61" s="164">
        <f t="shared" si="675"/>
        <v>0.4604471269</v>
      </c>
      <c r="HK61" s="167">
        <f t="shared" si="676"/>
        <v>0</v>
      </c>
      <c r="HL61" s="168">
        <f t="shared" si="677"/>
        <v>0</v>
      </c>
      <c r="HM61" s="159"/>
      <c r="HN61" s="161">
        <f t="shared" si="744"/>
        <v>13</v>
      </c>
      <c r="HO61" s="162" t="str">
        <f t="shared" ref="HO61:HQ61" si="934">IFERROR(VLOOKUP($R61,$A$13:$D$30,-HO$12,FALSE),"")</f>
        <v>Lainnya 2.3 (5) …….</v>
      </c>
      <c r="HP61" s="163" t="str">
        <f t="shared" si="934"/>
        <v/>
      </c>
      <c r="HQ61" s="163" t="str">
        <f t="shared" si="934"/>
        <v/>
      </c>
      <c r="HR61" s="156"/>
      <c r="HS61" s="156" t="str">
        <f t="shared" si="679"/>
        <v/>
      </c>
      <c r="HT61" s="156">
        <f t="shared" si="680"/>
        <v>0</v>
      </c>
      <c r="HU61" s="164"/>
      <c r="HV61" s="156">
        <f t="shared" si="681"/>
        <v>0</v>
      </c>
      <c r="HW61" s="413"/>
      <c r="HX61" s="165"/>
      <c r="HY61" s="165"/>
      <c r="HZ61" s="156">
        <f t="shared" si="682"/>
        <v>0</v>
      </c>
      <c r="IA61" s="164">
        <f t="shared" si="683"/>
        <v>0.4604471269</v>
      </c>
      <c r="IB61" s="167">
        <f t="shared" si="684"/>
        <v>0</v>
      </c>
      <c r="IC61" s="168">
        <f t="shared" si="685"/>
        <v>0</v>
      </c>
      <c r="ID61" s="159"/>
      <c r="IE61" s="161">
        <f t="shared" si="746"/>
        <v>13</v>
      </c>
      <c r="IF61" s="162" t="str">
        <f t="shared" ref="IF61:IH61" si="935">IFERROR(VLOOKUP($R61,$A$13:$D$30,-IF$12,FALSE),"")</f>
        <v>Lainnya 2.3 (5) …….</v>
      </c>
      <c r="IG61" s="163" t="str">
        <f t="shared" si="935"/>
        <v/>
      </c>
      <c r="IH61" s="163" t="str">
        <f t="shared" si="935"/>
        <v/>
      </c>
      <c r="II61" s="156"/>
      <c r="IJ61" s="156" t="str">
        <f t="shared" si="687"/>
        <v/>
      </c>
      <c r="IK61" s="156">
        <f t="shared" si="688"/>
        <v>0</v>
      </c>
      <c r="IL61" s="164"/>
      <c r="IM61" s="156">
        <f t="shared" si="689"/>
        <v>0</v>
      </c>
      <c r="IN61" s="413"/>
      <c r="IO61" s="165"/>
      <c r="IP61" s="165"/>
      <c r="IQ61" s="156">
        <f t="shared" si="690"/>
        <v>0</v>
      </c>
      <c r="IR61" s="164">
        <f t="shared" si="691"/>
        <v>0.4604471269</v>
      </c>
      <c r="IS61" s="167">
        <f t="shared" si="692"/>
        <v>0</v>
      </c>
      <c r="IT61" s="168">
        <f t="shared" si="693"/>
        <v>0</v>
      </c>
      <c r="IU61" s="159"/>
      <c r="IV61" s="161">
        <f t="shared" si="748"/>
        <v>13</v>
      </c>
      <c r="IW61" s="162" t="str">
        <f t="shared" ref="IW61:IY61" si="936">IFERROR(VLOOKUP($R61,$A$13:$D$30,-IW$12,FALSE),"")</f>
        <v>Lainnya 2.3 (5) …….</v>
      </c>
      <c r="IX61" s="163" t="str">
        <f t="shared" si="936"/>
        <v/>
      </c>
      <c r="IY61" s="163" t="str">
        <f t="shared" si="936"/>
        <v/>
      </c>
      <c r="IZ61" s="156"/>
      <c r="JA61" s="156" t="str">
        <f t="shared" si="695"/>
        <v/>
      </c>
      <c r="JB61" s="156">
        <f t="shared" si="696"/>
        <v>0</v>
      </c>
      <c r="JC61" s="164"/>
      <c r="JD61" s="156">
        <f t="shared" si="697"/>
        <v>0</v>
      </c>
      <c r="JE61" s="413"/>
      <c r="JF61" s="165"/>
      <c r="JG61" s="165"/>
      <c r="JH61" s="156">
        <f t="shared" si="698"/>
        <v>0</v>
      </c>
      <c r="JI61" s="164">
        <f t="shared" si="699"/>
        <v>0.4604471269</v>
      </c>
      <c r="JJ61" s="167">
        <f t="shared" si="700"/>
        <v>0</v>
      </c>
      <c r="JK61" s="168">
        <f t="shared" si="701"/>
        <v>0</v>
      </c>
      <c r="JL61" s="159"/>
      <c r="JM61" s="161">
        <f t="shared" si="750"/>
        <v>13</v>
      </c>
      <c r="JN61" s="162" t="str">
        <f t="shared" ref="JN61:JP61" si="937">IFERROR(VLOOKUP($R61,$A$13:$D$30,-JN$12,FALSE),"")</f>
        <v>Lainnya 2.3 (5) …….</v>
      </c>
      <c r="JO61" s="163" t="str">
        <f t="shared" si="937"/>
        <v/>
      </c>
      <c r="JP61" s="163" t="str">
        <f t="shared" si="937"/>
        <v/>
      </c>
      <c r="JQ61" s="156"/>
      <c r="JR61" s="156" t="str">
        <f t="shared" si="900"/>
        <v/>
      </c>
      <c r="JS61" s="156">
        <f t="shared" si="704"/>
        <v>0</v>
      </c>
      <c r="JT61" s="164"/>
      <c r="JU61" s="156">
        <f t="shared" si="705"/>
        <v>0</v>
      </c>
      <c r="JV61" s="413"/>
      <c r="JW61" s="165"/>
      <c r="JX61" s="165"/>
      <c r="JY61" s="156">
        <f t="shared" si="706"/>
        <v>0</v>
      </c>
      <c r="JZ61" s="164">
        <f t="shared" si="707"/>
        <v>0.4604471269</v>
      </c>
      <c r="KA61" s="167">
        <f t="shared" si="708"/>
        <v>0</v>
      </c>
      <c r="KB61" s="168">
        <f t="shared" si="709"/>
        <v>0</v>
      </c>
      <c r="KC61" s="159"/>
      <c r="KD61" s="161">
        <f t="shared" si="752"/>
        <v>13</v>
      </c>
      <c r="KE61" s="162" t="str">
        <f t="shared" ref="KE61:KG61" si="938">IFERROR(VLOOKUP($R61,$A$13:$D$30,-KE$12,FALSE),"")</f>
        <v>Lainnya 2.3 (5) …….</v>
      </c>
      <c r="KF61" s="163" t="str">
        <f t="shared" si="938"/>
        <v/>
      </c>
      <c r="KG61" s="163" t="str">
        <f t="shared" si="938"/>
        <v/>
      </c>
      <c r="KH61" s="156"/>
      <c r="KI61" s="156" t="str">
        <f t="shared" si="902"/>
        <v/>
      </c>
      <c r="KJ61" s="156">
        <f t="shared" si="712"/>
        <v>0</v>
      </c>
      <c r="KK61" s="164"/>
      <c r="KL61" s="156">
        <f t="shared" si="713"/>
        <v>0</v>
      </c>
      <c r="KM61" s="413"/>
      <c r="KN61" s="165"/>
      <c r="KO61" s="165"/>
      <c r="KP61" s="156">
        <f t="shared" si="714"/>
        <v>0</v>
      </c>
      <c r="KQ61" s="164">
        <f t="shared" si="715"/>
        <v>0.4604471269</v>
      </c>
      <c r="KR61" s="167">
        <f t="shared" si="716"/>
        <v>0</v>
      </c>
      <c r="KS61" s="168">
        <f t="shared" si="717"/>
        <v>0</v>
      </c>
      <c r="KT61" s="159"/>
      <c r="KU61" s="160"/>
    </row>
    <row r="62" ht="15.75" customHeight="1">
      <c r="A62" s="161">
        <f t="shared" si="718"/>
        <v>14</v>
      </c>
      <c r="B62" s="162" t="str">
        <f t="shared" ref="B62:D62" si="939">IFERROR(VLOOKUP($A62,$A$13:$D$30,-B$12,FALSE),"")</f>
        <v>Lainnya 2.3 (6) …….</v>
      </c>
      <c r="C62" s="163" t="str">
        <f t="shared" si="939"/>
        <v/>
      </c>
      <c r="D62" s="163" t="str">
        <f t="shared" si="939"/>
        <v/>
      </c>
      <c r="E62" s="156"/>
      <c r="F62" s="156"/>
      <c r="G62" s="156">
        <f t="shared" si="576"/>
        <v>0</v>
      </c>
      <c r="H62" s="164"/>
      <c r="I62" s="156">
        <f t="shared" si="577"/>
        <v>0</v>
      </c>
      <c r="J62" s="413"/>
      <c r="K62" s="165"/>
      <c r="L62" s="165"/>
      <c r="M62" s="156">
        <f t="shared" si="578"/>
        <v>0</v>
      </c>
      <c r="N62" s="164">
        <f t="shared" si="579"/>
        <v>0.4604471269</v>
      </c>
      <c r="O62" s="167">
        <f t="shared" si="580"/>
        <v>0</v>
      </c>
      <c r="P62" s="168">
        <f t="shared" si="581"/>
        <v>0</v>
      </c>
      <c r="Q62" s="159"/>
      <c r="R62" s="161">
        <f t="shared" si="720"/>
        <v>14</v>
      </c>
      <c r="S62" s="162" t="str">
        <f t="shared" ref="S62:U62" si="940">IFERROR(VLOOKUP($R62,$A$13:$D$30,-S$12,FALSE),"")</f>
        <v>Lainnya 2.3 (6) …….</v>
      </c>
      <c r="T62" s="163" t="str">
        <f t="shared" si="940"/>
        <v/>
      </c>
      <c r="U62" s="163" t="str">
        <f t="shared" si="940"/>
        <v/>
      </c>
      <c r="V62" s="156"/>
      <c r="W62" s="156" t="str">
        <f t="shared" si="583"/>
        <v/>
      </c>
      <c r="X62" s="156">
        <f t="shared" si="584"/>
        <v>0</v>
      </c>
      <c r="Y62" s="164"/>
      <c r="Z62" s="156">
        <f t="shared" si="585"/>
        <v>0</v>
      </c>
      <c r="AA62" s="413"/>
      <c r="AB62" s="165"/>
      <c r="AC62" s="165"/>
      <c r="AD62" s="156">
        <f t="shared" si="586"/>
        <v>0</v>
      </c>
      <c r="AE62" s="164">
        <f t="shared" si="587"/>
        <v>0.4604471269</v>
      </c>
      <c r="AF62" s="167">
        <f t="shared" si="588"/>
        <v>0</v>
      </c>
      <c r="AG62" s="168">
        <f t="shared" si="589"/>
        <v>0</v>
      </c>
      <c r="AH62" s="159"/>
      <c r="AI62" s="161">
        <f t="shared" si="722"/>
        <v>14</v>
      </c>
      <c r="AJ62" s="162" t="str">
        <f t="shared" ref="AJ62:AL62" si="941">IFERROR(VLOOKUP($R62,$A$13:$D$30,-AJ$12,FALSE),"")</f>
        <v>Lainnya 2.3 (6) …….</v>
      </c>
      <c r="AK62" s="163" t="str">
        <f t="shared" si="941"/>
        <v/>
      </c>
      <c r="AL62" s="163" t="str">
        <f t="shared" si="941"/>
        <v/>
      </c>
      <c r="AM62" s="156"/>
      <c r="AN62" s="156" t="str">
        <f t="shared" si="591"/>
        <v/>
      </c>
      <c r="AO62" s="156">
        <f t="shared" si="592"/>
        <v>0</v>
      </c>
      <c r="AP62" s="164"/>
      <c r="AQ62" s="156">
        <f t="shared" si="593"/>
        <v>0</v>
      </c>
      <c r="AR62" s="413"/>
      <c r="AS62" s="165"/>
      <c r="AT62" s="165"/>
      <c r="AU62" s="156">
        <f t="shared" si="594"/>
        <v>0</v>
      </c>
      <c r="AV62" s="164">
        <f t="shared" si="595"/>
        <v>0.4604471269</v>
      </c>
      <c r="AW62" s="167">
        <f t="shared" si="596"/>
        <v>0</v>
      </c>
      <c r="AX62" s="168">
        <f t="shared" si="597"/>
        <v>0</v>
      </c>
      <c r="AY62" s="159"/>
      <c r="AZ62" s="161">
        <f t="shared" si="724"/>
        <v>14</v>
      </c>
      <c r="BA62" s="162" t="str">
        <f t="shared" ref="BA62:BC62" si="942">IFERROR(VLOOKUP($R62,$A$13:$D$30,-BA$12,FALSE),"")</f>
        <v>Lainnya 2.3 (6) …….</v>
      </c>
      <c r="BB62" s="163" t="str">
        <f t="shared" si="942"/>
        <v/>
      </c>
      <c r="BC62" s="163" t="str">
        <f t="shared" si="942"/>
        <v/>
      </c>
      <c r="BD62" s="156"/>
      <c r="BE62" s="156" t="str">
        <f t="shared" si="599"/>
        <v/>
      </c>
      <c r="BF62" s="156">
        <f t="shared" si="600"/>
        <v>0</v>
      </c>
      <c r="BG62" s="164"/>
      <c r="BH62" s="156">
        <f t="shared" si="601"/>
        <v>0</v>
      </c>
      <c r="BI62" s="413"/>
      <c r="BJ62" s="165"/>
      <c r="BK62" s="165"/>
      <c r="BL62" s="156">
        <f t="shared" si="602"/>
        <v>0</v>
      </c>
      <c r="BM62" s="164">
        <f t="shared" si="603"/>
        <v>0.4604471269</v>
      </c>
      <c r="BN62" s="167">
        <f t="shared" si="604"/>
        <v>0</v>
      </c>
      <c r="BO62" s="168">
        <f t="shared" si="605"/>
        <v>0</v>
      </c>
      <c r="BP62" s="159"/>
      <c r="BQ62" s="161">
        <f t="shared" si="726"/>
        <v>14</v>
      </c>
      <c r="BR62" s="162" t="str">
        <f t="shared" ref="BR62:BT62" si="943">IFERROR(VLOOKUP($R62,$A$13:$D$30,-BR$12,FALSE),"")</f>
        <v>Lainnya 2.3 (6) …….</v>
      </c>
      <c r="BS62" s="163" t="str">
        <f t="shared" si="943"/>
        <v/>
      </c>
      <c r="BT62" s="163" t="str">
        <f t="shared" si="943"/>
        <v/>
      </c>
      <c r="BU62" s="156"/>
      <c r="BV62" s="156" t="str">
        <f t="shared" si="607"/>
        <v/>
      </c>
      <c r="BW62" s="156">
        <f t="shared" si="608"/>
        <v>0</v>
      </c>
      <c r="BX62" s="164"/>
      <c r="BY62" s="156">
        <f t="shared" si="609"/>
        <v>0</v>
      </c>
      <c r="BZ62" s="413"/>
      <c r="CA62" s="165"/>
      <c r="CB62" s="165"/>
      <c r="CC62" s="156">
        <f t="shared" si="610"/>
        <v>0</v>
      </c>
      <c r="CD62" s="164">
        <f t="shared" si="611"/>
        <v>0.4604471269</v>
      </c>
      <c r="CE62" s="167">
        <f t="shared" si="612"/>
        <v>0</v>
      </c>
      <c r="CF62" s="168">
        <f t="shared" si="613"/>
        <v>0</v>
      </c>
      <c r="CG62" s="159"/>
      <c r="CH62" s="161">
        <f t="shared" si="728"/>
        <v>14</v>
      </c>
      <c r="CI62" s="162" t="str">
        <f t="shared" ref="CI62:CK62" si="944">IFERROR(VLOOKUP($R62,$A$13:$D$30,-CI$12,FALSE),"")</f>
        <v>Lainnya 2.3 (6) …….</v>
      </c>
      <c r="CJ62" s="163" t="str">
        <f t="shared" si="944"/>
        <v/>
      </c>
      <c r="CK62" s="163" t="str">
        <f t="shared" si="944"/>
        <v/>
      </c>
      <c r="CL62" s="156"/>
      <c r="CM62" s="156" t="str">
        <f t="shared" si="615"/>
        <v/>
      </c>
      <c r="CN62" s="156">
        <f t="shared" si="616"/>
        <v>0</v>
      </c>
      <c r="CO62" s="164"/>
      <c r="CP62" s="156">
        <f t="shared" si="617"/>
        <v>0</v>
      </c>
      <c r="CQ62" s="413"/>
      <c r="CR62" s="165"/>
      <c r="CS62" s="165"/>
      <c r="CT62" s="156">
        <f t="shared" si="618"/>
        <v>0</v>
      </c>
      <c r="CU62" s="164">
        <f t="shared" si="619"/>
        <v>0.4604471269</v>
      </c>
      <c r="CV62" s="167">
        <f t="shared" si="620"/>
        <v>0</v>
      </c>
      <c r="CW62" s="168">
        <f t="shared" si="621"/>
        <v>0</v>
      </c>
      <c r="CX62" s="159"/>
      <c r="CY62" s="161">
        <f t="shared" si="730"/>
        <v>14</v>
      </c>
      <c r="CZ62" s="162" t="str">
        <f t="shared" ref="CZ62:DB62" si="945">IFERROR(VLOOKUP($R62,$A$13:$D$30,-CZ$12,FALSE),"")</f>
        <v>Lainnya 2.3 (6) …….</v>
      </c>
      <c r="DA62" s="163" t="str">
        <f t="shared" si="945"/>
        <v/>
      </c>
      <c r="DB62" s="163" t="str">
        <f t="shared" si="945"/>
        <v/>
      </c>
      <c r="DC62" s="156"/>
      <c r="DD62" s="156" t="str">
        <f t="shared" si="623"/>
        <v/>
      </c>
      <c r="DE62" s="156">
        <f t="shared" si="624"/>
        <v>0</v>
      </c>
      <c r="DF62" s="164"/>
      <c r="DG62" s="156">
        <f t="shared" si="625"/>
        <v>0</v>
      </c>
      <c r="DH62" s="413"/>
      <c r="DI62" s="165"/>
      <c r="DJ62" s="165"/>
      <c r="DK62" s="156">
        <f t="shared" si="626"/>
        <v>0</v>
      </c>
      <c r="DL62" s="164">
        <f t="shared" si="627"/>
        <v>0.4604471269</v>
      </c>
      <c r="DM62" s="167">
        <f t="shared" si="628"/>
        <v>0</v>
      </c>
      <c r="DN62" s="168">
        <f t="shared" si="629"/>
        <v>0</v>
      </c>
      <c r="DO62" s="159"/>
      <c r="DP62" s="161">
        <f t="shared" si="732"/>
        <v>14</v>
      </c>
      <c r="DQ62" s="162" t="str">
        <f t="shared" ref="DQ62:DS62" si="946">IFERROR(VLOOKUP($R62,$A$13:$D$30,-DQ$12,FALSE),"")</f>
        <v>Lainnya 2.3 (6) …….</v>
      </c>
      <c r="DR62" s="163" t="str">
        <f t="shared" si="946"/>
        <v/>
      </c>
      <c r="DS62" s="163" t="str">
        <f t="shared" si="946"/>
        <v/>
      </c>
      <c r="DT62" s="156"/>
      <c r="DU62" s="156" t="str">
        <f t="shared" si="631"/>
        <v/>
      </c>
      <c r="DV62" s="156">
        <f t="shared" si="632"/>
        <v>0</v>
      </c>
      <c r="DW62" s="164"/>
      <c r="DX62" s="156">
        <f t="shared" si="633"/>
        <v>0</v>
      </c>
      <c r="DY62" s="413"/>
      <c r="DZ62" s="165"/>
      <c r="EA62" s="165"/>
      <c r="EB62" s="156">
        <f t="shared" si="634"/>
        <v>0</v>
      </c>
      <c r="EC62" s="164">
        <f t="shared" si="635"/>
        <v>0.4604471269</v>
      </c>
      <c r="ED62" s="167">
        <f t="shared" si="636"/>
        <v>0</v>
      </c>
      <c r="EE62" s="168">
        <f t="shared" si="637"/>
        <v>0</v>
      </c>
      <c r="EF62" s="159"/>
      <c r="EG62" s="161">
        <f t="shared" si="734"/>
        <v>14</v>
      </c>
      <c r="EH62" s="162" t="str">
        <f t="shared" ref="EH62:EJ62" si="947">IFERROR(VLOOKUP($R62,$A$13:$D$30,-EH$12,FALSE),"")</f>
        <v>Lainnya 2.3 (6) …….</v>
      </c>
      <c r="EI62" s="163" t="str">
        <f t="shared" si="947"/>
        <v/>
      </c>
      <c r="EJ62" s="163" t="str">
        <f t="shared" si="947"/>
        <v/>
      </c>
      <c r="EK62" s="156"/>
      <c r="EL62" s="156" t="str">
        <f t="shared" si="639"/>
        <v/>
      </c>
      <c r="EM62" s="156">
        <f t="shared" si="640"/>
        <v>0</v>
      </c>
      <c r="EN62" s="164"/>
      <c r="EO62" s="156">
        <f t="shared" si="641"/>
        <v>0</v>
      </c>
      <c r="EP62" s="413"/>
      <c r="EQ62" s="165"/>
      <c r="ER62" s="165"/>
      <c r="ES62" s="156">
        <f t="shared" si="642"/>
        <v>0</v>
      </c>
      <c r="ET62" s="164">
        <f t="shared" si="643"/>
        <v>0.4604471269</v>
      </c>
      <c r="EU62" s="167">
        <f t="shared" si="644"/>
        <v>0</v>
      </c>
      <c r="EV62" s="168">
        <f t="shared" si="645"/>
        <v>0</v>
      </c>
      <c r="EW62" s="159"/>
      <c r="EX62" s="161">
        <f t="shared" si="736"/>
        <v>14</v>
      </c>
      <c r="EY62" s="162" t="str">
        <f t="shared" ref="EY62:FA62" si="948">IFERROR(VLOOKUP($R62,$A$13:$D$30,-EY$12,FALSE),"")</f>
        <v>Lainnya 2.3 (6) …….</v>
      </c>
      <c r="EZ62" s="163" t="str">
        <f t="shared" si="948"/>
        <v/>
      </c>
      <c r="FA62" s="163" t="str">
        <f t="shared" si="948"/>
        <v/>
      </c>
      <c r="FB62" s="156"/>
      <c r="FC62" s="156" t="str">
        <f t="shared" si="647"/>
        <v/>
      </c>
      <c r="FD62" s="156">
        <f t="shared" si="648"/>
        <v>0</v>
      </c>
      <c r="FE62" s="164"/>
      <c r="FF62" s="156">
        <f t="shared" si="649"/>
        <v>0</v>
      </c>
      <c r="FG62" s="413"/>
      <c r="FH62" s="165"/>
      <c r="FI62" s="165"/>
      <c r="FJ62" s="156">
        <f t="shared" si="650"/>
        <v>0</v>
      </c>
      <c r="FK62" s="164">
        <f t="shared" si="651"/>
        <v>0.4604471269</v>
      </c>
      <c r="FL62" s="167">
        <f t="shared" si="652"/>
        <v>0</v>
      </c>
      <c r="FM62" s="168">
        <f t="shared" si="653"/>
        <v>0</v>
      </c>
      <c r="FN62" s="159"/>
      <c r="FO62" s="161">
        <f t="shared" si="738"/>
        <v>14</v>
      </c>
      <c r="FP62" s="162" t="str">
        <f t="shared" ref="FP62:FR62" si="949">IFERROR(VLOOKUP($R62,$A$13:$D$30,-FP$12,FALSE),"")</f>
        <v>Lainnya 2.3 (6) …….</v>
      </c>
      <c r="FQ62" s="163" t="str">
        <f t="shared" si="949"/>
        <v/>
      </c>
      <c r="FR62" s="163" t="str">
        <f t="shared" si="949"/>
        <v/>
      </c>
      <c r="FS62" s="156"/>
      <c r="FT62" s="156" t="str">
        <f t="shared" si="819"/>
        <v/>
      </c>
      <c r="FU62" s="156">
        <f t="shared" si="656"/>
        <v>0</v>
      </c>
      <c r="FV62" s="164"/>
      <c r="FW62" s="156">
        <f t="shared" si="657"/>
        <v>0</v>
      </c>
      <c r="FX62" s="413"/>
      <c r="FY62" s="165"/>
      <c r="FZ62" s="165"/>
      <c r="GA62" s="156">
        <f t="shared" si="658"/>
        <v>0</v>
      </c>
      <c r="GB62" s="164">
        <f t="shared" si="659"/>
        <v>0.4604471269</v>
      </c>
      <c r="GC62" s="167">
        <f t="shared" si="660"/>
        <v>0</v>
      </c>
      <c r="GD62" s="168">
        <f t="shared" si="661"/>
        <v>0</v>
      </c>
      <c r="GE62" s="159"/>
      <c r="GF62" s="161">
        <f t="shared" si="740"/>
        <v>14</v>
      </c>
      <c r="GG62" s="162" t="str">
        <f t="shared" ref="GG62:GI62" si="950">IFERROR(VLOOKUP($R62,$A$13:$D$30,-GG$12,FALSE),"")</f>
        <v>Lainnya 2.3 (6) …….</v>
      </c>
      <c r="GH62" s="163" t="str">
        <f t="shared" si="950"/>
        <v/>
      </c>
      <c r="GI62" s="163" t="str">
        <f t="shared" si="950"/>
        <v/>
      </c>
      <c r="GJ62" s="156"/>
      <c r="GK62" s="156" t="str">
        <f t="shared" si="894"/>
        <v/>
      </c>
      <c r="GL62" s="156">
        <f t="shared" si="664"/>
        <v>0</v>
      </c>
      <c r="GM62" s="164"/>
      <c r="GN62" s="156">
        <f t="shared" si="665"/>
        <v>0</v>
      </c>
      <c r="GO62" s="413"/>
      <c r="GP62" s="165"/>
      <c r="GQ62" s="165"/>
      <c r="GR62" s="156">
        <f t="shared" si="666"/>
        <v>0</v>
      </c>
      <c r="GS62" s="164">
        <f t="shared" si="667"/>
        <v>0.4604471269</v>
      </c>
      <c r="GT62" s="167">
        <f t="shared" si="668"/>
        <v>0</v>
      </c>
      <c r="GU62" s="168">
        <f t="shared" si="669"/>
        <v>0</v>
      </c>
      <c r="GV62" s="159"/>
      <c r="GW62" s="161">
        <f t="shared" si="742"/>
        <v>14</v>
      </c>
      <c r="GX62" s="162" t="str">
        <f t="shared" ref="GX62:GY62" si="951">IFERROR(VLOOKUP($R62,$A$13:$D$30,-GX$12,FALSE),"")</f>
        <v>Lainnya 2.3 (6) …….</v>
      </c>
      <c r="GY62" s="163" t="str">
        <f t="shared" si="951"/>
        <v/>
      </c>
      <c r="GZ62" s="163">
        <f>HA62/HB53*1000000</f>
        <v>1343052.354</v>
      </c>
      <c r="HA62" s="169">
        <v>259156.0</v>
      </c>
      <c r="HB62" s="169"/>
      <c r="HC62" s="156">
        <f t="shared" si="672"/>
        <v>0</v>
      </c>
      <c r="HD62" s="164"/>
      <c r="HE62" s="156">
        <f t="shared" si="673"/>
        <v>0</v>
      </c>
      <c r="HF62" s="413"/>
      <c r="HG62" s="165"/>
      <c r="HH62" s="165"/>
      <c r="HI62" s="156">
        <f t="shared" si="674"/>
        <v>0</v>
      </c>
      <c r="HJ62" s="164">
        <f t="shared" si="675"/>
        <v>0.4604471269</v>
      </c>
      <c r="HK62" s="167">
        <f t="shared" si="676"/>
        <v>0</v>
      </c>
      <c r="HL62" s="168">
        <f t="shared" si="677"/>
        <v>0</v>
      </c>
      <c r="HM62" s="159"/>
      <c r="HN62" s="161">
        <f t="shared" si="744"/>
        <v>14</v>
      </c>
      <c r="HO62" s="162" t="str">
        <f t="shared" ref="HO62:HQ62" si="952">IFERROR(VLOOKUP($R62,$A$13:$D$30,-HO$12,FALSE),"")</f>
        <v>Lainnya 2.3 (6) …….</v>
      </c>
      <c r="HP62" s="163" t="str">
        <f t="shared" si="952"/>
        <v/>
      </c>
      <c r="HQ62" s="163" t="str">
        <f t="shared" si="952"/>
        <v/>
      </c>
      <c r="HR62" s="156"/>
      <c r="HS62" s="156" t="str">
        <f t="shared" si="679"/>
        <v/>
      </c>
      <c r="HT62" s="156">
        <f t="shared" si="680"/>
        <v>0</v>
      </c>
      <c r="HU62" s="164"/>
      <c r="HV62" s="156">
        <f t="shared" si="681"/>
        <v>0</v>
      </c>
      <c r="HW62" s="413"/>
      <c r="HX62" s="165"/>
      <c r="HY62" s="165"/>
      <c r="HZ62" s="156">
        <f t="shared" si="682"/>
        <v>0</v>
      </c>
      <c r="IA62" s="164">
        <f t="shared" si="683"/>
        <v>0.4604471269</v>
      </c>
      <c r="IB62" s="167">
        <f t="shared" si="684"/>
        <v>0</v>
      </c>
      <c r="IC62" s="168">
        <f t="shared" si="685"/>
        <v>0</v>
      </c>
      <c r="ID62" s="159"/>
      <c r="IE62" s="161">
        <f t="shared" si="746"/>
        <v>14</v>
      </c>
      <c r="IF62" s="162" t="str">
        <f t="shared" ref="IF62:IH62" si="953">IFERROR(VLOOKUP($R62,$A$13:$D$30,-IF$12,FALSE),"")</f>
        <v>Lainnya 2.3 (6) …….</v>
      </c>
      <c r="IG62" s="163" t="str">
        <f t="shared" si="953"/>
        <v/>
      </c>
      <c r="IH62" s="163" t="str">
        <f t="shared" si="953"/>
        <v/>
      </c>
      <c r="II62" s="156"/>
      <c r="IJ62" s="156" t="str">
        <f t="shared" si="687"/>
        <v/>
      </c>
      <c r="IK62" s="156">
        <f t="shared" si="688"/>
        <v>0</v>
      </c>
      <c r="IL62" s="164"/>
      <c r="IM62" s="156">
        <f t="shared" si="689"/>
        <v>0</v>
      </c>
      <c r="IN62" s="413"/>
      <c r="IO62" s="165"/>
      <c r="IP62" s="165"/>
      <c r="IQ62" s="156">
        <f t="shared" si="690"/>
        <v>0</v>
      </c>
      <c r="IR62" s="164">
        <f t="shared" si="691"/>
        <v>0.4604471269</v>
      </c>
      <c r="IS62" s="167">
        <f t="shared" si="692"/>
        <v>0</v>
      </c>
      <c r="IT62" s="168">
        <f t="shared" si="693"/>
        <v>0</v>
      </c>
      <c r="IU62" s="159"/>
      <c r="IV62" s="161">
        <f t="shared" si="748"/>
        <v>14</v>
      </c>
      <c r="IW62" s="162" t="str">
        <f t="shared" ref="IW62:IY62" si="954">IFERROR(VLOOKUP($R62,$A$13:$D$30,-IW$12,FALSE),"")</f>
        <v>Lainnya 2.3 (6) …….</v>
      </c>
      <c r="IX62" s="163" t="str">
        <f t="shared" si="954"/>
        <v/>
      </c>
      <c r="IY62" s="163" t="str">
        <f t="shared" si="954"/>
        <v/>
      </c>
      <c r="IZ62" s="156"/>
      <c r="JA62" s="156" t="str">
        <f t="shared" si="695"/>
        <v/>
      </c>
      <c r="JB62" s="156">
        <f t="shared" si="696"/>
        <v>0</v>
      </c>
      <c r="JC62" s="164"/>
      <c r="JD62" s="156">
        <f t="shared" si="697"/>
        <v>0</v>
      </c>
      <c r="JE62" s="413"/>
      <c r="JF62" s="165"/>
      <c r="JG62" s="165"/>
      <c r="JH62" s="156">
        <f t="shared" si="698"/>
        <v>0</v>
      </c>
      <c r="JI62" s="164">
        <f t="shared" si="699"/>
        <v>0.4604471269</v>
      </c>
      <c r="JJ62" s="167">
        <f t="shared" si="700"/>
        <v>0</v>
      </c>
      <c r="JK62" s="168">
        <f t="shared" si="701"/>
        <v>0</v>
      </c>
      <c r="JL62" s="159"/>
      <c r="JM62" s="161">
        <f t="shared" si="750"/>
        <v>14</v>
      </c>
      <c r="JN62" s="162" t="str">
        <f t="shared" ref="JN62:JP62" si="955">IFERROR(VLOOKUP($R62,$A$13:$D$30,-JN$12,FALSE),"")</f>
        <v>Lainnya 2.3 (6) …….</v>
      </c>
      <c r="JO62" s="163" t="str">
        <f t="shared" si="955"/>
        <v/>
      </c>
      <c r="JP62" s="163" t="str">
        <f t="shared" si="955"/>
        <v/>
      </c>
      <c r="JQ62" s="156"/>
      <c r="JR62" s="156" t="str">
        <f t="shared" si="900"/>
        <v/>
      </c>
      <c r="JS62" s="156">
        <f t="shared" si="704"/>
        <v>0</v>
      </c>
      <c r="JT62" s="164"/>
      <c r="JU62" s="156">
        <f t="shared" si="705"/>
        <v>0</v>
      </c>
      <c r="JV62" s="413"/>
      <c r="JW62" s="165"/>
      <c r="JX62" s="165"/>
      <c r="JY62" s="156">
        <f t="shared" si="706"/>
        <v>0</v>
      </c>
      <c r="JZ62" s="164">
        <f t="shared" si="707"/>
        <v>0.4604471269</v>
      </c>
      <c r="KA62" s="167">
        <f t="shared" si="708"/>
        <v>0</v>
      </c>
      <c r="KB62" s="168">
        <f t="shared" si="709"/>
        <v>0</v>
      </c>
      <c r="KC62" s="159"/>
      <c r="KD62" s="161">
        <f t="shared" si="752"/>
        <v>14</v>
      </c>
      <c r="KE62" s="162" t="str">
        <f t="shared" ref="KE62:KG62" si="956">IFERROR(VLOOKUP($R62,$A$13:$D$30,-KE$12,FALSE),"")</f>
        <v>Lainnya 2.3 (6) …….</v>
      </c>
      <c r="KF62" s="163" t="str">
        <f t="shared" si="956"/>
        <v/>
      </c>
      <c r="KG62" s="163" t="str">
        <f t="shared" si="956"/>
        <v/>
      </c>
      <c r="KH62" s="156"/>
      <c r="KI62" s="156" t="str">
        <f t="shared" si="902"/>
        <v/>
      </c>
      <c r="KJ62" s="156">
        <f t="shared" si="712"/>
        <v>0</v>
      </c>
      <c r="KK62" s="164"/>
      <c r="KL62" s="156">
        <f t="shared" si="713"/>
        <v>0</v>
      </c>
      <c r="KM62" s="413"/>
      <c r="KN62" s="165"/>
      <c r="KO62" s="165"/>
      <c r="KP62" s="156">
        <f t="shared" si="714"/>
        <v>0</v>
      </c>
      <c r="KQ62" s="164">
        <f t="shared" si="715"/>
        <v>0.4604471269</v>
      </c>
      <c r="KR62" s="167">
        <f t="shared" si="716"/>
        <v>0</v>
      </c>
      <c r="KS62" s="168">
        <f t="shared" si="717"/>
        <v>0</v>
      </c>
      <c r="KT62" s="159"/>
      <c r="KU62" s="160"/>
    </row>
    <row r="63" ht="15.75" customHeight="1">
      <c r="A63" s="161">
        <f t="shared" si="718"/>
        <v>15</v>
      </c>
      <c r="B63" s="162" t="str">
        <f t="shared" ref="B63:D63" si="957">IFERROR(VLOOKUP($A63,$A$13:$D$30,-B$12,FALSE),"")</f>
        <v>Lainnya 2.3 (7) …….</v>
      </c>
      <c r="C63" s="163" t="str">
        <f t="shared" si="957"/>
        <v/>
      </c>
      <c r="D63" s="163" t="str">
        <f t="shared" si="957"/>
        <v/>
      </c>
      <c r="E63" s="156"/>
      <c r="F63" s="156">
        <v>6500000.0</v>
      </c>
      <c r="G63" s="156">
        <f t="shared" si="576"/>
        <v>0</v>
      </c>
      <c r="H63" s="164"/>
      <c r="I63" s="156">
        <f t="shared" si="577"/>
        <v>0</v>
      </c>
      <c r="J63" s="413"/>
      <c r="K63" s="165"/>
      <c r="L63" s="165"/>
      <c r="M63" s="156">
        <f t="shared" si="578"/>
        <v>0</v>
      </c>
      <c r="N63" s="164">
        <f t="shared" si="579"/>
        <v>0.4604471269</v>
      </c>
      <c r="O63" s="167">
        <f t="shared" si="580"/>
        <v>0</v>
      </c>
      <c r="P63" s="168">
        <f t="shared" si="581"/>
        <v>0</v>
      </c>
      <c r="Q63" s="159"/>
      <c r="R63" s="161">
        <f t="shared" si="720"/>
        <v>15</v>
      </c>
      <c r="S63" s="162" t="str">
        <f t="shared" ref="S63:U63" si="958">IFERROR(VLOOKUP($R63,$A$13:$D$30,-S$12,FALSE),"")</f>
        <v>Lainnya 2.3 (7) …….</v>
      </c>
      <c r="T63" s="163" t="str">
        <f t="shared" si="958"/>
        <v/>
      </c>
      <c r="U63" s="163" t="str">
        <f t="shared" si="958"/>
        <v/>
      </c>
      <c r="V63" s="156"/>
      <c r="W63" s="156">
        <f t="shared" si="583"/>
        <v>6500000</v>
      </c>
      <c r="X63" s="156">
        <f t="shared" si="584"/>
        <v>0</v>
      </c>
      <c r="Y63" s="164"/>
      <c r="Z63" s="156">
        <f t="shared" si="585"/>
        <v>0</v>
      </c>
      <c r="AA63" s="413"/>
      <c r="AB63" s="165"/>
      <c r="AC63" s="165"/>
      <c r="AD63" s="156">
        <f t="shared" si="586"/>
        <v>0</v>
      </c>
      <c r="AE63" s="164">
        <f t="shared" si="587"/>
        <v>0.4604471269</v>
      </c>
      <c r="AF63" s="167">
        <f t="shared" si="588"/>
        <v>0</v>
      </c>
      <c r="AG63" s="168">
        <f t="shared" si="589"/>
        <v>0</v>
      </c>
      <c r="AH63" s="159"/>
      <c r="AI63" s="161">
        <f t="shared" si="722"/>
        <v>15</v>
      </c>
      <c r="AJ63" s="162" t="str">
        <f t="shared" ref="AJ63:AL63" si="959">IFERROR(VLOOKUP($R63,$A$13:$D$30,-AJ$12,FALSE),"")</f>
        <v>Lainnya 2.3 (7) …….</v>
      </c>
      <c r="AK63" s="163" t="str">
        <f t="shared" si="959"/>
        <v/>
      </c>
      <c r="AL63" s="163" t="str">
        <f t="shared" si="959"/>
        <v/>
      </c>
      <c r="AM63" s="156"/>
      <c r="AN63" s="156">
        <f t="shared" si="591"/>
        <v>6500000</v>
      </c>
      <c r="AO63" s="156">
        <f t="shared" si="592"/>
        <v>0</v>
      </c>
      <c r="AP63" s="164"/>
      <c r="AQ63" s="156">
        <f t="shared" si="593"/>
        <v>0</v>
      </c>
      <c r="AR63" s="413"/>
      <c r="AS63" s="165"/>
      <c r="AT63" s="165"/>
      <c r="AU63" s="156">
        <f t="shared" si="594"/>
        <v>0</v>
      </c>
      <c r="AV63" s="164">
        <f t="shared" si="595"/>
        <v>0.4604471269</v>
      </c>
      <c r="AW63" s="167">
        <f t="shared" si="596"/>
        <v>0</v>
      </c>
      <c r="AX63" s="168">
        <f t="shared" si="597"/>
        <v>0</v>
      </c>
      <c r="AY63" s="159"/>
      <c r="AZ63" s="161">
        <f t="shared" si="724"/>
        <v>15</v>
      </c>
      <c r="BA63" s="162" t="str">
        <f t="shared" ref="BA63:BC63" si="960">IFERROR(VLOOKUP($R63,$A$13:$D$30,-BA$12,FALSE),"")</f>
        <v>Lainnya 2.3 (7) …….</v>
      </c>
      <c r="BB63" s="163" t="str">
        <f t="shared" si="960"/>
        <v/>
      </c>
      <c r="BC63" s="163" t="str">
        <f t="shared" si="960"/>
        <v/>
      </c>
      <c r="BD63" s="156"/>
      <c r="BE63" s="156">
        <f t="shared" si="599"/>
        <v>6500000</v>
      </c>
      <c r="BF63" s="156">
        <f t="shared" si="600"/>
        <v>0</v>
      </c>
      <c r="BG63" s="164"/>
      <c r="BH63" s="156">
        <f t="shared" si="601"/>
        <v>0</v>
      </c>
      <c r="BI63" s="413"/>
      <c r="BJ63" s="165"/>
      <c r="BK63" s="165"/>
      <c r="BL63" s="156">
        <f t="shared" si="602"/>
        <v>0</v>
      </c>
      <c r="BM63" s="164">
        <f t="shared" si="603"/>
        <v>0.4604471269</v>
      </c>
      <c r="BN63" s="167">
        <f t="shared" si="604"/>
        <v>0</v>
      </c>
      <c r="BO63" s="168">
        <f t="shared" si="605"/>
        <v>0</v>
      </c>
      <c r="BP63" s="159"/>
      <c r="BQ63" s="161">
        <f t="shared" si="726"/>
        <v>15</v>
      </c>
      <c r="BR63" s="162" t="str">
        <f t="shared" ref="BR63:BT63" si="961">IFERROR(VLOOKUP($R63,$A$13:$D$30,-BR$12,FALSE),"")</f>
        <v>Lainnya 2.3 (7) …….</v>
      </c>
      <c r="BS63" s="163" t="str">
        <f t="shared" si="961"/>
        <v/>
      </c>
      <c r="BT63" s="163" t="str">
        <f t="shared" si="961"/>
        <v/>
      </c>
      <c r="BU63" s="156"/>
      <c r="BV63" s="156">
        <f t="shared" si="607"/>
        <v>6500000</v>
      </c>
      <c r="BW63" s="156">
        <f t="shared" si="608"/>
        <v>0</v>
      </c>
      <c r="BX63" s="164"/>
      <c r="BY63" s="156">
        <f t="shared" si="609"/>
        <v>0</v>
      </c>
      <c r="BZ63" s="413"/>
      <c r="CA63" s="165"/>
      <c r="CB63" s="165"/>
      <c r="CC63" s="156">
        <f t="shared" si="610"/>
        <v>0</v>
      </c>
      <c r="CD63" s="164">
        <f t="shared" si="611"/>
        <v>0.4604471269</v>
      </c>
      <c r="CE63" s="167">
        <f t="shared" si="612"/>
        <v>0</v>
      </c>
      <c r="CF63" s="168">
        <f t="shared" si="613"/>
        <v>0</v>
      </c>
      <c r="CG63" s="159"/>
      <c r="CH63" s="161">
        <f t="shared" si="728"/>
        <v>15</v>
      </c>
      <c r="CI63" s="162" t="str">
        <f t="shared" ref="CI63:CK63" si="962">IFERROR(VLOOKUP($R63,$A$13:$D$30,-CI$12,FALSE),"")</f>
        <v>Lainnya 2.3 (7) …….</v>
      </c>
      <c r="CJ63" s="163" t="str">
        <f t="shared" si="962"/>
        <v/>
      </c>
      <c r="CK63" s="163" t="str">
        <f t="shared" si="962"/>
        <v/>
      </c>
      <c r="CL63" s="156"/>
      <c r="CM63" s="156">
        <f t="shared" si="615"/>
        <v>6500000</v>
      </c>
      <c r="CN63" s="156">
        <f t="shared" si="616"/>
        <v>0</v>
      </c>
      <c r="CO63" s="164"/>
      <c r="CP63" s="156">
        <f t="shared" si="617"/>
        <v>0</v>
      </c>
      <c r="CQ63" s="413"/>
      <c r="CR63" s="165"/>
      <c r="CS63" s="165"/>
      <c r="CT63" s="156">
        <f t="shared" si="618"/>
        <v>0</v>
      </c>
      <c r="CU63" s="164">
        <f t="shared" si="619"/>
        <v>0.4604471269</v>
      </c>
      <c r="CV63" s="167">
        <f t="shared" si="620"/>
        <v>0</v>
      </c>
      <c r="CW63" s="168">
        <f t="shared" si="621"/>
        <v>0</v>
      </c>
      <c r="CX63" s="159"/>
      <c r="CY63" s="161">
        <f t="shared" si="730"/>
        <v>15</v>
      </c>
      <c r="CZ63" s="162" t="str">
        <f t="shared" ref="CZ63:DB63" si="963">IFERROR(VLOOKUP($R63,$A$13:$D$30,-CZ$12,FALSE),"")</f>
        <v>Lainnya 2.3 (7) …….</v>
      </c>
      <c r="DA63" s="163" t="str">
        <f t="shared" si="963"/>
        <v/>
      </c>
      <c r="DB63" s="163" t="str">
        <f t="shared" si="963"/>
        <v/>
      </c>
      <c r="DC63" s="156"/>
      <c r="DD63" s="156">
        <f t="shared" si="623"/>
        <v>6500000</v>
      </c>
      <c r="DE63" s="156">
        <f t="shared" si="624"/>
        <v>0</v>
      </c>
      <c r="DF63" s="164"/>
      <c r="DG63" s="156">
        <f t="shared" si="625"/>
        <v>0</v>
      </c>
      <c r="DH63" s="413"/>
      <c r="DI63" s="165"/>
      <c r="DJ63" s="165"/>
      <c r="DK63" s="156">
        <f t="shared" si="626"/>
        <v>0</v>
      </c>
      <c r="DL63" s="164">
        <f t="shared" si="627"/>
        <v>0.4604471269</v>
      </c>
      <c r="DM63" s="167">
        <f t="shared" si="628"/>
        <v>0</v>
      </c>
      <c r="DN63" s="168">
        <f t="shared" si="629"/>
        <v>0</v>
      </c>
      <c r="DO63" s="159"/>
      <c r="DP63" s="161">
        <f t="shared" si="732"/>
        <v>15</v>
      </c>
      <c r="DQ63" s="162" t="str">
        <f t="shared" ref="DQ63:DS63" si="964">IFERROR(VLOOKUP($R63,$A$13:$D$30,-DQ$12,FALSE),"")</f>
        <v>Lainnya 2.3 (7) …….</v>
      </c>
      <c r="DR63" s="163" t="str">
        <f t="shared" si="964"/>
        <v/>
      </c>
      <c r="DS63" s="163" t="str">
        <f t="shared" si="964"/>
        <v/>
      </c>
      <c r="DT63" s="156"/>
      <c r="DU63" s="156">
        <f t="shared" si="631"/>
        <v>6500000</v>
      </c>
      <c r="DV63" s="156">
        <f t="shared" si="632"/>
        <v>0</v>
      </c>
      <c r="DW63" s="164"/>
      <c r="DX63" s="156">
        <f t="shared" si="633"/>
        <v>0</v>
      </c>
      <c r="DY63" s="413"/>
      <c r="DZ63" s="165"/>
      <c r="EA63" s="165"/>
      <c r="EB63" s="156">
        <f t="shared" si="634"/>
        <v>0</v>
      </c>
      <c r="EC63" s="164">
        <f t="shared" si="635"/>
        <v>0.4604471269</v>
      </c>
      <c r="ED63" s="167">
        <f t="shared" si="636"/>
        <v>0</v>
      </c>
      <c r="EE63" s="168">
        <f t="shared" si="637"/>
        <v>0</v>
      </c>
      <c r="EF63" s="159"/>
      <c r="EG63" s="161">
        <f t="shared" si="734"/>
        <v>15</v>
      </c>
      <c r="EH63" s="162" t="str">
        <f t="shared" ref="EH63:EJ63" si="965">IFERROR(VLOOKUP($R63,$A$13:$D$30,-EH$12,FALSE),"")</f>
        <v>Lainnya 2.3 (7) …….</v>
      </c>
      <c r="EI63" s="163" t="str">
        <f t="shared" si="965"/>
        <v/>
      </c>
      <c r="EJ63" s="163" t="str">
        <f t="shared" si="965"/>
        <v/>
      </c>
      <c r="EK63" s="156"/>
      <c r="EL63" s="156">
        <f t="shared" si="639"/>
        <v>6500000</v>
      </c>
      <c r="EM63" s="156">
        <f t="shared" si="640"/>
        <v>0</v>
      </c>
      <c r="EN63" s="164"/>
      <c r="EO63" s="156">
        <f t="shared" si="641"/>
        <v>0</v>
      </c>
      <c r="EP63" s="413"/>
      <c r="EQ63" s="165"/>
      <c r="ER63" s="165"/>
      <c r="ES63" s="156">
        <f t="shared" si="642"/>
        <v>0</v>
      </c>
      <c r="ET63" s="164">
        <f t="shared" si="643"/>
        <v>0.4604471269</v>
      </c>
      <c r="EU63" s="167">
        <f t="shared" si="644"/>
        <v>0</v>
      </c>
      <c r="EV63" s="168">
        <f t="shared" si="645"/>
        <v>0</v>
      </c>
      <c r="EW63" s="159"/>
      <c r="EX63" s="161">
        <f t="shared" si="736"/>
        <v>15</v>
      </c>
      <c r="EY63" s="162" t="str">
        <f t="shared" ref="EY63:FA63" si="966">IFERROR(VLOOKUP($R63,$A$13:$D$30,-EY$12,FALSE),"")</f>
        <v>Lainnya 2.3 (7) …….</v>
      </c>
      <c r="EZ63" s="163" t="str">
        <f t="shared" si="966"/>
        <v/>
      </c>
      <c r="FA63" s="163" t="str">
        <f t="shared" si="966"/>
        <v/>
      </c>
      <c r="FB63" s="156"/>
      <c r="FC63" s="156">
        <f t="shared" si="647"/>
        <v>6500000</v>
      </c>
      <c r="FD63" s="156">
        <f t="shared" si="648"/>
        <v>0</v>
      </c>
      <c r="FE63" s="164"/>
      <c r="FF63" s="156">
        <f t="shared" si="649"/>
        <v>0</v>
      </c>
      <c r="FG63" s="413"/>
      <c r="FH63" s="165"/>
      <c r="FI63" s="165"/>
      <c r="FJ63" s="156">
        <f t="shared" si="650"/>
        <v>0</v>
      </c>
      <c r="FK63" s="164">
        <f t="shared" si="651"/>
        <v>0.4604471269</v>
      </c>
      <c r="FL63" s="167">
        <f t="shared" si="652"/>
        <v>0</v>
      </c>
      <c r="FM63" s="168">
        <f t="shared" si="653"/>
        <v>0</v>
      </c>
      <c r="FN63" s="159"/>
      <c r="FO63" s="161">
        <f t="shared" si="738"/>
        <v>15</v>
      </c>
      <c r="FP63" s="162" t="str">
        <f t="shared" ref="FP63:FR63" si="967">IFERROR(VLOOKUP($R63,$A$13:$D$30,-FP$12,FALSE),"")</f>
        <v>Lainnya 2.3 (7) …….</v>
      </c>
      <c r="FQ63" s="163" t="str">
        <f t="shared" si="967"/>
        <v/>
      </c>
      <c r="FR63" s="163" t="str">
        <f t="shared" si="967"/>
        <v/>
      </c>
      <c r="FS63" s="156"/>
      <c r="FT63" s="156">
        <f t="shared" si="819"/>
        <v>6500000</v>
      </c>
      <c r="FU63" s="156">
        <f t="shared" si="656"/>
        <v>0</v>
      </c>
      <c r="FV63" s="164"/>
      <c r="FW63" s="156">
        <f t="shared" si="657"/>
        <v>0</v>
      </c>
      <c r="FX63" s="413"/>
      <c r="FY63" s="165"/>
      <c r="FZ63" s="165"/>
      <c r="GA63" s="156">
        <f t="shared" si="658"/>
        <v>0</v>
      </c>
      <c r="GB63" s="164">
        <f t="shared" si="659"/>
        <v>0.4604471269</v>
      </c>
      <c r="GC63" s="167">
        <f t="shared" si="660"/>
        <v>0</v>
      </c>
      <c r="GD63" s="168">
        <f t="shared" si="661"/>
        <v>0</v>
      </c>
      <c r="GE63" s="159"/>
      <c r="GF63" s="161">
        <f t="shared" si="740"/>
        <v>15</v>
      </c>
      <c r="GG63" s="162" t="str">
        <f t="shared" ref="GG63:GI63" si="968">IFERROR(VLOOKUP($R63,$A$13:$D$30,-GG$12,FALSE),"")</f>
        <v>Lainnya 2.3 (7) …….</v>
      </c>
      <c r="GH63" s="163" t="str">
        <f t="shared" si="968"/>
        <v/>
      </c>
      <c r="GI63" s="163" t="str">
        <f t="shared" si="968"/>
        <v/>
      </c>
      <c r="GJ63" s="156"/>
      <c r="GK63" s="156"/>
      <c r="GL63" s="156">
        <f t="shared" si="664"/>
        <v>0</v>
      </c>
      <c r="GM63" s="164"/>
      <c r="GN63" s="156">
        <f t="shared" si="665"/>
        <v>0</v>
      </c>
      <c r="GO63" s="413"/>
      <c r="GP63" s="165"/>
      <c r="GQ63" s="165"/>
      <c r="GR63" s="156">
        <f t="shared" si="666"/>
        <v>0</v>
      </c>
      <c r="GS63" s="164">
        <f t="shared" si="667"/>
        <v>0.4604471269</v>
      </c>
      <c r="GT63" s="167">
        <f t="shared" si="668"/>
        <v>0</v>
      </c>
      <c r="GU63" s="168">
        <f t="shared" si="669"/>
        <v>0</v>
      </c>
      <c r="GV63" s="159"/>
      <c r="GW63" s="161">
        <f t="shared" si="742"/>
        <v>15</v>
      </c>
      <c r="GX63" s="162" t="str">
        <f t="shared" ref="GX63:GY63" si="969">IFERROR(VLOOKUP($R63,$A$13:$D$30,-GX$12,FALSE),"")</f>
        <v>Lainnya 2.3 (7) …….</v>
      </c>
      <c r="GY63" s="163" t="str">
        <f t="shared" si="969"/>
        <v/>
      </c>
      <c r="GZ63" s="163">
        <f>HA63/HB57*1000000</f>
        <v>1275974.35</v>
      </c>
      <c r="HA63" s="169">
        <v>212156.0</v>
      </c>
      <c r="HB63" s="156"/>
      <c r="HC63" s="156">
        <f t="shared" si="672"/>
        <v>0</v>
      </c>
      <c r="HD63" s="164"/>
      <c r="HE63" s="156">
        <f t="shared" si="673"/>
        <v>0</v>
      </c>
      <c r="HF63" s="413"/>
      <c r="HG63" s="165"/>
      <c r="HH63" s="165"/>
      <c r="HI63" s="156">
        <f t="shared" si="674"/>
        <v>0</v>
      </c>
      <c r="HJ63" s="164">
        <f t="shared" si="675"/>
        <v>0.4604471269</v>
      </c>
      <c r="HK63" s="167">
        <f t="shared" si="676"/>
        <v>0</v>
      </c>
      <c r="HL63" s="168">
        <f t="shared" si="677"/>
        <v>0</v>
      </c>
      <c r="HM63" s="159"/>
      <c r="HN63" s="161">
        <f t="shared" si="744"/>
        <v>15</v>
      </c>
      <c r="HO63" s="162" t="str">
        <f t="shared" ref="HO63:HQ63" si="970">IFERROR(VLOOKUP($R63,$A$13:$D$30,-HO$12,FALSE),"")</f>
        <v>Lainnya 2.3 (7) …….</v>
      </c>
      <c r="HP63" s="163" t="str">
        <f t="shared" si="970"/>
        <v/>
      </c>
      <c r="HQ63" s="163" t="str">
        <f t="shared" si="970"/>
        <v/>
      </c>
      <c r="HR63" s="156"/>
      <c r="HS63" s="156" t="str">
        <f t="shared" si="679"/>
        <v/>
      </c>
      <c r="HT63" s="156">
        <f t="shared" si="680"/>
        <v>0</v>
      </c>
      <c r="HU63" s="164"/>
      <c r="HV63" s="156">
        <f t="shared" si="681"/>
        <v>0</v>
      </c>
      <c r="HW63" s="413"/>
      <c r="HX63" s="165"/>
      <c r="HY63" s="165"/>
      <c r="HZ63" s="156">
        <f t="shared" si="682"/>
        <v>0</v>
      </c>
      <c r="IA63" s="164">
        <f t="shared" si="683"/>
        <v>0.4604471269</v>
      </c>
      <c r="IB63" s="167">
        <f t="shared" si="684"/>
        <v>0</v>
      </c>
      <c r="IC63" s="168">
        <f t="shared" si="685"/>
        <v>0</v>
      </c>
      <c r="ID63" s="159"/>
      <c r="IE63" s="161">
        <f t="shared" si="746"/>
        <v>15</v>
      </c>
      <c r="IF63" s="162" t="str">
        <f t="shared" ref="IF63:IH63" si="971">IFERROR(VLOOKUP($R63,$A$13:$D$30,-IF$12,FALSE),"")</f>
        <v>Lainnya 2.3 (7) …….</v>
      </c>
      <c r="IG63" s="163" t="str">
        <f t="shared" si="971"/>
        <v/>
      </c>
      <c r="IH63" s="163" t="str">
        <f t="shared" si="971"/>
        <v/>
      </c>
      <c r="II63" s="156"/>
      <c r="IJ63" s="156" t="str">
        <f t="shared" si="687"/>
        <v/>
      </c>
      <c r="IK63" s="156">
        <f t="shared" si="688"/>
        <v>0</v>
      </c>
      <c r="IL63" s="164"/>
      <c r="IM63" s="156">
        <f t="shared" si="689"/>
        <v>0</v>
      </c>
      <c r="IN63" s="413"/>
      <c r="IO63" s="165"/>
      <c r="IP63" s="165"/>
      <c r="IQ63" s="156">
        <f t="shared" si="690"/>
        <v>0</v>
      </c>
      <c r="IR63" s="164">
        <f t="shared" si="691"/>
        <v>0.4604471269</v>
      </c>
      <c r="IS63" s="167">
        <f t="shared" si="692"/>
        <v>0</v>
      </c>
      <c r="IT63" s="168">
        <f t="shared" si="693"/>
        <v>0</v>
      </c>
      <c r="IU63" s="159"/>
      <c r="IV63" s="161">
        <f t="shared" si="748"/>
        <v>15</v>
      </c>
      <c r="IW63" s="162" t="str">
        <f t="shared" ref="IW63:IY63" si="972">IFERROR(VLOOKUP($R63,$A$13:$D$30,-IW$12,FALSE),"")</f>
        <v>Lainnya 2.3 (7) …….</v>
      </c>
      <c r="IX63" s="163" t="str">
        <f t="shared" si="972"/>
        <v/>
      </c>
      <c r="IY63" s="163" t="str">
        <f t="shared" si="972"/>
        <v/>
      </c>
      <c r="IZ63" s="156"/>
      <c r="JA63" s="156" t="str">
        <f t="shared" si="695"/>
        <v/>
      </c>
      <c r="JB63" s="156">
        <f t="shared" si="696"/>
        <v>0</v>
      </c>
      <c r="JC63" s="164"/>
      <c r="JD63" s="156">
        <f t="shared" si="697"/>
        <v>0</v>
      </c>
      <c r="JE63" s="413"/>
      <c r="JF63" s="165"/>
      <c r="JG63" s="165"/>
      <c r="JH63" s="156">
        <f t="shared" si="698"/>
        <v>0</v>
      </c>
      <c r="JI63" s="164">
        <f t="shared" si="699"/>
        <v>0.4604471269</v>
      </c>
      <c r="JJ63" s="167">
        <f t="shared" si="700"/>
        <v>0</v>
      </c>
      <c r="JK63" s="168">
        <f t="shared" si="701"/>
        <v>0</v>
      </c>
      <c r="JL63" s="159"/>
      <c r="JM63" s="161">
        <f t="shared" si="750"/>
        <v>15</v>
      </c>
      <c r="JN63" s="162" t="str">
        <f t="shared" ref="JN63:JP63" si="973">IFERROR(VLOOKUP($R63,$A$13:$D$30,-JN$12,FALSE),"")</f>
        <v>Lainnya 2.3 (7) …….</v>
      </c>
      <c r="JO63" s="163" t="str">
        <f t="shared" si="973"/>
        <v/>
      </c>
      <c r="JP63" s="163" t="str">
        <f t="shared" si="973"/>
        <v/>
      </c>
      <c r="JQ63" s="156"/>
      <c r="JR63" s="156" t="str">
        <f t="shared" si="900"/>
        <v/>
      </c>
      <c r="JS63" s="156">
        <f t="shared" si="704"/>
        <v>0</v>
      </c>
      <c r="JT63" s="164"/>
      <c r="JU63" s="156">
        <f t="shared" si="705"/>
        <v>0</v>
      </c>
      <c r="JV63" s="413"/>
      <c r="JW63" s="165"/>
      <c r="JX63" s="165"/>
      <c r="JY63" s="156">
        <f t="shared" si="706"/>
        <v>0</v>
      </c>
      <c r="JZ63" s="164">
        <f t="shared" si="707"/>
        <v>0.4604471269</v>
      </c>
      <c r="KA63" s="167">
        <f t="shared" si="708"/>
        <v>0</v>
      </c>
      <c r="KB63" s="168">
        <f t="shared" si="709"/>
        <v>0</v>
      </c>
      <c r="KC63" s="159"/>
      <c r="KD63" s="161">
        <f t="shared" si="752"/>
        <v>15</v>
      </c>
      <c r="KE63" s="162" t="str">
        <f t="shared" ref="KE63:KG63" si="974">IFERROR(VLOOKUP($R63,$A$13:$D$30,-KE$12,FALSE),"")</f>
        <v>Lainnya 2.3 (7) …….</v>
      </c>
      <c r="KF63" s="163" t="str">
        <f t="shared" si="974"/>
        <v/>
      </c>
      <c r="KG63" s="163" t="str">
        <f t="shared" si="974"/>
        <v/>
      </c>
      <c r="KH63" s="156"/>
      <c r="KI63" s="156" t="str">
        <f t="shared" si="902"/>
        <v/>
      </c>
      <c r="KJ63" s="156">
        <f t="shared" si="712"/>
        <v>0</v>
      </c>
      <c r="KK63" s="164"/>
      <c r="KL63" s="156">
        <f t="shared" si="713"/>
        <v>0</v>
      </c>
      <c r="KM63" s="413"/>
      <c r="KN63" s="165"/>
      <c r="KO63" s="165"/>
      <c r="KP63" s="156">
        <f t="shared" si="714"/>
        <v>0</v>
      </c>
      <c r="KQ63" s="164">
        <f t="shared" si="715"/>
        <v>0.4604471269</v>
      </c>
      <c r="KR63" s="167">
        <f t="shared" si="716"/>
        <v>0</v>
      </c>
      <c r="KS63" s="168">
        <f t="shared" si="717"/>
        <v>0</v>
      </c>
      <c r="KT63" s="159"/>
      <c r="KU63" s="160"/>
    </row>
    <row r="64" ht="15.75" customHeight="1">
      <c r="A64" s="161">
        <f t="shared" si="718"/>
        <v>16</v>
      </c>
      <c r="B64" s="162" t="str">
        <f t="shared" ref="B64:D64" si="975">IFERROR(VLOOKUP($A64,$A$13:$D$30,-B$12,FALSE),"")</f>
        <v>Lainnya 2.3 (8) …….</v>
      </c>
      <c r="C64" s="163" t="str">
        <f t="shared" si="975"/>
        <v/>
      </c>
      <c r="D64" s="163" t="str">
        <f t="shared" si="975"/>
        <v/>
      </c>
      <c r="E64" s="156"/>
      <c r="F64" s="156"/>
      <c r="G64" s="156">
        <f t="shared" si="576"/>
        <v>0</v>
      </c>
      <c r="H64" s="164"/>
      <c r="I64" s="156">
        <f t="shared" si="577"/>
        <v>0</v>
      </c>
      <c r="J64" s="413"/>
      <c r="K64" s="165"/>
      <c r="L64" s="165"/>
      <c r="M64" s="156">
        <f t="shared" si="578"/>
        <v>0</v>
      </c>
      <c r="N64" s="164"/>
      <c r="O64" s="167">
        <f t="shared" si="580"/>
        <v>0</v>
      </c>
      <c r="P64" s="168">
        <f t="shared" si="581"/>
        <v>0</v>
      </c>
      <c r="Q64" s="159"/>
      <c r="R64" s="161">
        <f t="shared" si="720"/>
        <v>16</v>
      </c>
      <c r="S64" s="162" t="str">
        <f t="shared" ref="S64:U64" si="976">IFERROR(VLOOKUP($R64,$A$13:$D$30,-S$12,FALSE),"")</f>
        <v>Lainnya 2.3 (8) …….</v>
      </c>
      <c r="T64" s="163" t="str">
        <f t="shared" si="976"/>
        <v/>
      </c>
      <c r="U64" s="163" t="str">
        <f t="shared" si="976"/>
        <v/>
      </c>
      <c r="V64" s="156"/>
      <c r="W64" s="156" t="str">
        <f t="shared" si="583"/>
        <v/>
      </c>
      <c r="X64" s="156">
        <f t="shared" si="584"/>
        <v>0</v>
      </c>
      <c r="Y64" s="164"/>
      <c r="Z64" s="156">
        <f t="shared" si="585"/>
        <v>0</v>
      </c>
      <c r="AA64" s="413"/>
      <c r="AB64" s="165"/>
      <c r="AC64" s="165"/>
      <c r="AD64" s="156">
        <f t="shared" si="586"/>
        <v>0</v>
      </c>
      <c r="AE64" s="164" t="str">
        <f t="shared" si="587"/>
        <v/>
      </c>
      <c r="AF64" s="167">
        <f t="shared" si="588"/>
        <v>0</v>
      </c>
      <c r="AG64" s="168">
        <f t="shared" si="589"/>
        <v>0</v>
      </c>
      <c r="AH64" s="159"/>
      <c r="AI64" s="161">
        <f t="shared" si="722"/>
        <v>16</v>
      </c>
      <c r="AJ64" s="162" t="str">
        <f t="shared" ref="AJ64:AL64" si="977">IFERROR(VLOOKUP($R64,$A$13:$D$30,-AJ$12,FALSE),"")</f>
        <v>Lainnya 2.3 (8) …….</v>
      </c>
      <c r="AK64" s="163" t="str">
        <f t="shared" si="977"/>
        <v/>
      </c>
      <c r="AL64" s="163" t="str">
        <f t="shared" si="977"/>
        <v/>
      </c>
      <c r="AM64" s="156"/>
      <c r="AN64" s="156" t="str">
        <f t="shared" si="591"/>
        <v/>
      </c>
      <c r="AO64" s="156">
        <f t="shared" si="592"/>
        <v>0</v>
      </c>
      <c r="AP64" s="164"/>
      <c r="AQ64" s="156">
        <f t="shared" si="593"/>
        <v>0</v>
      </c>
      <c r="AR64" s="413"/>
      <c r="AS64" s="165"/>
      <c r="AT64" s="165"/>
      <c r="AU64" s="156">
        <f t="shared" si="594"/>
        <v>0</v>
      </c>
      <c r="AV64" s="164" t="str">
        <f t="shared" si="595"/>
        <v/>
      </c>
      <c r="AW64" s="167">
        <f t="shared" si="596"/>
        <v>0</v>
      </c>
      <c r="AX64" s="168">
        <f t="shared" si="597"/>
        <v>0</v>
      </c>
      <c r="AY64" s="159"/>
      <c r="AZ64" s="161">
        <f t="shared" si="724"/>
        <v>16</v>
      </c>
      <c r="BA64" s="162" t="str">
        <f t="shared" ref="BA64:BC64" si="978">IFERROR(VLOOKUP($R64,$A$13:$D$30,-BA$12,FALSE),"")</f>
        <v>Lainnya 2.3 (8) …….</v>
      </c>
      <c r="BB64" s="163" t="str">
        <f t="shared" si="978"/>
        <v/>
      </c>
      <c r="BC64" s="163" t="str">
        <f t="shared" si="978"/>
        <v/>
      </c>
      <c r="BD64" s="156"/>
      <c r="BE64" s="156" t="str">
        <f t="shared" si="599"/>
        <v/>
      </c>
      <c r="BF64" s="156">
        <f t="shared" si="600"/>
        <v>0</v>
      </c>
      <c r="BG64" s="164"/>
      <c r="BH64" s="156">
        <f t="shared" si="601"/>
        <v>0</v>
      </c>
      <c r="BI64" s="413"/>
      <c r="BJ64" s="165"/>
      <c r="BK64" s="165"/>
      <c r="BL64" s="156">
        <f t="shared" si="602"/>
        <v>0</v>
      </c>
      <c r="BM64" s="164" t="str">
        <f t="shared" si="603"/>
        <v/>
      </c>
      <c r="BN64" s="167">
        <f t="shared" si="604"/>
        <v>0</v>
      </c>
      <c r="BO64" s="168">
        <f t="shared" si="605"/>
        <v>0</v>
      </c>
      <c r="BP64" s="159"/>
      <c r="BQ64" s="161">
        <f t="shared" si="726"/>
        <v>16</v>
      </c>
      <c r="BR64" s="162" t="str">
        <f t="shared" ref="BR64:BT64" si="979">IFERROR(VLOOKUP($R64,$A$13:$D$30,-BR$12,FALSE),"")</f>
        <v>Lainnya 2.3 (8) …….</v>
      </c>
      <c r="BS64" s="163" t="str">
        <f t="shared" si="979"/>
        <v/>
      </c>
      <c r="BT64" s="163" t="str">
        <f t="shared" si="979"/>
        <v/>
      </c>
      <c r="BU64" s="156"/>
      <c r="BV64" s="156" t="str">
        <f t="shared" si="607"/>
        <v/>
      </c>
      <c r="BW64" s="156">
        <f t="shared" si="608"/>
        <v>0</v>
      </c>
      <c r="BX64" s="164"/>
      <c r="BY64" s="156">
        <f t="shared" si="609"/>
        <v>0</v>
      </c>
      <c r="BZ64" s="413"/>
      <c r="CA64" s="165"/>
      <c r="CB64" s="165"/>
      <c r="CC64" s="156">
        <f t="shared" si="610"/>
        <v>0</v>
      </c>
      <c r="CD64" s="164" t="str">
        <f t="shared" si="611"/>
        <v/>
      </c>
      <c r="CE64" s="167">
        <f t="shared" si="612"/>
        <v>0</v>
      </c>
      <c r="CF64" s="168">
        <f t="shared" si="613"/>
        <v>0</v>
      </c>
      <c r="CG64" s="159"/>
      <c r="CH64" s="161">
        <f t="shared" si="728"/>
        <v>16</v>
      </c>
      <c r="CI64" s="162" t="str">
        <f t="shared" ref="CI64:CK64" si="980">IFERROR(VLOOKUP($R64,$A$13:$D$30,-CI$12,FALSE),"")</f>
        <v>Lainnya 2.3 (8) …….</v>
      </c>
      <c r="CJ64" s="163" t="str">
        <f t="shared" si="980"/>
        <v/>
      </c>
      <c r="CK64" s="163" t="str">
        <f t="shared" si="980"/>
        <v/>
      </c>
      <c r="CL64" s="156"/>
      <c r="CM64" s="156" t="str">
        <f t="shared" si="615"/>
        <v/>
      </c>
      <c r="CN64" s="156">
        <f t="shared" si="616"/>
        <v>0</v>
      </c>
      <c r="CO64" s="164"/>
      <c r="CP64" s="156">
        <f t="shared" si="617"/>
        <v>0</v>
      </c>
      <c r="CQ64" s="413"/>
      <c r="CR64" s="165"/>
      <c r="CS64" s="165"/>
      <c r="CT64" s="156">
        <f t="shared" si="618"/>
        <v>0</v>
      </c>
      <c r="CU64" s="164" t="str">
        <f t="shared" si="619"/>
        <v/>
      </c>
      <c r="CV64" s="167">
        <f t="shared" si="620"/>
        <v>0</v>
      </c>
      <c r="CW64" s="168">
        <f t="shared" si="621"/>
        <v>0</v>
      </c>
      <c r="CX64" s="159"/>
      <c r="CY64" s="161">
        <f t="shared" si="730"/>
        <v>16</v>
      </c>
      <c r="CZ64" s="162" t="str">
        <f t="shared" ref="CZ64:DB64" si="981">IFERROR(VLOOKUP($R64,$A$13:$D$30,-CZ$12,FALSE),"")</f>
        <v>Lainnya 2.3 (8) …….</v>
      </c>
      <c r="DA64" s="163" t="str">
        <f t="shared" si="981"/>
        <v/>
      </c>
      <c r="DB64" s="163" t="str">
        <f t="shared" si="981"/>
        <v/>
      </c>
      <c r="DC64" s="156"/>
      <c r="DD64" s="156" t="str">
        <f t="shared" si="623"/>
        <v/>
      </c>
      <c r="DE64" s="156">
        <f t="shared" si="624"/>
        <v>0</v>
      </c>
      <c r="DF64" s="164"/>
      <c r="DG64" s="156">
        <f t="shared" si="625"/>
        <v>0</v>
      </c>
      <c r="DH64" s="413"/>
      <c r="DI64" s="165"/>
      <c r="DJ64" s="165"/>
      <c r="DK64" s="156">
        <f t="shared" si="626"/>
        <v>0</v>
      </c>
      <c r="DL64" s="164" t="str">
        <f t="shared" si="627"/>
        <v/>
      </c>
      <c r="DM64" s="167">
        <f t="shared" si="628"/>
        <v>0</v>
      </c>
      <c r="DN64" s="168">
        <f t="shared" si="629"/>
        <v>0</v>
      </c>
      <c r="DO64" s="159"/>
      <c r="DP64" s="161">
        <f t="shared" si="732"/>
        <v>16</v>
      </c>
      <c r="DQ64" s="162" t="str">
        <f t="shared" ref="DQ64:DS64" si="982">IFERROR(VLOOKUP($R64,$A$13:$D$30,-DQ$12,FALSE),"")</f>
        <v>Lainnya 2.3 (8) …….</v>
      </c>
      <c r="DR64" s="163" t="str">
        <f t="shared" si="982"/>
        <v/>
      </c>
      <c r="DS64" s="163" t="str">
        <f t="shared" si="982"/>
        <v/>
      </c>
      <c r="DT64" s="156"/>
      <c r="DU64" s="156" t="str">
        <f t="shared" si="631"/>
        <v/>
      </c>
      <c r="DV64" s="156">
        <f t="shared" si="632"/>
        <v>0</v>
      </c>
      <c r="DW64" s="164"/>
      <c r="DX64" s="156">
        <f t="shared" si="633"/>
        <v>0</v>
      </c>
      <c r="DY64" s="413"/>
      <c r="DZ64" s="165"/>
      <c r="EA64" s="165"/>
      <c r="EB64" s="156">
        <f t="shared" si="634"/>
        <v>0</v>
      </c>
      <c r="EC64" s="164" t="str">
        <f t="shared" si="635"/>
        <v/>
      </c>
      <c r="ED64" s="167">
        <f t="shared" si="636"/>
        <v>0</v>
      </c>
      <c r="EE64" s="168">
        <f t="shared" si="637"/>
        <v>0</v>
      </c>
      <c r="EF64" s="159"/>
      <c r="EG64" s="161">
        <f t="shared" si="734"/>
        <v>16</v>
      </c>
      <c r="EH64" s="162" t="str">
        <f t="shared" ref="EH64:EJ64" si="983">IFERROR(VLOOKUP($R64,$A$13:$D$30,-EH$12,FALSE),"")</f>
        <v>Lainnya 2.3 (8) …….</v>
      </c>
      <c r="EI64" s="163" t="str">
        <f t="shared" si="983"/>
        <v/>
      </c>
      <c r="EJ64" s="163" t="str">
        <f t="shared" si="983"/>
        <v/>
      </c>
      <c r="EK64" s="156"/>
      <c r="EL64" s="156" t="str">
        <f t="shared" si="639"/>
        <v/>
      </c>
      <c r="EM64" s="156">
        <f t="shared" si="640"/>
        <v>0</v>
      </c>
      <c r="EN64" s="164"/>
      <c r="EO64" s="156">
        <f t="shared" si="641"/>
        <v>0</v>
      </c>
      <c r="EP64" s="413"/>
      <c r="EQ64" s="165"/>
      <c r="ER64" s="165"/>
      <c r="ES64" s="156">
        <f t="shared" si="642"/>
        <v>0</v>
      </c>
      <c r="ET64" s="164" t="str">
        <f t="shared" si="643"/>
        <v/>
      </c>
      <c r="EU64" s="167">
        <f t="shared" si="644"/>
        <v>0</v>
      </c>
      <c r="EV64" s="168">
        <f t="shared" si="645"/>
        <v>0</v>
      </c>
      <c r="EW64" s="159"/>
      <c r="EX64" s="161">
        <f t="shared" si="736"/>
        <v>16</v>
      </c>
      <c r="EY64" s="162" t="str">
        <f t="shared" ref="EY64:FA64" si="984">IFERROR(VLOOKUP($R64,$A$13:$D$30,-EY$12,FALSE),"")</f>
        <v>Lainnya 2.3 (8) …….</v>
      </c>
      <c r="EZ64" s="163" t="str">
        <f t="shared" si="984"/>
        <v/>
      </c>
      <c r="FA64" s="163" t="str">
        <f t="shared" si="984"/>
        <v/>
      </c>
      <c r="FB64" s="156"/>
      <c r="FC64" s="156" t="str">
        <f t="shared" si="647"/>
        <v/>
      </c>
      <c r="FD64" s="156">
        <f t="shared" si="648"/>
        <v>0</v>
      </c>
      <c r="FE64" s="164"/>
      <c r="FF64" s="156">
        <f t="shared" si="649"/>
        <v>0</v>
      </c>
      <c r="FG64" s="413"/>
      <c r="FH64" s="165"/>
      <c r="FI64" s="165"/>
      <c r="FJ64" s="156">
        <f t="shared" si="650"/>
        <v>0</v>
      </c>
      <c r="FK64" s="164" t="str">
        <f t="shared" si="651"/>
        <v/>
      </c>
      <c r="FL64" s="167">
        <f t="shared" si="652"/>
        <v>0</v>
      </c>
      <c r="FM64" s="168">
        <f t="shared" si="653"/>
        <v>0</v>
      </c>
      <c r="FN64" s="159"/>
      <c r="FO64" s="161">
        <f t="shared" si="738"/>
        <v>16</v>
      </c>
      <c r="FP64" s="162" t="str">
        <f t="shared" ref="FP64:FR64" si="985">IFERROR(VLOOKUP($R64,$A$13:$D$30,-FP$12,FALSE),"")</f>
        <v>Lainnya 2.3 (8) …….</v>
      </c>
      <c r="FQ64" s="163" t="str">
        <f t="shared" si="985"/>
        <v/>
      </c>
      <c r="FR64" s="163" t="str">
        <f t="shared" si="985"/>
        <v/>
      </c>
      <c r="FS64" s="156"/>
      <c r="FT64" s="156" t="str">
        <f t="shared" si="819"/>
        <v/>
      </c>
      <c r="FU64" s="156">
        <f t="shared" si="656"/>
        <v>0</v>
      </c>
      <c r="FV64" s="164"/>
      <c r="FW64" s="156">
        <f t="shared" si="657"/>
        <v>0</v>
      </c>
      <c r="FX64" s="413"/>
      <c r="FY64" s="165"/>
      <c r="FZ64" s="165"/>
      <c r="GA64" s="156">
        <f t="shared" si="658"/>
        <v>0</v>
      </c>
      <c r="GB64" s="164" t="str">
        <f t="shared" si="659"/>
        <v/>
      </c>
      <c r="GC64" s="167">
        <f t="shared" si="660"/>
        <v>0</v>
      </c>
      <c r="GD64" s="168">
        <f t="shared" si="661"/>
        <v>0</v>
      </c>
      <c r="GE64" s="159"/>
      <c r="GF64" s="161">
        <f t="shared" si="740"/>
        <v>16</v>
      </c>
      <c r="GG64" s="162" t="str">
        <f t="shared" ref="GG64:GI64" si="986">IFERROR(VLOOKUP($R64,$A$13:$D$30,-GG$12,FALSE),"")</f>
        <v>Lainnya 2.3 (8) …….</v>
      </c>
      <c r="GH64" s="163" t="str">
        <f t="shared" si="986"/>
        <v/>
      </c>
      <c r="GI64" s="163" t="str">
        <f t="shared" si="986"/>
        <v/>
      </c>
      <c r="GJ64" s="156"/>
      <c r="GK64" s="156" t="str">
        <f t="shared" ref="GK64:GK65" si="1005">FT64</f>
        <v/>
      </c>
      <c r="GL64" s="156">
        <f t="shared" si="664"/>
        <v>0</v>
      </c>
      <c r="GM64" s="164"/>
      <c r="GN64" s="156">
        <f t="shared" si="665"/>
        <v>0</v>
      </c>
      <c r="GO64" s="413"/>
      <c r="GP64" s="165"/>
      <c r="GQ64" s="165"/>
      <c r="GR64" s="156">
        <f t="shared" si="666"/>
        <v>0</v>
      </c>
      <c r="GS64" s="164" t="str">
        <f t="shared" si="667"/>
        <v/>
      </c>
      <c r="GT64" s="167">
        <f t="shared" si="668"/>
        <v>0</v>
      </c>
      <c r="GU64" s="168">
        <f t="shared" si="669"/>
        <v>0</v>
      </c>
      <c r="GV64" s="159"/>
      <c r="GW64" s="161">
        <f t="shared" si="742"/>
        <v>16</v>
      </c>
      <c r="GX64" s="162" t="str">
        <f t="shared" ref="GX64:GZ64" si="987">IFERROR(VLOOKUP($R64,$A$13:$D$30,-GX$12,FALSE),"")</f>
        <v>Lainnya 2.3 (8) …….</v>
      </c>
      <c r="GY64" s="163" t="str">
        <f t="shared" si="987"/>
        <v/>
      </c>
      <c r="GZ64" s="163" t="str">
        <f t="shared" si="987"/>
        <v/>
      </c>
      <c r="HA64" s="156"/>
      <c r="HB64" s="169"/>
      <c r="HC64" s="156">
        <f t="shared" si="672"/>
        <v>0</v>
      </c>
      <c r="HD64" s="164"/>
      <c r="HE64" s="156">
        <f t="shared" si="673"/>
        <v>0</v>
      </c>
      <c r="HF64" s="413"/>
      <c r="HG64" s="165"/>
      <c r="HH64" s="165"/>
      <c r="HI64" s="156">
        <f t="shared" si="674"/>
        <v>0</v>
      </c>
      <c r="HJ64" s="164" t="str">
        <f t="shared" si="675"/>
        <v/>
      </c>
      <c r="HK64" s="167">
        <f t="shared" si="676"/>
        <v>0</v>
      </c>
      <c r="HL64" s="168">
        <f t="shared" si="677"/>
        <v>0</v>
      </c>
      <c r="HM64" s="159"/>
      <c r="HN64" s="161">
        <f t="shared" si="744"/>
        <v>16</v>
      </c>
      <c r="HO64" s="162" t="str">
        <f t="shared" ref="HO64:HQ64" si="988">IFERROR(VLOOKUP($R64,$A$13:$D$30,-HO$12,FALSE),"")</f>
        <v>Lainnya 2.3 (8) …….</v>
      </c>
      <c r="HP64" s="163" t="str">
        <f t="shared" si="988"/>
        <v/>
      </c>
      <c r="HQ64" s="163" t="str">
        <f t="shared" si="988"/>
        <v/>
      </c>
      <c r="HR64" s="156"/>
      <c r="HS64" s="156" t="str">
        <f t="shared" si="679"/>
        <v/>
      </c>
      <c r="HT64" s="156">
        <f t="shared" si="680"/>
        <v>0</v>
      </c>
      <c r="HU64" s="164"/>
      <c r="HV64" s="156">
        <f t="shared" si="681"/>
        <v>0</v>
      </c>
      <c r="HW64" s="413"/>
      <c r="HX64" s="165"/>
      <c r="HY64" s="165"/>
      <c r="HZ64" s="156">
        <f t="shared" si="682"/>
        <v>0</v>
      </c>
      <c r="IA64" s="164" t="str">
        <f t="shared" si="683"/>
        <v/>
      </c>
      <c r="IB64" s="167">
        <f t="shared" si="684"/>
        <v>0</v>
      </c>
      <c r="IC64" s="168">
        <f t="shared" si="685"/>
        <v>0</v>
      </c>
      <c r="ID64" s="159"/>
      <c r="IE64" s="161">
        <f t="shared" si="746"/>
        <v>16</v>
      </c>
      <c r="IF64" s="162" t="str">
        <f t="shared" ref="IF64:IH64" si="989">IFERROR(VLOOKUP($R64,$A$13:$D$30,-IF$12,FALSE),"")</f>
        <v>Lainnya 2.3 (8) …….</v>
      </c>
      <c r="IG64" s="163" t="str">
        <f t="shared" si="989"/>
        <v/>
      </c>
      <c r="IH64" s="163" t="str">
        <f t="shared" si="989"/>
        <v/>
      </c>
      <c r="II64" s="156"/>
      <c r="IJ64" s="156" t="str">
        <f t="shared" si="687"/>
        <v/>
      </c>
      <c r="IK64" s="156">
        <f t="shared" si="688"/>
        <v>0</v>
      </c>
      <c r="IL64" s="164"/>
      <c r="IM64" s="156">
        <f t="shared" si="689"/>
        <v>0</v>
      </c>
      <c r="IN64" s="413"/>
      <c r="IO64" s="165"/>
      <c r="IP64" s="165"/>
      <c r="IQ64" s="156">
        <f t="shared" si="690"/>
        <v>0</v>
      </c>
      <c r="IR64" s="164" t="str">
        <f t="shared" si="691"/>
        <v/>
      </c>
      <c r="IS64" s="167">
        <f t="shared" si="692"/>
        <v>0</v>
      </c>
      <c r="IT64" s="168">
        <f t="shared" si="693"/>
        <v>0</v>
      </c>
      <c r="IU64" s="159"/>
      <c r="IV64" s="161">
        <f t="shared" si="748"/>
        <v>16</v>
      </c>
      <c r="IW64" s="162" t="str">
        <f t="shared" ref="IW64:IY64" si="990">IFERROR(VLOOKUP($R64,$A$13:$D$30,-IW$12,FALSE),"")</f>
        <v>Lainnya 2.3 (8) …….</v>
      </c>
      <c r="IX64" s="163" t="str">
        <f t="shared" si="990"/>
        <v/>
      </c>
      <c r="IY64" s="163" t="str">
        <f t="shared" si="990"/>
        <v/>
      </c>
      <c r="IZ64" s="156"/>
      <c r="JA64" s="156" t="str">
        <f t="shared" si="695"/>
        <v/>
      </c>
      <c r="JB64" s="156">
        <f t="shared" si="696"/>
        <v>0</v>
      </c>
      <c r="JC64" s="164"/>
      <c r="JD64" s="156">
        <f t="shared" si="697"/>
        <v>0</v>
      </c>
      <c r="JE64" s="413"/>
      <c r="JF64" s="165"/>
      <c r="JG64" s="165"/>
      <c r="JH64" s="156">
        <f t="shared" si="698"/>
        <v>0</v>
      </c>
      <c r="JI64" s="164" t="str">
        <f t="shared" si="699"/>
        <v/>
      </c>
      <c r="JJ64" s="167">
        <f t="shared" si="700"/>
        <v>0</v>
      </c>
      <c r="JK64" s="168">
        <f t="shared" si="701"/>
        <v>0</v>
      </c>
      <c r="JL64" s="159"/>
      <c r="JM64" s="161">
        <f t="shared" si="750"/>
        <v>16</v>
      </c>
      <c r="JN64" s="162" t="str">
        <f t="shared" ref="JN64:JP64" si="991">IFERROR(VLOOKUP($R64,$A$13:$D$30,-JN$12,FALSE),"")</f>
        <v>Lainnya 2.3 (8) …….</v>
      </c>
      <c r="JO64" s="163" t="str">
        <f t="shared" si="991"/>
        <v/>
      </c>
      <c r="JP64" s="163" t="str">
        <f t="shared" si="991"/>
        <v/>
      </c>
      <c r="JQ64" s="156"/>
      <c r="JR64" s="156" t="str">
        <f t="shared" si="900"/>
        <v/>
      </c>
      <c r="JS64" s="156">
        <f t="shared" si="704"/>
        <v>0</v>
      </c>
      <c r="JT64" s="164"/>
      <c r="JU64" s="156">
        <f t="shared" si="705"/>
        <v>0</v>
      </c>
      <c r="JV64" s="413"/>
      <c r="JW64" s="165"/>
      <c r="JX64" s="165"/>
      <c r="JY64" s="156">
        <f t="shared" si="706"/>
        <v>0</v>
      </c>
      <c r="JZ64" s="164" t="str">
        <f t="shared" si="707"/>
        <v/>
      </c>
      <c r="KA64" s="167">
        <f t="shared" si="708"/>
        <v>0</v>
      </c>
      <c r="KB64" s="168">
        <f t="shared" si="709"/>
        <v>0</v>
      </c>
      <c r="KC64" s="159"/>
      <c r="KD64" s="161">
        <f t="shared" si="752"/>
        <v>16</v>
      </c>
      <c r="KE64" s="162" t="str">
        <f t="shared" ref="KE64:KG64" si="992">IFERROR(VLOOKUP($R64,$A$13:$D$30,-KE$12,FALSE),"")</f>
        <v>Lainnya 2.3 (8) …….</v>
      </c>
      <c r="KF64" s="163" t="str">
        <f t="shared" si="992"/>
        <v/>
      </c>
      <c r="KG64" s="163" t="str">
        <f t="shared" si="992"/>
        <v/>
      </c>
      <c r="KH64" s="156"/>
      <c r="KI64" s="156" t="str">
        <f t="shared" si="902"/>
        <v/>
      </c>
      <c r="KJ64" s="156">
        <f t="shared" si="712"/>
        <v>0</v>
      </c>
      <c r="KK64" s="164"/>
      <c r="KL64" s="156">
        <f t="shared" si="713"/>
        <v>0</v>
      </c>
      <c r="KM64" s="413"/>
      <c r="KN64" s="165"/>
      <c r="KO64" s="165"/>
      <c r="KP64" s="156">
        <f t="shared" si="714"/>
        <v>0</v>
      </c>
      <c r="KQ64" s="164" t="str">
        <f t="shared" si="715"/>
        <v/>
      </c>
      <c r="KR64" s="167">
        <f t="shared" si="716"/>
        <v>0</v>
      </c>
      <c r="KS64" s="168">
        <f t="shared" si="717"/>
        <v>0</v>
      </c>
      <c r="KT64" s="159"/>
      <c r="KU64" s="160"/>
    </row>
    <row r="65" ht="15.75" customHeight="1">
      <c r="A65" s="161">
        <f t="shared" si="718"/>
        <v>17</v>
      </c>
      <c r="B65" s="162" t="str">
        <f t="shared" ref="B65:D65" si="993">IFERROR(VLOOKUP($A65,$A$13:$D$30,-B$12,FALSE),"")</f>
        <v>Lainnya 2.3 (9) …….</v>
      </c>
      <c r="C65" s="163" t="str">
        <f t="shared" si="993"/>
        <v/>
      </c>
      <c r="D65" s="163" t="str">
        <f t="shared" si="993"/>
        <v/>
      </c>
      <c r="E65" s="156"/>
      <c r="F65" s="156"/>
      <c r="G65" s="156">
        <f t="shared" si="576"/>
        <v>0</v>
      </c>
      <c r="H65" s="164"/>
      <c r="I65" s="156">
        <f t="shared" si="577"/>
        <v>0</v>
      </c>
      <c r="J65" s="413"/>
      <c r="K65" s="165"/>
      <c r="L65" s="165"/>
      <c r="M65" s="156">
        <f t="shared" si="578"/>
        <v>0</v>
      </c>
      <c r="N65" s="164"/>
      <c r="O65" s="167">
        <f t="shared" si="580"/>
        <v>0</v>
      </c>
      <c r="P65" s="168">
        <f t="shared" si="581"/>
        <v>0</v>
      </c>
      <c r="Q65" s="159"/>
      <c r="R65" s="161">
        <f t="shared" si="720"/>
        <v>17</v>
      </c>
      <c r="S65" s="162" t="str">
        <f t="shared" ref="S65:U65" si="994">IFERROR(VLOOKUP($R65,$A$13:$D$30,-S$12,FALSE),"")</f>
        <v>Lainnya 2.3 (9) …….</v>
      </c>
      <c r="T65" s="163" t="str">
        <f t="shared" si="994"/>
        <v/>
      </c>
      <c r="U65" s="163" t="str">
        <f t="shared" si="994"/>
        <v/>
      </c>
      <c r="V65" s="156"/>
      <c r="W65" s="156" t="str">
        <f t="shared" si="583"/>
        <v/>
      </c>
      <c r="X65" s="156">
        <f t="shared" si="584"/>
        <v>0</v>
      </c>
      <c r="Y65" s="164"/>
      <c r="Z65" s="156">
        <f t="shared" si="585"/>
        <v>0</v>
      </c>
      <c r="AA65" s="413"/>
      <c r="AB65" s="165"/>
      <c r="AC65" s="165"/>
      <c r="AD65" s="156">
        <f t="shared" si="586"/>
        <v>0</v>
      </c>
      <c r="AE65" s="164" t="str">
        <f t="shared" si="587"/>
        <v/>
      </c>
      <c r="AF65" s="167">
        <f t="shared" si="588"/>
        <v>0</v>
      </c>
      <c r="AG65" s="168">
        <f t="shared" si="589"/>
        <v>0</v>
      </c>
      <c r="AH65" s="159"/>
      <c r="AI65" s="161">
        <f t="shared" si="722"/>
        <v>17</v>
      </c>
      <c r="AJ65" s="162" t="str">
        <f t="shared" ref="AJ65:AL65" si="995">IFERROR(VLOOKUP($R65,$A$13:$D$30,-AJ$12,FALSE),"")</f>
        <v>Lainnya 2.3 (9) …….</v>
      </c>
      <c r="AK65" s="163" t="str">
        <f t="shared" si="995"/>
        <v/>
      </c>
      <c r="AL65" s="163" t="str">
        <f t="shared" si="995"/>
        <v/>
      </c>
      <c r="AM65" s="156"/>
      <c r="AN65" s="156" t="str">
        <f t="shared" si="591"/>
        <v/>
      </c>
      <c r="AO65" s="156">
        <f t="shared" si="592"/>
        <v>0</v>
      </c>
      <c r="AP65" s="164"/>
      <c r="AQ65" s="156">
        <f t="shared" si="593"/>
        <v>0</v>
      </c>
      <c r="AR65" s="413"/>
      <c r="AS65" s="165"/>
      <c r="AT65" s="165"/>
      <c r="AU65" s="156">
        <f t="shared" si="594"/>
        <v>0</v>
      </c>
      <c r="AV65" s="164" t="str">
        <f t="shared" si="595"/>
        <v/>
      </c>
      <c r="AW65" s="167">
        <f t="shared" si="596"/>
        <v>0</v>
      </c>
      <c r="AX65" s="168">
        <f t="shared" si="597"/>
        <v>0</v>
      </c>
      <c r="AY65" s="159"/>
      <c r="AZ65" s="161">
        <f t="shared" si="724"/>
        <v>17</v>
      </c>
      <c r="BA65" s="162" t="str">
        <f t="shared" ref="BA65:BC65" si="996">IFERROR(VLOOKUP($R65,$A$13:$D$30,-BA$12,FALSE),"")</f>
        <v>Lainnya 2.3 (9) …….</v>
      </c>
      <c r="BB65" s="163" t="str">
        <f t="shared" si="996"/>
        <v/>
      </c>
      <c r="BC65" s="163" t="str">
        <f t="shared" si="996"/>
        <v/>
      </c>
      <c r="BD65" s="156"/>
      <c r="BE65" s="156" t="str">
        <f t="shared" si="599"/>
        <v/>
      </c>
      <c r="BF65" s="156">
        <f t="shared" si="600"/>
        <v>0</v>
      </c>
      <c r="BG65" s="164"/>
      <c r="BH65" s="156">
        <f t="shared" si="601"/>
        <v>0</v>
      </c>
      <c r="BI65" s="413"/>
      <c r="BJ65" s="165"/>
      <c r="BK65" s="165"/>
      <c r="BL65" s="156">
        <f t="shared" si="602"/>
        <v>0</v>
      </c>
      <c r="BM65" s="164" t="str">
        <f t="shared" si="603"/>
        <v/>
      </c>
      <c r="BN65" s="167">
        <f t="shared" si="604"/>
        <v>0</v>
      </c>
      <c r="BO65" s="168">
        <f t="shared" si="605"/>
        <v>0</v>
      </c>
      <c r="BP65" s="159"/>
      <c r="BQ65" s="161">
        <f t="shared" si="726"/>
        <v>17</v>
      </c>
      <c r="BR65" s="162" t="str">
        <f t="shared" ref="BR65:BT65" si="997">IFERROR(VLOOKUP($R65,$A$13:$D$30,-BR$12,FALSE),"")</f>
        <v>Lainnya 2.3 (9) …….</v>
      </c>
      <c r="BS65" s="163" t="str">
        <f t="shared" si="997"/>
        <v/>
      </c>
      <c r="BT65" s="163" t="str">
        <f t="shared" si="997"/>
        <v/>
      </c>
      <c r="BU65" s="156"/>
      <c r="BV65" s="156" t="str">
        <f t="shared" si="607"/>
        <v/>
      </c>
      <c r="BW65" s="156">
        <f t="shared" si="608"/>
        <v>0</v>
      </c>
      <c r="BX65" s="164"/>
      <c r="BY65" s="156">
        <f t="shared" si="609"/>
        <v>0</v>
      </c>
      <c r="BZ65" s="413"/>
      <c r="CA65" s="165"/>
      <c r="CB65" s="165"/>
      <c r="CC65" s="156">
        <f t="shared" si="610"/>
        <v>0</v>
      </c>
      <c r="CD65" s="164" t="str">
        <f t="shared" si="611"/>
        <v/>
      </c>
      <c r="CE65" s="167">
        <f t="shared" si="612"/>
        <v>0</v>
      </c>
      <c r="CF65" s="168">
        <f t="shared" si="613"/>
        <v>0</v>
      </c>
      <c r="CG65" s="159"/>
      <c r="CH65" s="161">
        <f t="shared" si="728"/>
        <v>17</v>
      </c>
      <c r="CI65" s="162" t="str">
        <f t="shared" ref="CI65:CK65" si="998">IFERROR(VLOOKUP($R65,$A$13:$D$30,-CI$12,FALSE),"")</f>
        <v>Lainnya 2.3 (9) …….</v>
      </c>
      <c r="CJ65" s="163" t="str">
        <f t="shared" si="998"/>
        <v/>
      </c>
      <c r="CK65" s="163" t="str">
        <f t="shared" si="998"/>
        <v/>
      </c>
      <c r="CL65" s="156"/>
      <c r="CM65" s="156" t="str">
        <f t="shared" si="615"/>
        <v/>
      </c>
      <c r="CN65" s="156">
        <f t="shared" si="616"/>
        <v>0</v>
      </c>
      <c r="CO65" s="164"/>
      <c r="CP65" s="156">
        <f t="shared" si="617"/>
        <v>0</v>
      </c>
      <c r="CQ65" s="413"/>
      <c r="CR65" s="165"/>
      <c r="CS65" s="165"/>
      <c r="CT65" s="156">
        <f t="shared" si="618"/>
        <v>0</v>
      </c>
      <c r="CU65" s="164" t="str">
        <f t="shared" si="619"/>
        <v/>
      </c>
      <c r="CV65" s="167">
        <f t="shared" si="620"/>
        <v>0</v>
      </c>
      <c r="CW65" s="168">
        <f t="shared" si="621"/>
        <v>0</v>
      </c>
      <c r="CX65" s="159"/>
      <c r="CY65" s="161">
        <f t="shared" si="730"/>
        <v>17</v>
      </c>
      <c r="CZ65" s="162" t="str">
        <f t="shared" ref="CZ65:DB65" si="999">IFERROR(VLOOKUP($R65,$A$13:$D$30,-CZ$12,FALSE),"")</f>
        <v>Lainnya 2.3 (9) …….</v>
      </c>
      <c r="DA65" s="163" t="str">
        <f t="shared" si="999"/>
        <v/>
      </c>
      <c r="DB65" s="163" t="str">
        <f t="shared" si="999"/>
        <v/>
      </c>
      <c r="DC65" s="156"/>
      <c r="DD65" s="156" t="str">
        <f t="shared" si="623"/>
        <v/>
      </c>
      <c r="DE65" s="156">
        <f t="shared" si="624"/>
        <v>0</v>
      </c>
      <c r="DF65" s="164"/>
      <c r="DG65" s="156">
        <f t="shared" si="625"/>
        <v>0</v>
      </c>
      <c r="DH65" s="413"/>
      <c r="DI65" s="165"/>
      <c r="DJ65" s="165"/>
      <c r="DK65" s="156">
        <f t="shared" si="626"/>
        <v>0</v>
      </c>
      <c r="DL65" s="164" t="str">
        <f t="shared" si="627"/>
        <v/>
      </c>
      <c r="DM65" s="167">
        <f t="shared" si="628"/>
        <v>0</v>
      </c>
      <c r="DN65" s="168">
        <f t="shared" si="629"/>
        <v>0</v>
      </c>
      <c r="DO65" s="159"/>
      <c r="DP65" s="161">
        <f t="shared" si="732"/>
        <v>17</v>
      </c>
      <c r="DQ65" s="162" t="str">
        <f t="shared" ref="DQ65:DS65" si="1000">IFERROR(VLOOKUP($R65,$A$13:$D$30,-DQ$12,FALSE),"")</f>
        <v>Lainnya 2.3 (9) …….</v>
      </c>
      <c r="DR65" s="163" t="str">
        <f t="shared" si="1000"/>
        <v/>
      </c>
      <c r="DS65" s="163" t="str">
        <f t="shared" si="1000"/>
        <v/>
      </c>
      <c r="DT65" s="156"/>
      <c r="DU65" s="156" t="str">
        <f t="shared" si="631"/>
        <v/>
      </c>
      <c r="DV65" s="156">
        <f t="shared" si="632"/>
        <v>0</v>
      </c>
      <c r="DW65" s="164"/>
      <c r="DX65" s="156">
        <f t="shared" si="633"/>
        <v>0</v>
      </c>
      <c r="DY65" s="413"/>
      <c r="DZ65" s="165"/>
      <c r="EA65" s="165"/>
      <c r="EB65" s="156">
        <f t="shared" si="634"/>
        <v>0</v>
      </c>
      <c r="EC65" s="164" t="str">
        <f t="shared" si="635"/>
        <v/>
      </c>
      <c r="ED65" s="167">
        <f t="shared" si="636"/>
        <v>0</v>
      </c>
      <c r="EE65" s="168">
        <f t="shared" si="637"/>
        <v>0</v>
      </c>
      <c r="EF65" s="159"/>
      <c r="EG65" s="161">
        <f t="shared" si="734"/>
        <v>17</v>
      </c>
      <c r="EH65" s="162" t="str">
        <f t="shared" ref="EH65:EJ65" si="1001">IFERROR(VLOOKUP($R65,$A$13:$D$30,-EH$12,FALSE),"")</f>
        <v>Lainnya 2.3 (9) …….</v>
      </c>
      <c r="EI65" s="163" t="str">
        <f t="shared" si="1001"/>
        <v/>
      </c>
      <c r="EJ65" s="163" t="str">
        <f t="shared" si="1001"/>
        <v/>
      </c>
      <c r="EK65" s="156"/>
      <c r="EL65" s="156" t="str">
        <f t="shared" si="639"/>
        <v/>
      </c>
      <c r="EM65" s="156">
        <f t="shared" si="640"/>
        <v>0</v>
      </c>
      <c r="EN65" s="164"/>
      <c r="EO65" s="156">
        <f t="shared" si="641"/>
        <v>0</v>
      </c>
      <c r="EP65" s="413"/>
      <c r="EQ65" s="165"/>
      <c r="ER65" s="165"/>
      <c r="ES65" s="156">
        <f t="shared" si="642"/>
        <v>0</v>
      </c>
      <c r="ET65" s="164" t="str">
        <f t="shared" si="643"/>
        <v/>
      </c>
      <c r="EU65" s="167">
        <f t="shared" si="644"/>
        <v>0</v>
      </c>
      <c r="EV65" s="168">
        <f t="shared" si="645"/>
        <v>0</v>
      </c>
      <c r="EW65" s="159"/>
      <c r="EX65" s="161">
        <f t="shared" si="736"/>
        <v>17</v>
      </c>
      <c r="EY65" s="162" t="str">
        <f t="shared" ref="EY65:FA65" si="1002">IFERROR(VLOOKUP($R65,$A$13:$D$30,-EY$12,FALSE),"")</f>
        <v>Lainnya 2.3 (9) …….</v>
      </c>
      <c r="EZ65" s="163" t="str">
        <f t="shared" si="1002"/>
        <v/>
      </c>
      <c r="FA65" s="163" t="str">
        <f t="shared" si="1002"/>
        <v/>
      </c>
      <c r="FB65" s="156"/>
      <c r="FC65" s="156" t="str">
        <f t="shared" si="647"/>
        <v/>
      </c>
      <c r="FD65" s="156">
        <f t="shared" si="648"/>
        <v>0</v>
      </c>
      <c r="FE65" s="164"/>
      <c r="FF65" s="156">
        <f t="shared" si="649"/>
        <v>0</v>
      </c>
      <c r="FG65" s="413"/>
      <c r="FH65" s="165"/>
      <c r="FI65" s="165"/>
      <c r="FJ65" s="156">
        <f t="shared" si="650"/>
        <v>0</v>
      </c>
      <c r="FK65" s="164" t="str">
        <f t="shared" si="651"/>
        <v/>
      </c>
      <c r="FL65" s="167">
        <f t="shared" si="652"/>
        <v>0</v>
      </c>
      <c r="FM65" s="168">
        <f t="shared" si="653"/>
        <v>0</v>
      </c>
      <c r="FN65" s="159"/>
      <c r="FO65" s="161">
        <f t="shared" si="738"/>
        <v>17</v>
      </c>
      <c r="FP65" s="162" t="str">
        <f t="shared" ref="FP65:FR65" si="1003">IFERROR(VLOOKUP($R65,$A$13:$D$30,-FP$12,FALSE),"")</f>
        <v>Lainnya 2.3 (9) …….</v>
      </c>
      <c r="FQ65" s="163" t="str">
        <f t="shared" si="1003"/>
        <v/>
      </c>
      <c r="FR65" s="163" t="str">
        <f t="shared" si="1003"/>
        <v/>
      </c>
      <c r="FS65" s="156"/>
      <c r="FT65" s="156" t="str">
        <f t="shared" si="819"/>
        <v/>
      </c>
      <c r="FU65" s="156">
        <f t="shared" si="656"/>
        <v>0</v>
      </c>
      <c r="FV65" s="164"/>
      <c r="FW65" s="156">
        <f t="shared" si="657"/>
        <v>0</v>
      </c>
      <c r="FX65" s="413"/>
      <c r="FY65" s="165"/>
      <c r="FZ65" s="165"/>
      <c r="GA65" s="156">
        <f t="shared" si="658"/>
        <v>0</v>
      </c>
      <c r="GB65" s="164" t="str">
        <f t="shared" si="659"/>
        <v/>
      </c>
      <c r="GC65" s="167">
        <f t="shared" si="660"/>
        <v>0</v>
      </c>
      <c r="GD65" s="168">
        <f t="shared" si="661"/>
        <v>0</v>
      </c>
      <c r="GE65" s="159"/>
      <c r="GF65" s="161">
        <f t="shared" si="740"/>
        <v>17</v>
      </c>
      <c r="GG65" s="162" t="str">
        <f t="shared" ref="GG65:GI65" si="1004">IFERROR(VLOOKUP($R65,$A$13:$D$30,-GG$12,FALSE),"")</f>
        <v>Lainnya 2.3 (9) …….</v>
      </c>
      <c r="GH65" s="163" t="str">
        <f t="shared" si="1004"/>
        <v/>
      </c>
      <c r="GI65" s="163" t="str">
        <f t="shared" si="1004"/>
        <v/>
      </c>
      <c r="GJ65" s="156"/>
      <c r="GK65" s="156" t="str">
        <f t="shared" si="1005"/>
        <v/>
      </c>
      <c r="GL65" s="156">
        <f t="shared" si="664"/>
        <v>0</v>
      </c>
      <c r="GM65" s="164"/>
      <c r="GN65" s="156">
        <f t="shared" si="665"/>
        <v>0</v>
      </c>
      <c r="GO65" s="413"/>
      <c r="GP65" s="165"/>
      <c r="GQ65" s="165"/>
      <c r="GR65" s="156">
        <f t="shared" si="666"/>
        <v>0</v>
      </c>
      <c r="GS65" s="164" t="str">
        <f t="shared" si="667"/>
        <v/>
      </c>
      <c r="GT65" s="167">
        <f t="shared" si="668"/>
        <v>0</v>
      </c>
      <c r="GU65" s="168">
        <f t="shared" si="669"/>
        <v>0</v>
      </c>
      <c r="GV65" s="159"/>
      <c r="GW65" s="161">
        <f t="shared" si="742"/>
        <v>17</v>
      </c>
      <c r="GX65" s="162" t="str">
        <f t="shared" ref="GX65:GZ65" si="1006">IFERROR(VLOOKUP($R65,$A$13:$D$30,-GX$12,FALSE),"")</f>
        <v>Lainnya 2.3 (9) …….</v>
      </c>
      <c r="GY65" s="163" t="str">
        <f t="shared" si="1006"/>
        <v/>
      </c>
      <c r="GZ65" s="163" t="str">
        <f t="shared" si="1006"/>
        <v/>
      </c>
      <c r="HA65" s="156"/>
      <c r="HB65" s="156"/>
      <c r="HC65" s="156">
        <f t="shared" si="672"/>
        <v>0</v>
      </c>
      <c r="HD65" s="164"/>
      <c r="HE65" s="156">
        <f t="shared" si="673"/>
        <v>0</v>
      </c>
      <c r="HF65" s="413"/>
      <c r="HG65" s="165"/>
      <c r="HH65" s="165"/>
      <c r="HI65" s="156">
        <f t="shared" si="674"/>
        <v>0</v>
      </c>
      <c r="HJ65" s="164" t="str">
        <f t="shared" si="675"/>
        <v/>
      </c>
      <c r="HK65" s="167">
        <f t="shared" si="676"/>
        <v>0</v>
      </c>
      <c r="HL65" s="168">
        <f t="shared" si="677"/>
        <v>0</v>
      </c>
      <c r="HM65" s="159"/>
      <c r="HN65" s="161">
        <f t="shared" si="744"/>
        <v>17</v>
      </c>
      <c r="HO65" s="162" t="str">
        <f t="shared" ref="HO65:HQ65" si="1007">IFERROR(VLOOKUP($R65,$A$13:$D$30,-HO$12,FALSE),"")</f>
        <v>Lainnya 2.3 (9) …….</v>
      </c>
      <c r="HP65" s="163" t="str">
        <f t="shared" si="1007"/>
        <v/>
      </c>
      <c r="HQ65" s="163" t="str">
        <f t="shared" si="1007"/>
        <v/>
      </c>
      <c r="HR65" s="156"/>
      <c r="HS65" s="156" t="str">
        <f t="shared" si="679"/>
        <v/>
      </c>
      <c r="HT65" s="156">
        <f t="shared" si="680"/>
        <v>0</v>
      </c>
      <c r="HU65" s="164"/>
      <c r="HV65" s="156">
        <f t="shared" si="681"/>
        <v>0</v>
      </c>
      <c r="HW65" s="413"/>
      <c r="HX65" s="165"/>
      <c r="HY65" s="165"/>
      <c r="HZ65" s="156">
        <f t="shared" si="682"/>
        <v>0</v>
      </c>
      <c r="IA65" s="164" t="str">
        <f t="shared" si="683"/>
        <v/>
      </c>
      <c r="IB65" s="167">
        <f t="shared" si="684"/>
        <v>0</v>
      </c>
      <c r="IC65" s="168">
        <f t="shared" si="685"/>
        <v>0</v>
      </c>
      <c r="ID65" s="159"/>
      <c r="IE65" s="161">
        <f t="shared" si="746"/>
        <v>17</v>
      </c>
      <c r="IF65" s="162" t="str">
        <f t="shared" ref="IF65:IH65" si="1008">IFERROR(VLOOKUP($R65,$A$13:$D$30,-IF$12,FALSE),"")</f>
        <v>Lainnya 2.3 (9) …….</v>
      </c>
      <c r="IG65" s="163" t="str">
        <f t="shared" si="1008"/>
        <v/>
      </c>
      <c r="IH65" s="163" t="str">
        <f t="shared" si="1008"/>
        <v/>
      </c>
      <c r="II65" s="156"/>
      <c r="IJ65" s="156" t="str">
        <f t="shared" si="687"/>
        <v/>
      </c>
      <c r="IK65" s="156">
        <f t="shared" si="688"/>
        <v>0</v>
      </c>
      <c r="IL65" s="164"/>
      <c r="IM65" s="156">
        <f t="shared" si="689"/>
        <v>0</v>
      </c>
      <c r="IN65" s="413"/>
      <c r="IO65" s="165"/>
      <c r="IP65" s="165"/>
      <c r="IQ65" s="156">
        <f t="shared" si="690"/>
        <v>0</v>
      </c>
      <c r="IR65" s="164" t="str">
        <f t="shared" si="691"/>
        <v/>
      </c>
      <c r="IS65" s="167">
        <f t="shared" si="692"/>
        <v>0</v>
      </c>
      <c r="IT65" s="168">
        <f t="shared" si="693"/>
        <v>0</v>
      </c>
      <c r="IU65" s="159"/>
      <c r="IV65" s="161">
        <f t="shared" si="748"/>
        <v>17</v>
      </c>
      <c r="IW65" s="162" t="str">
        <f t="shared" ref="IW65:IY65" si="1009">IFERROR(VLOOKUP($R65,$A$13:$D$30,-IW$12,FALSE),"")</f>
        <v>Lainnya 2.3 (9) …….</v>
      </c>
      <c r="IX65" s="163" t="str">
        <f t="shared" si="1009"/>
        <v/>
      </c>
      <c r="IY65" s="163" t="str">
        <f t="shared" si="1009"/>
        <v/>
      </c>
      <c r="IZ65" s="156"/>
      <c r="JA65" s="156" t="str">
        <f t="shared" si="695"/>
        <v/>
      </c>
      <c r="JB65" s="156">
        <f t="shared" si="696"/>
        <v>0</v>
      </c>
      <c r="JC65" s="164"/>
      <c r="JD65" s="156">
        <f t="shared" si="697"/>
        <v>0</v>
      </c>
      <c r="JE65" s="413"/>
      <c r="JF65" s="165"/>
      <c r="JG65" s="165"/>
      <c r="JH65" s="156">
        <f t="shared" si="698"/>
        <v>0</v>
      </c>
      <c r="JI65" s="164" t="str">
        <f t="shared" si="699"/>
        <v/>
      </c>
      <c r="JJ65" s="167">
        <f t="shared" si="700"/>
        <v>0</v>
      </c>
      <c r="JK65" s="168">
        <f t="shared" si="701"/>
        <v>0</v>
      </c>
      <c r="JL65" s="159"/>
      <c r="JM65" s="161">
        <f t="shared" si="750"/>
        <v>17</v>
      </c>
      <c r="JN65" s="162" t="str">
        <f t="shared" ref="JN65:JP65" si="1010">IFERROR(VLOOKUP($R65,$A$13:$D$30,-JN$12,FALSE),"")</f>
        <v>Lainnya 2.3 (9) …….</v>
      </c>
      <c r="JO65" s="163" t="str">
        <f t="shared" si="1010"/>
        <v/>
      </c>
      <c r="JP65" s="163" t="str">
        <f t="shared" si="1010"/>
        <v/>
      </c>
      <c r="JQ65" s="156"/>
      <c r="JR65" s="156" t="str">
        <f t="shared" si="900"/>
        <v/>
      </c>
      <c r="JS65" s="156">
        <f t="shared" si="704"/>
        <v>0</v>
      </c>
      <c r="JT65" s="164"/>
      <c r="JU65" s="156">
        <f t="shared" si="705"/>
        <v>0</v>
      </c>
      <c r="JV65" s="413"/>
      <c r="JW65" s="165"/>
      <c r="JX65" s="165"/>
      <c r="JY65" s="156">
        <f t="shared" si="706"/>
        <v>0</v>
      </c>
      <c r="JZ65" s="164" t="str">
        <f t="shared" si="707"/>
        <v/>
      </c>
      <c r="KA65" s="167">
        <f t="shared" si="708"/>
        <v>0</v>
      </c>
      <c r="KB65" s="168">
        <f t="shared" si="709"/>
        <v>0</v>
      </c>
      <c r="KC65" s="159"/>
      <c r="KD65" s="161">
        <f t="shared" si="752"/>
        <v>17</v>
      </c>
      <c r="KE65" s="162" t="str">
        <f t="shared" ref="KE65:KG65" si="1011">IFERROR(VLOOKUP($R65,$A$13:$D$30,-KE$12,FALSE),"")</f>
        <v>Lainnya 2.3 (9) …….</v>
      </c>
      <c r="KF65" s="163" t="str">
        <f t="shared" si="1011"/>
        <v/>
      </c>
      <c r="KG65" s="163" t="str">
        <f t="shared" si="1011"/>
        <v/>
      </c>
      <c r="KH65" s="156"/>
      <c r="KI65" s="156" t="str">
        <f t="shared" si="902"/>
        <v/>
      </c>
      <c r="KJ65" s="156">
        <f t="shared" si="712"/>
        <v>0</v>
      </c>
      <c r="KK65" s="164"/>
      <c r="KL65" s="156">
        <f t="shared" si="713"/>
        <v>0</v>
      </c>
      <c r="KM65" s="413"/>
      <c r="KN65" s="165"/>
      <c r="KO65" s="165"/>
      <c r="KP65" s="156">
        <f t="shared" si="714"/>
        <v>0</v>
      </c>
      <c r="KQ65" s="164" t="str">
        <f t="shared" si="715"/>
        <v/>
      </c>
      <c r="KR65" s="167">
        <f t="shared" si="716"/>
        <v>0</v>
      </c>
      <c r="KS65" s="168">
        <f t="shared" si="717"/>
        <v>0</v>
      </c>
      <c r="KT65" s="159"/>
      <c r="KU65" s="160"/>
    </row>
    <row r="66" ht="15.75" customHeight="1">
      <c r="A66" s="161"/>
      <c r="B66" s="162"/>
      <c r="C66" s="171"/>
      <c r="D66" s="171"/>
      <c r="E66" s="156"/>
      <c r="F66" s="156"/>
      <c r="G66" s="156"/>
      <c r="H66" s="156"/>
      <c r="I66" s="156"/>
      <c r="J66" s="165"/>
      <c r="K66" s="165"/>
      <c r="L66" s="165"/>
      <c r="M66" s="156"/>
      <c r="N66" s="156"/>
      <c r="O66" s="156"/>
      <c r="P66" s="168"/>
      <c r="Q66" s="159"/>
      <c r="R66" s="161"/>
      <c r="S66" s="162"/>
      <c r="T66" s="171"/>
      <c r="U66" s="171"/>
      <c r="V66" s="156"/>
      <c r="W66" s="156"/>
      <c r="X66" s="156"/>
      <c r="Y66" s="156"/>
      <c r="Z66" s="156"/>
      <c r="AA66" s="165"/>
      <c r="AB66" s="165"/>
      <c r="AC66" s="165"/>
      <c r="AD66" s="156"/>
      <c r="AE66" s="156"/>
      <c r="AF66" s="156"/>
      <c r="AG66" s="168"/>
      <c r="AH66" s="159"/>
      <c r="AI66" s="161"/>
      <c r="AJ66" s="162"/>
      <c r="AK66" s="171"/>
      <c r="AL66" s="171"/>
      <c r="AM66" s="156"/>
      <c r="AN66" s="156"/>
      <c r="AO66" s="156"/>
      <c r="AP66" s="156"/>
      <c r="AQ66" s="156"/>
      <c r="AR66" s="165"/>
      <c r="AS66" s="165"/>
      <c r="AT66" s="165"/>
      <c r="AU66" s="156"/>
      <c r="AV66" s="156"/>
      <c r="AW66" s="156"/>
      <c r="AX66" s="168"/>
      <c r="AY66" s="159"/>
      <c r="AZ66" s="161"/>
      <c r="BA66" s="162"/>
      <c r="BB66" s="171"/>
      <c r="BC66" s="171"/>
      <c r="BD66" s="156"/>
      <c r="BE66" s="156"/>
      <c r="BF66" s="156"/>
      <c r="BG66" s="156"/>
      <c r="BH66" s="156"/>
      <c r="BI66" s="165"/>
      <c r="BJ66" s="165"/>
      <c r="BK66" s="165"/>
      <c r="BL66" s="156"/>
      <c r="BM66" s="156"/>
      <c r="BN66" s="156"/>
      <c r="BO66" s="168"/>
      <c r="BP66" s="159"/>
      <c r="BQ66" s="161"/>
      <c r="BR66" s="162"/>
      <c r="BS66" s="171"/>
      <c r="BT66" s="171"/>
      <c r="BU66" s="156"/>
      <c r="BV66" s="156"/>
      <c r="BW66" s="156"/>
      <c r="BX66" s="156"/>
      <c r="BY66" s="156"/>
      <c r="BZ66" s="165"/>
      <c r="CA66" s="165"/>
      <c r="CB66" s="165"/>
      <c r="CC66" s="156"/>
      <c r="CD66" s="156"/>
      <c r="CE66" s="156"/>
      <c r="CF66" s="168"/>
      <c r="CG66" s="159"/>
      <c r="CH66" s="161"/>
      <c r="CI66" s="162"/>
      <c r="CJ66" s="171"/>
      <c r="CK66" s="171"/>
      <c r="CL66" s="156"/>
      <c r="CM66" s="156"/>
      <c r="CN66" s="156"/>
      <c r="CO66" s="156"/>
      <c r="CP66" s="156"/>
      <c r="CQ66" s="165"/>
      <c r="CR66" s="165"/>
      <c r="CS66" s="165"/>
      <c r="CT66" s="156"/>
      <c r="CU66" s="156"/>
      <c r="CV66" s="156"/>
      <c r="CW66" s="168"/>
      <c r="CX66" s="159"/>
      <c r="CY66" s="161"/>
      <c r="CZ66" s="162"/>
      <c r="DA66" s="171"/>
      <c r="DB66" s="171"/>
      <c r="DC66" s="156"/>
      <c r="DD66" s="156"/>
      <c r="DE66" s="156"/>
      <c r="DF66" s="156"/>
      <c r="DG66" s="156"/>
      <c r="DH66" s="165"/>
      <c r="DI66" s="165"/>
      <c r="DJ66" s="165"/>
      <c r="DK66" s="156"/>
      <c r="DL66" s="156"/>
      <c r="DM66" s="156"/>
      <c r="DN66" s="168"/>
      <c r="DO66" s="159"/>
      <c r="DP66" s="161"/>
      <c r="DQ66" s="162"/>
      <c r="DR66" s="171"/>
      <c r="DS66" s="171"/>
      <c r="DT66" s="156"/>
      <c r="DU66" s="156"/>
      <c r="DV66" s="156"/>
      <c r="DW66" s="156"/>
      <c r="DX66" s="156"/>
      <c r="DY66" s="165"/>
      <c r="DZ66" s="165"/>
      <c r="EA66" s="165"/>
      <c r="EB66" s="156"/>
      <c r="EC66" s="156"/>
      <c r="ED66" s="156"/>
      <c r="EE66" s="168"/>
      <c r="EF66" s="159"/>
      <c r="EG66" s="161"/>
      <c r="EH66" s="162"/>
      <c r="EI66" s="171"/>
      <c r="EJ66" s="171"/>
      <c r="EK66" s="156"/>
      <c r="EL66" s="156"/>
      <c r="EM66" s="156"/>
      <c r="EN66" s="156"/>
      <c r="EO66" s="156"/>
      <c r="EP66" s="165"/>
      <c r="EQ66" s="165"/>
      <c r="ER66" s="165"/>
      <c r="ES66" s="156"/>
      <c r="ET66" s="156"/>
      <c r="EU66" s="156"/>
      <c r="EV66" s="168"/>
      <c r="EW66" s="159"/>
      <c r="EX66" s="161"/>
      <c r="EY66" s="162"/>
      <c r="EZ66" s="171"/>
      <c r="FA66" s="171"/>
      <c r="FB66" s="156"/>
      <c r="FC66" s="156"/>
      <c r="FD66" s="156"/>
      <c r="FE66" s="156"/>
      <c r="FF66" s="156"/>
      <c r="FG66" s="165"/>
      <c r="FH66" s="165"/>
      <c r="FI66" s="165"/>
      <c r="FJ66" s="156"/>
      <c r="FK66" s="156"/>
      <c r="FL66" s="156"/>
      <c r="FM66" s="168"/>
      <c r="FN66" s="159"/>
      <c r="FO66" s="161"/>
      <c r="FP66" s="162"/>
      <c r="FQ66" s="171"/>
      <c r="FR66" s="171"/>
      <c r="FS66" s="156"/>
      <c r="FT66" s="156"/>
      <c r="FU66" s="156"/>
      <c r="FV66" s="156"/>
      <c r="FW66" s="156"/>
      <c r="FX66" s="165"/>
      <c r="FY66" s="165"/>
      <c r="FZ66" s="165"/>
      <c r="GA66" s="156"/>
      <c r="GB66" s="156"/>
      <c r="GC66" s="156"/>
      <c r="GD66" s="168"/>
      <c r="GE66" s="159"/>
      <c r="GF66" s="161"/>
      <c r="GG66" s="162"/>
      <c r="GH66" s="171"/>
      <c r="GI66" s="171"/>
      <c r="GJ66" s="156"/>
      <c r="GK66" s="156"/>
      <c r="GL66" s="156"/>
      <c r="GM66" s="156"/>
      <c r="GN66" s="156"/>
      <c r="GO66" s="165"/>
      <c r="GP66" s="165"/>
      <c r="GQ66" s="165"/>
      <c r="GR66" s="156"/>
      <c r="GS66" s="156"/>
      <c r="GT66" s="156"/>
      <c r="GU66" s="168"/>
      <c r="GV66" s="159"/>
      <c r="GW66" s="161"/>
      <c r="GX66" s="162"/>
      <c r="GY66" s="171"/>
      <c r="GZ66" s="171"/>
      <c r="HA66" s="156"/>
      <c r="HB66" s="156"/>
      <c r="HC66" s="156"/>
      <c r="HD66" s="156"/>
      <c r="HE66" s="156"/>
      <c r="HF66" s="165"/>
      <c r="HG66" s="165"/>
      <c r="HH66" s="165"/>
      <c r="HI66" s="156"/>
      <c r="HJ66" s="156"/>
      <c r="HK66" s="156"/>
      <c r="HL66" s="168"/>
      <c r="HM66" s="159"/>
      <c r="HN66" s="161"/>
      <c r="HO66" s="162"/>
      <c r="HP66" s="171"/>
      <c r="HQ66" s="171"/>
      <c r="HR66" s="156"/>
      <c r="HS66" s="156"/>
      <c r="HT66" s="156"/>
      <c r="HU66" s="156"/>
      <c r="HV66" s="156"/>
      <c r="HW66" s="165"/>
      <c r="HX66" s="165"/>
      <c r="HY66" s="165"/>
      <c r="HZ66" s="156"/>
      <c r="IA66" s="156"/>
      <c r="IB66" s="156"/>
      <c r="IC66" s="168"/>
      <c r="ID66" s="159"/>
      <c r="IE66" s="161"/>
      <c r="IF66" s="162"/>
      <c r="IG66" s="171"/>
      <c r="IH66" s="171"/>
      <c r="II66" s="156"/>
      <c r="IJ66" s="156"/>
      <c r="IK66" s="156"/>
      <c r="IL66" s="156"/>
      <c r="IM66" s="156"/>
      <c r="IN66" s="165"/>
      <c r="IO66" s="165"/>
      <c r="IP66" s="165"/>
      <c r="IQ66" s="156"/>
      <c r="IR66" s="156"/>
      <c r="IS66" s="156"/>
      <c r="IT66" s="168"/>
      <c r="IU66" s="159"/>
      <c r="IV66" s="161"/>
      <c r="IW66" s="162"/>
      <c r="IX66" s="171"/>
      <c r="IY66" s="171"/>
      <c r="IZ66" s="156"/>
      <c r="JA66" s="156"/>
      <c r="JB66" s="156"/>
      <c r="JC66" s="156"/>
      <c r="JD66" s="156"/>
      <c r="JE66" s="165"/>
      <c r="JF66" s="165"/>
      <c r="JG66" s="165"/>
      <c r="JH66" s="156"/>
      <c r="JI66" s="156"/>
      <c r="JJ66" s="156"/>
      <c r="JK66" s="168"/>
      <c r="JL66" s="159"/>
      <c r="JM66" s="161"/>
      <c r="JN66" s="162"/>
      <c r="JO66" s="171"/>
      <c r="JP66" s="171"/>
      <c r="JQ66" s="156"/>
      <c r="JR66" s="156"/>
      <c r="JS66" s="156"/>
      <c r="JT66" s="156"/>
      <c r="JU66" s="156"/>
      <c r="JV66" s="165"/>
      <c r="JW66" s="165"/>
      <c r="JX66" s="165"/>
      <c r="JY66" s="156"/>
      <c r="JZ66" s="156"/>
      <c r="KA66" s="156"/>
      <c r="KB66" s="168"/>
      <c r="KC66" s="159"/>
      <c r="KD66" s="161"/>
      <c r="KE66" s="162"/>
      <c r="KF66" s="171"/>
      <c r="KG66" s="171"/>
      <c r="KH66" s="156"/>
      <c r="KI66" s="156"/>
      <c r="KJ66" s="156"/>
      <c r="KK66" s="156"/>
      <c r="KL66" s="156"/>
      <c r="KM66" s="165"/>
      <c r="KN66" s="165"/>
      <c r="KO66" s="165"/>
      <c r="KP66" s="156"/>
      <c r="KQ66" s="156"/>
      <c r="KR66" s="156"/>
      <c r="KS66" s="168"/>
      <c r="KT66" s="159"/>
      <c r="KU66" s="160"/>
    </row>
    <row r="67" ht="15.75" customHeight="1">
      <c r="A67" s="172" t="s">
        <v>51</v>
      </c>
      <c r="B67" s="102"/>
      <c r="C67" s="173"/>
      <c r="D67" s="173"/>
      <c r="E67" s="174"/>
      <c r="F67" s="174"/>
      <c r="G67" s="175">
        <f>SUM(G49:G66)</f>
        <v>0</v>
      </c>
      <c r="H67" s="174"/>
      <c r="I67" s="175">
        <f>SUM(I49:I66)</f>
        <v>0</v>
      </c>
      <c r="J67" s="174"/>
      <c r="K67" s="174"/>
      <c r="L67" s="174"/>
      <c r="M67" s="175">
        <f>SUM(M49:M66)</f>
        <v>0</v>
      </c>
      <c r="N67" s="174"/>
      <c r="O67" s="175">
        <f t="shared" ref="O67:P67" si="1012">SUM(O49:O66)</f>
        <v>0</v>
      </c>
      <c r="P67" s="175">
        <f t="shared" si="1012"/>
        <v>0</v>
      </c>
      <c r="Q67" s="176"/>
      <c r="R67" s="172" t="s">
        <v>51</v>
      </c>
      <c r="S67" s="102"/>
      <c r="T67" s="173"/>
      <c r="U67" s="173"/>
      <c r="V67" s="174"/>
      <c r="W67" s="174"/>
      <c r="X67" s="175">
        <f>SUM(X49:X66)</f>
        <v>0</v>
      </c>
      <c r="Y67" s="174"/>
      <c r="Z67" s="175">
        <f>SUM(Z49:Z66)</f>
        <v>0</v>
      </c>
      <c r="AA67" s="174"/>
      <c r="AB67" s="174"/>
      <c r="AC67" s="174"/>
      <c r="AD67" s="175">
        <f>SUM(AD49:AD66)</f>
        <v>0</v>
      </c>
      <c r="AE67" s="174"/>
      <c r="AF67" s="175">
        <f t="shared" ref="AF67:AG67" si="1013">SUM(AF49:AF66)</f>
        <v>0</v>
      </c>
      <c r="AG67" s="175">
        <f t="shared" si="1013"/>
        <v>0</v>
      </c>
      <c r="AH67" s="176"/>
      <c r="AI67" s="172" t="s">
        <v>51</v>
      </c>
      <c r="AJ67" s="102"/>
      <c r="AK67" s="173"/>
      <c r="AL67" s="173"/>
      <c r="AM67" s="174"/>
      <c r="AN67" s="174"/>
      <c r="AO67" s="175">
        <f>SUM(AO49:AO66)</f>
        <v>0</v>
      </c>
      <c r="AP67" s="174"/>
      <c r="AQ67" s="175">
        <f>SUM(AQ49:AQ66)</f>
        <v>0</v>
      </c>
      <c r="AR67" s="174"/>
      <c r="AS67" s="174"/>
      <c r="AT67" s="174"/>
      <c r="AU67" s="175">
        <f>SUM(AU49:AU66)</f>
        <v>0</v>
      </c>
      <c r="AV67" s="174"/>
      <c r="AW67" s="175">
        <f t="shared" ref="AW67:AX67" si="1014">SUM(AW49:AW66)</f>
        <v>0</v>
      </c>
      <c r="AX67" s="175">
        <f t="shared" si="1014"/>
        <v>0</v>
      </c>
      <c r="AY67" s="176"/>
      <c r="AZ67" s="172" t="s">
        <v>51</v>
      </c>
      <c r="BA67" s="102"/>
      <c r="BB67" s="173"/>
      <c r="BC67" s="173"/>
      <c r="BD67" s="174"/>
      <c r="BE67" s="174"/>
      <c r="BF67" s="175">
        <f>SUM(BF49:BF66)</f>
        <v>0</v>
      </c>
      <c r="BG67" s="174"/>
      <c r="BH67" s="175">
        <f>SUM(BH49:BH66)</f>
        <v>0</v>
      </c>
      <c r="BI67" s="174"/>
      <c r="BJ67" s="174"/>
      <c r="BK67" s="174"/>
      <c r="BL67" s="175">
        <f>SUM(BL49:BL66)</f>
        <v>0</v>
      </c>
      <c r="BM67" s="174"/>
      <c r="BN67" s="175">
        <f t="shared" ref="BN67:BO67" si="1015">SUM(BN49:BN66)</f>
        <v>0</v>
      </c>
      <c r="BO67" s="175">
        <f t="shared" si="1015"/>
        <v>0</v>
      </c>
      <c r="BP67" s="176"/>
      <c r="BQ67" s="172" t="s">
        <v>51</v>
      </c>
      <c r="BR67" s="102"/>
      <c r="BS67" s="173"/>
      <c r="BT67" s="173"/>
      <c r="BU67" s="174"/>
      <c r="BV67" s="174"/>
      <c r="BW67" s="175">
        <f>SUM(BW49:BW66)</f>
        <v>0</v>
      </c>
      <c r="BX67" s="174"/>
      <c r="BY67" s="175">
        <f>SUM(BY49:BY66)</f>
        <v>0</v>
      </c>
      <c r="BZ67" s="174"/>
      <c r="CA67" s="174"/>
      <c r="CB67" s="174"/>
      <c r="CC67" s="175">
        <f>SUM(CC49:CC66)</f>
        <v>0</v>
      </c>
      <c r="CD67" s="174"/>
      <c r="CE67" s="175">
        <f t="shared" ref="CE67:CF67" si="1016">SUM(CE49:CE66)</f>
        <v>0</v>
      </c>
      <c r="CF67" s="175">
        <f t="shared" si="1016"/>
        <v>0</v>
      </c>
      <c r="CG67" s="176"/>
      <c r="CH67" s="172" t="s">
        <v>51</v>
      </c>
      <c r="CI67" s="102"/>
      <c r="CJ67" s="173"/>
      <c r="CK67" s="173"/>
      <c r="CL67" s="174"/>
      <c r="CM67" s="174"/>
      <c r="CN67" s="175">
        <f>SUM(CN49:CN66)</f>
        <v>0</v>
      </c>
      <c r="CO67" s="174"/>
      <c r="CP67" s="175">
        <f>SUM(CP49:CP66)</f>
        <v>0</v>
      </c>
      <c r="CQ67" s="174"/>
      <c r="CR67" s="174"/>
      <c r="CS67" s="174"/>
      <c r="CT67" s="175">
        <f>SUM(CT49:CT66)</f>
        <v>0</v>
      </c>
      <c r="CU67" s="174"/>
      <c r="CV67" s="175">
        <f t="shared" ref="CV67:CW67" si="1017">SUM(CV49:CV66)</f>
        <v>0</v>
      </c>
      <c r="CW67" s="175">
        <f t="shared" si="1017"/>
        <v>0</v>
      </c>
      <c r="CX67" s="176"/>
      <c r="CY67" s="172" t="s">
        <v>51</v>
      </c>
      <c r="CZ67" s="102"/>
      <c r="DA67" s="173"/>
      <c r="DB67" s="173"/>
      <c r="DC67" s="174"/>
      <c r="DD67" s="174"/>
      <c r="DE67" s="175">
        <f>SUM(DE49:DE66)</f>
        <v>0</v>
      </c>
      <c r="DF67" s="174"/>
      <c r="DG67" s="175">
        <f>SUM(DG49:DG66)</f>
        <v>0</v>
      </c>
      <c r="DH67" s="174"/>
      <c r="DI67" s="174"/>
      <c r="DJ67" s="174"/>
      <c r="DK67" s="175">
        <f>SUM(DK49:DK66)</f>
        <v>0</v>
      </c>
      <c r="DL67" s="174"/>
      <c r="DM67" s="175">
        <f t="shared" ref="DM67:DN67" si="1018">SUM(DM49:DM66)</f>
        <v>0</v>
      </c>
      <c r="DN67" s="175">
        <f t="shared" si="1018"/>
        <v>0</v>
      </c>
      <c r="DO67" s="176"/>
      <c r="DP67" s="172" t="s">
        <v>51</v>
      </c>
      <c r="DQ67" s="102"/>
      <c r="DR67" s="173"/>
      <c r="DS67" s="173"/>
      <c r="DT67" s="174"/>
      <c r="DU67" s="174"/>
      <c r="DV67" s="175">
        <f>SUM(DV49:DV66)</f>
        <v>0</v>
      </c>
      <c r="DW67" s="174"/>
      <c r="DX67" s="175">
        <f>SUM(DX49:DX66)</f>
        <v>0</v>
      </c>
      <c r="DY67" s="174"/>
      <c r="DZ67" s="174"/>
      <c r="EA67" s="174"/>
      <c r="EB67" s="175">
        <f>SUM(EB49:EB66)</f>
        <v>0</v>
      </c>
      <c r="EC67" s="174"/>
      <c r="ED67" s="175">
        <f t="shared" ref="ED67:EE67" si="1019">SUM(ED49:ED66)</f>
        <v>0</v>
      </c>
      <c r="EE67" s="175">
        <f t="shared" si="1019"/>
        <v>0</v>
      </c>
      <c r="EF67" s="176"/>
      <c r="EG67" s="172" t="s">
        <v>51</v>
      </c>
      <c r="EH67" s="102"/>
      <c r="EI67" s="173"/>
      <c r="EJ67" s="173"/>
      <c r="EK67" s="174"/>
      <c r="EL67" s="174"/>
      <c r="EM67" s="175">
        <f>SUM(EM49:EM66)</f>
        <v>0</v>
      </c>
      <c r="EN67" s="174"/>
      <c r="EO67" s="175">
        <f>SUM(EO49:EO66)</f>
        <v>0</v>
      </c>
      <c r="EP67" s="174"/>
      <c r="EQ67" s="174"/>
      <c r="ER67" s="174"/>
      <c r="ES67" s="175">
        <f>SUM(ES49:ES66)</f>
        <v>0</v>
      </c>
      <c r="ET67" s="174"/>
      <c r="EU67" s="175">
        <f t="shared" ref="EU67:EV67" si="1020">SUM(EU49:EU66)</f>
        <v>0</v>
      </c>
      <c r="EV67" s="175">
        <f t="shared" si="1020"/>
        <v>0</v>
      </c>
      <c r="EW67" s="176"/>
      <c r="EX67" s="172" t="s">
        <v>51</v>
      </c>
      <c r="EY67" s="102"/>
      <c r="EZ67" s="173"/>
      <c r="FA67" s="173"/>
      <c r="FB67" s="174"/>
      <c r="FC67" s="174"/>
      <c r="FD67" s="175">
        <f>SUM(FD49:FD66)</f>
        <v>0</v>
      </c>
      <c r="FE67" s="174"/>
      <c r="FF67" s="175">
        <f>SUM(FF49:FF66)</f>
        <v>0</v>
      </c>
      <c r="FG67" s="174"/>
      <c r="FH67" s="174"/>
      <c r="FI67" s="174"/>
      <c r="FJ67" s="175">
        <f>SUM(FJ49:FJ66)</f>
        <v>0</v>
      </c>
      <c r="FK67" s="174"/>
      <c r="FL67" s="175">
        <f t="shared" ref="FL67:FM67" si="1021">SUM(FL49:FL66)</f>
        <v>0</v>
      </c>
      <c r="FM67" s="175">
        <f t="shared" si="1021"/>
        <v>0</v>
      </c>
      <c r="FN67" s="176"/>
      <c r="FO67" s="172" t="s">
        <v>51</v>
      </c>
      <c r="FP67" s="102"/>
      <c r="FQ67" s="173"/>
      <c r="FR67" s="173"/>
      <c r="FS67" s="174"/>
      <c r="FT67" s="174"/>
      <c r="FU67" s="175">
        <f>SUM(FU49:FU66)</f>
        <v>578991.4138</v>
      </c>
      <c r="FV67" s="174"/>
      <c r="FW67" s="175">
        <f>SUM(FW49:FW66)</f>
        <v>0</v>
      </c>
      <c r="FX67" s="174"/>
      <c r="FY67" s="174"/>
      <c r="FZ67" s="174"/>
      <c r="GA67" s="175">
        <f>SUM(GA49:GA66)</f>
        <v>578991.4138</v>
      </c>
      <c r="GB67" s="174"/>
      <c r="GC67" s="175">
        <f t="shared" ref="GC67:GD67" si="1022">SUM(GC49:GC66)</f>
        <v>266594.933</v>
      </c>
      <c r="GD67" s="175">
        <f t="shared" si="1022"/>
        <v>312396.4808</v>
      </c>
      <c r="GE67" s="176"/>
      <c r="GF67" s="172" t="s">
        <v>51</v>
      </c>
      <c r="GG67" s="102"/>
      <c r="GH67" s="173"/>
      <c r="GI67" s="173"/>
      <c r="GJ67" s="174"/>
      <c r="GK67" s="174"/>
      <c r="GL67" s="175">
        <f>SUM(GL49:GL66)</f>
        <v>1410773.988</v>
      </c>
      <c r="GM67" s="174"/>
      <c r="GN67" s="175">
        <f>SUM(GN49:GN66)</f>
        <v>0</v>
      </c>
      <c r="GO67" s="174"/>
      <c r="GP67" s="174"/>
      <c r="GQ67" s="174"/>
      <c r="GR67" s="175">
        <f>SUM(GR49:GR66)</f>
        <v>1410773.988</v>
      </c>
      <c r="GS67" s="174"/>
      <c r="GT67" s="175">
        <f t="shared" ref="GT67:GU67" si="1023">SUM(GT49:GT66)</f>
        <v>649586.8295</v>
      </c>
      <c r="GU67" s="175">
        <f t="shared" si="1023"/>
        <v>761187.1585</v>
      </c>
      <c r="GV67" s="176"/>
      <c r="GW67" s="172" t="s">
        <v>51</v>
      </c>
      <c r="GX67" s="102"/>
      <c r="GY67" s="173"/>
      <c r="GZ67" s="173"/>
      <c r="HA67" s="174"/>
      <c r="HB67" s="174"/>
      <c r="HC67" s="175">
        <f>SUM(HC49:HC66)</f>
        <v>1513137.269</v>
      </c>
      <c r="HD67" s="174"/>
      <c r="HE67" s="175">
        <f>SUM(HE49:HE66)</f>
        <v>1513137.269</v>
      </c>
      <c r="HF67" s="174"/>
      <c r="HG67" s="174"/>
      <c r="HH67" s="174"/>
      <c r="HI67" s="175">
        <f>SUM(HI49:HI66)</f>
        <v>3026274.537</v>
      </c>
      <c r="HJ67" s="174"/>
      <c r="HK67" s="175">
        <f t="shared" ref="HK67:HL67" si="1024">SUM(HK49:HK66)</f>
        <v>1393439.416</v>
      </c>
      <c r="HL67" s="175">
        <f t="shared" si="1024"/>
        <v>1632835.121</v>
      </c>
      <c r="HM67" s="176"/>
      <c r="HN67" s="172" t="s">
        <v>51</v>
      </c>
      <c r="HO67" s="102"/>
      <c r="HP67" s="173"/>
      <c r="HQ67" s="173"/>
      <c r="HR67" s="174"/>
      <c r="HS67" s="174"/>
      <c r="HT67" s="175">
        <f>SUM(HT49:HT66)</f>
        <v>1933618.828</v>
      </c>
      <c r="HU67" s="174"/>
      <c r="HV67" s="175">
        <f>SUM(HV49:HV66)</f>
        <v>1933618.828</v>
      </c>
      <c r="HW67" s="174"/>
      <c r="HX67" s="174"/>
      <c r="HY67" s="174"/>
      <c r="HZ67" s="175">
        <f>SUM(HZ49:HZ66)</f>
        <v>3867237.656</v>
      </c>
      <c r="IA67" s="174"/>
      <c r="IB67" s="175">
        <f t="shared" ref="IB67:IC67" si="1025">SUM(IB49:IB66)</f>
        <v>1780658.468</v>
      </c>
      <c r="IC67" s="175">
        <f t="shared" si="1025"/>
        <v>2086579.189</v>
      </c>
      <c r="ID67" s="176"/>
      <c r="IE67" s="172" t="s">
        <v>51</v>
      </c>
      <c r="IF67" s="102"/>
      <c r="IG67" s="173"/>
      <c r="IH67" s="173"/>
      <c r="II67" s="174"/>
      <c r="IJ67" s="174"/>
      <c r="IK67" s="175">
        <f>SUM(IK49:IK66)</f>
        <v>1639449.05</v>
      </c>
      <c r="IL67" s="174"/>
      <c r="IM67" s="175">
        <f>SUM(IM49:IM66)</f>
        <v>0</v>
      </c>
      <c r="IN67" s="174"/>
      <c r="IO67" s="174"/>
      <c r="IP67" s="174"/>
      <c r="IQ67" s="175">
        <f>SUM(IQ49:IQ66)</f>
        <v>1639449.05</v>
      </c>
      <c r="IR67" s="174"/>
      <c r="IS67" s="175">
        <f t="shared" ref="IS67:IT67" si="1026">SUM(IS49:IS66)</f>
        <v>754879.6049</v>
      </c>
      <c r="IT67" s="175">
        <f t="shared" si="1026"/>
        <v>884569.4454</v>
      </c>
      <c r="IU67" s="176"/>
      <c r="IV67" s="172" t="s">
        <v>51</v>
      </c>
      <c r="IW67" s="102"/>
      <c r="IX67" s="173"/>
      <c r="IY67" s="173"/>
      <c r="IZ67" s="174"/>
      <c r="JA67" s="174"/>
      <c r="JB67" s="175">
        <f>SUM(JB49:JB66)</f>
        <v>3918490.581</v>
      </c>
      <c r="JC67" s="174"/>
      <c r="JD67" s="175">
        <f>SUM(JD49:JD66)</f>
        <v>0</v>
      </c>
      <c r="JE67" s="174"/>
      <c r="JF67" s="174"/>
      <c r="JG67" s="174"/>
      <c r="JH67" s="175">
        <f>SUM(JH49:JH66)</f>
        <v>3918490.581</v>
      </c>
      <c r="JI67" s="174"/>
      <c r="JJ67" s="175">
        <f t="shared" ref="JJ67:JK67" si="1027">SUM(JJ49:JJ66)</f>
        <v>1804257.73</v>
      </c>
      <c r="JK67" s="175">
        <f t="shared" si="1027"/>
        <v>2114232.851</v>
      </c>
      <c r="JL67" s="176"/>
      <c r="JM67" s="172" t="s">
        <v>51</v>
      </c>
      <c r="JN67" s="102"/>
      <c r="JO67" s="173"/>
      <c r="JP67" s="173"/>
      <c r="JQ67" s="174"/>
      <c r="JR67" s="174"/>
      <c r="JS67" s="175">
        <f>SUM(JS49:JS66)</f>
        <v>4092737.732</v>
      </c>
      <c r="JT67" s="174"/>
      <c r="JU67" s="175">
        <f>SUM(JU49:JU66)</f>
        <v>0</v>
      </c>
      <c r="JV67" s="174"/>
      <c r="JW67" s="174"/>
      <c r="JX67" s="174"/>
      <c r="JY67" s="175">
        <f>SUM(JY49:JY66)</f>
        <v>4092737.732</v>
      </c>
      <c r="JZ67" s="174"/>
      <c r="KA67" s="175">
        <f t="shared" ref="KA67:KB67" si="1028">SUM(KA49:KA66)</f>
        <v>1884489.33</v>
      </c>
      <c r="KB67" s="175">
        <f t="shared" si="1028"/>
        <v>2208248.402</v>
      </c>
      <c r="KC67" s="176"/>
      <c r="KD67" s="172" t="s">
        <v>51</v>
      </c>
      <c r="KE67" s="102"/>
      <c r="KF67" s="173"/>
      <c r="KG67" s="173"/>
      <c r="KH67" s="174"/>
      <c r="KI67" s="174"/>
      <c r="KJ67" s="175">
        <f>SUM(KJ49:KJ66)</f>
        <v>0</v>
      </c>
      <c r="KK67" s="174"/>
      <c r="KL67" s="175">
        <f>SUM(KL49:KL66)</f>
        <v>0</v>
      </c>
      <c r="KM67" s="174"/>
      <c r="KN67" s="174"/>
      <c r="KO67" s="174"/>
      <c r="KP67" s="175">
        <f>SUM(KP49:KP66)</f>
        <v>0</v>
      </c>
      <c r="KQ67" s="174"/>
      <c r="KR67" s="175">
        <f t="shared" ref="KR67:KS67" si="1029">SUM(KR49:KR66)</f>
        <v>0</v>
      </c>
      <c r="KS67" s="175">
        <f t="shared" si="1029"/>
        <v>0</v>
      </c>
      <c r="KT67" s="176"/>
      <c r="KU67" s="177"/>
    </row>
    <row r="68" ht="15.75" customHeight="1">
      <c r="A68" s="161"/>
      <c r="B68" s="171"/>
      <c r="C68" s="171"/>
      <c r="D68" s="171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67"/>
      <c r="P68" s="168"/>
      <c r="Q68" s="159"/>
      <c r="R68" s="161"/>
      <c r="S68" s="171"/>
      <c r="T68" s="171"/>
      <c r="U68" s="171"/>
      <c r="V68" s="156"/>
      <c r="W68" s="156"/>
      <c r="X68" s="156"/>
      <c r="Y68" s="156"/>
      <c r="Z68" s="156"/>
      <c r="AA68" s="156"/>
      <c r="AB68" s="156"/>
      <c r="AC68" s="156"/>
      <c r="AD68" s="156"/>
      <c r="AE68" s="156"/>
      <c r="AF68" s="167"/>
      <c r="AG68" s="168"/>
      <c r="AH68" s="159"/>
      <c r="AI68" s="161"/>
      <c r="AJ68" s="171"/>
      <c r="AK68" s="171"/>
      <c r="AL68" s="171"/>
      <c r="AM68" s="156"/>
      <c r="AN68" s="156"/>
      <c r="AO68" s="156"/>
      <c r="AP68" s="156"/>
      <c r="AQ68" s="156"/>
      <c r="AR68" s="156"/>
      <c r="AS68" s="156"/>
      <c r="AT68" s="156"/>
      <c r="AU68" s="156"/>
      <c r="AV68" s="156"/>
      <c r="AW68" s="167"/>
      <c r="AX68" s="168"/>
      <c r="AY68" s="159"/>
      <c r="AZ68" s="161"/>
      <c r="BA68" s="171"/>
      <c r="BB68" s="171"/>
      <c r="BC68" s="171"/>
      <c r="BD68" s="156"/>
      <c r="BE68" s="156"/>
      <c r="BF68" s="156"/>
      <c r="BG68" s="156"/>
      <c r="BH68" s="156"/>
      <c r="BI68" s="156"/>
      <c r="BJ68" s="156"/>
      <c r="BK68" s="156"/>
      <c r="BL68" s="156"/>
      <c r="BM68" s="156"/>
      <c r="BN68" s="167"/>
      <c r="BO68" s="168"/>
      <c r="BP68" s="159"/>
      <c r="BQ68" s="161"/>
      <c r="BR68" s="171"/>
      <c r="BS68" s="171"/>
      <c r="BT68" s="171"/>
      <c r="BU68" s="156"/>
      <c r="BV68" s="156"/>
      <c r="BW68" s="156"/>
      <c r="BX68" s="156"/>
      <c r="BY68" s="156"/>
      <c r="BZ68" s="156"/>
      <c r="CA68" s="156"/>
      <c r="CB68" s="156"/>
      <c r="CC68" s="156"/>
      <c r="CD68" s="156"/>
      <c r="CE68" s="167"/>
      <c r="CF68" s="168"/>
      <c r="CG68" s="159"/>
      <c r="CH68" s="161"/>
      <c r="CI68" s="171"/>
      <c r="CJ68" s="171"/>
      <c r="CK68" s="171"/>
      <c r="CL68" s="156"/>
      <c r="CM68" s="156"/>
      <c r="CN68" s="156"/>
      <c r="CO68" s="156"/>
      <c r="CP68" s="156"/>
      <c r="CQ68" s="156"/>
      <c r="CR68" s="156"/>
      <c r="CS68" s="156"/>
      <c r="CT68" s="156"/>
      <c r="CU68" s="156"/>
      <c r="CV68" s="167"/>
      <c r="CW68" s="168"/>
      <c r="CX68" s="159"/>
      <c r="CY68" s="161"/>
      <c r="CZ68" s="171"/>
      <c r="DA68" s="171"/>
      <c r="DB68" s="171"/>
      <c r="DC68" s="156"/>
      <c r="DD68" s="156"/>
      <c r="DE68" s="156"/>
      <c r="DF68" s="156"/>
      <c r="DG68" s="156"/>
      <c r="DH68" s="156"/>
      <c r="DI68" s="156"/>
      <c r="DJ68" s="156"/>
      <c r="DK68" s="156"/>
      <c r="DL68" s="156"/>
      <c r="DM68" s="167"/>
      <c r="DN68" s="168"/>
      <c r="DO68" s="159"/>
      <c r="DP68" s="161"/>
      <c r="DQ68" s="171"/>
      <c r="DR68" s="171"/>
      <c r="DS68" s="171"/>
      <c r="DT68" s="156"/>
      <c r="DU68" s="156"/>
      <c r="DV68" s="156"/>
      <c r="DW68" s="156"/>
      <c r="DX68" s="156"/>
      <c r="DY68" s="156"/>
      <c r="DZ68" s="156"/>
      <c r="EA68" s="156"/>
      <c r="EB68" s="156"/>
      <c r="EC68" s="156"/>
      <c r="ED68" s="167"/>
      <c r="EE68" s="168"/>
      <c r="EF68" s="159"/>
      <c r="EG68" s="161"/>
      <c r="EH68" s="171"/>
      <c r="EI68" s="171"/>
      <c r="EJ68" s="171"/>
      <c r="EK68" s="156"/>
      <c r="EL68" s="156"/>
      <c r="EM68" s="156"/>
      <c r="EN68" s="156"/>
      <c r="EO68" s="156"/>
      <c r="EP68" s="156"/>
      <c r="EQ68" s="156"/>
      <c r="ER68" s="156"/>
      <c r="ES68" s="156"/>
      <c r="ET68" s="156"/>
      <c r="EU68" s="167"/>
      <c r="EV68" s="168"/>
      <c r="EW68" s="159"/>
      <c r="EX68" s="161"/>
      <c r="EY68" s="171"/>
      <c r="EZ68" s="171"/>
      <c r="FA68" s="171"/>
      <c r="FB68" s="156"/>
      <c r="FC68" s="156"/>
      <c r="FD68" s="156"/>
      <c r="FE68" s="156"/>
      <c r="FF68" s="156"/>
      <c r="FG68" s="156"/>
      <c r="FH68" s="156"/>
      <c r="FI68" s="156"/>
      <c r="FJ68" s="156"/>
      <c r="FK68" s="156"/>
      <c r="FL68" s="167"/>
      <c r="FM68" s="168"/>
      <c r="FN68" s="159"/>
      <c r="FO68" s="161"/>
      <c r="FP68" s="171"/>
      <c r="FQ68" s="171"/>
      <c r="FR68" s="171"/>
      <c r="FS68" s="156"/>
      <c r="FT68" s="156"/>
      <c r="FU68" s="156"/>
      <c r="FV68" s="156"/>
      <c r="FW68" s="156"/>
      <c r="FX68" s="156"/>
      <c r="FY68" s="156"/>
      <c r="FZ68" s="156"/>
      <c r="GA68" s="156"/>
      <c r="GB68" s="156"/>
      <c r="GC68" s="167"/>
      <c r="GD68" s="168"/>
      <c r="GE68" s="159"/>
      <c r="GF68" s="161"/>
      <c r="GG68" s="171"/>
      <c r="GH68" s="171"/>
      <c r="GI68" s="171"/>
      <c r="GJ68" s="156"/>
      <c r="GK68" s="156"/>
      <c r="GL68" s="156"/>
      <c r="GM68" s="156"/>
      <c r="GN68" s="156"/>
      <c r="GO68" s="156"/>
      <c r="GP68" s="156"/>
      <c r="GQ68" s="156"/>
      <c r="GR68" s="156"/>
      <c r="GS68" s="156"/>
      <c r="GT68" s="167"/>
      <c r="GU68" s="168"/>
      <c r="GV68" s="159"/>
      <c r="GW68" s="161"/>
      <c r="GX68" s="171"/>
      <c r="GY68" s="171"/>
      <c r="GZ68" s="171"/>
      <c r="HA68" s="156"/>
      <c r="HB68" s="156"/>
      <c r="HC68" s="156"/>
      <c r="HD68" s="156"/>
      <c r="HE68" s="156"/>
      <c r="HF68" s="156"/>
      <c r="HG68" s="156"/>
      <c r="HH68" s="156"/>
      <c r="HI68" s="156"/>
      <c r="HJ68" s="156"/>
      <c r="HK68" s="167"/>
      <c r="HL68" s="168"/>
      <c r="HM68" s="159"/>
      <c r="HN68" s="161"/>
      <c r="HO68" s="171"/>
      <c r="HP68" s="171"/>
      <c r="HQ68" s="171"/>
      <c r="HR68" s="156"/>
      <c r="HS68" s="156"/>
      <c r="HT68" s="156"/>
      <c r="HU68" s="156"/>
      <c r="HV68" s="156"/>
      <c r="HW68" s="156"/>
      <c r="HX68" s="156"/>
      <c r="HY68" s="156"/>
      <c r="HZ68" s="156"/>
      <c r="IA68" s="156"/>
      <c r="IB68" s="167"/>
      <c r="IC68" s="168"/>
      <c r="ID68" s="159"/>
      <c r="IE68" s="161"/>
      <c r="IF68" s="171"/>
      <c r="IG68" s="171"/>
      <c r="IH68" s="171"/>
      <c r="II68" s="156"/>
      <c r="IJ68" s="156"/>
      <c r="IK68" s="156"/>
      <c r="IL68" s="156"/>
      <c r="IM68" s="156"/>
      <c r="IN68" s="156"/>
      <c r="IO68" s="156"/>
      <c r="IP68" s="156"/>
      <c r="IQ68" s="156"/>
      <c r="IR68" s="156"/>
      <c r="IS68" s="167"/>
      <c r="IT68" s="168"/>
      <c r="IU68" s="159"/>
      <c r="IV68" s="161"/>
      <c r="IW68" s="171"/>
      <c r="IX68" s="171"/>
      <c r="IY68" s="171"/>
      <c r="IZ68" s="156"/>
      <c r="JA68" s="156"/>
      <c r="JB68" s="156"/>
      <c r="JC68" s="156"/>
      <c r="JD68" s="156"/>
      <c r="JE68" s="156"/>
      <c r="JF68" s="156"/>
      <c r="JG68" s="156"/>
      <c r="JH68" s="156"/>
      <c r="JI68" s="156"/>
      <c r="JJ68" s="167"/>
      <c r="JK68" s="168"/>
      <c r="JL68" s="159"/>
      <c r="JM68" s="161"/>
      <c r="JN68" s="171"/>
      <c r="JO68" s="171"/>
      <c r="JP68" s="171"/>
      <c r="JQ68" s="156"/>
      <c r="JR68" s="156"/>
      <c r="JS68" s="156"/>
      <c r="JT68" s="156"/>
      <c r="JU68" s="156"/>
      <c r="JV68" s="156"/>
      <c r="JW68" s="156"/>
      <c r="JX68" s="156"/>
      <c r="JY68" s="156"/>
      <c r="JZ68" s="156"/>
      <c r="KA68" s="167"/>
      <c r="KB68" s="168"/>
      <c r="KC68" s="159"/>
      <c r="KD68" s="161"/>
      <c r="KE68" s="171"/>
      <c r="KF68" s="171"/>
      <c r="KG68" s="171"/>
      <c r="KH68" s="156"/>
      <c r="KI68" s="156"/>
      <c r="KJ68" s="156"/>
      <c r="KK68" s="156"/>
      <c r="KL68" s="156"/>
      <c r="KM68" s="156"/>
      <c r="KN68" s="156"/>
      <c r="KO68" s="156"/>
      <c r="KP68" s="156"/>
      <c r="KQ68" s="156"/>
      <c r="KR68" s="167"/>
      <c r="KS68" s="168"/>
      <c r="KT68" s="159"/>
      <c r="KU68" s="160"/>
    </row>
    <row r="69" ht="15.75" customHeight="1">
      <c r="A69" s="161"/>
      <c r="B69" s="178" t="str">
        <f>"Output Sekunder "&amp;" %"</f>
        <v>Output Sekunder  %</v>
      </c>
      <c r="C69" s="179"/>
      <c r="D69" s="179"/>
      <c r="E69" s="156"/>
      <c r="F69" s="180"/>
      <c r="G69" s="180"/>
      <c r="H69" s="180"/>
      <c r="I69" s="180"/>
      <c r="J69" s="180"/>
      <c r="K69" s="180"/>
      <c r="L69" s="180"/>
      <c r="M69" s="181">
        <f>E69/100*M67</f>
        <v>0</v>
      </c>
      <c r="N69" s="180"/>
      <c r="O69" s="180"/>
      <c r="P69" s="182">
        <f t="shared" ref="P69:P70" si="1030">M69</f>
        <v>0</v>
      </c>
      <c r="Q69" s="159"/>
      <c r="R69" s="161"/>
      <c r="S69" s="178" t="str">
        <f>"Output Sekunder "&amp;" %"</f>
        <v>Output Sekunder  %</v>
      </c>
      <c r="T69" s="179"/>
      <c r="U69" s="179"/>
      <c r="V69" s="156"/>
      <c r="W69" s="180"/>
      <c r="X69" s="180"/>
      <c r="Y69" s="180"/>
      <c r="Z69" s="180"/>
      <c r="AA69" s="180"/>
      <c r="AB69" s="180"/>
      <c r="AC69" s="180"/>
      <c r="AD69" s="181">
        <f>V69/100*AD67</f>
        <v>0</v>
      </c>
      <c r="AE69" s="180"/>
      <c r="AF69" s="180"/>
      <c r="AG69" s="182">
        <f t="shared" ref="AG69:AG70" si="1031">AD69</f>
        <v>0</v>
      </c>
      <c r="AH69" s="159"/>
      <c r="AI69" s="161"/>
      <c r="AJ69" s="178" t="str">
        <f>"Output Sekunder "&amp;" %"</f>
        <v>Output Sekunder  %</v>
      </c>
      <c r="AK69" s="179"/>
      <c r="AL69" s="179"/>
      <c r="AM69" s="156"/>
      <c r="AN69" s="180"/>
      <c r="AO69" s="180"/>
      <c r="AP69" s="180"/>
      <c r="AQ69" s="180"/>
      <c r="AR69" s="180"/>
      <c r="AS69" s="180"/>
      <c r="AT69" s="180"/>
      <c r="AU69" s="181">
        <f>AM69/100*AU67</f>
        <v>0</v>
      </c>
      <c r="AV69" s="180"/>
      <c r="AW69" s="180"/>
      <c r="AX69" s="182">
        <f t="shared" ref="AX69:AX70" si="1032">AU69</f>
        <v>0</v>
      </c>
      <c r="AY69" s="159"/>
      <c r="AZ69" s="161"/>
      <c r="BA69" s="178" t="str">
        <f>"Output Sekunder "&amp;" %"</f>
        <v>Output Sekunder  %</v>
      </c>
      <c r="BB69" s="179"/>
      <c r="BC69" s="179"/>
      <c r="BD69" s="156"/>
      <c r="BE69" s="180"/>
      <c r="BF69" s="180"/>
      <c r="BG69" s="180"/>
      <c r="BH69" s="180"/>
      <c r="BI69" s="180"/>
      <c r="BJ69" s="180"/>
      <c r="BK69" s="180"/>
      <c r="BL69" s="181">
        <f>BD69/100*BL67</f>
        <v>0</v>
      </c>
      <c r="BM69" s="180"/>
      <c r="BN69" s="180"/>
      <c r="BO69" s="182">
        <f t="shared" ref="BO69:BO70" si="1033">BL69</f>
        <v>0</v>
      </c>
      <c r="BP69" s="159"/>
      <c r="BQ69" s="161"/>
      <c r="BR69" s="178" t="str">
        <f>"Output Sekunder "&amp;" %"</f>
        <v>Output Sekunder  %</v>
      </c>
      <c r="BS69" s="179"/>
      <c r="BT69" s="179"/>
      <c r="BU69" s="156"/>
      <c r="BV69" s="180"/>
      <c r="BW69" s="180"/>
      <c r="BX69" s="180"/>
      <c r="BY69" s="180"/>
      <c r="BZ69" s="180"/>
      <c r="CA69" s="180"/>
      <c r="CB69" s="180"/>
      <c r="CC69" s="181">
        <f>BU69/100*CC67</f>
        <v>0</v>
      </c>
      <c r="CD69" s="180"/>
      <c r="CE69" s="180"/>
      <c r="CF69" s="182">
        <f t="shared" ref="CF69:CF70" si="1034">CC69</f>
        <v>0</v>
      </c>
      <c r="CG69" s="159"/>
      <c r="CH69" s="161"/>
      <c r="CI69" s="178" t="str">
        <f>"Output Sekunder "&amp;" %"</f>
        <v>Output Sekunder  %</v>
      </c>
      <c r="CJ69" s="179"/>
      <c r="CK69" s="179"/>
      <c r="CL69" s="156"/>
      <c r="CM69" s="180"/>
      <c r="CN69" s="180"/>
      <c r="CO69" s="180"/>
      <c r="CP69" s="180"/>
      <c r="CQ69" s="180"/>
      <c r="CR69" s="180"/>
      <c r="CS69" s="180"/>
      <c r="CT69" s="181">
        <f>CL69/100*CT67</f>
        <v>0</v>
      </c>
      <c r="CU69" s="180"/>
      <c r="CV69" s="180"/>
      <c r="CW69" s="182">
        <f t="shared" ref="CW69:CW70" si="1035">CT69</f>
        <v>0</v>
      </c>
      <c r="CX69" s="159"/>
      <c r="CY69" s="161"/>
      <c r="CZ69" s="178" t="str">
        <f>"Output Sekunder "&amp;" %"</f>
        <v>Output Sekunder  %</v>
      </c>
      <c r="DA69" s="179"/>
      <c r="DB69" s="179"/>
      <c r="DC69" s="156"/>
      <c r="DD69" s="180"/>
      <c r="DE69" s="180"/>
      <c r="DF69" s="180"/>
      <c r="DG69" s="180"/>
      <c r="DH69" s="180"/>
      <c r="DI69" s="180"/>
      <c r="DJ69" s="180"/>
      <c r="DK69" s="181">
        <f>DC69/100*DK67</f>
        <v>0</v>
      </c>
      <c r="DL69" s="180"/>
      <c r="DM69" s="180"/>
      <c r="DN69" s="182">
        <f t="shared" ref="DN69:DN70" si="1036">DK69</f>
        <v>0</v>
      </c>
      <c r="DO69" s="159"/>
      <c r="DP69" s="161"/>
      <c r="DQ69" s="178" t="str">
        <f>"Output Sekunder "&amp;" %"</f>
        <v>Output Sekunder  %</v>
      </c>
      <c r="DR69" s="179"/>
      <c r="DS69" s="179"/>
      <c r="DT69" s="156"/>
      <c r="DU69" s="180"/>
      <c r="DV69" s="180"/>
      <c r="DW69" s="180"/>
      <c r="DX69" s="180"/>
      <c r="DY69" s="180"/>
      <c r="DZ69" s="180"/>
      <c r="EA69" s="180"/>
      <c r="EB69" s="181">
        <f>DT69/100*EB67</f>
        <v>0</v>
      </c>
      <c r="EC69" s="180"/>
      <c r="ED69" s="180"/>
      <c r="EE69" s="182">
        <f t="shared" ref="EE69:EE70" si="1037">EB69</f>
        <v>0</v>
      </c>
      <c r="EF69" s="159"/>
      <c r="EG69" s="161"/>
      <c r="EH69" s="178" t="str">
        <f>"Output Sekunder "&amp;" %"</f>
        <v>Output Sekunder  %</v>
      </c>
      <c r="EI69" s="179"/>
      <c r="EJ69" s="179"/>
      <c r="EK69" s="156"/>
      <c r="EL69" s="180"/>
      <c r="EM69" s="180"/>
      <c r="EN69" s="180"/>
      <c r="EO69" s="180"/>
      <c r="EP69" s="180"/>
      <c r="EQ69" s="180"/>
      <c r="ER69" s="180"/>
      <c r="ES69" s="181">
        <f>EK69/100*ES67</f>
        <v>0</v>
      </c>
      <c r="ET69" s="180"/>
      <c r="EU69" s="180"/>
      <c r="EV69" s="182">
        <f t="shared" ref="EV69:EV70" si="1038">ES69</f>
        <v>0</v>
      </c>
      <c r="EW69" s="159"/>
      <c r="EX69" s="161"/>
      <c r="EY69" s="178" t="str">
        <f>"Output Sekunder "&amp;" %"</f>
        <v>Output Sekunder  %</v>
      </c>
      <c r="EZ69" s="179"/>
      <c r="FA69" s="179"/>
      <c r="FB69" s="156"/>
      <c r="FC69" s="180"/>
      <c r="FD69" s="180"/>
      <c r="FE69" s="180"/>
      <c r="FF69" s="180"/>
      <c r="FG69" s="180"/>
      <c r="FH69" s="180"/>
      <c r="FI69" s="180"/>
      <c r="FJ69" s="181">
        <f>FB69/100*FJ67</f>
        <v>0</v>
      </c>
      <c r="FK69" s="180"/>
      <c r="FL69" s="180"/>
      <c r="FM69" s="182">
        <f t="shared" ref="FM69:FM70" si="1039">FJ69</f>
        <v>0</v>
      </c>
      <c r="FN69" s="159"/>
      <c r="FO69" s="161"/>
      <c r="FP69" s="178" t="str">
        <f>"Output Sekunder "&amp;" %"</f>
        <v>Output Sekunder  %</v>
      </c>
      <c r="FQ69" s="179"/>
      <c r="FR69" s="179"/>
      <c r="FS69" s="156"/>
      <c r="FT69" s="180"/>
      <c r="FU69" s="180"/>
      <c r="FV69" s="180"/>
      <c r="FW69" s="180"/>
      <c r="FX69" s="180"/>
      <c r="FY69" s="180"/>
      <c r="FZ69" s="180"/>
      <c r="GA69" s="181">
        <f>FS69/100*GA67</f>
        <v>0</v>
      </c>
      <c r="GB69" s="180"/>
      <c r="GC69" s="180"/>
      <c r="GD69" s="182">
        <f t="shared" ref="GD69:GD70" si="1040">GA69</f>
        <v>0</v>
      </c>
      <c r="GE69" s="159"/>
      <c r="GF69" s="161"/>
      <c r="GG69" s="178" t="str">
        <f>"Output Sekunder "&amp;" %"</f>
        <v>Output Sekunder  %</v>
      </c>
      <c r="GH69" s="179"/>
      <c r="GI69" s="179"/>
      <c r="GJ69" s="156"/>
      <c r="GK69" s="180"/>
      <c r="GL69" s="180"/>
      <c r="GM69" s="180"/>
      <c r="GN69" s="180"/>
      <c r="GO69" s="180"/>
      <c r="GP69" s="180"/>
      <c r="GQ69" s="180"/>
      <c r="GR69" s="181">
        <f>GJ69/100*GR67</f>
        <v>0</v>
      </c>
      <c r="GS69" s="180"/>
      <c r="GT69" s="180"/>
      <c r="GU69" s="182">
        <f t="shared" ref="GU69:GU70" si="1041">GR69</f>
        <v>0</v>
      </c>
      <c r="GV69" s="159"/>
      <c r="GW69" s="161"/>
      <c r="GX69" s="178" t="str">
        <f>"Output Sekunder "&amp;" %"</f>
        <v>Output Sekunder  %</v>
      </c>
      <c r="GY69" s="179"/>
      <c r="GZ69" s="179"/>
      <c r="HA69" s="156"/>
      <c r="HB69" s="180"/>
      <c r="HC69" s="180"/>
      <c r="HD69" s="180"/>
      <c r="HE69" s="180"/>
      <c r="HF69" s="180"/>
      <c r="HG69" s="180"/>
      <c r="HH69" s="180"/>
      <c r="HI69" s="181">
        <f>HA69/100*HI67</f>
        <v>0</v>
      </c>
      <c r="HJ69" s="180"/>
      <c r="HK69" s="180"/>
      <c r="HL69" s="182">
        <f t="shared" ref="HL69:HL70" si="1042">HI69</f>
        <v>0</v>
      </c>
      <c r="HM69" s="159"/>
      <c r="HN69" s="161"/>
      <c r="HO69" s="178" t="str">
        <f>"Output Sekunder "&amp;" %"</f>
        <v>Output Sekunder  %</v>
      </c>
      <c r="HP69" s="179"/>
      <c r="HQ69" s="179"/>
      <c r="HR69" s="156"/>
      <c r="HS69" s="180"/>
      <c r="HT69" s="180"/>
      <c r="HU69" s="180"/>
      <c r="HV69" s="180"/>
      <c r="HW69" s="180"/>
      <c r="HX69" s="180"/>
      <c r="HY69" s="180"/>
      <c r="HZ69" s="181">
        <f>HR69/100*HZ67</f>
        <v>0</v>
      </c>
      <c r="IA69" s="180"/>
      <c r="IB69" s="180"/>
      <c r="IC69" s="182">
        <f t="shared" ref="IC69:IC70" si="1043">HZ69</f>
        <v>0</v>
      </c>
      <c r="ID69" s="159"/>
      <c r="IE69" s="161"/>
      <c r="IF69" s="178" t="str">
        <f>"Output Sekunder "&amp;" %"</f>
        <v>Output Sekunder  %</v>
      </c>
      <c r="IG69" s="179"/>
      <c r="IH69" s="179"/>
      <c r="II69" s="156"/>
      <c r="IJ69" s="180"/>
      <c r="IK69" s="180"/>
      <c r="IL69" s="180"/>
      <c r="IM69" s="180"/>
      <c r="IN69" s="180"/>
      <c r="IO69" s="180"/>
      <c r="IP69" s="180"/>
      <c r="IQ69" s="181">
        <f>II69/100*IQ67</f>
        <v>0</v>
      </c>
      <c r="IR69" s="180"/>
      <c r="IS69" s="180"/>
      <c r="IT69" s="182">
        <f t="shared" ref="IT69:IT70" si="1044">IQ69</f>
        <v>0</v>
      </c>
      <c r="IU69" s="159"/>
      <c r="IV69" s="161"/>
      <c r="IW69" s="178" t="str">
        <f>"Output Sekunder "&amp;" %"</f>
        <v>Output Sekunder  %</v>
      </c>
      <c r="IX69" s="179"/>
      <c r="IY69" s="179"/>
      <c r="IZ69" s="156"/>
      <c r="JA69" s="180"/>
      <c r="JB69" s="180"/>
      <c r="JC69" s="180"/>
      <c r="JD69" s="180"/>
      <c r="JE69" s="180"/>
      <c r="JF69" s="180"/>
      <c r="JG69" s="180"/>
      <c r="JH69" s="181">
        <f>IZ69/100*JH67</f>
        <v>0</v>
      </c>
      <c r="JI69" s="180"/>
      <c r="JJ69" s="180"/>
      <c r="JK69" s="182">
        <f t="shared" ref="JK69:JK70" si="1045">JH69</f>
        <v>0</v>
      </c>
      <c r="JL69" s="159"/>
      <c r="JM69" s="161"/>
      <c r="JN69" s="178" t="str">
        <f>"Output Sekunder "&amp;" %"</f>
        <v>Output Sekunder  %</v>
      </c>
      <c r="JO69" s="179"/>
      <c r="JP69" s="179"/>
      <c r="JQ69" s="156"/>
      <c r="JR69" s="180"/>
      <c r="JS69" s="180"/>
      <c r="JT69" s="180"/>
      <c r="JU69" s="180"/>
      <c r="JV69" s="180"/>
      <c r="JW69" s="180"/>
      <c r="JX69" s="180"/>
      <c r="JY69" s="181">
        <f>JQ69/100*JY67</f>
        <v>0</v>
      </c>
      <c r="JZ69" s="180"/>
      <c r="KA69" s="180"/>
      <c r="KB69" s="182">
        <f t="shared" ref="KB69:KB70" si="1046">JY69</f>
        <v>0</v>
      </c>
      <c r="KC69" s="159"/>
      <c r="KD69" s="161"/>
      <c r="KE69" s="178" t="str">
        <f>"Output Sekunder "&amp;" %"</f>
        <v>Output Sekunder  %</v>
      </c>
      <c r="KF69" s="179"/>
      <c r="KG69" s="179"/>
      <c r="KH69" s="156"/>
      <c r="KI69" s="180"/>
      <c r="KJ69" s="180"/>
      <c r="KK69" s="180"/>
      <c r="KL69" s="180"/>
      <c r="KM69" s="180"/>
      <c r="KN69" s="180"/>
      <c r="KO69" s="180"/>
      <c r="KP69" s="181">
        <f>KH69/100*KP67</f>
        <v>0</v>
      </c>
      <c r="KQ69" s="180"/>
      <c r="KR69" s="180"/>
      <c r="KS69" s="182">
        <f t="shared" ref="KS69:KS70" si="1047">KP69</f>
        <v>0</v>
      </c>
      <c r="KT69" s="159"/>
      <c r="KU69" s="160"/>
    </row>
    <row r="70" ht="15.75" customHeight="1">
      <c r="A70" s="161"/>
      <c r="B70" s="183" t="str">
        <f>"Adjusment "&amp;" %"</f>
        <v>Adjusment  %</v>
      </c>
      <c r="C70" s="184"/>
      <c r="D70" s="184"/>
      <c r="E70" s="156"/>
      <c r="F70" s="180"/>
      <c r="G70" s="180"/>
      <c r="H70" s="180"/>
      <c r="I70" s="180"/>
      <c r="J70" s="180"/>
      <c r="K70" s="180"/>
      <c r="L70" s="180"/>
      <c r="M70" s="185">
        <f>E70/100*(M67+M69)</f>
        <v>0</v>
      </c>
      <c r="N70" s="180"/>
      <c r="O70" s="180"/>
      <c r="P70" s="186">
        <f t="shared" si="1030"/>
        <v>0</v>
      </c>
      <c r="Q70" s="159"/>
      <c r="R70" s="161"/>
      <c r="S70" s="183" t="str">
        <f>"Adjusment "&amp;" %"</f>
        <v>Adjusment  %</v>
      </c>
      <c r="T70" s="184"/>
      <c r="U70" s="184"/>
      <c r="V70" s="156"/>
      <c r="W70" s="180"/>
      <c r="X70" s="180"/>
      <c r="Y70" s="180"/>
      <c r="Z70" s="180"/>
      <c r="AA70" s="180"/>
      <c r="AB70" s="180"/>
      <c r="AC70" s="180"/>
      <c r="AD70" s="185">
        <f>V70/100*(AD67+AD69)</f>
        <v>0</v>
      </c>
      <c r="AE70" s="180"/>
      <c r="AF70" s="180"/>
      <c r="AG70" s="186">
        <f t="shared" si="1031"/>
        <v>0</v>
      </c>
      <c r="AH70" s="159"/>
      <c r="AI70" s="161"/>
      <c r="AJ70" s="183" t="str">
        <f>"Adjusment "&amp;" %"</f>
        <v>Adjusment  %</v>
      </c>
      <c r="AK70" s="184"/>
      <c r="AL70" s="184"/>
      <c r="AM70" s="156"/>
      <c r="AN70" s="180"/>
      <c r="AO70" s="180"/>
      <c r="AP70" s="180"/>
      <c r="AQ70" s="180"/>
      <c r="AR70" s="180"/>
      <c r="AS70" s="180"/>
      <c r="AT70" s="180"/>
      <c r="AU70" s="185">
        <f>AM70/100*(AU67+AU69)</f>
        <v>0</v>
      </c>
      <c r="AV70" s="180"/>
      <c r="AW70" s="180"/>
      <c r="AX70" s="186">
        <f t="shared" si="1032"/>
        <v>0</v>
      </c>
      <c r="AY70" s="159"/>
      <c r="AZ70" s="161"/>
      <c r="BA70" s="183" t="str">
        <f>"Adjusment "&amp;" %"</f>
        <v>Adjusment  %</v>
      </c>
      <c r="BB70" s="184"/>
      <c r="BC70" s="184"/>
      <c r="BD70" s="156"/>
      <c r="BE70" s="180"/>
      <c r="BF70" s="180"/>
      <c r="BG70" s="180"/>
      <c r="BH70" s="180"/>
      <c r="BI70" s="180"/>
      <c r="BJ70" s="180"/>
      <c r="BK70" s="180"/>
      <c r="BL70" s="185">
        <f>BD70/100*(BL67+BL69)</f>
        <v>0</v>
      </c>
      <c r="BM70" s="180"/>
      <c r="BN70" s="180"/>
      <c r="BO70" s="186">
        <f t="shared" si="1033"/>
        <v>0</v>
      </c>
      <c r="BP70" s="159"/>
      <c r="BQ70" s="161"/>
      <c r="BR70" s="183" t="str">
        <f>"Adjusment "&amp;" %"</f>
        <v>Adjusment  %</v>
      </c>
      <c r="BS70" s="184"/>
      <c r="BT70" s="184"/>
      <c r="BU70" s="156"/>
      <c r="BV70" s="180"/>
      <c r="BW70" s="180"/>
      <c r="BX70" s="180"/>
      <c r="BY70" s="180"/>
      <c r="BZ70" s="180"/>
      <c r="CA70" s="180"/>
      <c r="CB70" s="180"/>
      <c r="CC70" s="185">
        <f>BU70/100*(CC67+CC69)</f>
        <v>0</v>
      </c>
      <c r="CD70" s="180"/>
      <c r="CE70" s="180"/>
      <c r="CF70" s="186">
        <f t="shared" si="1034"/>
        <v>0</v>
      </c>
      <c r="CG70" s="159"/>
      <c r="CH70" s="161"/>
      <c r="CI70" s="183" t="str">
        <f>"Adjusment "&amp;" %"</f>
        <v>Adjusment  %</v>
      </c>
      <c r="CJ70" s="184"/>
      <c r="CK70" s="184"/>
      <c r="CL70" s="156"/>
      <c r="CM70" s="180"/>
      <c r="CN70" s="180"/>
      <c r="CO70" s="180"/>
      <c r="CP70" s="180"/>
      <c r="CQ70" s="180"/>
      <c r="CR70" s="180"/>
      <c r="CS70" s="180"/>
      <c r="CT70" s="185">
        <f>CL70/100*(CT67+CT69)</f>
        <v>0</v>
      </c>
      <c r="CU70" s="180"/>
      <c r="CV70" s="180"/>
      <c r="CW70" s="186">
        <f t="shared" si="1035"/>
        <v>0</v>
      </c>
      <c r="CX70" s="159"/>
      <c r="CY70" s="161"/>
      <c r="CZ70" s="183" t="str">
        <f>"Adjusment "&amp;" %"</f>
        <v>Adjusment  %</v>
      </c>
      <c r="DA70" s="184"/>
      <c r="DB70" s="184"/>
      <c r="DC70" s="156"/>
      <c r="DD70" s="180"/>
      <c r="DE70" s="180"/>
      <c r="DF70" s="180"/>
      <c r="DG70" s="180"/>
      <c r="DH70" s="180"/>
      <c r="DI70" s="180"/>
      <c r="DJ70" s="180"/>
      <c r="DK70" s="185">
        <f>DC70/100*(DK67+DK69)</f>
        <v>0</v>
      </c>
      <c r="DL70" s="180"/>
      <c r="DM70" s="180"/>
      <c r="DN70" s="186">
        <f t="shared" si="1036"/>
        <v>0</v>
      </c>
      <c r="DO70" s="159"/>
      <c r="DP70" s="161"/>
      <c r="DQ70" s="183" t="str">
        <f>"Adjusment "&amp;" %"</f>
        <v>Adjusment  %</v>
      </c>
      <c r="DR70" s="184"/>
      <c r="DS70" s="184"/>
      <c r="DT70" s="156"/>
      <c r="DU70" s="180"/>
      <c r="DV70" s="180"/>
      <c r="DW70" s="180"/>
      <c r="DX70" s="180"/>
      <c r="DY70" s="180"/>
      <c r="DZ70" s="180"/>
      <c r="EA70" s="180"/>
      <c r="EB70" s="185">
        <f>DT70/100*(EB67+EB69)</f>
        <v>0</v>
      </c>
      <c r="EC70" s="180"/>
      <c r="ED70" s="180"/>
      <c r="EE70" s="186">
        <f t="shared" si="1037"/>
        <v>0</v>
      </c>
      <c r="EF70" s="159"/>
      <c r="EG70" s="161"/>
      <c r="EH70" s="183" t="str">
        <f>"Adjusment "&amp;" %"</f>
        <v>Adjusment  %</v>
      </c>
      <c r="EI70" s="184"/>
      <c r="EJ70" s="184"/>
      <c r="EK70" s="156"/>
      <c r="EL70" s="180"/>
      <c r="EM70" s="180"/>
      <c r="EN70" s="180"/>
      <c r="EO70" s="180"/>
      <c r="EP70" s="180"/>
      <c r="EQ70" s="180"/>
      <c r="ER70" s="180"/>
      <c r="ES70" s="185">
        <f>EK70/100*(ES67+ES69)</f>
        <v>0</v>
      </c>
      <c r="ET70" s="180"/>
      <c r="EU70" s="180"/>
      <c r="EV70" s="186">
        <f t="shared" si="1038"/>
        <v>0</v>
      </c>
      <c r="EW70" s="159"/>
      <c r="EX70" s="161"/>
      <c r="EY70" s="183" t="str">
        <f>"Adjusment "&amp;" %"</f>
        <v>Adjusment  %</v>
      </c>
      <c r="EZ70" s="184"/>
      <c r="FA70" s="184"/>
      <c r="FB70" s="156"/>
      <c r="FC70" s="180"/>
      <c r="FD70" s="180"/>
      <c r="FE70" s="180"/>
      <c r="FF70" s="180"/>
      <c r="FG70" s="180"/>
      <c r="FH70" s="180"/>
      <c r="FI70" s="180"/>
      <c r="FJ70" s="185">
        <f>FB70/100*(FJ67+FJ69)</f>
        <v>0</v>
      </c>
      <c r="FK70" s="180"/>
      <c r="FL70" s="180"/>
      <c r="FM70" s="186">
        <f t="shared" si="1039"/>
        <v>0</v>
      </c>
      <c r="FN70" s="159"/>
      <c r="FO70" s="161"/>
      <c r="FP70" s="183" t="str">
        <f>"Adjusment "&amp;" %"</f>
        <v>Adjusment  %</v>
      </c>
      <c r="FQ70" s="184"/>
      <c r="FR70" s="184"/>
      <c r="FS70" s="156"/>
      <c r="FT70" s="180"/>
      <c r="FU70" s="180"/>
      <c r="FV70" s="180"/>
      <c r="FW70" s="180"/>
      <c r="FX70" s="180"/>
      <c r="FY70" s="180"/>
      <c r="FZ70" s="180"/>
      <c r="GA70" s="185">
        <f>FS70/100*(GA67+GA69)</f>
        <v>0</v>
      </c>
      <c r="GB70" s="180"/>
      <c r="GC70" s="180"/>
      <c r="GD70" s="186">
        <f t="shared" si="1040"/>
        <v>0</v>
      </c>
      <c r="GE70" s="159"/>
      <c r="GF70" s="161"/>
      <c r="GG70" s="183" t="str">
        <f>"Adjusment "&amp;" %"</f>
        <v>Adjusment  %</v>
      </c>
      <c r="GH70" s="184"/>
      <c r="GI70" s="184"/>
      <c r="GJ70" s="156"/>
      <c r="GK70" s="180"/>
      <c r="GL70" s="180"/>
      <c r="GM70" s="180"/>
      <c r="GN70" s="180"/>
      <c r="GO70" s="180"/>
      <c r="GP70" s="180"/>
      <c r="GQ70" s="180"/>
      <c r="GR70" s="185">
        <f>GJ70/100*(GR67+GR69)</f>
        <v>0</v>
      </c>
      <c r="GS70" s="180"/>
      <c r="GT70" s="180"/>
      <c r="GU70" s="186">
        <f t="shared" si="1041"/>
        <v>0</v>
      </c>
      <c r="GV70" s="159"/>
      <c r="GW70" s="161"/>
      <c r="GX70" s="183" t="str">
        <f>"Adjusment "&amp;" %"</f>
        <v>Adjusment  %</v>
      </c>
      <c r="GY70" s="184"/>
      <c r="GZ70" s="184"/>
      <c r="HA70" s="156"/>
      <c r="HB70" s="180"/>
      <c r="HC70" s="180"/>
      <c r="HD70" s="180"/>
      <c r="HE70" s="180"/>
      <c r="HF70" s="180"/>
      <c r="HG70" s="180"/>
      <c r="HH70" s="180"/>
      <c r="HI70" s="185">
        <f>HA70/100*(HI67+HI69)</f>
        <v>0</v>
      </c>
      <c r="HJ70" s="180"/>
      <c r="HK70" s="180"/>
      <c r="HL70" s="186">
        <f t="shared" si="1042"/>
        <v>0</v>
      </c>
      <c r="HM70" s="159"/>
      <c r="HN70" s="161"/>
      <c r="HO70" s="183" t="str">
        <f>"Adjusment "&amp;" %"</f>
        <v>Adjusment  %</v>
      </c>
      <c r="HP70" s="184"/>
      <c r="HQ70" s="184"/>
      <c r="HR70" s="156"/>
      <c r="HS70" s="180"/>
      <c r="HT70" s="180"/>
      <c r="HU70" s="180"/>
      <c r="HV70" s="180"/>
      <c r="HW70" s="180"/>
      <c r="HX70" s="180"/>
      <c r="HY70" s="180"/>
      <c r="HZ70" s="185">
        <f>HR70/100*(HZ67+HZ69)</f>
        <v>0</v>
      </c>
      <c r="IA70" s="180"/>
      <c r="IB70" s="180"/>
      <c r="IC70" s="186">
        <f t="shared" si="1043"/>
        <v>0</v>
      </c>
      <c r="ID70" s="159"/>
      <c r="IE70" s="161"/>
      <c r="IF70" s="183" t="str">
        <f>"Adjusment "&amp;" %"</f>
        <v>Adjusment  %</v>
      </c>
      <c r="IG70" s="184"/>
      <c r="IH70" s="184"/>
      <c r="II70" s="156"/>
      <c r="IJ70" s="180"/>
      <c r="IK70" s="180"/>
      <c r="IL70" s="180"/>
      <c r="IM70" s="180"/>
      <c r="IN70" s="180"/>
      <c r="IO70" s="180"/>
      <c r="IP70" s="180"/>
      <c r="IQ70" s="185">
        <f>II70/100*(IQ67+IQ69)</f>
        <v>0</v>
      </c>
      <c r="IR70" s="180"/>
      <c r="IS70" s="180"/>
      <c r="IT70" s="186">
        <f t="shared" si="1044"/>
        <v>0</v>
      </c>
      <c r="IU70" s="159"/>
      <c r="IV70" s="161"/>
      <c r="IW70" s="183" t="str">
        <f>"Adjusment "&amp;" %"</f>
        <v>Adjusment  %</v>
      </c>
      <c r="IX70" s="184"/>
      <c r="IY70" s="184"/>
      <c r="IZ70" s="156"/>
      <c r="JA70" s="180"/>
      <c r="JB70" s="180"/>
      <c r="JC70" s="180"/>
      <c r="JD70" s="180"/>
      <c r="JE70" s="180"/>
      <c r="JF70" s="180"/>
      <c r="JG70" s="180"/>
      <c r="JH70" s="185">
        <f>IZ70/100*(JH67+JH69)</f>
        <v>0</v>
      </c>
      <c r="JI70" s="180"/>
      <c r="JJ70" s="180"/>
      <c r="JK70" s="186">
        <f t="shared" si="1045"/>
        <v>0</v>
      </c>
      <c r="JL70" s="159"/>
      <c r="JM70" s="161"/>
      <c r="JN70" s="183" t="str">
        <f>"Adjusment "&amp;" %"</f>
        <v>Adjusment  %</v>
      </c>
      <c r="JO70" s="184"/>
      <c r="JP70" s="184"/>
      <c r="JQ70" s="156"/>
      <c r="JR70" s="180"/>
      <c r="JS70" s="180"/>
      <c r="JT70" s="180"/>
      <c r="JU70" s="180"/>
      <c r="JV70" s="180"/>
      <c r="JW70" s="180"/>
      <c r="JX70" s="180"/>
      <c r="JY70" s="185">
        <f>JQ70/100*(JY67+JY69)</f>
        <v>0</v>
      </c>
      <c r="JZ70" s="180"/>
      <c r="KA70" s="180"/>
      <c r="KB70" s="186">
        <f t="shared" si="1046"/>
        <v>0</v>
      </c>
      <c r="KC70" s="159"/>
      <c r="KD70" s="161"/>
      <c r="KE70" s="183" t="str">
        <f>"Adjusment "&amp;" %"</f>
        <v>Adjusment  %</v>
      </c>
      <c r="KF70" s="184"/>
      <c r="KG70" s="184"/>
      <c r="KH70" s="156"/>
      <c r="KI70" s="180"/>
      <c r="KJ70" s="180"/>
      <c r="KK70" s="180"/>
      <c r="KL70" s="180"/>
      <c r="KM70" s="180"/>
      <c r="KN70" s="180"/>
      <c r="KO70" s="180"/>
      <c r="KP70" s="185">
        <f>KH70/100*(KP67+KP69)</f>
        <v>0</v>
      </c>
      <c r="KQ70" s="180"/>
      <c r="KR70" s="180"/>
      <c r="KS70" s="186">
        <f t="shared" si="1047"/>
        <v>0</v>
      </c>
      <c r="KT70" s="159"/>
      <c r="KU70" s="160"/>
    </row>
    <row r="71" ht="15.75" customHeight="1">
      <c r="A71" s="161"/>
      <c r="B71" s="162"/>
      <c r="C71" s="163"/>
      <c r="D71" s="163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68"/>
      <c r="Q71" s="159"/>
      <c r="R71" s="161"/>
      <c r="S71" s="162"/>
      <c r="T71" s="163"/>
      <c r="U71" s="163"/>
      <c r="V71" s="156"/>
      <c r="W71" s="156"/>
      <c r="X71" s="156"/>
      <c r="Y71" s="156"/>
      <c r="Z71" s="156"/>
      <c r="AA71" s="156"/>
      <c r="AB71" s="156"/>
      <c r="AC71" s="156"/>
      <c r="AD71" s="156"/>
      <c r="AE71" s="156"/>
      <c r="AF71" s="156"/>
      <c r="AG71" s="168"/>
      <c r="AH71" s="159"/>
      <c r="AI71" s="161"/>
      <c r="AJ71" s="162"/>
      <c r="AK71" s="163"/>
      <c r="AL71" s="163"/>
      <c r="AM71" s="156"/>
      <c r="AN71" s="156"/>
      <c r="AO71" s="156"/>
      <c r="AP71" s="156"/>
      <c r="AQ71" s="156"/>
      <c r="AR71" s="156"/>
      <c r="AS71" s="156"/>
      <c r="AT71" s="156"/>
      <c r="AU71" s="156"/>
      <c r="AV71" s="156"/>
      <c r="AW71" s="156"/>
      <c r="AX71" s="168"/>
      <c r="AY71" s="159"/>
      <c r="AZ71" s="161"/>
      <c r="BA71" s="162"/>
      <c r="BB71" s="163"/>
      <c r="BC71" s="163"/>
      <c r="BD71" s="156"/>
      <c r="BE71" s="156"/>
      <c r="BF71" s="156"/>
      <c r="BG71" s="156"/>
      <c r="BH71" s="156"/>
      <c r="BI71" s="156"/>
      <c r="BJ71" s="156"/>
      <c r="BK71" s="156"/>
      <c r="BL71" s="156"/>
      <c r="BM71" s="156"/>
      <c r="BN71" s="156"/>
      <c r="BO71" s="168"/>
      <c r="BP71" s="159"/>
      <c r="BQ71" s="161"/>
      <c r="BR71" s="162"/>
      <c r="BS71" s="163"/>
      <c r="BT71" s="163"/>
      <c r="BU71" s="156"/>
      <c r="BV71" s="156"/>
      <c r="BW71" s="156"/>
      <c r="BX71" s="156"/>
      <c r="BY71" s="156"/>
      <c r="BZ71" s="156"/>
      <c r="CA71" s="156"/>
      <c r="CB71" s="156"/>
      <c r="CC71" s="156"/>
      <c r="CD71" s="156"/>
      <c r="CE71" s="156"/>
      <c r="CF71" s="168"/>
      <c r="CG71" s="159"/>
      <c r="CH71" s="161"/>
      <c r="CI71" s="162"/>
      <c r="CJ71" s="163"/>
      <c r="CK71" s="163"/>
      <c r="CL71" s="156"/>
      <c r="CM71" s="156"/>
      <c r="CN71" s="156"/>
      <c r="CO71" s="156"/>
      <c r="CP71" s="156"/>
      <c r="CQ71" s="156"/>
      <c r="CR71" s="156"/>
      <c r="CS71" s="156"/>
      <c r="CT71" s="156"/>
      <c r="CU71" s="156"/>
      <c r="CV71" s="156"/>
      <c r="CW71" s="168"/>
      <c r="CX71" s="159"/>
      <c r="CY71" s="161"/>
      <c r="CZ71" s="162"/>
      <c r="DA71" s="163"/>
      <c r="DB71" s="163"/>
      <c r="DC71" s="156"/>
      <c r="DD71" s="156"/>
      <c r="DE71" s="156"/>
      <c r="DF71" s="156"/>
      <c r="DG71" s="156"/>
      <c r="DH71" s="156"/>
      <c r="DI71" s="156"/>
      <c r="DJ71" s="156"/>
      <c r="DK71" s="156"/>
      <c r="DL71" s="156"/>
      <c r="DM71" s="156"/>
      <c r="DN71" s="168"/>
      <c r="DO71" s="159"/>
      <c r="DP71" s="161"/>
      <c r="DQ71" s="162"/>
      <c r="DR71" s="163"/>
      <c r="DS71" s="163"/>
      <c r="DT71" s="156"/>
      <c r="DU71" s="156"/>
      <c r="DV71" s="156"/>
      <c r="DW71" s="156"/>
      <c r="DX71" s="156"/>
      <c r="DY71" s="156"/>
      <c r="DZ71" s="156"/>
      <c r="EA71" s="156"/>
      <c r="EB71" s="156"/>
      <c r="EC71" s="156"/>
      <c r="ED71" s="156"/>
      <c r="EE71" s="168"/>
      <c r="EF71" s="159"/>
      <c r="EG71" s="161"/>
      <c r="EH71" s="162"/>
      <c r="EI71" s="163"/>
      <c r="EJ71" s="163"/>
      <c r="EK71" s="156"/>
      <c r="EL71" s="156"/>
      <c r="EM71" s="156"/>
      <c r="EN71" s="156"/>
      <c r="EO71" s="156"/>
      <c r="EP71" s="156"/>
      <c r="EQ71" s="156"/>
      <c r="ER71" s="156"/>
      <c r="ES71" s="156"/>
      <c r="ET71" s="156"/>
      <c r="EU71" s="156"/>
      <c r="EV71" s="168"/>
      <c r="EW71" s="159"/>
      <c r="EX71" s="161"/>
      <c r="EY71" s="162"/>
      <c r="EZ71" s="163"/>
      <c r="FA71" s="163"/>
      <c r="FB71" s="156"/>
      <c r="FC71" s="156"/>
      <c r="FD71" s="156"/>
      <c r="FE71" s="156"/>
      <c r="FF71" s="156"/>
      <c r="FG71" s="156"/>
      <c r="FH71" s="156"/>
      <c r="FI71" s="156"/>
      <c r="FJ71" s="156"/>
      <c r="FK71" s="156"/>
      <c r="FL71" s="156"/>
      <c r="FM71" s="168"/>
      <c r="FN71" s="159"/>
      <c r="FO71" s="161"/>
      <c r="FP71" s="162"/>
      <c r="FQ71" s="163"/>
      <c r="FR71" s="163"/>
      <c r="FS71" s="156"/>
      <c r="FT71" s="156"/>
      <c r="FU71" s="156"/>
      <c r="FV71" s="156"/>
      <c r="FW71" s="156"/>
      <c r="FX71" s="156"/>
      <c r="FY71" s="156"/>
      <c r="FZ71" s="156"/>
      <c r="GA71" s="156"/>
      <c r="GB71" s="156"/>
      <c r="GC71" s="156"/>
      <c r="GD71" s="168"/>
      <c r="GE71" s="159"/>
      <c r="GF71" s="161"/>
      <c r="GG71" s="162"/>
      <c r="GH71" s="163"/>
      <c r="GI71" s="163"/>
      <c r="GJ71" s="156"/>
      <c r="GK71" s="156"/>
      <c r="GL71" s="156"/>
      <c r="GM71" s="156"/>
      <c r="GN71" s="156"/>
      <c r="GO71" s="156"/>
      <c r="GP71" s="156"/>
      <c r="GQ71" s="156"/>
      <c r="GR71" s="156"/>
      <c r="GS71" s="156"/>
      <c r="GT71" s="156"/>
      <c r="GU71" s="168"/>
      <c r="GV71" s="159"/>
      <c r="GW71" s="161"/>
      <c r="GX71" s="162"/>
      <c r="GY71" s="163"/>
      <c r="GZ71" s="163"/>
      <c r="HA71" s="156"/>
      <c r="HB71" s="156"/>
      <c r="HC71" s="156"/>
      <c r="HD71" s="156"/>
      <c r="HE71" s="156"/>
      <c r="HF71" s="156"/>
      <c r="HG71" s="156"/>
      <c r="HH71" s="156"/>
      <c r="HI71" s="156"/>
      <c r="HJ71" s="156"/>
      <c r="HK71" s="156"/>
      <c r="HL71" s="168"/>
      <c r="HM71" s="159"/>
      <c r="HN71" s="161"/>
      <c r="HO71" s="162"/>
      <c r="HP71" s="163"/>
      <c r="HQ71" s="163"/>
      <c r="HR71" s="156"/>
      <c r="HS71" s="156"/>
      <c r="HT71" s="156"/>
      <c r="HU71" s="156"/>
      <c r="HV71" s="156"/>
      <c r="HW71" s="156"/>
      <c r="HX71" s="156"/>
      <c r="HY71" s="156"/>
      <c r="HZ71" s="156"/>
      <c r="IA71" s="156"/>
      <c r="IB71" s="156"/>
      <c r="IC71" s="168"/>
      <c r="ID71" s="159"/>
      <c r="IE71" s="161"/>
      <c r="IF71" s="162"/>
      <c r="IG71" s="163"/>
      <c r="IH71" s="163"/>
      <c r="II71" s="156"/>
      <c r="IJ71" s="156"/>
      <c r="IK71" s="156"/>
      <c r="IL71" s="156"/>
      <c r="IM71" s="156"/>
      <c r="IN71" s="156"/>
      <c r="IO71" s="156"/>
      <c r="IP71" s="156"/>
      <c r="IQ71" s="156"/>
      <c r="IR71" s="156"/>
      <c r="IS71" s="156"/>
      <c r="IT71" s="168"/>
      <c r="IU71" s="159"/>
      <c r="IV71" s="161"/>
      <c r="IW71" s="162"/>
      <c r="IX71" s="163"/>
      <c r="IY71" s="163"/>
      <c r="IZ71" s="156"/>
      <c r="JA71" s="156"/>
      <c r="JB71" s="156"/>
      <c r="JC71" s="156"/>
      <c r="JD71" s="156"/>
      <c r="JE71" s="156"/>
      <c r="JF71" s="156"/>
      <c r="JG71" s="156"/>
      <c r="JH71" s="156"/>
      <c r="JI71" s="156"/>
      <c r="JJ71" s="156"/>
      <c r="JK71" s="168"/>
      <c r="JL71" s="159"/>
      <c r="JM71" s="161"/>
      <c r="JN71" s="162"/>
      <c r="JO71" s="163"/>
      <c r="JP71" s="163"/>
      <c r="JQ71" s="156"/>
      <c r="JR71" s="156"/>
      <c r="JS71" s="156"/>
      <c r="JT71" s="156"/>
      <c r="JU71" s="156"/>
      <c r="JV71" s="156"/>
      <c r="JW71" s="156"/>
      <c r="JX71" s="156"/>
      <c r="JY71" s="156"/>
      <c r="JZ71" s="156"/>
      <c r="KA71" s="156"/>
      <c r="KB71" s="168"/>
      <c r="KC71" s="159"/>
      <c r="KD71" s="161"/>
      <c r="KE71" s="162"/>
      <c r="KF71" s="163"/>
      <c r="KG71" s="163"/>
      <c r="KH71" s="156"/>
      <c r="KI71" s="156"/>
      <c r="KJ71" s="156"/>
      <c r="KK71" s="156"/>
      <c r="KL71" s="156"/>
      <c r="KM71" s="156"/>
      <c r="KN71" s="156"/>
      <c r="KO71" s="156"/>
      <c r="KP71" s="156"/>
      <c r="KQ71" s="156"/>
      <c r="KR71" s="156"/>
      <c r="KS71" s="168"/>
      <c r="KT71" s="159"/>
      <c r="KU71" s="160"/>
    </row>
    <row r="72" ht="24.0" customHeight="1">
      <c r="A72" s="187" t="s">
        <v>52</v>
      </c>
      <c r="B72" s="118"/>
      <c r="C72" s="188"/>
      <c r="D72" s="188"/>
      <c r="E72" s="189"/>
      <c r="F72" s="189"/>
      <c r="G72" s="190">
        <f>SUM(G67:G71)</f>
        <v>0</v>
      </c>
      <c r="H72" s="189"/>
      <c r="I72" s="190">
        <f>SUM(I67:I71)</f>
        <v>0</v>
      </c>
      <c r="J72" s="189"/>
      <c r="K72" s="189"/>
      <c r="L72" s="189"/>
      <c r="M72" s="190">
        <f>SUM(M67:M71)</f>
        <v>0</v>
      </c>
      <c r="N72" s="189"/>
      <c r="O72" s="190">
        <f t="shared" ref="O72:P72" si="1048">SUM(O67:O71)</f>
        <v>0</v>
      </c>
      <c r="P72" s="190">
        <f t="shared" si="1048"/>
        <v>0</v>
      </c>
      <c r="Q72" s="176"/>
      <c r="R72" s="187" t="s">
        <v>52</v>
      </c>
      <c r="S72" s="118"/>
      <c r="T72" s="188"/>
      <c r="U72" s="188"/>
      <c r="V72" s="189"/>
      <c r="W72" s="189"/>
      <c r="X72" s="190">
        <f>SUM(X67:X71)</f>
        <v>0</v>
      </c>
      <c r="Y72" s="189"/>
      <c r="Z72" s="190">
        <f>SUM(Z67:Z71)</f>
        <v>0</v>
      </c>
      <c r="AA72" s="189"/>
      <c r="AB72" s="189"/>
      <c r="AC72" s="189"/>
      <c r="AD72" s="190">
        <f>SUM(AD67:AD71)</f>
        <v>0</v>
      </c>
      <c r="AE72" s="189"/>
      <c r="AF72" s="190">
        <f t="shared" ref="AF72:AG72" si="1049">SUM(AF67:AF71)</f>
        <v>0</v>
      </c>
      <c r="AG72" s="190">
        <f t="shared" si="1049"/>
        <v>0</v>
      </c>
      <c r="AH72" s="176"/>
      <c r="AI72" s="187" t="s">
        <v>52</v>
      </c>
      <c r="AJ72" s="118"/>
      <c r="AK72" s="188"/>
      <c r="AL72" s="188"/>
      <c r="AM72" s="189"/>
      <c r="AN72" s="189"/>
      <c r="AO72" s="190">
        <f>SUM(AO67:AO71)</f>
        <v>0</v>
      </c>
      <c r="AP72" s="189"/>
      <c r="AQ72" s="190">
        <f>SUM(AQ67:AQ71)</f>
        <v>0</v>
      </c>
      <c r="AR72" s="189"/>
      <c r="AS72" s="189"/>
      <c r="AT72" s="189"/>
      <c r="AU72" s="190">
        <f>SUM(AU67:AU71)</f>
        <v>0</v>
      </c>
      <c r="AV72" s="189"/>
      <c r="AW72" s="190">
        <f t="shared" ref="AW72:AX72" si="1050">SUM(AW67:AW71)</f>
        <v>0</v>
      </c>
      <c r="AX72" s="190">
        <f t="shared" si="1050"/>
        <v>0</v>
      </c>
      <c r="AY72" s="176"/>
      <c r="AZ72" s="187" t="s">
        <v>52</v>
      </c>
      <c r="BA72" s="118"/>
      <c r="BB72" s="188"/>
      <c r="BC72" s="188"/>
      <c r="BD72" s="189"/>
      <c r="BE72" s="189"/>
      <c r="BF72" s="190">
        <f>SUM(BF67:BF71)</f>
        <v>0</v>
      </c>
      <c r="BG72" s="189"/>
      <c r="BH72" s="190">
        <f>SUM(BH67:BH71)</f>
        <v>0</v>
      </c>
      <c r="BI72" s="189"/>
      <c r="BJ72" s="189"/>
      <c r="BK72" s="189"/>
      <c r="BL72" s="190">
        <f>SUM(BL67:BL71)</f>
        <v>0</v>
      </c>
      <c r="BM72" s="189"/>
      <c r="BN72" s="190">
        <f t="shared" ref="BN72:BO72" si="1051">SUM(BN67:BN71)</f>
        <v>0</v>
      </c>
      <c r="BO72" s="190">
        <f t="shared" si="1051"/>
        <v>0</v>
      </c>
      <c r="BP72" s="176"/>
      <c r="BQ72" s="187" t="s">
        <v>52</v>
      </c>
      <c r="BR72" s="118"/>
      <c r="BS72" s="188"/>
      <c r="BT72" s="188"/>
      <c r="BU72" s="189"/>
      <c r="BV72" s="189"/>
      <c r="BW72" s="190">
        <f>SUM(BW67:BW71)</f>
        <v>0</v>
      </c>
      <c r="BX72" s="189"/>
      <c r="BY72" s="190">
        <f>SUM(BY67:BY71)</f>
        <v>0</v>
      </c>
      <c r="BZ72" s="189"/>
      <c r="CA72" s="189"/>
      <c r="CB72" s="189"/>
      <c r="CC72" s="190">
        <f>SUM(CC67:CC71)</f>
        <v>0</v>
      </c>
      <c r="CD72" s="189"/>
      <c r="CE72" s="190">
        <f t="shared" ref="CE72:CF72" si="1052">SUM(CE67:CE71)</f>
        <v>0</v>
      </c>
      <c r="CF72" s="190">
        <f t="shared" si="1052"/>
        <v>0</v>
      </c>
      <c r="CG72" s="176"/>
      <c r="CH72" s="187" t="s">
        <v>52</v>
      </c>
      <c r="CI72" s="118"/>
      <c r="CJ72" s="188"/>
      <c r="CK72" s="188"/>
      <c r="CL72" s="189"/>
      <c r="CM72" s="189"/>
      <c r="CN72" s="190">
        <f>SUM(CN67:CN71)</f>
        <v>0</v>
      </c>
      <c r="CO72" s="189"/>
      <c r="CP72" s="190">
        <f>SUM(CP67:CP71)</f>
        <v>0</v>
      </c>
      <c r="CQ72" s="189"/>
      <c r="CR72" s="189"/>
      <c r="CS72" s="189"/>
      <c r="CT72" s="190">
        <f>SUM(CT67:CT71)</f>
        <v>0</v>
      </c>
      <c r="CU72" s="189"/>
      <c r="CV72" s="190">
        <f t="shared" ref="CV72:CW72" si="1053">SUM(CV67:CV71)</f>
        <v>0</v>
      </c>
      <c r="CW72" s="190">
        <f t="shared" si="1053"/>
        <v>0</v>
      </c>
      <c r="CX72" s="176"/>
      <c r="CY72" s="187" t="s">
        <v>52</v>
      </c>
      <c r="CZ72" s="118"/>
      <c r="DA72" s="188"/>
      <c r="DB72" s="188"/>
      <c r="DC72" s="189"/>
      <c r="DD72" s="189"/>
      <c r="DE72" s="190">
        <f>SUM(DE67:DE71)</f>
        <v>0</v>
      </c>
      <c r="DF72" s="189"/>
      <c r="DG72" s="190">
        <f>SUM(DG67:DG71)</f>
        <v>0</v>
      </c>
      <c r="DH72" s="189"/>
      <c r="DI72" s="189"/>
      <c r="DJ72" s="189"/>
      <c r="DK72" s="190">
        <f>SUM(DK67:DK71)</f>
        <v>0</v>
      </c>
      <c r="DL72" s="189"/>
      <c r="DM72" s="190">
        <f t="shared" ref="DM72:DN72" si="1054">SUM(DM67:DM71)</f>
        <v>0</v>
      </c>
      <c r="DN72" s="190">
        <f t="shared" si="1054"/>
        <v>0</v>
      </c>
      <c r="DO72" s="176"/>
      <c r="DP72" s="187" t="s">
        <v>52</v>
      </c>
      <c r="DQ72" s="118"/>
      <c r="DR72" s="188"/>
      <c r="DS72" s="188"/>
      <c r="DT72" s="189"/>
      <c r="DU72" s="189"/>
      <c r="DV72" s="190">
        <f>SUM(DV67:DV71)</f>
        <v>0</v>
      </c>
      <c r="DW72" s="189"/>
      <c r="DX72" s="190">
        <f>SUM(DX67:DX71)</f>
        <v>0</v>
      </c>
      <c r="DY72" s="189"/>
      <c r="DZ72" s="189"/>
      <c r="EA72" s="189"/>
      <c r="EB72" s="190">
        <f>SUM(EB67:EB71)</f>
        <v>0</v>
      </c>
      <c r="EC72" s="189"/>
      <c r="ED72" s="190">
        <f t="shared" ref="ED72:EE72" si="1055">SUM(ED67:ED71)</f>
        <v>0</v>
      </c>
      <c r="EE72" s="190">
        <f t="shared" si="1055"/>
        <v>0</v>
      </c>
      <c r="EF72" s="176"/>
      <c r="EG72" s="187" t="s">
        <v>52</v>
      </c>
      <c r="EH72" s="118"/>
      <c r="EI72" s="188"/>
      <c r="EJ72" s="188"/>
      <c r="EK72" s="189"/>
      <c r="EL72" s="189"/>
      <c r="EM72" s="190">
        <f>SUM(EM67:EM71)</f>
        <v>0</v>
      </c>
      <c r="EN72" s="189"/>
      <c r="EO72" s="190">
        <f>SUM(EO67:EO71)</f>
        <v>0</v>
      </c>
      <c r="EP72" s="189"/>
      <c r="EQ72" s="189"/>
      <c r="ER72" s="189"/>
      <c r="ES72" s="190">
        <f>SUM(ES67:ES71)</f>
        <v>0</v>
      </c>
      <c r="ET72" s="189"/>
      <c r="EU72" s="190">
        <f t="shared" ref="EU72:EV72" si="1056">SUM(EU67:EU71)</f>
        <v>0</v>
      </c>
      <c r="EV72" s="190">
        <f t="shared" si="1056"/>
        <v>0</v>
      </c>
      <c r="EW72" s="176"/>
      <c r="EX72" s="187" t="s">
        <v>52</v>
      </c>
      <c r="EY72" s="118"/>
      <c r="EZ72" s="188"/>
      <c r="FA72" s="188"/>
      <c r="FB72" s="189"/>
      <c r="FC72" s="189"/>
      <c r="FD72" s="190">
        <f>SUM(FD67:FD71)</f>
        <v>0</v>
      </c>
      <c r="FE72" s="189"/>
      <c r="FF72" s="190">
        <f>SUM(FF67:FF71)</f>
        <v>0</v>
      </c>
      <c r="FG72" s="189"/>
      <c r="FH72" s="189"/>
      <c r="FI72" s="189"/>
      <c r="FJ72" s="190">
        <f>SUM(FJ67:FJ71)</f>
        <v>0</v>
      </c>
      <c r="FK72" s="189"/>
      <c r="FL72" s="190">
        <f t="shared" ref="FL72:FM72" si="1057">SUM(FL67:FL71)</f>
        <v>0</v>
      </c>
      <c r="FM72" s="190">
        <f t="shared" si="1057"/>
        <v>0</v>
      </c>
      <c r="FN72" s="176"/>
      <c r="FO72" s="187" t="s">
        <v>52</v>
      </c>
      <c r="FP72" s="118"/>
      <c r="FQ72" s="188"/>
      <c r="FR72" s="188"/>
      <c r="FS72" s="189"/>
      <c r="FT72" s="189"/>
      <c r="FU72" s="190">
        <f>SUM(FU67:FU71)</f>
        <v>578991.4138</v>
      </c>
      <c r="FV72" s="189"/>
      <c r="FW72" s="190">
        <f>SUM(FW67:FW71)</f>
        <v>0</v>
      </c>
      <c r="FX72" s="189"/>
      <c r="FY72" s="189"/>
      <c r="FZ72" s="189"/>
      <c r="GA72" s="190">
        <f>SUM(GA67:GA71)</f>
        <v>578991.4138</v>
      </c>
      <c r="GB72" s="189"/>
      <c r="GC72" s="190">
        <f t="shared" ref="GC72:GD72" si="1058">SUM(GC67:GC71)</f>
        <v>266594.933</v>
      </c>
      <c r="GD72" s="190">
        <f t="shared" si="1058"/>
        <v>312396.4808</v>
      </c>
      <c r="GE72" s="176"/>
      <c r="GF72" s="187" t="s">
        <v>52</v>
      </c>
      <c r="GG72" s="118"/>
      <c r="GH72" s="188"/>
      <c r="GI72" s="188"/>
      <c r="GJ72" s="189"/>
      <c r="GK72" s="189"/>
      <c r="GL72" s="190">
        <f>SUM(GL67:GL71)</f>
        <v>1410773.988</v>
      </c>
      <c r="GM72" s="189"/>
      <c r="GN72" s="190">
        <f>SUM(GN67:GN71)</f>
        <v>0</v>
      </c>
      <c r="GO72" s="189"/>
      <c r="GP72" s="189"/>
      <c r="GQ72" s="189"/>
      <c r="GR72" s="190">
        <f>SUM(GR67:GR71)</f>
        <v>1410773.988</v>
      </c>
      <c r="GS72" s="189"/>
      <c r="GT72" s="190">
        <f t="shared" ref="GT72:GU72" si="1059">SUM(GT67:GT71)</f>
        <v>649586.8295</v>
      </c>
      <c r="GU72" s="190">
        <f t="shared" si="1059"/>
        <v>761187.1585</v>
      </c>
      <c r="GV72" s="176"/>
      <c r="GW72" s="187" t="s">
        <v>52</v>
      </c>
      <c r="GX72" s="118"/>
      <c r="GY72" s="188"/>
      <c r="GZ72" s="188"/>
      <c r="HA72" s="189"/>
      <c r="HB72" s="189"/>
      <c r="HC72" s="190">
        <f>SUM(HC67:HC71)</f>
        <v>1513137.269</v>
      </c>
      <c r="HD72" s="189"/>
      <c r="HE72" s="190">
        <f>SUM(HE67:HE71)</f>
        <v>1513137.269</v>
      </c>
      <c r="HF72" s="189"/>
      <c r="HG72" s="189"/>
      <c r="HH72" s="189"/>
      <c r="HI72" s="190">
        <f>SUM(HI67:HI71)</f>
        <v>3026274.537</v>
      </c>
      <c r="HJ72" s="189"/>
      <c r="HK72" s="190">
        <f t="shared" ref="HK72:HL72" si="1060">SUM(HK67:HK71)</f>
        <v>1393439.416</v>
      </c>
      <c r="HL72" s="190">
        <f t="shared" si="1060"/>
        <v>1632835.121</v>
      </c>
      <c r="HM72" s="176"/>
      <c r="HN72" s="187" t="s">
        <v>52</v>
      </c>
      <c r="HO72" s="118"/>
      <c r="HP72" s="188"/>
      <c r="HQ72" s="188"/>
      <c r="HR72" s="189"/>
      <c r="HS72" s="189"/>
      <c r="HT72" s="190">
        <f>SUM(HT67:HT71)</f>
        <v>1933618.828</v>
      </c>
      <c r="HU72" s="189"/>
      <c r="HV72" s="190">
        <f>SUM(HV67:HV71)</f>
        <v>1933618.828</v>
      </c>
      <c r="HW72" s="189"/>
      <c r="HX72" s="189"/>
      <c r="HY72" s="189"/>
      <c r="HZ72" s="190">
        <f>SUM(HZ67:HZ71)</f>
        <v>3867237.656</v>
      </c>
      <c r="IA72" s="189"/>
      <c r="IB72" s="190">
        <f t="shared" ref="IB72:IC72" si="1061">SUM(IB67:IB71)</f>
        <v>1780658.468</v>
      </c>
      <c r="IC72" s="190">
        <f t="shared" si="1061"/>
        <v>2086579.189</v>
      </c>
      <c r="ID72" s="176"/>
      <c r="IE72" s="187" t="s">
        <v>52</v>
      </c>
      <c r="IF72" s="118"/>
      <c r="IG72" s="188"/>
      <c r="IH72" s="188"/>
      <c r="II72" s="189"/>
      <c r="IJ72" s="189"/>
      <c r="IK72" s="190">
        <f>SUM(IK67:IK71)</f>
        <v>1639449.05</v>
      </c>
      <c r="IL72" s="189"/>
      <c r="IM72" s="190">
        <f>SUM(IM67:IM71)</f>
        <v>0</v>
      </c>
      <c r="IN72" s="189"/>
      <c r="IO72" s="189"/>
      <c r="IP72" s="189"/>
      <c r="IQ72" s="190">
        <f>SUM(IQ67:IQ71)</f>
        <v>1639449.05</v>
      </c>
      <c r="IR72" s="189"/>
      <c r="IS72" s="190">
        <f t="shared" ref="IS72:IT72" si="1062">SUM(IS67:IS71)</f>
        <v>754879.6049</v>
      </c>
      <c r="IT72" s="190">
        <f t="shared" si="1062"/>
        <v>884569.4454</v>
      </c>
      <c r="IU72" s="176"/>
      <c r="IV72" s="187" t="s">
        <v>52</v>
      </c>
      <c r="IW72" s="118"/>
      <c r="IX72" s="188"/>
      <c r="IY72" s="188"/>
      <c r="IZ72" s="189"/>
      <c r="JA72" s="189"/>
      <c r="JB72" s="190">
        <f>SUM(JB67:JB71)</f>
        <v>3918490.581</v>
      </c>
      <c r="JC72" s="189"/>
      <c r="JD72" s="190">
        <f>SUM(JD67:JD71)</f>
        <v>0</v>
      </c>
      <c r="JE72" s="189"/>
      <c r="JF72" s="189"/>
      <c r="JG72" s="189"/>
      <c r="JH72" s="190">
        <f>SUM(JH67:JH71)</f>
        <v>3918490.581</v>
      </c>
      <c r="JI72" s="189"/>
      <c r="JJ72" s="190">
        <f t="shared" ref="JJ72:JK72" si="1063">SUM(JJ67:JJ71)</f>
        <v>1804257.73</v>
      </c>
      <c r="JK72" s="190">
        <f t="shared" si="1063"/>
        <v>2114232.851</v>
      </c>
      <c r="JL72" s="176"/>
      <c r="JM72" s="187" t="s">
        <v>52</v>
      </c>
      <c r="JN72" s="118"/>
      <c r="JO72" s="188"/>
      <c r="JP72" s="188"/>
      <c r="JQ72" s="189"/>
      <c r="JR72" s="189"/>
      <c r="JS72" s="190">
        <f>SUM(JS67:JS71)</f>
        <v>4092737.732</v>
      </c>
      <c r="JT72" s="189"/>
      <c r="JU72" s="190">
        <f>SUM(JU67:JU71)</f>
        <v>0</v>
      </c>
      <c r="JV72" s="189"/>
      <c r="JW72" s="189"/>
      <c r="JX72" s="189"/>
      <c r="JY72" s="190">
        <f>SUM(JY67:JY71)</f>
        <v>4092737.732</v>
      </c>
      <c r="JZ72" s="189"/>
      <c r="KA72" s="190">
        <f t="shared" ref="KA72:KB72" si="1064">SUM(KA67:KA71)</f>
        <v>1884489.33</v>
      </c>
      <c r="KB72" s="190">
        <f t="shared" si="1064"/>
        <v>2208248.402</v>
      </c>
      <c r="KC72" s="176"/>
      <c r="KD72" s="187" t="s">
        <v>52</v>
      </c>
      <c r="KE72" s="118"/>
      <c r="KF72" s="188"/>
      <c r="KG72" s="188"/>
      <c r="KH72" s="189"/>
      <c r="KI72" s="189"/>
      <c r="KJ72" s="190">
        <f>SUM(KJ67:KJ71)</f>
        <v>0</v>
      </c>
      <c r="KK72" s="189"/>
      <c r="KL72" s="190">
        <f>SUM(KL67:KL71)</f>
        <v>0</v>
      </c>
      <c r="KM72" s="189"/>
      <c r="KN72" s="189"/>
      <c r="KO72" s="189"/>
      <c r="KP72" s="190">
        <f>SUM(KP67:KP71)</f>
        <v>0</v>
      </c>
      <c r="KQ72" s="189"/>
      <c r="KR72" s="190">
        <f t="shared" ref="KR72:KS72" si="1065">SUM(KR67:KR71)</f>
        <v>0</v>
      </c>
      <c r="KS72" s="190">
        <f t="shared" si="1065"/>
        <v>0</v>
      </c>
      <c r="KT72" s="176"/>
      <c r="KU72" s="177"/>
    </row>
    <row r="73" ht="15.0" customHeight="1">
      <c r="A73" s="44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7"/>
      <c r="R73" s="44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7"/>
      <c r="AI73" s="44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/>
      <c r="AY73" s="37"/>
      <c r="AZ73" s="44"/>
      <c r="BA73" s="36"/>
      <c r="BB73" s="36"/>
      <c r="BC73" s="36"/>
      <c r="BD73" s="36"/>
      <c r="BE73" s="36"/>
      <c r="BF73" s="36"/>
      <c r="BG73" s="36"/>
      <c r="BH73" s="36"/>
      <c r="BI73" s="36"/>
      <c r="BJ73" s="36"/>
      <c r="BK73" s="36"/>
      <c r="BL73" s="36"/>
      <c r="BM73" s="36"/>
      <c r="BN73" s="36"/>
      <c r="BO73" s="36"/>
      <c r="BP73" s="37"/>
      <c r="BQ73" s="44"/>
      <c r="BR73" s="36"/>
      <c r="BS73" s="36"/>
      <c r="BT73" s="36"/>
      <c r="BU73" s="36"/>
      <c r="BV73" s="36"/>
      <c r="BW73" s="36"/>
      <c r="BX73" s="36"/>
      <c r="BY73" s="36"/>
      <c r="BZ73" s="36"/>
      <c r="CA73" s="36"/>
      <c r="CB73" s="36"/>
      <c r="CC73" s="36"/>
      <c r="CD73" s="36"/>
      <c r="CE73" s="36"/>
      <c r="CF73" s="36"/>
      <c r="CG73" s="37"/>
      <c r="CH73" s="44"/>
      <c r="CI73" s="36"/>
      <c r="CJ73" s="36"/>
      <c r="CK73" s="36"/>
      <c r="CL73" s="36"/>
      <c r="CM73" s="36"/>
      <c r="CN73" s="36"/>
      <c r="CO73" s="36"/>
      <c r="CP73" s="36"/>
      <c r="CQ73" s="36"/>
      <c r="CR73" s="36"/>
      <c r="CS73" s="36"/>
      <c r="CT73" s="36"/>
      <c r="CU73" s="36"/>
      <c r="CV73" s="36"/>
      <c r="CW73" s="36"/>
      <c r="CX73" s="37"/>
      <c r="CY73" s="44"/>
      <c r="CZ73" s="36"/>
      <c r="DA73" s="36"/>
      <c r="DB73" s="36"/>
      <c r="DC73" s="36"/>
      <c r="DD73" s="36"/>
      <c r="DE73" s="36"/>
      <c r="DF73" s="36"/>
      <c r="DG73" s="36"/>
      <c r="DH73" s="36"/>
      <c r="DI73" s="36"/>
      <c r="DJ73" s="36"/>
      <c r="DK73" s="36"/>
      <c r="DL73" s="36"/>
      <c r="DM73" s="36"/>
      <c r="DN73" s="36"/>
      <c r="DO73" s="37"/>
      <c r="DP73" s="44"/>
      <c r="DQ73" s="36"/>
      <c r="DR73" s="36"/>
      <c r="DS73" s="36"/>
      <c r="DT73" s="36"/>
      <c r="DU73" s="36"/>
      <c r="DV73" s="36"/>
      <c r="DW73" s="36"/>
      <c r="DX73" s="36"/>
      <c r="DY73" s="36"/>
      <c r="DZ73" s="36"/>
      <c r="EA73" s="36"/>
      <c r="EB73" s="36"/>
      <c r="EC73" s="36"/>
      <c r="ED73" s="36"/>
      <c r="EE73" s="36"/>
      <c r="EF73" s="37"/>
      <c r="EG73" s="44"/>
      <c r="EH73" s="36"/>
      <c r="EI73" s="36"/>
      <c r="EJ73" s="36"/>
      <c r="EK73" s="36"/>
      <c r="EL73" s="36"/>
      <c r="EM73" s="36"/>
      <c r="EN73" s="36"/>
      <c r="EO73" s="36"/>
      <c r="EP73" s="36"/>
      <c r="EQ73" s="36"/>
      <c r="ER73" s="36"/>
      <c r="ES73" s="36"/>
      <c r="ET73" s="36"/>
      <c r="EU73" s="36"/>
      <c r="EV73" s="36"/>
      <c r="EW73" s="37"/>
      <c r="EX73" s="44"/>
      <c r="EY73" s="36"/>
      <c r="EZ73" s="36"/>
      <c r="FA73" s="36"/>
      <c r="FB73" s="36"/>
      <c r="FC73" s="36"/>
      <c r="FD73" s="36"/>
      <c r="FE73" s="36"/>
      <c r="FF73" s="36"/>
      <c r="FG73" s="36"/>
      <c r="FH73" s="36"/>
      <c r="FI73" s="36"/>
      <c r="FJ73" s="36"/>
      <c r="FK73" s="36"/>
      <c r="FL73" s="36"/>
      <c r="FM73" s="36"/>
      <c r="FN73" s="37"/>
      <c r="FO73" s="44"/>
      <c r="FP73" s="36"/>
      <c r="FQ73" s="36"/>
      <c r="FR73" s="36"/>
      <c r="FS73" s="36"/>
      <c r="FT73" s="36"/>
      <c r="FU73" s="36"/>
      <c r="FV73" s="36"/>
      <c r="FW73" s="36"/>
      <c r="FX73" s="36"/>
      <c r="FY73" s="36"/>
      <c r="FZ73" s="36"/>
      <c r="GA73" s="36"/>
      <c r="GB73" s="36"/>
      <c r="GC73" s="36"/>
      <c r="GD73" s="36"/>
      <c r="GE73" s="37"/>
      <c r="GF73" s="44"/>
      <c r="GG73" s="36"/>
      <c r="GH73" s="36"/>
      <c r="GI73" s="36"/>
      <c r="GJ73" s="36"/>
      <c r="GK73" s="36"/>
      <c r="GL73" s="36"/>
      <c r="GM73" s="36"/>
      <c r="GN73" s="36"/>
      <c r="GO73" s="36"/>
      <c r="GP73" s="36"/>
      <c r="GQ73" s="36"/>
      <c r="GR73" s="36"/>
      <c r="GS73" s="36"/>
      <c r="GT73" s="36"/>
      <c r="GU73" s="36"/>
      <c r="GV73" s="37"/>
      <c r="GW73" s="44"/>
      <c r="GX73" s="36"/>
      <c r="GY73" s="36"/>
      <c r="GZ73" s="36"/>
      <c r="HA73" s="36"/>
      <c r="HB73" s="36"/>
      <c r="HC73" s="36"/>
      <c r="HD73" s="36"/>
      <c r="HE73" s="36"/>
      <c r="HF73" s="36"/>
      <c r="HG73" s="36"/>
      <c r="HH73" s="36"/>
      <c r="HI73" s="36"/>
      <c r="HJ73" s="36"/>
      <c r="HK73" s="36"/>
      <c r="HL73" s="36"/>
      <c r="HM73" s="37"/>
      <c r="HN73" s="44"/>
      <c r="HO73" s="36"/>
      <c r="HP73" s="36"/>
      <c r="HQ73" s="36"/>
      <c r="HR73" s="36"/>
      <c r="HS73" s="36"/>
      <c r="HT73" s="36"/>
      <c r="HU73" s="36"/>
      <c r="HV73" s="36"/>
      <c r="HW73" s="36"/>
      <c r="HX73" s="36"/>
      <c r="HY73" s="36"/>
      <c r="HZ73" s="36"/>
      <c r="IA73" s="36"/>
      <c r="IB73" s="36"/>
      <c r="IC73" s="36"/>
      <c r="ID73" s="37"/>
      <c r="IE73" s="44"/>
      <c r="IF73" s="36"/>
      <c r="IG73" s="36"/>
      <c r="IH73" s="36"/>
      <c r="II73" s="36"/>
      <c r="IJ73" s="36"/>
      <c r="IK73" s="36"/>
      <c r="IL73" s="36"/>
      <c r="IM73" s="36"/>
      <c r="IN73" s="36"/>
      <c r="IO73" s="36"/>
      <c r="IP73" s="36"/>
      <c r="IQ73" s="36"/>
      <c r="IR73" s="36"/>
      <c r="IS73" s="36"/>
      <c r="IT73" s="36"/>
      <c r="IU73" s="37"/>
      <c r="IV73" s="44"/>
      <c r="IW73" s="36"/>
      <c r="IX73" s="36"/>
      <c r="IY73" s="36"/>
      <c r="IZ73" s="36"/>
      <c r="JA73" s="36"/>
      <c r="JB73" s="36"/>
      <c r="JC73" s="36"/>
      <c r="JD73" s="36"/>
      <c r="JE73" s="36"/>
      <c r="JF73" s="36"/>
      <c r="JG73" s="36"/>
      <c r="JH73" s="36"/>
      <c r="JI73" s="36"/>
      <c r="JJ73" s="36"/>
      <c r="JK73" s="36"/>
      <c r="JL73" s="37"/>
      <c r="JM73" s="44"/>
      <c r="JN73" s="36"/>
      <c r="JO73" s="36"/>
      <c r="JP73" s="36"/>
      <c r="JQ73" s="36"/>
      <c r="JR73" s="36"/>
      <c r="JS73" s="36"/>
      <c r="JT73" s="36"/>
      <c r="JU73" s="36"/>
      <c r="JV73" s="36"/>
      <c r="JW73" s="36"/>
      <c r="JX73" s="36"/>
      <c r="JY73" s="36"/>
      <c r="JZ73" s="36"/>
      <c r="KA73" s="36"/>
      <c r="KB73" s="36"/>
      <c r="KC73" s="37"/>
      <c r="KD73" s="44"/>
      <c r="KE73" s="36"/>
      <c r="KF73" s="36"/>
      <c r="KG73" s="36"/>
      <c r="KH73" s="36"/>
      <c r="KI73" s="36"/>
      <c r="KJ73" s="36"/>
      <c r="KK73" s="36"/>
      <c r="KL73" s="36"/>
      <c r="KM73" s="36"/>
      <c r="KN73" s="36"/>
      <c r="KO73" s="36"/>
      <c r="KP73" s="36"/>
      <c r="KQ73" s="36"/>
      <c r="KR73" s="36"/>
      <c r="KS73" s="36"/>
      <c r="KT73" s="37"/>
      <c r="KU73" s="36"/>
    </row>
    <row r="74" ht="15.0" customHeight="1">
      <c r="A74" s="44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7"/>
      <c r="R74" s="44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7"/>
      <c r="AI74" s="44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  <c r="AW74" s="36"/>
      <c r="AX74" s="36"/>
      <c r="AY74" s="37"/>
      <c r="AZ74" s="44"/>
      <c r="BA74" s="36"/>
      <c r="BB74" s="36"/>
      <c r="BC74" s="36"/>
      <c r="BD74" s="36"/>
      <c r="BE74" s="36"/>
      <c r="BF74" s="36"/>
      <c r="BG74" s="36"/>
      <c r="BH74" s="36"/>
      <c r="BI74" s="36"/>
      <c r="BJ74" s="36"/>
      <c r="BK74" s="36"/>
      <c r="BL74" s="36"/>
      <c r="BM74" s="36"/>
      <c r="BN74" s="36"/>
      <c r="BO74" s="36"/>
      <c r="BP74" s="37"/>
      <c r="BQ74" s="44"/>
      <c r="BR74" s="36"/>
      <c r="BS74" s="36"/>
      <c r="BT74" s="36"/>
      <c r="BU74" s="36"/>
      <c r="BV74" s="36"/>
      <c r="BW74" s="36"/>
      <c r="BX74" s="36"/>
      <c r="BY74" s="36"/>
      <c r="BZ74" s="36"/>
      <c r="CA74" s="36"/>
      <c r="CB74" s="36"/>
      <c r="CC74" s="36"/>
      <c r="CD74" s="36"/>
      <c r="CE74" s="36"/>
      <c r="CF74" s="36"/>
      <c r="CG74" s="37"/>
      <c r="CH74" s="44"/>
      <c r="CI74" s="36"/>
      <c r="CJ74" s="36"/>
      <c r="CK74" s="36"/>
      <c r="CL74" s="36"/>
      <c r="CM74" s="36"/>
      <c r="CN74" s="36"/>
      <c r="CO74" s="36"/>
      <c r="CP74" s="36"/>
      <c r="CQ74" s="36"/>
      <c r="CR74" s="36"/>
      <c r="CS74" s="36"/>
      <c r="CT74" s="36"/>
      <c r="CU74" s="36"/>
      <c r="CV74" s="36"/>
      <c r="CW74" s="36"/>
      <c r="CX74" s="37"/>
      <c r="CY74" s="44"/>
      <c r="CZ74" s="36"/>
      <c r="DA74" s="36"/>
      <c r="DB74" s="36"/>
      <c r="DC74" s="36"/>
      <c r="DD74" s="36"/>
      <c r="DE74" s="36"/>
      <c r="DF74" s="36"/>
      <c r="DG74" s="36"/>
      <c r="DH74" s="36"/>
      <c r="DI74" s="36"/>
      <c r="DJ74" s="36"/>
      <c r="DK74" s="36"/>
      <c r="DL74" s="36"/>
      <c r="DM74" s="36"/>
      <c r="DN74" s="36"/>
      <c r="DO74" s="37"/>
      <c r="DP74" s="44"/>
      <c r="DQ74" s="36"/>
      <c r="DR74" s="36"/>
      <c r="DS74" s="36"/>
      <c r="DT74" s="36"/>
      <c r="DU74" s="36"/>
      <c r="DV74" s="36"/>
      <c r="DW74" s="36"/>
      <c r="DX74" s="36"/>
      <c r="DY74" s="36"/>
      <c r="DZ74" s="36"/>
      <c r="EA74" s="36"/>
      <c r="EB74" s="36"/>
      <c r="EC74" s="36"/>
      <c r="ED74" s="36"/>
      <c r="EE74" s="36"/>
      <c r="EF74" s="37"/>
      <c r="EG74" s="44"/>
      <c r="EH74" s="36"/>
      <c r="EI74" s="36"/>
      <c r="EJ74" s="36"/>
      <c r="EK74" s="36"/>
      <c r="EL74" s="36"/>
      <c r="EM74" s="36"/>
      <c r="EN74" s="36"/>
      <c r="EO74" s="36"/>
      <c r="EP74" s="36"/>
      <c r="EQ74" s="36"/>
      <c r="ER74" s="36"/>
      <c r="ES74" s="36"/>
      <c r="ET74" s="36"/>
      <c r="EU74" s="36"/>
      <c r="EV74" s="36"/>
      <c r="EW74" s="37"/>
      <c r="EX74" s="44"/>
      <c r="EY74" s="36"/>
      <c r="EZ74" s="36"/>
      <c r="FA74" s="36"/>
      <c r="FB74" s="36"/>
      <c r="FC74" s="36"/>
      <c r="FD74" s="36"/>
      <c r="FE74" s="36"/>
      <c r="FF74" s="36"/>
      <c r="FG74" s="36"/>
      <c r="FH74" s="36"/>
      <c r="FI74" s="36"/>
      <c r="FJ74" s="36"/>
      <c r="FK74" s="36"/>
      <c r="FL74" s="36"/>
      <c r="FM74" s="36"/>
      <c r="FN74" s="37"/>
      <c r="FO74" s="44"/>
      <c r="FP74" s="36"/>
      <c r="FQ74" s="36"/>
      <c r="FR74" s="36"/>
      <c r="FS74" s="36"/>
      <c r="FT74" s="36"/>
      <c r="FU74" s="36"/>
      <c r="FV74" s="36"/>
      <c r="FW74" s="36"/>
      <c r="FX74" s="36"/>
      <c r="FY74" s="36"/>
      <c r="FZ74" s="36"/>
      <c r="GA74" s="36"/>
      <c r="GB74" s="36"/>
      <c r="GC74" s="36"/>
      <c r="GD74" s="36"/>
      <c r="GE74" s="37"/>
      <c r="GF74" s="44"/>
      <c r="GG74" s="36"/>
      <c r="GH74" s="36"/>
      <c r="GI74" s="36"/>
      <c r="GJ74" s="36"/>
      <c r="GK74" s="36"/>
      <c r="GL74" s="36"/>
      <c r="GM74" s="36"/>
      <c r="GN74" s="36"/>
      <c r="GO74" s="36"/>
      <c r="GP74" s="36"/>
      <c r="GQ74" s="36"/>
      <c r="GR74" s="36"/>
      <c r="GS74" s="36"/>
      <c r="GT74" s="36"/>
      <c r="GU74" s="36"/>
      <c r="GV74" s="37"/>
      <c r="GW74" s="44"/>
      <c r="GX74" s="36"/>
      <c r="GY74" s="36"/>
      <c r="GZ74" s="36"/>
      <c r="HA74" s="36"/>
      <c r="HB74" s="36"/>
      <c r="HC74" s="36"/>
      <c r="HD74" s="36"/>
      <c r="HE74" s="36"/>
      <c r="HF74" s="36"/>
      <c r="HG74" s="36"/>
      <c r="HH74" s="36"/>
      <c r="HI74" s="36"/>
      <c r="HJ74" s="36"/>
      <c r="HK74" s="36"/>
      <c r="HL74" s="36"/>
      <c r="HM74" s="37"/>
      <c r="HN74" s="44"/>
      <c r="HO74" s="36"/>
      <c r="HP74" s="36"/>
      <c r="HQ74" s="36"/>
      <c r="HR74" s="36"/>
      <c r="HS74" s="36"/>
      <c r="HT74" s="36"/>
      <c r="HU74" s="36"/>
      <c r="HV74" s="36"/>
      <c r="HW74" s="36"/>
      <c r="HX74" s="36"/>
      <c r="HY74" s="36"/>
      <c r="HZ74" s="36"/>
      <c r="IA74" s="36"/>
      <c r="IB74" s="36"/>
      <c r="IC74" s="36"/>
      <c r="ID74" s="37"/>
      <c r="IE74" s="44"/>
      <c r="IF74" s="36"/>
      <c r="IG74" s="36"/>
      <c r="IH74" s="36"/>
      <c r="II74" s="36"/>
      <c r="IJ74" s="36"/>
      <c r="IK74" s="36"/>
      <c r="IL74" s="36"/>
      <c r="IM74" s="36"/>
      <c r="IN74" s="36"/>
      <c r="IO74" s="36"/>
      <c r="IP74" s="36"/>
      <c r="IQ74" s="36"/>
      <c r="IR74" s="36"/>
      <c r="IS74" s="36"/>
      <c r="IT74" s="36"/>
      <c r="IU74" s="37"/>
      <c r="IV74" s="44"/>
      <c r="IW74" s="36"/>
      <c r="IX74" s="36"/>
      <c r="IY74" s="36"/>
      <c r="IZ74" s="36"/>
      <c r="JA74" s="36"/>
      <c r="JB74" s="36"/>
      <c r="JC74" s="36"/>
      <c r="JD74" s="36"/>
      <c r="JE74" s="36"/>
      <c r="JF74" s="36"/>
      <c r="JG74" s="36"/>
      <c r="JH74" s="36"/>
      <c r="JI74" s="36"/>
      <c r="JJ74" s="36"/>
      <c r="JK74" s="36"/>
      <c r="JL74" s="37"/>
      <c r="JM74" s="44"/>
      <c r="JN74" s="36"/>
      <c r="JO74" s="36"/>
      <c r="JP74" s="36"/>
      <c r="JQ74" s="36"/>
      <c r="JR74" s="36"/>
      <c r="JS74" s="36"/>
      <c r="JT74" s="36"/>
      <c r="JU74" s="36"/>
      <c r="JV74" s="36"/>
      <c r="JW74" s="36"/>
      <c r="JX74" s="36"/>
      <c r="JY74" s="36"/>
      <c r="JZ74" s="36"/>
      <c r="KA74" s="36"/>
      <c r="KB74" s="36"/>
      <c r="KC74" s="37"/>
      <c r="KD74" s="44"/>
      <c r="KE74" s="36"/>
      <c r="KF74" s="36"/>
      <c r="KG74" s="36"/>
      <c r="KH74" s="36"/>
      <c r="KI74" s="36"/>
      <c r="KJ74" s="36"/>
      <c r="KK74" s="36"/>
      <c r="KL74" s="36"/>
      <c r="KM74" s="36"/>
      <c r="KN74" s="36"/>
      <c r="KO74" s="36"/>
      <c r="KP74" s="36"/>
      <c r="KQ74" s="36"/>
      <c r="KR74" s="36"/>
      <c r="KS74" s="36"/>
      <c r="KT74" s="37"/>
      <c r="KU74" s="36"/>
    </row>
    <row r="75" ht="15.0" customHeight="1">
      <c r="A75" s="44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7"/>
      <c r="R75" s="44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7"/>
      <c r="AI75" s="44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W75" s="36"/>
      <c r="AX75" s="36"/>
      <c r="AY75" s="37"/>
      <c r="AZ75" s="44"/>
      <c r="BA75" s="36"/>
      <c r="BB75" s="36"/>
      <c r="BC75" s="36"/>
      <c r="BD75" s="36"/>
      <c r="BE75" s="36"/>
      <c r="BF75" s="36"/>
      <c r="BG75" s="36"/>
      <c r="BH75" s="36"/>
      <c r="BI75" s="36"/>
      <c r="BJ75" s="36"/>
      <c r="BK75" s="36"/>
      <c r="BL75" s="36"/>
      <c r="BM75" s="36"/>
      <c r="BN75" s="36"/>
      <c r="BO75" s="36"/>
      <c r="BP75" s="37"/>
      <c r="BQ75" s="44"/>
      <c r="BR75" s="36"/>
      <c r="BS75" s="36"/>
      <c r="BT75" s="36"/>
      <c r="BU75" s="36"/>
      <c r="BV75" s="36"/>
      <c r="BW75" s="36"/>
      <c r="BX75" s="36"/>
      <c r="BY75" s="36"/>
      <c r="BZ75" s="36"/>
      <c r="CA75" s="36"/>
      <c r="CB75" s="36"/>
      <c r="CC75" s="36"/>
      <c r="CD75" s="36"/>
      <c r="CE75" s="36"/>
      <c r="CF75" s="36"/>
      <c r="CG75" s="37"/>
      <c r="CH75" s="44"/>
      <c r="CI75" s="36"/>
      <c r="CJ75" s="36"/>
      <c r="CK75" s="36"/>
      <c r="CL75" s="36"/>
      <c r="CM75" s="36"/>
      <c r="CN75" s="36"/>
      <c r="CO75" s="36"/>
      <c r="CP75" s="36"/>
      <c r="CQ75" s="36"/>
      <c r="CR75" s="36"/>
      <c r="CS75" s="36"/>
      <c r="CT75" s="36"/>
      <c r="CU75" s="36"/>
      <c r="CV75" s="36"/>
      <c r="CW75" s="36"/>
      <c r="CX75" s="37"/>
      <c r="CY75" s="44"/>
      <c r="CZ75" s="36"/>
      <c r="DA75" s="36"/>
      <c r="DB75" s="36"/>
      <c r="DC75" s="36"/>
      <c r="DD75" s="36"/>
      <c r="DE75" s="36"/>
      <c r="DF75" s="36"/>
      <c r="DG75" s="36"/>
      <c r="DH75" s="36"/>
      <c r="DI75" s="36"/>
      <c r="DJ75" s="36"/>
      <c r="DK75" s="36"/>
      <c r="DL75" s="36"/>
      <c r="DM75" s="36"/>
      <c r="DN75" s="36"/>
      <c r="DO75" s="37"/>
      <c r="DP75" s="44"/>
      <c r="DQ75" s="36"/>
      <c r="DR75" s="36"/>
      <c r="DS75" s="36"/>
      <c r="DT75" s="36"/>
      <c r="DU75" s="36"/>
      <c r="DV75" s="36"/>
      <c r="DW75" s="36"/>
      <c r="DX75" s="36"/>
      <c r="DY75" s="36"/>
      <c r="DZ75" s="36"/>
      <c r="EA75" s="36"/>
      <c r="EB75" s="36"/>
      <c r="EC75" s="36"/>
      <c r="ED75" s="36"/>
      <c r="EE75" s="36"/>
      <c r="EF75" s="37"/>
      <c r="EG75" s="44"/>
      <c r="EH75" s="36"/>
      <c r="EI75" s="36"/>
      <c r="EJ75" s="36"/>
      <c r="EK75" s="36"/>
      <c r="EL75" s="36"/>
      <c r="EM75" s="36"/>
      <c r="EN75" s="36"/>
      <c r="EO75" s="36"/>
      <c r="EP75" s="36"/>
      <c r="EQ75" s="36"/>
      <c r="ER75" s="36"/>
      <c r="ES75" s="36"/>
      <c r="ET75" s="36"/>
      <c r="EU75" s="36"/>
      <c r="EV75" s="36"/>
      <c r="EW75" s="37"/>
      <c r="EX75" s="44"/>
      <c r="EY75" s="36"/>
      <c r="EZ75" s="36"/>
      <c r="FA75" s="36"/>
      <c r="FB75" s="36"/>
      <c r="FC75" s="36"/>
      <c r="FD75" s="36"/>
      <c r="FE75" s="36"/>
      <c r="FF75" s="36"/>
      <c r="FG75" s="36"/>
      <c r="FH75" s="36"/>
      <c r="FI75" s="36"/>
      <c r="FJ75" s="36"/>
      <c r="FK75" s="36"/>
      <c r="FL75" s="36"/>
      <c r="FM75" s="36"/>
      <c r="FN75" s="37"/>
      <c r="FO75" s="44"/>
      <c r="FP75" s="36"/>
      <c r="FQ75" s="36"/>
      <c r="FR75" s="36"/>
      <c r="FS75" s="36"/>
      <c r="FT75" s="36"/>
      <c r="FU75" s="36"/>
      <c r="FV75" s="36"/>
      <c r="FW75" s="36"/>
      <c r="FX75" s="36"/>
      <c r="FY75" s="36"/>
      <c r="FZ75" s="36"/>
      <c r="GA75" s="36"/>
      <c r="GB75" s="36"/>
      <c r="GC75" s="36"/>
      <c r="GD75" s="36"/>
      <c r="GE75" s="37"/>
      <c r="GF75" s="44"/>
      <c r="GG75" s="36"/>
      <c r="GH75" s="36"/>
      <c r="GI75" s="36"/>
      <c r="GJ75" s="36"/>
      <c r="GK75" s="36"/>
      <c r="GL75" s="36"/>
      <c r="GM75" s="36"/>
      <c r="GN75" s="36"/>
      <c r="GO75" s="36"/>
      <c r="GP75" s="36"/>
      <c r="GQ75" s="36"/>
      <c r="GR75" s="36"/>
      <c r="GS75" s="36"/>
      <c r="GT75" s="36"/>
      <c r="GU75" s="36"/>
      <c r="GV75" s="37"/>
      <c r="GW75" s="44"/>
      <c r="GX75" s="36"/>
      <c r="GY75" s="36"/>
      <c r="GZ75" s="36"/>
      <c r="HA75" s="36"/>
      <c r="HB75" s="36"/>
      <c r="HC75" s="36"/>
      <c r="HD75" s="36"/>
      <c r="HE75" s="36"/>
      <c r="HF75" s="36"/>
      <c r="HG75" s="36"/>
      <c r="HH75" s="36"/>
      <c r="HI75" s="36"/>
      <c r="HJ75" s="36"/>
      <c r="HK75" s="36"/>
      <c r="HL75" s="36"/>
      <c r="HM75" s="37"/>
      <c r="HN75" s="44"/>
      <c r="HO75" s="36"/>
      <c r="HP75" s="36"/>
      <c r="HQ75" s="36"/>
      <c r="HR75" s="36"/>
      <c r="HS75" s="36"/>
      <c r="HT75" s="36"/>
      <c r="HU75" s="36"/>
      <c r="HV75" s="36"/>
      <c r="HW75" s="36"/>
      <c r="HX75" s="36"/>
      <c r="HY75" s="36"/>
      <c r="HZ75" s="36"/>
      <c r="IA75" s="36"/>
      <c r="IB75" s="36"/>
      <c r="IC75" s="36"/>
      <c r="ID75" s="37"/>
      <c r="IE75" s="44"/>
      <c r="IF75" s="36"/>
      <c r="IG75" s="36"/>
      <c r="IH75" s="36"/>
      <c r="II75" s="36"/>
      <c r="IJ75" s="36"/>
      <c r="IK75" s="36"/>
      <c r="IL75" s="36"/>
      <c r="IM75" s="36"/>
      <c r="IN75" s="36"/>
      <c r="IO75" s="36"/>
      <c r="IP75" s="36"/>
      <c r="IQ75" s="36"/>
      <c r="IR75" s="36"/>
      <c r="IS75" s="36"/>
      <c r="IT75" s="36"/>
      <c r="IU75" s="37"/>
      <c r="IV75" s="44"/>
      <c r="IW75" s="36"/>
      <c r="IX75" s="36"/>
      <c r="IY75" s="36"/>
      <c r="IZ75" s="36"/>
      <c r="JA75" s="36"/>
      <c r="JB75" s="36"/>
      <c r="JC75" s="36"/>
      <c r="JD75" s="36"/>
      <c r="JE75" s="36"/>
      <c r="JF75" s="36"/>
      <c r="JG75" s="36"/>
      <c r="JH75" s="36"/>
      <c r="JI75" s="36"/>
      <c r="JJ75" s="36"/>
      <c r="JK75" s="36"/>
      <c r="JL75" s="37"/>
      <c r="JM75" s="44"/>
      <c r="JN75" s="36"/>
      <c r="JO75" s="36"/>
      <c r="JP75" s="36"/>
      <c r="JQ75" s="36"/>
      <c r="JR75" s="36"/>
      <c r="JS75" s="36"/>
      <c r="JT75" s="36"/>
      <c r="JU75" s="36"/>
      <c r="JV75" s="36"/>
      <c r="JW75" s="36"/>
      <c r="JX75" s="36"/>
      <c r="JY75" s="36"/>
      <c r="JZ75" s="36"/>
      <c r="KA75" s="36"/>
      <c r="KB75" s="36"/>
      <c r="KC75" s="37"/>
      <c r="KD75" s="44"/>
      <c r="KE75" s="36"/>
      <c r="KF75" s="36"/>
      <c r="KG75" s="36"/>
      <c r="KH75" s="36"/>
      <c r="KI75" s="36"/>
      <c r="KJ75" s="36"/>
      <c r="KK75" s="36"/>
      <c r="KL75" s="36"/>
      <c r="KM75" s="36"/>
      <c r="KN75" s="36"/>
      <c r="KO75" s="36"/>
      <c r="KP75" s="36"/>
      <c r="KQ75" s="36"/>
      <c r="KR75" s="36"/>
      <c r="KS75" s="36"/>
      <c r="KT75" s="37"/>
      <c r="KU75" s="36"/>
    </row>
    <row r="76" ht="15.0" customHeight="1">
      <c r="A76" s="191"/>
      <c r="B76" s="192" t="s">
        <v>24</v>
      </c>
      <c r="C76" s="192" t="str">
        <f t="shared" ref="C76:C80" si="1066">C40</f>
        <v>: Provinsi Sulawesi Tenggara</v>
      </c>
      <c r="D76" s="192"/>
      <c r="E76" s="192"/>
      <c r="F76" s="192"/>
      <c r="G76" s="192" t="s">
        <v>25</v>
      </c>
      <c r="H76" s="192"/>
      <c r="I76" s="194"/>
      <c r="J76" s="195"/>
      <c r="K76" s="195"/>
      <c r="L76" s="195"/>
      <c r="M76" s="195"/>
      <c r="N76" s="195"/>
      <c r="O76" s="195"/>
      <c r="P76" s="49" t="s">
        <v>60</v>
      </c>
      <c r="Q76" s="196"/>
      <c r="R76" s="191"/>
      <c r="S76" s="192" t="s">
        <v>24</v>
      </c>
      <c r="T76" s="192" t="str">
        <f t="shared" ref="T76:T79" si="1067">C76</f>
        <v>: Provinsi Sulawesi Tenggara</v>
      </c>
      <c r="U76" s="192"/>
      <c r="V76" s="192"/>
      <c r="W76" s="192"/>
      <c r="X76" s="192" t="s">
        <v>25</v>
      </c>
      <c r="Y76" s="192"/>
      <c r="Z76" s="194"/>
      <c r="AA76" s="195"/>
      <c r="AB76" s="195"/>
      <c r="AC76" s="195"/>
      <c r="AD76" s="195"/>
      <c r="AE76" s="195"/>
      <c r="AF76" s="195"/>
      <c r="AG76" s="49" t="s">
        <v>60</v>
      </c>
      <c r="AH76" s="196"/>
      <c r="AI76" s="191"/>
      <c r="AJ76" s="192" t="s">
        <v>24</v>
      </c>
      <c r="AK76" s="192" t="str">
        <f t="shared" ref="AK76:AK79" si="1068">T76</f>
        <v>: Provinsi Sulawesi Tenggara</v>
      </c>
      <c r="AL76" s="192"/>
      <c r="AM76" s="192"/>
      <c r="AN76" s="192"/>
      <c r="AO76" s="192" t="s">
        <v>25</v>
      </c>
      <c r="AP76" s="192"/>
      <c r="AQ76" s="194"/>
      <c r="AR76" s="195"/>
      <c r="AS76" s="195"/>
      <c r="AT76" s="195"/>
      <c r="AU76" s="195"/>
      <c r="AV76" s="195"/>
      <c r="AW76" s="195"/>
      <c r="AX76" s="49" t="s">
        <v>60</v>
      </c>
      <c r="AY76" s="196"/>
      <c r="AZ76" s="191"/>
      <c r="BA76" s="192" t="s">
        <v>24</v>
      </c>
      <c r="BB76" s="192" t="str">
        <f t="shared" ref="BB76:BB79" si="1069">AK76</f>
        <v>: Provinsi Sulawesi Tenggara</v>
      </c>
      <c r="BC76" s="192"/>
      <c r="BD76" s="192"/>
      <c r="BE76" s="192"/>
      <c r="BF76" s="192" t="s">
        <v>25</v>
      </c>
      <c r="BG76" s="192"/>
      <c r="BH76" s="194"/>
      <c r="BI76" s="195"/>
      <c r="BJ76" s="195"/>
      <c r="BK76" s="195"/>
      <c r="BL76" s="195"/>
      <c r="BM76" s="195"/>
      <c r="BN76" s="195"/>
      <c r="BO76" s="49" t="s">
        <v>60</v>
      </c>
      <c r="BP76" s="196"/>
      <c r="BQ76" s="191"/>
      <c r="BR76" s="192" t="s">
        <v>24</v>
      </c>
      <c r="BS76" s="192" t="str">
        <f t="shared" ref="BS76:BS79" si="1070">BB76</f>
        <v>: Provinsi Sulawesi Tenggara</v>
      </c>
      <c r="BT76" s="192"/>
      <c r="BU76" s="192"/>
      <c r="BV76" s="192"/>
      <c r="BW76" s="192" t="s">
        <v>25</v>
      </c>
      <c r="BX76" s="192"/>
      <c r="BY76" s="194"/>
      <c r="BZ76" s="195"/>
      <c r="CA76" s="195"/>
      <c r="CB76" s="195"/>
      <c r="CC76" s="195"/>
      <c r="CD76" s="195"/>
      <c r="CE76" s="195"/>
      <c r="CF76" s="49" t="s">
        <v>60</v>
      </c>
      <c r="CG76" s="196"/>
      <c r="CH76" s="191"/>
      <c r="CI76" s="192" t="s">
        <v>24</v>
      </c>
      <c r="CJ76" s="192" t="str">
        <f t="shared" ref="CJ76:CJ79" si="1071">BS76</f>
        <v>: Provinsi Sulawesi Tenggara</v>
      </c>
      <c r="CK76" s="192"/>
      <c r="CL76" s="192"/>
      <c r="CM76" s="192"/>
      <c r="CN76" s="192" t="s">
        <v>25</v>
      </c>
      <c r="CO76" s="192"/>
      <c r="CP76" s="194"/>
      <c r="CQ76" s="195"/>
      <c r="CR76" s="195"/>
      <c r="CS76" s="195"/>
      <c r="CT76" s="195"/>
      <c r="CU76" s="195"/>
      <c r="CV76" s="195"/>
      <c r="CW76" s="49" t="s">
        <v>60</v>
      </c>
      <c r="CX76" s="196"/>
      <c r="CY76" s="191"/>
      <c r="CZ76" s="192" t="s">
        <v>24</v>
      </c>
      <c r="DA76" s="192" t="str">
        <f t="shared" ref="DA76:DA79" si="1072">CJ76</f>
        <v>: Provinsi Sulawesi Tenggara</v>
      </c>
      <c r="DB76" s="192"/>
      <c r="DC76" s="192"/>
      <c r="DD76" s="192"/>
      <c r="DE76" s="192" t="s">
        <v>25</v>
      </c>
      <c r="DF76" s="192"/>
      <c r="DG76" s="194"/>
      <c r="DH76" s="195"/>
      <c r="DI76" s="195"/>
      <c r="DJ76" s="195"/>
      <c r="DK76" s="195"/>
      <c r="DL76" s="195"/>
      <c r="DM76" s="195"/>
      <c r="DN76" s="49" t="s">
        <v>60</v>
      </c>
      <c r="DO76" s="196"/>
      <c r="DP76" s="191"/>
      <c r="DQ76" s="192" t="s">
        <v>24</v>
      </c>
      <c r="DR76" s="192" t="str">
        <f t="shared" ref="DR76:DR79" si="1073">DA76</f>
        <v>: Provinsi Sulawesi Tenggara</v>
      </c>
      <c r="DS76" s="192"/>
      <c r="DT76" s="192"/>
      <c r="DU76" s="192"/>
      <c r="DV76" s="192" t="s">
        <v>25</v>
      </c>
      <c r="DW76" s="192"/>
      <c r="DX76" s="194"/>
      <c r="DY76" s="195"/>
      <c r="DZ76" s="195"/>
      <c r="EA76" s="195"/>
      <c r="EB76" s="195"/>
      <c r="EC76" s="195"/>
      <c r="ED76" s="195"/>
      <c r="EE76" s="49" t="s">
        <v>60</v>
      </c>
      <c r="EF76" s="196"/>
      <c r="EG76" s="191"/>
      <c r="EH76" s="192" t="s">
        <v>24</v>
      </c>
      <c r="EI76" s="192" t="str">
        <f t="shared" ref="EI76:EI79" si="1074">DR76</f>
        <v>: Provinsi Sulawesi Tenggara</v>
      </c>
      <c r="EJ76" s="192"/>
      <c r="EK76" s="192"/>
      <c r="EL76" s="192"/>
      <c r="EM76" s="192" t="s">
        <v>25</v>
      </c>
      <c r="EN76" s="192"/>
      <c r="EO76" s="194"/>
      <c r="EP76" s="195"/>
      <c r="EQ76" s="195"/>
      <c r="ER76" s="195"/>
      <c r="ES76" s="195"/>
      <c r="ET76" s="195"/>
      <c r="EU76" s="195"/>
      <c r="EV76" s="49" t="s">
        <v>60</v>
      </c>
      <c r="EW76" s="196"/>
      <c r="EX76" s="191"/>
      <c r="EY76" s="192" t="s">
        <v>24</v>
      </c>
      <c r="EZ76" s="192" t="str">
        <f t="shared" ref="EZ76:EZ79" si="1075">EI76</f>
        <v>: Provinsi Sulawesi Tenggara</v>
      </c>
      <c r="FA76" s="192"/>
      <c r="FB76" s="192"/>
      <c r="FC76" s="192"/>
      <c r="FD76" s="192" t="s">
        <v>25</v>
      </c>
      <c r="FE76" s="192"/>
      <c r="FF76" s="194"/>
      <c r="FG76" s="195"/>
      <c r="FH76" s="195"/>
      <c r="FI76" s="195"/>
      <c r="FJ76" s="195"/>
      <c r="FK76" s="195"/>
      <c r="FL76" s="195"/>
      <c r="FM76" s="49" t="s">
        <v>60</v>
      </c>
      <c r="FN76" s="196"/>
      <c r="FO76" s="191"/>
      <c r="FP76" s="192" t="s">
        <v>24</v>
      </c>
      <c r="FQ76" s="192" t="str">
        <f t="shared" ref="FQ76:FQ79" si="1076">EZ76</f>
        <v>: Provinsi Sulawesi Tenggara</v>
      </c>
      <c r="FR76" s="192"/>
      <c r="FS76" s="192"/>
      <c r="FT76" s="192"/>
      <c r="FU76" s="192" t="s">
        <v>25</v>
      </c>
      <c r="FV76" s="192"/>
      <c r="FW76" s="194"/>
      <c r="FX76" s="195"/>
      <c r="FY76" s="195"/>
      <c r="FZ76" s="195"/>
      <c r="GA76" s="195"/>
      <c r="GB76" s="195"/>
      <c r="GC76" s="195"/>
      <c r="GD76" s="49" t="s">
        <v>60</v>
      </c>
      <c r="GE76" s="196"/>
      <c r="GF76" s="191"/>
      <c r="GG76" s="192" t="s">
        <v>24</v>
      </c>
      <c r="GH76" s="192" t="str">
        <f t="shared" ref="GH76:GH79" si="1077">FQ76</f>
        <v>: Provinsi Sulawesi Tenggara</v>
      </c>
      <c r="GI76" s="192"/>
      <c r="GJ76" s="192"/>
      <c r="GK76" s="192"/>
      <c r="GL76" s="192" t="s">
        <v>25</v>
      </c>
      <c r="GM76" s="192"/>
      <c r="GN76" s="194"/>
      <c r="GO76" s="195"/>
      <c r="GP76" s="195"/>
      <c r="GQ76" s="195"/>
      <c r="GR76" s="195"/>
      <c r="GS76" s="195"/>
      <c r="GT76" s="195"/>
      <c r="GU76" s="49" t="s">
        <v>60</v>
      </c>
      <c r="GV76" s="196"/>
      <c r="GW76" s="191"/>
      <c r="GX76" s="192" t="s">
        <v>24</v>
      </c>
      <c r="GY76" s="192" t="str">
        <f t="shared" ref="GY76:GY79" si="1078">GH76</f>
        <v>: Provinsi Sulawesi Tenggara</v>
      </c>
      <c r="GZ76" s="192"/>
      <c r="HA76" s="192"/>
      <c r="HB76" s="192"/>
      <c r="HC76" s="192" t="s">
        <v>25</v>
      </c>
      <c r="HD76" s="192"/>
      <c r="HE76" s="194"/>
      <c r="HF76" s="195"/>
      <c r="HG76" s="195"/>
      <c r="HH76" s="195"/>
      <c r="HI76" s="195"/>
      <c r="HJ76" s="195"/>
      <c r="HK76" s="195"/>
      <c r="HL76" s="49" t="s">
        <v>60</v>
      </c>
      <c r="HM76" s="196"/>
      <c r="HN76" s="191"/>
      <c r="HO76" s="192" t="s">
        <v>24</v>
      </c>
      <c r="HP76" s="192" t="str">
        <f t="shared" ref="HP76:HP79" si="1079">GY76</f>
        <v>: Provinsi Sulawesi Tenggara</v>
      </c>
      <c r="HQ76" s="192"/>
      <c r="HR76" s="192"/>
      <c r="HS76" s="192"/>
      <c r="HT76" s="192" t="s">
        <v>25</v>
      </c>
      <c r="HU76" s="192"/>
      <c r="HV76" s="194"/>
      <c r="HW76" s="195"/>
      <c r="HX76" s="195"/>
      <c r="HY76" s="195"/>
      <c r="HZ76" s="195"/>
      <c r="IA76" s="195"/>
      <c r="IB76" s="195"/>
      <c r="IC76" s="49" t="s">
        <v>60</v>
      </c>
      <c r="ID76" s="196"/>
      <c r="IE76" s="191"/>
      <c r="IF76" s="192" t="s">
        <v>24</v>
      </c>
      <c r="IG76" s="192" t="str">
        <f t="shared" ref="IG76:IG79" si="1080">HP76</f>
        <v>: Provinsi Sulawesi Tenggara</v>
      </c>
      <c r="IH76" s="192"/>
      <c r="II76" s="192"/>
      <c r="IJ76" s="192"/>
      <c r="IK76" s="192" t="s">
        <v>25</v>
      </c>
      <c r="IL76" s="192"/>
      <c r="IM76" s="194"/>
      <c r="IN76" s="195"/>
      <c r="IO76" s="195"/>
      <c r="IP76" s="195"/>
      <c r="IQ76" s="195"/>
      <c r="IR76" s="195"/>
      <c r="IS76" s="195"/>
      <c r="IT76" s="49" t="s">
        <v>60</v>
      </c>
      <c r="IU76" s="196"/>
      <c r="IV76" s="191"/>
      <c r="IW76" s="192" t="s">
        <v>24</v>
      </c>
      <c r="IX76" s="192" t="str">
        <f t="shared" ref="IX76:IX79" si="1081">IG76</f>
        <v>: Provinsi Sulawesi Tenggara</v>
      </c>
      <c r="IY76" s="192"/>
      <c r="IZ76" s="192"/>
      <c r="JA76" s="192"/>
      <c r="JB76" s="192" t="s">
        <v>25</v>
      </c>
      <c r="JC76" s="192"/>
      <c r="JD76" s="194"/>
      <c r="JE76" s="195"/>
      <c r="JF76" s="195"/>
      <c r="JG76" s="195"/>
      <c r="JH76" s="195"/>
      <c r="JI76" s="195"/>
      <c r="JJ76" s="195"/>
      <c r="JK76" s="49" t="s">
        <v>60</v>
      </c>
      <c r="JL76" s="197"/>
      <c r="JM76" s="191"/>
      <c r="JN76" s="192" t="s">
        <v>24</v>
      </c>
      <c r="JO76" s="192" t="str">
        <f t="shared" ref="JO76:JO79" si="1082">IX76</f>
        <v>: Provinsi Sulawesi Tenggara</v>
      </c>
      <c r="JP76" s="192"/>
      <c r="JQ76" s="192"/>
      <c r="JR76" s="192"/>
      <c r="JS76" s="192" t="s">
        <v>25</v>
      </c>
      <c r="JT76" s="192"/>
      <c r="JU76" s="194"/>
      <c r="JV76" s="195"/>
      <c r="JW76" s="195"/>
      <c r="JX76" s="195"/>
      <c r="JY76" s="195"/>
      <c r="JZ76" s="195"/>
      <c r="KA76" s="195"/>
      <c r="KB76" s="49" t="s">
        <v>60</v>
      </c>
      <c r="KC76" s="197"/>
      <c r="KD76" s="191"/>
      <c r="KE76" s="192" t="s">
        <v>24</v>
      </c>
      <c r="KF76" s="192" t="str">
        <f t="shared" ref="KF76:KF79" si="1083">JO76</f>
        <v>: Provinsi Sulawesi Tenggara</v>
      </c>
      <c r="KG76" s="192"/>
      <c r="KH76" s="192"/>
      <c r="KI76" s="192"/>
      <c r="KJ76" s="192" t="s">
        <v>25</v>
      </c>
      <c r="KK76" s="192"/>
      <c r="KL76" s="194"/>
      <c r="KM76" s="195"/>
      <c r="KN76" s="195"/>
      <c r="KO76" s="195"/>
      <c r="KP76" s="195"/>
      <c r="KQ76" s="195"/>
      <c r="KR76" s="195"/>
      <c r="KS76" s="49" t="s">
        <v>60</v>
      </c>
      <c r="KT76" s="197"/>
      <c r="KU76" s="195"/>
    </row>
    <row r="77" ht="15.0" customHeight="1">
      <c r="A77" s="198"/>
      <c r="B77" s="199" t="s">
        <v>27</v>
      </c>
      <c r="C77" s="199" t="str">
        <f t="shared" si="1066"/>
        <v>: Pertambangan dan Penggalian    </v>
      </c>
      <c r="D77" s="199"/>
      <c r="E77" s="199"/>
      <c r="F77" s="199"/>
      <c r="G77" s="199" t="s">
        <v>28</v>
      </c>
      <c r="H77" s="199"/>
      <c r="I77" s="200"/>
      <c r="J77" s="195"/>
      <c r="K77" s="195"/>
      <c r="L77" s="195"/>
      <c r="M77" s="195"/>
      <c r="N77" s="195"/>
      <c r="O77" s="195"/>
      <c r="P77" s="55"/>
      <c r="Q77" s="196"/>
      <c r="R77" s="198"/>
      <c r="S77" s="199" t="s">
        <v>27</v>
      </c>
      <c r="T77" s="199" t="str">
        <f t="shared" si="1067"/>
        <v>: Pertambangan dan Penggalian    </v>
      </c>
      <c r="U77" s="199"/>
      <c r="V77" s="199"/>
      <c r="W77" s="199"/>
      <c r="X77" s="199" t="s">
        <v>28</v>
      </c>
      <c r="Y77" s="199"/>
      <c r="Z77" s="200"/>
      <c r="AA77" s="195"/>
      <c r="AB77" s="195"/>
      <c r="AC77" s="195"/>
      <c r="AD77" s="195"/>
      <c r="AE77" s="195"/>
      <c r="AF77" s="195"/>
      <c r="AG77" s="55"/>
      <c r="AH77" s="196"/>
      <c r="AI77" s="198"/>
      <c r="AJ77" s="199" t="s">
        <v>27</v>
      </c>
      <c r="AK77" s="199" t="str">
        <f t="shared" si="1068"/>
        <v>: Pertambangan dan Penggalian    </v>
      </c>
      <c r="AL77" s="199"/>
      <c r="AM77" s="199"/>
      <c r="AN77" s="199"/>
      <c r="AO77" s="199" t="s">
        <v>28</v>
      </c>
      <c r="AP77" s="199"/>
      <c r="AQ77" s="200"/>
      <c r="AR77" s="195"/>
      <c r="AS77" s="195"/>
      <c r="AT77" s="195"/>
      <c r="AU77" s="195"/>
      <c r="AV77" s="195"/>
      <c r="AW77" s="195"/>
      <c r="AX77" s="55"/>
      <c r="AY77" s="196"/>
      <c r="AZ77" s="198"/>
      <c r="BA77" s="199" t="s">
        <v>27</v>
      </c>
      <c r="BB77" s="199" t="str">
        <f t="shared" si="1069"/>
        <v>: Pertambangan dan Penggalian    </v>
      </c>
      <c r="BC77" s="199"/>
      <c r="BD77" s="199"/>
      <c r="BE77" s="199"/>
      <c r="BF77" s="199" t="s">
        <v>28</v>
      </c>
      <c r="BG77" s="199"/>
      <c r="BH77" s="200"/>
      <c r="BI77" s="195"/>
      <c r="BJ77" s="195"/>
      <c r="BK77" s="195"/>
      <c r="BL77" s="195"/>
      <c r="BM77" s="195"/>
      <c r="BN77" s="195"/>
      <c r="BO77" s="55"/>
      <c r="BP77" s="196"/>
      <c r="BQ77" s="198"/>
      <c r="BR77" s="199" t="s">
        <v>27</v>
      </c>
      <c r="BS77" s="199" t="str">
        <f t="shared" si="1070"/>
        <v>: Pertambangan dan Penggalian    </v>
      </c>
      <c r="BT77" s="199"/>
      <c r="BU77" s="199"/>
      <c r="BV77" s="199"/>
      <c r="BW77" s="199" t="s">
        <v>28</v>
      </c>
      <c r="BX77" s="199"/>
      <c r="BY77" s="200"/>
      <c r="BZ77" s="195"/>
      <c r="CA77" s="195"/>
      <c r="CB77" s="195"/>
      <c r="CC77" s="195"/>
      <c r="CD77" s="195"/>
      <c r="CE77" s="195"/>
      <c r="CF77" s="55"/>
      <c r="CG77" s="196"/>
      <c r="CH77" s="198"/>
      <c r="CI77" s="199" t="s">
        <v>27</v>
      </c>
      <c r="CJ77" s="199" t="str">
        <f t="shared" si="1071"/>
        <v>: Pertambangan dan Penggalian    </v>
      </c>
      <c r="CK77" s="199"/>
      <c r="CL77" s="199"/>
      <c r="CM77" s="199"/>
      <c r="CN77" s="199" t="s">
        <v>28</v>
      </c>
      <c r="CO77" s="199"/>
      <c r="CP77" s="200"/>
      <c r="CQ77" s="195"/>
      <c r="CR77" s="195"/>
      <c r="CS77" s="195"/>
      <c r="CT77" s="195"/>
      <c r="CU77" s="195"/>
      <c r="CV77" s="195"/>
      <c r="CW77" s="55"/>
      <c r="CX77" s="196"/>
      <c r="CY77" s="198"/>
      <c r="CZ77" s="199" t="s">
        <v>27</v>
      </c>
      <c r="DA77" s="199" t="str">
        <f t="shared" si="1072"/>
        <v>: Pertambangan dan Penggalian    </v>
      </c>
      <c r="DB77" s="199"/>
      <c r="DC77" s="199"/>
      <c r="DD77" s="199"/>
      <c r="DE77" s="199" t="s">
        <v>28</v>
      </c>
      <c r="DF77" s="199"/>
      <c r="DG77" s="200"/>
      <c r="DH77" s="195"/>
      <c r="DI77" s="195"/>
      <c r="DJ77" s="195"/>
      <c r="DK77" s="195"/>
      <c r="DL77" s="195"/>
      <c r="DM77" s="195"/>
      <c r="DN77" s="55"/>
      <c r="DO77" s="196"/>
      <c r="DP77" s="198"/>
      <c r="DQ77" s="199" t="s">
        <v>27</v>
      </c>
      <c r="DR77" s="199" t="str">
        <f t="shared" si="1073"/>
        <v>: Pertambangan dan Penggalian    </v>
      </c>
      <c r="DS77" s="199"/>
      <c r="DT77" s="199"/>
      <c r="DU77" s="199"/>
      <c r="DV77" s="199" t="s">
        <v>28</v>
      </c>
      <c r="DW77" s="199"/>
      <c r="DX77" s="200"/>
      <c r="DY77" s="195"/>
      <c r="DZ77" s="195"/>
      <c r="EA77" s="195"/>
      <c r="EB77" s="195"/>
      <c r="EC77" s="195"/>
      <c r="ED77" s="195"/>
      <c r="EE77" s="55"/>
      <c r="EF77" s="196"/>
      <c r="EG77" s="198"/>
      <c r="EH77" s="199" t="s">
        <v>27</v>
      </c>
      <c r="EI77" s="199" t="str">
        <f t="shared" si="1074"/>
        <v>: Pertambangan dan Penggalian    </v>
      </c>
      <c r="EJ77" s="199"/>
      <c r="EK77" s="199"/>
      <c r="EL77" s="199"/>
      <c r="EM77" s="199" t="s">
        <v>28</v>
      </c>
      <c r="EN77" s="199"/>
      <c r="EO77" s="200"/>
      <c r="EP77" s="195"/>
      <c r="EQ77" s="195"/>
      <c r="ER77" s="195"/>
      <c r="ES77" s="195"/>
      <c r="ET77" s="195"/>
      <c r="EU77" s="195"/>
      <c r="EV77" s="55"/>
      <c r="EW77" s="196"/>
      <c r="EX77" s="198"/>
      <c r="EY77" s="199" t="s">
        <v>27</v>
      </c>
      <c r="EZ77" s="199" t="str">
        <f t="shared" si="1075"/>
        <v>: Pertambangan dan Penggalian    </v>
      </c>
      <c r="FA77" s="199"/>
      <c r="FB77" s="199"/>
      <c r="FC77" s="199"/>
      <c r="FD77" s="199" t="s">
        <v>28</v>
      </c>
      <c r="FE77" s="199"/>
      <c r="FF77" s="200"/>
      <c r="FG77" s="195"/>
      <c r="FH77" s="195"/>
      <c r="FI77" s="195"/>
      <c r="FJ77" s="195"/>
      <c r="FK77" s="195"/>
      <c r="FL77" s="195"/>
      <c r="FM77" s="55"/>
      <c r="FN77" s="196"/>
      <c r="FO77" s="198"/>
      <c r="FP77" s="199" t="s">
        <v>27</v>
      </c>
      <c r="FQ77" s="199" t="str">
        <f t="shared" si="1076"/>
        <v>: Pertambangan dan Penggalian    </v>
      </c>
      <c r="FR77" s="199"/>
      <c r="FS77" s="199"/>
      <c r="FT77" s="199"/>
      <c r="FU77" s="199" t="s">
        <v>28</v>
      </c>
      <c r="FV77" s="199"/>
      <c r="FW77" s="200"/>
      <c r="FX77" s="195"/>
      <c r="FY77" s="195"/>
      <c r="FZ77" s="195"/>
      <c r="GA77" s="195"/>
      <c r="GB77" s="195"/>
      <c r="GC77" s="195"/>
      <c r="GD77" s="55"/>
      <c r="GE77" s="196"/>
      <c r="GF77" s="198"/>
      <c r="GG77" s="199" t="s">
        <v>27</v>
      </c>
      <c r="GH77" s="199" t="str">
        <f t="shared" si="1077"/>
        <v>: Pertambangan dan Penggalian    </v>
      </c>
      <c r="GI77" s="199"/>
      <c r="GJ77" s="199"/>
      <c r="GK77" s="199"/>
      <c r="GL77" s="199" t="s">
        <v>28</v>
      </c>
      <c r="GM77" s="199"/>
      <c r="GN77" s="200"/>
      <c r="GO77" s="195"/>
      <c r="GP77" s="195"/>
      <c r="GQ77" s="195"/>
      <c r="GR77" s="195"/>
      <c r="GS77" s="195"/>
      <c r="GT77" s="195"/>
      <c r="GU77" s="55"/>
      <c r="GV77" s="196"/>
      <c r="GW77" s="198"/>
      <c r="GX77" s="199" t="s">
        <v>27</v>
      </c>
      <c r="GY77" s="199" t="str">
        <f t="shared" si="1078"/>
        <v>: Pertambangan dan Penggalian    </v>
      </c>
      <c r="GZ77" s="199"/>
      <c r="HA77" s="199"/>
      <c r="HB77" s="199"/>
      <c r="HC77" s="199" t="s">
        <v>28</v>
      </c>
      <c r="HD77" s="199"/>
      <c r="HE77" s="200"/>
      <c r="HF77" s="195"/>
      <c r="HG77" s="195"/>
      <c r="HH77" s="195"/>
      <c r="HI77" s="195"/>
      <c r="HJ77" s="195"/>
      <c r="HK77" s="195"/>
      <c r="HL77" s="55"/>
      <c r="HM77" s="196"/>
      <c r="HN77" s="198"/>
      <c r="HO77" s="199" t="s">
        <v>27</v>
      </c>
      <c r="HP77" s="199" t="str">
        <f t="shared" si="1079"/>
        <v>: Pertambangan dan Penggalian    </v>
      </c>
      <c r="HQ77" s="199"/>
      <c r="HR77" s="199"/>
      <c r="HS77" s="199"/>
      <c r="HT77" s="199" t="s">
        <v>28</v>
      </c>
      <c r="HU77" s="199"/>
      <c r="HV77" s="200"/>
      <c r="HW77" s="195"/>
      <c r="HX77" s="195"/>
      <c r="HY77" s="195"/>
      <c r="HZ77" s="195"/>
      <c r="IA77" s="195"/>
      <c r="IB77" s="195"/>
      <c r="IC77" s="55"/>
      <c r="ID77" s="196"/>
      <c r="IE77" s="198"/>
      <c r="IF77" s="199" t="s">
        <v>27</v>
      </c>
      <c r="IG77" s="199" t="str">
        <f t="shared" si="1080"/>
        <v>: Pertambangan dan Penggalian    </v>
      </c>
      <c r="IH77" s="199"/>
      <c r="II77" s="199"/>
      <c r="IJ77" s="199"/>
      <c r="IK77" s="199" t="s">
        <v>28</v>
      </c>
      <c r="IL77" s="199"/>
      <c r="IM77" s="200"/>
      <c r="IN77" s="195"/>
      <c r="IO77" s="195"/>
      <c r="IP77" s="195"/>
      <c r="IQ77" s="195"/>
      <c r="IR77" s="195"/>
      <c r="IS77" s="195"/>
      <c r="IT77" s="55"/>
      <c r="IU77" s="196"/>
      <c r="IV77" s="198"/>
      <c r="IW77" s="199" t="s">
        <v>27</v>
      </c>
      <c r="IX77" s="199" t="str">
        <f t="shared" si="1081"/>
        <v>: Pertambangan dan Penggalian    </v>
      </c>
      <c r="IY77" s="199"/>
      <c r="IZ77" s="199"/>
      <c r="JA77" s="199"/>
      <c r="JB77" s="199" t="s">
        <v>28</v>
      </c>
      <c r="JC77" s="199"/>
      <c r="JD77" s="200"/>
      <c r="JE77" s="195"/>
      <c r="JF77" s="195"/>
      <c r="JG77" s="195"/>
      <c r="JH77" s="195"/>
      <c r="JI77" s="195"/>
      <c r="JJ77" s="195"/>
      <c r="JK77" s="55"/>
      <c r="JL77" s="197"/>
      <c r="JM77" s="198"/>
      <c r="JN77" s="199" t="s">
        <v>27</v>
      </c>
      <c r="JO77" s="199" t="str">
        <f t="shared" si="1082"/>
        <v>: Pertambangan dan Penggalian    </v>
      </c>
      <c r="JP77" s="199"/>
      <c r="JQ77" s="199"/>
      <c r="JR77" s="199"/>
      <c r="JS77" s="199" t="s">
        <v>28</v>
      </c>
      <c r="JT77" s="199"/>
      <c r="JU77" s="200"/>
      <c r="JV77" s="195"/>
      <c r="JW77" s="195"/>
      <c r="JX77" s="195"/>
      <c r="JY77" s="195"/>
      <c r="JZ77" s="195"/>
      <c r="KA77" s="195"/>
      <c r="KB77" s="55"/>
      <c r="KC77" s="197"/>
      <c r="KD77" s="198"/>
      <c r="KE77" s="199" t="s">
        <v>27</v>
      </c>
      <c r="KF77" s="199" t="str">
        <f t="shared" si="1083"/>
        <v>: Pertambangan dan Penggalian    </v>
      </c>
      <c r="KG77" s="199"/>
      <c r="KH77" s="199"/>
      <c r="KI77" s="199"/>
      <c r="KJ77" s="199" t="s">
        <v>28</v>
      </c>
      <c r="KK77" s="199"/>
      <c r="KL77" s="200"/>
      <c r="KM77" s="195"/>
      <c r="KN77" s="195"/>
      <c r="KO77" s="195"/>
      <c r="KP77" s="195"/>
      <c r="KQ77" s="195"/>
      <c r="KR77" s="195"/>
      <c r="KS77" s="55"/>
      <c r="KT77" s="197"/>
      <c r="KU77" s="195"/>
    </row>
    <row r="78" ht="15.0" customHeight="1">
      <c r="A78" s="198"/>
      <c r="B78" s="199" t="s">
        <v>29</v>
      </c>
      <c r="C78" s="199" t="str">
        <f t="shared" si="1066"/>
        <v>: Pertambangan Bijih Logam</v>
      </c>
      <c r="D78" s="199"/>
      <c r="E78" s="199"/>
      <c r="F78" s="199"/>
      <c r="G78" s="201" t="s">
        <v>61</v>
      </c>
      <c r="H78" s="199"/>
      <c r="I78" s="200"/>
      <c r="J78" s="195"/>
      <c r="K78" s="195"/>
      <c r="L78" s="195"/>
      <c r="M78" s="195"/>
      <c r="N78" s="195"/>
      <c r="O78" s="195"/>
      <c r="P78" s="57" t="str">
        <f>"II/"&amp;P$6</f>
        <v>II/2010</v>
      </c>
      <c r="Q78" s="196"/>
      <c r="R78" s="198"/>
      <c r="S78" s="199" t="s">
        <v>29</v>
      </c>
      <c r="T78" s="199" t="str">
        <f t="shared" si="1067"/>
        <v>: Pertambangan Bijih Logam</v>
      </c>
      <c r="U78" s="199"/>
      <c r="V78" s="199"/>
      <c r="W78" s="199"/>
      <c r="X78" s="201" t="s">
        <v>61</v>
      </c>
      <c r="Y78" s="199"/>
      <c r="Z78" s="200"/>
      <c r="AA78" s="195"/>
      <c r="AB78" s="195"/>
      <c r="AC78" s="195"/>
      <c r="AD78" s="195"/>
      <c r="AE78" s="195"/>
      <c r="AF78" s="195"/>
      <c r="AG78" s="57" t="str">
        <f>"II/"&amp;AG$6</f>
        <v>II/2011</v>
      </c>
      <c r="AH78" s="196"/>
      <c r="AI78" s="198"/>
      <c r="AJ78" s="199" t="s">
        <v>29</v>
      </c>
      <c r="AK78" s="199" t="str">
        <f t="shared" si="1068"/>
        <v>: Pertambangan Bijih Logam</v>
      </c>
      <c r="AL78" s="199"/>
      <c r="AM78" s="199"/>
      <c r="AN78" s="199"/>
      <c r="AO78" s="201" t="s">
        <v>61</v>
      </c>
      <c r="AP78" s="199"/>
      <c r="AQ78" s="200"/>
      <c r="AR78" s="195"/>
      <c r="AS78" s="195"/>
      <c r="AT78" s="195"/>
      <c r="AU78" s="195"/>
      <c r="AV78" s="195"/>
      <c r="AW78" s="195"/>
      <c r="AX78" s="57" t="str">
        <f>"II/"&amp;AX$6</f>
        <v>II/2012</v>
      </c>
      <c r="AY78" s="196"/>
      <c r="AZ78" s="198"/>
      <c r="BA78" s="199" t="s">
        <v>29</v>
      </c>
      <c r="BB78" s="199" t="str">
        <f t="shared" si="1069"/>
        <v>: Pertambangan Bijih Logam</v>
      </c>
      <c r="BC78" s="199"/>
      <c r="BD78" s="199"/>
      <c r="BE78" s="199"/>
      <c r="BF78" s="201" t="s">
        <v>61</v>
      </c>
      <c r="BG78" s="199"/>
      <c r="BH78" s="200"/>
      <c r="BI78" s="195"/>
      <c r="BJ78" s="195"/>
      <c r="BK78" s="195"/>
      <c r="BL78" s="195"/>
      <c r="BM78" s="195"/>
      <c r="BN78" s="195"/>
      <c r="BO78" s="57" t="str">
        <f>"II/"&amp;BO$6</f>
        <v>II/2013</v>
      </c>
      <c r="BP78" s="196"/>
      <c r="BQ78" s="198"/>
      <c r="BR78" s="199" t="s">
        <v>29</v>
      </c>
      <c r="BS78" s="199" t="str">
        <f t="shared" si="1070"/>
        <v>: Pertambangan Bijih Logam</v>
      </c>
      <c r="BT78" s="199"/>
      <c r="BU78" s="199"/>
      <c r="BV78" s="199"/>
      <c r="BW78" s="201" t="s">
        <v>61</v>
      </c>
      <c r="BX78" s="199"/>
      <c r="BY78" s="200"/>
      <c r="BZ78" s="195"/>
      <c r="CA78" s="195"/>
      <c r="CB78" s="195"/>
      <c r="CC78" s="195"/>
      <c r="CD78" s="195"/>
      <c r="CE78" s="195"/>
      <c r="CF78" s="57" t="str">
        <f>"II/"&amp;CF$6</f>
        <v>II/2014</v>
      </c>
      <c r="CG78" s="196"/>
      <c r="CH78" s="198"/>
      <c r="CI78" s="199" t="s">
        <v>29</v>
      </c>
      <c r="CJ78" s="199" t="str">
        <f t="shared" si="1071"/>
        <v>: Pertambangan Bijih Logam</v>
      </c>
      <c r="CK78" s="199"/>
      <c r="CL78" s="199"/>
      <c r="CM78" s="199"/>
      <c r="CN78" s="201" t="s">
        <v>61</v>
      </c>
      <c r="CO78" s="199"/>
      <c r="CP78" s="200"/>
      <c r="CQ78" s="195"/>
      <c r="CR78" s="195"/>
      <c r="CS78" s="195"/>
      <c r="CT78" s="195"/>
      <c r="CU78" s="195"/>
      <c r="CV78" s="195"/>
      <c r="CW78" s="57" t="str">
        <f>"II/"&amp;CW$6</f>
        <v>II/2015</v>
      </c>
      <c r="CX78" s="196"/>
      <c r="CY78" s="198"/>
      <c r="CZ78" s="199" t="s">
        <v>29</v>
      </c>
      <c r="DA78" s="199" t="str">
        <f t="shared" si="1072"/>
        <v>: Pertambangan Bijih Logam</v>
      </c>
      <c r="DB78" s="199"/>
      <c r="DC78" s="199"/>
      <c r="DD78" s="199"/>
      <c r="DE78" s="201" t="s">
        <v>61</v>
      </c>
      <c r="DF78" s="199"/>
      <c r="DG78" s="200"/>
      <c r="DH78" s="195"/>
      <c r="DI78" s="195"/>
      <c r="DJ78" s="195"/>
      <c r="DK78" s="195"/>
      <c r="DL78" s="195"/>
      <c r="DM78" s="195"/>
      <c r="DN78" s="57" t="str">
        <f>"II/"&amp;DN$6</f>
        <v>II/2016</v>
      </c>
      <c r="DO78" s="196"/>
      <c r="DP78" s="198"/>
      <c r="DQ78" s="199" t="s">
        <v>29</v>
      </c>
      <c r="DR78" s="199" t="str">
        <f t="shared" si="1073"/>
        <v>: Pertambangan Bijih Logam</v>
      </c>
      <c r="DS78" s="199"/>
      <c r="DT78" s="199"/>
      <c r="DU78" s="199"/>
      <c r="DV78" s="201" t="s">
        <v>61</v>
      </c>
      <c r="DW78" s="199"/>
      <c r="DX78" s="200"/>
      <c r="DY78" s="195"/>
      <c r="DZ78" s="195"/>
      <c r="EA78" s="195"/>
      <c r="EB78" s="195"/>
      <c r="EC78" s="195"/>
      <c r="ED78" s="195"/>
      <c r="EE78" s="57" t="str">
        <f>"II/"&amp;EE$6</f>
        <v>II/2017</v>
      </c>
      <c r="EF78" s="196"/>
      <c r="EG78" s="198"/>
      <c r="EH78" s="199" t="s">
        <v>29</v>
      </c>
      <c r="EI78" s="199" t="str">
        <f t="shared" si="1074"/>
        <v>: Pertambangan Bijih Logam</v>
      </c>
      <c r="EJ78" s="199"/>
      <c r="EK78" s="199"/>
      <c r="EL78" s="199"/>
      <c r="EM78" s="201" t="s">
        <v>61</v>
      </c>
      <c r="EN78" s="199"/>
      <c r="EO78" s="200"/>
      <c r="EP78" s="195"/>
      <c r="EQ78" s="195"/>
      <c r="ER78" s="195"/>
      <c r="ES78" s="195"/>
      <c r="ET78" s="195"/>
      <c r="EU78" s="195"/>
      <c r="EV78" s="57" t="str">
        <f>"II/"&amp;EV$6</f>
        <v>II/2018</v>
      </c>
      <c r="EW78" s="196"/>
      <c r="EX78" s="198"/>
      <c r="EY78" s="199" t="s">
        <v>29</v>
      </c>
      <c r="EZ78" s="199" t="str">
        <f t="shared" si="1075"/>
        <v>: Pertambangan Bijih Logam</v>
      </c>
      <c r="FA78" s="199"/>
      <c r="FB78" s="199"/>
      <c r="FC78" s="199"/>
      <c r="FD78" s="201" t="s">
        <v>61</v>
      </c>
      <c r="FE78" s="199"/>
      <c r="FF78" s="200"/>
      <c r="FG78" s="195"/>
      <c r="FH78" s="195"/>
      <c r="FI78" s="195"/>
      <c r="FJ78" s="195"/>
      <c r="FK78" s="195"/>
      <c r="FL78" s="195"/>
      <c r="FM78" s="57" t="str">
        <f>"II/"&amp;FM$6</f>
        <v>II/2019</v>
      </c>
      <c r="FN78" s="196"/>
      <c r="FO78" s="198"/>
      <c r="FP78" s="199" t="s">
        <v>29</v>
      </c>
      <c r="FQ78" s="199" t="str">
        <f t="shared" si="1076"/>
        <v>: Pertambangan Bijih Logam</v>
      </c>
      <c r="FR78" s="199"/>
      <c r="FS78" s="199"/>
      <c r="FT78" s="199"/>
      <c r="FU78" s="201" t="s">
        <v>61</v>
      </c>
      <c r="FV78" s="199"/>
      <c r="FW78" s="200"/>
      <c r="FX78" s="195"/>
      <c r="FY78" s="195"/>
      <c r="FZ78" s="195"/>
      <c r="GA78" s="195"/>
      <c r="GB78" s="195"/>
      <c r="GC78" s="195"/>
      <c r="GD78" s="57" t="str">
        <f>"II/"&amp;GD$6</f>
        <v>II/2020</v>
      </c>
      <c r="GE78" s="196"/>
      <c r="GF78" s="198"/>
      <c r="GG78" s="199" t="s">
        <v>29</v>
      </c>
      <c r="GH78" s="199" t="str">
        <f t="shared" si="1077"/>
        <v>: Pertambangan Bijih Logam</v>
      </c>
      <c r="GI78" s="199"/>
      <c r="GJ78" s="199"/>
      <c r="GK78" s="199"/>
      <c r="GL78" s="201" t="s">
        <v>61</v>
      </c>
      <c r="GM78" s="199"/>
      <c r="GN78" s="200"/>
      <c r="GO78" s="195"/>
      <c r="GP78" s="195"/>
      <c r="GQ78" s="195"/>
      <c r="GR78" s="195"/>
      <c r="GS78" s="195"/>
      <c r="GT78" s="195"/>
      <c r="GU78" s="57" t="str">
        <f>"II/"&amp;GU$6</f>
        <v>II/2021</v>
      </c>
      <c r="GV78" s="196"/>
      <c r="GW78" s="198"/>
      <c r="GX78" s="199" t="s">
        <v>29</v>
      </c>
      <c r="GY78" s="199" t="str">
        <f t="shared" si="1078"/>
        <v>: Pertambangan Bijih Logam</v>
      </c>
      <c r="GZ78" s="199"/>
      <c r="HA78" s="199"/>
      <c r="HB78" s="199"/>
      <c r="HC78" s="201" t="s">
        <v>61</v>
      </c>
      <c r="HD78" s="199"/>
      <c r="HE78" s="200"/>
      <c r="HF78" s="195"/>
      <c r="HG78" s="195"/>
      <c r="HH78" s="195"/>
      <c r="HI78" s="195"/>
      <c r="HJ78" s="195"/>
      <c r="HK78" s="195"/>
      <c r="HL78" s="57" t="str">
        <f>"II/"&amp;HL$6</f>
        <v>II/2022</v>
      </c>
      <c r="HM78" s="196"/>
      <c r="HN78" s="198"/>
      <c r="HO78" s="199" t="s">
        <v>29</v>
      </c>
      <c r="HP78" s="199" t="str">
        <f t="shared" si="1079"/>
        <v>: Pertambangan Bijih Logam</v>
      </c>
      <c r="HQ78" s="199"/>
      <c r="HR78" s="199"/>
      <c r="HS78" s="199"/>
      <c r="HT78" s="201" t="s">
        <v>61</v>
      </c>
      <c r="HU78" s="199"/>
      <c r="HV78" s="200"/>
      <c r="HW78" s="195"/>
      <c r="HX78" s="195"/>
      <c r="HY78" s="195"/>
      <c r="HZ78" s="195"/>
      <c r="IA78" s="195"/>
      <c r="IB78" s="195"/>
      <c r="IC78" s="57" t="str">
        <f>"II/"&amp;IC$6</f>
        <v>II/2023</v>
      </c>
      <c r="ID78" s="196"/>
      <c r="IE78" s="198"/>
      <c r="IF78" s="199" t="s">
        <v>29</v>
      </c>
      <c r="IG78" s="199" t="str">
        <f t="shared" si="1080"/>
        <v>: Pertambangan Bijih Logam</v>
      </c>
      <c r="IH78" s="199"/>
      <c r="II78" s="199"/>
      <c r="IJ78" s="199"/>
      <c r="IK78" s="201" t="s">
        <v>61</v>
      </c>
      <c r="IL78" s="199"/>
      <c r="IM78" s="200"/>
      <c r="IN78" s="195"/>
      <c r="IO78" s="195"/>
      <c r="IP78" s="195"/>
      <c r="IQ78" s="195"/>
      <c r="IR78" s="195"/>
      <c r="IS78" s="195"/>
      <c r="IT78" s="57" t="str">
        <f>"II/"&amp;IT$6</f>
        <v>II/2024</v>
      </c>
      <c r="IU78" s="196"/>
      <c r="IV78" s="198"/>
      <c r="IW78" s="199" t="s">
        <v>29</v>
      </c>
      <c r="IX78" s="199" t="str">
        <f t="shared" si="1081"/>
        <v>: Pertambangan Bijih Logam</v>
      </c>
      <c r="IY78" s="199"/>
      <c r="IZ78" s="199"/>
      <c r="JA78" s="199"/>
      <c r="JB78" s="201" t="s">
        <v>61</v>
      </c>
      <c r="JC78" s="199"/>
      <c r="JD78" s="200"/>
      <c r="JE78" s="195"/>
      <c r="JF78" s="195"/>
      <c r="JG78" s="195"/>
      <c r="JH78" s="195"/>
      <c r="JI78" s="195"/>
      <c r="JJ78" s="195"/>
      <c r="JK78" s="57" t="str">
        <f>"II/"&amp;JK$6</f>
        <v>II/2025</v>
      </c>
      <c r="JL78" s="197"/>
      <c r="JM78" s="198"/>
      <c r="JN78" s="199" t="s">
        <v>29</v>
      </c>
      <c r="JO78" s="199" t="str">
        <f t="shared" si="1082"/>
        <v>: Pertambangan Bijih Logam</v>
      </c>
      <c r="JP78" s="199"/>
      <c r="JQ78" s="199"/>
      <c r="JR78" s="199"/>
      <c r="JS78" s="201" t="s">
        <v>61</v>
      </c>
      <c r="JT78" s="199"/>
      <c r="JU78" s="200"/>
      <c r="JV78" s="195"/>
      <c r="JW78" s="195"/>
      <c r="JX78" s="195"/>
      <c r="JY78" s="195"/>
      <c r="JZ78" s="195"/>
      <c r="KA78" s="195"/>
      <c r="KB78" s="57" t="str">
        <f>"II/"&amp;KB$6</f>
        <v>II/2026</v>
      </c>
      <c r="KC78" s="197"/>
      <c r="KD78" s="198"/>
      <c r="KE78" s="199" t="s">
        <v>29</v>
      </c>
      <c r="KF78" s="199" t="str">
        <f t="shared" si="1083"/>
        <v>: Pertambangan Bijih Logam</v>
      </c>
      <c r="KG78" s="199"/>
      <c r="KH78" s="199"/>
      <c r="KI78" s="199"/>
      <c r="KJ78" s="201" t="s">
        <v>61</v>
      </c>
      <c r="KK78" s="199"/>
      <c r="KL78" s="200"/>
      <c r="KM78" s="195"/>
      <c r="KN78" s="195"/>
      <c r="KO78" s="195"/>
      <c r="KP78" s="195"/>
      <c r="KQ78" s="195"/>
      <c r="KR78" s="195"/>
      <c r="KS78" s="57" t="str">
        <f>"II/"&amp;KS$6</f>
        <v>II/2027</v>
      </c>
      <c r="KT78" s="197"/>
      <c r="KU78" s="195"/>
    </row>
    <row r="79" ht="15.0" customHeight="1">
      <c r="A79" s="198"/>
      <c r="B79" s="199" t="s">
        <v>31</v>
      </c>
      <c r="C79" s="199" t="str">
        <f t="shared" si="1066"/>
        <v>: Pertambangan Bijih Logam</v>
      </c>
      <c r="D79" s="199"/>
      <c r="E79" s="199"/>
      <c r="F79" s="199"/>
      <c r="G79" s="202" t="s">
        <v>57</v>
      </c>
      <c r="H79" s="199"/>
      <c r="I79" s="200"/>
      <c r="J79" s="195"/>
      <c r="K79" s="195"/>
      <c r="L79" s="195"/>
      <c r="M79" s="195"/>
      <c r="N79" s="195"/>
      <c r="O79" s="195"/>
      <c r="P79" s="55"/>
      <c r="Q79" s="196"/>
      <c r="R79" s="198"/>
      <c r="S79" s="199" t="s">
        <v>31</v>
      </c>
      <c r="T79" s="199" t="str">
        <f t="shared" si="1067"/>
        <v>: Pertambangan Bijih Logam</v>
      </c>
      <c r="U79" s="199"/>
      <c r="V79" s="199"/>
      <c r="W79" s="199"/>
      <c r="X79" s="202" t="s">
        <v>57</v>
      </c>
      <c r="Y79" s="199"/>
      <c r="Z79" s="200"/>
      <c r="AA79" s="195"/>
      <c r="AB79" s="195"/>
      <c r="AC79" s="195"/>
      <c r="AD79" s="195"/>
      <c r="AE79" s="195"/>
      <c r="AF79" s="195"/>
      <c r="AG79" s="55"/>
      <c r="AH79" s="196"/>
      <c r="AI79" s="198"/>
      <c r="AJ79" s="199" t="s">
        <v>31</v>
      </c>
      <c r="AK79" s="199" t="str">
        <f t="shared" si="1068"/>
        <v>: Pertambangan Bijih Logam</v>
      </c>
      <c r="AL79" s="199"/>
      <c r="AM79" s="199"/>
      <c r="AN79" s="199"/>
      <c r="AO79" s="202" t="s">
        <v>57</v>
      </c>
      <c r="AP79" s="199"/>
      <c r="AQ79" s="200"/>
      <c r="AR79" s="195"/>
      <c r="AS79" s="195"/>
      <c r="AT79" s="195"/>
      <c r="AU79" s="195"/>
      <c r="AV79" s="195"/>
      <c r="AW79" s="195"/>
      <c r="AX79" s="55"/>
      <c r="AY79" s="196"/>
      <c r="AZ79" s="198"/>
      <c r="BA79" s="199" t="s">
        <v>31</v>
      </c>
      <c r="BB79" s="199" t="str">
        <f t="shared" si="1069"/>
        <v>: Pertambangan Bijih Logam</v>
      </c>
      <c r="BC79" s="199"/>
      <c r="BD79" s="199"/>
      <c r="BE79" s="199"/>
      <c r="BF79" s="202" t="s">
        <v>57</v>
      </c>
      <c r="BG79" s="199"/>
      <c r="BH79" s="200"/>
      <c r="BI79" s="195"/>
      <c r="BJ79" s="195"/>
      <c r="BK79" s="195"/>
      <c r="BL79" s="195"/>
      <c r="BM79" s="195"/>
      <c r="BN79" s="195"/>
      <c r="BO79" s="55"/>
      <c r="BP79" s="196"/>
      <c r="BQ79" s="198"/>
      <c r="BR79" s="199" t="s">
        <v>31</v>
      </c>
      <c r="BS79" s="199" t="str">
        <f t="shared" si="1070"/>
        <v>: Pertambangan Bijih Logam</v>
      </c>
      <c r="BT79" s="199"/>
      <c r="BU79" s="199"/>
      <c r="BV79" s="199"/>
      <c r="BW79" s="202" t="s">
        <v>57</v>
      </c>
      <c r="BX79" s="199"/>
      <c r="BY79" s="200"/>
      <c r="BZ79" s="195"/>
      <c r="CA79" s="195"/>
      <c r="CB79" s="195"/>
      <c r="CC79" s="195"/>
      <c r="CD79" s="195"/>
      <c r="CE79" s="195"/>
      <c r="CF79" s="55"/>
      <c r="CG79" s="196"/>
      <c r="CH79" s="198"/>
      <c r="CI79" s="199" t="s">
        <v>31</v>
      </c>
      <c r="CJ79" s="199" t="str">
        <f t="shared" si="1071"/>
        <v>: Pertambangan Bijih Logam</v>
      </c>
      <c r="CK79" s="199"/>
      <c r="CL79" s="199"/>
      <c r="CM79" s="199"/>
      <c r="CN79" s="202" t="s">
        <v>57</v>
      </c>
      <c r="CO79" s="199"/>
      <c r="CP79" s="200"/>
      <c r="CQ79" s="195"/>
      <c r="CR79" s="195"/>
      <c r="CS79" s="195"/>
      <c r="CT79" s="195"/>
      <c r="CU79" s="195"/>
      <c r="CV79" s="195"/>
      <c r="CW79" s="55"/>
      <c r="CX79" s="196"/>
      <c r="CY79" s="198"/>
      <c r="CZ79" s="199" t="s">
        <v>31</v>
      </c>
      <c r="DA79" s="199" t="str">
        <f t="shared" si="1072"/>
        <v>: Pertambangan Bijih Logam</v>
      </c>
      <c r="DB79" s="199"/>
      <c r="DC79" s="199"/>
      <c r="DD79" s="199"/>
      <c r="DE79" s="202" t="s">
        <v>57</v>
      </c>
      <c r="DF79" s="199"/>
      <c r="DG79" s="200"/>
      <c r="DH79" s="195"/>
      <c r="DI79" s="195"/>
      <c r="DJ79" s="195"/>
      <c r="DK79" s="195"/>
      <c r="DL79" s="195"/>
      <c r="DM79" s="195"/>
      <c r="DN79" s="55"/>
      <c r="DO79" s="196"/>
      <c r="DP79" s="198"/>
      <c r="DQ79" s="199" t="s">
        <v>31</v>
      </c>
      <c r="DR79" s="199" t="str">
        <f t="shared" si="1073"/>
        <v>: Pertambangan Bijih Logam</v>
      </c>
      <c r="DS79" s="199"/>
      <c r="DT79" s="199"/>
      <c r="DU79" s="199"/>
      <c r="DV79" s="202" t="s">
        <v>57</v>
      </c>
      <c r="DW79" s="199"/>
      <c r="DX79" s="200"/>
      <c r="DY79" s="195"/>
      <c r="DZ79" s="195"/>
      <c r="EA79" s="195"/>
      <c r="EB79" s="195"/>
      <c r="EC79" s="195"/>
      <c r="ED79" s="195"/>
      <c r="EE79" s="55"/>
      <c r="EF79" s="196"/>
      <c r="EG79" s="198"/>
      <c r="EH79" s="199" t="s">
        <v>31</v>
      </c>
      <c r="EI79" s="199" t="str">
        <f t="shared" si="1074"/>
        <v>: Pertambangan Bijih Logam</v>
      </c>
      <c r="EJ79" s="199"/>
      <c r="EK79" s="199"/>
      <c r="EL79" s="199"/>
      <c r="EM79" s="202" t="s">
        <v>57</v>
      </c>
      <c r="EN79" s="199"/>
      <c r="EO79" s="200"/>
      <c r="EP79" s="195"/>
      <c r="EQ79" s="195"/>
      <c r="ER79" s="195"/>
      <c r="ES79" s="195"/>
      <c r="ET79" s="195"/>
      <c r="EU79" s="195"/>
      <c r="EV79" s="55"/>
      <c r="EW79" s="196"/>
      <c r="EX79" s="198"/>
      <c r="EY79" s="199" t="s">
        <v>31</v>
      </c>
      <c r="EZ79" s="199" t="str">
        <f t="shared" si="1075"/>
        <v>: Pertambangan Bijih Logam</v>
      </c>
      <c r="FA79" s="199"/>
      <c r="FB79" s="199"/>
      <c r="FC79" s="199"/>
      <c r="FD79" s="202" t="s">
        <v>57</v>
      </c>
      <c r="FE79" s="199"/>
      <c r="FF79" s="200"/>
      <c r="FG79" s="195"/>
      <c r="FH79" s="195"/>
      <c r="FI79" s="195"/>
      <c r="FJ79" s="195"/>
      <c r="FK79" s="195"/>
      <c r="FL79" s="195"/>
      <c r="FM79" s="55"/>
      <c r="FN79" s="196"/>
      <c r="FO79" s="198"/>
      <c r="FP79" s="199" t="s">
        <v>31</v>
      </c>
      <c r="FQ79" s="199" t="str">
        <f t="shared" si="1076"/>
        <v>: Pertambangan Bijih Logam</v>
      </c>
      <c r="FR79" s="199"/>
      <c r="FS79" s="199"/>
      <c r="FT79" s="199"/>
      <c r="FU79" s="202" t="s">
        <v>57</v>
      </c>
      <c r="FV79" s="199"/>
      <c r="FW79" s="200"/>
      <c r="FX79" s="195"/>
      <c r="FY79" s="195"/>
      <c r="FZ79" s="195"/>
      <c r="GA79" s="195"/>
      <c r="GB79" s="195"/>
      <c r="GC79" s="195"/>
      <c r="GD79" s="55"/>
      <c r="GE79" s="196"/>
      <c r="GF79" s="198"/>
      <c r="GG79" s="199" t="s">
        <v>31</v>
      </c>
      <c r="GH79" s="199" t="str">
        <f t="shared" si="1077"/>
        <v>: Pertambangan Bijih Logam</v>
      </c>
      <c r="GI79" s="199"/>
      <c r="GJ79" s="199"/>
      <c r="GK79" s="199"/>
      <c r="GL79" s="202" t="s">
        <v>57</v>
      </c>
      <c r="GM79" s="199"/>
      <c r="GN79" s="200"/>
      <c r="GO79" s="195"/>
      <c r="GP79" s="195"/>
      <c r="GQ79" s="195"/>
      <c r="GR79" s="195"/>
      <c r="GS79" s="195"/>
      <c r="GT79" s="195"/>
      <c r="GU79" s="55"/>
      <c r="GV79" s="196"/>
      <c r="GW79" s="198"/>
      <c r="GX79" s="199" t="s">
        <v>31</v>
      </c>
      <c r="GY79" s="199" t="str">
        <f t="shared" si="1078"/>
        <v>: Pertambangan Bijih Logam</v>
      </c>
      <c r="GZ79" s="199"/>
      <c r="HA79" s="199"/>
      <c r="HB79" s="199"/>
      <c r="HC79" s="202" t="s">
        <v>57</v>
      </c>
      <c r="HD79" s="199"/>
      <c r="HE79" s="200"/>
      <c r="HF79" s="195"/>
      <c r="HG79" s="195"/>
      <c r="HH79" s="195"/>
      <c r="HI79" s="195"/>
      <c r="HJ79" s="195"/>
      <c r="HK79" s="195"/>
      <c r="HL79" s="55"/>
      <c r="HM79" s="196"/>
      <c r="HN79" s="198"/>
      <c r="HO79" s="199" t="s">
        <v>31</v>
      </c>
      <c r="HP79" s="199" t="str">
        <f t="shared" si="1079"/>
        <v>: Pertambangan Bijih Logam</v>
      </c>
      <c r="HQ79" s="199"/>
      <c r="HR79" s="199"/>
      <c r="HS79" s="199"/>
      <c r="HT79" s="202" t="s">
        <v>57</v>
      </c>
      <c r="HU79" s="199"/>
      <c r="HV79" s="200"/>
      <c r="HW79" s="195"/>
      <c r="HX79" s="195"/>
      <c r="HY79" s="195"/>
      <c r="HZ79" s="195"/>
      <c r="IA79" s="195"/>
      <c r="IB79" s="195"/>
      <c r="IC79" s="55"/>
      <c r="ID79" s="196"/>
      <c r="IE79" s="198"/>
      <c r="IF79" s="199" t="s">
        <v>31</v>
      </c>
      <c r="IG79" s="199" t="str">
        <f t="shared" si="1080"/>
        <v>: Pertambangan Bijih Logam</v>
      </c>
      <c r="IH79" s="199"/>
      <c r="II79" s="199"/>
      <c r="IJ79" s="199"/>
      <c r="IK79" s="202" t="s">
        <v>57</v>
      </c>
      <c r="IL79" s="199"/>
      <c r="IM79" s="200"/>
      <c r="IN79" s="195"/>
      <c r="IO79" s="195"/>
      <c r="IP79" s="195"/>
      <c r="IQ79" s="195"/>
      <c r="IR79" s="195"/>
      <c r="IS79" s="195"/>
      <c r="IT79" s="55"/>
      <c r="IU79" s="196"/>
      <c r="IV79" s="198"/>
      <c r="IW79" s="199" t="s">
        <v>31</v>
      </c>
      <c r="IX79" s="199" t="str">
        <f t="shared" si="1081"/>
        <v>: Pertambangan Bijih Logam</v>
      </c>
      <c r="IY79" s="199"/>
      <c r="IZ79" s="199"/>
      <c r="JA79" s="199"/>
      <c r="JB79" s="202" t="s">
        <v>57</v>
      </c>
      <c r="JC79" s="199"/>
      <c r="JD79" s="200"/>
      <c r="JE79" s="195"/>
      <c r="JF79" s="195"/>
      <c r="JG79" s="195"/>
      <c r="JH79" s="195"/>
      <c r="JI79" s="195"/>
      <c r="JJ79" s="195"/>
      <c r="JK79" s="55"/>
      <c r="JL79" s="197"/>
      <c r="JM79" s="198"/>
      <c r="JN79" s="199" t="s">
        <v>31</v>
      </c>
      <c r="JO79" s="199" t="str">
        <f t="shared" si="1082"/>
        <v>: Pertambangan Bijih Logam</v>
      </c>
      <c r="JP79" s="199"/>
      <c r="JQ79" s="199"/>
      <c r="JR79" s="199"/>
      <c r="JS79" s="202" t="s">
        <v>57</v>
      </c>
      <c r="JT79" s="199"/>
      <c r="JU79" s="200"/>
      <c r="JV79" s="195"/>
      <c r="JW79" s="195"/>
      <c r="JX79" s="195"/>
      <c r="JY79" s="195"/>
      <c r="JZ79" s="195"/>
      <c r="KA79" s="195"/>
      <c r="KB79" s="55"/>
      <c r="KC79" s="197"/>
      <c r="KD79" s="198"/>
      <c r="KE79" s="199" t="s">
        <v>31</v>
      </c>
      <c r="KF79" s="199" t="str">
        <f t="shared" si="1083"/>
        <v>: Pertambangan Bijih Logam</v>
      </c>
      <c r="KG79" s="199"/>
      <c r="KH79" s="199"/>
      <c r="KI79" s="199"/>
      <c r="KJ79" s="202" t="s">
        <v>57</v>
      </c>
      <c r="KK79" s="199"/>
      <c r="KL79" s="200"/>
      <c r="KM79" s="195"/>
      <c r="KN79" s="195"/>
      <c r="KO79" s="195"/>
      <c r="KP79" s="195"/>
      <c r="KQ79" s="195"/>
      <c r="KR79" s="195"/>
      <c r="KS79" s="55"/>
      <c r="KT79" s="197"/>
      <c r="KU79" s="195"/>
    </row>
    <row r="80" ht="15.75" customHeight="1">
      <c r="A80" s="203"/>
      <c r="B80" s="204" t="s">
        <v>32</v>
      </c>
      <c r="C80" s="204" t="str">
        <f t="shared" si="1066"/>
        <v>: Revaluasi </v>
      </c>
      <c r="D80" s="204"/>
      <c r="E80" s="204"/>
      <c r="F80" s="204"/>
      <c r="G80" s="204" t="str">
        <f>"Tahun "&amp;P$6</f>
        <v>Tahun 2010</v>
      </c>
      <c r="H80" s="204"/>
      <c r="I80" s="205"/>
      <c r="J80" s="195"/>
      <c r="K80" s="195"/>
      <c r="L80" s="195"/>
      <c r="M80" s="195"/>
      <c r="N80" s="195"/>
      <c r="O80" s="195"/>
      <c r="P80" s="195"/>
      <c r="Q80" s="196"/>
      <c r="R80" s="203"/>
      <c r="S80" s="204" t="s">
        <v>32</v>
      </c>
      <c r="T80" s="204" t="s">
        <v>33</v>
      </c>
      <c r="U80" s="204"/>
      <c r="V80" s="204"/>
      <c r="W80" s="204"/>
      <c r="X80" s="204" t="str">
        <f>"Tahun "&amp;AG$6</f>
        <v>Tahun 2011</v>
      </c>
      <c r="Y80" s="204"/>
      <c r="Z80" s="205"/>
      <c r="AA80" s="195"/>
      <c r="AB80" s="195"/>
      <c r="AC80" s="195"/>
      <c r="AD80" s="195"/>
      <c r="AE80" s="195"/>
      <c r="AF80" s="195"/>
      <c r="AG80" s="195"/>
      <c r="AH80" s="196"/>
      <c r="AI80" s="203"/>
      <c r="AJ80" s="204" t="s">
        <v>32</v>
      </c>
      <c r="AK80" s="204" t="s">
        <v>33</v>
      </c>
      <c r="AL80" s="204"/>
      <c r="AM80" s="204"/>
      <c r="AN80" s="204"/>
      <c r="AO80" s="204" t="str">
        <f>"Tahun "&amp;AX$6</f>
        <v>Tahun 2012</v>
      </c>
      <c r="AP80" s="204"/>
      <c r="AQ80" s="205"/>
      <c r="AR80" s="195"/>
      <c r="AS80" s="195"/>
      <c r="AT80" s="195"/>
      <c r="AU80" s="195"/>
      <c r="AV80" s="195"/>
      <c r="AW80" s="195"/>
      <c r="AX80" s="195"/>
      <c r="AY80" s="196"/>
      <c r="AZ80" s="203"/>
      <c r="BA80" s="204" t="s">
        <v>32</v>
      </c>
      <c r="BB80" s="204" t="s">
        <v>33</v>
      </c>
      <c r="BC80" s="204"/>
      <c r="BD80" s="204"/>
      <c r="BE80" s="204"/>
      <c r="BF80" s="204" t="str">
        <f>"Tahun "&amp;BO$6</f>
        <v>Tahun 2013</v>
      </c>
      <c r="BG80" s="204"/>
      <c r="BH80" s="205"/>
      <c r="BI80" s="195"/>
      <c r="BJ80" s="195"/>
      <c r="BK80" s="195"/>
      <c r="BL80" s="195"/>
      <c r="BM80" s="195"/>
      <c r="BN80" s="195"/>
      <c r="BO80" s="195"/>
      <c r="BP80" s="196"/>
      <c r="BQ80" s="203"/>
      <c r="BR80" s="204" t="s">
        <v>32</v>
      </c>
      <c r="BS80" s="204" t="s">
        <v>33</v>
      </c>
      <c r="BT80" s="204"/>
      <c r="BU80" s="204"/>
      <c r="BV80" s="204"/>
      <c r="BW80" s="204" t="str">
        <f>"Tahun "&amp;CF$6</f>
        <v>Tahun 2014</v>
      </c>
      <c r="BX80" s="204"/>
      <c r="BY80" s="205"/>
      <c r="BZ80" s="195"/>
      <c r="CA80" s="195"/>
      <c r="CB80" s="195"/>
      <c r="CC80" s="195"/>
      <c r="CD80" s="195"/>
      <c r="CE80" s="195"/>
      <c r="CF80" s="195"/>
      <c r="CG80" s="196"/>
      <c r="CH80" s="203"/>
      <c r="CI80" s="204" t="s">
        <v>32</v>
      </c>
      <c r="CJ80" s="204" t="s">
        <v>33</v>
      </c>
      <c r="CK80" s="204"/>
      <c r="CL80" s="204"/>
      <c r="CM80" s="204"/>
      <c r="CN80" s="204" t="str">
        <f>"Tahun "&amp;CW$6</f>
        <v>Tahun 2015</v>
      </c>
      <c r="CO80" s="204"/>
      <c r="CP80" s="205"/>
      <c r="CQ80" s="195"/>
      <c r="CR80" s="195"/>
      <c r="CS80" s="195"/>
      <c r="CT80" s="195"/>
      <c r="CU80" s="195"/>
      <c r="CV80" s="195"/>
      <c r="CW80" s="195"/>
      <c r="CX80" s="196"/>
      <c r="CY80" s="203"/>
      <c r="CZ80" s="204" t="s">
        <v>32</v>
      </c>
      <c r="DA80" s="204" t="s">
        <v>33</v>
      </c>
      <c r="DB80" s="204"/>
      <c r="DC80" s="204"/>
      <c r="DD80" s="204"/>
      <c r="DE80" s="204" t="str">
        <f>"Tahun "&amp;DN$6</f>
        <v>Tahun 2016</v>
      </c>
      <c r="DF80" s="204"/>
      <c r="DG80" s="205"/>
      <c r="DH80" s="195"/>
      <c r="DI80" s="195"/>
      <c r="DJ80" s="195"/>
      <c r="DK80" s="195"/>
      <c r="DL80" s="195"/>
      <c r="DM80" s="195"/>
      <c r="DN80" s="195"/>
      <c r="DO80" s="196"/>
      <c r="DP80" s="203"/>
      <c r="DQ80" s="204" t="s">
        <v>32</v>
      </c>
      <c r="DR80" s="204" t="s">
        <v>33</v>
      </c>
      <c r="DS80" s="204"/>
      <c r="DT80" s="204"/>
      <c r="DU80" s="204"/>
      <c r="DV80" s="204" t="str">
        <f>"Tahun "&amp;EE$6</f>
        <v>Tahun 2017</v>
      </c>
      <c r="DW80" s="204"/>
      <c r="DX80" s="205"/>
      <c r="DY80" s="195"/>
      <c r="DZ80" s="195"/>
      <c r="EA80" s="195"/>
      <c r="EB80" s="195"/>
      <c r="EC80" s="195"/>
      <c r="ED80" s="195"/>
      <c r="EE80" s="195"/>
      <c r="EF80" s="196"/>
      <c r="EG80" s="203"/>
      <c r="EH80" s="204" t="s">
        <v>32</v>
      </c>
      <c r="EI80" s="204" t="s">
        <v>33</v>
      </c>
      <c r="EJ80" s="204"/>
      <c r="EK80" s="204"/>
      <c r="EL80" s="204"/>
      <c r="EM80" s="204" t="str">
        <f>"Tahun "&amp;EV$6</f>
        <v>Tahun 2018</v>
      </c>
      <c r="EN80" s="204"/>
      <c r="EO80" s="205"/>
      <c r="EP80" s="195"/>
      <c r="EQ80" s="195"/>
      <c r="ER80" s="195"/>
      <c r="ES80" s="195"/>
      <c r="ET80" s="195"/>
      <c r="EU80" s="195"/>
      <c r="EV80" s="195"/>
      <c r="EW80" s="196"/>
      <c r="EX80" s="203"/>
      <c r="EY80" s="204" t="s">
        <v>32</v>
      </c>
      <c r="EZ80" s="204" t="s">
        <v>33</v>
      </c>
      <c r="FA80" s="204"/>
      <c r="FB80" s="204"/>
      <c r="FC80" s="204"/>
      <c r="FD80" s="204" t="str">
        <f>"Tahun "&amp;FM$6</f>
        <v>Tahun 2019</v>
      </c>
      <c r="FE80" s="204"/>
      <c r="FF80" s="205"/>
      <c r="FG80" s="195"/>
      <c r="FH80" s="195"/>
      <c r="FI80" s="195"/>
      <c r="FJ80" s="195"/>
      <c r="FK80" s="195"/>
      <c r="FL80" s="195"/>
      <c r="FM80" s="195"/>
      <c r="FN80" s="196"/>
      <c r="FO80" s="203"/>
      <c r="FP80" s="204" t="s">
        <v>32</v>
      </c>
      <c r="FQ80" s="204" t="s">
        <v>33</v>
      </c>
      <c r="FR80" s="204"/>
      <c r="FS80" s="204"/>
      <c r="FT80" s="204"/>
      <c r="FU80" s="204" t="str">
        <f>"Tahun "&amp;GD$6</f>
        <v>Tahun 2020</v>
      </c>
      <c r="FV80" s="204"/>
      <c r="FW80" s="205"/>
      <c r="FX80" s="195"/>
      <c r="FY80" s="195"/>
      <c r="FZ80" s="195"/>
      <c r="GA80" s="195"/>
      <c r="GB80" s="195"/>
      <c r="GC80" s="195"/>
      <c r="GD80" s="195"/>
      <c r="GE80" s="196"/>
      <c r="GF80" s="203"/>
      <c r="GG80" s="204" t="s">
        <v>32</v>
      </c>
      <c r="GH80" s="204" t="s">
        <v>33</v>
      </c>
      <c r="GI80" s="204"/>
      <c r="GJ80" s="204"/>
      <c r="GK80" s="204"/>
      <c r="GL80" s="204" t="str">
        <f>"Tahun "&amp;GU$6</f>
        <v>Tahun 2021</v>
      </c>
      <c r="GM80" s="204"/>
      <c r="GN80" s="205"/>
      <c r="GO80" s="195"/>
      <c r="GP80" s="195"/>
      <c r="GQ80" s="195"/>
      <c r="GR80" s="195"/>
      <c r="GS80" s="195"/>
      <c r="GT80" s="195"/>
      <c r="GU80" s="195"/>
      <c r="GV80" s="196"/>
      <c r="GW80" s="203"/>
      <c r="GX80" s="204" t="s">
        <v>32</v>
      </c>
      <c r="GY80" s="204" t="s">
        <v>33</v>
      </c>
      <c r="GZ80" s="204"/>
      <c r="HA80" s="204"/>
      <c r="HB80" s="204"/>
      <c r="HC80" s="204" t="str">
        <f>"Tahun "&amp;HL$6</f>
        <v>Tahun 2022</v>
      </c>
      <c r="HD80" s="204"/>
      <c r="HE80" s="205"/>
      <c r="HF80" s="195"/>
      <c r="HG80" s="195"/>
      <c r="HH80" s="195"/>
      <c r="HI80" s="195"/>
      <c r="HJ80" s="195"/>
      <c r="HK80" s="195"/>
      <c r="HL80" s="195"/>
      <c r="HM80" s="196"/>
      <c r="HN80" s="203"/>
      <c r="HO80" s="204" t="s">
        <v>32</v>
      </c>
      <c r="HP80" s="204" t="s">
        <v>33</v>
      </c>
      <c r="HQ80" s="204"/>
      <c r="HR80" s="204"/>
      <c r="HS80" s="204"/>
      <c r="HT80" s="204" t="str">
        <f>"Tahun "&amp;IC$6</f>
        <v>Tahun 2023</v>
      </c>
      <c r="HU80" s="204"/>
      <c r="HV80" s="205"/>
      <c r="HW80" s="195"/>
      <c r="HX80" s="195"/>
      <c r="HY80" s="195"/>
      <c r="HZ80" s="195"/>
      <c r="IA80" s="195"/>
      <c r="IB80" s="195"/>
      <c r="IC80" s="195"/>
      <c r="ID80" s="196"/>
      <c r="IE80" s="203"/>
      <c r="IF80" s="204" t="s">
        <v>32</v>
      </c>
      <c r="IG80" s="204" t="s">
        <v>33</v>
      </c>
      <c r="IH80" s="204"/>
      <c r="II80" s="204"/>
      <c r="IJ80" s="204"/>
      <c r="IK80" s="204" t="str">
        <f>"Tahun "&amp;IT$6</f>
        <v>Tahun 2024</v>
      </c>
      <c r="IL80" s="204"/>
      <c r="IM80" s="205"/>
      <c r="IN80" s="195"/>
      <c r="IO80" s="195"/>
      <c r="IP80" s="195"/>
      <c r="IQ80" s="195"/>
      <c r="IR80" s="195"/>
      <c r="IS80" s="195"/>
      <c r="IT80" s="195"/>
      <c r="IU80" s="196"/>
      <c r="IV80" s="203"/>
      <c r="IW80" s="204" t="s">
        <v>32</v>
      </c>
      <c r="IX80" s="204" t="s">
        <v>33</v>
      </c>
      <c r="IY80" s="204"/>
      <c r="IZ80" s="204"/>
      <c r="JA80" s="204"/>
      <c r="JB80" s="204" t="str">
        <f>"Tahun "&amp;JK$6</f>
        <v>Tahun 2025</v>
      </c>
      <c r="JC80" s="204"/>
      <c r="JD80" s="205"/>
      <c r="JE80" s="195"/>
      <c r="JF80" s="195"/>
      <c r="JG80" s="195"/>
      <c r="JH80" s="195"/>
      <c r="JI80" s="195"/>
      <c r="JJ80" s="195"/>
      <c r="JK80" s="195"/>
      <c r="JL80" s="196"/>
      <c r="JM80" s="203"/>
      <c r="JN80" s="204" t="s">
        <v>32</v>
      </c>
      <c r="JO80" s="204" t="s">
        <v>33</v>
      </c>
      <c r="JP80" s="204"/>
      <c r="JQ80" s="204"/>
      <c r="JR80" s="204"/>
      <c r="JS80" s="204" t="str">
        <f>"Tahun "&amp;KB$6</f>
        <v>Tahun 2026</v>
      </c>
      <c r="JT80" s="204"/>
      <c r="JU80" s="205"/>
      <c r="JV80" s="195"/>
      <c r="JW80" s="195"/>
      <c r="JX80" s="195"/>
      <c r="JY80" s="195"/>
      <c r="JZ80" s="195"/>
      <c r="KA80" s="195"/>
      <c r="KB80" s="195"/>
      <c r="KC80" s="196"/>
      <c r="KD80" s="203"/>
      <c r="KE80" s="204" t="s">
        <v>32</v>
      </c>
      <c r="KF80" s="204" t="s">
        <v>33</v>
      </c>
      <c r="KG80" s="204"/>
      <c r="KH80" s="204"/>
      <c r="KI80" s="204"/>
      <c r="KJ80" s="204" t="str">
        <f>"Tahun "&amp;KS$6</f>
        <v>Tahun 2027</v>
      </c>
      <c r="KK80" s="204"/>
      <c r="KL80" s="205"/>
      <c r="KM80" s="195"/>
      <c r="KN80" s="195"/>
      <c r="KO80" s="195"/>
      <c r="KP80" s="195"/>
      <c r="KQ80" s="195"/>
      <c r="KR80" s="195"/>
      <c r="KS80" s="195"/>
      <c r="KT80" s="196"/>
      <c r="KU80" s="195"/>
    </row>
    <row r="81" ht="15.75" customHeight="1">
      <c r="A81" s="206"/>
      <c r="B81" s="207"/>
      <c r="C81" s="207"/>
      <c r="D81" s="207"/>
      <c r="E81" s="207"/>
      <c r="F81" s="207"/>
      <c r="G81" s="207"/>
      <c r="H81" s="207"/>
      <c r="I81" s="207"/>
      <c r="J81" s="207"/>
      <c r="K81" s="207"/>
      <c r="L81" s="207"/>
      <c r="M81" s="207"/>
      <c r="N81" s="207"/>
      <c r="O81" s="207"/>
      <c r="P81" s="207"/>
      <c r="Q81" s="208"/>
      <c r="R81" s="206"/>
      <c r="S81" s="207"/>
      <c r="T81" s="207"/>
      <c r="U81" s="207"/>
      <c r="V81" s="207"/>
      <c r="W81" s="207"/>
      <c r="X81" s="207"/>
      <c r="Y81" s="207"/>
      <c r="Z81" s="207"/>
      <c r="AA81" s="207"/>
      <c r="AB81" s="207"/>
      <c r="AC81" s="207"/>
      <c r="AD81" s="207"/>
      <c r="AE81" s="207"/>
      <c r="AF81" s="207"/>
      <c r="AG81" s="207"/>
      <c r="AH81" s="208"/>
      <c r="AI81" s="206"/>
      <c r="AJ81" s="207"/>
      <c r="AK81" s="207"/>
      <c r="AL81" s="207"/>
      <c r="AM81" s="207"/>
      <c r="AN81" s="207"/>
      <c r="AO81" s="207"/>
      <c r="AP81" s="207"/>
      <c r="AQ81" s="207"/>
      <c r="AR81" s="207"/>
      <c r="AS81" s="207"/>
      <c r="AT81" s="207"/>
      <c r="AU81" s="207"/>
      <c r="AV81" s="207"/>
      <c r="AW81" s="207"/>
      <c r="AX81" s="207"/>
      <c r="AY81" s="208"/>
      <c r="AZ81" s="206"/>
      <c r="BA81" s="207"/>
      <c r="BB81" s="207"/>
      <c r="BC81" s="207"/>
      <c r="BD81" s="207"/>
      <c r="BE81" s="207"/>
      <c r="BF81" s="207"/>
      <c r="BG81" s="207"/>
      <c r="BH81" s="207"/>
      <c r="BI81" s="207"/>
      <c r="BJ81" s="207"/>
      <c r="BK81" s="207"/>
      <c r="BL81" s="207"/>
      <c r="BM81" s="207"/>
      <c r="BN81" s="207"/>
      <c r="BO81" s="207"/>
      <c r="BP81" s="208"/>
      <c r="BQ81" s="206"/>
      <c r="BR81" s="207"/>
      <c r="BS81" s="207"/>
      <c r="BT81" s="207"/>
      <c r="BU81" s="207"/>
      <c r="BV81" s="207"/>
      <c r="BW81" s="207"/>
      <c r="BX81" s="207"/>
      <c r="BY81" s="207"/>
      <c r="BZ81" s="207"/>
      <c r="CA81" s="207"/>
      <c r="CB81" s="207"/>
      <c r="CC81" s="207"/>
      <c r="CD81" s="207"/>
      <c r="CE81" s="207"/>
      <c r="CF81" s="207"/>
      <c r="CG81" s="208"/>
      <c r="CH81" s="206"/>
      <c r="CI81" s="207"/>
      <c r="CJ81" s="207"/>
      <c r="CK81" s="207"/>
      <c r="CL81" s="207"/>
      <c r="CM81" s="207"/>
      <c r="CN81" s="207"/>
      <c r="CO81" s="207"/>
      <c r="CP81" s="207"/>
      <c r="CQ81" s="207"/>
      <c r="CR81" s="207"/>
      <c r="CS81" s="207"/>
      <c r="CT81" s="207"/>
      <c r="CU81" s="207"/>
      <c r="CV81" s="207"/>
      <c r="CW81" s="207"/>
      <c r="CX81" s="208"/>
      <c r="CY81" s="206"/>
      <c r="CZ81" s="207"/>
      <c r="DA81" s="207"/>
      <c r="DB81" s="207"/>
      <c r="DC81" s="207"/>
      <c r="DD81" s="207"/>
      <c r="DE81" s="207"/>
      <c r="DF81" s="207"/>
      <c r="DG81" s="207"/>
      <c r="DH81" s="207"/>
      <c r="DI81" s="207"/>
      <c r="DJ81" s="207"/>
      <c r="DK81" s="207"/>
      <c r="DL81" s="207"/>
      <c r="DM81" s="207"/>
      <c r="DN81" s="207"/>
      <c r="DO81" s="208"/>
      <c r="DP81" s="206"/>
      <c r="DQ81" s="207"/>
      <c r="DR81" s="207"/>
      <c r="DS81" s="207"/>
      <c r="DT81" s="207"/>
      <c r="DU81" s="207"/>
      <c r="DV81" s="207"/>
      <c r="DW81" s="207"/>
      <c r="DX81" s="207"/>
      <c r="DY81" s="207"/>
      <c r="DZ81" s="207"/>
      <c r="EA81" s="207"/>
      <c r="EB81" s="207"/>
      <c r="EC81" s="207"/>
      <c r="ED81" s="207"/>
      <c r="EE81" s="207"/>
      <c r="EF81" s="208"/>
      <c r="EG81" s="206"/>
      <c r="EH81" s="207"/>
      <c r="EI81" s="207"/>
      <c r="EJ81" s="207"/>
      <c r="EK81" s="207"/>
      <c r="EL81" s="207"/>
      <c r="EM81" s="207"/>
      <c r="EN81" s="207"/>
      <c r="EO81" s="207"/>
      <c r="EP81" s="207"/>
      <c r="EQ81" s="207"/>
      <c r="ER81" s="207"/>
      <c r="ES81" s="207"/>
      <c r="ET81" s="207"/>
      <c r="EU81" s="207"/>
      <c r="EV81" s="207"/>
      <c r="EW81" s="208"/>
      <c r="EX81" s="206"/>
      <c r="EY81" s="207"/>
      <c r="EZ81" s="207"/>
      <c r="FA81" s="207"/>
      <c r="FB81" s="207"/>
      <c r="FC81" s="207"/>
      <c r="FD81" s="207"/>
      <c r="FE81" s="207"/>
      <c r="FF81" s="207"/>
      <c r="FG81" s="207"/>
      <c r="FH81" s="207"/>
      <c r="FI81" s="207"/>
      <c r="FJ81" s="207"/>
      <c r="FK81" s="207"/>
      <c r="FL81" s="207"/>
      <c r="FM81" s="207"/>
      <c r="FN81" s="208"/>
      <c r="FO81" s="206"/>
      <c r="FP81" s="207"/>
      <c r="FQ81" s="207"/>
      <c r="FR81" s="207"/>
      <c r="FS81" s="207"/>
      <c r="FT81" s="207"/>
      <c r="FU81" s="207"/>
      <c r="FV81" s="207"/>
      <c r="FW81" s="207"/>
      <c r="FX81" s="207"/>
      <c r="FY81" s="207"/>
      <c r="FZ81" s="207"/>
      <c r="GA81" s="207"/>
      <c r="GB81" s="207"/>
      <c r="GC81" s="207"/>
      <c r="GD81" s="207"/>
      <c r="GE81" s="208"/>
      <c r="GF81" s="206"/>
      <c r="GG81" s="207"/>
      <c r="GH81" s="207"/>
      <c r="GI81" s="207"/>
      <c r="GJ81" s="207"/>
      <c r="GK81" s="207"/>
      <c r="GL81" s="207"/>
      <c r="GM81" s="207"/>
      <c r="GN81" s="207"/>
      <c r="GO81" s="207"/>
      <c r="GP81" s="207"/>
      <c r="GQ81" s="207"/>
      <c r="GR81" s="207"/>
      <c r="GS81" s="207"/>
      <c r="GT81" s="207"/>
      <c r="GU81" s="207"/>
      <c r="GV81" s="208"/>
      <c r="GW81" s="206"/>
      <c r="GX81" s="207"/>
      <c r="GY81" s="207"/>
      <c r="GZ81" s="207"/>
      <c r="HA81" s="207"/>
      <c r="HB81" s="207"/>
      <c r="HC81" s="207"/>
      <c r="HD81" s="207"/>
      <c r="HE81" s="207"/>
      <c r="HF81" s="207"/>
      <c r="HG81" s="207"/>
      <c r="HH81" s="207"/>
      <c r="HI81" s="207"/>
      <c r="HJ81" s="207"/>
      <c r="HK81" s="207"/>
      <c r="HL81" s="207"/>
      <c r="HM81" s="208"/>
      <c r="HN81" s="206"/>
      <c r="HO81" s="207"/>
      <c r="HP81" s="207"/>
      <c r="HQ81" s="207"/>
      <c r="HR81" s="207"/>
      <c r="HS81" s="207"/>
      <c r="HT81" s="207"/>
      <c r="HU81" s="207"/>
      <c r="HV81" s="207"/>
      <c r="HW81" s="207"/>
      <c r="HX81" s="207"/>
      <c r="HY81" s="207"/>
      <c r="HZ81" s="207"/>
      <c r="IA81" s="207"/>
      <c r="IB81" s="207"/>
      <c r="IC81" s="207"/>
      <c r="ID81" s="208"/>
      <c r="IE81" s="206"/>
      <c r="IF81" s="207"/>
      <c r="IG81" s="207"/>
      <c r="IH81" s="207"/>
      <c r="II81" s="207"/>
      <c r="IJ81" s="207"/>
      <c r="IK81" s="207"/>
      <c r="IL81" s="207"/>
      <c r="IM81" s="207"/>
      <c r="IN81" s="207"/>
      <c r="IO81" s="207"/>
      <c r="IP81" s="207"/>
      <c r="IQ81" s="207"/>
      <c r="IR81" s="207"/>
      <c r="IS81" s="207"/>
      <c r="IT81" s="207"/>
      <c r="IU81" s="208"/>
      <c r="IV81" s="206"/>
      <c r="IW81" s="207"/>
      <c r="IX81" s="207"/>
      <c r="IY81" s="207"/>
      <c r="IZ81" s="207"/>
      <c r="JA81" s="207"/>
      <c r="JB81" s="207"/>
      <c r="JC81" s="207"/>
      <c r="JD81" s="207"/>
      <c r="JE81" s="207"/>
      <c r="JF81" s="207"/>
      <c r="JG81" s="207"/>
      <c r="JH81" s="207"/>
      <c r="JI81" s="207"/>
      <c r="JJ81" s="207"/>
      <c r="JK81" s="207"/>
      <c r="JL81" s="208"/>
      <c r="JM81" s="206"/>
      <c r="JN81" s="207"/>
      <c r="JO81" s="207"/>
      <c r="JP81" s="207"/>
      <c r="JQ81" s="207"/>
      <c r="JR81" s="207"/>
      <c r="JS81" s="207"/>
      <c r="JT81" s="207"/>
      <c r="JU81" s="207"/>
      <c r="JV81" s="207"/>
      <c r="JW81" s="207"/>
      <c r="JX81" s="207"/>
      <c r="JY81" s="207"/>
      <c r="JZ81" s="207"/>
      <c r="KA81" s="207"/>
      <c r="KB81" s="207"/>
      <c r="KC81" s="208"/>
      <c r="KD81" s="206"/>
      <c r="KE81" s="207"/>
      <c r="KF81" s="207"/>
      <c r="KG81" s="207"/>
      <c r="KH81" s="207"/>
      <c r="KI81" s="207"/>
      <c r="KJ81" s="207"/>
      <c r="KK81" s="207"/>
      <c r="KL81" s="207"/>
      <c r="KM81" s="207"/>
      <c r="KN81" s="207"/>
      <c r="KO81" s="207"/>
      <c r="KP81" s="207"/>
      <c r="KQ81" s="207"/>
      <c r="KR81" s="207"/>
      <c r="KS81" s="207"/>
      <c r="KT81" s="208"/>
      <c r="KU81" s="207"/>
    </row>
    <row r="82" ht="33.75" customHeight="1">
      <c r="A82" s="209" t="s">
        <v>34</v>
      </c>
      <c r="B82" s="210" t="s">
        <v>35</v>
      </c>
      <c r="C82" s="211" t="s">
        <v>36</v>
      </c>
      <c r="D82" s="66"/>
      <c r="E82" s="66"/>
      <c r="F82" s="66"/>
      <c r="G82" s="67"/>
      <c r="H82" s="211" t="s">
        <v>37</v>
      </c>
      <c r="I82" s="67"/>
      <c r="J82" s="211" t="s">
        <v>38</v>
      </c>
      <c r="K82" s="66"/>
      <c r="L82" s="67"/>
      <c r="M82" s="210" t="s">
        <v>39</v>
      </c>
      <c r="N82" s="211" t="s">
        <v>40</v>
      </c>
      <c r="O82" s="67"/>
      <c r="P82" s="212" t="s">
        <v>41</v>
      </c>
      <c r="Q82" s="213"/>
      <c r="R82" s="209" t="s">
        <v>34</v>
      </c>
      <c r="S82" s="210" t="s">
        <v>35</v>
      </c>
      <c r="T82" s="211" t="s">
        <v>36</v>
      </c>
      <c r="U82" s="66"/>
      <c r="V82" s="66"/>
      <c r="W82" s="66"/>
      <c r="X82" s="67"/>
      <c r="Y82" s="211" t="s">
        <v>37</v>
      </c>
      <c r="Z82" s="67"/>
      <c r="AA82" s="211" t="s">
        <v>38</v>
      </c>
      <c r="AB82" s="66"/>
      <c r="AC82" s="67"/>
      <c r="AD82" s="210" t="s">
        <v>39</v>
      </c>
      <c r="AE82" s="211" t="s">
        <v>40</v>
      </c>
      <c r="AF82" s="67"/>
      <c r="AG82" s="212" t="s">
        <v>41</v>
      </c>
      <c r="AH82" s="213"/>
      <c r="AI82" s="209" t="s">
        <v>34</v>
      </c>
      <c r="AJ82" s="210" t="s">
        <v>35</v>
      </c>
      <c r="AK82" s="211" t="s">
        <v>36</v>
      </c>
      <c r="AL82" s="66"/>
      <c r="AM82" s="66"/>
      <c r="AN82" s="66"/>
      <c r="AO82" s="67"/>
      <c r="AP82" s="211" t="s">
        <v>37</v>
      </c>
      <c r="AQ82" s="67"/>
      <c r="AR82" s="211" t="s">
        <v>38</v>
      </c>
      <c r="AS82" s="66"/>
      <c r="AT82" s="67"/>
      <c r="AU82" s="210" t="s">
        <v>39</v>
      </c>
      <c r="AV82" s="211" t="s">
        <v>40</v>
      </c>
      <c r="AW82" s="67"/>
      <c r="AX82" s="212" t="s">
        <v>41</v>
      </c>
      <c r="AY82" s="213"/>
      <c r="AZ82" s="209" t="s">
        <v>34</v>
      </c>
      <c r="BA82" s="210" t="s">
        <v>35</v>
      </c>
      <c r="BB82" s="211" t="s">
        <v>36</v>
      </c>
      <c r="BC82" s="66"/>
      <c r="BD82" s="66"/>
      <c r="BE82" s="66"/>
      <c r="BF82" s="67"/>
      <c r="BG82" s="211" t="s">
        <v>37</v>
      </c>
      <c r="BH82" s="67"/>
      <c r="BI82" s="211" t="s">
        <v>38</v>
      </c>
      <c r="BJ82" s="66"/>
      <c r="BK82" s="67"/>
      <c r="BL82" s="210" t="s">
        <v>39</v>
      </c>
      <c r="BM82" s="211" t="s">
        <v>40</v>
      </c>
      <c r="BN82" s="67"/>
      <c r="BO82" s="212" t="s">
        <v>41</v>
      </c>
      <c r="BP82" s="213"/>
      <c r="BQ82" s="209" t="s">
        <v>34</v>
      </c>
      <c r="BR82" s="210" t="s">
        <v>35</v>
      </c>
      <c r="BS82" s="211" t="s">
        <v>36</v>
      </c>
      <c r="BT82" s="66"/>
      <c r="BU82" s="66"/>
      <c r="BV82" s="66"/>
      <c r="BW82" s="67"/>
      <c r="BX82" s="211" t="s">
        <v>37</v>
      </c>
      <c r="BY82" s="67"/>
      <c r="BZ82" s="211" t="s">
        <v>38</v>
      </c>
      <c r="CA82" s="66"/>
      <c r="CB82" s="67"/>
      <c r="CC82" s="210" t="s">
        <v>39</v>
      </c>
      <c r="CD82" s="211" t="s">
        <v>40</v>
      </c>
      <c r="CE82" s="67"/>
      <c r="CF82" s="212" t="s">
        <v>41</v>
      </c>
      <c r="CG82" s="213"/>
      <c r="CH82" s="209" t="s">
        <v>34</v>
      </c>
      <c r="CI82" s="210" t="s">
        <v>35</v>
      </c>
      <c r="CJ82" s="211" t="s">
        <v>36</v>
      </c>
      <c r="CK82" s="66"/>
      <c r="CL82" s="66"/>
      <c r="CM82" s="66"/>
      <c r="CN82" s="67"/>
      <c r="CO82" s="211" t="s">
        <v>37</v>
      </c>
      <c r="CP82" s="67"/>
      <c r="CQ82" s="211" t="s">
        <v>38</v>
      </c>
      <c r="CR82" s="66"/>
      <c r="CS82" s="67"/>
      <c r="CT82" s="210" t="s">
        <v>39</v>
      </c>
      <c r="CU82" s="211" t="s">
        <v>40</v>
      </c>
      <c r="CV82" s="67"/>
      <c r="CW82" s="212" t="s">
        <v>41</v>
      </c>
      <c r="CX82" s="213"/>
      <c r="CY82" s="209" t="s">
        <v>34</v>
      </c>
      <c r="CZ82" s="210" t="s">
        <v>35</v>
      </c>
      <c r="DA82" s="211" t="s">
        <v>36</v>
      </c>
      <c r="DB82" s="66"/>
      <c r="DC82" s="66"/>
      <c r="DD82" s="66"/>
      <c r="DE82" s="67"/>
      <c r="DF82" s="211" t="s">
        <v>37</v>
      </c>
      <c r="DG82" s="67"/>
      <c r="DH82" s="211" t="s">
        <v>38</v>
      </c>
      <c r="DI82" s="66"/>
      <c r="DJ82" s="67"/>
      <c r="DK82" s="210" t="s">
        <v>39</v>
      </c>
      <c r="DL82" s="211" t="s">
        <v>40</v>
      </c>
      <c r="DM82" s="67"/>
      <c r="DN82" s="212" t="s">
        <v>41</v>
      </c>
      <c r="DO82" s="213"/>
      <c r="DP82" s="209" t="s">
        <v>34</v>
      </c>
      <c r="DQ82" s="210" t="s">
        <v>35</v>
      </c>
      <c r="DR82" s="211" t="s">
        <v>36</v>
      </c>
      <c r="DS82" s="66"/>
      <c r="DT82" s="66"/>
      <c r="DU82" s="66"/>
      <c r="DV82" s="67"/>
      <c r="DW82" s="211" t="s">
        <v>37</v>
      </c>
      <c r="DX82" s="67"/>
      <c r="DY82" s="211" t="s">
        <v>38</v>
      </c>
      <c r="DZ82" s="66"/>
      <c r="EA82" s="67"/>
      <c r="EB82" s="210" t="s">
        <v>39</v>
      </c>
      <c r="EC82" s="211" t="s">
        <v>40</v>
      </c>
      <c r="ED82" s="67"/>
      <c r="EE82" s="212" t="s">
        <v>41</v>
      </c>
      <c r="EF82" s="213"/>
      <c r="EG82" s="209" t="s">
        <v>34</v>
      </c>
      <c r="EH82" s="210" t="s">
        <v>35</v>
      </c>
      <c r="EI82" s="211" t="s">
        <v>36</v>
      </c>
      <c r="EJ82" s="66"/>
      <c r="EK82" s="66"/>
      <c r="EL82" s="66"/>
      <c r="EM82" s="67"/>
      <c r="EN82" s="211" t="s">
        <v>37</v>
      </c>
      <c r="EO82" s="67"/>
      <c r="EP82" s="211" t="s">
        <v>38</v>
      </c>
      <c r="EQ82" s="66"/>
      <c r="ER82" s="67"/>
      <c r="ES82" s="210" t="s">
        <v>39</v>
      </c>
      <c r="ET82" s="211" t="s">
        <v>40</v>
      </c>
      <c r="EU82" s="67"/>
      <c r="EV82" s="212" t="s">
        <v>41</v>
      </c>
      <c r="EW82" s="213"/>
      <c r="EX82" s="209" t="s">
        <v>34</v>
      </c>
      <c r="EY82" s="210" t="s">
        <v>35</v>
      </c>
      <c r="EZ82" s="211" t="s">
        <v>36</v>
      </c>
      <c r="FA82" s="66"/>
      <c r="FB82" s="66"/>
      <c r="FC82" s="66"/>
      <c r="FD82" s="67"/>
      <c r="FE82" s="211" t="s">
        <v>37</v>
      </c>
      <c r="FF82" s="67"/>
      <c r="FG82" s="211" t="s">
        <v>38</v>
      </c>
      <c r="FH82" s="66"/>
      <c r="FI82" s="67"/>
      <c r="FJ82" s="210" t="s">
        <v>39</v>
      </c>
      <c r="FK82" s="211" t="s">
        <v>40</v>
      </c>
      <c r="FL82" s="67"/>
      <c r="FM82" s="212" t="s">
        <v>41</v>
      </c>
      <c r="FN82" s="213"/>
      <c r="FO82" s="209" t="s">
        <v>34</v>
      </c>
      <c r="FP82" s="210" t="s">
        <v>35</v>
      </c>
      <c r="FQ82" s="211" t="s">
        <v>36</v>
      </c>
      <c r="FR82" s="66"/>
      <c r="FS82" s="66"/>
      <c r="FT82" s="66"/>
      <c r="FU82" s="67"/>
      <c r="FV82" s="211" t="s">
        <v>37</v>
      </c>
      <c r="FW82" s="67"/>
      <c r="FX82" s="211" t="s">
        <v>38</v>
      </c>
      <c r="FY82" s="66"/>
      <c r="FZ82" s="67"/>
      <c r="GA82" s="210" t="s">
        <v>39</v>
      </c>
      <c r="GB82" s="211" t="s">
        <v>40</v>
      </c>
      <c r="GC82" s="67"/>
      <c r="GD82" s="212" t="s">
        <v>41</v>
      </c>
      <c r="GE82" s="213"/>
      <c r="GF82" s="209" t="s">
        <v>34</v>
      </c>
      <c r="GG82" s="210" t="s">
        <v>35</v>
      </c>
      <c r="GH82" s="211" t="s">
        <v>36</v>
      </c>
      <c r="GI82" s="66"/>
      <c r="GJ82" s="66"/>
      <c r="GK82" s="66"/>
      <c r="GL82" s="67"/>
      <c r="GM82" s="211" t="s">
        <v>37</v>
      </c>
      <c r="GN82" s="67"/>
      <c r="GO82" s="211" t="s">
        <v>38</v>
      </c>
      <c r="GP82" s="66"/>
      <c r="GQ82" s="67"/>
      <c r="GR82" s="210" t="s">
        <v>39</v>
      </c>
      <c r="GS82" s="211" t="s">
        <v>40</v>
      </c>
      <c r="GT82" s="67"/>
      <c r="GU82" s="212" t="s">
        <v>41</v>
      </c>
      <c r="GV82" s="213"/>
      <c r="GW82" s="209" t="s">
        <v>34</v>
      </c>
      <c r="GX82" s="210" t="s">
        <v>35</v>
      </c>
      <c r="GY82" s="211" t="s">
        <v>36</v>
      </c>
      <c r="GZ82" s="66"/>
      <c r="HA82" s="66"/>
      <c r="HB82" s="66"/>
      <c r="HC82" s="67"/>
      <c r="HD82" s="211" t="s">
        <v>37</v>
      </c>
      <c r="HE82" s="67"/>
      <c r="HF82" s="211" t="s">
        <v>38</v>
      </c>
      <c r="HG82" s="66"/>
      <c r="HH82" s="67"/>
      <c r="HI82" s="210" t="s">
        <v>39</v>
      </c>
      <c r="HJ82" s="211" t="s">
        <v>40</v>
      </c>
      <c r="HK82" s="67"/>
      <c r="HL82" s="212" t="s">
        <v>41</v>
      </c>
      <c r="HM82" s="213"/>
      <c r="HN82" s="209" t="s">
        <v>34</v>
      </c>
      <c r="HO82" s="210" t="s">
        <v>35</v>
      </c>
      <c r="HP82" s="211" t="s">
        <v>36</v>
      </c>
      <c r="HQ82" s="66"/>
      <c r="HR82" s="66"/>
      <c r="HS82" s="66"/>
      <c r="HT82" s="67"/>
      <c r="HU82" s="211" t="s">
        <v>37</v>
      </c>
      <c r="HV82" s="67"/>
      <c r="HW82" s="211" t="s">
        <v>38</v>
      </c>
      <c r="HX82" s="66"/>
      <c r="HY82" s="67"/>
      <c r="HZ82" s="210" t="s">
        <v>39</v>
      </c>
      <c r="IA82" s="211" t="s">
        <v>40</v>
      </c>
      <c r="IB82" s="67"/>
      <c r="IC82" s="212" t="s">
        <v>41</v>
      </c>
      <c r="ID82" s="213"/>
      <c r="IE82" s="209" t="s">
        <v>34</v>
      </c>
      <c r="IF82" s="210" t="s">
        <v>35</v>
      </c>
      <c r="IG82" s="211" t="s">
        <v>36</v>
      </c>
      <c r="IH82" s="66"/>
      <c r="II82" s="66"/>
      <c r="IJ82" s="66"/>
      <c r="IK82" s="67"/>
      <c r="IL82" s="211" t="s">
        <v>37</v>
      </c>
      <c r="IM82" s="67"/>
      <c r="IN82" s="211" t="s">
        <v>38</v>
      </c>
      <c r="IO82" s="66"/>
      <c r="IP82" s="67"/>
      <c r="IQ82" s="210" t="s">
        <v>39</v>
      </c>
      <c r="IR82" s="211" t="s">
        <v>40</v>
      </c>
      <c r="IS82" s="67"/>
      <c r="IT82" s="212" t="s">
        <v>41</v>
      </c>
      <c r="IU82" s="213"/>
      <c r="IV82" s="209" t="s">
        <v>34</v>
      </c>
      <c r="IW82" s="210" t="s">
        <v>35</v>
      </c>
      <c r="IX82" s="211" t="s">
        <v>36</v>
      </c>
      <c r="IY82" s="66"/>
      <c r="IZ82" s="66"/>
      <c r="JA82" s="66"/>
      <c r="JB82" s="67"/>
      <c r="JC82" s="211" t="s">
        <v>37</v>
      </c>
      <c r="JD82" s="67"/>
      <c r="JE82" s="211" t="s">
        <v>38</v>
      </c>
      <c r="JF82" s="66"/>
      <c r="JG82" s="67"/>
      <c r="JH82" s="210" t="s">
        <v>39</v>
      </c>
      <c r="JI82" s="211" t="s">
        <v>40</v>
      </c>
      <c r="JJ82" s="67"/>
      <c r="JK82" s="212" t="s">
        <v>41</v>
      </c>
      <c r="JL82" s="214"/>
      <c r="JM82" s="209" t="s">
        <v>34</v>
      </c>
      <c r="JN82" s="210" t="s">
        <v>35</v>
      </c>
      <c r="JO82" s="211" t="s">
        <v>36</v>
      </c>
      <c r="JP82" s="66"/>
      <c r="JQ82" s="66"/>
      <c r="JR82" s="66"/>
      <c r="JS82" s="67"/>
      <c r="JT82" s="211" t="s">
        <v>37</v>
      </c>
      <c r="JU82" s="67"/>
      <c r="JV82" s="211" t="s">
        <v>38</v>
      </c>
      <c r="JW82" s="66"/>
      <c r="JX82" s="67"/>
      <c r="JY82" s="210" t="s">
        <v>39</v>
      </c>
      <c r="JZ82" s="211" t="s">
        <v>40</v>
      </c>
      <c r="KA82" s="67"/>
      <c r="KB82" s="212" t="s">
        <v>41</v>
      </c>
      <c r="KC82" s="214"/>
      <c r="KD82" s="209" t="s">
        <v>34</v>
      </c>
      <c r="KE82" s="210" t="s">
        <v>35</v>
      </c>
      <c r="KF82" s="211" t="s">
        <v>36</v>
      </c>
      <c r="KG82" s="66"/>
      <c r="KH82" s="66"/>
      <c r="KI82" s="66"/>
      <c r="KJ82" s="67"/>
      <c r="KK82" s="211" t="s">
        <v>37</v>
      </c>
      <c r="KL82" s="67"/>
      <c r="KM82" s="211" t="s">
        <v>38</v>
      </c>
      <c r="KN82" s="66"/>
      <c r="KO82" s="67"/>
      <c r="KP82" s="210" t="s">
        <v>39</v>
      </c>
      <c r="KQ82" s="211" t="s">
        <v>40</v>
      </c>
      <c r="KR82" s="67"/>
      <c r="KS82" s="212" t="s">
        <v>41</v>
      </c>
      <c r="KT82" s="214"/>
      <c r="KU82" s="215"/>
    </row>
    <row r="83" ht="66.0" customHeight="1">
      <c r="A83" s="72"/>
      <c r="B83" s="55"/>
      <c r="C83" s="216" t="s">
        <v>42</v>
      </c>
      <c r="D83" s="216" t="s">
        <v>43</v>
      </c>
      <c r="E83" s="216" t="s">
        <v>44</v>
      </c>
      <c r="F83" s="216" t="s">
        <v>63</v>
      </c>
      <c r="G83" s="216" t="s">
        <v>46</v>
      </c>
      <c r="H83" s="217" t="s">
        <v>64</v>
      </c>
      <c r="I83" s="216" t="s">
        <v>48</v>
      </c>
      <c r="J83" s="217" t="s">
        <v>65</v>
      </c>
      <c r="K83" s="216" t="s">
        <v>66</v>
      </c>
      <c r="L83" s="216" t="s">
        <v>67</v>
      </c>
      <c r="M83" s="55"/>
      <c r="N83" s="217" t="s">
        <v>64</v>
      </c>
      <c r="O83" s="217" t="s">
        <v>50</v>
      </c>
      <c r="P83" s="75"/>
      <c r="Q83" s="213"/>
      <c r="R83" s="72"/>
      <c r="S83" s="55"/>
      <c r="T83" s="216" t="s">
        <v>42</v>
      </c>
      <c r="U83" s="216" t="s">
        <v>43</v>
      </c>
      <c r="V83" s="216" t="s">
        <v>44</v>
      </c>
      <c r="W83" s="216" t="s">
        <v>63</v>
      </c>
      <c r="X83" s="216" t="s">
        <v>46</v>
      </c>
      <c r="Y83" s="217" t="s">
        <v>64</v>
      </c>
      <c r="Z83" s="216" t="s">
        <v>48</v>
      </c>
      <c r="AA83" s="217" t="s">
        <v>65</v>
      </c>
      <c r="AB83" s="216" t="s">
        <v>66</v>
      </c>
      <c r="AC83" s="216" t="s">
        <v>67</v>
      </c>
      <c r="AD83" s="55"/>
      <c r="AE83" s="217" t="s">
        <v>64</v>
      </c>
      <c r="AF83" s="217" t="s">
        <v>50</v>
      </c>
      <c r="AG83" s="75"/>
      <c r="AH83" s="213"/>
      <c r="AI83" s="72"/>
      <c r="AJ83" s="55"/>
      <c r="AK83" s="216" t="s">
        <v>42</v>
      </c>
      <c r="AL83" s="216" t="s">
        <v>43</v>
      </c>
      <c r="AM83" s="216" t="s">
        <v>44</v>
      </c>
      <c r="AN83" s="216" t="s">
        <v>63</v>
      </c>
      <c r="AO83" s="216" t="s">
        <v>46</v>
      </c>
      <c r="AP83" s="217" t="s">
        <v>64</v>
      </c>
      <c r="AQ83" s="216" t="s">
        <v>48</v>
      </c>
      <c r="AR83" s="217" t="s">
        <v>65</v>
      </c>
      <c r="AS83" s="216" t="s">
        <v>66</v>
      </c>
      <c r="AT83" s="216" t="s">
        <v>67</v>
      </c>
      <c r="AU83" s="55"/>
      <c r="AV83" s="217" t="s">
        <v>64</v>
      </c>
      <c r="AW83" s="217" t="s">
        <v>50</v>
      </c>
      <c r="AX83" s="75"/>
      <c r="AY83" s="213"/>
      <c r="AZ83" s="72"/>
      <c r="BA83" s="55"/>
      <c r="BB83" s="216" t="s">
        <v>42</v>
      </c>
      <c r="BC83" s="216" t="s">
        <v>43</v>
      </c>
      <c r="BD83" s="216" t="s">
        <v>44</v>
      </c>
      <c r="BE83" s="216" t="s">
        <v>63</v>
      </c>
      <c r="BF83" s="216" t="s">
        <v>46</v>
      </c>
      <c r="BG83" s="217" t="s">
        <v>64</v>
      </c>
      <c r="BH83" s="216" t="s">
        <v>48</v>
      </c>
      <c r="BI83" s="217" t="s">
        <v>65</v>
      </c>
      <c r="BJ83" s="216" t="s">
        <v>66</v>
      </c>
      <c r="BK83" s="216" t="s">
        <v>67</v>
      </c>
      <c r="BL83" s="55"/>
      <c r="BM83" s="217" t="s">
        <v>64</v>
      </c>
      <c r="BN83" s="217" t="s">
        <v>50</v>
      </c>
      <c r="BO83" s="75"/>
      <c r="BP83" s="213"/>
      <c r="BQ83" s="72"/>
      <c r="BR83" s="55"/>
      <c r="BS83" s="216" t="s">
        <v>42</v>
      </c>
      <c r="BT83" s="216" t="s">
        <v>43</v>
      </c>
      <c r="BU83" s="216" t="s">
        <v>44</v>
      </c>
      <c r="BV83" s="216" t="s">
        <v>63</v>
      </c>
      <c r="BW83" s="216" t="s">
        <v>46</v>
      </c>
      <c r="BX83" s="217" t="s">
        <v>64</v>
      </c>
      <c r="BY83" s="216" t="s">
        <v>48</v>
      </c>
      <c r="BZ83" s="217" t="s">
        <v>65</v>
      </c>
      <c r="CA83" s="216" t="s">
        <v>66</v>
      </c>
      <c r="CB83" s="216" t="s">
        <v>67</v>
      </c>
      <c r="CC83" s="55"/>
      <c r="CD83" s="217" t="s">
        <v>64</v>
      </c>
      <c r="CE83" s="217" t="s">
        <v>50</v>
      </c>
      <c r="CF83" s="75"/>
      <c r="CG83" s="213"/>
      <c r="CH83" s="72"/>
      <c r="CI83" s="55"/>
      <c r="CJ83" s="216" t="s">
        <v>42</v>
      </c>
      <c r="CK83" s="216" t="s">
        <v>43</v>
      </c>
      <c r="CL83" s="216" t="s">
        <v>44</v>
      </c>
      <c r="CM83" s="216" t="s">
        <v>63</v>
      </c>
      <c r="CN83" s="216" t="s">
        <v>46</v>
      </c>
      <c r="CO83" s="217" t="s">
        <v>64</v>
      </c>
      <c r="CP83" s="216" t="s">
        <v>48</v>
      </c>
      <c r="CQ83" s="217" t="s">
        <v>65</v>
      </c>
      <c r="CR83" s="216" t="s">
        <v>66</v>
      </c>
      <c r="CS83" s="216" t="s">
        <v>67</v>
      </c>
      <c r="CT83" s="55"/>
      <c r="CU83" s="217" t="s">
        <v>64</v>
      </c>
      <c r="CV83" s="217" t="s">
        <v>50</v>
      </c>
      <c r="CW83" s="75"/>
      <c r="CX83" s="213"/>
      <c r="CY83" s="72"/>
      <c r="CZ83" s="55"/>
      <c r="DA83" s="216" t="s">
        <v>42</v>
      </c>
      <c r="DB83" s="216" t="s">
        <v>43</v>
      </c>
      <c r="DC83" s="216" t="s">
        <v>44</v>
      </c>
      <c r="DD83" s="216" t="s">
        <v>63</v>
      </c>
      <c r="DE83" s="216" t="s">
        <v>46</v>
      </c>
      <c r="DF83" s="217" t="s">
        <v>64</v>
      </c>
      <c r="DG83" s="216" t="s">
        <v>48</v>
      </c>
      <c r="DH83" s="217" t="s">
        <v>65</v>
      </c>
      <c r="DI83" s="216" t="s">
        <v>66</v>
      </c>
      <c r="DJ83" s="216" t="s">
        <v>67</v>
      </c>
      <c r="DK83" s="55"/>
      <c r="DL83" s="217" t="s">
        <v>64</v>
      </c>
      <c r="DM83" s="217" t="s">
        <v>50</v>
      </c>
      <c r="DN83" s="75"/>
      <c r="DO83" s="213"/>
      <c r="DP83" s="72"/>
      <c r="DQ83" s="55"/>
      <c r="DR83" s="216" t="s">
        <v>42</v>
      </c>
      <c r="DS83" s="216" t="s">
        <v>43</v>
      </c>
      <c r="DT83" s="216" t="s">
        <v>44</v>
      </c>
      <c r="DU83" s="216" t="s">
        <v>63</v>
      </c>
      <c r="DV83" s="216" t="s">
        <v>46</v>
      </c>
      <c r="DW83" s="217" t="s">
        <v>64</v>
      </c>
      <c r="DX83" s="216" t="s">
        <v>48</v>
      </c>
      <c r="DY83" s="217" t="s">
        <v>65</v>
      </c>
      <c r="DZ83" s="216" t="s">
        <v>66</v>
      </c>
      <c r="EA83" s="216" t="s">
        <v>67</v>
      </c>
      <c r="EB83" s="55"/>
      <c r="EC83" s="217" t="s">
        <v>64</v>
      </c>
      <c r="ED83" s="217" t="s">
        <v>50</v>
      </c>
      <c r="EE83" s="75"/>
      <c r="EF83" s="213"/>
      <c r="EG83" s="72"/>
      <c r="EH83" s="55"/>
      <c r="EI83" s="216" t="s">
        <v>42</v>
      </c>
      <c r="EJ83" s="216" t="s">
        <v>43</v>
      </c>
      <c r="EK83" s="216" t="s">
        <v>44</v>
      </c>
      <c r="EL83" s="216" t="s">
        <v>63</v>
      </c>
      <c r="EM83" s="216" t="s">
        <v>46</v>
      </c>
      <c r="EN83" s="217" t="s">
        <v>64</v>
      </c>
      <c r="EO83" s="216" t="s">
        <v>48</v>
      </c>
      <c r="EP83" s="217" t="s">
        <v>65</v>
      </c>
      <c r="EQ83" s="216" t="s">
        <v>66</v>
      </c>
      <c r="ER83" s="216" t="s">
        <v>67</v>
      </c>
      <c r="ES83" s="55"/>
      <c r="ET83" s="217" t="s">
        <v>64</v>
      </c>
      <c r="EU83" s="217" t="s">
        <v>50</v>
      </c>
      <c r="EV83" s="75"/>
      <c r="EW83" s="213"/>
      <c r="EX83" s="72"/>
      <c r="EY83" s="55"/>
      <c r="EZ83" s="216" t="s">
        <v>42</v>
      </c>
      <c r="FA83" s="216" t="s">
        <v>43</v>
      </c>
      <c r="FB83" s="216" t="s">
        <v>44</v>
      </c>
      <c r="FC83" s="216" t="s">
        <v>63</v>
      </c>
      <c r="FD83" s="216" t="s">
        <v>46</v>
      </c>
      <c r="FE83" s="217" t="s">
        <v>64</v>
      </c>
      <c r="FF83" s="216" t="s">
        <v>48</v>
      </c>
      <c r="FG83" s="217" t="s">
        <v>65</v>
      </c>
      <c r="FH83" s="216" t="s">
        <v>66</v>
      </c>
      <c r="FI83" s="216" t="s">
        <v>67</v>
      </c>
      <c r="FJ83" s="55"/>
      <c r="FK83" s="217" t="s">
        <v>64</v>
      </c>
      <c r="FL83" s="217" t="s">
        <v>50</v>
      </c>
      <c r="FM83" s="75"/>
      <c r="FN83" s="213"/>
      <c r="FO83" s="72"/>
      <c r="FP83" s="55"/>
      <c r="FQ83" s="216" t="s">
        <v>42</v>
      </c>
      <c r="FR83" s="216" t="s">
        <v>43</v>
      </c>
      <c r="FS83" s="216" t="s">
        <v>44</v>
      </c>
      <c r="FT83" s="216" t="s">
        <v>63</v>
      </c>
      <c r="FU83" s="216" t="s">
        <v>46</v>
      </c>
      <c r="FV83" s="217" t="s">
        <v>64</v>
      </c>
      <c r="FW83" s="216" t="s">
        <v>48</v>
      </c>
      <c r="FX83" s="217" t="s">
        <v>65</v>
      </c>
      <c r="FY83" s="216" t="s">
        <v>66</v>
      </c>
      <c r="FZ83" s="216" t="s">
        <v>67</v>
      </c>
      <c r="GA83" s="55"/>
      <c r="GB83" s="217" t="s">
        <v>64</v>
      </c>
      <c r="GC83" s="217" t="s">
        <v>50</v>
      </c>
      <c r="GD83" s="75"/>
      <c r="GE83" s="213"/>
      <c r="GF83" s="72"/>
      <c r="GG83" s="55"/>
      <c r="GH83" s="216" t="s">
        <v>42</v>
      </c>
      <c r="GI83" s="216" t="s">
        <v>43</v>
      </c>
      <c r="GJ83" s="216" t="s">
        <v>44</v>
      </c>
      <c r="GK83" s="216" t="s">
        <v>63</v>
      </c>
      <c r="GL83" s="216" t="s">
        <v>46</v>
      </c>
      <c r="GM83" s="217" t="s">
        <v>64</v>
      </c>
      <c r="GN83" s="216" t="s">
        <v>48</v>
      </c>
      <c r="GO83" s="217" t="s">
        <v>65</v>
      </c>
      <c r="GP83" s="216" t="s">
        <v>66</v>
      </c>
      <c r="GQ83" s="216" t="s">
        <v>67</v>
      </c>
      <c r="GR83" s="55"/>
      <c r="GS83" s="217" t="s">
        <v>64</v>
      </c>
      <c r="GT83" s="217" t="s">
        <v>50</v>
      </c>
      <c r="GU83" s="75"/>
      <c r="GV83" s="213"/>
      <c r="GW83" s="72"/>
      <c r="GX83" s="55"/>
      <c r="GY83" s="216" t="s">
        <v>42</v>
      </c>
      <c r="GZ83" s="216" t="s">
        <v>43</v>
      </c>
      <c r="HA83" s="216" t="s">
        <v>44</v>
      </c>
      <c r="HB83" s="216" t="s">
        <v>63</v>
      </c>
      <c r="HC83" s="216" t="s">
        <v>46</v>
      </c>
      <c r="HD83" s="217" t="s">
        <v>64</v>
      </c>
      <c r="HE83" s="216" t="s">
        <v>48</v>
      </c>
      <c r="HF83" s="217" t="s">
        <v>65</v>
      </c>
      <c r="HG83" s="216" t="s">
        <v>66</v>
      </c>
      <c r="HH83" s="216" t="s">
        <v>67</v>
      </c>
      <c r="HI83" s="55"/>
      <c r="HJ83" s="217" t="s">
        <v>64</v>
      </c>
      <c r="HK83" s="217" t="s">
        <v>50</v>
      </c>
      <c r="HL83" s="75"/>
      <c r="HM83" s="213"/>
      <c r="HN83" s="72"/>
      <c r="HO83" s="55"/>
      <c r="HP83" s="216" t="s">
        <v>42</v>
      </c>
      <c r="HQ83" s="216" t="s">
        <v>43</v>
      </c>
      <c r="HR83" s="216" t="s">
        <v>44</v>
      </c>
      <c r="HS83" s="216" t="s">
        <v>63</v>
      </c>
      <c r="HT83" s="216" t="s">
        <v>46</v>
      </c>
      <c r="HU83" s="217" t="s">
        <v>64</v>
      </c>
      <c r="HV83" s="216" t="s">
        <v>48</v>
      </c>
      <c r="HW83" s="217" t="s">
        <v>65</v>
      </c>
      <c r="HX83" s="216" t="s">
        <v>66</v>
      </c>
      <c r="HY83" s="216" t="s">
        <v>67</v>
      </c>
      <c r="HZ83" s="55"/>
      <c r="IA83" s="217" t="s">
        <v>64</v>
      </c>
      <c r="IB83" s="217" t="s">
        <v>50</v>
      </c>
      <c r="IC83" s="75"/>
      <c r="ID83" s="213"/>
      <c r="IE83" s="72"/>
      <c r="IF83" s="55"/>
      <c r="IG83" s="216" t="s">
        <v>42</v>
      </c>
      <c r="IH83" s="216" t="s">
        <v>43</v>
      </c>
      <c r="II83" s="216" t="s">
        <v>44</v>
      </c>
      <c r="IJ83" s="216" t="s">
        <v>63</v>
      </c>
      <c r="IK83" s="216" t="s">
        <v>46</v>
      </c>
      <c r="IL83" s="217" t="s">
        <v>64</v>
      </c>
      <c r="IM83" s="216" t="s">
        <v>48</v>
      </c>
      <c r="IN83" s="217" t="s">
        <v>65</v>
      </c>
      <c r="IO83" s="216" t="s">
        <v>66</v>
      </c>
      <c r="IP83" s="216" t="s">
        <v>67</v>
      </c>
      <c r="IQ83" s="55"/>
      <c r="IR83" s="217" t="s">
        <v>64</v>
      </c>
      <c r="IS83" s="217" t="s">
        <v>50</v>
      </c>
      <c r="IT83" s="75"/>
      <c r="IU83" s="213"/>
      <c r="IV83" s="72"/>
      <c r="IW83" s="55"/>
      <c r="IX83" s="216" t="s">
        <v>42</v>
      </c>
      <c r="IY83" s="216" t="s">
        <v>43</v>
      </c>
      <c r="IZ83" s="216" t="s">
        <v>44</v>
      </c>
      <c r="JA83" s="216" t="s">
        <v>63</v>
      </c>
      <c r="JB83" s="216" t="s">
        <v>46</v>
      </c>
      <c r="JC83" s="217" t="s">
        <v>64</v>
      </c>
      <c r="JD83" s="216" t="s">
        <v>48</v>
      </c>
      <c r="JE83" s="217" t="s">
        <v>65</v>
      </c>
      <c r="JF83" s="216" t="s">
        <v>66</v>
      </c>
      <c r="JG83" s="216" t="s">
        <v>67</v>
      </c>
      <c r="JH83" s="55"/>
      <c r="JI83" s="217" t="s">
        <v>64</v>
      </c>
      <c r="JJ83" s="217" t="s">
        <v>50</v>
      </c>
      <c r="JK83" s="75"/>
      <c r="JL83" s="214"/>
      <c r="JM83" s="72"/>
      <c r="JN83" s="55"/>
      <c r="JO83" s="216" t="s">
        <v>42</v>
      </c>
      <c r="JP83" s="216" t="s">
        <v>43</v>
      </c>
      <c r="JQ83" s="216" t="s">
        <v>44</v>
      </c>
      <c r="JR83" s="216" t="s">
        <v>63</v>
      </c>
      <c r="JS83" s="216" t="s">
        <v>46</v>
      </c>
      <c r="JT83" s="217" t="s">
        <v>64</v>
      </c>
      <c r="JU83" s="216" t="s">
        <v>48</v>
      </c>
      <c r="JV83" s="217" t="s">
        <v>65</v>
      </c>
      <c r="JW83" s="216" t="s">
        <v>66</v>
      </c>
      <c r="JX83" s="216" t="s">
        <v>67</v>
      </c>
      <c r="JY83" s="55"/>
      <c r="JZ83" s="217" t="s">
        <v>64</v>
      </c>
      <c r="KA83" s="217" t="s">
        <v>50</v>
      </c>
      <c r="KB83" s="75"/>
      <c r="KC83" s="214"/>
      <c r="KD83" s="72"/>
      <c r="KE83" s="55"/>
      <c r="KF83" s="216" t="s">
        <v>42</v>
      </c>
      <c r="KG83" s="216" t="s">
        <v>43</v>
      </c>
      <c r="KH83" s="216" t="s">
        <v>44</v>
      </c>
      <c r="KI83" s="216" t="s">
        <v>63</v>
      </c>
      <c r="KJ83" s="216" t="s">
        <v>46</v>
      </c>
      <c r="KK83" s="217" t="s">
        <v>64</v>
      </c>
      <c r="KL83" s="216" t="s">
        <v>48</v>
      </c>
      <c r="KM83" s="217" t="s">
        <v>65</v>
      </c>
      <c r="KN83" s="216" t="s">
        <v>66</v>
      </c>
      <c r="KO83" s="216" t="s">
        <v>67</v>
      </c>
      <c r="KP83" s="55"/>
      <c r="KQ83" s="217" t="s">
        <v>64</v>
      </c>
      <c r="KR83" s="217" t="s">
        <v>50</v>
      </c>
      <c r="KS83" s="75"/>
      <c r="KT83" s="214"/>
      <c r="KU83" s="215"/>
    </row>
    <row r="84" ht="15.75" customHeight="1">
      <c r="A84" s="218">
        <v>-1.0</v>
      </c>
      <c r="B84" s="219">
        <v>-2.0</v>
      </c>
      <c r="C84" s="219">
        <v>-3.0</v>
      </c>
      <c r="D84" s="219">
        <v>-4.0</v>
      </c>
      <c r="E84" s="219">
        <v>-5.0</v>
      </c>
      <c r="F84" s="219">
        <v>-6.0</v>
      </c>
      <c r="G84" s="219">
        <v>-7.0</v>
      </c>
      <c r="H84" s="219">
        <v>-8.0</v>
      </c>
      <c r="I84" s="219">
        <v>-9.0</v>
      </c>
      <c r="J84" s="219">
        <v>-10.0</v>
      </c>
      <c r="K84" s="219">
        <v>-11.0</v>
      </c>
      <c r="L84" s="219">
        <v>-12.0</v>
      </c>
      <c r="M84" s="219">
        <v>-13.0</v>
      </c>
      <c r="N84" s="219">
        <v>-14.0</v>
      </c>
      <c r="O84" s="219">
        <v>-15.0</v>
      </c>
      <c r="P84" s="219">
        <v>-16.0</v>
      </c>
      <c r="Q84" s="220"/>
      <c r="R84" s="218">
        <v>-1.0</v>
      </c>
      <c r="S84" s="219">
        <v>-2.0</v>
      </c>
      <c r="T84" s="219">
        <v>-3.0</v>
      </c>
      <c r="U84" s="219">
        <v>-4.0</v>
      </c>
      <c r="V84" s="219">
        <v>-5.0</v>
      </c>
      <c r="W84" s="219">
        <v>-6.0</v>
      </c>
      <c r="X84" s="219">
        <v>-7.0</v>
      </c>
      <c r="Y84" s="219">
        <v>-8.0</v>
      </c>
      <c r="Z84" s="219">
        <v>-9.0</v>
      </c>
      <c r="AA84" s="219">
        <v>-10.0</v>
      </c>
      <c r="AB84" s="219">
        <v>-11.0</v>
      </c>
      <c r="AC84" s="219">
        <v>-12.0</v>
      </c>
      <c r="AD84" s="219">
        <v>-13.0</v>
      </c>
      <c r="AE84" s="219">
        <v>-14.0</v>
      </c>
      <c r="AF84" s="219">
        <v>-15.0</v>
      </c>
      <c r="AG84" s="219">
        <v>-16.0</v>
      </c>
      <c r="AH84" s="220"/>
      <c r="AI84" s="218">
        <v>-1.0</v>
      </c>
      <c r="AJ84" s="219">
        <v>-2.0</v>
      </c>
      <c r="AK84" s="219">
        <v>-3.0</v>
      </c>
      <c r="AL84" s="219">
        <v>-4.0</v>
      </c>
      <c r="AM84" s="219">
        <v>-5.0</v>
      </c>
      <c r="AN84" s="219">
        <v>-6.0</v>
      </c>
      <c r="AO84" s="219">
        <v>-7.0</v>
      </c>
      <c r="AP84" s="219">
        <v>-8.0</v>
      </c>
      <c r="AQ84" s="219">
        <v>-9.0</v>
      </c>
      <c r="AR84" s="219">
        <v>-10.0</v>
      </c>
      <c r="AS84" s="219">
        <v>-11.0</v>
      </c>
      <c r="AT84" s="219">
        <v>-12.0</v>
      </c>
      <c r="AU84" s="219">
        <v>-13.0</v>
      </c>
      <c r="AV84" s="219">
        <v>-14.0</v>
      </c>
      <c r="AW84" s="219">
        <v>-15.0</v>
      </c>
      <c r="AX84" s="219">
        <v>-16.0</v>
      </c>
      <c r="AY84" s="220"/>
      <c r="AZ84" s="218">
        <v>-1.0</v>
      </c>
      <c r="BA84" s="219">
        <v>-2.0</v>
      </c>
      <c r="BB84" s="219">
        <v>-3.0</v>
      </c>
      <c r="BC84" s="219">
        <v>-4.0</v>
      </c>
      <c r="BD84" s="219">
        <v>-5.0</v>
      </c>
      <c r="BE84" s="219">
        <v>-6.0</v>
      </c>
      <c r="BF84" s="219">
        <v>-7.0</v>
      </c>
      <c r="BG84" s="219">
        <v>-8.0</v>
      </c>
      <c r="BH84" s="219">
        <v>-9.0</v>
      </c>
      <c r="BI84" s="219">
        <v>-10.0</v>
      </c>
      <c r="BJ84" s="219">
        <v>-11.0</v>
      </c>
      <c r="BK84" s="219">
        <v>-12.0</v>
      </c>
      <c r="BL84" s="219">
        <v>-13.0</v>
      </c>
      <c r="BM84" s="219">
        <v>-14.0</v>
      </c>
      <c r="BN84" s="219">
        <v>-15.0</v>
      </c>
      <c r="BO84" s="219">
        <v>-16.0</v>
      </c>
      <c r="BP84" s="220"/>
      <c r="BQ84" s="218">
        <v>-1.0</v>
      </c>
      <c r="BR84" s="219">
        <v>-2.0</v>
      </c>
      <c r="BS84" s="219">
        <v>-3.0</v>
      </c>
      <c r="BT84" s="219">
        <v>-4.0</v>
      </c>
      <c r="BU84" s="219">
        <v>-5.0</v>
      </c>
      <c r="BV84" s="219">
        <v>-6.0</v>
      </c>
      <c r="BW84" s="219">
        <v>-7.0</v>
      </c>
      <c r="BX84" s="219">
        <v>-8.0</v>
      </c>
      <c r="BY84" s="219">
        <v>-9.0</v>
      </c>
      <c r="BZ84" s="219">
        <v>-10.0</v>
      </c>
      <c r="CA84" s="219">
        <v>-11.0</v>
      </c>
      <c r="CB84" s="219">
        <v>-12.0</v>
      </c>
      <c r="CC84" s="219">
        <v>-13.0</v>
      </c>
      <c r="CD84" s="219">
        <v>-14.0</v>
      </c>
      <c r="CE84" s="219">
        <v>-15.0</v>
      </c>
      <c r="CF84" s="219">
        <v>-16.0</v>
      </c>
      <c r="CG84" s="220"/>
      <c r="CH84" s="218">
        <v>-1.0</v>
      </c>
      <c r="CI84" s="219">
        <v>-2.0</v>
      </c>
      <c r="CJ84" s="219">
        <v>-3.0</v>
      </c>
      <c r="CK84" s="219">
        <v>-4.0</v>
      </c>
      <c r="CL84" s="219">
        <v>-5.0</v>
      </c>
      <c r="CM84" s="219">
        <v>-6.0</v>
      </c>
      <c r="CN84" s="219">
        <v>-7.0</v>
      </c>
      <c r="CO84" s="219">
        <v>-8.0</v>
      </c>
      <c r="CP84" s="219">
        <v>-9.0</v>
      </c>
      <c r="CQ84" s="219">
        <v>-10.0</v>
      </c>
      <c r="CR84" s="219">
        <v>-11.0</v>
      </c>
      <c r="CS84" s="219">
        <v>-12.0</v>
      </c>
      <c r="CT84" s="219">
        <v>-13.0</v>
      </c>
      <c r="CU84" s="219">
        <v>-14.0</v>
      </c>
      <c r="CV84" s="219">
        <v>-15.0</v>
      </c>
      <c r="CW84" s="219">
        <v>-16.0</v>
      </c>
      <c r="CX84" s="220"/>
      <c r="CY84" s="218">
        <v>-1.0</v>
      </c>
      <c r="CZ84" s="219">
        <v>-2.0</v>
      </c>
      <c r="DA84" s="219">
        <v>-3.0</v>
      </c>
      <c r="DB84" s="219">
        <v>-4.0</v>
      </c>
      <c r="DC84" s="219">
        <v>-5.0</v>
      </c>
      <c r="DD84" s="219">
        <v>-6.0</v>
      </c>
      <c r="DE84" s="219">
        <v>-7.0</v>
      </c>
      <c r="DF84" s="219">
        <v>-8.0</v>
      </c>
      <c r="DG84" s="219">
        <v>-9.0</v>
      </c>
      <c r="DH84" s="219">
        <v>-10.0</v>
      </c>
      <c r="DI84" s="219">
        <v>-11.0</v>
      </c>
      <c r="DJ84" s="219">
        <v>-12.0</v>
      </c>
      <c r="DK84" s="219">
        <v>-13.0</v>
      </c>
      <c r="DL84" s="219">
        <v>-14.0</v>
      </c>
      <c r="DM84" s="219">
        <v>-15.0</v>
      </c>
      <c r="DN84" s="219">
        <v>-16.0</v>
      </c>
      <c r="DO84" s="220"/>
      <c r="DP84" s="218">
        <v>-1.0</v>
      </c>
      <c r="DQ84" s="219">
        <v>-2.0</v>
      </c>
      <c r="DR84" s="219">
        <v>-3.0</v>
      </c>
      <c r="DS84" s="219">
        <v>-4.0</v>
      </c>
      <c r="DT84" s="219">
        <v>-5.0</v>
      </c>
      <c r="DU84" s="219">
        <v>-6.0</v>
      </c>
      <c r="DV84" s="219">
        <v>-7.0</v>
      </c>
      <c r="DW84" s="219">
        <v>-8.0</v>
      </c>
      <c r="DX84" s="219">
        <v>-9.0</v>
      </c>
      <c r="DY84" s="219">
        <v>-10.0</v>
      </c>
      <c r="DZ84" s="219">
        <v>-11.0</v>
      </c>
      <c r="EA84" s="219">
        <v>-12.0</v>
      </c>
      <c r="EB84" s="219">
        <v>-13.0</v>
      </c>
      <c r="EC84" s="219">
        <v>-14.0</v>
      </c>
      <c r="ED84" s="219">
        <v>-15.0</v>
      </c>
      <c r="EE84" s="219">
        <v>-16.0</v>
      </c>
      <c r="EF84" s="220"/>
      <c r="EG84" s="218">
        <v>-1.0</v>
      </c>
      <c r="EH84" s="219">
        <v>-2.0</v>
      </c>
      <c r="EI84" s="219">
        <v>-3.0</v>
      </c>
      <c r="EJ84" s="219">
        <v>-4.0</v>
      </c>
      <c r="EK84" s="219">
        <v>-5.0</v>
      </c>
      <c r="EL84" s="219">
        <v>-6.0</v>
      </c>
      <c r="EM84" s="219">
        <v>-7.0</v>
      </c>
      <c r="EN84" s="219">
        <v>-8.0</v>
      </c>
      <c r="EO84" s="219">
        <v>-9.0</v>
      </c>
      <c r="EP84" s="219">
        <v>-10.0</v>
      </c>
      <c r="EQ84" s="219">
        <v>-11.0</v>
      </c>
      <c r="ER84" s="219">
        <v>-12.0</v>
      </c>
      <c r="ES84" s="219">
        <v>-13.0</v>
      </c>
      <c r="ET84" s="219">
        <v>-14.0</v>
      </c>
      <c r="EU84" s="219">
        <v>-15.0</v>
      </c>
      <c r="EV84" s="219">
        <v>-16.0</v>
      </c>
      <c r="EW84" s="220"/>
      <c r="EX84" s="218">
        <v>-1.0</v>
      </c>
      <c r="EY84" s="219">
        <v>-2.0</v>
      </c>
      <c r="EZ84" s="219">
        <v>-3.0</v>
      </c>
      <c r="FA84" s="219">
        <v>-4.0</v>
      </c>
      <c r="FB84" s="219">
        <v>-5.0</v>
      </c>
      <c r="FC84" s="219">
        <v>-6.0</v>
      </c>
      <c r="FD84" s="219">
        <v>-7.0</v>
      </c>
      <c r="FE84" s="219">
        <v>-8.0</v>
      </c>
      <c r="FF84" s="219">
        <v>-9.0</v>
      </c>
      <c r="FG84" s="219">
        <v>-10.0</v>
      </c>
      <c r="FH84" s="219">
        <v>-11.0</v>
      </c>
      <c r="FI84" s="219">
        <v>-12.0</v>
      </c>
      <c r="FJ84" s="219">
        <v>-13.0</v>
      </c>
      <c r="FK84" s="219">
        <v>-14.0</v>
      </c>
      <c r="FL84" s="219">
        <v>-15.0</v>
      </c>
      <c r="FM84" s="219">
        <v>-16.0</v>
      </c>
      <c r="FN84" s="220"/>
      <c r="FO84" s="218">
        <v>-1.0</v>
      </c>
      <c r="FP84" s="219">
        <v>-2.0</v>
      </c>
      <c r="FQ84" s="219">
        <v>-3.0</v>
      </c>
      <c r="FR84" s="219">
        <v>-4.0</v>
      </c>
      <c r="FS84" s="219">
        <v>-5.0</v>
      </c>
      <c r="FT84" s="219">
        <v>-6.0</v>
      </c>
      <c r="FU84" s="219">
        <v>-7.0</v>
      </c>
      <c r="FV84" s="219">
        <v>-8.0</v>
      </c>
      <c r="FW84" s="219">
        <v>-9.0</v>
      </c>
      <c r="FX84" s="219">
        <v>-10.0</v>
      </c>
      <c r="FY84" s="219">
        <v>-11.0</v>
      </c>
      <c r="FZ84" s="219">
        <v>-12.0</v>
      </c>
      <c r="GA84" s="219">
        <v>-13.0</v>
      </c>
      <c r="GB84" s="219">
        <v>-14.0</v>
      </c>
      <c r="GC84" s="219">
        <v>-15.0</v>
      </c>
      <c r="GD84" s="219">
        <v>-16.0</v>
      </c>
      <c r="GE84" s="220"/>
      <c r="GF84" s="218">
        <v>-1.0</v>
      </c>
      <c r="GG84" s="219">
        <v>-2.0</v>
      </c>
      <c r="GH84" s="219">
        <v>-3.0</v>
      </c>
      <c r="GI84" s="219">
        <v>-4.0</v>
      </c>
      <c r="GJ84" s="219">
        <v>-5.0</v>
      </c>
      <c r="GK84" s="219">
        <v>-6.0</v>
      </c>
      <c r="GL84" s="219">
        <v>-7.0</v>
      </c>
      <c r="GM84" s="219">
        <v>-8.0</v>
      </c>
      <c r="GN84" s="219">
        <v>-9.0</v>
      </c>
      <c r="GO84" s="219">
        <v>-10.0</v>
      </c>
      <c r="GP84" s="219">
        <v>-11.0</v>
      </c>
      <c r="GQ84" s="219">
        <v>-12.0</v>
      </c>
      <c r="GR84" s="219">
        <v>-13.0</v>
      </c>
      <c r="GS84" s="219">
        <v>-14.0</v>
      </c>
      <c r="GT84" s="219">
        <v>-15.0</v>
      </c>
      <c r="GU84" s="219">
        <v>-16.0</v>
      </c>
      <c r="GV84" s="220"/>
      <c r="GW84" s="218">
        <v>-1.0</v>
      </c>
      <c r="GX84" s="219">
        <v>-2.0</v>
      </c>
      <c r="GY84" s="219">
        <v>-3.0</v>
      </c>
      <c r="GZ84" s="219">
        <v>-4.0</v>
      </c>
      <c r="HA84" s="219">
        <v>-5.0</v>
      </c>
      <c r="HB84" s="219">
        <v>-6.0</v>
      </c>
      <c r="HC84" s="219">
        <v>-7.0</v>
      </c>
      <c r="HD84" s="219">
        <v>-8.0</v>
      </c>
      <c r="HE84" s="219">
        <v>-9.0</v>
      </c>
      <c r="HF84" s="219">
        <v>-10.0</v>
      </c>
      <c r="HG84" s="219">
        <v>-11.0</v>
      </c>
      <c r="HH84" s="219">
        <v>-12.0</v>
      </c>
      <c r="HI84" s="219">
        <v>-13.0</v>
      </c>
      <c r="HJ84" s="219">
        <v>-14.0</v>
      </c>
      <c r="HK84" s="219">
        <v>-15.0</v>
      </c>
      <c r="HL84" s="219">
        <v>-16.0</v>
      </c>
      <c r="HM84" s="220"/>
      <c r="HN84" s="218">
        <v>-1.0</v>
      </c>
      <c r="HO84" s="219">
        <v>-2.0</v>
      </c>
      <c r="HP84" s="219">
        <v>-3.0</v>
      </c>
      <c r="HQ84" s="219">
        <v>-4.0</v>
      </c>
      <c r="HR84" s="219">
        <v>-5.0</v>
      </c>
      <c r="HS84" s="219">
        <v>-6.0</v>
      </c>
      <c r="HT84" s="219">
        <v>-7.0</v>
      </c>
      <c r="HU84" s="219">
        <v>-8.0</v>
      </c>
      <c r="HV84" s="219">
        <v>-9.0</v>
      </c>
      <c r="HW84" s="219">
        <v>-10.0</v>
      </c>
      <c r="HX84" s="219">
        <v>-11.0</v>
      </c>
      <c r="HY84" s="219">
        <v>-12.0</v>
      </c>
      <c r="HZ84" s="219">
        <v>-13.0</v>
      </c>
      <c r="IA84" s="219">
        <v>-14.0</v>
      </c>
      <c r="IB84" s="219">
        <v>-15.0</v>
      </c>
      <c r="IC84" s="219">
        <v>-16.0</v>
      </c>
      <c r="ID84" s="220"/>
      <c r="IE84" s="218">
        <v>-1.0</v>
      </c>
      <c r="IF84" s="219">
        <v>-2.0</v>
      </c>
      <c r="IG84" s="219">
        <v>-3.0</v>
      </c>
      <c r="IH84" s="219">
        <v>-4.0</v>
      </c>
      <c r="II84" s="219">
        <v>-5.0</v>
      </c>
      <c r="IJ84" s="219">
        <v>-6.0</v>
      </c>
      <c r="IK84" s="219">
        <v>-7.0</v>
      </c>
      <c r="IL84" s="219">
        <v>-8.0</v>
      </c>
      <c r="IM84" s="219">
        <v>-9.0</v>
      </c>
      <c r="IN84" s="219">
        <v>-10.0</v>
      </c>
      <c r="IO84" s="219">
        <v>-11.0</v>
      </c>
      <c r="IP84" s="219">
        <v>-12.0</v>
      </c>
      <c r="IQ84" s="219">
        <v>-13.0</v>
      </c>
      <c r="IR84" s="219">
        <v>-14.0</v>
      </c>
      <c r="IS84" s="219">
        <v>-15.0</v>
      </c>
      <c r="IT84" s="219">
        <v>-16.0</v>
      </c>
      <c r="IU84" s="220"/>
      <c r="IV84" s="218">
        <v>-1.0</v>
      </c>
      <c r="IW84" s="219">
        <v>-2.0</v>
      </c>
      <c r="IX84" s="219">
        <v>-3.0</v>
      </c>
      <c r="IY84" s="219">
        <v>-4.0</v>
      </c>
      <c r="IZ84" s="219">
        <v>-5.0</v>
      </c>
      <c r="JA84" s="219">
        <v>-6.0</v>
      </c>
      <c r="JB84" s="219">
        <v>-7.0</v>
      </c>
      <c r="JC84" s="219">
        <v>-8.0</v>
      </c>
      <c r="JD84" s="219">
        <v>-9.0</v>
      </c>
      <c r="JE84" s="219">
        <v>-10.0</v>
      </c>
      <c r="JF84" s="219">
        <v>-11.0</v>
      </c>
      <c r="JG84" s="219">
        <v>-12.0</v>
      </c>
      <c r="JH84" s="219">
        <v>-13.0</v>
      </c>
      <c r="JI84" s="219">
        <v>-14.0</v>
      </c>
      <c r="JJ84" s="219">
        <v>-15.0</v>
      </c>
      <c r="JK84" s="219">
        <v>-16.0</v>
      </c>
      <c r="JL84" s="220"/>
      <c r="JM84" s="218">
        <v>-1.0</v>
      </c>
      <c r="JN84" s="219">
        <v>-2.0</v>
      </c>
      <c r="JO84" s="219">
        <v>-3.0</v>
      </c>
      <c r="JP84" s="219">
        <v>-4.0</v>
      </c>
      <c r="JQ84" s="219">
        <v>-5.0</v>
      </c>
      <c r="JR84" s="219">
        <v>-6.0</v>
      </c>
      <c r="JS84" s="219">
        <v>-7.0</v>
      </c>
      <c r="JT84" s="219">
        <v>-8.0</v>
      </c>
      <c r="JU84" s="219">
        <v>-9.0</v>
      </c>
      <c r="JV84" s="219">
        <v>-10.0</v>
      </c>
      <c r="JW84" s="219">
        <v>-11.0</v>
      </c>
      <c r="JX84" s="219">
        <v>-12.0</v>
      </c>
      <c r="JY84" s="219">
        <v>-13.0</v>
      </c>
      <c r="JZ84" s="219">
        <v>-14.0</v>
      </c>
      <c r="KA84" s="219">
        <v>-15.0</v>
      </c>
      <c r="KB84" s="219">
        <v>-16.0</v>
      </c>
      <c r="KC84" s="220"/>
      <c r="KD84" s="218">
        <v>-1.0</v>
      </c>
      <c r="KE84" s="219">
        <v>-2.0</v>
      </c>
      <c r="KF84" s="219">
        <v>-3.0</v>
      </c>
      <c r="KG84" s="219">
        <v>-4.0</v>
      </c>
      <c r="KH84" s="219">
        <v>-5.0</v>
      </c>
      <c r="KI84" s="219">
        <v>-6.0</v>
      </c>
      <c r="KJ84" s="219">
        <v>-7.0</v>
      </c>
      <c r="KK84" s="219">
        <v>-8.0</v>
      </c>
      <c r="KL84" s="219">
        <v>-9.0</v>
      </c>
      <c r="KM84" s="219">
        <v>-10.0</v>
      </c>
      <c r="KN84" s="219">
        <v>-11.0</v>
      </c>
      <c r="KO84" s="219">
        <v>-12.0</v>
      </c>
      <c r="KP84" s="219">
        <v>-13.0</v>
      </c>
      <c r="KQ84" s="219">
        <v>-14.0</v>
      </c>
      <c r="KR84" s="219">
        <v>-15.0</v>
      </c>
      <c r="KS84" s="219">
        <v>-16.0</v>
      </c>
      <c r="KT84" s="220"/>
      <c r="KU84" s="221"/>
    </row>
    <row r="85" ht="15.75" customHeight="1">
      <c r="A85" s="222">
        <v>1.0</v>
      </c>
      <c r="B85" s="223" t="str">
        <f t="shared" ref="B85:D85" si="1084">IFERROR(VLOOKUP($A85,$A$13:$D$30,-B$12,FALSE),"")</f>
        <v>Bijih  Emas</v>
      </c>
      <c r="C85" s="224" t="str">
        <f t="shared" si="1084"/>
        <v>Bijih </v>
      </c>
      <c r="D85" s="224" t="str">
        <f t="shared" si="1084"/>
        <v>Kg</v>
      </c>
      <c r="E85" s="225"/>
      <c r="F85" s="225" t="str">
        <f t="shared" ref="F85:F101" si="1103">F49</f>
        <v/>
      </c>
      <c r="G85" s="225">
        <f t="shared" ref="G85:G101" si="1104">IFERROR(+E85*F85/1000000,"")</f>
        <v>0</v>
      </c>
      <c r="H85" s="226"/>
      <c r="I85" s="225">
        <f t="shared" ref="I85:I101" si="1105">IFERROR(+G85*H85,"")</f>
        <v>0</v>
      </c>
      <c r="J85" s="409"/>
      <c r="K85" s="85"/>
      <c r="L85" s="85"/>
      <c r="M85" s="227">
        <f t="shared" ref="M85:M101" si="1106">IFERROR(+(IF(G85="","0",G85))+(IF(I85="","0",I85))+(IF(L85="","0",L85)),"")</f>
        <v>0</v>
      </c>
      <c r="N85" s="226">
        <f t="shared" ref="N85:N99" si="1107">N49</f>
        <v>0.4604471269</v>
      </c>
      <c r="O85" s="228">
        <f t="shared" ref="O85:O101" si="1108">IFERROR(+N85*(M85-L85),"")</f>
        <v>0</v>
      </c>
      <c r="P85" s="229">
        <f t="shared" ref="P85:P101" si="1109">IFERROR(+(IF(M85="","0",M85))-(IF(O85="","0",O85)),"")</f>
        <v>0</v>
      </c>
      <c r="Q85" s="230"/>
      <c r="R85" s="222">
        <v>1.0</v>
      </c>
      <c r="S85" s="223" t="str">
        <f t="shared" ref="S85:U85" si="1085">IFERROR(VLOOKUP($R85,$A$13:$D$30,-S$12,FALSE),"")</f>
        <v>Bijih  Emas</v>
      </c>
      <c r="T85" s="224" t="str">
        <f t="shared" si="1085"/>
        <v>Bijih </v>
      </c>
      <c r="U85" s="224" t="str">
        <f t="shared" si="1085"/>
        <v>Kg</v>
      </c>
      <c r="V85" s="225"/>
      <c r="W85" s="225" t="str">
        <f t="shared" ref="W85:W101" si="1111">W49</f>
        <v/>
      </c>
      <c r="X85" s="225">
        <f t="shared" ref="X85:X101" si="1112">IFERROR(+V85*W85/1000000,"")</f>
        <v>0</v>
      </c>
      <c r="Y85" s="226"/>
      <c r="Z85" s="225">
        <f t="shared" ref="Z85:Z101" si="1113">IFERROR(+X85*Y85,"")</f>
        <v>0</v>
      </c>
      <c r="AA85" s="409"/>
      <c r="AB85" s="85"/>
      <c r="AC85" s="85"/>
      <c r="AD85" s="227">
        <f t="shared" ref="AD85:AD101" si="1114">IFERROR(+(IF(X85="","0",X85))+(IF(Z85="","0",Z85))+(IF(AC85="","0",AC85)),"")</f>
        <v>0</v>
      </c>
      <c r="AE85" s="226">
        <f t="shared" ref="AE85:AE101" si="1115">N85</f>
        <v>0.4604471269</v>
      </c>
      <c r="AF85" s="228">
        <f t="shared" ref="AF85:AF101" si="1116">IFERROR(+AE85*(AD85-AC85),"")</f>
        <v>0</v>
      </c>
      <c r="AG85" s="229">
        <f t="shared" ref="AG85:AG101" si="1117">IFERROR(+(IF(AD85="","0",AD85))-(IF(AF85="","0",AF85)),"")</f>
        <v>0</v>
      </c>
      <c r="AH85" s="230"/>
      <c r="AI85" s="222">
        <v>1.0</v>
      </c>
      <c r="AJ85" s="223" t="str">
        <f t="shared" ref="AJ85:AL85" si="1086">IFERROR(VLOOKUP($R85,$A$13:$D$30,-AJ$12,FALSE),"")</f>
        <v>Bijih  Emas</v>
      </c>
      <c r="AK85" s="224" t="str">
        <f t="shared" si="1086"/>
        <v>Bijih </v>
      </c>
      <c r="AL85" s="224" t="str">
        <f t="shared" si="1086"/>
        <v>Kg</v>
      </c>
      <c r="AM85" s="225"/>
      <c r="AN85" s="225" t="str">
        <f t="shared" ref="AN85:AN101" si="1119">AN49</f>
        <v/>
      </c>
      <c r="AO85" s="225">
        <f t="shared" ref="AO85:AO101" si="1120">IFERROR(+AM85*AN85/1000000,"")</f>
        <v>0</v>
      </c>
      <c r="AP85" s="226"/>
      <c r="AQ85" s="225">
        <f t="shared" ref="AQ85:AQ101" si="1121">IFERROR(+AO85*AP85,"")</f>
        <v>0</v>
      </c>
      <c r="AR85" s="409"/>
      <c r="AS85" s="85"/>
      <c r="AT85" s="85"/>
      <c r="AU85" s="227">
        <f t="shared" ref="AU85:AU101" si="1122">IFERROR(+(IF(AO85="","0",AO85))+(IF(AQ85="","0",AQ85))+(IF(AT85="","0",AT85)),"")</f>
        <v>0</v>
      </c>
      <c r="AV85" s="226">
        <f t="shared" ref="AV85:AV101" si="1123">AE85</f>
        <v>0.4604471269</v>
      </c>
      <c r="AW85" s="228">
        <f t="shared" ref="AW85:AW101" si="1124">IFERROR(+AV85*(AU85-AT85),"")</f>
        <v>0</v>
      </c>
      <c r="AX85" s="229">
        <f t="shared" ref="AX85:AX101" si="1125">IFERROR(+(IF(AU85="","0",AU85))-(IF(AW85="","0",AW85)),"")</f>
        <v>0</v>
      </c>
      <c r="AY85" s="230"/>
      <c r="AZ85" s="222">
        <v>1.0</v>
      </c>
      <c r="BA85" s="223" t="str">
        <f t="shared" ref="BA85:BC85" si="1087">IFERROR(VLOOKUP($R85,$A$13:$D$30,-BA$12,FALSE),"")</f>
        <v>Bijih  Emas</v>
      </c>
      <c r="BB85" s="224" t="str">
        <f t="shared" si="1087"/>
        <v>Bijih </v>
      </c>
      <c r="BC85" s="224" t="str">
        <f t="shared" si="1087"/>
        <v>Kg</v>
      </c>
      <c r="BD85" s="225"/>
      <c r="BE85" s="225" t="str">
        <f t="shared" ref="BE85:BE101" si="1127">BE49</f>
        <v/>
      </c>
      <c r="BF85" s="225">
        <f t="shared" ref="BF85:BF101" si="1128">IFERROR(+BD85*BE85/1000000,"")</f>
        <v>0</v>
      </c>
      <c r="BG85" s="226"/>
      <c r="BH85" s="225">
        <f t="shared" ref="BH85:BH101" si="1129">IFERROR(+BF85*BG85,"")</f>
        <v>0</v>
      </c>
      <c r="BI85" s="409"/>
      <c r="BJ85" s="85"/>
      <c r="BK85" s="85"/>
      <c r="BL85" s="227">
        <f t="shared" ref="BL85:BL101" si="1130">IFERROR(+(IF(BF85="","0",BF85))+(IF(BH85="","0",BH85))+(IF(BK85="","0",BK85)),"")</f>
        <v>0</v>
      </c>
      <c r="BM85" s="226">
        <f t="shared" ref="BM85:BM101" si="1131">AV85</f>
        <v>0.4604471269</v>
      </c>
      <c r="BN85" s="228">
        <f t="shared" ref="BN85:BN101" si="1132">IFERROR(+BM85*(BL85-BK85),"")</f>
        <v>0</v>
      </c>
      <c r="BO85" s="229">
        <f t="shared" ref="BO85:BO101" si="1133">IFERROR(+(IF(BL85="","0",BL85))-(IF(BN85="","0",BN85)),"")</f>
        <v>0</v>
      </c>
      <c r="BP85" s="230"/>
      <c r="BQ85" s="222">
        <v>1.0</v>
      </c>
      <c r="BR85" s="223" t="str">
        <f t="shared" ref="BR85:BT85" si="1088">IFERROR(VLOOKUP($R85,$A$13:$D$30,-BR$12,FALSE),"")</f>
        <v>Bijih  Emas</v>
      </c>
      <c r="BS85" s="224" t="str">
        <f t="shared" si="1088"/>
        <v>Bijih </v>
      </c>
      <c r="BT85" s="224" t="str">
        <f t="shared" si="1088"/>
        <v>Kg</v>
      </c>
      <c r="BU85" s="225"/>
      <c r="BV85" s="225" t="str">
        <f t="shared" ref="BV85:BV101" si="1135">BV49</f>
        <v/>
      </c>
      <c r="BW85" s="225">
        <f t="shared" ref="BW85:BW101" si="1136">IFERROR(+BU85*BV85/1000000,"")</f>
        <v>0</v>
      </c>
      <c r="BX85" s="226"/>
      <c r="BY85" s="225">
        <f t="shared" ref="BY85:BY101" si="1137">IFERROR(+BW85*BX85,"")</f>
        <v>0</v>
      </c>
      <c r="BZ85" s="409"/>
      <c r="CA85" s="85"/>
      <c r="CB85" s="85"/>
      <c r="CC85" s="227">
        <f t="shared" ref="CC85:CC101" si="1138">IFERROR(+(IF(BW85="","0",BW85))+(IF(BY85="","0",BY85))+(IF(CB85="","0",CB85)),"")</f>
        <v>0</v>
      </c>
      <c r="CD85" s="226">
        <f t="shared" ref="CD85:CD101" si="1139">BM85</f>
        <v>0.4604471269</v>
      </c>
      <c r="CE85" s="228">
        <f t="shared" ref="CE85:CE101" si="1140">IFERROR(+CD85*(CC85-CB85),"")</f>
        <v>0</v>
      </c>
      <c r="CF85" s="229">
        <f t="shared" ref="CF85:CF101" si="1141">IFERROR(+(IF(CC85="","0",CC85))-(IF(CE85="","0",CE85)),"")</f>
        <v>0</v>
      </c>
      <c r="CG85" s="230"/>
      <c r="CH85" s="222">
        <v>1.0</v>
      </c>
      <c r="CI85" s="223" t="str">
        <f t="shared" ref="CI85:CK85" si="1089">IFERROR(VLOOKUP($R85,$A$13:$D$30,-CI$12,FALSE),"")</f>
        <v>Bijih  Emas</v>
      </c>
      <c r="CJ85" s="224" t="str">
        <f t="shared" si="1089"/>
        <v>Bijih </v>
      </c>
      <c r="CK85" s="224" t="str">
        <f t="shared" si="1089"/>
        <v>Kg</v>
      </c>
      <c r="CL85" s="225"/>
      <c r="CM85" s="225" t="str">
        <f t="shared" ref="CM85:CM101" si="1143">CM49</f>
        <v/>
      </c>
      <c r="CN85" s="225">
        <f t="shared" ref="CN85:CN101" si="1144">IFERROR(+CL85*CM85/1000000,"")</f>
        <v>0</v>
      </c>
      <c r="CO85" s="226"/>
      <c r="CP85" s="225">
        <f t="shared" ref="CP85:CP101" si="1145">IFERROR(+CN85*CO85,"")</f>
        <v>0</v>
      </c>
      <c r="CQ85" s="409"/>
      <c r="CR85" s="85"/>
      <c r="CS85" s="85"/>
      <c r="CT85" s="227">
        <f t="shared" ref="CT85:CT101" si="1146">IFERROR(+(IF(CN85="","0",CN85))+(IF(CP85="","0",CP85))+(IF(CS85="","0",CS85)),"")</f>
        <v>0</v>
      </c>
      <c r="CU85" s="226">
        <f t="shared" ref="CU85:CU101" si="1147">CD85</f>
        <v>0.4604471269</v>
      </c>
      <c r="CV85" s="228">
        <f t="shared" ref="CV85:CV101" si="1148">IFERROR(+CU85*(CT85-CS85),"")</f>
        <v>0</v>
      </c>
      <c r="CW85" s="229">
        <f t="shared" ref="CW85:CW101" si="1149">IFERROR(+(IF(CT85="","0",CT85))-(IF(CV85="","0",CV85)),"")</f>
        <v>0</v>
      </c>
      <c r="CX85" s="230"/>
      <c r="CY85" s="222">
        <v>1.0</v>
      </c>
      <c r="CZ85" s="223" t="str">
        <f t="shared" ref="CZ85:DB85" si="1090">IFERROR(VLOOKUP($R85,$A$13:$D$30,-CZ$12,FALSE),"")</f>
        <v>Bijih  Emas</v>
      </c>
      <c r="DA85" s="224" t="str">
        <f t="shared" si="1090"/>
        <v>Bijih </v>
      </c>
      <c r="DB85" s="224" t="str">
        <f t="shared" si="1090"/>
        <v>Kg</v>
      </c>
      <c r="DC85" s="225"/>
      <c r="DD85" s="225" t="str">
        <f t="shared" ref="DD85:DD101" si="1151">DD49</f>
        <v/>
      </c>
      <c r="DE85" s="225">
        <f t="shared" ref="DE85:DE101" si="1152">IFERROR(+DC85*DD85/1000000,"")</f>
        <v>0</v>
      </c>
      <c r="DF85" s="226"/>
      <c r="DG85" s="225">
        <f t="shared" ref="DG85:DG101" si="1153">IFERROR(+DE85*DF85,"")</f>
        <v>0</v>
      </c>
      <c r="DH85" s="409"/>
      <c r="DI85" s="85"/>
      <c r="DJ85" s="85"/>
      <c r="DK85" s="227">
        <f t="shared" ref="DK85:DK101" si="1154">IFERROR(+(IF(DE85="","0",DE85))+(IF(DG85="","0",DG85))+(IF(DJ85="","0",DJ85)),"")</f>
        <v>0</v>
      </c>
      <c r="DL85" s="226">
        <f t="shared" ref="DL85:DL101" si="1155">CU85</f>
        <v>0.4604471269</v>
      </c>
      <c r="DM85" s="228">
        <f t="shared" ref="DM85:DM101" si="1156">IFERROR(+DL85*(DK85-DJ85),"")</f>
        <v>0</v>
      </c>
      <c r="DN85" s="229">
        <f t="shared" ref="DN85:DN101" si="1157">IFERROR(+(IF(DK85="","0",DK85))-(IF(DM85="","0",DM85)),"")</f>
        <v>0</v>
      </c>
      <c r="DO85" s="230"/>
      <c r="DP85" s="222">
        <v>1.0</v>
      </c>
      <c r="DQ85" s="223" t="str">
        <f t="shared" ref="DQ85:DS85" si="1091">IFERROR(VLOOKUP($R85,$A$13:$D$30,-DQ$12,FALSE),"")</f>
        <v>Bijih  Emas</v>
      </c>
      <c r="DR85" s="224" t="str">
        <f t="shared" si="1091"/>
        <v>Bijih </v>
      </c>
      <c r="DS85" s="224" t="str">
        <f t="shared" si="1091"/>
        <v>Kg</v>
      </c>
      <c r="DT85" s="225"/>
      <c r="DU85" s="225" t="str">
        <f t="shared" ref="DU85:DU101" si="1159">DU49</f>
        <v/>
      </c>
      <c r="DV85" s="225">
        <f t="shared" ref="DV85:DV101" si="1160">IFERROR(+DT85*DU85/1000000,"")</f>
        <v>0</v>
      </c>
      <c r="DW85" s="226"/>
      <c r="DX85" s="225">
        <f t="shared" ref="DX85:DX101" si="1161">IFERROR(+DV85*DW85,"")</f>
        <v>0</v>
      </c>
      <c r="DY85" s="409"/>
      <c r="DZ85" s="85"/>
      <c r="EA85" s="85"/>
      <c r="EB85" s="227">
        <f t="shared" ref="EB85:EB101" si="1162">IFERROR(+(IF(DV85="","0",DV85))+(IF(DX85="","0",DX85))+(IF(EA85="","0",EA85)),"")</f>
        <v>0</v>
      </c>
      <c r="EC85" s="226">
        <f t="shared" ref="EC85:EC101" si="1163">DL85</f>
        <v>0.4604471269</v>
      </c>
      <c r="ED85" s="228">
        <f t="shared" ref="ED85:ED101" si="1164">IFERROR(+EC85*(EB85-EA85),"")</f>
        <v>0</v>
      </c>
      <c r="EE85" s="229">
        <f t="shared" ref="EE85:EE101" si="1165">IFERROR(+(IF(EB85="","0",EB85))-(IF(ED85="","0",ED85)),"")</f>
        <v>0</v>
      </c>
      <c r="EF85" s="230"/>
      <c r="EG85" s="222">
        <v>1.0</v>
      </c>
      <c r="EH85" s="223" t="str">
        <f t="shared" ref="EH85:EJ85" si="1092">IFERROR(VLOOKUP($R85,$A$13:$D$30,-EH$12,FALSE),"")</f>
        <v>Bijih  Emas</v>
      </c>
      <c r="EI85" s="224" t="str">
        <f t="shared" si="1092"/>
        <v>Bijih </v>
      </c>
      <c r="EJ85" s="224" t="str">
        <f t="shared" si="1092"/>
        <v>Kg</v>
      </c>
      <c r="EK85" s="225"/>
      <c r="EL85" s="225" t="str">
        <f t="shared" ref="EL85:EL101" si="1167">EL49</f>
        <v/>
      </c>
      <c r="EM85" s="225">
        <f t="shared" ref="EM85:EM101" si="1168">IFERROR(+EK85*EL85/1000000,"")</f>
        <v>0</v>
      </c>
      <c r="EN85" s="226"/>
      <c r="EO85" s="225">
        <f t="shared" ref="EO85:EO101" si="1169">IFERROR(+EM85*EN85,"")</f>
        <v>0</v>
      </c>
      <c r="EP85" s="409"/>
      <c r="EQ85" s="85"/>
      <c r="ER85" s="85"/>
      <c r="ES85" s="227">
        <f t="shared" ref="ES85:ES101" si="1170">IFERROR(+(IF(EM85="","0",EM85))+(IF(EO85="","0",EO85))+(IF(ER85="","0",ER85)),"")</f>
        <v>0</v>
      </c>
      <c r="ET85" s="226">
        <f t="shared" ref="ET85:ET101" si="1171">EC85</f>
        <v>0.4604471269</v>
      </c>
      <c r="EU85" s="228">
        <f t="shared" ref="EU85:EU101" si="1172">IFERROR(+ET85*(ES85-ER85),"")</f>
        <v>0</v>
      </c>
      <c r="EV85" s="229">
        <f t="shared" ref="EV85:EV101" si="1173">IFERROR(+(IF(ES85="","0",ES85))-(IF(EU85="","0",EU85)),"")</f>
        <v>0</v>
      </c>
      <c r="EW85" s="230"/>
      <c r="EX85" s="222">
        <v>1.0</v>
      </c>
      <c r="EY85" s="223" t="str">
        <f t="shared" ref="EY85:FA85" si="1093">IFERROR(VLOOKUP($R85,$A$13:$D$30,-EY$12,FALSE),"")</f>
        <v>Bijih  Emas</v>
      </c>
      <c r="EZ85" s="224" t="str">
        <f t="shared" si="1093"/>
        <v>Bijih </v>
      </c>
      <c r="FA85" s="224" t="str">
        <f t="shared" si="1093"/>
        <v>Kg</v>
      </c>
      <c r="FB85" s="225"/>
      <c r="FC85" s="225" t="str">
        <f t="shared" ref="FC85:FC101" si="1175">FC49</f>
        <v/>
      </c>
      <c r="FD85" s="225">
        <f t="shared" ref="FD85:FD101" si="1176">IFERROR(+FB85*FC85/1000000,"")</f>
        <v>0</v>
      </c>
      <c r="FE85" s="226"/>
      <c r="FF85" s="225">
        <f t="shared" ref="FF85:FF101" si="1177">IFERROR(+FD85*FE85,"")</f>
        <v>0</v>
      </c>
      <c r="FG85" s="409"/>
      <c r="FH85" s="85"/>
      <c r="FI85" s="85"/>
      <c r="FJ85" s="227">
        <f t="shared" ref="FJ85:FJ101" si="1178">IFERROR(+(IF(FD85="","0",FD85))+(IF(FF85="","0",FF85))+(IF(FI85="","0",FI85)),"")</f>
        <v>0</v>
      </c>
      <c r="FK85" s="226">
        <f t="shared" ref="FK85:FK101" si="1179">ET85</f>
        <v>0.4604471269</v>
      </c>
      <c r="FL85" s="228">
        <f t="shared" ref="FL85:FL101" si="1180">IFERROR(+FK85*(FJ85-FI85),"")</f>
        <v>0</v>
      </c>
      <c r="FM85" s="229">
        <f t="shared" ref="FM85:FM101" si="1181">IFERROR(+(IF(FJ85="","0",FJ85))-(IF(FL85="","0",FL85)),"")</f>
        <v>0</v>
      </c>
      <c r="FN85" s="230"/>
      <c r="FO85" s="222">
        <v>1.0</v>
      </c>
      <c r="FP85" s="223" t="str">
        <f t="shared" ref="FP85:FR85" si="1094">IFERROR(VLOOKUP($R85,$A$13:$D$30,-FP$12,FALSE),"")</f>
        <v>Bijih  Emas</v>
      </c>
      <c r="FQ85" s="224" t="str">
        <f t="shared" si="1094"/>
        <v>Bijih </v>
      </c>
      <c r="FR85" s="224" t="str">
        <f t="shared" si="1094"/>
        <v>Kg</v>
      </c>
      <c r="FS85" s="225"/>
      <c r="FT85" s="225" t="str">
        <f t="shared" ref="FT85:FT101" si="1183">FT49</f>
        <v/>
      </c>
      <c r="FU85" s="225">
        <f t="shared" ref="FU85:FU101" si="1184">IFERROR(+FS85*FT85/1000000,"")</f>
        <v>0</v>
      </c>
      <c r="FV85" s="226"/>
      <c r="FW85" s="225">
        <f t="shared" ref="FW85:FW101" si="1185">IFERROR(+FU85*FV85,"")</f>
        <v>0</v>
      </c>
      <c r="FX85" s="409"/>
      <c r="FY85" s="85"/>
      <c r="FZ85" s="85"/>
      <c r="GA85" s="227">
        <f t="shared" ref="GA85:GA101" si="1186">IFERROR(+(IF(FU85="","0",FU85))+(IF(FW85="","0",FW85))+(IF(FZ85="","0",FZ85)),"")</f>
        <v>0</v>
      </c>
      <c r="GB85" s="226">
        <f t="shared" ref="GB85:GB101" si="1187">FK85</f>
        <v>0.4604471269</v>
      </c>
      <c r="GC85" s="228">
        <f t="shared" ref="GC85:GC101" si="1188">IFERROR(+GB85*(GA85-FZ85),"")</f>
        <v>0</v>
      </c>
      <c r="GD85" s="229">
        <f t="shared" ref="GD85:GD101" si="1189">IFERROR(+(IF(GA85="","0",GA85))-(IF(GC85="","0",GC85)),"")</f>
        <v>0</v>
      </c>
      <c r="GE85" s="230"/>
      <c r="GF85" s="222">
        <v>1.0</v>
      </c>
      <c r="GG85" s="223" t="str">
        <f t="shared" ref="GG85:GI85" si="1095">IFERROR(VLOOKUP($R85,$A$13:$D$30,-GG$12,FALSE),"")</f>
        <v>Bijih  Emas</v>
      </c>
      <c r="GH85" s="224" t="str">
        <f t="shared" si="1095"/>
        <v>Bijih </v>
      </c>
      <c r="GI85" s="224" t="str">
        <f t="shared" si="1095"/>
        <v>Kg</v>
      </c>
      <c r="GJ85" s="225"/>
      <c r="GK85" s="225" t="str">
        <f t="shared" ref="GK85:GK101" si="1191">GK49</f>
        <v/>
      </c>
      <c r="GL85" s="225">
        <f t="shared" ref="GL85:GL101" si="1192">IFERROR(+GJ85*GK85/1000000,"")</f>
        <v>0</v>
      </c>
      <c r="GM85" s="226"/>
      <c r="GN85" s="225">
        <f t="shared" ref="GN85:GN101" si="1193">IFERROR(+GL85*GM85,"")</f>
        <v>0</v>
      </c>
      <c r="GO85" s="409"/>
      <c r="GP85" s="85"/>
      <c r="GQ85" s="85"/>
      <c r="GR85" s="227">
        <f t="shared" ref="GR85:GR101" si="1194">IFERROR(+(IF(GL85="","0",GL85))+(IF(GN85="","0",GN85))+(IF(GQ85="","0",GQ85)),"")</f>
        <v>0</v>
      </c>
      <c r="GS85" s="226">
        <f t="shared" ref="GS85:GS101" si="1195">GB85</f>
        <v>0.4604471269</v>
      </c>
      <c r="GT85" s="228">
        <f t="shared" ref="GT85:GT101" si="1196">IFERROR(+GS85*(GR85-GQ85),"")</f>
        <v>0</v>
      </c>
      <c r="GU85" s="229">
        <f t="shared" ref="GU85:GU101" si="1197">IFERROR(+(IF(GR85="","0",GR85))-(IF(GT85="","0",GT85)),"")</f>
        <v>0</v>
      </c>
      <c r="GV85" s="230"/>
      <c r="GW85" s="222">
        <v>1.0</v>
      </c>
      <c r="GX85" s="223" t="str">
        <f t="shared" ref="GX85:GZ85" si="1096">IFERROR(VLOOKUP($R85,$A$13:$D$30,-GX$12,FALSE),"")</f>
        <v>Bijih  Emas</v>
      </c>
      <c r="GY85" s="224" t="str">
        <f t="shared" si="1096"/>
        <v>Bijih </v>
      </c>
      <c r="GZ85" s="224" t="str">
        <f t="shared" si="1096"/>
        <v>Kg</v>
      </c>
      <c r="HA85" s="225"/>
      <c r="HB85" s="225" t="str">
        <f t="shared" ref="HB85:HB101" si="1199">HB49</f>
        <v/>
      </c>
      <c r="HC85" s="225">
        <f t="shared" ref="HC85:HC101" si="1200">IFERROR(+HA85*HB85/1000000,"")</f>
        <v>0</v>
      </c>
      <c r="HD85" s="226"/>
      <c r="HE85" s="225">
        <f t="shared" ref="HE85:HE101" si="1201">IFERROR(+HC85*HD85,"")</f>
        <v>0</v>
      </c>
      <c r="HF85" s="409"/>
      <c r="HG85" s="85"/>
      <c r="HH85" s="85"/>
      <c r="HI85" s="227">
        <f t="shared" ref="HI85:HI101" si="1202">IFERROR(+(IF(HC85="","0",HC85))+(IF(HE85="","0",HE85))+(IF(HH85="","0",HH85)),"")</f>
        <v>0</v>
      </c>
      <c r="HJ85" s="226">
        <f t="shared" ref="HJ85:HJ101" si="1203">GS85</f>
        <v>0.4604471269</v>
      </c>
      <c r="HK85" s="228">
        <f t="shared" ref="HK85:HK101" si="1204">IFERROR(+HJ85*(HI85-HH85),"")</f>
        <v>0</v>
      </c>
      <c r="HL85" s="229">
        <f t="shared" ref="HL85:HL101" si="1205">IFERROR(+(IF(HI85="","0",HI85))-(IF(HK85="","0",HK85)),"")</f>
        <v>0</v>
      </c>
      <c r="HM85" s="230"/>
      <c r="HN85" s="222">
        <v>1.0</v>
      </c>
      <c r="HO85" s="223" t="str">
        <f t="shared" ref="HO85:HQ85" si="1097">IFERROR(VLOOKUP($R85,$A$13:$D$30,-HO$12,FALSE),"")</f>
        <v>Bijih  Emas</v>
      </c>
      <c r="HP85" s="224" t="str">
        <f t="shared" si="1097"/>
        <v>Bijih </v>
      </c>
      <c r="HQ85" s="224" t="str">
        <f t="shared" si="1097"/>
        <v>Kg</v>
      </c>
      <c r="HR85" s="225"/>
      <c r="HS85" s="225" t="str">
        <f t="shared" ref="HS85:HS101" si="1207">HS49</f>
        <v/>
      </c>
      <c r="HT85" s="225">
        <f t="shared" ref="HT85:HT101" si="1208">IFERROR(+HR85*HS85/1000000,"")</f>
        <v>0</v>
      </c>
      <c r="HU85" s="226"/>
      <c r="HV85" s="225">
        <f t="shared" ref="HV85:HV101" si="1209">IFERROR(+HT85*HU85,"")</f>
        <v>0</v>
      </c>
      <c r="HW85" s="409"/>
      <c r="HX85" s="85"/>
      <c r="HY85" s="85"/>
      <c r="HZ85" s="227">
        <f t="shared" ref="HZ85:HZ101" si="1210">IFERROR(+(IF(HT85="","0",HT85))+(IF(HV85="","0",HV85))+(IF(HY85="","0",HY85)),"")</f>
        <v>0</v>
      </c>
      <c r="IA85" s="226">
        <f t="shared" ref="IA85:IA101" si="1211">HJ85</f>
        <v>0.4604471269</v>
      </c>
      <c r="IB85" s="228">
        <f t="shared" ref="IB85:IB101" si="1212">IFERROR(+IA85*(HZ85-HY85),"")</f>
        <v>0</v>
      </c>
      <c r="IC85" s="229">
        <f t="shared" ref="IC85:IC101" si="1213">IFERROR(+(IF(HZ85="","0",HZ85))-(IF(IB85="","0",IB85)),"")</f>
        <v>0</v>
      </c>
      <c r="ID85" s="230"/>
      <c r="IE85" s="222">
        <v>1.0</v>
      </c>
      <c r="IF85" s="223" t="str">
        <f t="shared" ref="IF85:IH85" si="1098">IFERROR(VLOOKUP($R85,$A$13:$D$30,-IF$12,FALSE),"")</f>
        <v>Bijih  Emas</v>
      </c>
      <c r="IG85" s="224" t="str">
        <f t="shared" si="1098"/>
        <v>Bijih </v>
      </c>
      <c r="IH85" s="224" t="str">
        <f t="shared" si="1098"/>
        <v>Kg</v>
      </c>
      <c r="II85" s="225"/>
      <c r="IJ85" s="225" t="str">
        <f t="shared" ref="IJ85:IJ101" si="1215">IJ49</f>
        <v/>
      </c>
      <c r="IK85" s="225">
        <f t="shared" ref="IK85:IK101" si="1216">IFERROR(+II85*IJ85/1000000,"")</f>
        <v>0</v>
      </c>
      <c r="IL85" s="226"/>
      <c r="IM85" s="225">
        <f t="shared" ref="IM85:IM101" si="1217">IFERROR(+IK85*IL85,"")</f>
        <v>0</v>
      </c>
      <c r="IN85" s="409"/>
      <c r="IO85" s="85"/>
      <c r="IP85" s="85"/>
      <c r="IQ85" s="227">
        <f t="shared" ref="IQ85:IQ101" si="1218">IFERROR(+(IF(IK85="","0",IK85))+(IF(IM85="","0",IM85))+(IF(IP85="","0",IP85)),"")</f>
        <v>0</v>
      </c>
      <c r="IR85" s="226">
        <f t="shared" ref="IR85:IR101" si="1219">IA85</f>
        <v>0.4604471269</v>
      </c>
      <c r="IS85" s="228">
        <f t="shared" ref="IS85:IS101" si="1220">IFERROR(+IR85*(IQ85-IP85),"")</f>
        <v>0</v>
      </c>
      <c r="IT85" s="229">
        <f t="shared" ref="IT85:IT101" si="1221">IFERROR(+(IF(IQ85="","0",IQ85))-(IF(IS85="","0",IS85)),"")</f>
        <v>0</v>
      </c>
      <c r="IU85" s="230"/>
      <c r="IV85" s="222">
        <v>1.0</v>
      </c>
      <c r="IW85" s="223" t="str">
        <f t="shared" ref="IW85:IY85" si="1099">IFERROR(VLOOKUP($R85,$A$13:$D$30,-IW$12,FALSE),"")</f>
        <v>Bijih  Emas</v>
      </c>
      <c r="IX85" s="224" t="str">
        <f t="shared" si="1099"/>
        <v>Bijih </v>
      </c>
      <c r="IY85" s="224" t="str">
        <f t="shared" si="1099"/>
        <v>Kg</v>
      </c>
      <c r="IZ85" s="225"/>
      <c r="JA85" s="225" t="str">
        <f t="shared" ref="JA85:JA101" si="1223">JA49</f>
        <v/>
      </c>
      <c r="JB85" s="225">
        <f t="shared" ref="JB85:JB101" si="1224">IFERROR(+IZ85*JA85/1000000,"")</f>
        <v>0</v>
      </c>
      <c r="JC85" s="226"/>
      <c r="JD85" s="225">
        <f t="shared" ref="JD85:JD101" si="1225">IFERROR(+JB85*JC85,"")</f>
        <v>0</v>
      </c>
      <c r="JE85" s="409"/>
      <c r="JF85" s="85"/>
      <c r="JG85" s="85"/>
      <c r="JH85" s="227">
        <f t="shared" ref="JH85:JH101" si="1226">IFERROR(+(IF(JB85="","0",JB85))+(IF(JD85="","0",JD85))+(IF(JG85="","0",JG85)),"")</f>
        <v>0</v>
      </c>
      <c r="JI85" s="226">
        <f t="shared" ref="JI85:JI101" si="1227">IR85</f>
        <v>0.4604471269</v>
      </c>
      <c r="JJ85" s="228">
        <f t="shared" ref="JJ85:JJ101" si="1228">IFERROR(+JI85*(JH85-JG85),"")</f>
        <v>0</v>
      </c>
      <c r="JK85" s="229">
        <f t="shared" ref="JK85:JK101" si="1229">IFERROR(+(IF(JH85="","0",JH85))-(IF(JJ85="","0",JJ85)),"")</f>
        <v>0</v>
      </c>
      <c r="JL85" s="230"/>
      <c r="JM85" s="222">
        <v>1.0</v>
      </c>
      <c r="JN85" s="223" t="str">
        <f t="shared" ref="JN85:JP85" si="1100">IFERROR(VLOOKUP($R85,$A$13:$D$30,-JN$12,FALSE),"")</f>
        <v>Bijih  Emas</v>
      </c>
      <c r="JO85" s="224" t="str">
        <f t="shared" si="1100"/>
        <v>Bijih </v>
      </c>
      <c r="JP85" s="224" t="str">
        <f t="shared" si="1100"/>
        <v>Kg</v>
      </c>
      <c r="JQ85" s="225"/>
      <c r="JR85" s="225" t="str">
        <f t="shared" ref="JR85:JR101" si="1231">JR49</f>
        <v/>
      </c>
      <c r="JS85" s="225">
        <f t="shared" ref="JS85:JS101" si="1232">IFERROR(+JQ85*JR85/1000000,"")</f>
        <v>0</v>
      </c>
      <c r="JT85" s="226"/>
      <c r="JU85" s="225">
        <f t="shared" ref="JU85:JU101" si="1233">IFERROR(+JS85*JT85,"")</f>
        <v>0</v>
      </c>
      <c r="JV85" s="409"/>
      <c r="JW85" s="85"/>
      <c r="JX85" s="85"/>
      <c r="JY85" s="227">
        <f t="shared" ref="JY85:JY101" si="1234">IFERROR(+(IF(JS85="","0",JS85))+(IF(JU85="","0",JU85))+(IF(JX85="","0",JX85)),"")</f>
        <v>0</v>
      </c>
      <c r="JZ85" s="226">
        <f t="shared" ref="JZ85:JZ101" si="1235">JI85</f>
        <v>0.4604471269</v>
      </c>
      <c r="KA85" s="228">
        <f t="shared" ref="KA85:KA101" si="1236">IFERROR(+JZ85*(JY85-JX85),"")</f>
        <v>0</v>
      </c>
      <c r="KB85" s="229">
        <f t="shared" ref="KB85:KB101" si="1237">IFERROR(+(IF(JY85="","0",JY85))-(IF(KA85="","0",KA85)),"")</f>
        <v>0</v>
      </c>
      <c r="KC85" s="230"/>
      <c r="KD85" s="222">
        <v>1.0</v>
      </c>
      <c r="KE85" s="223" t="str">
        <f t="shared" ref="KE85:KG85" si="1101">IFERROR(VLOOKUP($R85,$A$13:$D$30,-KE$12,FALSE),"")</f>
        <v>Bijih  Emas</v>
      </c>
      <c r="KF85" s="224" t="str">
        <f t="shared" si="1101"/>
        <v>Bijih </v>
      </c>
      <c r="KG85" s="224" t="str">
        <f t="shared" si="1101"/>
        <v>Kg</v>
      </c>
      <c r="KH85" s="225"/>
      <c r="KI85" s="225" t="str">
        <f t="shared" ref="KI85:KI101" si="1239">KI49</f>
        <v/>
      </c>
      <c r="KJ85" s="225">
        <f t="shared" ref="KJ85:KJ101" si="1240">IFERROR(+KH85*KI85/1000000,"")</f>
        <v>0</v>
      </c>
      <c r="KK85" s="226"/>
      <c r="KL85" s="225">
        <f t="shared" ref="KL85:KL101" si="1241">IFERROR(+KJ85*KK85,"")</f>
        <v>0</v>
      </c>
      <c r="KM85" s="409"/>
      <c r="KN85" s="85"/>
      <c r="KO85" s="85"/>
      <c r="KP85" s="227">
        <f t="shared" ref="KP85:KP101" si="1242">IFERROR(+(IF(KJ85="","0",KJ85))+(IF(KL85="","0",KL85))+(IF(KO85="","0",KO85)),"")</f>
        <v>0</v>
      </c>
      <c r="KQ85" s="226">
        <f t="shared" ref="KQ85:KQ101" si="1243">JZ85</f>
        <v>0.4604471269</v>
      </c>
      <c r="KR85" s="228">
        <f t="shared" ref="KR85:KR101" si="1244">IFERROR(+KQ85*(KP85-KO85),"")</f>
        <v>0</v>
      </c>
      <c r="KS85" s="229">
        <f t="shared" ref="KS85:KS101" si="1245">IFERROR(+(IF(KP85="","0",KP85))-(IF(KR85="","0",KR85)),"")</f>
        <v>0</v>
      </c>
      <c r="KT85" s="230"/>
      <c r="KU85" s="231"/>
    </row>
    <row r="86" ht="15.75" customHeight="1">
      <c r="A86" s="232">
        <f t="shared" ref="A86:A101" si="1246">A85+1</f>
        <v>2</v>
      </c>
      <c r="B86" s="233" t="str">
        <f t="shared" ref="B86:D86" si="1102">IFERROR(VLOOKUP($A86,$A$13:$D$30,-B$12,FALSE),"")</f>
        <v>Bijih  Perak</v>
      </c>
      <c r="C86" s="234" t="str">
        <f t="shared" si="1102"/>
        <v>Bijih </v>
      </c>
      <c r="D86" s="234" t="str">
        <f t="shared" si="1102"/>
        <v>Kg</v>
      </c>
      <c r="E86" s="227"/>
      <c r="F86" s="227" t="str">
        <f t="shared" si="1103"/>
        <v/>
      </c>
      <c r="G86" s="227">
        <f t="shared" si="1104"/>
        <v>0</v>
      </c>
      <c r="H86" s="235"/>
      <c r="I86" s="227">
        <f t="shared" si="1105"/>
        <v>0</v>
      </c>
      <c r="J86" s="410"/>
      <c r="K86" s="96"/>
      <c r="L86" s="96"/>
      <c r="M86" s="227">
        <f t="shared" si="1106"/>
        <v>0</v>
      </c>
      <c r="N86" s="235">
        <f t="shared" si="1107"/>
        <v>0.4604471269</v>
      </c>
      <c r="O86" s="236">
        <f t="shared" si="1108"/>
        <v>0</v>
      </c>
      <c r="P86" s="237">
        <f t="shared" si="1109"/>
        <v>0</v>
      </c>
      <c r="Q86" s="230"/>
      <c r="R86" s="232">
        <f t="shared" ref="R86:R101" si="1248">R85+1</f>
        <v>2</v>
      </c>
      <c r="S86" s="233" t="str">
        <f t="shared" ref="S86:U86" si="1110">IFERROR(VLOOKUP($R86,$A$13:$D$30,-S$12,FALSE),"")</f>
        <v>Bijih  Perak</v>
      </c>
      <c r="T86" s="234" t="str">
        <f t="shared" si="1110"/>
        <v>Bijih </v>
      </c>
      <c r="U86" s="234" t="str">
        <f t="shared" si="1110"/>
        <v>Kg</v>
      </c>
      <c r="V86" s="227"/>
      <c r="W86" s="227" t="str">
        <f t="shared" si="1111"/>
        <v/>
      </c>
      <c r="X86" s="227">
        <f t="shared" si="1112"/>
        <v>0</v>
      </c>
      <c r="Y86" s="235"/>
      <c r="Z86" s="227">
        <f t="shared" si="1113"/>
        <v>0</v>
      </c>
      <c r="AA86" s="410"/>
      <c r="AB86" s="96"/>
      <c r="AC86" s="96"/>
      <c r="AD86" s="227">
        <f t="shared" si="1114"/>
        <v>0</v>
      </c>
      <c r="AE86" s="235">
        <f t="shared" si="1115"/>
        <v>0.4604471269</v>
      </c>
      <c r="AF86" s="236">
        <f t="shared" si="1116"/>
        <v>0</v>
      </c>
      <c r="AG86" s="237">
        <f t="shared" si="1117"/>
        <v>0</v>
      </c>
      <c r="AH86" s="230"/>
      <c r="AI86" s="232">
        <f t="shared" ref="AI86:AI101" si="1250">AI85+1</f>
        <v>2</v>
      </c>
      <c r="AJ86" s="233" t="str">
        <f t="shared" ref="AJ86:AL86" si="1118">IFERROR(VLOOKUP($R86,$A$13:$D$30,-AJ$12,FALSE),"")</f>
        <v>Bijih  Perak</v>
      </c>
      <c r="AK86" s="234" t="str">
        <f t="shared" si="1118"/>
        <v>Bijih </v>
      </c>
      <c r="AL86" s="234" t="str">
        <f t="shared" si="1118"/>
        <v>Kg</v>
      </c>
      <c r="AM86" s="227"/>
      <c r="AN86" s="227" t="str">
        <f t="shared" si="1119"/>
        <v/>
      </c>
      <c r="AO86" s="227">
        <f t="shared" si="1120"/>
        <v>0</v>
      </c>
      <c r="AP86" s="235"/>
      <c r="AQ86" s="227">
        <f t="shared" si="1121"/>
        <v>0</v>
      </c>
      <c r="AR86" s="410"/>
      <c r="AS86" s="96"/>
      <c r="AT86" s="96"/>
      <c r="AU86" s="227">
        <f t="shared" si="1122"/>
        <v>0</v>
      </c>
      <c r="AV86" s="235">
        <f t="shared" si="1123"/>
        <v>0.4604471269</v>
      </c>
      <c r="AW86" s="236">
        <f t="shared" si="1124"/>
        <v>0</v>
      </c>
      <c r="AX86" s="237">
        <f t="shared" si="1125"/>
        <v>0</v>
      </c>
      <c r="AY86" s="230"/>
      <c r="AZ86" s="232">
        <f t="shared" ref="AZ86:AZ101" si="1252">AZ85+1</f>
        <v>2</v>
      </c>
      <c r="BA86" s="233" t="str">
        <f t="shared" ref="BA86:BC86" si="1126">IFERROR(VLOOKUP($R86,$A$13:$D$30,-BA$12,FALSE),"")</f>
        <v>Bijih  Perak</v>
      </c>
      <c r="BB86" s="234" t="str">
        <f t="shared" si="1126"/>
        <v>Bijih </v>
      </c>
      <c r="BC86" s="234" t="str">
        <f t="shared" si="1126"/>
        <v>Kg</v>
      </c>
      <c r="BD86" s="227"/>
      <c r="BE86" s="227" t="str">
        <f t="shared" si="1127"/>
        <v/>
      </c>
      <c r="BF86" s="227">
        <f t="shared" si="1128"/>
        <v>0</v>
      </c>
      <c r="BG86" s="235"/>
      <c r="BH86" s="227">
        <f t="shared" si="1129"/>
        <v>0</v>
      </c>
      <c r="BI86" s="410"/>
      <c r="BJ86" s="96"/>
      <c r="BK86" s="96"/>
      <c r="BL86" s="227">
        <f t="shared" si="1130"/>
        <v>0</v>
      </c>
      <c r="BM86" s="235">
        <f t="shared" si="1131"/>
        <v>0.4604471269</v>
      </c>
      <c r="BN86" s="236">
        <f t="shared" si="1132"/>
        <v>0</v>
      </c>
      <c r="BO86" s="237">
        <f t="shared" si="1133"/>
        <v>0</v>
      </c>
      <c r="BP86" s="230"/>
      <c r="BQ86" s="232">
        <f t="shared" ref="BQ86:BQ101" si="1254">BQ85+1</f>
        <v>2</v>
      </c>
      <c r="BR86" s="233" t="str">
        <f t="shared" ref="BR86:BT86" si="1134">IFERROR(VLOOKUP($R86,$A$13:$D$30,-BR$12,FALSE),"")</f>
        <v>Bijih  Perak</v>
      </c>
      <c r="BS86" s="234" t="str">
        <f t="shared" si="1134"/>
        <v>Bijih </v>
      </c>
      <c r="BT86" s="234" t="str">
        <f t="shared" si="1134"/>
        <v>Kg</v>
      </c>
      <c r="BU86" s="227"/>
      <c r="BV86" s="227" t="str">
        <f t="shared" si="1135"/>
        <v/>
      </c>
      <c r="BW86" s="227">
        <f t="shared" si="1136"/>
        <v>0</v>
      </c>
      <c r="BX86" s="235"/>
      <c r="BY86" s="227">
        <f t="shared" si="1137"/>
        <v>0</v>
      </c>
      <c r="BZ86" s="410"/>
      <c r="CA86" s="96"/>
      <c r="CB86" s="96"/>
      <c r="CC86" s="227">
        <f t="shared" si="1138"/>
        <v>0</v>
      </c>
      <c r="CD86" s="235">
        <f t="shared" si="1139"/>
        <v>0.4604471269</v>
      </c>
      <c r="CE86" s="236">
        <f t="shared" si="1140"/>
        <v>0</v>
      </c>
      <c r="CF86" s="237">
        <f t="shared" si="1141"/>
        <v>0</v>
      </c>
      <c r="CG86" s="230"/>
      <c r="CH86" s="232">
        <f t="shared" ref="CH86:CH101" si="1256">CH85+1</f>
        <v>2</v>
      </c>
      <c r="CI86" s="233" t="str">
        <f t="shared" ref="CI86:CK86" si="1142">IFERROR(VLOOKUP($R86,$A$13:$D$30,-CI$12,FALSE),"")</f>
        <v>Bijih  Perak</v>
      </c>
      <c r="CJ86" s="234" t="str">
        <f t="shared" si="1142"/>
        <v>Bijih </v>
      </c>
      <c r="CK86" s="234" t="str">
        <f t="shared" si="1142"/>
        <v>Kg</v>
      </c>
      <c r="CL86" s="227"/>
      <c r="CM86" s="227" t="str">
        <f t="shared" si="1143"/>
        <v/>
      </c>
      <c r="CN86" s="227">
        <f t="shared" si="1144"/>
        <v>0</v>
      </c>
      <c r="CO86" s="235"/>
      <c r="CP86" s="227">
        <f t="shared" si="1145"/>
        <v>0</v>
      </c>
      <c r="CQ86" s="410"/>
      <c r="CR86" s="96"/>
      <c r="CS86" s="96"/>
      <c r="CT86" s="227">
        <f t="shared" si="1146"/>
        <v>0</v>
      </c>
      <c r="CU86" s="235">
        <f t="shared" si="1147"/>
        <v>0.4604471269</v>
      </c>
      <c r="CV86" s="236">
        <f t="shared" si="1148"/>
        <v>0</v>
      </c>
      <c r="CW86" s="237">
        <f t="shared" si="1149"/>
        <v>0</v>
      </c>
      <c r="CX86" s="230"/>
      <c r="CY86" s="232">
        <f t="shared" ref="CY86:CY101" si="1258">CY85+1</f>
        <v>2</v>
      </c>
      <c r="CZ86" s="233" t="str">
        <f t="shared" ref="CZ86:DB86" si="1150">IFERROR(VLOOKUP($R86,$A$13:$D$30,-CZ$12,FALSE),"")</f>
        <v>Bijih  Perak</v>
      </c>
      <c r="DA86" s="234" t="str">
        <f t="shared" si="1150"/>
        <v>Bijih </v>
      </c>
      <c r="DB86" s="234" t="str">
        <f t="shared" si="1150"/>
        <v>Kg</v>
      </c>
      <c r="DC86" s="227"/>
      <c r="DD86" s="227" t="str">
        <f t="shared" si="1151"/>
        <v/>
      </c>
      <c r="DE86" s="227">
        <f t="shared" si="1152"/>
        <v>0</v>
      </c>
      <c r="DF86" s="235"/>
      <c r="DG86" s="227">
        <f t="shared" si="1153"/>
        <v>0</v>
      </c>
      <c r="DH86" s="410"/>
      <c r="DI86" s="96"/>
      <c r="DJ86" s="96"/>
      <c r="DK86" s="227">
        <f t="shared" si="1154"/>
        <v>0</v>
      </c>
      <c r="DL86" s="235">
        <f t="shared" si="1155"/>
        <v>0.4604471269</v>
      </c>
      <c r="DM86" s="236">
        <f t="shared" si="1156"/>
        <v>0</v>
      </c>
      <c r="DN86" s="237">
        <f t="shared" si="1157"/>
        <v>0</v>
      </c>
      <c r="DO86" s="230"/>
      <c r="DP86" s="232">
        <f t="shared" ref="DP86:DP101" si="1260">DP85+1</f>
        <v>2</v>
      </c>
      <c r="DQ86" s="233" t="str">
        <f t="shared" ref="DQ86:DS86" si="1158">IFERROR(VLOOKUP($R86,$A$13:$D$30,-DQ$12,FALSE),"")</f>
        <v>Bijih  Perak</v>
      </c>
      <c r="DR86" s="234" t="str">
        <f t="shared" si="1158"/>
        <v>Bijih </v>
      </c>
      <c r="DS86" s="234" t="str">
        <f t="shared" si="1158"/>
        <v>Kg</v>
      </c>
      <c r="DT86" s="227"/>
      <c r="DU86" s="227" t="str">
        <f t="shared" si="1159"/>
        <v/>
      </c>
      <c r="DV86" s="227">
        <f t="shared" si="1160"/>
        <v>0</v>
      </c>
      <c r="DW86" s="235"/>
      <c r="DX86" s="227">
        <f t="shared" si="1161"/>
        <v>0</v>
      </c>
      <c r="DY86" s="410"/>
      <c r="DZ86" s="96"/>
      <c r="EA86" s="96"/>
      <c r="EB86" s="227">
        <f t="shared" si="1162"/>
        <v>0</v>
      </c>
      <c r="EC86" s="235">
        <f t="shared" si="1163"/>
        <v>0.4604471269</v>
      </c>
      <c r="ED86" s="236">
        <f t="shared" si="1164"/>
        <v>0</v>
      </c>
      <c r="EE86" s="237">
        <f t="shared" si="1165"/>
        <v>0</v>
      </c>
      <c r="EF86" s="230"/>
      <c r="EG86" s="232">
        <f t="shared" ref="EG86:EG101" si="1262">EG85+1</f>
        <v>2</v>
      </c>
      <c r="EH86" s="233" t="str">
        <f t="shared" ref="EH86:EJ86" si="1166">IFERROR(VLOOKUP($R86,$A$13:$D$30,-EH$12,FALSE),"")</f>
        <v>Bijih  Perak</v>
      </c>
      <c r="EI86" s="234" t="str">
        <f t="shared" si="1166"/>
        <v>Bijih </v>
      </c>
      <c r="EJ86" s="234" t="str">
        <f t="shared" si="1166"/>
        <v>Kg</v>
      </c>
      <c r="EK86" s="227"/>
      <c r="EL86" s="227" t="str">
        <f t="shared" si="1167"/>
        <v/>
      </c>
      <c r="EM86" s="227">
        <f t="shared" si="1168"/>
        <v>0</v>
      </c>
      <c r="EN86" s="235"/>
      <c r="EO86" s="227">
        <f t="shared" si="1169"/>
        <v>0</v>
      </c>
      <c r="EP86" s="410"/>
      <c r="EQ86" s="96"/>
      <c r="ER86" s="96"/>
      <c r="ES86" s="227">
        <f t="shared" si="1170"/>
        <v>0</v>
      </c>
      <c r="ET86" s="235">
        <f t="shared" si="1171"/>
        <v>0.4604471269</v>
      </c>
      <c r="EU86" s="236">
        <f t="shared" si="1172"/>
        <v>0</v>
      </c>
      <c r="EV86" s="237">
        <f t="shared" si="1173"/>
        <v>0</v>
      </c>
      <c r="EW86" s="230"/>
      <c r="EX86" s="232">
        <f t="shared" ref="EX86:EX101" si="1264">EX85+1</f>
        <v>2</v>
      </c>
      <c r="EY86" s="233" t="str">
        <f t="shared" ref="EY86:FA86" si="1174">IFERROR(VLOOKUP($R86,$A$13:$D$30,-EY$12,FALSE),"")</f>
        <v>Bijih  Perak</v>
      </c>
      <c r="EZ86" s="234" t="str">
        <f t="shared" si="1174"/>
        <v>Bijih </v>
      </c>
      <c r="FA86" s="234" t="str">
        <f t="shared" si="1174"/>
        <v>Kg</v>
      </c>
      <c r="FB86" s="227"/>
      <c r="FC86" s="227" t="str">
        <f t="shared" si="1175"/>
        <v/>
      </c>
      <c r="FD86" s="227">
        <f t="shared" si="1176"/>
        <v>0</v>
      </c>
      <c r="FE86" s="235"/>
      <c r="FF86" s="227">
        <f t="shared" si="1177"/>
        <v>0</v>
      </c>
      <c r="FG86" s="410"/>
      <c r="FH86" s="96"/>
      <c r="FI86" s="96"/>
      <c r="FJ86" s="227">
        <f t="shared" si="1178"/>
        <v>0</v>
      </c>
      <c r="FK86" s="235">
        <f t="shared" si="1179"/>
        <v>0.4604471269</v>
      </c>
      <c r="FL86" s="236">
        <f t="shared" si="1180"/>
        <v>0</v>
      </c>
      <c r="FM86" s="237">
        <f t="shared" si="1181"/>
        <v>0</v>
      </c>
      <c r="FN86" s="230"/>
      <c r="FO86" s="232">
        <f t="shared" ref="FO86:FO101" si="1266">FO85+1</f>
        <v>2</v>
      </c>
      <c r="FP86" s="233" t="str">
        <f t="shared" ref="FP86:FR86" si="1182">IFERROR(VLOOKUP($R86,$A$13:$D$30,-FP$12,FALSE),"")</f>
        <v>Bijih  Perak</v>
      </c>
      <c r="FQ86" s="234" t="str">
        <f t="shared" si="1182"/>
        <v>Bijih </v>
      </c>
      <c r="FR86" s="234" t="str">
        <f t="shared" si="1182"/>
        <v>Kg</v>
      </c>
      <c r="FS86" s="227"/>
      <c r="FT86" s="227" t="str">
        <f t="shared" si="1183"/>
        <v/>
      </c>
      <c r="FU86" s="227">
        <f t="shared" si="1184"/>
        <v>0</v>
      </c>
      <c r="FV86" s="235"/>
      <c r="FW86" s="227">
        <f t="shared" si="1185"/>
        <v>0</v>
      </c>
      <c r="FX86" s="410"/>
      <c r="FY86" s="96"/>
      <c r="FZ86" s="96"/>
      <c r="GA86" s="227">
        <f t="shared" si="1186"/>
        <v>0</v>
      </c>
      <c r="GB86" s="235">
        <f t="shared" si="1187"/>
        <v>0.4604471269</v>
      </c>
      <c r="GC86" s="236">
        <f t="shared" si="1188"/>
        <v>0</v>
      </c>
      <c r="GD86" s="237">
        <f t="shared" si="1189"/>
        <v>0</v>
      </c>
      <c r="GE86" s="230"/>
      <c r="GF86" s="232">
        <f t="shared" ref="GF86:GF101" si="1268">GF85+1</f>
        <v>2</v>
      </c>
      <c r="GG86" s="233" t="str">
        <f t="shared" ref="GG86:GI86" si="1190">IFERROR(VLOOKUP($R86,$A$13:$D$30,-GG$12,FALSE),"")</f>
        <v>Bijih  Perak</v>
      </c>
      <c r="GH86" s="234" t="str">
        <f t="shared" si="1190"/>
        <v>Bijih </v>
      </c>
      <c r="GI86" s="234" t="str">
        <f t="shared" si="1190"/>
        <v>Kg</v>
      </c>
      <c r="GJ86" s="227"/>
      <c r="GK86" s="227" t="str">
        <f t="shared" si="1191"/>
        <v/>
      </c>
      <c r="GL86" s="227">
        <f t="shared" si="1192"/>
        <v>0</v>
      </c>
      <c r="GM86" s="235"/>
      <c r="GN86" s="227">
        <f t="shared" si="1193"/>
        <v>0</v>
      </c>
      <c r="GO86" s="410"/>
      <c r="GP86" s="96"/>
      <c r="GQ86" s="96"/>
      <c r="GR86" s="227">
        <f t="shared" si="1194"/>
        <v>0</v>
      </c>
      <c r="GS86" s="235">
        <f t="shared" si="1195"/>
        <v>0.4604471269</v>
      </c>
      <c r="GT86" s="236">
        <f t="shared" si="1196"/>
        <v>0</v>
      </c>
      <c r="GU86" s="237">
        <f t="shared" si="1197"/>
        <v>0</v>
      </c>
      <c r="GV86" s="230"/>
      <c r="GW86" s="232">
        <f t="shared" ref="GW86:GW101" si="1270">GW85+1</f>
        <v>2</v>
      </c>
      <c r="GX86" s="233" t="str">
        <f t="shared" ref="GX86:GZ86" si="1198">IFERROR(VLOOKUP($R86,$A$13:$D$30,-GX$12,FALSE),"")</f>
        <v>Bijih  Perak</v>
      </c>
      <c r="GY86" s="234" t="str">
        <f t="shared" si="1198"/>
        <v>Bijih </v>
      </c>
      <c r="GZ86" s="234" t="str">
        <f t="shared" si="1198"/>
        <v>Kg</v>
      </c>
      <c r="HA86" s="227"/>
      <c r="HB86" s="227" t="str">
        <f t="shared" si="1199"/>
        <v/>
      </c>
      <c r="HC86" s="227">
        <f t="shared" si="1200"/>
        <v>0</v>
      </c>
      <c r="HD86" s="235"/>
      <c r="HE86" s="227">
        <f t="shared" si="1201"/>
        <v>0</v>
      </c>
      <c r="HF86" s="410"/>
      <c r="HG86" s="96"/>
      <c r="HH86" s="96"/>
      <c r="HI86" s="227">
        <f t="shared" si="1202"/>
        <v>0</v>
      </c>
      <c r="HJ86" s="235">
        <f t="shared" si="1203"/>
        <v>0.4604471269</v>
      </c>
      <c r="HK86" s="236">
        <f t="shared" si="1204"/>
        <v>0</v>
      </c>
      <c r="HL86" s="237">
        <f t="shared" si="1205"/>
        <v>0</v>
      </c>
      <c r="HM86" s="230"/>
      <c r="HN86" s="232">
        <f t="shared" ref="HN86:HN101" si="1272">HN85+1</f>
        <v>2</v>
      </c>
      <c r="HO86" s="233" t="str">
        <f t="shared" ref="HO86:HQ86" si="1206">IFERROR(VLOOKUP($R86,$A$13:$D$30,-HO$12,FALSE),"")</f>
        <v>Bijih  Perak</v>
      </c>
      <c r="HP86" s="234" t="str">
        <f t="shared" si="1206"/>
        <v>Bijih </v>
      </c>
      <c r="HQ86" s="234" t="str">
        <f t="shared" si="1206"/>
        <v>Kg</v>
      </c>
      <c r="HR86" s="227"/>
      <c r="HS86" s="227" t="str">
        <f t="shared" si="1207"/>
        <v/>
      </c>
      <c r="HT86" s="227">
        <f t="shared" si="1208"/>
        <v>0</v>
      </c>
      <c r="HU86" s="235"/>
      <c r="HV86" s="227">
        <f t="shared" si="1209"/>
        <v>0</v>
      </c>
      <c r="HW86" s="410"/>
      <c r="HX86" s="96"/>
      <c r="HY86" s="96"/>
      <c r="HZ86" s="227">
        <f t="shared" si="1210"/>
        <v>0</v>
      </c>
      <c r="IA86" s="235">
        <f t="shared" si="1211"/>
        <v>0.4604471269</v>
      </c>
      <c r="IB86" s="236">
        <f t="shared" si="1212"/>
        <v>0</v>
      </c>
      <c r="IC86" s="237">
        <f t="shared" si="1213"/>
        <v>0</v>
      </c>
      <c r="ID86" s="230"/>
      <c r="IE86" s="232">
        <f t="shared" ref="IE86:IE101" si="1274">IE85+1</f>
        <v>2</v>
      </c>
      <c r="IF86" s="233" t="str">
        <f t="shared" ref="IF86:IH86" si="1214">IFERROR(VLOOKUP($R86,$A$13:$D$30,-IF$12,FALSE),"")</f>
        <v>Bijih  Perak</v>
      </c>
      <c r="IG86" s="234" t="str">
        <f t="shared" si="1214"/>
        <v>Bijih </v>
      </c>
      <c r="IH86" s="234" t="str">
        <f t="shared" si="1214"/>
        <v>Kg</v>
      </c>
      <c r="II86" s="227"/>
      <c r="IJ86" s="227" t="str">
        <f t="shared" si="1215"/>
        <v/>
      </c>
      <c r="IK86" s="227">
        <f t="shared" si="1216"/>
        <v>0</v>
      </c>
      <c r="IL86" s="235"/>
      <c r="IM86" s="227">
        <f t="shared" si="1217"/>
        <v>0</v>
      </c>
      <c r="IN86" s="410"/>
      <c r="IO86" s="96"/>
      <c r="IP86" s="96"/>
      <c r="IQ86" s="227">
        <f t="shared" si="1218"/>
        <v>0</v>
      </c>
      <c r="IR86" s="235">
        <f t="shared" si="1219"/>
        <v>0.4604471269</v>
      </c>
      <c r="IS86" s="236">
        <f t="shared" si="1220"/>
        <v>0</v>
      </c>
      <c r="IT86" s="237">
        <f t="shared" si="1221"/>
        <v>0</v>
      </c>
      <c r="IU86" s="230"/>
      <c r="IV86" s="232">
        <f t="shared" ref="IV86:IV101" si="1276">IV85+1</f>
        <v>2</v>
      </c>
      <c r="IW86" s="233" t="str">
        <f t="shared" ref="IW86:IY86" si="1222">IFERROR(VLOOKUP($R86,$A$13:$D$30,-IW$12,FALSE),"")</f>
        <v>Bijih  Perak</v>
      </c>
      <c r="IX86" s="234" t="str">
        <f t="shared" si="1222"/>
        <v>Bijih </v>
      </c>
      <c r="IY86" s="234" t="str">
        <f t="shared" si="1222"/>
        <v>Kg</v>
      </c>
      <c r="IZ86" s="227"/>
      <c r="JA86" s="227" t="str">
        <f t="shared" si="1223"/>
        <v/>
      </c>
      <c r="JB86" s="227">
        <f t="shared" si="1224"/>
        <v>0</v>
      </c>
      <c r="JC86" s="235"/>
      <c r="JD86" s="227">
        <f t="shared" si="1225"/>
        <v>0</v>
      </c>
      <c r="JE86" s="410"/>
      <c r="JF86" s="96"/>
      <c r="JG86" s="96"/>
      <c r="JH86" s="227">
        <f t="shared" si="1226"/>
        <v>0</v>
      </c>
      <c r="JI86" s="235">
        <f t="shared" si="1227"/>
        <v>0.4604471269</v>
      </c>
      <c r="JJ86" s="236">
        <f t="shared" si="1228"/>
        <v>0</v>
      </c>
      <c r="JK86" s="237">
        <f t="shared" si="1229"/>
        <v>0</v>
      </c>
      <c r="JL86" s="230"/>
      <c r="JM86" s="232">
        <f t="shared" ref="JM86:JM101" si="1278">JM85+1</f>
        <v>2</v>
      </c>
      <c r="JN86" s="233" t="str">
        <f t="shared" ref="JN86:JP86" si="1230">IFERROR(VLOOKUP($R86,$A$13:$D$30,-JN$12,FALSE),"")</f>
        <v>Bijih  Perak</v>
      </c>
      <c r="JO86" s="234" t="str">
        <f t="shared" si="1230"/>
        <v>Bijih </v>
      </c>
      <c r="JP86" s="234" t="str">
        <f t="shared" si="1230"/>
        <v>Kg</v>
      </c>
      <c r="JQ86" s="227"/>
      <c r="JR86" s="227" t="str">
        <f t="shared" si="1231"/>
        <v/>
      </c>
      <c r="JS86" s="227">
        <f t="shared" si="1232"/>
        <v>0</v>
      </c>
      <c r="JT86" s="235"/>
      <c r="JU86" s="227">
        <f t="shared" si="1233"/>
        <v>0</v>
      </c>
      <c r="JV86" s="410"/>
      <c r="JW86" s="96"/>
      <c r="JX86" s="96"/>
      <c r="JY86" s="227">
        <f t="shared" si="1234"/>
        <v>0</v>
      </c>
      <c r="JZ86" s="235">
        <f t="shared" si="1235"/>
        <v>0.4604471269</v>
      </c>
      <c r="KA86" s="236">
        <f t="shared" si="1236"/>
        <v>0</v>
      </c>
      <c r="KB86" s="237">
        <f t="shared" si="1237"/>
        <v>0</v>
      </c>
      <c r="KC86" s="230"/>
      <c r="KD86" s="232">
        <f t="shared" ref="KD86:KD101" si="1280">KD85+1</f>
        <v>2</v>
      </c>
      <c r="KE86" s="233" t="str">
        <f t="shared" ref="KE86:KG86" si="1238">IFERROR(VLOOKUP($R86,$A$13:$D$30,-KE$12,FALSE),"")</f>
        <v>Bijih  Perak</v>
      </c>
      <c r="KF86" s="234" t="str">
        <f t="shared" si="1238"/>
        <v>Bijih </v>
      </c>
      <c r="KG86" s="234" t="str">
        <f t="shared" si="1238"/>
        <v>Kg</v>
      </c>
      <c r="KH86" s="227"/>
      <c r="KI86" s="227" t="str">
        <f t="shared" si="1239"/>
        <v/>
      </c>
      <c r="KJ86" s="227">
        <f t="shared" si="1240"/>
        <v>0</v>
      </c>
      <c r="KK86" s="235"/>
      <c r="KL86" s="227">
        <f t="shared" si="1241"/>
        <v>0</v>
      </c>
      <c r="KM86" s="410"/>
      <c r="KN86" s="96"/>
      <c r="KO86" s="96"/>
      <c r="KP86" s="227">
        <f t="shared" si="1242"/>
        <v>0</v>
      </c>
      <c r="KQ86" s="235">
        <f t="shared" si="1243"/>
        <v>0.4604471269</v>
      </c>
      <c r="KR86" s="236">
        <f t="shared" si="1244"/>
        <v>0</v>
      </c>
      <c r="KS86" s="237">
        <f t="shared" si="1245"/>
        <v>0</v>
      </c>
      <c r="KT86" s="230"/>
      <c r="KU86" s="231"/>
    </row>
    <row r="87" ht="15.75" customHeight="1">
      <c r="A87" s="232">
        <f t="shared" si="1246"/>
        <v>3</v>
      </c>
      <c r="B87" s="233" t="str">
        <f t="shared" ref="B87:D87" si="1247">IFERROR(VLOOKUP($A87,$A$13:$D$30,-B$12,FALSE),"")</f>
        <v>Tembaga</v>
      </c>
      <c r="C87" s="234" t="str">
        <f t="shared" si="1247"/>
        <v>Bijih </v>
      </c>
      <c r="D87" s="234" t="str">
        <f t="shared" si="1247"/>
        <v>Ton </v>
      </c>
      <c r="E87" s="227"/>
      <c r="F87" s="227" t="str">
        <f t="shared" si="1103"/>
        <v/>
      </c>
      <c r="G87" s="227">
        <f t="shared" si="1104"/>
        <v>0</v>
      </c>
      <c r="H87" s="235"/>
      <c r="I87" s="227">
        <f t="shared" si="1105"/>
        <v>0</v>
      </c>
      <c r="J87" s="410"/>
      <c r="K87" s="96"/>
      <c r="L87" s="96"/>
      <c r="M87" s="227">
        <f t="shared" si="1106"/>
        <v>0</v>
      </c>
      <c r="N87" s="235">
        <f t="shared" si="1107"/>
        <v>0.4604471269</v>
      </c>
      <c r="O87" s="236">
        <f t="shared" si="1108"/>
        <v>0</v>
      </c>
      <c r="P87" s="237">
        <f t="shared" si="1109"/>
        <v>0</v>
      </c>
      <c r="Q87" s="230"/>
      <c r="R87" s="232">
        <f t="shared" si="1248"/>
        <v>3</v>
      </c>
      <c r="S87" s="233" t="str">
        <f t="shared" ref="S87:U87" si="1249">IFERROR(VLOOKUP($R87,$A$13:$D$30,-S$12,FALSE),"")</f>
        <v>Tembaga</v>
      </c>
      <c r="T87" s="234" t="str">
        <f t="shared" si="1249"/>
        <v>Bijih </v>
      </c>
      <c r="U87" s="234" t="str">
        <f t="shared" si="1249"/>
        <v>Ton </v>
      </c>
      <c r="V87" s="227"/>
      <c r="W87" s="227" t="str">
        <f t="shared" si="1111"/>
        <v/>
      </c>
      <c r="X87" s="227">
        <f t="shared" si="1112"/>
        <v>0</v>
      </c>
      <c r="Y87" s="235"/>
      <c r="Z87" s="227">
        <f t="shared" si="1113"/>
        <v>0</v>
      </c>
      <c r="AA87" s="410"/>
      <c r="AB87" s="96"/>
      <c r="AC87" s="96"/>
      <c r="AD87" s="227">
        <f t="shared" si="1114"/>
        <v>0</v>
      </c>
      <c r="AE87" s="235">
        <f t="shared" si="1115"/>
        <v>0.4604471269</v>
      </c>
      <c r="AF87" s="236">
        <f t="shared" si="1116"/>
        <v>0</v>
      </c>
      <c r="AG87" s="237">
        <f t="shared" si="1117"/>
        <v>0</v>
      </c>
      <c r="AH87" s="230"/>
      <c r="AI87" s="232">
        <f t="shared" si="1250"/>
        <v>3</v>
      </c>
      <c r="AJ87" s="233" t="str">
        <f t="shared" ref="AJ87:AL87" si="1251">IFERROR(VLOOKUP($R87,$A$13:$D$30,-AJ$12,FALSE),"")</f>
        <v>Tembaga</v>
      </c>
      <c r="AK87" s="234" t="str">
        <f t="shared" si="1251"/>
        <v>Bijih </v>
      </c>
      <c r="AL87" s="234" t="str">
        <f t="shared" si="1251"/>
        <v>Ton </v>
      </c>
      <c r="AM87" s="227"/>
      <c r="AN87" s="227" t="str">
        <f t="shared" si="1119"/>
        <v/>
      </c>
      <c r="AO87" s="227">
        <f t="shared" si="1120"/>
        <v>0</v>
      </c>
      <c r="AP87" s="235"/>
      <c r="AQ87" s="227">
        <f t="shared" si="1121"/>
        <v>0</v>
      </c>
      <c r="AR87" s="410"/>
      <c r="AS87" s="96"/>
      <c r="AT87" s="96"/>
      <c r="AU87" s="227">
        <f t="shared" si="1122"/>
        <v>0</v>
      </c>
      <c r="AV87" s="235">
        <f t="shared" si="1123"/>
        <v>0.4604471269</v>
      </c>
      <c r="AW87" s="236">
        <f t="shared" si="1124"/>
        <v>0</v>
      </c>
      <c r="AX87" s="237">
        <f t="shared" si="1125"/>
        <v>0</v>
      </c>
      <c r="AY87" s="230"/>
      <c r="AZ87" s="232">
        <f t="shared" si="1252"/>
        <v>3</v>
      </c>
      <c r="BA87" s="233" t="str">
        <f t="shared" ref="BA87:BC87" si="1253">IFERROR(VLOOKUP($R87,$A$13:$D$30,-BA$12,FALSE),"")</f>
        <v>Tembaga</v>
      </c>
      <c r="BB87" s="234" t="str">
        <f t="shared" si="1253"/>
        <v>Bijih </v>
      </c>
      <c r="BC87" s="234" t="str">
        <f t="shared" si="1253"/>
        <v>Ton </v>
      </c>
      <c r="BD87" s="227"/>
      <c r="BE87" s="227" t="str">
        <f t="shared" si="1127"/>
        <v/>
      </c>
      <c r="BF87" s="227">
        <f t="shared" si="1128"/>
        <v>0</v>
      </c>
      <c r="BG87" s="235"/>
      <c r="BH87" s="227">
        <f t="shared" si="1129"/>
        <v>0</v>
      </c>
      <c r="BI87" s="410"/>
      <c r="BJ87" s="96"/>
      <c r="BK87" s="96"/>
      <c r="BL87" s="227">
        <f t="shared" si="1130"/>
        <v>0</v>
      </c>
      <c r="BM87" s="235">
        <f t="shared" si="1131"/>
        <v>0.4604471269</v>
      </c>
      <c r="BN87" s="236">
        <f t="shared" si="1132"/>
        <v>0</v>
      </c>
      <c r="BO87" s="237">
        <f t="shared" si="1133"/>
        <v>0</v>
      </c>
      <c r="BP87" s="230"/>
      <c r="BQ87" s="232">
        <f t="shared" si="1254"/>
        <v>3</v>
      </c>
      <c r="BR87" s="233" t="str">
        <f t="shared" ref="BR87:BT87" si="1255">IFERROR(VLOOKUP($R87,$A$13:$D$30,-BR$12,FALSE),"")</f>
        <v>Tembaga</v>
      </c>
      <c r="BS87" s="234" t="str">
        <f t="shared" si="1255"/>
        <v>Bijih </v>
      </c>
      <c r="BT87" s="234" t="str">
        <f t="shared" si="1255"/>
        <v>Ton </v>
      </c>
      <c r="BU87" s="227"/>
      <c r="BV87" s="227" t="str">
        <f t="shared" si="1135"/>
        <v/>
      </c>
      <c r="BW87" s="227">
        <f t="shared" si="1136"/>
        <v>0</v>
      </c>
      <c r="BX87" s="235"/>
      <c r="BY87" s="227">
        <f t="shared" si="1137"/>
        <v>0</v>
      </c>
      <c r="BZ87" s="410"/>
      <c r="CA87" s="96"/>
      <c r="CB87" s="96"/>
      <c r="CC87" s="227">
        <f t="shared" si="1138"/>
        <v>0</v>
      </c>
      <c r="CD87" s="235">
        <f t="shared" si="1139"/>
        <v>0.4604471269</v>
      </c>
      <c r="CE87" s="236">
        <f t="shared" si="1140"/>
        <v>0</v>
      </c>
      <c r="CF87" s="237">
        <f t="shared" si="1141"/>
        <v>0</v>
      </c>
      <c r="CG87" s="230"/>
      <c r="CH87" s="232">
        <f t="shared" si="1256"/>
        <v>3</v>
      </c>
      <c r="CI87" s="233" t="str">
        <f t="shared" ref="CI87:CK87" si="1257">IFERROR(VLOOKUP($R87,$A$13:$D$30,-CI$12,FALSE),"")</f>
        <v>Tembaga</v>
      </c>
      <c r="CJ87" s="234" t="str">
        <f t="shared" si="1257"/>
        <v>Bijih </v>
      </c>
      <c r="CK87" s="234" t="str">
        <f t="shared" si="1257"/>
        <v>Ton </v>
      </c>
      <c r="CL87" s="227"/>
      <c r="CM87" s="227" t="str">
        <f t="shared" si="1143"/>
        <v/>
      </c>
      <c r="CN87" s="227">
        <f t="shared" si="1144"/>
        <v>0</v>
      </c>
      <c r="CO87" s="235"/>
      <c r="CP87" s="227">
        <f t="shared" si="1145"/>
        <v>0</v>
      </c>
      <c r="CQ87" s="410"/>
      <c r="CR87" s="96"/>
      <c r="CS87" s="96"/>
      <c r="CT87" s="227">
        <f t="shared" si="1146"/>
        <v>0</v>
      </c>
      <c r="CU87" s="235">
        <f t="shared" si="1147"/>
        <v>0.4604471269</v>
      </c>
      <c r="CV87" s="236">
        <f t="shared" si="1148"/>
        <v>0</v>
      </c>
      <c r="CW87" s="237">
        <f t="shared" si="1149"/>
        <v>0</v>
      </c>
      <c r="CX87" s="230"/>
      <c r="CY87" s="232">
        <f t="shared" si="1258"/>
        <v>3</v>
      </c>
      <c r="CZ87" s="233" t="str">
        <f t="shared" ref="CZ87:DB87" si="1259">IFERROR(VLOOKUP($R87,$A$13:$D$30,-CZ$12,FALSE),"")</f>
        <v>Tembaga</v>
      </c>
      <c r="DA87" s="234" t="str">
        <f t="shared" si="1259"/>
        <v>Bijih </v>
      </c>
      <c r="DB87" s="234" t="str">
        <f t="shared" si="1259"/>
        <v>Ton </v>
      </c>
      <c r="DC87" s="227"/>
      <c r="DD87" s="227" t="str">
        <f t="shared" si="1151"/>
        <v/>
      </c>
      <c r="DE87" s="227">
        <f t="shared" si="1152"/>
        <v>0</v>
      </c>
      <c r="DF87" s="235"/>
      <c r="DG87" s="227">
        <f t="shared" si="1153"/>
        <v>0</v>
      </c>
      <c r="DH87" s="410"/>
      <c r="DI87" s="96"/>
      <c r="DJ87" s="96"/>
      <c r="DK87" s="227">
        <f t="shared" si="1154"/>
        <v>0</v>
      </c>
      <c r="DL87" s="235">
        <f t="shared" si="1155"/>
        <v>0.4604471269</v>
      </c>
      <c r="DM87" s="236">
        <f t="shared" si="1156"/>
        <v>0</v>
      </c>
      <c r="DN87" s="237">
        <f t="shared" si="1157"/>
        <v>0</v>
      </c>
      <c r="DO87" s="230"/>
      <c r="DP87" s="232">
        <f t="shared" si="1260"/>
        <v>3</v>
      </c>
      <c r="DQ87" s="233" t="str">
        <f t="shared" ref="DQ87:DS87" si="1261">IFERROR(VLOOKUP($R87,$A$13:$D$30,-DQ$12,FALSE),"")</f>
        <v>Tembaga</v>
      </c>
      <c r="DR87" s="234" t="str">
        <f t="shared" si="1261"/>
        <v>Bijih </v>
      </c>
      <c r="DS87" s="234" t="str">
        <f t="shared" si="1261"/>
        <v>Ton </v>
      </c>
      <c r="DT87" s="227"/>
      <c r="DU87" s="227" t="str">
        <f t="shared" si="1159"/>
        <v/>
      </c>
      <c r="DV87" s="227">
        <f t="shared" si="1160"/>
        <v>0</v>
      </c>
      <c r="DW87" s="235"/>
      <c r="DX87" s="227">
        <f t="shared" si="1161"/>
        <v>0</v>
      </c>
      <c r="DY87" s="410"/>
      <c r="DZ87" s="96"/>
      <c r="EA87" s="96"/>
      <c r="EB87" s="227">
        <f t="shared" si="1162"/>
        <v>0</v>
      </c>
      <c r="EC87" s="235">
        <f t="shared" si="1163"/>
        <v>0.4604471269</v>
      </c>
      <c r="ED87" s="236">
        <f t="shared" si="1164"/>
        <v>0</v>
      </c>
      <c r="EE87" s="237">
        <f t="shared" si="1165"/>
        <v>0</v>
      </c>
      <c r="EF87" s="230"/>
      <c r="EG87" s="232">
        <f t="shared" si="1262"/>
        <v>3</v>
      </c>
      <c r="EH87" s="233" t="str">
        <f t="shared" ref="EH87:EJ87" si="1263">IFERROR(VLOOKUP($R87,$A$13:$D$30,-EH$12,FALSE),"")</f>
        <v>Tembaga</v>
      </c>
      <c r="EI87" s="234" t="str">
        <f t="shared" si="1263"/>
        <v>Bijih </v>
      </c>
      <c r="EJ87" s="234" t="str">
        <f t="shared" si="1263"/>
        <v>Ton </v>
      </c>
      <c r="EK87" s="227"/>
      <c r="EL87" s="227" t="str">
        <f t="shared" si="1167"/>
        <v/>
      </c>
      <c r="EM87" s="227">
        <f t="shared" si="1168"/>
        <v>0</v>
      </c>
      <c r="EN87" s="235"/>
      <c r="EO87" s="227">
        <f t="shared" si="1169"/>
        <v>0</v>
      </c>
      <c r="EP87" s="410"/>
      <c r="EQ87" s="96"/>
      <c r="ER87" s="96"/>
      <c r="ES87" s="227">
        <f t="shared" si="1170"/>
        <v>0</v>
      </c>
      <c r="ET87" s="235">
        <f t="shared" si="1171"/>
        <v>0.4604471269</v>
      </c>
      <c r="EU87" s="236">
        <f t="shared" si="1172"/>
        <v>0</v>
      </c>
      <c r="EV87" s="237">
        <f t="shared" si="1173"/>
        <v>0</v>
      </c>
      <c r="EW87" s="230"/>
      <c r="EX87" s="232">
        <f t="shared" si="1264"/>
        <v>3</v>
      </c>
      <c r="EY87" s="233" t="str">
        <f t="shared" ref="EY87:FA87" si="1265">IFERROR(VLOOKUP($R87,$A$13:$D$30,-EY$12,FALSE),"")</f>
        <v>Tembaga</v>
      </c>
      <c r="EZ87" s="234" t="str">
        <f t="shared" si="1265"/>
        <v>Bijih </v>
      </c>
      <c r="FA87" s="234" t="str">
        <f t="shared" si="1265"/>
        <v>Ton </v>
      </c>
      <c r="FB87" s="227"/>
      <c r="FC87" s="227" t="str">
        <f t="shared" si="1175"/>
        <v/>
      </c>
      <c r="FD87" s="227">
        <f t="shared" si="1176"/>
        <v>0</v>
      </c>
      <c r="FE87" s="235"/>
      <c r="FF87" s="227">
        <f t="shared" si="1177"/>
        <v>0</v>
      </c>
      <c r="FG87" s="410"/>
      <c r="FH87" s="96"/>
      <c r="FI87" s="96"/>
      <c r="FJ87" s="227">
        <f t="shared" si="1178"/>
        <v>0</v>
      </c>
      <c r="FK87" s="235">
        <f t="shared" si="1179"/>
        <v>0.4604471269</v>
      </c>
      <c r="FL87" s="236">
        <f t="shared" si="1180"/>
        <v>0</v>
      </c>
      <c r="FM87" s="237">
        <f t="shared" si="1181"/>
        <v>0</v>
      </c>
      <c r="FN87" s="230"/>
      <c r="FO87" s="232">
        <f t="shared" si="1266"/>
        <v>3</v>
      </c>
      <c r="FP87" s="233" t="str">
        <f t="shared" ref="FP87:FR87" si="1267">IFERROR(VLOOKUP($R87,$A$13:$D$30,-FP$12,FALSE),"")</f>
        <v>Tembaga</v>
      </c>
      <c r="FQ87" s="234" t="str">
        <f t="shared" si="1267"/>
        <v>Bijih </v>
      </c>
      <c r="FR87" s="234" t="str">
        <f t="shared" si="1267"/>
        <v>Ton </v>
      </c>
      <c r="FS87" s="227"/>
      <c r="FT87" s="227" t="str">
        <f t="shared" si="1183"/>
        <v/>
      </c>
      <c r="FU87" s="227">
        <f t="shared" si="1184"/>
        <v>0</v>
      </c>
      <c r="FV87" s="235"/>
      <c r="FW87" s="227">
        <f t="shared" si="1185"/>
        <v>0</v>
      </c>
      <c r="FX87" s="410"/>
      <c r="FY87" s="96"/>
      <c r="FZ87" s="96"/>
      <c r="GA87" s="227">
        <f t="shared" si="1186"/>
        <v>0</v>
      </c>
      <c r="GB87" s="235">
        <f t="shared" si="1187"/>
        <v>0.4604471269</v>
      </c>
      <c r="GC87" s="236">
        <f t="shared" si="1188"/>
        <v>0</v>
      </c>
      <c r="GD87" s="237">
        <f t="shared" si="1189"/>
        <v>0</v>
      </c>
      <c r="GE87" s="230"/>
      <c r="GF87" s="232">
        <f t="shared" si="1268"/>
        <v>3</v>
      </c>
      <c r="GG87" s="233" t="str">
        <f t="shared" ref="GG87:GI87" si="1269">IFERROR(VLOOKUP($R87,$A$13:$D$30,-GG$12,FALSE),"")</f>
        <v>Tembaga</v>
      </c>
      <c r="GH87" s="234" t="str">
        <f t="shared" si="1269"/>
        <v>Bijih </v>
      </c>
      <c r="GI87" s="234" t="str">
        <f t="shared" si="1269"/>
        <v>Ton </v>
      </c>
      <c r="GJ87" s="227"/>
      <c r="GK87" s="227" t="str">
        <f t="shared" si="1191"/>
        <v/>
      </c>
      <c r="GL87" s="227">
        <f t="shared" si="1192"/>
        <v>0</v>
      </c>
      <c r="GM87" s="235"/>
      <c r="GN87" s="227">
        <f t="shared" si="1193"/>
        <v>0</v>
      </c>
      <c r="GO87" s="410"/>
      <c r="GP87" s="96"/>
      <c r="GQ87" s="96"/>
      <c r="GR87" s="227">
        <f t="shared" si="1194"/>
        <v>0</v>
      </c>
      <c r="GS87" s="235">
        <f t="shared" si="1195"/>
        <v>0.4604471269</v>
      </c>
      <c r="GT87" s="236">
        <f t="shared" si="1196"/>
        <v>0</v>
      </c>
      <c r="GU87" s="237">
        <f t="shared" si="1197"/>
        <v>0</v>
      </c>
      <c r="GV87" s="230"/>
      <c r="GW87" s="232">
        <f t="shared" si="1270"/>
        <v>3</v>
      </c>
      <c r="GX87" s="233" t="str">
        <f t="shared" ref="GX87:GZ87" si="1271">IFERROR(VLOOKUP($R87,$A$13:$D$30,-GX$12,FALSE),"")</f>
        <v>Tembaga</v>
      </c>
      <c r="GY87" s="234" t="str">
        <f t="shared" si="1271"/>
        <v>Bijih </v>
      </c>
      <c r="GZ87" s="234" t="str">
        <f t="shared" si="1271"/>
        <v>Ton </v>
      </c>
      <c r="HA87" s="227"/>
      <c r="HB87" s="227" t="str">
        <f t="shared" si="1199"/>
        <v/>
      </c>
      <c r="HC87" s="227">
        <f t="shared" si="1200"/>
        <v>0</v>
      </c>
      <c r="HD87" s="235"/>
      <c r="HE87" s="227">
        <f t="shared" si="1201"/>
        <v>0</v>
      </c>
      <c r="HF87" s="410"/>
      <c r="HG87" s="96"/>
      <c r="HH87" s="96"/>
      <c r="HI87" s="227">
        <f t="shared" si="1202"/>
        <v>0</v>
      </c>
      <c r="HJ87" s="235">
        <f t="shared" si="1203"/>
        <v>0.4604471269</v>
      </c>
      <c r="HK87" s="236">
        <f t="shared" si="1204"/>
        <v>0</v>
      </c>
      <c r="HL87" s="237">
        <f t="shared" si="1205"/>
        <v>0</v>
      </c>
      <c r="HM87" s="230"/>
      <c r="HN87" s="232">
        <f t="shared" si="1272"/>
        <v>3</v>
      </c>
      <c r="HO87" s="233" t="str">
        <f t="shared" ref="HO87:HQ87" si="1273">IFERROR(VLOOKUP($R87,$A$13:$D$30,-HO$12,FALSE),"")</f>
        <v>Tembaga</v>
      </c>
      <c r="HP87" s="234" t="str">
        <f t="shared" si="1273"/>
        <v>Bijih </v>
      </c>
      <c r="HQ87" s="234" t="str">
        <f t="shared" si="1273"/>
        <v>Ton </v>
      </c>
      <c r="HR87" s="227"/>
      <c r="HS87" s="227" t="str">
        <f t="shared" si="1207"/>
        <v/>
      </c>
      <c r="HT87" s="227">
        <f t="shared" si="1208"/>
        <v>0</v>
      </c>
      <c r="HU87" s="235"/>
      <c r="HV87" s="227">
        <f t="shared" si="1209"/>
        <v>0</v>
      </c>
      <c r="HW87" s="410"/>
      <c r="HX87" s="96"/>
      <c r="HY87" s="96"/>
      <c r="HZ87" s="227">
        <f t="shared" si="1210"/>
        <v>0</v>
      </c>
      <c r="IA87" s="235">
        <f t="shared" si="1211"/>
        <v>0.4604471269</v>
      </c>
      <c r="IB87" s="236">
        <f t="shared" si="1212"/>
        <v>0</v>
      </c>
      <c r="IC87" s="237">
        <f t="shared" si="1213"/>
        <v>0</v>
      </c>
      <c r="ID87" s="230"/>
      <c r="IE87" s="232">
        <f t="shared" si="1274"/>
        <v>3</v>
      </c>
      <c r="IF87" s="233" t="str">
        <f t="shared" ref="IF87:IH87" si="1275">IFERROR(VLOOKUP($R87,$A$13:$D$30,-IF$12,FALSE),"")</f>
        <v>Tembaga</v>
      </c>
      <c r="IG87" s="234" t="str">
        <f t="shared" si="1275"/>
        <v>Bijih </v>
      </c>
      <c r="IH87" s="234" t="str">
        <f t="shared" si="1275"/>
        <v>Ton </v>
      </c>
      <c r="II87" s="227"/>
      <c r="IJ87" s="227" t="str">
        <f t="shared" si="1215"/>
        <v/>
      </c>
      <c r="IK87" s="227">
        <f t="shared" si="1216"/>
        <v>0</v>
      </c>
      <c r="IL87" s="235"/>
      <c r="IM87" s="227">
        <f t="shared" si="1217"/>
        <v>0</v>
      </c>
      <c r="IN87" s="410"/>
      <c r="IO87" s="96"/>
      <c r="IP87" s="96"/>
      <c r="IQ87" s="227">
        <f t="shared" si="1218"/>
        <v>0</v>
      </c>
      <c r="IR87" s="235">
        <f t="shared" si="1219"/>
        <v>0.4604471269</v>
      </c>
      <c r="IS87" s="236">
        <f t="shared" si="1220"/>
        <v>0</v>
      </c>
      <c r="IT87" s="237">
        <f t="shared" si="1221"/>
        <v>0</v>
      </c>
      <c r="IU87" s="230"/>
      <c r="IV87" s="232">
        <f t="shared" si="1276"/>
        <v>3</v>
      </c>
      <c r="IW87" s="233" t="str">
        <f t="shared" ref="IW87:IY87" si="1277">IFERROR(VLOOKUP($R87,$A$13:$D$30,-IW$12,FALSE),"")</f>
        <v>Tembaga</v>
      </c>
      <c r="IX87" s="234" t="str">
        <f t="shared" si="1277"/>
        <v>Bijih </v>
      </c>
      <c r="IY87" s="234" t="str">
        <f t="shared" si="1277"/>
        <v>Ton </v>
      </c>
      <c r="IZ87" s="227"/>
      <c r="JA87" s="227" t="str">
        <f t="shared" si="1223"/>
        <v/>
      </c>
      <c r="JB87" s="227">
        <f t="shared" si="1224"/>
        <v>0</v>
      </c>
      <c r="JC87" s="235"/>
      <c r="JD87" s="227">
        <f t="shared" si="1225"/>
        <v>0</v>
      </c>
      <c r="JE87" s="410"/>
      <c r="JF87" s="96"/>
      <c r="JG87" s="96"/>
      <c r="JH87" s="227">
        <f t="shared" si="1226"/>
        <v>0</v>
      </c>
      <c r="JI87" s="235">
        <f t="shared" si="1227"/>
        <v>0.4604471269</v>
      </c>
      <c r="JJ87" s="236">
        <f t="shared" si="1228"/>
        <v>0</v>
      </c>
      <c r="JK87" s="237">
        <f t="shared" si="1229"/>
        <v>0</v>
      </c>
      <c r="JL87" s="230"/>
      <c r="JM87" s="232">
        <f t="shared" si="1278"/>
        <v>3</v>
      </c>
      <c r="JN87" s="233" t="str">
        <f t="shared" ref="JN87:JP87" si="1279">IFERROR(VLOOKUP($R87,$A$13:$D$30,-JN$12,FALSE),"")</f>
        <v>Tembaga</v>
      </c>
      <c r="JO87" s="234" t="str">
        <f t="shared" si="1279"/>
        <v>Bijih </v>
      </c>
      <c r="JP87" s="234" t="str">
        <f t="shared" si="1279"/>
        <v>Ton </v>
      </c>
      <c r="JQ87" s="227"/>
      <c r="JR87" s="227" t="str">
        <f t="shared" si="1231"/>
        <v/>
      </c>
      <c r="JS87" s="227">
        <f t="shared" si="1232"/>
        <v>0</v>
      </c>
      <c r="JT87" s="235"/>
      <c r="JU87" s="227">
        <f t="shared" si="1233"/>
        <v>0</v>
      </c>
      <c r="JV87" s="410"/>
      <c r="JW87" s="96"/>
      <c r="JX87" s="96"/>
      <c r="JY87" s="227">
        <f t="shared" si="1234"/>
        <v>0</v>
      </c>
      <c r="JZ87" s="235">
        <f t="shared" si="1235"/>
        <v>0.4604471269</v>
      </c>
      <c r="KA87" s="236">
        <f t="shared" si="1236"/>
        <v>0</v>
      </c>
      <c r="KB87" s="237">
        <f t="shared" si="1237"/>
        <v>0</v>
      </c>
      <c r="KC87" s="230"/>
      <c r="KD87" s="232">
        <f t="shared" si="1280"/>
        <v>3</v>
      </c>
      <c r="KE87" s="233" t="str">
        <f t="shared" ref="KE87:KG87" si="1281">IFERROR(VLOOKUP($R87,$A$13:$D$30,-KE$12,FALSE),"")</f>
        <v>Tembaga</v>
      </c>
      <c r="KF87" s="234" t="str">
        <f t="shared" si="1281"/>
        <v>Bijih </v>
      </c>
      <c r="KG87" s="234" t="str">
        <f t="shared" si="1281"/>
        <v>Ton </v>
      </c>
      <c r="KH87" s="227"/>
      <c r="KI87" s="227" t="str">
        <f t="shared" si="1239"/>
        <v/>
      </c>
      <c r="KJ87" s="227">
        <f t="shared" si="1240"/>
        <v>0</v>
      </c>
      <c r="KK87" s="235"/>
      <c r="KL87" s="227">
        <f t="shared" si="1241"/>
        <v>0</v>
      </c>
      <c r="KM87" s="410"/>
      <c r="KN87" s="96"/>
      <c r="KO87" s="96"/>
      <c r="KP87" s="227">
        <f t="shared" si="1242"/>
        <v>0</v>
      </c>
      <c r="KQ87" s="235">
        <f t="shared" si="1243"/>
        <v>0.4604471269</v>
      </c>
      <c r="KR87" s="236">
        <f t="shared" si="1244"/>
        <v>0</v>
      </c>
      <c r="KS87" s="237">
        <f t="shared" si="1245"/>
        <v>0</v>
      </c>
      <c r="KT87" s="230"/>
      <c r="KU87" s="231"/>
    </row>
    <row r="88" ht="15.75" customHeight="1">
      <c r="A88" s="232">
        <f t="shared" si="1246"/>
        <v>4</v>
      </c>
      <c r="B88" s="233" t="str">
        <f t="shared" ref="B88:D88" si="1282">IFERROR(VLOOKUP($A88,$A$13:$D$30,-B$12,FALSE),"")</f>
        <v>Bauksit </v>
      </c>
      <c r="C88" s="234" t="str">
        <f t="shared" si="1282"/>
        <v>Bijih </v>
      </c>
      <c r="D88" s="234" t="str">
        <f t="shared" si="1282"/>
        <v>Ton </v>
      </c>
      <c r="E88" s="227"/>
      <c r="F88" s="227" t="str">
        <f t="shared" si="1103"/>
        <v/>
      </c>
      <c r="G88" s="227">
        <f t="shared" si="1104"/>
        <v>0</v>
      </c>
      <c r="H88" s="235"/>
      <c r="I88" s="227">
        <f t="shared" si="1105"/>
        <v>0</v>
      </c>
      <c r="J88" s="410"/>
      <c r="K88" s="96"/>
      <c r="L88" s="96"/>
      <c r="M88" s="227">
        <f t="shared" si="1106"/>
        <v>0</v>
      </c>
      <c r="N88" s="235">
        <f t="shared" si="1107"/>
        <v>0.4604471269</v>
      </c>
      <c r="O88" s="236">
        <f t="shared" si="1108"/>
        <v>0</v>
      </c>
      <c r="P88" s="237">
        <f t="shared" si="1109"/>
        <v>0</v>
      </c>
      <c r="Q88" s="230"/>
      <c r="R88" s="232">
        <f t="shared" si="1248"/>
        <v>4</v>
      </c>
      <c r="S88" s="233" t="str">
        <f t="shared" ref="S88:U88" si="1283">IFERROR(VLOOKUP($R88,$A$13:$D$30,-S$12,FALSE),"")</f>
        <v>Bauksit </v>
      </c>
      <c r="T88" s="234" t="str">
        <f t="shared" si="1283"/>
        <v>Bijih </v>
      </c>
      <c r="U88" s="234" t="str">
        <f t="shared" si="1283"/>
        <v>Ton </v>
      </c>
      <c r="V88" s="227"/>
      <c r="W88" s="227" t="str">
        <f t="shared" si="1111"/>
        <v/>
      </c>
      <c r="X88" s="227">
        <f t="shared" si="1112"/>
        <v>0</v>
      </c>
      <c r="Y88" s="235"/>
      <c r="Z88" s="227">
        <f t="shared" si="1113"/>
        <v>0</v>
      </c>
      <c r="AA88" s="410"/>
      <c r="AB88" s="96"/>
      <c r="AC88" s="96"/>
      <c r="AD88" s="227">
        <f t="shared" si="1114"/>
        <v>0</v>
      </c>
      <c r="AE88" s="235">
        <f t="shared" si="1115"/>
        <v>0.4604471269</v>
      </c>
      <c r="AF88" s="236">
        <f t="shared" si="1116"/>
        <v>0</v>
      </c>
      <c r="AG88" s="237">
        <f t="shared" si="1117"/>
        <v>0</v>
      </c>
      <c r="AH88" s="230"/>
      <c r="AI88" s="232">
        <f t="shared" si="1250"/>
        <v>4</v>
      </c>
      <c r="AJ88" s="233" t="str">
        <f t="shared" ref="AJ88:AL88" si="1284">IFERROR(VLOOKUP($R88,$A$13:$D$30,-AJ$12,FALSE),"")</f>
        <v>Bauksit </v>
      </c>
      <c r="AK88" s="234" t="str">
        <f t="shared" si="1284"/>
        <v>Bijih </v>
      </c>
      <c r="AL88" s="234" t="str">
        <f t="shared" si="1284"/>
        <v>Ton </v>
      </c>
      <c r="AM88" s="227"/>
      <c r="AN88" s="227" t="str">
        <f t="shared" si="1119"/>
        <v/>
      </c>
      <c r="AO88" s="227">
        <f t="shared" si="1120"/>
        <v>0</v>
      </c>
      <c r="AP88" s="235"/>
      <c r="AQ88" s="227">
        <f t="shared" si="1121"/>
        <v>0</v>
      </c>
      <c r="AR88" s="410"/>
      <c r="AS88" s="96"/>
      <c r="AT88" s="96"/>
      <c r="AU88" s="227">
        <f t="shared" si="1122"/>
        <v>0</v>
      </c>
      <c r="AV88" s="235">
        <f t="shared" si="1123"/>
        <v>0.4604471269</v>
      </c>
      <c r="AW88" s="236">
        <f t="shared" si="1124"/>
        <v>0</v>
      </c>
      <c r="AX88" s="237">
        <f t="shared" si="1125"/>
        <v>0</v>
      </c>
      <c r="AY88" s="230"/>
      <c r="AZ88" s="232">
        <f t="shared" si="1252"/>
        <v>4</v>
      </c>
      <c r="BA88" s="233" t="str">
        <f t="shared" ref="BA88:BC88" si="1285">IFERROR(VLOOKUP($R88,$A$13:$D$30,-BA$12,FALSE),"")</f>
        <v>Bauksit </v>
      </c>
      <c r="BB88" s="234" t="str">
        <f t="shared" si="1285"/>
        <v>Bijih </v>
      </c>
      <c r="BC88" s="234" t="str">
        <f t="shared" si="1285"/>
        <v>Ton </v>
      </c>
      <c r="BD88" s="227"/>
      <c r="BE88" s="227" t="str">
        <f t="shared" si="1127"/>
        <v/>
      </c>
      <c r="BF88" s="227">
        <f t="shared" si="1128"/>
        <v>0</v>
      </c>
      <c r="BG88" s="235"/>
      <c r="BH88" s="227">
        <f t="shared" si="1129"/>
        <v>0</v>
      </c>
      <c r="BI88" s="410"/>
      <c r="BJ88" s="96"/>
      <c r="BK88" s="96"/>
      <c r="BL88" s="227">
        <f t="shared" si="1130"/>
        <v>0</v>
      </c>
      <c r="BM88" s="235">
        <f t="shared" si="1131"/>
        <v>0.4604471269</v>
      </c>
      <c r="BN88" s="236">
        <f t="shared" si="1132"/>
        <v>0</v>
      </c>
      <c r="BO88" s="237">
        <f t="shared" si="1133"/>
        <v>0</v>
      </c>
      <c r="BP88" s="230"/>
      <c r="BQ88" s="232">
        <f t="shared" si="1254"/>
        <v>4</v>
      </c>
      <c r="BR88" s="233" t="str">
        <f t="shared" ref="BR88:BT88" si="1286">IFERROR(VLOOKUP($R88,$A$13:$D$30,-BR$12,FALSE),"")</f>
        <v>Bauksit </v>
      </c>
      <c r="BS88" s="234" t="str">
        <f t="shared" si="1286"/>
        <v>Bijih </v>
      </c>
      <c r="BT88" s="234" t="str">
        <f t="shared" si="1286"/>
        <v>Ton </v>
      </c>
      <c r="BU88" s="227"/>
      <c r="BV88" s="227" t="str">
        <f t="shared" si="1135"/>
        <v/>
      </c>
      <c r="BW88" s="227">
        <f t="shared" si="1136"/>
        <v>0</v>
      </c>
      <c r="BX88" s="235"/>
      <c r="BY88" s="227">
        <f t="shared" si="1137"/>
        <v>0</v>
      </c>
      <c r="BZ88" s="410"/>
      <c r="CA88" s="96"/>
      <c r="CB88" s="96"/>
      <c r="CC88" s="227">
        <f t="shared" si="1138"/>
        <v>0</v>
      </c>
      <c r="CD88" s="235">
        <f t="shared" si="1139"/>
        <v>0.4604471269</v>
      </c>
      <c r="CE88" s="236">
        <f t="shared" si="1140"/>
        <v>0</v>
      </c>
      <c r="CF88" s="237">
        <f t="shared" si="1141"/>
        <v>0</v>
      </c>
      <c r="CG88" s="230"/>
      <c r="CH88" s="232">
        <f t="shared" si="1256"/>
        <v>4</v>
      </c>
      <c r="CI88" s="233" t="str">
        <f t="shared" ref="CI88:CK88" si="1287">IFERROR(VLOOKUP($R88,$A$13:$D$30,-CI$12,FALSE),"")</f>
        <v>Bauksit </v>
      </c>
      <c r="CJ88" s="234" t="str">
        <f t="shared" si="1287"/>
        <v>Bijih </v>
      </c>
      <c r="CK88" s="234" t="str">
        <f t="shared" si="1287"/>
        <v>Ton </v>
      </c>
      <c r="CL88" s="227"/>
      <c r="CM88" s="227" t="str">
        <f t="shared" si="1143"/>
        <v/>
      </c>
      <c r="CN88" s="227">
        <f t="shared" si="1144"/>
        <v>0</v>
      </c>
      <c r="CO88" s="235"/>
      <c r="CP88" s="227">
        <f t="shared" si="1145"/>
        <v>0</v>
      </c>
      <c r="CQ88" s="410"/>
      <c r="CR88" s="96"/>
      <c r="CS88" s="96"/>
      <c r="CT88" s="227">
        <f t="shared" si="1146"/>
        <v>0</v>
      </c>
      <c r="CU88" s="235">
        <f t="shared" si="1147"/>
        <v>0.4604471269</v>
      </c>
      <c r="CV88" s="236">
        <f t="shared" si="1148"/>
        <v>0</v>
      </c>
      <c r="CW88" s="237">
        <f t="shared" si="1149"/>
        <v>0</v>
      </c>
      <c r="CX88" s="230"/>
      <c r="CY88" s="232">
        <f t="shared" si="1258"/>
        <v>4</v>
      </c>
      <c r="CZ88" s="233" t="str">
        <f t="shared" ref="CZ88:DB88" si="1288">IFERROR(VLOOKUP($R88,$A$13:$D$30,-CZ$12,FALSE),"")</f>
        <v>Bauksit </v>
      </c>
      <c r="DA88" s="234" t="str">
        <f t="shared" si="1288"/>
        <v>Bijih </v>
      </c>
      <c r="DB88" s="234" t="str">
        <f t="shared" si="1288"/>
        <v>Ton </v>
      </c>
      <c r="DC88" s="227"/>
      <c r="DD88" s="227" t="str">
        <f t="shared" si="1151"/>
        <v/>
      </c>
      <c r="DE88" s="227">
        <f t="shared" si="1152"/>
        <v>0</v>
      </c>
      <c r="DF88" s="235"/>
      <c r="DG88" s="227">
        <f t="shared" si="1153"/>
        <v>0</v>
      </c>
      <c r="DH88" s="410"/>
      <c r="DI88" s="96"/>
      <c r="DJ88" s="96"/>
      <c r="DK88" s="227">
        <f t="shared" si="1154"/>
        <v>0</v>
      </c>
      <c r="DL88" s="235">
        <f t="shared" si="1155"/>
        <v>0.4604471269</v>
      </c>
      <c r="DM88" s="236">
        <f t="shared" si="1156"/>
        <v>0</v>
      </c>
      <c r="DN88" s="237">
        <f t="shared" si="1157"/>
        <v>0</v>
      </c>
      <c r="DO88" s="230"/>
      <c r="DP88" s="232">
        <f t="shared" si="1260"/>
        <v>4</v>
      </c>
      <c r="DQ88" s="233" t="str">
        <f t="shared" ref="DQ88:DS88" si="1289">IFERROR(VLOOKUP($R88,$A$13:$D$30,-DQ$12,FALSE),"")</f>
        <v>Bauksit </v>
      </c>
      <c r="DR88" s="234" t="str">
        <f t="shared" si="1289"/>
        <v>Bijih </v>
      </c>
      <c r="DS88" s="234" t="str">
        <f t="shared" si="1289"/>
        <v>Ton </v>
      </c>
      <c r="DT88" s="227"/>
      <c r="DU88" s="227" t="str">
        <f t="shared" si="1159"/>
        <v/>
      </c>
      <c r="DV88" s="227">
        <f t="shared" si="1160"/>
        <v>0</v>
      </c>
      <c r="DW88" s="235"/>
      <c r="DX88" s="227">
        <f t="shared" si="1161"/>
        <v>0</v>
      </c>
      <c r="DY88" s="410"/>
      <c r="DZ88" s="96"/>
      <c r="EA88" s="96"/>
      <c r="EB88" s="227">
        <f t="shared" si="1162"/>
        <v>0</v>
      </c>
      <c r="EC88" s="235">
        <f t="shared" si="1163"/>
        <v>0.4604471269</v>
      </c>
      <c r="ED88" s="236">
        <f t="shared" si="1164"/>
        <v>0</v>
      </c>
      <c r="EE88" s="237">
        <f t="shared" si="1165"/>
        <v>0</v>
      </c>
      <c r="EF88" s="230"/>
      <c r="EG88" s="232">
        <f t="shared" si="1262"/>
        <v>4</v>
      </c>
      <c r="EH88" s="233" t="str">
        <f t="shared" ref="EH88:EJ88" si="1290">IFERROR(VLOOKUP($R88,$A$13:$D$30,-EH$12,FALSE),"")</f>
        <v>Bauksit </v>
      </c>
      <c r="EI88" s="234" t="str">
        <f t="shared" si="1290"/>
        <v>Bijih </v>
      </c>
      <c r="EJ88" s="234" t="str">
        <f t="shared" si="1290"/>
        <v>Ton </v>
      </c>
      <c r="EK88" s="227"/>
      <c r="EL88" s="227" t="str">
        <f t="shared" si="1167"/>
        <v/>
      </c>
      <c r="EM88" s="227">
        <f t="shared" si="1168"/>
        <v>0</v>
      </c>
      <c r="EN88" s="235"/>
      <c r="EO88" s="227">
        <f t="shared" si="1169"/>
        <v>0</v>
      </c>
      <c r="EP88" s="410"/>
      <c r="EQ88" s="96"/>
      <c r="ER88" s="96"/>
      <c r="ES88" s="227">
        <f t="shared" si="1170"/>
        <v>0</v>
      </c>
      <c r="ET88" s="235">
        <f t="shared" si="1171"/>
        <v>0.4604471269</v>
      </c>
      <c r="EU88" s="236">
        <f t="shared" si="1172"/>
        <v>0</v>
      </c>
      <c r="EV88" s="237">
        <f t="shared" si="1173"/>
        <v>0</v>
      </c>
      <c r="EW88" s="230"/>
      <c r="EX88" s="232">
        <f t="shared" si="1264"/>
        <v>4</v>
      </c>
      <c r="EY88" s="233" t="str">
        <f t="shared" ref="EY88:FA88" si="1291">IFERROR(VLOOKUP($R88,$A$13:$D$30,-EY$12,FALSE),"")</f>
        <v>Bauksit </v>
      </c>
      <c r="EZ88" s="234" t="str">
        <f t="shared" si="1291"/>
        <v>Bijih </v>
      </c>
      <c r="FA88" s="234" t="str">
        <f t="shared" si="1291"/>
        <v>Ton </v>
      </c>
      <c r="FB88" s="227"/>
      <c r="FC88" s="227" t="str">
        <f t="shared" si="1175"/>
        <v/>
      </c>
      <c r="FD88" s="227">
        <f t="shared" si="1176"/>
        <v>0</v>
      </c>
      <c r="FE88" s="235"/>
      <c r="FF88" s="227">
        <f t="shared" si="1177"/>
        <v>0</v>
      </c>
      <c r="FG88" s="410"/>
      <c r="FH88" s="96"/>
      <c r="FI88" s="96"/>
      <c r="FJ88" s="227">
        <f t="shared" si="1178"/>
        <v>0</v>
      </c>
      <c r="FK88" s="235">
        <f t="shared" si="1179"/>
        <v>0.4604471269</v>
      </c>
      <c r="FL88" s="236">
        <f t="shared" si="1180"/>
        <v>0</v>
      </c>
      <c r="FM88" s="237">
        <f t="shared" si="1181"/>
        <v>0</v>
      </c>
      <c r="FN88" s="230"/>
      <c r="FO88" s="232">
        <f t="shared" si="1266"/>
        <v>4</v>
      </c>
      <c r="FP88" s="233" t="str">
        <f t="shared" ref="FP88:FR88" si="1292">IFERROR(VLOOKUP($R88,$A$13:$D$30,-FP$12,FALSE),"")</f>
        <v>Bauksit </v>
      </c>
      <c r="FQ88" s="234" t="str">
        <f t="shared" si="1292"/>
        <v>Bijih </v>
      </c>
      <c r="FR88" s="234" t="str">
        <f t="shared" si="1292"/>
        <v>Ton </v>
      </c>
      <c r="FS88" s="227"/>
      <c r="FT88" s="227" t="str">
        <f t="shared" si="1183"/>
        <v/>
      </c>
      <c r="FU88" s="227">
        <f t="shared" si="1184"/>
        <v>0</v>
      </c>
      <c r="FV88" s="235"/>
      <c r="FW88" s="227">
        <f t="shared" si="1185"/>
        <v>0</v>
      </c>
      <c r="FX88" s="410"/>
      <c r="FY88" s="96"/>
      <c r="FZ88" s="96"/>
      <c r="GA88" s="227">
        <f t="shared" si="1186"/>
        <v>0</v>
      </c>
      <c r="GB88" s="235">
        <f t="shared" si="1187"/>
        <v>0.4604471269</v>
      </c>
      <c r="GC88" s="236">
        <f t="shared" si="1188"/>
        <v>0</v>
      </c>
      <c r="GD88" s="237">
        <f t="shared" si="1189"/>
        <v>0</v>
      </c>
      <c r="GE88" s="230"/>
      <c r="GF88" s="232">
        <f t="shared" si="1268"/>
        <v>4</v>
      </c>
      <c r="GG88" s="233" t="str">
        <f t="shared" ref="GG88:GI88" si="1293">IFERROR(VLOOKUP($R88,$A$13:$D$30,-GG$12,FALSE),"")</f>
        <v>Bauksit </v>
      </c>
      <c r="GH88" s="234" t="str">
        <f t="shared" si="1293"/>
        <v>Bijih </v>
      </c>
      <c r="GI88" s="234" t="str">
        <f t="shared" si="1293"/>
        <v>Ton </v>
      </c>
      <c r="GJ88" s="227"/>
      <c r="GK88" s="227" t="str">
        <f t="shared" si="1191"/>
        <v/>
      </c>
      <c r="GL88" s="227">
        <f t="shared" si="1192"/>
        <v>0</v>
      </c>
      <c r="GM88" s="235"/>
      <c r="GN88" s="227">
        <f t="shared" si="1193"/>
        <v>0</v>
      </c>
      <c r="GO88" s="410"/>
      <c r="GP88" s="96"/>
      <c r="GQ88" s="96"/>
      <c r="GR88" s="227">
        <f t="shared" si="1194"/>
        <v>0</v>
      </c>
      <c r="GS88" s="235">
        <f t="shared" si="1195"/>
        <v>0.4604471269</v>
      </c>
      <c r="GT88" s="236">
        <f t="shared" si="1196"/>
        <v>0</v>
      </c>
      <c r="GU88" s="237">
        <f t="shared" si="1197"/>
        <v>0</v>
      </c>
      <c r="GV88" s="230"/>
      <c r="GW88" s="232">
        <f t="shared" si="1270"/>
        <v>4</v>
      </c>
      <c r="GX88" s="233" t="str">
        <f t="shared" ref="GX88:GZ88" si="1294">IFERROR(VLOOKUP($R88,$A$13:$D$30,-GX$12,FALSE),"")</f>
        <v>Bauksit </v>
      </c>
      <c r="GY88" s="234" t="str">
        <f t="shared" si="1294"/>
        <v>Bijih </v>
      </c>
      <c r="GZ88" s="234" t="str">
        <f t="shared" si="1294"/>
        <v>Ton </v>
      </c>
      <c r="HA88" s="227"/>
      <c r="HB88" s="227" t="str">
        <f t="shared" si="1199"/>
        <v/>
      </c>
      <c r="HC88" s="227">
        <f t="shared" si="1200"/>
        <v>0</v>
      </c>
      <c r="HD88" s="235"/>
      <c r="HE88" s="227">
        <f t="shared" si="1201"/>
        <v>0</v>
      </c>
      <c r="HF88" s="410"/>
      <c r="HG88" s="96"/>
      <c r="HH88" s="96"/>
      <c r="HI88" s="227">
        <f t="shared" si="1202"/>
        <v>0</v>
      </c>
      <c r="HJ88" s="235">
        <f t="shared" si="1203"/>
        <v>0.4604471269</v>
      </c>
      <c r="HK88" s="236">
        <f t="shared" si="1204"/>
        <v>0</v>
      </c>
      <c r="HL88" s="237">
        <f t="shared" si="1205"/>
        <v>0</v>
      </c>
      <c r="HM88" s="230"/>
      <c r="HN88" s="232">
        <f t="shared" si="1272"/>
        <v>4</v>
      </c>
      <c r="HO88" s="233" t="str">
        <f t="shared" ref="HO88:HQ88" si="1295">IFERROR(VLOOKUP($R88,$A$13:$D$30,-HO$12,FALSE),"")</f>
        <v>Bauksit </v>
      </c>
      <c r="HP88" s="234" t="str">
        <f t="shared" si="1295"/>
        <v>Bijih </v>
      </c>
      <c r="HQ88" s="234" t="str">
        <f t="shared" si="1295"/>
        <v>Ton </v>
      </c>
      <c r="HR88" s="227"/>
      <c r="HS88" s="227" t="str">
        <f t="shared" si="1207"/>
        <v/>
      </c>
      <c r="HT88" s="227">
        <f t="shared" si="1208"/>
        <v>0</v>
      </c>
      <c r="HU88" s="235"/>
      <c r="HV88" s="227">
        <f t="shared" si="1209"/>
        <v>0</v>
      </c>
      <c r="HW88" s="410"/>
      <c r="HX88" s="96"/>
      <c r="HY88" s="96"/>
      <c r="HZ88" s="227">
        <f t="shared" si="1210"/>
        <v>0</v>
      </c>
      <c r="IA88" s="235">
        <f t="shared" si="1211"/>
        <v>0.4604471269</v>
      </c>
      <c r="IB88" s="236">
        <f t="shared" si="1212"/>
        <v>0</v>
      </c>
      <c r="IC88" s="237">
        <f t="shared" si="1213"/>
        <v>0</v>
      </c>
      <c r="ID88" s="230"/>
      <c r="IE88" s="232">
        <f t="shared" si="1274"/>
        <v>4</v>
      </c>
      <c r="IF88" s="233" t="str">
        <f t="shared" ref="IF88:IH88" si="1296">IFERROR(VLOOKUP($R88,$A$13:$D$30,-IF$12,FALSE),"")</f>
        <v>Bauksit </v>
      </c>
      <c r="IG88" s="234" t="str">
        <f t="shared" si="1296"/>
        <v>Bijih </v>
      </c>
      <c r="IH88" s="234" t="str">
        <f t="shared" si="1296"/>
        <v>Ton </v>
      </c>
      <c r="II88" s="227"/>
      <c r="IJ88" s="227" t="str">
        <f t="shared" si="1215"/>
        <v/>
      </c>
      <c r="IK88" s="227">
        <f t="shared" si="1216"/>
        <v>0</v>
      </c>
      <c r="IL88" s="235"/>
      <c r="IM88" s="227">
        <f t="shared" si="1217"/>
        <v>0</v>
      </c>
      <c r="IN88" s="410"/>
      <c r="IO88" s="96"/>
      <c r="IP88" s="96"/>
      <c r="IQ88" s="227">
        <f t="shared" si="1218"/>
        <v>0</v>
      </c>
      <c r="IR88" s="235">
        <f t="shared" si="1219"/>
        <v>0.4604471269</v>
      </c>
      <c r="IS88" s="236">
        <f t="shared" si="1220"/>
        <v>0</v>
      </c>
      <c r="IT88" s="237">
        <f t="shared" si="1221"/>
        <v>0</v>
      </c>
      <c r="IU88" s="230"/>
      <c r="IV88" s="232">
        <f t="shared" si="1276"/>
        <v>4</v>
      </c>
      <c r="IW88" s="233" t="str">
        <f t="shared" ref="IW88:IY88" si="1297">IFERROR(VLOOKUP($R88,$A$13:$D$30,-IW$12,FALSE),"")</f>
        <v>Bauksit </v>
      </c>
      <c r="IX88" s="234" t="str">
        <f t="shared" si="1297"/>
        <v>Bijih </v>
      </c>
      <c r="IY88" s="234" t="str">
        <f t="shared" si="1297"/>
        <v>Ton </v>
      </c>
      <c r="IZ88" s="227"/>
      <c r="JA88" s="227" t="str">
        <f t="shared" si="1223"/>
        <v/>
      </c>
      <c r="JB88" s="227">
        <f t="shared" si="1224"/>
        <v>0</v>
      </c>
      <c r="JC88" s="235"/>
      <c r="JD88" s="227">
        <f t="shared" si="1225"/>
        <v>0</v>
      </c>
      <c r="JE88" s="410"/>
      <c r="JF88" s="96"/>
      <c r="JG88" s="96"/>
      <c r="JH88" s="227">
        <f t="shared" si="1226"/>
        <v>0</v>
      </c>
      <c r="JI88" s="235">
        <f t="shared" si="1227"/>
        <v>0.4604471269</v>
      </c>
      <c r="JJ88" s="236">
        <f t="shared" si="1228"/>
        <v>0</v>
      </c>
      <c r="JK88" s="237">
        <f t="shared" si="1229"/>
        <v>0</v>
      </c>
      <c r="JL88" s="230"/>
      <c r="JM88" s="232">
        <f t="shared" si="1278"/>
        <v>4</v>
      </c>
      <c r="JN88" s="233" t="str">
        <f t="shared" ref="JN88:JP88" si="1298">IFERROR(VLOOKUP($R88,$A$13:$D$30,-JN$12,FALSE),"")</f>
        <v>Bauksit </v>
      </c>
      <c r="JO88" s="234" t="str">
        <f t="shared" si="1298"/>
        <v>Bijih </v>
      </c>
      <c r="JP88" s="234" t="str">
        <f t="shared" si="1298"/>
        <v>Ton </v>
      </c>
      <c r="JQ88" s="227"/>
      <c r="JR88" s="227" t="str">
        <f t="shared" si="1231"/>
        <v/>
      </c>
      <c r="JS88" s="227">
        <f t="shared" si="1232"/>
        <v>0</v>
      </c>
      <c r="JT88" s="235"/>
      <c r="JU88" s="227">
        <f t="shared" si="1233"/>
        <v>0</v>
      </c>
      <c r="JV88" s="410"/>
      <c r="JW88" s="96"/>
      <c r="JX88" s="96"/>
      <c r="JY88" s="227">
        <f t="shared" si="1234"/>
        <v>0</v>
      </c>
      <c r="JZ88" s="235">
        <f t="shared" si="1235"/>
        <v>0.4604471269</v>
      </c>
      <c r="KA88" s="236">
        <f t="shared" si="1236"/>
        <v>0</v>
      </c>
      <c r="KB88" s="237">
        <f t="shared" si="1237"/>
        <v>0</v>
      </c>
      <c r="KC88" s="230"/>
      <c r="KD88" s="232">
        <f t="shared" si="1280"/>
        <v>4</v>
      </c>
      <c r="KE88" s="233" t="str">
        <f t="shared" ref="KE88:KG88" si="1299">IFERROR(VLOOKUP($R88,$A$13:$D$30,-KE$12,FALSE),"")</f>
        <v>Bauksit </v>
      </c>
      <c r="KF88" s="234" t="str">
        <f t="shared" si="1299"/>
        <v>Bijih </v>
      </c>
      <c r="KG88" s="234" t="str">
        <f t="shared" si="1299"/>
        <v>Ton </v>
      </c>
      <c r="KH88" s="227"/>
      <c r="KI88" s="227" t="str">
        <f t="shared" si="1239"/>
        <v/>
      </c>
      <c r="KJ88" s="227">
        <f t="shared" si="1240"/>
        <v>0</v>
      </c>
      <c r="KK88" s="235"/>
      <c r="KL88" s="227">
        <f t="shared" si="1241"/>
        <v>0</v>
      </c>
      <c r="KM88" s="410"/>
      <c r="KN88" s="96"/>
      <c r="KO88" s="96"/>
      <c r="KP88" s="227">
        <f t="shared" si="1242"/>
        <v>0</v>
      </c>
      <c r="KQ88" s="235">
        <f t="shared" si="1243"/>
        <v>0.4604471269</v>
      </c>
      <c r="KR88" s="236">
        <f t="shared" si="1244"/>
        <v>0</v>
      </c>
      <c r="KS88" s="237">
        <f t="shared" si="1245"/>
        <v>0</v>
      </c>
      <c r="KT88" s="230"/>
      <c r="KU88" s="231"/>
    </row>
    <row r="89" ht="15.75" customHeight="1">
      <c r="A89" s="232">
        <f t="shared" si="1246"/>
        <v>5</v>
      </c>
      <c r="B89" s="233" t="str">
        <f t="shared" ref="B89:D89" si="1300">IFERROR(VLOOKUP($A89,$A$13:$D$30,-B$12,FALSE),"")</f>
        <v>Bijih Nikel </v>
      </c>
      <c r="C89" s="234" t="str">
        <f t="shared" si="1300"/>
        <v>Bijih </v>
      </c>
      <c r="D89" s="234" t="str">
        <f t="shared" si="1300"/>
        <v>WMT</v>
      </c>
      <c r="E89" s="227"/>
      <c r="F89" s="227" t="str">
        <f t="shared" si="1103"/>
        <v/>
      </c>
      <c r="G89" s="227">
        <f t="shared" si="1104"/>
        <v>0</v>
      </c>
      <c r="H89" s="235"/>
      <c r="I89" s="227">
        <f t="shared" si="1105"/>
        <v>0</v>
      </c>
      <c r="J89" s="410"/>
      <c r="K89" s="96"/>
      <c r="L89" s="96"/>
      <c r="M89" s="227">
        <f t="shared" si="1106"/>
        <v>0</v>
      </c>
      <c r="N89" s="235">
        <f t="shared" si="1107"/>
        <v>0.4604471269</v>
      </c>
      <c r="O89" s="236">
        <f t="shared" si="1108"/>
        <v>0</v>
      </c>
      <c r="P89" s="237">
        <f t="shared" si="1109"/>
        <v>0</v>
      </c>
      <c r="Q89" s="230"/>
      <c r="R89" s="232">
        <f t="shared" si="1248"/>
        <v>5</v>
      </c>
      <c r="S89" s="233" t="str">
        <f t="shared" ref="S89:U89" si="1301">IFERROR(VLOOKUP($R89,$A$13:$D$30,-S$12,FALSE),"")</f>
        <v>Bijih Nikel </v>
      </c>
      <c r="T89" s="234" t="str">
        <f t="shared" si="1301"/>
        <v>Bijih </v>
      </c>
      <c r="U89" s="234" t="str">
        <f t="shared" si="1301"/>
        <v>WMT</v>
      </c>
      <c r="V89" s="227"/>
      <c r="W89" s="227" t="str">
        <f t="shared" si="1111"/>
        <v/>
      </c>
      <c r="X89" s="227">
        <f t="shared" si="1112"/>
        <v>0</v>
      </c>
      <c r="Y89" s="235"/>
      <c r="Z89" s="227">
        <f t="shared" si="1113"/>
        <v>0</v>
      </c>
      <c r="AA89" s="410"/>
      <c r="AB89" s="96"/>
      <c r="AC89" s="96"/>
      <c r="AD89" s="227">
        <f t="shared" si="1114"/>
        <v>0</v>
      </c>
      <c r="AE89" s="235">
        <f t="shared" si="1115"/>
        <v>0.4604471269</v>
      </c>
      <c r="AF89" s="236">
        <f t="shared" si="1116"/>
        <v>0</v>
      </c>
      <c r="AG89" s="237">
        <f t="shared" si="1117"/>
        <v>0</v>
      </c>
      <c r="AH89" s="230"/>
      <c r="AI89" s="232">
        <f t="shared" si="1250"/>
        <v>5</v>
      </c>
      <c r="AJ89" s="233" t="str">
        <f t="shared" ref="AJ89:AL89" si="1302">IFERROR(VLOOKUP($R89,$A$13:$D$30,-AJ$12,FALSE),"")</f>
        <v>Bijih Nikel </v>
      </c>
      <c r="AK89" s="234" t="str">
        <f t="shared" si="1302"/>
        <v>Bijih </v>
      </c>
      <c r="AL89" s="234" t="str">
        <f t="shared" si="1302"/>
        <v>WMT</v>
      </c>
      <c r="AM89" s="227"/>
      <c r="AN89" s="227" t="str">
        <f t="shared" si="1119"/>
        <v/>
      </c>
      <c r="AO89" s="227">
        <f t="shared" si="1120"/>
        <v>0</v>
      </c>
      <c r="AP89" s="235"/>
      <c r="AQ89" s="227">
        <f t="shared" si="1121"/>
        <v>0</v>
      </c>
      <c r="AR89" s="410"/>
      <c r="AS89" s="96"/>
      <c r="AT89" s="96"/>
      <c r="AU89" s="227">
        <f t="shared" si="1122"/>
        <v>0</v>
      </c>
      <c r="AV89" s="235">
        <f t="shared" si="1123"/>
        <v>0.4604471269</v>
      </c>
      <c r="AW89" s="236">
        <f t="shared" si="1124"/>
        <v>0</v>
      </c>
      <c r="AX89" s="237">
        <f t="shared" si="1125"/>
        <v>0</v>
      </c>
      <c r="AY89" s="230"/>
      <c r="AZ89" s="232">
        <f t="shared" si="1252"/>
        <v>5</v>
      </c>
      <c r="BA89" s="233" t="str">
        <f t="shared" ref="BA89:BC89" si="1303">IFERROR(VLOOKUP($R89,$A$13:$D$30,-BA$12,FALSE),"")</f>
        <v>Bijih Nikel </v>
      </c>
      <c r="BB89" s="234" t="str">
        <f t="shared" si="1303"/>
        <v>Bijih </v>
      </c>
      <c r="BC89" s="234" t="str">
        <f t="shared" si="1303"/>
        <v>WMT</v>
      </c>
      <c r="BD89" s="227"/>
      <c r="BE89" s="227" t="str">
        <f t="shared" si="1127"/>
        <v/>
      </c>
      <c r="BF89" s="227">
        <f t="shared" si="1128"/>
        <v>0</v>
      </c>
      <c r="BG89" s="235"/>
      <c r="BH89" s="227">
        <f t="shared" si="1129"/>
        <v>0</v>
      </c>
      <c r="BI89" s="410"/>
      <c r="BJ89" s="96"/>
      <c r="BK89" s="96"/>
      <c r="BL89" s="227">
        <f t="shared" si="1130"/>
        <v>0</v>
      </c>
      <c r="BM89" s="235">
        <f t="shared" si="1131"/>
        <v>0.4604471269</v>
      </c>
      <c r="BN89" s="236">
        <f t="shared" si="1132"/>
        <v>0</v>
      </c>
      <c r="BO89" s="237">
        <f t="shared" si="1133"/>
        <v>0</v>
      </c>
      <c r="BP89" s="230"/>
      <c r="BQ89" s="232">
        <f t="shared" si="1254"/>
        <v>5</v>
      </c>
      <c r="BR89" s="233" t="str">
        <f t="shared" ref="BR89:BT89" si="1304">IFERROR(VLOOKUP($R89,$A$13:$D$30,-BR$12,FALSE),"")</f>
        <v>Bijih Nikel </v>
      </c>
      <c r="BS89" s="234" t="str">
        <f t="shared" si="1304"/>
        <v>Bijih </v>
      </c>
      <c r="BT89" s="234" t="str">
        <f t="shared" si="1304"/>
        <v>WMT</v>
      </c>
      <c r="BU89" s="227"/>
      <c r="BV89" s="227" t="str">
        <f t="shared" si="1135"/>
        <v/>
      </c>
      <c r="BW89" s="227">
        <f t="shared" si="1136"/>
        <v>0</v>
      </c>
      <c r="BX89" s="235"/>
      <c r="BY89" s="227">
        <f t="shared" si="1137"/>
        <v>0</v>
      </c>
      <c r="BZ89" s="410"/>
      <c r="CA89" s="96"/>
      <c r="CB89" s="96"/>
      <c r="CC89" s="227">
        <f t="shared" si="1138"/>
        <v>0</v>
      </c>
      <c r="CD89" s="235">
        <f t="shared" si="1139"/>
        <v>0.4604471269</v>
      </c>
      <c r="CE89" s="236">
        <f t="shared" si="1140"/>
        <v>0</v>
      </c>
      <c r="CF89" s="237">
        <f t="shared" si="1141"/>
        <v>0</v>
      </c>
      <c r="CG89" s="230"/>
      <c r="CH89" s="232">
        <f t="shared" si="1256"/>
        <v>5</v>
      </c>
      <c r="CI89" s="233" t="str">
        <f t="shared" ref="CI89:CK89" si="1305">IFERROR(VLOOKUP($R89,$A$13:$D$30,-CI$12,FALSE),"")</f>
        <v>Bijih Nikel </v>
      </c>
      <c r="CJ89" s="234" t="str">
        <f t="shared" si="1305"/>
        <v>Bijih </v>
      </c>
      <c r="CK89" s="234" t="str">
        <f t="shared" si="1305"/>
        <v>WMT</v>
      </c>
      <c r="CL89" s="227"/>
      <c r="CM89" s="227" t="str">
        <f t="shared" si="1143"/>
        <v/>
      </c>
      <c r="CN89" s="227">
        <f t="shared" si="1144"/>
        <v>0</v>
      </c>
      <c r="CO89" s="235"/>
      <c r="CP89" s="227">
        <f t="shared" si="1145"/>
        <v>0</v>
      </c>
      <c r="CQ89" s="410"/>
      <c r="CR89" s="96"/>
      <c r="CS89" s="96"/>
      <c r="CT89" s="227">
        <f t="shared" si="1146"/>
        <v>0</v>
      </c>
      <c r="CU89" s="235">
        <f t="shared" si="1147"/>
        <v>0.4604471269</v>
      </c>
      <c r="CV89" s="236">
        <f t="shared" si="1148"/>
        <v>0</v>
      </c>
      <c r="CW89" s="237">
        <f t="shared" si="1149"/>
        <v>0</v>
      </c>
      <c r="CX89" s="230"/>
      <c r="CY89" s="232">
        <f t="shared" si="1258"/>
        <v>5</v>
      </c>
      <c r="CZ89" s="233" t="str">
        <f t="shared" ref="CZ89:DB89" si="1306">IFERROR(VLOOKUP($R89,$A$13:$D$30,-CZ$12,FALSE),"")</f>
        <v>Bijih Nikel </v>
      </c>
      <c r="DA89" s="234" t="str">
        <f t="shared" si="1306"/>
        <v>Bijih </v>
      </c>
      <c r="DB89" s="234" t="str">
        <f t="shared" si="1306"/>
        <v>WMT</v>
      </c>
      <c r="DC89" s="227"/>
      <c r="DD89" s="227" t="str">
        <f t="shared" si="1151"/>
        <v/>
      </c>
      <c r="DE89" s="227">
        <f t="shared" si="1152"/>
        <v>0</v>
      </c>
      <c r="DF89" s="235"/>
      <c r="DG89" s="227">
        <f t="shared" si="1153"/>
        <v>0</v>
      </c>
      <c r="DH89" s="410"/>
      <c r="DI89" s="96"/>
      <c r="DJ89" s="96"/>
      <c r="DK89" s="227">
        <f t="shared" si="1154"/>
        <v>0</v>
      </c>
      <c r="DL89" s="235">
        <f t="shared" si="1155"/>
        <v>0.4604471269</v>
      </c>
      <c r="DM89" s="236">
        <f t="shared" si="1156"/>
        <v>0</v>
      </c>
      <c r="DN89" s="237">
        <f t="shared" si="1157"/>
        <v>0</v>
      </c>
      <c r="DO89" s="230"/>
      <c r="DP89" s="232">
        <f t="shared" si="1260"/>
        <v>5</v>
      </c>
      <c r="DQ89" s="233" t="str">
        <f t="shared" ref="DQ89:DS89" si="1307">IFERROR(VLOOKUP($R89,$A$13:$D$30,-DQ$12,FALSE),"")</f>
        <v>Bijih Nikel </v>
      </c>
      <c r="DR89" s="234" t="str">
        <f t="shared" si="1307"/>
        <v>Bijih </v>
      </c>
      <c r="DS89" s="234" t="str">
        <f t="shared" si="1307"/>
        <v>WMT</v>
      </c>
      <c r="DT89" s="227"/>
      <c r="DU89" s="227" t="str">
        <f t="shared" si="1159"/>
        <v/>
      </c>
      <c r="DV89" s="227">
        <f t="shared" si="1160"/>
        <v>0</v>
      </c>
      <c r="DW89" s="235"/>
      <c r="DX89" s="227">
        <f t="shared" si="1161"/>
        <v>0</v>
      </c>
      <c r="DY89" s="410"/>
      <c r="DZ89" s="96"/>
      <c r="EA89" s="96"/>
      <c r="EB89" s="227">
        <f t="shared" si="1162"/>
        <v>0</v>
      </c>
      <c r="EC89" s="235">
        <f t="shared" si="1163"/>
        <v>0.4604471269</v>
      </c>
      <c r="ED89" s="236">
        <f t="shared" si="1164"/>
        <v>0</v>
      </c>
      <c r="EE89" s="237">
        <f t="shared" si="1165"/>
        <v>0</v>
      </c>
      <c r="EF89" s="230"/>
      <c r="EG89" s="232">
        <f t="shared" si="1262"/>
        <v>5</v>
      </c>
      <c r="EH89" s="233" t="str">
        <f t="shared" ref="EH89:EJ89" si="1308">IFERROR(VLOOKUP($R89,$A$13:$D$30,-EH$12,FALSE),"")</f>
        <v>Bijih Nikel </v>
      </c>
      <c r="EI89" s="234" t="str">
        <f t="shared" si="1308"/>
        <v>Bijih </v>
      </c>
      <c r="EJ89" s="234" t="str">
        <f t="shared" si="1308"/>
        <v>WMT</v>
      </c>
      <c r="EK89" s="227"/>
      <c r="EL89" s="227" t="str">
        <f t="shared" si="1167"/>
        <v/>
      </c>
      <c r="EM89" s="227">
        <f t="shared" si="1168"/>
        <v>0</v>
      </c>
      <c r="EN89" s="235"/>
      <c r="EO89" s="227">
        <f t="shared" si="1169"/>
        <v>0</v>
      </c>
      <c r="EP89" s="410"/>
      <c r="EQ89" s="96"/>
      <c r="ER89" s="96"/>
      <c r="ES89" s="227">
        <f t="shared" si="1170"/>
        <v>0</v>
      </c>
      <c r="ET89" s="235">
        <f t="shared" si="1171"/>
        <v>0.4604471269</v>
      </c>
      <c r="EU89" s="236">
        <f t="shared" si="1172"/>
        <v>0</v>
      </c>
      <c r="EV89" s="237">
        <f t="shared" si="1173"/>
        <v>0</v>
      </c>
      <c r="EW89" s="230"/>
      <c r="EX89" s="232">
        <f t="shared" si="1264"/>
        <v>5</v>
      </c>
      <c r="EY89" s="233" t="str">
        <f t="shared" ref="EY89:FA89" si="1309">IFERROR(VLOOKUP($R89,$A$13:$D$30,-EY$12,FALSE),"")</f>
        <v>Bijih Nikel </v>
      </c>
      <c r="EZ89" s="234" t="str">
        <f t="shared" si="1309"/>
        <v>Bijih </v>
      </c>
      <c r="FA89" s="234" t="str">
        <f t="shared" si="1309"/>
        <v>WMT</v>
      </c>
      <c r="FB89" s="227"/>
      <c r="FC89" s="227" t="str">
        <f t="shared" si="1175"/>
        <v/>
      </c>
      <c r="FD89" s="227">
        <f t="shared" si="1176"/>
        <v>0</v>
      </c>
      <c r="FE89" s="235"/>
      <c r="FF89" s="227">
        <f t="shared" si="1177"/>
        <v>0</v>
      </c>
      <c r="FG89" s="410"/>
      <c r="FH89" s="96"/>
      <c r="FI89" s="96"/>
      <c r="FJ89" s="227">
        <f t="shared" si="1178"/>
        <v>0</v>
      </c>
      <c r="FK89" s="235">
        <f t="shared" si="1179"/>
        <v>0.4604471269</v>
      </c>
      <c r="FL89" s="236">
        <f t="shared" si="1180"/>
        <v>0</v>
      </c>
      <c r="FM89" s="237">
        <f t="shared" si="1181"/>
        <v>0</v>
      </c>
      <c r="FN89" s="230"/>
      <c r="FO89" s="232">
        <f t="shared" si="1266"/>
        <v>5</v>
      </c>
      <c r="FP89" s="233" t="str">
        <f t="shared" ref="FP89:FR89" si="1310">IFERROR(VLOOKUP($R89,$A$13:$D$30,-FP$12,FALSE),"")</f>
        <v>Bijih Nikel </v>
      </c>
      <c r="FQ89" s="234" t="str">
        <f t="shared" si="1310"/>
        <v>Bijih </v>
      </c>
      <c r="FR89" s="234" t="str">
        <f t="shared" si="1310"/>
        <v>WMT</v>
      </c>
      <c r="FS89" s="238">
        <f>ADHB!FS89</f>
        <v>4180512.45</v>
      </c>
      <c r="FT89" s="227">
        <f t="shared" si="1183"/>
        <v>192960.46</v>
      </c>
      <c r="FU89" s="227">
        <f t="shared" si="1184"/>
        <v>806673.6054</v>
      </c>
      <c r="FV89" s="235"/>
      <c r="FW89" s="227">
        <f t="shared" si="1185"/>
        <v>0</v>
      </c>
      <c r="FX89" s="410"/>
      <c r="FY89" s="96"/>
      <c r="FZ89" s="96"/>
      <c r="GA89" s="227">
        <f t="shared" si="1186"/>
        <v>806673.6054</v>
      </c>
      <c r="GB89" s="235">
        <f t="shared" si="1187"/>
        <v>0.4604471269</v>
      </c>
      <c r="GC89" s="236">
        <f t="shared" si="1188"/>
        <v>371430.5439</v>
      </c>
      <c r="GD89" s="237">
        <f t="shared" si="1189"/>
        <v>435243.0614</v>
      </c>
      <c r="GE89" s="230"/>
      <c r="GF89" s="232">
        <f t="shared" si="1268"/>
        <v>5</v>
      </c>
      <c r="GG89" s="233" t="str">
        <f t="shared" ref="GG89:GI89" si="1311">IFERROR(VLOOKUP($R89,$A$13:$D$30,-GG$12,FALSE),"")</f>
        <v>Bijih Nikel </v>
      </c>
      <c r="GH89" s="234" t="str">
        <f t="shared" si="1311"/>
        <v>Bijih </v>
      </c>
      <c r="GI89" s="234" t="str">
        <f t="shared" si="1311"/>
        <v>WMT</v>
      </c>
      <c r="GJ89" s="238">
        <f>ADHB!GJ89</f>
        <v>6113050</v>
      </c>
      <c r="GK89" s="227">
        <f t="shared" si="1191"/>
        <v>192960.46</v>
      </c>
      <c r="GL89" s="227">
        <f t="shared" si="1192"/>
        <v>1179576.94</v>
      </c>
      <c r="GM89" s="235"/>
      <c r="GN89" s="227">
        <f t="shared" si="1193"/>
        <v>0</v>
      </c>
      <c r="GO89" s="410"/>
      <c r="GP89" s="96"/>
      <c r="GQ89" s="96"/>
      <c r="GR89" s="227">
        <f t="shared" si="1194"/>
        <v>1179576.94</v>
      </c>
      <c r="GS89" s="235">
        <f t="shared" si="1195"/>
        <v>0.4604471269</v>
      </c>
      <c r="GT89" s="236">
        <f t="shared" si="1196"/>
        <v>543132.813</v>
      </c>
      <c r="GU89" s="237">
        <f t="shared" si="1197"/>
        <v>636444.127</v>
      </c>
      <c r="GV89" s="230"/>
      <c r="GW89" s="232">
        <f t="shared" si="1270"/>
        <v>5</v>
      </c>
      <c r="GX89" s="233" t="str">
        <f t="shared" ref="GX89:GZ89" si="1312">IFERROR(VLOOKUP($R89,$A$13:$D$30,-GX$12,FALSE),"")</f>
        <v>Bijih Nikel </v>
      </c>
      <c r="GY89" s="234" t="str">
        <f t="shared" si="1312"/>
        <v>Bijih </v>
      </c>
      <c r="GZ89" s="234" t="str">
        <f t="shared" si="1312"/>
        <v>WMT</v>
      </c>
      <c r="HA89" s="227">
        <f>ADHB!HA89</f>
        <v>6001861</v>
      </c>
      <c r="HB89" s="227">
        <f t="shared" si="1199"/>
        <v>192960.46</v>
      </c>
      <c r="HC89" s="227">
        <f t="shared" si="1200"/>
        <v>1158121.859</v>
      </c>
      <c r="HD89" s="415">
        <v>1.0</v>
      </c>
      <c r="HE89" s="227">
        <f t="shared" si="1201"/>
        <v>1158121.859</v>
      </c>
      <c r="HF89" s="410"/>
      <c r="HG89" s="96"/>
      <c r="HH89" s="96"/>
      <c r="HI89" s="227">
        <f t="shared" si="1202"/>
        <v>2316243.719</v>
      </c>
      <c r="HJ89" s="235">
        <f t="shared" si="1203"/>
        <v>0.4604471269</v>
      </c>
      <c r="HK89" s="236">
        <f t="shared" si="1204"/>
        <v>1066507.766</v>
      </c>
      <c r="HL89" s="237">
        <f t="shared" si="1205"/>
        <v>1249735.953</v>
      </c>
      <c r="HM89" s="230"/>
      <c r="HN89" s="232">
        <f t="shared" si="1272"/>
        <v>5</v>
      </c>
      <c r="HO89" s="233" t="str">
        <f t="shared" ref="HO89:HQ89" si="1313">IFERROR(VLOOKUP($R89,$A$13:$D$30,-HO$12,FALSE),"")</f>
        <v>Bijih Nikel </v>
      </c>
      <c r="HP89" s="234" t="str">
        <f t="shared" si="1313"/>
        <v>Bijih </v>
      </c>
      <c r="HQ89" s="234" t="str">
        <f t="shared" si="1313"/>
        <v>WMT</v>
      </c>
      <c r="HR89" s="227">
        <f>ADHB!HR89</f>
        <v>9926522.612</v>
      </c>
      <c r="HS89" s="227">
        <f t="shared" si="1207"/>
        <v>192960.46</v>
      </c>
      <c r="HT89" s="227">
        <f t="shared" si="1208"/>
        <v>1915426.369</v>
      </c>
      <c r="HU89" s="235"/>
      <c r="HV89" s="227">
        <f t="shared" si="1209"/>
        <v>0</v>
      </c>
      <c r="HW89" s="410"/>
      <c r="HX89" s="96"/>
      <c r="HY89" s="96"/>
      <c r="HZ89" s="227">
        <f t="shared" si="1210"/>
        <v>1915426.369</v>
      </c>
      <c r="IA89" s="235">
        <f t="shared" si="1211"/>
        <v>0.4604471269</v>
      </c>
      <c r="IB89" s="236">
        <f t="shared" si="1212"/>
        <v>881952.5686</v>
      </c>
      <c r="IC89" s="237">
        <f t="shared" si="1213"/>
        <v>1033473.801</v>
      </c>
      <c r="ID89" s="230"/>
      <c r="IE89" s="232">
        <f t="shared" si="1274"/>
        <v>5</v>
      </c>
      <c r="IF89" s="233" t="str">
        <f t="shared" ref="IF89:IH89" si="1314">IFERROR(VLOOKUP($R89,$A$13:$D$30,-IF$12,FALSE),"")</f>
        <v>Bijih Nikel </v>
      </c>
      <c r="IG89" s="234" t="str">
        <f t="shared" si="1314"/>
        <v>Bijih </v>
      </c>
      <c r="IH89" s="234" t="str">
        <f t="shared" si="1314"/>
        <v>WMT</v>
      </c>
      <c r="II89" s="227">
        <f>ADHB!II89</f>
        <v>20815923.5</v>
      </c>
      <c r="IJ89" s="227">
        <f t="shared" si="1215"/>
        <v>192960.46</v>
      </c>
      <c r="IK89" s="227">
        <f t="shared" si="1216"/>
        <v>4016650.173</v>
      </c>
      <c r="IL89" s="235"/>
      <c r="IM89" s="227">
        <f t="shared" si="1217"/>
        <v>0</v>
      </c>
      <c r="IN89" s="410"/>
      <c r="IO89" s="96"/>
      <c r="IP89" s="96"/>
      <c r="IQ89" s="227">
        <f t="shared" si="1218"/>
        <v>4016650.173</v>
      </c>
      <c r="IR89" s="235">
        <f t="shared" si="1219"/>
        <v>0.4604471269</v>
      </c>
      <c r="IS89" s="236">
        <f t="shared" si="1220"/>
        <v>1849455.032</v>
      </c>
      <c r="IT89" s="237">
        <f t="shared" si="1221"/>
        <v>2167195.141</v>
      </c>
      <c r="IU89" s="230"/>
      <c r="IV89" s="232">
        <f t="shared" si="1276"/>
        <v>5</v>
      </c>
      <c r="IW89" s="233" t="str">
        <f t="shared" ref="IW89:IY89" si="1315">IFERROR(VLOOKUP($R89,$A$13:$D$30,-IW$12,FALSE),"")</f>
        <v>Bijih Nikel </v>
      </c>
      <c r="IX89" s="234" t="str">
        <f t="shared" si="1315"/>
        <v>Bijih </v>
      </c>
      <c r="IY89" s="234" t="str">
        <f t="shared" si="1315"/>
        <v>WMT</v>
      </c>
      <c r="IZ89" s="227">
        <f>ADHB!IZ89</f>
        <v>20662596.71</v>
      </c>
      <c r="JA89" s="227">
        <f t="shared" si="1223"/>
        <v>192960.46</v>
      </c>
      <c r="JB89" s="227">
        <f t="shared" si="1224"/>
        <v>3987064.166</v>
      </c>
      <c r="JC89" s="235"/>
      <c r="JD89" s="227">
        <f t="shared" si="1225"/>
        <v>0</v>
      </c>
      <c r="JE89" s="410"/>
      <c r="JF89" s="96"/>
      <c r="JG89" s="96"/>
      <c r="JH89" s="227">
        <f t="shared" si="1226"/>
        <v>3987064.166</v>
      </c>
      <c r="JI89" s="235">
        <f t="shared" si="1227"/>
        <v>0.4604471269</v>
      </c>
      <c r="JJ89" s="236">
        <f t="shared" si="1228"/>
        <v>1835832.24</v>
      </c>
      <c r="JK89" s="237">
        <f t="shared" si="1229"/>
        <v>2151231.926</v>
      </c>
      <c r="JL89" s="230"/>
      <c r="JM89" s="232">
        <f t="shared" si="1278"/>
        <v>5</v>
      </c>
      <c r="JN89" s="233" t="str">
        <f t="shared" ref="JN89:JP89" si="1316">IFERROR(VLOOKUP($R89,$A$13:$D$30,-JN$12,FALSE),"")</f>
        <v>Bijih Nikel </v>
      </c>
      <c r="JO89" s="234" t="str">
        <f t="shared" si="1316"/>
        <v>Bijih </v>
      </c>
      <c r="JP89" s="234" t="str">
        <f t="shared" si="1316"/>
        <v>WMT</v>
      </c>
      <c r="JQ89" s="227" t="str">
        <f>ADHB!JQ89</f>
        <v/>
      </c>
      <c r="JR89" s="227">
        <f t="shared" si="1231"/>
        <v>192960.46</v>
      </c>
      <c r="JS89" s="227">
        <f t="shared" si="1232"/>
        <v>0</v>
      </c>
      <c r="JT89" s="235"/>
      <c r="JU89" s="227">
        <f t="shared" si="1233"/>
        <v>0</v>
      </c>
      <c r="JV89" s="410"/>
      <c r="JW89" s="96"/>
      <c r="JX89" s="96"/>
      <c r="JY89" s="227">
        <f t="shared" si="1234"/>
        <v>0</v>
      </c>
      <c r="JZ89" s="235">
        <f t="shared" si="1235"/>
        <v>0.4604471269</v>
      </c>
      <c r="KA89" s="236">
        <f t="shared" si="1236"/>
        <v>0</v>
      </c>
      <c r="KB89" s="237">
        <f t="shared" si="1237"/>
        <v>0</v>
      </c>
      <c r="KC89" s="230"/>
      <c r="KD89" s="232">
        <f t="shared" si="1280"/>
        <v>5</v>
      </c>
      <c r="KE89" s="233" t="str">
        <f t="shared" ref="KE89:KG89" si="1317">IFERROR(VLOOKUP($R89,$A$13:$D$30,-KE$12,FALSE),"")</f>
        <v>Bijih Nikel </v>
      </c>
      <c r="KF89" s="234" t="str">
        <f t="shared" si="1317"/>
        <v>Bijih </v>
      </c>
      <c r="KG89" s="234" t="str">
        <f t="shared" si="1317"/>
        <v>WMT</v>
      </c>
      <c r="KH89" s="227" t="str">
        <f>ADHB!KH89</f>
        <v/>
      </c>
      <c r="KI89" s="227" t="str">
        <f t="shared" si="1239"/>
        <v/>
      </c>
      <c r="KJ89" s="227">
        <f t="shared" si="1240"/>
        <v>0</v>
      </c>
      <c r="KK89" s="235"/>
      <c r="KL89" s="227">
        <f t="shared" si="1241"/>
        <v>0</v>
      </c>
      <c r="KM89" s="410"/>
      <c r="KN89" s="96"/>
      <c r="KO89" s="96"/>
      <c r="KP89" s="227">
        <f t="shared" si="1242"/>
        <v>0</v>
      </c>
      <c r="KQ89" s="235">
        <f t="shared" si="1243"/>
        <v>0.4604471269</v>
      </c>
      <c r="KR89" s="236">
        <f t="shared" si="1244"/>
        <v>0</v>
      </c>
      <c r="KS89" s="237">
        <f t="shared" si="1245"/>
        <v>0</v>
      </c>
      <c r="KT89" s="230"/>
      <c r="KU89" s="231"/>
    </row>
    <row r="90" ht="15.75" customHeight="1">
      <c r="A90" s="232">
        <f t="shared" si="1246"/>
        <v>6</v>
      </c>
      <c r="B90" s="233" t="str">
        <f t="shared" ref="B90:D90" si="1318">IFERROR(VLOOKUP($A90,$A$13:$D$30,-B$12,FALSE),"")</f>
        <v>Pasir Besi </v>
      </c>
      <c r="C90" s="234" t="str">
        <f t="shared" si="1318"/>
        <v>Bijih </v>
      </c>
      <c r="D90" s="234" t="str">
        <f t="shared" si="1318"/>
        <v>Ton </v>
      </c>
      <c r="E90" s="227"/>
      <c r="F90" s="227" t="str">
        <f t="shared" si="1103"/>
        <v/>
      </c>
      <c r="G90" s="227">
        <f t="shared" si="1104"/>
        <v>0</v>
      </c>
      <c r="H90" s="235"/>
      <c r="I90" s="227">
        <f t="shared" si="1105"/>
        <v>0</v>
      </c>
      <c r="J90" s="410"/>
      <c r="K90" s="96"/>
      <c r="L90" s="96"/>
      <c r="M90" s="227">
        <f t="shared" si="1106"/>
        <v>0</v>
      </c>
      <c r="N90" s="235">
        <f t="shared" si="1107"/>
        <v>0.4604471269</v>
      </c>
      <c r="O90" s="236">
        <f t="shared" si="1108"/>
        <v>0</v>
      </c>
      <c r="P90" s="237">
        <f t="shared" si="1109"/>
        <v>0</v>
      </c>
      <c r="Q90" s="230"/>
      <c r="R90" s="232">
        <f t="shared" si="1248"/>
        <v>6</v>
      </c>
      <c r="S90" s="233" t="str">
        <f t="shared" ref="S90:U90" si="1319">IFERROR(VLOOKUP($R90,$A$13:$D$30,-S$12,FALSE),"")</f>
        <v>Pasir Besi </v>
      </c>
      <c r="T90" s="234" t="str">
        <f t="shared" si="1319"/>
        <v>Bijih </v>
      </c>
      <c r="U90" s="234" t="str">
        <f t="shared" si="1319"/>
        <v>Ton </v>
      </c>
      <c r="V90" s="227"/>
      <c r="W90" s="227" t="str">
        <f t="shared" si="1111"/>
        <v/>
      </c>
      <c r="X90" s="227">
        <f t="shared" si="1112"/>
        <v>0</v>
      </c>
      <c r="Y90" s="235"/>
      <c r="Z90" s="227">
        <f t="shared" si="1113"/>
        <v>0</v>
      </c>
      <c r="AA90" s="410"/>
      <c r="AB90" s="96"/>
      <c r="AC90" s="96"/>
      <c r="AD90" s="227">
        <f t="shared" si="1114"/>
        <v>0</v>
      </c>
      <c r="AE90" s="235">
        <f t="shared" si="1115"/>
        <v>0.4604471269</v>
      </c>
      <c r="AF90" s="236">
        <f t="shared" si="1116"/>
        <v>0</v>
      </c>
      <c r="AG90" s="237">
        <f t="shared" si="1117"/>
        <v>0</v>
      </c>
      <c r="AH90" s="230"/>
      <c r="AI90" s="232">
        <f t="shared" si="1250"/>
        <v>6</v>
      </c>
      <c r="AJ90" s="233" t="str">
        <f t="shared" ref="AJ90:AL90" si="1320">IFERROR(VLOOKUP($R90,$A$13:$D$30,-AJ$12,FALSE),"")</f>
        <v>Pasir Besi </v>
      </c>
      <c r="AK90" s="234" t="str">
        <f t="shared" si="1320"/>
        <v>Bijih </v>
      </c>
      <c r="AL90" s="234" t="str">
        <f t="shared" si="1320"/>
        <v>Ton </v>
      </c>
      <c r="AM90" s="227"/>
      <c r="AN90" s="227" t="str">
        <f t="shared" si="1119"/>
        <v/>
      </c>
      <c r="AO90" s="227">
        <f t="shared" si="1120"/>
        <v>0</v>
      </c>
      <c r="AP90" s="235"/>
      <c r="AQ90" s="227">
        <f t="shared" si="1121"/>
        <v>0</v>
      </c>
      <c r="AR90" s="410"/>
      <c r="AS90" s="96"/>
      <c r="AT90" s="96"/>
      <c r="AU90" s="227">
        <f t="shared" si="1122"/>
        <v>0</v>
      </c>
      <c r="AV90" s="235">
        <f t="shared" si="1123"/>
        <v>0.4604471269</v>
      </c>
      <c r="AW90" s="236">
        <f t="shared" si="1124"/>
        <v>0</v>
      </c>
      <c r="AX90" s="237">
        <f t="shared" si="1125"/>
        <v>0</v>
      </c>
      <c r="AY90" s="230"/>
      <c r="AZ90" s="232">
        <f t="shared" si="1252"/>
        <v>6</v>
      </c>
      <c r="BA90" s="233" t="str">
        <f t="shared" ref="BA90:BC90" si="1321">IFERROR(VLOOKUP($R90,$A$13:$D$30,-BA$12,FALSE),"")</f>
        <v>Pasir Besi </v>
      </c>
      <c r="BB90" s="234" t="str">
        <f t="shared" si="1321"/>
        <v>Bijih </v>
      </c>
      <c r="BC90" s="234" t="str">
        <f t="shared" si="1321"/>
        <v>Ton </v>
      </c>
      <c r="BD90" s="227"/>
      <c r="BE90" s="227" t="str">
        <f t="shared" si="1127"/>
        <v/>
      </c>
      <c r="BF90" s="227">
        <f t="shared" si="1128"/>
        <v>0</v>
      </c>
      <c r="BG90" s="235"/>
      <c r="BH90" s="227">
        <f t="shared" si="1129"/>
        <v>0</v>
      </c>
      <c r="BI90" s="410"/>
      <c r="BJ90" s="96"/>
      <c r="BK90" s="96"/>
      <c r="BL90" s="227">
        <f t="shared" si="1130"/>
        <v>0</v>
      </c>
      <c r="BM90" s="235">
        <f t="shared" si="1131"/>
        <v>0.4604471269</v>
      </c>
      <c r="BN90" s="236">
        <f t="shared" si="1132"/>
        <v>0</v>
      </c>
      <c r="BO90" s="237">
        <f t="shared" si="1133"/>
        <v>0</v>
      </c>
      <c r="BP90" s="230"/>
      <c r="BQ90" s="232">
        <f t="shared" si="1254"/>
        <v>6</v>
      </c>
      <c r="BR90" s="233" t="str">
        <f t="shared" ref="BR90:BT90" si="1322">IFERROR(VLOOKUP($R90,$A$13:$D$30,-BR$12,FALSE),"")</f>
        <v>Pasir Besi </v>
      </c>
      <c r="BS90" s="234" t="str">
        <f t="shared" si="1322"/>
        <v>Bijih </v>
      </c>
      <c r="BT90" s="234" t="str">
        <f t="shared" si="1322"/>
        <v>Ton </v>
      </c>
      <c r="BU90" s="227"/>
      <c r="BV90" s="227" t="str">
        <f t="shared" si="1135"/>
        <v/>
      </c>
      <c r="BW90" s="227">
        <f t="shared" si="1136"/>
        <v>0</v>
      </c>
      <c r="BX90" s="235"/>
      <c r="BY90" s="227">
        <f t="shared" si="1137"/>
        <v>0</v>
      </c>
      <c r="BZ90" s="410"/>
      <c r="CA90" s="96"/>
      <c r="CB90" s="96"/>
      <c r="CC90" s="227">
        <f t="shared" si="1138"/>
        <v>0</v>
      </c>
      <c r="CD90" s="235">
        <f t="shared" si="1139"/>
        <v>0.4604471269</v>
      </c>
      <c r="CE90" s="236">
        <f t="shared" si="1140"/>
        <v>0</v>
      </c>
      <c r="CF90" s="237">
        <f t="shared" si="1141"/>
        <v>0</v>
      </c>
      <c r="CG90" s="230"/>
      <c r="CH90" s="232">
        <f t="shared" si="1256"/>
        <v>6</v>
      </c>
      <c r="CI90" s="233" t="str">
        <f t="shared" ref="CI90:CK90" si="1323">IFERROR(VLOOKUP($R90,$A$13:$D$30,-CI$12,FALSE),"")</f>
        <v>Pasir Besi </v>
      </c>
      <c r="CJ90" s="234" t="str">
        <f t="shared" si="1323"/>
        <v>Bijih </v>
      </c>
      <c r="CK90" s="234" t="str">
        <f t="shared" si="1323"/>
        <v>Ton </v>
      </c>
      <c r="CL90" s="227"/>
      <c r="CM90" s="227" t="str">
        <f t="shared" si="1143"/>
        <v/>
      </c>
      <c r="CN90" s="227">
        <f t="shared" si="1144"/>
        <v>0</v>
      </c>
      <c r="CO90" s="235"/>
      <c r="CP90" s="227">
        <f t="shared" si="1145"/>
        <v>0</v>
      </c>
      <c r="CQ90" s="410"/>
      <c r="CR90" s="96"/>
      <c r="CS90" s="96"/>
      <c r="CT90" s="227">
        <f t="shared" si="1146"/>
        <v>0</v>
      </c>
      <c r="CU90" s="235">
        <f t="shared" si="1147"/>
        <v>0.4604471269</v>
      </c>
      <c r="CV90" s="236">
        <f t="shared" si="1148"/>
        <v>0</v>
      </c>
      <c r="CW90" s="237">
        <f t="shared" si="1149"/>
        <v>0</v>
      </c>
      <c r="CX90" s="230"/>
      <c r="CY90" s="232">
        <f t="shared" si="1258"/>
        <v>6</v>
      </c>
      <c r="CZ90" s="233" t="str">
        <f t="shared" ref="CZ90:DB90" si="1324">IFERROR(VLOOKUP($R90,$A$13:$D$30,-CZ$12,FALSE),"")</f>
        <v>Pasir Besi </v>
      </c>
      <c r="DA90" s="234" t="str">
        <f t="shared" si="1324"/>
        <v>Bijih </v>
      </c>
      <c r="DB90" s="234" t="str">
        <f t="shared" si="1324"/>
        <v>Ton </v>
      </c>
      <c r="DC90" s="227"/>
      <c r="DD90" s="227" t="str">
        <f t="shared" si="1151"/>
        <v/>
      </c>
      <c r="DE90" s="227">
        <f t="shared" si="1152"/>
        <v>0</v>
      </c>
      <c r="DF90" s="235"/>
      <c r="DG90" s="227">
        <f t="shared" si="1153"/>
        <v>0</v>
      </c>
      <c r="DH90" s="410"/>
      <c r="DI90" s="96"/>
      <c r="DJ90" s="96"/>
      <c r="DK90" s="227">
        <f t="shared" si="1154"/>
        <v>0</v>
      </c>
      <c r="DL90" s="235">
        <f t="shared" si="1155"/>
        <v>0.4604471269</v>
      </c>
      <c r="DM90" s="236">
        <f t="shared" si="1156"/>
        <v>0</v>
      </c>
      <c r="DN90" s="237">
        <f t="shared" si="1157"/>
        <v>0</v>
      </c>
      <c r="DO90" s="230"/>
      <c r="DP90" s="232">
        <f t="shared" si="1260"/>
        <v>6</v>
      </c>
      <c r="DQ90" s="233" t="str">
        <f t="shared" ref="DQ90:DS90" si="1325">IFERROR(VLOOKUP($R90,$A$13:$D$30,-DQ$12,FALSE),"")</f>
        <v>Pasir Besi </v>
      </c>
      <c r="DR90" s="234" t="str">
        <f t="shared" si="1325"/>
        <v>Bijih </v>
      </c>
      <c r="DS90" s="234" t="str">
        <f t="shared" si="1325"/>
        <v>Ton </v>
      </c>
      <c r="DT90" s="227"/>
      <c r="DU90" s="227" t="str">
        <f t="shared" si="1159"/>
        <v/>
      </c>
      <c r="DV90" s="227">
        <f t="shared" si="1160"/>
        <v>0</v>
      </c>
      <c r="DW90" s="235"/>
      <c r="DX90" s="227">
        <f t="shared" si="1161"/>
        <v>0</v>
      </c>
      <c r="DY90" s="410"/>
      <c r="DZ90" s="96"/>
      <c r="EA90" s="96"/>
      <c r="EB90" s="227">
        <f t="shared" si="1162"/>
        <v>0</v>
      </c>
      <c r="EC90" s="235">
        <f t="shared" si="1163"/>
        <v>0.4604471269</v>
      </c>
      <c r="ED90" s="236">
        <f t="shared" si="1164"/>
        <v>0</v>
      </c>
      <c r="EE90" s="237">
        <f t="shared" si="1165"/>
        <v>0</v>
      </c>
      <c r="EF90" s="230"/>
      <c r="EG90" s="232">
        <f t="shared" si="1262"/>
        <v>6</v>
      </c>
      <c r="EH90" s="233" t="str">
        <f t="shared" ref="EH90:EJ90" si="1326">IFERROR(VLOOKUP($R90,$A$13:$D$30,-EH$12,FALSE),"")</f>
        <v>Pasir Besi </v>
      </c>
      <c r="EI90" s="234" t="str">
        <f t="shared" si="1326"/>
        <v>Bijih </v>
      </c>
      <c r="EJ90" s="234" t="str">
        <f t="shared" si="1326"/>
        <v>Ton </v>
      </c>
      <c r="EK90" s="227"/>
      <c r="EL90" s="227" t="str">
        <f t="shared" si="1167"/>
        <v/>
      </c>
      <c r="EM90" s="227">
        <f t="shared" si="1168"/>
        <v>0</v>
      </c>
      <c r="EN90" s="235"/>
      <c r="EO90" s="227">
        <f t="shared" si="1169"/>
        <v>0</v>
      </c>
      <c r="EP90" s="410"/>
      <c r="EQ90" s="96"/>
      <c r="ER90" s="96"/>
      <c r="ES90" s="227">
        <f t="shared" si="1170"/>
        <v>0</v>
      </c>
      <c r="ET90" s="235">
        <f t="shared" si="1171"/>
        <v>0.4604471269</v>
      </c>
      <c r="EU90" s="236">
        <f t="shared" si="1172"/>
        <v>0</v>
      </c>
      <c r="EV90" s="237">
        <f t="shared" si="1173"/>
        <v>0</v>
      </c>
      <c r="EW90" s="230"/>
      <c r="EX90" s="232">
        <f t="shared" si="1264"/>
        <v>6</v>
      </c>
      <c r="EY90" s="233" t="str">
        <f t="shared" ref="EY90:FA90" si="1327">IFERROR(VLOOKUP($R90,$A$13:$D$30,-EY$12,FALSE),"")</f>
        <v>Pasir Besi </v>
      </c>
      <c r="EZ90" s="234" t="str">
        <f t="shared" si="1327"/>
        <v>Bijih </v>
      </c>
      <c r="FA90" s="234" t="str">
        <f t="shared" si="1327"/>
        <v>Ton </v>
      </c>
      <c r="FB90" s="227"/>
      <c r="FC90" s="227" t="str">
        <f t="shared" si="1175"/>
        <v/>
      </c>
      <c r="FD90" s="227">
        <f t="shared" si="1176"/>
        <v>0</v>
      </c>
      <c r="FE90" s="235"/>
      <c r="FF90" s="227">
        <f t="shared" si="1177"/>
        <v>0</v>
      </c>
      <c r="FG90" s="410"/>
      <c r="FH90" s="96"/>
      <c r="FI90" s="96"/>
      <c r="FJ90" s="227">
        <f t="shared" si="1178"/>
        <v>0</v>
      </c>
      <c r="FK90" s="235">
        <f t="shared" si="1179"/>
        <v>0.4604471269</v>
      </c>
      <c r="FL90" s="236">
        <f t="shared" si="1180"/>
        <v>0</v>
      </c>
      <c r="FM90" s="237">
        <f t="shared" si="1181"/>
        <v>0</v>
      </c>
      <c r="FN90" s="230"/>
      <c r="FO90" s="232">
        <f t="shared" si="1266"/>
        <v>6</v>
      </c>
      <c r="FP90" s="233" t="str">
        <f t="shared" ref="FP90:FR90" si="1328">IFERROR(VLOOKUP($R90,$A$13:$D$30,-FP$12,FALSE),"")</f>
        <v>Pasir Besi </v>
      </c>
      <c r="FQ90" s="234" t="str">
        <f t="shared" si="1328"/>
        <v>Bijih </v>
      </c>
      <c r="FR90" s="234" t="str">
        <f t="shared" si="1328"/>
        <v>Ton </v>
      </c>
      <c r="FS90" s="227"/>
      <c r="FT90" s="227" t="str">
        <f t="shared" si="1183"/>
        <v/>
      </c>
      <c r="FU90" s="227">
        <f t="shared" si="1184"/>
        <v>0</v>
      </c>
      <c r="FV90" s="235"/>
      <c r="FW90" s="227">
        <f t="shared" si="1185"/>
        <v>0</v>
      </c>
      <c r="FX90" s="410"/>
      <c r="FY90" s="96"/>
      <c r="FZ90" s="96"/>
      <c r="GA90" s="227">
        <f t="shared" si="1186"/>
        <v>0</v>
      </c>
      <c r="GB90" s="235">
        <f t="shared" si="1187"/>
        <v>0.4604471269</v>
      </c>
      <c r="GC90" s="236">
        <f t="shared" si="1188"/>
        <v>0</v>
      </c>
      <c r="GD90" s="237">
        <f t="shared" si="1189"/>
        <v>0</v>
      </c>
      <c r="GE90" s="230"/>
      <c r="GF90" s="232">
        <f t="shared" si="1268"/>
        <v>6</v>
      </c>
      <c r="GG90" s="233" t="str">
        <f t="shared" ref="GG90:GI90" si="1329">IFERROR(VLOOKUP($R90,$A$13:$D$30,-GG$12,FALSE),"")</f>
        <v>Pasir Besi </v>
      </c>
      <c r="GH90" s="234" t="str">
        <f t="shared" si="1329"/>
        <v>Bijih </v>
      </c>
      <c r="GI90" s="234" t="str">
        <f t="shared" si="1329"/>
        <v>Ton </v>
      </c>
      <c r="GJ90" s="238"/>
      <c r="GK90" s="227" t="str">
        <f t="shared" si="1191"/>
        <v/>
      </c>
      <c r="GL90" s="227">
        <f t="shared" si="1192"/>
        <v>0</v>
      </c>
      <c r="GM90" s="235"/>
      <c r="GN90" s="227">
        <f t="shared" si="1193"/>
        <v>0</v>
      </c>
      <c r="GO90" s="410"/>
      <c r="GP90" s="96"/>
      <c r="GQ90" s="96"/>
      <c r="GR90" s="227">
        <f t="shared" si="1194"/>
        <v>0</v>
      </c>
      <c r="GS90" s="235">
        <f t="shared" si="1195"/>
        <v>0.4604471269</v>
      </c>
      <c r="GT90" s="236">
        <f t="shared" si="1196"/>
        <v>0</v>
      </c>
      <c r="GU90" s="237">
        <f t="shared" si="1197"/>
        <v>0</v>
      </c>
      <c r="GV90" s="230"/>
      <c r="GW90" s="232">
        <f t="shared" si="1270"/>
        <v>6</v>
      </c>
      <c r="GX90" s="233" t="str">
        <f t="shared" ref="GX90:GZ90" si="1330">IFERROR(VLOOKUP($R90,$A$13:$D$30,-GX$12,FALSE),"")</f>
        <v>Pasir Besi </v>
      </c>
      <c r="GY90" s="234" t="str">
        <f t="shared" si="1330"/>
        <v>Bijih </v>
      </c>
      <c r="GZ90" s="234" t="str">
        <f t="shared" si="1330"/>
        <v>Ton </v>
      </c>
      <c r="HA90" s="227"/>
      <c r="HB90" s="227" t="str">
        <f t="shared" si="1199"/>
        <v/>
      </c>
      <c r="HC90" s="227">
        <f t="shared" si="1200"/>
        <v>0</v>
      </c>
      <c r="HD90" s="235"/>
      <c r="HE90" s="227">
        <f t="shared" si="1201"/>
        <v>0</v>
      </c>
      <c r="HF90" s="410"/>
      <c r="HG90" s="96"/>
      <c r="HH90" s="96"/>
      <c r="HI90" s="227">
        <f t="shared" si="1202"/>
        <v>0</v>
      </c>
      <c r="HJ90" s="235">
        <f t="shared" si="1203"/>
        <v>0.4604471269</v>
      </c>
      <c r="HK90" s="236">
        <f t="shared" si="1204"/>
        <v>0</v>
      </c>
      <c r="HL90" s="237">
        <f t="shared" si="1205"/>
        <v>0</v>
      </c>
      <c r="HM90" s="230"/>
      <c r="HN90" s="232">
        <f t="shared" si="1272"/>
        <v>6</v>
      </c>
      <c r="HO90" s="233" t="str">
        <f t="shared" ref="HO90:HQ90" si="1331">IFERROR(VLOOKUP($R90,$A$13:$D$30,-HO$12,FALSE),"")</f>
        <v>Pasir Besi </v>
      </c>
      <c r="HP90" s="234" t="str">
        <f t="shared" si="1331"/>
        <v>Bijih </v>
      </c>
      <c r="HQ90" s="234" t="str">
        <f t="shared" si="1331"/>
        <v>Ton </v>
      </c>
      <c r="HR90" s="227"/>
      <c r="HS90" s="227" t="str">
        <f t="shared" si="1207"/>
        <v/>
      </c>
      <c r="HT90" s="227">
        <f t="shared" si="1208"/>
        <v>0</v>
      </c>
      <c r="HU90" s="235"/>
      <c r="HV90" s="227">
        <f t="shared" si="1209"/>
        <v>0</v>
      </c>
      <c r="HW90" s="410"/>
      <c r="HX90" s="96"/>
      <c r="HY90" s="96"/>
      <c r="HZ90" s="227">
        <f t="shared" si="1210"/>
        <v>0</v>
      </c>
      <c r="IA90" s="235">
        <f t="shared" si="1211"/>
        <v>0.4604471269</v>
      </c>
      <c r="IB90" s="236">
        <f t="shared" si="1212"/>
        <v>0</v>
      </c>
      <c r="IC90" s="237">
        <f t="shared" si="1213"/>
        <v>0</v>
      </c>
      <c r="ID90" s="230"/>
      <c r="IE90" s="232">
        <f t="shared" si="1274"/>
        <v>6</v>
      </c>
      <c r="IF90" s="233" t="str">
        <f t="shared" ref="IF90:IH90" si="1332">IFERROR(VLOOKUP($R90,$A$13:$D$30,-IF$12,FALSE),"")</f>
        <v>Pasir Besi </v>
      </c>
      <c r="IG90" s="234" t="str">
        <f t="shared" si="1332"/>
        <v>Bijih </v>
      </c>
      <c r="IH90" s="234" t="str">
        <f t="shared" si="1332"/>
        <v>Ton </v>
      </c>
      <c r="II90" s="227"/>
      <c r="IJ90" s="227" t="str">
        <f t="shared" si="1215"/>
        <v/>
      </c>
      <c r="IK90" s="227">
        <f t="shared" si="1216"/>
        <v>0</v>
      </c>
      <c r="IL90" s="235"/>
      <c r="IM90" s="227">
        <f t="shared" si="1217"/>
        <v>0</v>
      </c>
      <c r="IN90" s="410"/>
      <c r="IO90" s="96"/>
      <c r="IP90" s="96"/>
      <c r="IQ90" s="227">
        <f t="shared" si="1218"/>
        <v>0</v>
      </c>
      <c r="IR90" s="235">
        <f t="shared" si="1219"/>
        <v>0.4604471269</v>
      </c>
      <c r="IS90" s="236">
        <f t="shared" si="1220"/>
        <v>0</v>
      </c>
      <c r="IT90" s="237">
        <f t="shared" si="1221"/>
        <v>0</v>
      </c>
      <c r="IU90" s="230"/>
      <c r="IV90" s="232">
        <f t="shared" si="1276"/>
        <v>6</v>
      </c>
      <c r="IW90" s="233" t="str">
        <f t="shared" ref="IW90:IY90" si="1333">IFERROR(VLOOKUP($R90,$A$13:$D$30,-IW$12,FALSE),"")</f>
        <v>Pasir Besi </v>
      </c>
      <c r="IX90" s="234" t="str">
        <f t="shared" si="1333"/>
        <v>Bijih </v>
      </c>
      <c r="IY90" s="234" t="str">
        <f t="shared" si="1333"/>
        <v>Ton </v>
      </c>
      <c r="IZ90" s="227"/>
      <c r="JA90" s="227" t="str">
        <f t="shared" si="1223"/>
        <v/>
      </c>
      <c r="JB90" s="227">
        <f t="shared" si="1224"/>
        <v>0</v>
      </c>
      <c r="JC90" s="235"/>
      <c r="JD90" s="227">
        <f t="shared" si="1225"/>
        <v>0</v>
      </c>
      <c r="JE90" s="410"/>
      <c r="JF90" s="96"/>
      <c r="JG90" s="96"/>
      <c r="JH90" s="227">
        <f t="shared" si="1226"/>
        <v>0</v>
      </c>
      <c r="JI90" s="235">
        <f t="shared" si="1227"/>
        <v>0.4604471269</v>
      </c>
      <c r="JJ90" s="236">
        <f t="shared" si="1228"/>
        <v>0</v>
      </c>
      <c r="JK90" s="237">
        <f t="shared" si="1229"/>
        <v>0</v>
      </c>
      <c r="JL90" s="230"/>
      <c r="JM90" s="232">
        <f t="shared" si="1278"/>
        <v>6</v>
      </c>
      <c r="JN90" s="233" t="str">
        <f t="shared" ref="JN90:JP90" si="1334">IFERROR(VLOOKUP($R90,$A$13:$D$30,-JN$12,FALSE),"")</f>
        <v>Pasir Besi </v>
      </c>
      <c r="JO90" s="234" t="str">
        <f t="shared" si="1334"/>
        <v>Bijih </v>
      </c>
      <c r="JP90" s="234" t="str">
        <f t="shared" si="1334"/>
        <v>Ton </v>
      </c>
      <c r="JQ90" s="227"/>
      <c r="JR90" s="227" t="str">
        <f t="shared" si="1231"/>
        <v/>
      </c>
      <c r="JS90" s="227">
        <f t="shared" si="1232"/>
        <v>0</v>
      </c>
      <c r="JT90" s="235"/>
      <c r="JU90" s="227">
        <f t="shared" si="1233"/>
        <v>0</v>
      </c>
      <c r="JV90" s="410"/>
      <c r="JW90" s="96"/>
      <c r="JX90" s="96"/>
      <c r="JY90" s="227">
        <f t="shared" si="1234"/>
        <v>0</v>
      </c>
      <c r="JZ90" s="235">
        <f t="shared" si="1235"/>
        <v>0.4604471269</v>
      </c>
      <c r="KA90" s="236">
        <f t="shared" si="1236"/>
        <v>0</v>
      </c>
      <c r="KB90" s="237">
        <f t="shared" si="1237"/>
        <v>0</v>
      </c>
      <c r="KC90" s="230"/>
      <c r="KD90" s="232">
        <f t="shared" si="1280"/>
        <v>6</v>
      </c>
      <c r="KE90" s="233" t="str">
        <f t="shared" ref="KE90:KG90" si="1335">IFERROR(VLOOKUP($R90,$A$13:$D$30,-KE$12,FALSE),"")</f>
        <v>Pasir Besi </v>
      </c>
      <c r="KF90" s="234" t="str">
        <f t="shared" si="1335"/>
        <v>Bijih </v>
      </c>
      <c r="KG90" s="234" t="str">
        <f t="shared" si="1335"/>
        <v>Ton </v>
      </c>
      <c r="KH90" s="227"/>
      <c r="KI90" s="227" t="str">
        <f t="shared" si="1239"/>
        <v/>
      </c>
      <c r="KJ90" s="227">
        <f t="shared" si="1240"/>
        <v>0</v>
      </c>
      <c r="KK90" s="235"/>
      <c r="KL90" s="227">
        <f t="shared" si="1241"/>
        <v>0</v>
      </c>
      <c r="KM90" s="410"/>
      <c r="KN90" s="96"/>
      <c r="KO90" s="96"/>
      <c r="KP90" s="227">
        <f t="shared" si="1242"/>
        <v>0</v>
      </c>
      <c r="KQ90" s="235">
        <f t="shared" si="1243"/>
        <v>0.4604471269</v>
      </c>
      <c r="KR90" s="236">
        <f t="shared" si="1244"/>
        <v>0</v>
      </c>
      <c r="KS90" s="237">
        <f t="shared" si="1245"/>
        <v>0</v>
      </c>
      <c r="KT90" s="230"/>
      <c r="KU90" s="231"/>
    </row>
    <row r="91" ht="15.75" customHeight="1">
      <c r="A91" s="232">
        <f t="shared" si="1246"/>
        <v>7</v>
      </c>
      <c r="B91" s="233" t="str">
        <f t="shared" ref="B91:D91" si="1336">IFERROR(VLOOKUP($A91,$A$13:$D$30,-B$12,FALSE),"")</f>
        <v>Timah</v>
      </c>
      <c r="C91" s="234" t="str">
        <f t="shared" si="1336"/>
        <v>Bijih </v>
      </c>
      <c r="D91" s="234" t="str">
        <f t="shared" si="1336"/>
        <v>Ton </v>
      </c>
      <c r="E91" s="227"/>
      <c r="F91" s="227" t="str">
        <f t="shared" si="1103"/>
        <v/>
      </c>
      <c r="G91" s="227">
        <f t="shared" si="1104"/>
        <v>0</v>
      </c>
      <c r="H91" s="235"/>
      <c r="I91" s="227">
        <f t="shared" si="1105"/>
        <v>0</v>
      </c>
      <c r="J91" s="410"/>
      <c r="K91" s="96"/>
      <c r="L91" s="96"/>
      <c r="M91" s="227">
        <f t="shared" si="1106"/>
        <v>0</v>
      </c>
      <c r="N91" s="235">
        <f t="shared" si="1107"/>
        <v>0.4604471269</v>
      </c>
      <c r="O91" s="236">
        <f t="shared" si="1108"/>
        <v>0</v>
      </c>
      <c r="P91" s="237">
        <f t="shared" si="1109"/>
        <v>0</v>
      </c>
      <c r="Q91" s="230"/>
      <c r="R91" s="232">
        <f t="shared" si="1248"/>
        <v>7</v>
      </c>
      <c r="S91" s="233" t="str">
        <f t="shared" ref="S91:U91" si="1337">IFERROR(VLOOKUP($R91,$A$13:$D$30,-S$12,FALSE),"")</f>
        <v>Timah</v>
      </c>
      <c r="T91" s="234" t="str">
        <f t="shared" si="1337"/>
        <v>Bijih </v>
      </c>
      <c r="U91" s="234" t="str">
        <f t="shared" si="1337"/>
        <v>Ton </v>
      </c>
      <c r="V91" s="227"/>
      <c r="W91" s="227" t="str">
        <f t="shared" si="1111"/>
        <v/>
      </c>
      <c r="X91" s="227">
        <f t="shared" si="1112"/>
        <v>0</v>
      </c>
      <c r="Y91" s="235"/>
      <c r="Z91" s="227">
        <f t="shared" si="1113"/>
        <v>0</v>
      </c>
      <c r="AA91" s="410"/>
      <c r="AB91" s="96"/>
      <c r="AC91" s="96"/>
      <c r="AD91" s="227">
        <f t="shared" si="1114"/>
        <v>0</v>
      </c>
      <c r="AE91" s="235">
        <f t="shared" si="1115"/>
        <v>0.4604471269</v>
      </c>
      <c r="AF91" s="236">
        <f t="shared" si="1116"/>
        <v>0</v>
      </c>
      <c r="AG91" s="237">
        <f t="shared" si="1117"/>
        <v>0</v>
      </c>
      <c r="AH91" s="230"/>
      <c r="AI91" s="232">
        <f t="shared" si="1250"/>
        <v>7</v>
      </c>
      <c r="AJ91" s="233" t="str">
        <f t="shared" ref="AJ91:AL91" si="1338">IFERROR(VLOOKUP($R91,$A$13:$D$30,-AJ$12,FALSE),"")</f>
        <v>Timah</v>
      </c>
      <c r="AK91" s="234" t="str">
        <f t="shared" si="1338"/>
        <v>Bijih </v>
      </c>
      <c r="AL91" s="234" t="str">
        <f t="shared" si="1338"/>
        <v>Ton </v>
      </c>
      <c r="AM91" s="227"/>
      <c r="AN91" s="227" t="str">
        <f t="shared" si="1119"/>
        <v/>
      </c>
      <c r="AO91" s="227">
        <f t="shared" si="1120"/>
        <v>0</v>
      </c>
      <c r="AP91" s="235"/>
      <c r="AQ91" s="227">
        <f t="shared" si="1121"/>
        <v>0</v>
      </c>
      <c r="AR91" s="410"/>
      <c r="AS91" s="96"/>
      <c r="AT91" s="96"/>
      <c r="AU91" s="227">
        <f t="shared" si="1122"/>
        <v>0</v>
      </c>
      <c r="AV91" s="235">
        <f t="shared" si="1123"/>
        <v>0.4604471269</v>
      </c>
      <c r="AW91" s="236">
        <f t="shared" si="1124"/>
        <v>0</v>
      </c>
      <c r="AX91" s="237">
        <f t="shared" si="1125"/>
        <v>0</v>
      </c>
      <c r="AY91" s="230"/>
      <c r="AZ91" s="232">
        <f t="shared" si="1252"/>
        <v>7</v>
      </c>
      <c r="BA91" s="233" t="str">
        <f t="shared" ref="BA91:BC91" si="1339">IFERROR(VLOOKUP($R91,$A$13:$D$30,-BA$12,FALSE),"")</f>
        <v>Timah</v>
      </c>
      <c r="BB91" s="234" t="str">
        <f t="shared" si="1339"/>
        <v>Bijih </v>
      </c>
      <c r="BC91" s="234" t="str">
        <f t="shared" si="1339"/>
        <v>Ton </v>
      </c>
      <c r="BD91" s="227"/>
      <c r="BE91" s="227" t="str">
        <f t="shared" si="1127"/>
        <v/>
      </c>
      <c r="BF91" s="227">
        <f t="shared" si="1128"/>
        <v>0</v>
      </c>
      <c r="BG91" s="235"/>
      <c r="BH91" s="227">
        <f t="shared" si="1129"/>
        <v>0</v>
      </c>
      <c r="BI91" s="410"/>
      <c r="BJ91" s="96"/>
      <c r="BK91" s="96"/>
      <c r="BL91" s="227">
        <f t="shared" si="1130"/>
        <v>0</v>
      </c>
      <c r="BM91" s="235">
        <f t="shared" si="1131"/>
        <v>0.4604471269</v>
      </c>
      <c r="BN91" s="236">
        <f t="shared" si="1132"/>
        <v>0</v>
      </c>
      <c r="BO91" s="237">
        <f t="shared" si="1133"/>
        <v>0</v>
      </c>
      <c r="BP91" s="230"/>
      <c r="BQ91" s="232">
        <f t="shared" si="1254"/>
        <v>7</v>
      </c>
      <c r="BR91" s="233" t="str">
        <f t="shared" ref="BR91:BT91" si="1340">IFERROR(VLOOKUP($R91,$A$13:$D$30,-BR$12,FALSE),"")</f>
        <v>Timah</v>
      </c>
      <c r="BS91" s="234" t="str">
        <f t="shared" si="1340"/>
        <v>Bijih </v>
      </c>
      <c r="BT91" s="234" t="str">
        <f t="shared" si="1340"/>
        <v>Ton </v>
      </c>
      <c r="BU91" s="227"/>
      <c r="BV91" s="227" t="str">
        <f t="shared" si="1135"/>
        <v/>
      </c>
      <c r="BW91" s="227">
        <f t="shared" si="1136"/>
        <v>0</v>
      </c>
      <c r="BX91" s="235"/>
      <c r="BY91" s="227">
        <f t="shared" si="1137"/>
        <v>0</v>
      </c>
      <c r="BZ91" s="410"/>
      <c r="CA91" s="96"/>
      <c r="CB91" s="96"/>
      <c r="CC91" s="227">
        <f t="shared" si="1138"/>
        <v>0</v>
      </c>
      <c r="CD91" s="235">
        <f t="shared" si="1139"/>
        <v>0.4604471269</v>
      </c>
      <c r="CE91" s="236">
        <f t="shared" si="1140"/>
        <v>0</v>
      </c>
      <c r="CF91" s="237">
        <f t="shared" si="1141"/>
        <v>0</v>
      </c>
      <c r="CG91" s="230"/>
      <c r="CH91" s="232">
        <f t="shared" si="1256"/>
        <v>7</v>
      </c>
      <c r="CI91" s="233" t="str">
        <f t="shared" ref="CI91:CK91" si="1341">IFERROR(VLOOKUP($R91,$A$13:$D$30,-CI$12,FALSE),"")</f>
        <v>Timah</v>
      </c>
      <c r="CJ91" s="234" t="str">
        <f t="shared" si="1341"/>
        <v>Bijih </v>
      </c>
      <c r="CK91" s="234" t="str">
        <f t="shared" si="1341"/>
        <v>Ton </v>
      </c>
      <c r="CL91" s="227"/>
      <c r="CM91" s="227" t="str">
        <f t="shared" si="1143"/>
        <v/>
      </c>
      <c r="CN91" s="227">
        <f t="shared" si="1144"/>
        <v>0</v>
      </c>
      <c r="CO91" s="235"/>
      <c r="CP91" s="227">
        <f t="shared" si="1145"/>
        <v>0</v>
      </c>
      <c r="CQ91" s="410"/>
      <c r="CR91" s="96"/>
      <c r="CS91" s="96"/>
      <c r="CT91" s="227">
        <f t="shared" si="1146"/>
        <v>0</v>
      </c>
      <c r="CU91" s="235">
        <f t="shared" si="1147"/>
        <v>0.4604471269</v>
      </c>
      <c r="CV91" s="236">
        <f t="shared" si="1148"/>
        <v>0</v>
      </c>
      <c r="CW91" s="237">
        <f t="shared" si="1149"/>
        <v>0</v>
      </c>
      <c r="CX91" s="230"/>
      <c r="CY91" s="232">
        <f t="shared" si="1258"/>
        <v>7</v>
      </c>
      <c r="CZ91" s="233" t="str">
        <f t="shared" ref="CZ91:DB91" si="1342">IFERROR(VLOOKUP($R91,$A$13:$D$30,-CZ$12,FALSE),"")</f>
        <v>Timah</v>
      </c>
      <c r="DA91" s="234" t="str">
        <f t="shared" si="1342"/>
        <v>Bijih </v>
      </c>
      <c r="DB91" s="234" t="str">
        <f t="shared" si="1342"/>
        <v>Ton </v>
      </c>
      <c r="DC91" s="227"/>
      <c r="DD91" s="227" t="str">
        <f t="shared" si="1151"/>
        <v/>
      </c>
      <c r="DE91" s="227">
        <f t="shared" si="1152"/>
        <v>0</v>
      </c>
      <c r="DF91" s="235"/>
      <c r="DG91" s="227">
        <f t="shared" si="1153"/>
        <v>0</v>
      </c>
      <c r="DH91" s="410"/>
      <c r="DI91" s="96"/>
      <c r="DJ91" s="96"/>
      <c r="DK91" s="227">
        <f t="shared" si="1154"/>
        <v>0</v>
      </c>
      <c r="DL91" s="235">
        <f t="shared" si="1155"/>
        <v>0.4604471269</v>
      </c>
      <c r="DM91" s="236">
        <f t="shared" si="1156"/>
        <v>0</v>
      </c>
      <c r="DN91" s="237">
        <f t="shared" si="1157"/>
        <v>0</v>
      </c>
      <c r="DO91" s="230"/>
      <c r="DP91" s="232">
        <f t="shared" si="1260"/>
        <v>7</v>
      </c>
      <c r="DQ91" s="233" t="str">
        <f t="shared" ref="DQ91:DS91" si="1343">IFERROR(VLOOKUP($R91,$A$13:$D$30,-DQ$12,FALSE),"")</f>
        <v>Timah</v>
      </c>
      <c r="DR91" s="234" t="str">
        <f t="shared" si="1343"/>
        <v>Bijih </v>
      </c>
      <c r="DS91" s="234" t="str">
        <f t="shared" si="1343"/>
        <v>Ton </v>
      </c>
      <c r="DT91" s="227"/>
      <c r="DU91" s="227" t="str">
        <f t="shared" si="1159"/>
        <v/>
      </c>
      <c r="DV91" s="227">
        <f t="shared" si="1160"/>
        <v>0</v>
      </c>
      <c r="DW91" s="235"/>
      <c r="DX91" s="227">
        <f t="shared" si="1161"/>
        <v>0</v>
      </c>
      <c r="DY91" s="410"/>
      <c r="DZ91" s="96"/>
      <c r="EA91" s="96"/>
      <c r="EB91" s="227">
        <f t="shared" si="1162"/>
        <v>0</v>
      </c>
      <c r="EC91" s="235">
        <f t="shared" si="1163"/>
        <v>0.4604471269</v>
      </c>
      <c r="ED91" s="236">
        <f t="shared" si="1164"/>
        <v>0</v>
      </c>
      <c r="EE91" s="237">
        <f t="shared" si="1165"/>
        <v>0</v>
      </c>
      <c r="EF91" s="230"/>
      <c r="EG91" s="232">
        <f t="shared" si="1262"/>
        <v>7</v>
      </c>
      <c r="EH91" s="233" t="str">
        <f t="shared" ref="EH91:EJ91" si="1344">IFERROR(VLOOKUP($R91,$A$13:$D$30,-EH$12,FALSE),"")</f>
        <v>Timah</v>
      </c>
      <c r="EI91" s="234" t="str">
        <f t="shared" si="1344"/>
        <v>Bijih </v>
      </c>
      <c r="EJ91" s="234" t="str">
        <f t="shared" si="1344"/>
        <v>Ton </v>
      </c>
      <c r="EK91" s="227"/>
      <c r="EL91" s="227" t="str">
        <f t="shared" si="1167"/>
        <v/>
      </c>
      <c r="EM91" s="227">
        <f t="shared" si="1168"/>
        <v>0</v>
      </c>
      <c r="EN91" s="235"/>
      <c r="EO91" s="227">
        <f t="shared" si="1169"/>
        <v>0</v>
      </c>
      <c r="EP91" s="410"/>
      <c r="EQ91" s="96"/>
      <c r="ER91" s="96"/>
      <c r="ES91" s="227">
        <f t="shared" si="1170"/>
        <v>0</v>
      </c>
      <c r="ET91" s="235">
        <f t="shared" si="1171"/>
        <v>0.4604471269</v>
      </c>
      <c r="EU91" s="236">
        <f t="shared" si="1172"/>
        <v>0</v>
      </c>
      <c r="EV91" s="237">
        <f t="shared" si="1173"/>
        <v>0</v>
      </c>
      <c r="EW91" s="230"/>
      <c r="EX91" s="232">
        <f t="shared" si="1264"/>
        <v>7</v>
      </c>
      <c r="EY91" s="233" t="str">
        <f t="shared" ref="EY91:FA91" si="1345">IFERROR(VLOOKUP($R91,$A$13:$D$30,-EY$12,FALSE),"")</f>
        <v>Timah</v>
      </c>
      <c r="EZ91" s="234" t="str">
        <f t="shared" si="1345"/>
        <v>Bijih </v>
      </c>
      <c r="FA91" s="234" t="str">
        <f t="shared" si="1345"/>
        <v>Ton </v>
      </c>
      <c r="FB91" s="227"/>
      <c r="FC91" s="227" t="str">
        <f t="shared" si="1175"/>
        <v/>
      </c>
      <c r="FD91" s="227">
        <f t="shared" si="1176"/>
        <v>0</v>
      </c>
      <c r="FE91" s="235"/>
      <c r="FF91" s="227">
        <f t="shared" si="1177"/>
        <v>0</v>
      </c>
      <c r="FG91" s="410"/>
      <c r="FH91" s="96"/>
      <c r="FI91" s="96"/>
      <c r="FJ91" s="227">
        <f t="shared" si="1178"/>
        <v>0</v>
      </c>
      <c r="FK91" s="235">
        <f t="shared" si="1179"/>
        <v>0.4604471269</v>
      </c>
      <c r="FL91" s="236">
        <f t="shared" si="1180"/>
        <v>0</v>
      </c>
      <c r="FM91" s="237">
        <f t="shared" si="1181"/>
        <v>0</v>
      </c>
      <c r="FN91" s="230"/>
      <c r="FO91" s="232">
        <f t="shared" si="1266"/>
        <v>7</v>
      </c>
      <c r="FP91" s="233" t="str">
        <f t="shared" ref="FP91:FR91" si="1346">IFERROR(VLOOKUP($R91,$A$13:$D$30,-FP$12,FALSE),"")</f>
        <v>Timah</v>
      </c>
      <c r="FQ91" s="234" t="str">
        <f t="shared" si="1346"/>
        <v>Bijih </v>
      </c>
      <c r="FR91" s="234" t="str">
        <f t="shared" si="1346"/>
        <v>Ton </v>
      </c>
      <c r="FS91" s="227"/>
      <c r="FT91" s="227" t="str">
        <f t="shared" si="1183"/>
        <v/>
      </c>
      <c r="FU91" s="227">
        <f t="shared" si="1184"/>
        <v>0</v>
      </c>
      <c r="FV91" s="235"/>
      <c r="FW91" s="227">
        <f t="shared" si="1185"/>
        <v>0</v>
      </c>
      <c r="FX91" s="410"/>
      <c r="FY91" s="96"/>
      <c r="FZ91" s="96"/>
      <c r="GA91" s="227">
        <f t="shared" si="1186"/>
        <v>0</v>
      </c>
      <c r="GB91" s="235">
        <f t="shared" si="1187"/>
        <v>0.4604471269</v>
      </c>
      <c r="GC91" s="236">
        <f t="shared" si="1188"/>
        <v>0</v>
      </c>
      <c r="GD91" s="237">
        <f t="shared" si="1189"/>
        <v>0</v>
      </c>
      <c r="GE91" s="230"/>
      <c r="GF91" s="232">
        <f t="shared" si="1268"/>
        <v>7</v>
      </c>
      <c r="GG91" s="233" t="str">
        <f t="shared" ref="GG91:GI91" si="1347">IFERROR(VLOOKUP($R91,$A$13:$D$30,-GG$12,FALSE),"")</f>
        <v>Timah</v>
      </c>
      <c r="GH91" s="234" t="str">
        <f t="shared" si="1347"/>
        <v>Bijih </v>
      </c>
      <c r="GI91" s="234" t="str">
        <f t="shared" si="1347"/>
        <v>Ton </v>
      </c>
      <c r="GJ91" s="227"/>
      <c r="GK91" s="227" t="str">
        <f t="shared" si="1191"/>
        <v/>
      </c>
      <c r="GL91" s="227">
        <f t="shared" si="1192"/>
        <v>0</v>
      </c>
      <c r="GM91" s="235"/>
      <c r="GN91" s="227">
        <f t="shared" si="1193"/>
        <v>0</v>
      </c>
      <c r="GO91" s="410"/>
      <c r="GP91" s="96"/>
      <c r="GQ91" s="96"/>
      <c r="GR91" s="227">
        <f t="shared" si="1194"/>
        <v>0</v>
      </c>
      <c r="GS91" s="235">
        <f t="shared" si="1195"/>
        <v>0.4604471269</v>
      </c>
      <c r="GT91" s="236">
        <f t="shared" si="1196"/>
        <v>0</v>
      </c>
      <c r="GU91" s="237">
        <f t="shared" si="1197"/>
        <v>0</v>
      </c>
      <c r="GV91" s="230"/>
      <c r="GW91" s="232">
        <f t="shared" si="1270"/>
        <v>7</v>
      </c>
      <c r="GX91" s="233" t="str">
        <f t="shared" ref="GX91:GZ91" si="1348">IFERROR(VLOOKUP($R91,$A$13:$D$30,-GX$12,FALSE),"")</f>
        <v>Timah</v>
      </c>
      <c r="GY91" s="234" t="str">
        <f t="shared" si="1348"/>
        <v>Bijih </v>
      </c>
      <c r="GZ91" s="234" t="str">
        <f t="shared" si="1348"/>
        <v>Ton </v>
      </c>
      <c r="HA91" s="227"/>
      <c r="HB91" s="227" t="str">
        <f t="shared" si="1199"/>
        <v/>
      </c>
      <c r="HC91" s="227">
        <f t="shared" si="1200"/>
        <v>0</v>
      </c>
      <c r="HD91" s="235"/>
      <c r="HE91" s="227">
        <f t="shared" si="1201"/>
        <v>0</v>
      </c>
      <c r="HF91" s="410"/>
      <c r="HG91" s="96"/>
      <c r="HH91" s="96"/>
      <c r="HI91" s="227">
        <f t="shared" si="1202"/>
        <v>0</v>
      </c>
      <c r="HJ91" s="235">
        <f t="shared" si="1203"/>
        <v>0.4604471269</v>
      </c>
      <c r="HK91" s="236">
        <f t="shared" si="1204"/>
        <v>0</v>
      </c>
      <c r="HL91" s="237">
        <f t="shared" si="1205"/>
        <v>0</v>
      </c>
      <c r="HM91" s="230"/>
      <c r="HN91" s="232">
        <f t="shared" si="1272"/>
        <v>7</v>
      </c>
      <c r="HO91" s="233" t="str">
        <f t="shared" ref="HO91:HQ91" si="1349">IFERROR(VLOOKUP($R91,$A$13:$D$30,-HO$12,FALSE),"")</f>
        <v>Timah</v>
      </c>
      <c r="HP91" s="234" t="str">
        <f t="shared" si="1349"/>
        <v>Bijih </v>
      </c>
      <c r="HQ91" s="234" t="str">
        <f t="shared" si="1349"/>
        <v>Ton </v>
      </c>
      <c r="HR91" s="227"/>
      <c r="HS91" s="227" t="str">
        <f t="shared" si="1207"/>
        <v/>
      </c>
      <c r="HT91" s="227">
        <f t="shared" si="1208"/>
        <v>0</v>
      </c>
      <c r="HU91" s="235"/>
      <c r="HV91" s="227">
        <f t="shared" si="1209"/>
        <v>0</v>
      </c>
      <c r="HW91" s="410"/>
      <c r="HX91" s="96"/>
      <c r="HY91" s="96"/>
      <c r="HZ91" s="227">
        <f t="shared" si="1210"/>
        <v>0</v>
      </c>
      <c r="IA91" s="235">
        <f t="shared" si="1211"/>
        <v>0.4604471269</v>
      </c>
      <c r="IB91" s="236">
        <f t="shared" si="1212"/>
        <v>0</v>
      </c>
      <c r="IC91" s="237">
        <f t="shared" si="1213"/>
        <v>0</v>
      </c>
      <c r="ID91" s="230"/>
      <c r="IE91" s="232">
        <f t="shared" si="1274"/>
        <v>7</v>
      </c>
      <c r="IF91" s="233" t="str">
        <f t="shared" ref="IF91:IH91" si="1350">IFERROR(VLOOKUP($R91,$A$13:$D$30,-IF$12,FALSE),"")</f>
        <v>Timah</v>
      </c>
      <c r="IG91" s="234" t="str">
        <f t="shared" si="1350"/>
        <v>Bijih </v>
      </c>
      <c r="IH91" s="234" t="str">
        <f t="shared" si="1350"/>
        <v>Ton </v>
      </c>
      <c r="II91" s="227"/>
      <c r="IJ91" s="227" t="str">
        <f t="shared" si="1215"/>
        <v/>
      </c>
      <c r="IK91" s="227">
        <f t="shared" si="1216"/>
        <v>0</v>
      </c>
      <c r="IL91" s="235"/>
      <c r="IM91" s="227">
        <f t="shared" si="1217"/>
        <v>0</v>
      </c>
      <c r="IN91" s="410"/>
      <c r="IO91" s="96"/>
      <c r="IP91" s="96"/>
      <c r="IQ91" s="227">
        <f t="shared" si="1218"/>
        <v>0</v>
      </c>
      <c r="IR91" s="235">
        <f t="shared" si="1219"/>
        <v>0.4604471269</v>
      </c>
      <c r="IS91" s="236">
        <f t="shared" si="1220"/>
        <v>0</v>
      </c>
      <c r="IT91" s="237">
        <f t="shared" si="1221"/>
        <v>0</v>
      </c>
      <c r="IU91" s="230"/>
      <c r="IV91" s="232">
        <f t="shared" si="1276"/>
        <v>7</v>
      </c>
      <c r="IW91" s="233" t="str">
        <f t="shared" ref="IW91:IY91" si="1351">IFERROR(VLOOKUP($R91,$A$13:$D$30,-IW$12,FALSE),"")</f>
        <v>Timah</v>
      </c>
      <c r="IX91" s="234" t="str">
        <f t="shared" si="1351"/>
        <v>Bijih </v>
      </c>
      <c r="IY91" s="234" t="str">
        <f t="shared" si="1351"/>
        <v>Ton </v>
      </c>
      <c r="IZ91" s="227"/>
      <c r="JA91" s="227" t="str">
        <f t="shared" si="1223"/>
        <v/>
      </c>
      <c r="JB91" s="227">
        <f t="shared" si="1224"/>
        <v>0</v>
      </c>
      <c r="JC91" s="235"/>
      <c r="JD91" s="227">
        <f t="shared" si="1225"/>
        <v>0</v>
      </c>
      <c r="JE91" s="410"/>
      <c r="JF91" s="96"/>
      <c r="JG91" s="96"/>
      <c r="JH91" s="227">
        <f t="shared" si="1226"/>
        <v>0</v>
      </c>
      <c r="JI91" s="235">
        <f t="shared" si="1227"/>
        <v>0.4604471269</v>
      </c>
      <c r="JJ91" s="236">
        <f t="shared" si="1228"/>
        <v>0</v>
      </c>
      <c r="JK91" s="237">
        <f t="shared" si="1229"/>
        <v>0</v>
      </c>
      <c r="JL91" s="230"/>
      <c r="JM91" s="232">
        <f t="shared" si="1278"/>
        <v>7</v>
      </c>
      <c r="JN91" s="233" t="str">
        <f t="shared" ref="JN91:JP91" si="1352">IFERROR(VLOOKUP($R91,$A$13:$D$30,-JN$12,FALSE),"")</f>
        <v>Timah</v>
      </c>
      <c r="JO91" s="234" t="str">
        <f t="shared" si="1352"/>
        <v>Bijih </v>
      </c>
      <c r="JP91" s="234" t="str">
        <f t="shared" si="1352"/>
        <v>Ton </v>
      </c>
      <c r="JQ91" s="227"/>
      <c r="JR91" s="227" t="str">
        <f t="shared" si="1231"/>
        <v/>
      </c>
      <c r="JS91" s="227">
        <f t="shared" si="1232"/>
        <v>0</v>
      </c>
      <c r="JT91" s="235"/>
      <c r="JU91" s="227">
        <f t="shared" si="1233"/>
        <v>0</v>
      </c>
      <c r="JV91" s="410"/>
      <c r="JW91" s="96"/>
      <c r="JX91" s="96"/>
      <c r="JY91" s="227">
        <f t="shared" si="1234"/>
        <v>0</v>
      </c>
      <c r="JZ91" s="235">
        <f t="shared" si="1235"/>
        <v>0.4604471269</v>
      </c>
      <c r="KA91" s="236">
        <f t="shared" si="1236"/>
        <v>0</v>
      </c>
      <c r="KB91" s="237">
        <f t="shared" si="1237"/>
        <v>0</v>
      </c>
      <c r="KC91" s="230"/>
      <c r="KD91" s="232">
        <f t="shared" si="1280"/>
        <v>7</v>
      </c>
      <c r="KE91" s="233" t="str">
        <f t="shared" ref="KE91:KG91" si="1353">IFERROR(VLOOKUP($R91,$A$13:$D$30,-KE$12,FALSE),"")</f>
        <v>Timah</v>
      </c>
      <c r="KF91" s="234" t="str">
        <f t="shared" si="1353"/>
        <v>Bijih </v>
      </c>
      <c r="KG91" s="234" t="str">
        <f t="shared" si="1353"/>
        <v>Ton </v>
      </c>
      <c r="KH91" s="227"/>
      <c r="KI91" s="227" t="str">
        <f t="shared" si="1239"/>
        <v/>
      </c>
      <c r="KJ91" s="227">
        <f t="shared" si="1240"/>
        <v>0</v>
      </c>
      <c r="KK91" s="235"/>
      <c r="KL91" s="227">
        <f t="shared" si="1241"/>
        <v>0</v>
      </c>
      <c r="KM91" s="410"/>
      <c r="KN91" s="96"/>
      <c r="KO91" s="96"/>
      <c r="KP91" s="227">
        <f t="shared" si="1242"/>
        <v>0</v>
      </c>
      <c r="KQ91" s="235">
        <f t="shared" si="1243"/>
        <v>0.4604471269</v>
      </c>
      <c r="KR91" s="236">
        <f t="shared" si="1244"/>
        <v>0</v>
      </c>
      <c r="KS91" s="237">
        <f t="shared" si="1245"/>
        <v>0</v>
      </c>
      <c r="KT91" s="230"/>
      <c r="KU91" s="231"/>
    </row>
    <row r="92" ht="15.75" customHeight="1">
      <c r="A92" s="232">
        <f t="shared" si="1246"/>
        <v>8</v>
      </c>
      <c r="B92" s="233" t="str">
        <f t="shared" ref="B92:D92" si="1354">IFERROR(VLOOKUP($A92,$A$13:$D$30,-B$12,FALSE),"")</f>
        <v>Mangan</v>
      </c>
      <c r="C92" s="234" t="str">
        <f t="shared" si="1354"/>
        <v>Bijih </v>
      </c>
      <c r="D92" s="234" t="str">
        <f t="shared" si="1354"/>
        <v>Ton </v>
      </c>
      <c r="E92" s="227"/>
      <c r="F92" s="227" t="str">
        <f t="shared" si="1103"/>
        <v/>
      </c>
      <c r="G92" s="227">
        <f t="shared" si="1104"/>
        <v>0</v>
      </c>
      <c r="H92" s="235"/>
      <c r="I92" s="227">
        <f t="shared" si="1105"/>
        <v>0</v>
      </c>
      <c r="J92" s="410"/>
      <c r="K92" s="96"/>
      <c r="L92" s="96"/>
      <c r="M92" s="227">
        <f t="shared" si="1106"/>
        <v>0</v>
      </c>
      <c r="N92" s="235">
        <f t="shared" si="1107"/>
        <v>0.4604471269</v>
      </c>
      <c r="O92" s="236">
        <f t="shared" si="1108"/>
        <v>0</v>
      </c>
      <c r="P92" s="237">
        <f t="shared" si="1109"/>
        <v>0</v>
      </c>
      <c r="Q92" s="230"/>
      <c r="R92" s="232">
        <f t="shared" si="1248"/>
        <v>8</v>
      </c>
      <c r="S92" s="233" t="str">
        <f t="shared" ref="S92:U92" si="1355">IFERROR(VLOOKUP($R92,$A$13:$D$30,-S$12,FALSE),"")</f>
        <v>Mangan</v>
      </c>
      <c r="T92" s="234" t="str">
        <f t="shared" si="1355"/>
        <v>Bijih </v>
      </c>
      <c r="U92" s="234" t="str">
        <f t="shared" si="1355"/>
        <v>Ton </v>
      </c>
      <c r="V92" s="227"/>
      <c r="W92" s="227" t="str">
        <f t="shared" si="1111"/>
        <v/>
      </c>
      <c r="X92" s="227">
        <f t="shared" si="1112"/>
        <v>0</v>
      </c>
      <c r="Y92" s="235"/>
      <c r="Z92" s="227">
        <f t="shared" si="1113"/>
        <v>0</v>
      </c>
      <c r="AA92" s="410"/>
      <c r="AB92" s="96"/>
      <c r="AC92" s="96"/>
      <c r="AD92" s="227">
        <f t="shared" si="1114"/>
        <v>0</v>
      </c>
      <c r="AE92" s="235">
        <f t="shared" si="1115"/>
        <v>0.4604471269</v>
      </c>
      <c r="AF92" s="236">
        <f t="shared" si="1116"/>
        <v>0</v>
      </c>
      <c r="AG92" s="237">
        <f t="shared" si="1117"/>
        <v>0</v>
      </c>
      <c r="AH92" s="230"/>
      <c r="AI92" s="232">
        <f t="shared" si="1250"/>
        <v>8</v>
      </c>
      <c r="AJ92" s="233" t="str">
        <f t="shared" ref="AJ92:AL92" si="1356">IFERROR(VLOOKUP($R92,$A$13:$D$30,-AJ$12,FALSE),"")</f>
        <v>Mangan</v>
      </c>
      <c r="AK92" s="234" t="str">
        <f t="shared" si="1356"/>
        <v>Bijih </v>
      </c>
      <c r="AL92" s="234" t="str">
        <f t="shared" si="1356"/>
        <v>Ton </v>
      </c>
      <c r="AM92" s="227"/>
      <c r="AN92" s="227" t="str">
        <f t="shared" si="1119"/>
        <v/>
      </c>
      <c r="AO92" s="227">
        <f t="shared" si="1120"/>
        <v>0</v>
      </c>
      <c r="AP92" s="235"/>
      <c r="AQ92" s="227">
        <f t="shared" si="1121"/>
        <v>0</v>
      </c>
      <c r="AR92" s="410"/>
      <c r="AS92" s="96"/>
      <c r="AT92" s="96"/>
      <c r="AU92" s="227">
        <f t="shared" si="1122"/>
        <v>0</v>
      </c>
      <c r="AV92" s="235">
        <f t="shared" si="1123"/>
        <v>0.4604471269</v>
      </c>
      <c r="AW92" s="236">
        <f t="shared" si="1124"/>
        <v>0</v>
      </c>
      <c r="AX92" s="237">
        <f t="shared" si="1125"/>
        <v>0</v>
      </c>
      <c r="AY92" s="230"/>
      <c r="AZ92" s="232">
        <f t="shared" si="1252"/>
        <v>8</v>
      </c>
      <c r="BA92" s="233" t="str">
        <f t="shared" ref="BA92:BC92" si="1357">IFERROR(VLOOKUP($R92,$A$13:$D$30,-BA$12,FALSE),"")</f>
        <v>Mangan</v>
      </c>
      <c r="BB92" s="234" t="str">
        <f t="shared" si="1357"/>
        <v>Bijih </v>
      </c>
      <c r="BC92" s="234" t="str">
        <f t="shared" si="1357"/>
        <v>Ton </v>
      </c>
      <c r="BD92" s="227"/>
      <c r="BE92" s="227" t="str">
        <f t="shared" si="1127"/>
        <v/>
      </c>
      <c r="BF92" s="227">
        <f t="shared" si="1128"/>
        <v>0</v>
      </c>
      <c r="BG92" s="235"/>
      <c r="BH92" s="227">
        <f t="shared" si="1129"/>
        <v>0</v>
      </c>
      <c r="BI92" s="410"/>
      <c r="BJ92" s="96"/>
      <c r="BK92" s="96"/>
      <c r="BL92" s="227">
        <f t="shared" si="1130"/>
        <v>0</v>
      </c>
      <c r="BM92" s="235">
        <f t="shared" si="1131"/>
        <v>0.4604471269</v>
      </c>
      <c r="BN92" s="236">
        <f t="shared" si="1132"/>
        <v>0</v>
      </c>
      <c r="BO92" s="237">
        <f t="shared" si="1133"/>
        <v>0</v>
      </c>
      <c r="BP92" s="230"/>
      <c r="BQ92" s="232">
        <f t="shared" si="1254"/>
        <v>8</v>
      </c>
      <c r="BR92" s="233" t="str">
        <f t="shared" ref="BR92:BT92" si="1358">IFERROR(VLOOKUP($R92,$A$13:$D$30,-BR$12,FALSE),"")</f>
        <v>Mangan</v>
      </c>
      <c r="BS92" s="234" t="str">
        <f t="shared" si="1358"/>
        <v>Bijih </v>
      </c>
      <c r="BT92" s="234" t="str">
        <f t="shared" si="1358"/>
        <v>Ton </v>
      </c>
      <c r="BU92" s="227"/>
      <c r="BV92" s="227" t="str">
        <f t="shared" si="1135"/>
        <v/>
      </c>
      <c r="BW92" s="227">
        <f t="shared" si="1136"/>
        <v>0</v>
      </c>
      <c r="BX92" s="235"/>
      <c r="BY92" s="227">
        <f t="shared" si="1137"/>
        <v>0</v>
      </c>
      <c r="BZ92" s="410"/>
      <c r="CA92" s="96"/>
      <c r="CB92" s="96"/>
      <c r="CC92" s="227">
        <f t="shared" si="1138"/>
        <v>0</v>
      </c>
      <c r="CD92" s="235">
        <f t="shared" si="1139"/>
        <v>0.4604471269</v>
      </c>
      <c r="CE92" s="236">
        <f t="shared" si="1140"/>
        <v>0</v>
      </c>
      <c r="CF92" s="237">
        <f t="shared" si="1141"/>
        <v>0</v>
      </c>
      <c r="CG92" s="230"/>
      <c r="CH92" s="232">
        <f t="shared" si="1256"/>
        <v>8</v>
      </c>
      <c r="CI92" s="233" t="str">
        <f t="shared" ref="CI92:CK92" si="1359">IFERROR(VLOOKUP($R92,$A$13:$D$30,-CI$12,FALSE),"")</f>
        <v>Mangan</v>
      </c>
      <c r="CJ92" s="234" t="str">
        <f t="shared" si="1359"/>
        <v>Bijih </v>
      </c>
      <c r="CK92" s="234" t="str">
        <f t="shared" si="1359"/>
        <v>Ton </v>
      </c>
      <c r="CL92" s="227"/>
      <c r="CM92" s="227" t="str">
        <f t="shared" si="1143"/>
        <v/>
      </c>
      <c r="CN92" s="227">
        <f t="shared" si="1144"/>
        <v>0</v>
      </c>
      <c r="CO92" s="235"/>
      <c r="CP92" s="227">
        <f t="shared" si="1145"/>
        <v>0</v>
      </c>
      <c r="CQ92" s="410"/>
      <c r="CR92" s="96"/>
      <c r="CS92" s="96"/>
      <c r="CT92" s="227">
        <f t="shared" si="1146"/>
        <v>0</v>
      </c>
      <c r="CU92" s="235">
        <f t="shared" si="1147"/>
        <v>0.4604471269</v>
      </c>
      <c r="CV92" s="236">
        <f t="shared" si="1148"/>
        <v>0</v>
      </c>
      <c r="CW92" s="237">
        <f t="shared" si="1149"/>
        <v>0</v>
      </c>
      <c r="CX92" s="230"/>
      <c r="CY92" s="232">
        <f t="shared" si="1258"/>
        <v>8</v>
      </c>
      <c r="CZ92" s="233" t="str">
        <f t="shared" ref="CZ92:DB92" si="1360">IFERROR(VLOOKUP($R92,$A$13:$D$30,-CZ$12,FALSE),"")</f>
        <v>Mangan</v>
      </c>
      <c r="DA92" s="234" t="str">
        <f t="shared" si="1360"/>
        <v>Bijih </v>
      </c>
      <c r="DB92" s="234" t="str">
        <f t="shared" si="1360"/>
        <v>Ton </v>
      </c>
      <c r="DC92" s="227"/>
      <c r="DD92" s="227" t="str">
        <f t="shared" si="1151"/>
        <v/>
      </c>
      <c r="DE92" s="227">
        <f t="shared" si="1152"/>
        <v>0</v>
      </c>
      <c r="DF92" s="235"/>
      <c r="DG92" s="227">
        <f t="shared" si="1153"/>
        <v>0</v>
      </c>
      <c r="DH92" s="410"/>
      <c r="DI92" s="96"/>
      <c r="DJ92" s="96"/>
      <c r="DK92" s="227">
        <f t="shared" si="1154"/>
        <v>0</v>
      </c>
      <c r="DL92" s="235">
        <f t="shared" si="1155"/>
        <v>0.4604471269</v>
      </c>
      <c r="DM92" s="236">
        <f t="shared" si="1156"/>
        <v>0</v>
      </c>
      <c r="DN92" s="237">
        <f t="shared" si="1157"/>
        <v>0</v>
      </c>
      <c r="DO92" s="230"/>
      <c r="DP92" s="232">
        <f t="shared" si="1260"/>
        <v>8</v>
      </c>
      <c r="DQ92" s="233" t="str">
        <f t="shared" ref="DQ92:DS92" si="1361">IFERROR(VLOOKUP($R92,$A$13:$D$30,-DQ$12,FALSE),"")</f>
        <v>Mangan</v>
      </c>
      <c r="DR92" s="234" t="str">
        <f t="shared" si="1361"/>
        <v>Bijih </v>
      </c>
      <c r="DS92" s="234" t="str">
        <f t="shared" si="1361"/>
        <v>Ton </v>
      </c>
      <c r="DT92" s="227"/>
      <c r="DU92" s="227" t="str">
        <f t="shared" si="1159"/>
        <v/>
      </c>
      <c r="DV92" s="227">
        <f t="shared" si="1160"/>
        <v>0</v>
      </c>
      <c r="DW92" s="235"/>
      <c r="DX92" s="227">
        <f t="shared" si="1161"/>
        <v>0</v>
      </c>
      <c r="DY92" s="410"/>
      <c r="DZ92" s="96"/>
      <c r="EA92" s="96"/>
      <c r="EB92" s="227">
        <f t="shared" si="1162"/>
        <v>0</v>
      </c>
      <c r="EC92" s="235">
        <f t="shared" si="1163"/>
        <v>0.4604471269</v>
      </c>
      <c r="ED92" s="236">
        <f t="shared" si="1164"/>
        <v>0</v>
      </c>
      <c r="EE92" s="237">
        <f t="shared" si="1165"/>
        <v>0</v>
      </c>
      <c r="EF92" s="230"/>
      <c r="EG92" s="232">
        <f t="shared" si="1262"/>
        <v>8</v>
      </c>
      <c r="EH92" s="233" t="str">
        <f t="shared" ref="EH92:EJ92" si="1362">IFERROR(VLOOKUP($R92,$A$13:$D$30,-EH$12,FALSE),"")</f>
        <v>Mangan</v>
      </c>
      <c r="EI92" s="234" t="str">
        <f t="shared" si="1362"/>
        <v>Bijih </v>
      </c>
      <c r="EJ92" s="234" t="str">
        <f t="shared" si="1362"/>
        <v>Ton </v>
      </c>
      <c r="EK92" s="227"/>
      <c r="EL92" s="227" t="str">
        <f t="shared" si="1167"/>
        <v/>
      </c>
      <c r="EM92" s="227">
        <f t="shared" si="1168"/>
        <v>0</v>
      </c>
      <c r="EN92" s="235"/>
      <c r="EO92" s="227">
        <f t="shared" si="1169"/>
        <v>0</v>
      </c>
      <c r="EP92" s="410"/>
      <c r="EQ92" s="96"/>
      <c r="ER92" s="96"/>
      <c r="ES92" s="227">
        <f t="shared" si="1170"/>
        <v>0</v>
      </c>
      <c r="ET92" s="235">
        <f t="shared" si="1171"/>
        <v>0.4604471269</v>
      </c>
      <c r="EU92" s="236">
        <f t="shared" si="1172"/>
        <v>0</v>
      </c>
      <c r="EV92" s="237">
        <f t="shared" si="1173"/>
        <v>0</v>
      </c>
      <c r="EW92" s="230"/>
      <c r="EX92" s="232">
        <f t="shared" si="1264"/>
        <v>8</v>
      </c>
      <c r="EY92" s="233" t="str">
        <f t="shared" ref="EY92:FA92" si="1363">IFERROR(VLOOKUP($R92,$A$13:$D$30,-EY$12,FALSE),"")</f>
        <v>Mangan</v>
      </c>
      <c r="EZ92" s="234" t="str">
        <f t="shared" si="1363"/>
        <v>Bijih </v>
      </c>
      <c r="FA92" s="234" t="str">
        <f t="shared" si="1363"/>
        <v>Ton </v>
      </c>
      <c r="FB92" s="227"/>
      <c r="FC92" s="227" t="str">
        <f t="shared" si="1175"/>
        <v/>
      </c>
      <c r="FD92" s="227">
        <f t="shared" si="1176"/>
        <v>0</v>
      </c>
      <c r="FE92" s="235"/>
      <c r="FF92" s="227">
        <f t="shared" si="1177"/>
        <v>0</v>
      </c>
      <c r="FG92" s="410"/>
      <c r="FH92" s="96"/>
      <c r="FI92" s="96"/>
      <c r="FJ92" s="227">
        <f t="shared" si="1178"/>
        <v>0</v>
      </c>
      <c r="FK92" s="235">
        <f t="shared" si="1179"/>
        <v>0.4604471269</v>
      </c>
      <c r="FL92" s="236">
        <f t="shared" si="1180"/>
        <v>0</v>
      </c>
      <c r="FM92" s="237">
        <f t="shared" si="1181"/>
        <v>0</v>
      </c>
      <c r="FN92" s="230"/>
      <c r="FO92" s="232">
        <f t="shared" si="1266"/>
        <v>8</v>
      </c>
      <c r="FP92" s="233" t="str">
        <f t="shared" ref="FP92:FR92" si="1364">IFERROR(VLOOKUP($R92,$A$13:$D$30,-FP$12,FALSE),"")</f>
        <v>Mangan</v>
      </c>
      <c r="FQ92" s="234" t="str">
        <f t="shared" si="1364"/>
        <v>Bijih </v>
      </c>
      <c r="FR92" s="234" t="str">
        <f t="shared" si="1364"/>
        <v>Ton </v>
      </c>
      <c r="FS92" s="227"/>
      <c r="FT92" s="227" t="str">
        <f t="shared" si="1183"/>
        <v/>
      </c>
      <c r="FU92" s="227">
        <f t="shared" si="1184"/>
        <v>0</v>
      </c>
      <c r="FV92" s="235"/>
      <c r="FW92" s="227">
        <f t="shared" si="1185"/>
        <v>0</v>
      </c>
      <c r="FX92" s="410"/>
      <c r="FY92" s="96"/>
      <c r="FZ92" s="96"/>
      <c r="GA92" s="227">
        <f t="shared" si="1186"/>
        <v>0</v>
      </c>
      <c r="GB92" s="235">
        <f t="shared" si="1187"/>
        <v>0.4604471269</v>
      </c>
      <c r="GC92" s="236">
        <f t="shared" si="1188"/>
        <v>0</v>
      </c>
      <c r="GD92" s="237">
        <f t="shared" si="1189"/>
        <v>0</v>
      </c>
      <c r="GE92" s="230"/>
      <c r="GF92" s="232">
        <f t="shared" si="1268"/>
        <v>8</v>
      </c>
      <c r="GG92" s="233" t="str">
        <f t="shared" ref="GG92:GI92" si="1365">IFERROR(VLOOKUP($R92,$A$13:$D$30,-GG$12,FALSE),"")</f>
        <v>Mangan</v>
      </c>
      <c r="GH92" s="234" t="str">
        <f t="shared" si="1365"/>
        <v>Bijih </v>
      </c>
      <c r="GI92" s="234" t="str">
        <f t="shared" si="1365"/>
        <v>Ton </v>
      </c>
      <c r="GJ92" s="227"/>
      <c r="GK92" s="227" t="str">
        <f t="shared" si="1191"/>
        <v/>
      </c>
      <c r="GL92" s="227">
        <f t="shared" si="1192"/>
        <v>0</v>
      </c>
      <c r="GM92" s="235"/>
      <c r="GN92" s="227">
        <f t="shared" si="1193"/>
        <v>0</v>
      </c>
      <c r="GO92" s="410"/>
      <c r="GP92" s="96"/>
      <c r="GQ92" s="96"/>
      <c r="GR92" s="227">
        <f t="shared" si="1194"/>
        <v>0</v>
      </c>
      <c r="GS92" s="235">
        <f t="shared" si="1195"/>
        <v>0.4604471269</v>
      </c>
      <c r="GT92" s="236">
        <f t="shared" si="1196"/>
        <v>0</v>
      </c>
      <c r="GU92" s="237">
        <f t="shared" si="1197"/>
        <v>0</v>
      </c>
      <c r="GV92" s="230"/>
      <c r="GW92" s="232">
        <f t="shared" si="1270"/>
        <v>8</v>
      </c>
      <c r="GX92" s="233" t="str">
        <f t="shared" ref="GX92:GZ92" si="1366">IFERROR(VLOOKUP($R92,$A$13:$D$30,-GX$12,FALSE),"")</f>
        <v>Mangan</v>
      </c>
      <c r="GY92" s="234" t="str">
        <f t="shared" si="1366"/>
        <v>Bijih </v>
      </c>
      <c r="GZ92" s="234" t="str">
        <f t="shared" si="1366"/>
        <v>Ton </v>
      </c>
      <c r="HA92" s="227"/>
      <c r="HB92" s="227" t="str">
        <f t="shared" si="1199"/>
        <v/>
      </c>
      <c r="HC92" s="227">
        <f t="shared" si="1200"/>
        <v>0</v>
      </c>
      <c r="HD92" s="235"/>
      <c r="HE92" s="227">
        <f t="shared" si="1201"/>
        <v>0</v>
      </c>
      <c r="HF92" s="410"/>
      <c r="HG92" s="96"/>
      <c r="HH92" s="96"/>
      <c r="HI92" s="227">
        <f t="shared" si="1202"/>
        <v>0</v>
      </c>
      <c r="HJ92" s="235">
        <f t="shared" si="1203"/>
        <v>0.4604471269</v>
      </c>
      <c r="HK92" s="236">
        <f t="shared" si="1204"/>
        <v>0</v>
      </c>
      <c r="HL92" s="237">
        <f t="shared" si="1205"/>
        <v>0</v>
      </c>
      <c r="HM92" s="230"/>
      <c r="HN92" s="232">
        <f t="shared" si="1272"/>
        <v>8</v>
      </c>
      <c r="HO92" s="233" t="str">
        <f t="shared" ref="HO92:HQ92" si="1367">IFERROR(VLOOKUP($R92,$A$13:$D$30,-HO$12,FALSE),"")</f>
        <v>Mangan</v>
      </c>
      <c r="HP92" s="234" t="str">
        <f t="shared" si="1367"/>
        <v>Bijih </v>
      </c>
      <c r="HQ92" s="234" t="str">
        <f t="shared" si="1367"/>
        <v>Ton </v>
      </c>
      <c r="HR92" s="227"/>
      <c r="HS92" s="227" t="str">
        <f t="shared" si="1207"/>
        <v/>
      </c>
      <c r="HT92" s="227">
        <f t="shared" si="1208"/>
        <v>0</v>
      </c>
      <c r="HU92" s="235"/>
      <c r="HV92" s="227">
        <f t="shared" si="1209"/>
        <v>0</v>
      </c>
      <c r="HW92" s="410"/>
      <c r="HX92" s="96"/>
      <c r="HY92" s="96"/>
      <c r="HZ92" s="227">
        <f t="shared" si="1210"/>
        <v>0</v>
      </c>
      <c r="IA92" s="235">
        <f t="shared" si="1211"/>
        <v>0.4604471269</v>
      </c>
      <c r="IB92" s="236">
        <f t="shared" si="1212"/>
        <v>0</v>
      </c>
      <c r="IC92" s="237">
        <f t="shared" si="1213"/>
        <v>0</v>
      </c>
      <c r="ID92" s="230"/>
      <c r="IE92" s="232">
        <f t="shared" si="1274"/>
        <v>8</v>
      </c>
      <c r="IF92" s="233" t="str">
        <f t="shared" ref="IF92:IH92" si="1368">IFERROR(VLOOKUP($R92,$A$13:$D$30,-IF$12,FALSE),"")</f>
        <v>Mangan</v>
      </c>
      <c r="IG92" s="234" t="str">
        <f t="shared" si="1368"/>
        <v>Bijih </v>
      </c>
      <c r="IH92" s="234" t="str">
        <f t="shared" si="1368"/>
        <v>Ton </v>
      </c>
      <c r="II92" s="227"/>
      <c r="IJ92" s="227" t="str">
        <f t="shared" si="1215"/>
        <v/>
      </c>
      <c r="IK92" s="227">
        <f t="shared" si="1216"/>
        <v>0</v>
      </c>
      <c r="IL92" s="235"/>
      <c r="IM92" s="227">
        <f t="shared" si="1217"/>
        <v>0</v>
      </c>
      <c r="IN92" s="410"/>
      <c r="IO92" s="96"/>
      <c r="IP92" s="96"/>
      <c r="IQ92" s="227">
        <f t="shared" si="1218"/>
        <v>0</v>
      </c>
      <c r="IR92" s="235">
        <f t="shared" si="1219"/>
        <v>0.4604471269</v>
      </c>
      <c r="IS92" s="236">
        <f t="shared" si="1220"/>
        <v>0</v>
      </c>
      <c r="IT92" s="237">
        <f t="shared" si="1221"/>
        <v>0</v>
      </c>
      <c r="IU92" s="230"/>
      <c r="IV92" s="232">
        <f t="shared" si="1276"/>
        <v>8</v>
      </c>
      <c r="IW92" s="233" t="str">
        <f t="shared" ref="IW92:IY92" si="1369">IFERROR(VLOOKUP($R92,$A$13:$D$30,-IW$12,FALSE),"")</f>
        <v>Mangan</v>
      </c>
      <c r="IX92" s="234" t="str">
        <f t="shared" si="1369"/>
        <v>Bijih </v>
      </c>
      <c r="IY92" s="234" t="str">
        <f t="shared" si="1369"/>
        <v>Ton </v>
      </c>
      <c r="IZ92" s="227"/>
      <c r="JA92" s="227" t="str">
        <f t="shared" si="1223"/>
        <v/>
      </c>
      <c r="JB92" s="227">
        <f t="shared" si="1224"/>
        <v>0</v>
      </c>
      <c r="JC92" s="235"/>
      <c r="JD92" s="227">
        <f t="shared" si="1225"/>
        <v>0</v>
      </c>
      <c r="JE92" s="410"/>
      <c r="JF92" s="96"/>
      <c r="JG92" s="96"/>
      <c r="JH92" s="227">
        <f t="shared" si="1226"/>
        <v>0</v>
      </c>
      <c r="JI92" s="235">
        <f t="shared" si="1227"/>
        <v>0.4604471269</v>
      </c>
      <c r="JJ92" s="236">
        <f t="shared" si="1228"/>
        <v>0</v>
      </c>
      <c r="JK92" s="237">
        <f t="shared" si="1229"/>
        <v>0</v>
      </c>
      <c r="JL92" s="230"/>
      <c r="JM92" s="232">
        <f t="shared" si="1278"/>
        <v>8</v>
      </c>
      <c r="JN92" s="233" t="str">
        <f t="shared" ref="JN92:JP92" si="1370">IFERROR(VLOOKUP($R92,$A$13:$D$30,-JN$12,FALSE),"")</f>
        <v>Mangan</v>
      </c>
      <c r="JO92" s="234" t="str">
        <f t="shared" si="1370"/>
        <v>Bijih </v>
      </c>
      <c r="JP92" s="234" t="str">
        <f t="shared" si="1370"/>
        <v>Ton </v>
      </c>
      <c r="JQ92" s="227"/>
      <c r="JR92" s="227" t="str">
        <f t="shared" si="1231"/>
        <v/>
      </c>
      <c r="JS92" s="227">
        <f t="shared" si="1232"/>
        <v>0</v>
      </c>
      <c r="JT92" s="235"/>
      <c r="JU92" s="227">
        <f t="shared" si="1233"/>
        <v>0</v>
      </c>
      <c r="JV92" s="410"/>
      <c r="JW92" s="96"/>
      <c r="JX92" s="96"/>
      <c r="JY92" s="227">
        <f t="shared" si="1234"/>
        <v>0</v>
      </c>
      <c r="JZ92" s="235">
        <f t="shared" si="1235"/>
        <v>0.4604471269</v>
      </c>
      <c r="KA92" s="236">
        <f t="shared" si="1236"/>
        <v>0</v>
      </c>
      <c r="KB92" s="237">
        <f t="shared" si="1237"/>
        <v>0</v>
      </c>
      <c r="KC92" s="230"/>
      <c r="KD92" s="232">
        <f t="shared" si="1280"/>
        <v>8</v>
      </c>
      <c r="KE92" s="233" t="str">
        <f t="shared" ref="KE92:KG92" si="1371">IFERROR(VLOOKUP($R92,$A$13:$D$30,-KE$12,FALSE),"")</f>
        <v>Mangan</v>
      </c>
      <c r="KF92" s="234" t="str">
        <f t="shared" si="1371"/>
        <v>Bijih </v>
      </c>
      <c r="KG92" s="234" t="str">
        <f t="shared" si="1371"/>
        <v>Ton </v>
      </c>
      <c r="KH92" s="227"/>
      <c r="KI92" s="227" t="str">
        <f t="shared" si="1239"/>
        <v/>
      </c>
      <c r="KJ92" s="227">
        <f t="shared" si="1240"/>
        <v>0</v>
      </c>
      <c r="KK92" s="235"/>
      <c r="KL92" s="227">
        <f t="shared" si="1241"/>
        <v>0</v>
      </c>
      <c r="KM92" s="410"/>
      <c r="KN92" s="96"/>
      <c r="KO92" s="96"/>
      <c r="KP92" s="227">
        <f t="shared" si="1242"/>
        <v>0</v>
      </c>
      <c r="KQ92" s="235">
        <f t="shared" si="1243"/>
        <v>0.4604471269</v>
      </c>
      <c r="KR92" s="236">
        <f t="shared" si="1244"/>
        <v>0</v>
      </c>
      <c r="KS92" s="237">
        <f t="shared" si="1245"/>
        <v>0</v>
      </c>
      <c r="KT92" s="230"/>
      <c r="KU92" s="231"/>
    </row>
    <row r="93" ht="15.75" customHeight="1">
      <c r="A93" s="232">
        <f t="shared" si="1246"/>
        <v>9</v>
      </c>
      <c r="B93" s="233" t="str">
        <f t="shared" ref="B93:D93" si="1372">IFERROR(VLOOKUP($A93,$A$13:$D$30,-B$12,FALSE),"")</f>
        <v>Lainnya 2.3 (1) ……..</v>
      </c>
      <c r="C93" s="234" t="str">
        <f t="shared" si="1372"/>
        <v>Bijih </v>
      </c>
      <c r="D93" s="234" t="str">
        <f t="shared" si="1372"/>
        <v>Ton </v>
      </c>
      <c r="E93" s="227"/>
      <c r="F93" s="227" t="str">
        <f t="shared" si="1103"/>
        <v/>
      </c>
      <c r="G93" s="227">
        <f t="shared" si="1104"/>
        <v>0</v>
      </c>
      <c r="H93" s="235"/>
      <c r="I93" s="227">
        <f t="shared" si="1105"/>
        <v>0</v>
      </c>
      <c r="J93" s="410"/>
      <c r="K93" s="96"/>
      <c r="L93" s="96"/>
      <c r="M93" s="227">
        <f t="shared" si="1106"/>
        <v>0</v>
      </c>
      <c r="N93" s="235">
        <f t="shared" si="1107"/>
        <v>0.4604471269</v>
      </c>
      <c r="O93" s="236">
        <f t="shared" si="1108"/>
        <v>0</v>
      </c>
      <c r="P93" s="237">
        <f t="shared" si="1109"/>
        <v>0</v>
      </c>
      <c r="Q93" s="230"/>
      <c r="R93" s="232">
        <f t="shared" si="1248"/>
        <v>9</v>
      </c>
      <c r="S93" s="233" t="str">
        <f t="shared" ref="S93:U93" si="1373">IFERROR(VLOOKUP($R93,$A$13:$D$30,-S$12,FALSE),"")</f>
        <v>Lainnya 2.3 (1) ……..</v>
      </c>
      <c r="T93" s="234" t="str">
        <f t="shared" si="1373"/>
        <v>Bijih </v>
      </c>
      <c r="U93" s="234" t="str">
        <f t="shared" si="1373"/>
        <v>Ton </v>
      </c>
      <c r="V93" s="227"/>
      <c r="W93" s="227" t="str">
        <f t="shared" si="1111"/>
        <v/>
      </c>
      <c r="X93" s="227">
        <f t="shared" si="1112"/>
        <v>0</v>
      </c>
      <c r="Y93" s="235"/>
      <c r="Z93" s="227">
        <f t="shared" si="1113"/>
        <v>0</v>
      </c>
      <c r="AA93" s="410"/>
      <c r="AB93" s="96"/>
      <c r="AC93" s="96"/>
      <c r="AD93" s="227">
        <f t="shared" si="1114"/>
        <v>0</v>
      </c>
      <c r="AE93" s="235">
        <f t="shared" si="1115"/>
        <v>0.4604471269</v>
      </c>
      <c r="AF93" s="236">
        <f t="shared" si="1116"/>
        <v>0</v>
      </c>
      <c r="AG93" s="237">
        <f t="shared" si="1117"/>
        <v>0</v>
      </c>
      <c r="AH93" s="230"/>
      <c r="AI93" s="232">
        <f t="shared" si="1250"/>
        <v>9</v>
      </c>
      <c r="AJ93" s="233" t="str">
        <f t="shared" ref="AJ93:AL93" si="1374">IFERROR(VLOOKUP($R93,$A$13:$D$30,-AJ$12,FALSE),"")</f>
        <v>Lainnya 2.3 (1) ……..</v>
      </c>
      <c r="AK93" s="234" t="str">
        <f t="shared" si="1374"/>
        <v>Bijih </v>
      </c>
      <c r="AL93" s="234" t="str">
        <f t="shared" si="1374"/>
        <v>Ton </v>
      </c>
      <c r="AM93" s="227"/>
      <c r="AN93" s="227" t="str">
        <f t="shared" si="1119"/>
        <v/>
      </c>
      <c r="AO93" s="227">
        <f t="shared" si="1120"/>
        <v>0</v>
      </c>
      <c r="AP93" s="235"/>
      <c r="AQ93" s="227">
        <f t="shared" si="1121"/>
        <v>0</v>
      </c>
      <c r="AR93" s="410"/>
      <c r="AS93" s="96"/>
      <c r="AT93" s="96"/>
      <c r="AU93" s="227">
        <f t="shared" si="1122"/>
        <v>0</v>
      </c>
      <c r="AV93" s="235">
        <f t="shared" si="1123"/>
        <v>0.4604471269</v>
      </c>
      <c r="AW93" s="236">
        <f t="shared" si="1124"/>
        <v>0</v>
      </c>
      <c r="AX93" s="237">
        <f t="shared" si="1125"/>
        <v>0</v>
      </c>
      <c r="AY93" s="230"/>
      <c r="AZ93" s="232">
        <f t="shared" si="1252"/>
        <v>9</v>
      </c>
      <c r="BA93" s="233" t="str">
        <f t="shared" ref="BA93:BC93" si="1375">IFERROR(VLOOKUP($R93,$A$13:$D$30,-BA$12,FALSE),"")</f>
        <v>Lainnya 2.3 (1) ……..</v>
      </c>
      <c r="BB93" s="234" t="str">
        <f t="shared" si="1375"/>
        <v>Bijih </v>
      </c>
      <c r="BC93" s="234" t="str">
        <f t="shared" si="1375"/>
        <v>Ton </v>
      </c>
      <c r="BD93" s="227"/>
      <c r="BE93" s="227" t="str">
        <f t="shared" si="1127"/>
        <v/>
      </c>
      <c r="BF93" s="227">
        <f t="shared" si="1128"/>
        <v>0</v>
      </c>
      <c r="BG93" s="235"/>
      <c r="BH93" s="227">
        <f t="shared" si="1129"/>
        <v>0</v>
      </c>
      <c r="BI93" s="410"/>
      <c r="BJ93" s="96"/>
      <c r="BK93" s="96"/>
      <c r="BL93" s="227">
        <f t="shared" si="1130"/>
        <v>0</v>
      </c>
      <c r="BM93" s="235">
        <f t="shared" si="1131"/>
        <v>0.4604471269</v>
      </c>
      <c r="BN93" s="236">
        <f t="shared" si="1132"/>
        <v>0</v>
      </c>
      <c r="BO93" s="237">
        <f t="shared" si="1133"/>
        <v>0</v>
      </c>
      <c r="BP93" s="230"/>
      <c r="BQ93" s="232">
        <f t="shared" si="1254"/>
        <v>9</v>
      </c>
      <c r="BR93" s="233" t="str">
        <f t="shared" ref="BR93:BT93" si="1376">IFERROR(VLOOKUP($R93,$A$13:$D$30,-BR$12,FALSE),"")</f>
        <v>Lainnya 2.3 (1) ……..</v>
      </c>
      <c r="BS93" s="234" t="str">
        <f t="shared" si="1376"/>
        <v>Bijih </v>
      </c>
      <c r="BT93" s="234" t="str">
        <f t="shared" si="1376"/>
        <v>Ton </v>
      </c>
      <c r="BU93" s="227"/>
      <c r="BV93" s="227" t="str">
        <f t="shared" si="1135"/>
        <v/>
      </c>
      <c r="BW93" s="227">
        <f t="shared" si="1136"/>
        <v>0</v>
      </c>
      <c r="BX93" s="235"/>
      <c r="BY93" s="227">
        <f t="shared" si="1137"/>
        <v>0</v>
      </c>
      <c r="BZ93" s="410"/>
      <c r="CA93" s="96"/>
      <c r="CB93" s="96"/>
      <c r="CC93" s="227">
        <f t="shared" si="1138"/>
        <v>0</v>
      </c>
      <c r="CD93" s="235">
        <f t="shared" si="1139"/>
        <v>0.4604471269</v>
      </c>
      <c r="CE93" s="236">
        <f t="shared" si="1140"/>
        <v>0</v>
      </c>
      <c r="CF93" s="237">
        <f t="shared" si="1141"/>
        <v>0</v>
      </c>
      <c r="CG93" s="230"/>
      <c r="CH93" s="232">
        <f t="shared" si="1256"/>
        <v>9</v>
      </c>
      <c r="CI93" s="233" t="str">
        <f t="shared" ref="CI93:CK93" si="1377">IFERROR(VLOOKUP($R93,$A$13:$D$30,-CI$12,FALSE),"")</f>
        <v>Lainnya 2.3 (1) ……..</v>
      </c>
      <c r="CJ93" s="234" t="str">
        <f t="shared" si="1377"/>
        <v>Bijih </v>
      </c>
      <c r="CK93" s="234" t="str">
        <f t="shared" si="1377"/>
        <v>Ton </v>
      </c>
      <c r="CL93" s="227"/>
      <c r="CM93" s="227" t="str">
        <f t="shared" si="1143"/>
        <v/>
      </c>
      <c r="CN93" s="227">
        <f t="shared" si="1144"/>
        <v>0</v>
      </c>
      <c r="CO93" s="235"/>
      <c r="CP93" s="227">
        <f t="shared" si="1145"/>
        <v>0</v>
      </c>
      <c r="CQ93" s="410"/>
      <c r="CR93" s="96"/>
      <c r="CS93" s="96"/>
      <c r="CT93" s="227">
        <f t="shared" si="1146"/>
        <v>0</v>
      </c>
      <c r="CU93" s="235">
        <f t="shared" si="1147"/>
        <v>0.4604471269</v>
      </c>
      <c r="CV93" s="236">
        <f t="shared" si="1148"/>
        <v>0</v>
      </c>
      <c r="CW93" s="237">
        <f t="shared" si="1149"/>
        <v>0</v>
      </c>
      <c r="CX93" s="230"/>
      <c r="CY93" s="232">
        <f t="shared" si="1258"/>
        <v>9</v>
      </c>
      <c r="CZ93" s="233" t="str">
        <f t="shared" ref="CZ93:DB93" si="1378">IFERROR(VLOOKUP($R93,$A$13:$D$30,-CZ$12,FALSE),"")</f>
        <v>Lainnya 2.3 (1) ……..</v>
      </c>
      <c r="DA93" s="234" t="str">
        <f t="shared" si="1378"/>
        <v>Bijih </v>
      </c>
      <c r="DB93" s="234" t="str">
        <f t="shared" si="1378"/>
        <v>Ton </v>
      </c>
      <c r="DC93" s="227"/>
      <c r="DD93" s="227" t="str">
        <f t="shared" si="1151"/>
        <v/>
      </c>
      <c r="DE93" s="227">
        <f t="shared" si="1152"/>
        <v>0</v>
      </c>
      <c r="DF93" s="235"/>
      <c r="DG93" s="227">
        <f t="shared" si="1153"/>
        <v>0</v>
      </c>
      <c r="DH93" s="410"/>
      <c r="DI93" s="96"/>
      <c r="DJ93" s="96"/>
      <c r="DK93" s="227">
        <f t="shared" si="1154"/>
        <v>0</v>
      </c>
      <c r="DL93" s="235">
        <f t="shared" si="1155"/>
        <v>0.4604471269</v>
      </c>
      <c r="DM93" s="236">
        <f t="shared" si="1156"/>
        <v>0</v>
      </c>
      <c r="DN93" s="237">
        <f t="shared" si="1157"/>
        <v>0</v>
      </c>
      <c r="DO93" s="230"/>
      <c r="DP93" s="232">
        <f t="shared" si="1260"/>
        <v>9</v>
      </c>
      <c r="DQ93" s="233" t="str">
        <f t="shared" ref="DQ93:DS93" si="1379">IFERROR(VLOOKUP($R93,$A$13:$D$30,-DQ$12,FALSE),"")</f>
        <v>Lainnya 2.3 (1) ……..</v>
      </c>
      <c r="DR93" s="234" t="str">
        <f t="shared" si="1379"/>
        <v>Bijih </v>
      </c>
      <c r="DS93" s="234" t="str">
        <f t="shared" si="1379"/>
        <v>Ton </v>
      </c>
      <c r="DT93" s="227"/>
      <c r="DU93" s="227" t="str">
        <f t="shared" si="1159"/>
        <v/>
      </c>
      <c r="DV93" s="227">
        <f t="shared" si="1160"/>
        <v>0</v>
      </c>
      <c r="DW93" s="235"/>
      <c r="DX93" s="227">
        <f t="shared" si="1161"/>
        <v>0</v>
      </c>
      <c r="DY93" s="410"/>
      <c r="DZ93" s="96"/>
      <c r="EA93" s="96"/>
      <c r="EB93" s="227">
        <f t="shared" si="1162"/>
        <v>0</v>
      </c>
      <c r="EC93" s="235">
        <f t="shared" si="1163"/>
        <v>0.4604471269</v>
      </c>
      <c r="ED93" s="236">
        <f t="shared" si="1164"/>
        <v>0</v>
      </c>
      <c r="EE93" s="237">
        <f t="shared" si="1165"/>
        <v>0</v>
      </c>
      <c r="EF93" s="230"/>
      <c r="EG93" s="232">
        <f t="shared" si="1262"/>
        <v>9</v>
      </c>
      <c r="EH93" s="233" t="str">
        <f t="shared" ref="EH93:EJ93" si="1380">IFERROR(VLOOKUP($R93,$A$13:$D$30,-EH$12,FALSE),"")</f>
        <v>Lainnya 2.3 (1) ……..</v>
      </c>
      <c r="EI93" s="234" t="str">
        <f t="shared" si="1380"/>
        <v>Bijih </v>
      </c>
      <c r="EJ93" s="234" t="str">
        <f t="shared" si="1380"/>
        <v>Ton </v>
      </c>
      <c r="EK93" s="227"/>
      <c r="EL93" s="227" t="str">
        <f t="shared" si="1167"/>
        <v/>
      </c>
      <c r="EM93" s="227">
        <f t="shared" si="1168"/>
        <v>0</v>
      </c>
      <c r="EN93" s="235"/>
      <c r="EO93" s="227">
        <f t="shared" si="1169"/>
        <v>0</v>
      </c>
      <c r="EP93" s="410"/>
      <c r="EQ93" s="96"/>
      <c r="ER93" s="96"/>
      <c r="ES93" s="227">
        <f t="shared" si="1170"/>
        <v>0</v>
      </c>
      <c r="ET93" s="235">
        <f t="shared" si="1171"/>
        <v>0.4604471269</v>
      </c>
      <c r="EU93" s="236">
        <f t="shared" si="1172"/>
        <v>0</v>
      </c>
      <c r="EV93" s="237">
        <f t="shared" si="1173"/>
        <v>0</v>
      </c>
      <c r="EW93" s="230"/>
      <c r="EX93" s="232">
        <f t="shared" si="1264"/>
        <v>9</v>
      </c>
      <c r="EY93" s="233" t="str">
        <f t="shared" ref="EY93:FA93" si="1381">IFERROR(VLOOKUP($R93,$A$13:$D$30,-EY$12,FALSE),"")</f>
        <v>Lainnya 2.3 (1) ……..</v>
      </c>
      <c r="EZ93" s="234" t="str">
        <f t="shared" si="1381"/>
        <v>Bijih </v>
      </c>
      <c r="FA93" s="234" t="str">
        <f t="shared" si="1381"/>
        <v>Ton </v>
      </c>
      <c r="FB93" s="227"/>
      <c r="FC93" s="227" t="str">
        <f t="shared" si="1175"/>
        <v/>
      </c>
      <c r="FD93" s="227">
        <f t="shared" si="1176"/>
        <v>0</v>
      </c>
      <c r="FE93" s="235"/>
      <c r="FF93" s="227">
        <f t="shared" si="1177"/>
        <v>0</v>
      </c>
      <c r="FG93" s="410"/>
      <c r="FH93" s="96"/>
      <c r="FI93" s="96"/>
      <c r="FJ93" s="227">
        <f t="shared" si="1178"/>
        <v>0</v>
      </c>
      <c r="FK93" s="235">
        <f t="shared" si="1179"/>
        <v>0.4604471269</v>
      </c>
      <c r="FL93" s="236">
        <f t="shared" si="1180"/>
        <v>0</v>
      </c>
      <c r="FM93" s="237">
        <f t="shared" si="1181"/>
        <v>0</v>
      </c>
      <c r="FN93" s="230"/>
      <c r="FO93" s="232">
        <f t="shared" si="1266"/>
        <v>9</v>
      </c>
      <c r="FP93" s="233" t="str">
        <f t="shared" ref="FP93:FR93" si="1382">IFERROR(VLOOKUP($R93,$A$13:$D$30,-FP$12,FALSE),"")</f>
        <v>Lainnya 2.3 (1) ……..</v>
      </c>
      <c r="FQ93" s="234" t="str">
        <f t="shared" si="1382"/>
        <v>Bijih </v>
      </c>
      <c r="FR93" s="234" t="str">
        <f t="shared" si="1382"/>
        <v>Ton </v>
      </c>
      <c r="FS93" s="227"/>
      <c r="FT93" s="227" t="str">
        <f t="shared" si="1183"/>
        <v/>
      </c>
      <c r="FU93" s="227">
        <f t="shared" si="1184"/>
        <v>0</v>
      </c>
      <c r="FV93" s="235"/>
      <c r="FW93" s="227">
        <f t="shared" si="1185"/>
        <v>0</v>
      </c>
      <c r="FX93" s="410"/>
      <c r="FY93" s="96"/>
      <c r="FZ93" s="96"/>
      <c r="GA93" s="227">
        <f t="shared" si="1186"/>
        <v>0</v>
      </c>
      <c r="GB93" s="235">
        <f t="shared" si="1187"/>
        <v>0.4604471269</v>
      </c>
      <c r="GC93" s="236">
        <f t="shared" si="1188"/>
        <v>0</v>
      </c>
      <c r="GD93" s="237">
        <f t="shared" si="1189"/>
        <v>0</v>
      </c>
      <c r="GE93" s="230"/>
      <c r="GF93" s="232">
        <f t="shared" si="1268"/>
        <v>9</v>
      </c>
      <c r="GG93" s="233" t="str">
        <f t="shared" ref="GG93:GI93" si="1383">IFERROR(VLOOKUP($R93,$A$13:$D$30,-GG$12,FALSE),"")</f>
        <v>Lainnya 2.3 (1) ……..</v>
      </c>
      <c r="GH93" s="234" t="str">
        <f t="shared" si="1383"/>
        <v>Bijih </v>
      </c>
      <c r="GI93" s="234" t="str">
        <f t="shared" si="1383"/>
        <v>Ton </v>
      </c>
      <c r="GJ93" s="238">
        <f>ADHB!GJ93</f>
        <v>522315</v>
      </c>
      <c r="GK93" s="227">
        <f t="shared" si="1191"/>
        <v>166269.8</v>
      </c>
      <c r="GL93" s="227">
        <f t="shared" si="1192"/>
        <v>86845.21059</v>
      </c>
      <c r="GM93" s="235"/>
      <c r="GN93" s="227">
        <f t="shared" si="1193"/>
        <v>0</v>
      </c>
      <c r="GO93" s="410"/>
      <c r="GP93" s="96"/>
      <c r="GQ93" s="96"/>
      <c r="GR93" s="227">
        <f t="shared" si="1194"/>
        <v>86845.21059</v>
      </c>
      <c r="GS93" s="235">
        <f t="shared" si="1195"/>
        <v>0.4604471269</v>
      </c>
      <c r="GT93" s="236">
        <f t="shared" si="1196"/>
        <v>39987.6277</v>
      </c>
      <c r="GU93" s="237">
        <f t="shared" si="1197"/>
        <v>46857.58289</v>
      </c>
      <c r="GV93" s="230"/>
      <c r="GW93" s="232">
        <f t="shared" si="1270"/>
        <v>9</v>
      </c>
      <c r="GX93" s="233" t="str">
        <f t="shared" ref="GX93:GZ93" si="1384">IFERROR(VLOOKUP($R93,$A$13:$D$30,-GX$12,FALSE),"")</f>
        <v>Lainnya 2.3 (1) ……..</v>
      </c>
      <c r="GY93" s="234" t="str">
        <f t="shared" si="1384"/>
        <v>Bijih </v>
      </c>
      <c r="GZ93" s="234" t="str">
        <f t="shared" si="1384"/>
        <v>Ton </v>
      </c>
      <c r="HA93" s="227">
        <f>ADHB!HA93</f>
        <v>128885</v>
      </c>
      <c r="HB93" s="227">
        <f t="shared" si="1199"/>
        <v>166269.8</v>
      </c>
      <c r="HC93" s="227">
        <f t="shared" si="1200"/>
        <v>21429.68317</v>
      </c>
      <c r="HD93" s="415">
        <v>1.0</v>
      </c>
      <c r="HE93" s="227">
        <f t="shared" si="1201"/>
        <v>21429.68317</v>
      </c>
      <c r="HF93" s="410"/>
      <c r="HG93" s="96"/>
      <c r="HH93" s="96"/>
      <c r="HI93" s="227">
        <f t="shared" si="1202"/>
        <v>42859.36635</v>
      </c>
      <c r="HJ93" s="235">
        <f t="shared" si="1203"/>
        <v>0.4604471269</v>
      </c>
      <c r="HK93" s="236">
        <f t="shared" si="1204"/>
        <v>19734.47209</v>
      </c>
      <c r="HL93" s="237">
        <f t="shared" si="1205"/>
        <v>23124.89425</v>
      </c>
      <c r="HM93" s="230"/>
      <c r="HN93" s="232">
        <f t="shared" si="1272"/>
        <v>9</v>
      </c>
      <c r="HO93" s="233" t="str">
        <f t="shared" ref="HO93:HQ93" si="1385">IFERROR(VLOOKUP($R93,$A$13:$D$30,-HO$12,FALSE),"")</f>
        <v>Lainnya 2.3 (1) ……..</v>
      </c>
      <c r="HP93" s="234" t="str">
        <f t="shared" si="1385"/>
        <v>Bijih </v>
      </c>
      <c r="HQ93" s="234" t="str">
        <f t="shared" si="1385"/>
        <v>Ton </v>
      </c>
      <c r="HR93" s="227">
        <f>ADHB!HR93</f>
        <v>280210.7375</v>
      </c>
      <c r="HS93" s="227">
        <f t="shared" si="1207"/>
        <v>166269.8</v>
      </c>
      <c r="HT93" s="227">
        <f t="shared" si="1208"/>
        <v>46590.58328</v>
      </c>
      <c r="HU93" s="235"/>
      <c r="HV93" s="227">
        <f t="shared" si="1209"/>
        <v>0</v>
      </c>
      <c r="HW93" s="410"/>
      <c r="HX93" s="96"/>
      <c r="HY93" s="96"/>
      <c r="HZ93" s="227">
        <f t="shared" si="1210"/>
        <v>46590.58328</v>
      </c>
      <c r="IA93" s="235">
        <f t="shared" si="1211"/>
        <v>0.4604471269</v>
      </c>
      <c r="IB93" s="236">
        <f t="shared" si="1212"/>
        <v>21452.50021</v>
      </c>
      <c r="IC93" s="237">
        <f t="shared" si="1213"/>
        <v>25138.08307</v>
      </c>
      <c r="ID93" s="230"/>
      <c r="IE93" s="232">
        <f t="shared" si="1274"/>
        <v>9</v>
      </c>
      <c r="IF93" s="233" t="str">
        <f t="shared" ref="IF93:IH93" si="1386">IFERROR(VLOOKUP($R93,$A$13:$D$30,-IF$12,FALSE),"")</f>
        <v>Lainnya 2.3 (1) ……..</v>
      </c>
      <c r="IG93" s="234" t="str">
        <f t="shared" si="1386"/>
        <v>Bijih </v>
      </c>
      <c r="IH93" s="234" t="str">
        <f t="shared" si="1386"/>
        <v>Ton </v>
      </c>
      <c r="II93" s="227" t="str">
        <f>ADHB!II93</f>
        <v/>
      </c>
      <c r="IJ93" s="227">
        <f t="shared" si="1215"/>
        <v>166269.8</v>
      </c>
      <c r="IK93" s="227">
        <f t="shared" si="1216"/>
        <v>0</v>
      </c>
      <c r="IL93" s="235"/>
      <c r="IM93" s="227">
        <f t="shared" si="1217"/>
        <v>0</v>
      </c>
      <c r="IN93" s="410"/>
      <c r="IO93" s="96"/>
      <c r="IP93" s="96"/>
      <c r="IQ93" s="227">
        <f t="shared" si="1218"/>
        <v>0</v>
      </c>
      <c r="IR93" s="235">
        <f t="shared" si="1219"/>
        <v>0.4604471269</v>
      </c>
      <c r="IS93" s="236">
        <f t="shared" si="1220"/>
        <v>0</v>
      </c>
      <c r="IT93" s="237">
        <f t="shared" si="1221"/>
        <v>0</v>
      </c>
      <c r="IU93" s="230"/>
      <c r="IV93" s="232">
        <f t="shared" si="1276"/>
        <v>9</v>
      </c>
      <c r="IW93" s="233" t="str">
        <f t="shared" ref="IW93:IY93" si="1387">IFERROR(VLOOKUP($R93,$A$13:$D$30,-IW$12,FALSE),"")</f>
        <v>Lainnya 2.3 (1) ……..</v>
      </c>
      <c r="IX93" s="234" t="str">
        <f t="shared" si="1387"/>
        <v>Bijih </v>
      </c>
      <c r="IY93" s="234" t="str">
        <f t="shared" si="1387"/>
        <v>Ton </v>
      </c>
      <c r="IZ93" s="227" t="str">
        <f>ADHB!IZ93</f>
        <v/>
      </c>
      <c r="JA93" s="227">
        <f t="shared" si="1223"/>
        <v>166269.8</v>
      </c>
      <c r="JB93" s="227">
        <f t="shared" si="1224"/>
        <v>0</v>
      </c>
      <c r="JC93" s="235"/>
      <c r="JD93" s="227">
        <f t="shared" si="1225"/>
        <v>0</v>
      </c>
      <c r="JE93" s="410"/>
      <c r="JF93" s="96"/>
      <c r="JG93" s="96"/>
      <c r="JH93" s="227">
        <f t="shared" si="1226"/>
        <v>0</v>
      </c>
      <c r="JI93" s="235">
        <f t="shared" si="1227"/>
        <v>0.4604471269</v>
      </c>
      <c r="JJ93" s="236">
        <f t="shared" si="1228"/>
        <v>0</v>
      </c>
      <c r="JK93" s="237">
        <f t="shared" si="1229"/>
        <v>0</v>
      </c>
      <c r="JL93" s="230"/>
      <c r="JM93" s="232">
        <f t="shared" si="1278"/>
        <v>9</v>
      </c>
      <c r="JN93" s="233" t="str">
        <f t="shared" ref="JN93:JP93" si="1388">IFERROR(VLOOKUP($R93,$A$13:$D$30,-JN$12,FALSE),"")</f>
        <v>Lainnya 2.3 (1) ……..</v>
      </c>
      <c r="JO93" s="234" t="str">
        <f t="shared" si="1388"/>
        <v>Bijih </v>
      </c>
      <c r="JP93" s="234" t="str">
        <f t="shared" si="1388"/>
        <v>Ton </v>
      </c>
      <c r="JQ93" s="227" t="str">
        <f>ADHB!JQ93</f>
        <v/>
      </c>
      <c r="JR93" s="227" t="str">
        <f t="shared" si="1231"/>
        <v/>
      </c>
      <c r="JS93" s="227">
        <f t="shared" si="1232"/>
        <v>0</v>
      </c>
      <c r="JT93" s="235"/>
      <c r="JU93" s="227">
        <f t="shared" si="1233"/>
        <v>0</v>
      </c>
      <c r="JV93" s="410"/>
      <c r="JW93" s="96"/>
      <c r="JX93" s="96"/>
      <c r="JY93" s="227">
        <f t="shared" si="1234"/>
        <v>0</v>
      </c>
      <c r="JZ93" s="235">
        <f t="shared" si="1235"/>
        <v>0.4604471269</v>
      </c>
      <c r="KA93" s="236">
        <f t="shared" si="1236"/>
        <v>0</v>
      </c>
      <c r="KB93" s="237">
        <f t="shared" si="1237"/>
        <v>0</v>
      </c>
      <c r="KC93" s="230"/>
      <c r="KD93" s="232">
        <f t="shared" si="1280"/>
        <v>9</v>
      </c>
      <c r="KE93" s="233" t="str">
        <f t="shared" ref="KE93:KG93" si="1389">IFERROR(VLOOKUP($R93,$A$13:$D$30,-KE$12,FALSE),"")</f>
        <v>Lainnya 2.3 (1) ……..</v>
      </c>
      <c r="KF93" s="234" t="str">
        <f t="shared" si="1389"/>
        <v>Bijih </v>
      </c>
      <c r="KG93" s="234" t="str">
        <f t="shared" si="1389"/>
        <v>Ton </v>
      </c>
      <c r="KH93" s="227" t="str">
        <f>ADHB!KH93</f>
        <v/>
      </c>
      <c r="KI93" s="227" t="str">
        <f t="shared" si="1239"/>
        <v/>
      </c>
      <c r="KJ93" s="227">
        <f t="shared" si="1240"/>
        <v>0</v>
      </c>
      <c r="KK93" s="235"/>
      <c r="KL93" s="227">
        <f t="shared" si="1241"/>
        <v>0</v>
      </c>
      <c r="KM93" s="410"/>
      <c r="KN93" s="96"/>
      <c r="KO93" s="96"/>
      <c r="KP93" s="227">
        <f t="shared" si="1242"/>
        <v>0</v>
      </c>
      <c r="KQ93" s="235">
        <f t="shared" si="1243"/>
        <v>0.4604471269</v>
      </c>
      <c r="KR93" s="236">
        <f t="shared" si="1244"/>
        <v>0</v>
      </c>
      <c r="KS93" s="237">
        <f t="shared" si="1245"/>
        <v>0</v>
      </c>
      <c r="KT93" s="230"/>
      <c r="KU93" s="231"/>
    </row>
    <row r="94" ht="15.75" customHeight="1">
      <c r="A94" s="232">
        <f t="shared" si="1246"/>
        <v>10</v>
      </c>
      <c r="B94" s="233" t="str">
        <f t="shared" ref="B94:D94" si="1390">IFERROR(VLOOKUP($A94,$A$13:$D$30,-B$12,FALSE),"")</f>
        <v>Lainnya 2.3 (2) ………</v>
      </c>
      <c r="C94" s="234" t="str">
        <f t="shared" si="1390"/>
        <v>Bijih </v>
      </c>
      <c r="D94" s="234" t="str">
        <f t="shared" si="1390"/>
        <v>Ton </v>
      </c>
      <c r="E94" s="227"/>
      <c r="F94" s="227" t="str">
        <f t="shared" si="1103"/>
        <v/>
      </c>
      <c r="G94" s="227">
        <f t="shared" si="1104"/>
        <v>0</v>
      </c>
      <c r="H94" s="235"/>
      <c r="I94" s="227">
        <f t="shared" si="1105"/>
        <v>0</v>
      </c>
      <c r="J94" s="410"/>
      <c r="K94" s="96"/>
      <c r="L94" s="96"/>
      <c r="M94" s="227">
        <f t="shared" si="1106"/>
        <v>0</v>
      </c>
      <c r="N94" s="235">
        <f t="shared" si="1107"/>
        <v>0.4604471269</v>
      </c>
      <c r="O94" s="236">
        <f t="shared" si="1108"/>
        <v>0</v>
      </c>
      <c r="P94" s="237">
        <f t="shared" si="1109"/>
        <v>0</v>
      </c>
      <c r="Q94" s="230"/>
      <c r="R94" s="232">
        <f t="shared" si="1248"/>
        <v>10</v>
      </c>
      <c r="S94" s="233" t="str">
        <f t="shared" ref="S94:U94" si="1391">IFERROR(VLOOKUP($R94,$A$13:$D$30,-S$12,FALSE),"")</f>
        <v>Lainnya 2.3 (2) ………</v>
      </c>
      <c r="T94" s="234" t="str">
        <f t="shared" si="1391"/>
        <v>Bijih </v>
      </c>
      <c r="U94" s="234" t="str">
        <f t="shared" si="1391"/>
        <v>Ton </v>
      </c>
      <c r="V94" s="227"/>
      <c r="W94" s="227" t="str">
        <f t="shared" si="1111"/>
        <v/>
      </c>
      <c r="X94" s="227">
        <f t="shared" si="1112"/>
        <v>0</v>
      </c>
      <c r="Y94" s="235"/>
      <c r="Z94" s="227">
        <f t="shared" si="1113"/>
        <v>0</v>
      </c>
      <c r="AA94" s="410"/>
      <c r="AB94" s="96"/>
      <c r="AC94" s="96"/>
      <c r="AD94" s="227">
        <f t="shared" si="1114"/>
        <v>0</v>
      </c>
      <c r="AE94" s="235">
        <f t="shared" si="1115"/>
        <v>0.4604471269</v>
      </c>
      <c r="AF94" s="236">
        <f t="shared" si="1116"/>
        <v>0</v>
      </c>
      <c r="AG94" s="237">
        <f t="shared" si="1117"/>
        <v>0</v>
      </c>
      <c r="AH94" s="230"/>
      <c r="AI94" s="232">
        <f t="shared" si="1250"/>
        <v>10</v>
      </c>
      <c r="AJ94" s="233" t="str">
        <f t="shared" ref="AJ94:AL94" si="1392">IFERROR(VLOOKUP($R94,$A$13:$D$30,-AJ$12,FALSE),"")</f>
        <v>Lainnya 2.3 (2) ………</v>
      </c>
      <c r="AK94" s="234" t="str">
        <f t="shared" si="1392"/>
        <v>Bijih </v>
      </c>
      <c r="AL94" s="234" t="str">
        <f t="shared" si="1392"/>
        <v>Ton </v>
      </c>
      <c r="AM94" s="227"/>
      <c r="AN94" s="227" t="str">
        <f t="shared" si="1119"/>
        <v/>
      </c>
      <c r="AO94" s="227">
        <f t="shared" si="1120"/>
        <v>0</v>
      </c>
      <c r="AP94" s="235"/>
      <c r="AQ94" s="227">
        <f t="shared" si="1121"/>
        <v>0</v>
      </c>
      <c r="AR94" s="410"/>
      <c r="AS94" s="96"/>
      <c r="AT94" s="96"/>
      <c r="AU94" s="227">
        <f t="shared" si="1122"/>
        <v>0</v>
      </c>
      <c r="AV94" s="235">
        <f t="shared" si="1123"/>
        <v>0.4604471269</v>
      </c>
      <c r="AW94" s="236">
        <f t="shared" si="1124"/>
        <v>0</v>
      </c>
      <c r="AX94" s="237">
        <f t="shared" si="1125"/>
        <v>0</v>
      </c>
      <c r="AY94" s="230"/>
      <c r="AZ94" s="232">
        <f t="shared" si="1252"/>
        <v>10</v>
      </c>
      <c r="BA94" s="233" t="str">
        <f t="shared" ref="BA94:BC94" si="1393">IFERROR(VLOOKUP($R94,$A$13:$D$30,-BA$12,FALSE),"")</f>
        <v>Lainnya 2.3 (2) ………</v>
      </c>
      <c r="BB94" s="234" t="str">
        <f t="shared" si="1393"/>
        <v>Bijih </v>
      </c>
      <c r="BC94" s="234" t="str">
        <f t="shared" si="1393"/>
        <v>Ton </v>
      </c>
      <c r="BD94" s="227"/>
      <c r="BE94" s="227" t="str">
        <f t="shared" si="1127"/>
        <v/>
      </c>
      <c r="BF94" s="227">
        <f t="shared" si="1128"/>
        <v>0</v>
      </c>
      <c r="BG94" s="235"/>
      <c r="BH94" s="227">
        <f t="shared" si="1129"/>
        <v>0</v>
      </c>
      <c r="BI94" s="410"/>
      <c r="BJ94" s="96"/>
      <c r="BK94" s="96"/>
      <c r="BL94" s="227">
        <f t="shared" si="1130"/>
        <v>0</v>
      </c>
      <c r="BM94" s="235">
        <f t="shared" si="1131"/>
        <v>0.4604471269</v>
      </c>
      <c r="BN94" s="236">
        <f t="shared" si="1132"/>
        <v>0</v>
      </c>
      <c r="BO94" s="237">
        <f t="shared" si="1133"/>
        <v>0</v>
      </c>
      <c r="BP94" s="230"/>
      <c r="BQ94" s="232">
        <f t="shared" si="1254"/>
        <v>10</v>
      </c>
      <c r="BR94" s="233" t="str">
        <f t="shared" ref="BR94:BT94" si="1394">IFERROR(VLOOKUP($R94,$A$13:$D$30,-BR$12,FALSE),"")</f>
        <v>Lainnya 2.3 (2) ………</v>
      </c>
      <c r="BS94" s="234" t="str">
        <f t="shared" si="1394"/>
        <v>Bijih </v>
      </c>
      <c r="BT94" s="234" t="str">
        <f t="shared" si="1394"/>
        <v>Ton </v>
      </c>
      <c r="BU94" s="227"/>
      <c r="BV94" s="227" t="str">
        <f t="shared" si="1135"/>
        <v/>
      </c>
      <c r="BW94" s="227">
        <f t="shared" si="1136"/>
        <v>0</v>
      </c>
      <c r="BX94" s="235"/>
      <c r="BY94" s="227">
        <f t="shared" si="1137"/>
        <v>0</v>
      </c>
      <c r="BZ94" s="410"/>
      <c r="CA94" s="96"/>
      <c r="CB94" s="96"/>
      <c r="CC94" s="227">
        <f t="shared" si="1138"/>
        <v>0</v>
      </c>
      <c r="CD94" s="235">
        <f t="shared" si="1139"/>
        <v>0.4604471269</v>
      </c>
      <c r="CE94" s="236">
        <f t="shared" si="1140"/>
        <v>0</v>
      </c>
      <c r="CF94" s="237">
        <f t="shared" si="1141"/>
        <v>0</v>
      </c>
      <c r="CG94" s="230"/>
      <c r="CH94" s="232">
        <f t="shared" si="1256"/>
        <v>10</v>
      </c>
      <c r="CI94" s="233" t="str">
        <f t="shared" ref="CI94:CK94" si="1395">IFERROR(VLOOKUP($R94,$A$13:$D$30,-CI$12,FALSE),"")</f>
        <v>Lainnya 2.3 (2) ………</v>
      </c>
      <c r="CJ94" s="234" t="str">
        <f t="shared" si="1395"/>
        <v>Bijih </v>
      </c>
      <c r="CK94" s="234" t="str">
        <f t="shared" si="1395"/>
        <v>Ton </v>
      </c>
      <c r="CL94" s="227"/>
      <c r="CM94" s="227" t="str">
        <f t="shared" si="1143"/>
        <v/>
      </c>
      <c r="CN94" s="227">
        <f t="shared" si="1144"/>
        <v>0</v>
      </c>
      <c r="CO94" s="235"/>
      <c r="CP94" s="227">
        <f t="shared" si="1145"/>
        <v>0</v>
      </c>
      <c r="CQ94" s="410"/>
      <c r="CR94" s="96"/>
      <c r="CS94" s="96"/>
      <c r="CT94" s="227">
        <f t="shared" si="1146"/>
        <v>0</v>
      </c>
      <c r="CU94" s="235">
        <f t="shared" si="1147"/>
        <v>0.4604471269</v>
      </c>
      <c r="CV94" s="236">
        <f t="shared" si="1148"/>
        <v>0</v>
      </c>
      <c r="CW94" s="237">
        <f t="shared" si="1149"/>
        <v>0</v>
      </c>
      <c r="CX94" s="230"/>
      <c r="CY94" s="232">
        <f t="shared" si="1258"/>
        <v>10</v>
      </c>
      <c r="CZ94" s="233" t="str">
        <f t="shared" ref="CZ94:DB94" si="1396">IFERROR(VLOOKUP($R94,$A$13:$D$30,-CZ$12,FALSE),"")</f>
        <v>Lainnya 2.3 (2) ………</v>
      </c>
      <c r="DA94" s="234" t="str">
        <f t="shared" si="1396"/>
        <v>Bijih </v>
      </c>
      <c r="DB94" s="234" t="str">
        <f t="shared" si="1396"/>
        <v>Ton </v>
      </c>
      <c r="DC94" s="227"/>
      <c r="DD94" s="227" t="str">
        <f t="shared" si="1151"/>
        <v/>
      </c>
      <c r="DE94" s="227">
        <f t="shared" si="1152"/>
        <v>0</v>
      </c>
      <c r="DF94" s="235"/>
      <c r="DG94" s="227">
        <f t="shared" si="1153"/>
        <v>0</v>
      </c>
      <c r="DH94" s="410"/>
      <c r="DI94" s="96"/>
      <c r="DJ94" s="96"/>
      <c r="DK94" s="227">
        <f t="shared" si="1154"/>
        <v>0</v>
      </c>
      <c r="DL94" s="235">
        <f t="shared" si="1155"/>
        <v>0.4604471269</v>
      </c>
      <c r="DM94" s="236">
        <f t="shared" si="1156"/>
        <v>0</v>
      </c>
      <c r="DN94" s="237">
        <f t="shared" si="1157"/>
        <v>0</v>
      </c>
      <c r="DO94" s="230"/>
      <c r="DP94" s="232">
        <f t="shared" si="1260"/>
        <v>10</v>
      </c>
      <c r="DQ94" s="233" t="str">
        <f t="shared" ref="DQ94:DS94" si="1397">IFERROR(VLOOKUP($R94,$A$13:$D$30,-DQ$12,FALSE),"")</f>
        <v>Lainnya 2.3 (2) ………</v>
      </c>
      <c r="DR94" s="234" t="str">
        <f t="shared" si="1397"/>
        <v>Bijih </v>
      </c>
      <c r="DS94" s="234" t="str">
        <f t="shared" si="1397"/>
        <v>Ton </v>
      </c>
      <c r="DT94" s="227"/>
      <c r="DU94" s="227" t="str">
        <f t="shared" si="1159"/>
        <v/>
      </c>
      <c r="DV94" s="227">
        <f t="shared" si="1160"/>
        <v>0</v>
      </c>
      <c r="DW94" s="235"/>
      <c r="DX94" s="227">
        <f t="shared" si="1161"/>
        <v>0</v>
      </c>
      <c r="DY94" s="410"/>
      <c r="DZ94" s="96"/>
      <c r="EA94" s="96"/>
      <c r="EB94" s="227">
        <f t="shared" si="1162"/>
        <v>0</v>
      </c>
      <c r="EC94" s="235">
        <f t="shared" si="1163"/>
        <v>0.4604471269</v>
      </c>
      <c r="ED94" s="236">
        <f t="shared" si="1164"/>
        <v>0</v>
      </c>
      <c r="EE94" s="237">
        <f t="shared" si="1165"/>
        <v>0</v>
      </c>
      <c r="EF94" s="230"/>
      <c r="EG94" s="232">
        <f t="shared" si="1262"/>
        <v>10</v>
      </c>
      <c r="EH94" s="233" t="str">
        <f t="shared" ref="EH94:EJ94" si="1398">IFERROR(VLOOKUP($R94,$A$13:$D$30,-EH$12,FALSE),"")</f>
        <v>Lainnya 2.3 (2) ………</v>
      </c>
      <c r="EI94" s="234" t="str">
        <f t="shared" si="1398"/>
        <v>Bijih </v>
      </c>
      <c r="EJ94" s="234" t="str">
        <f t="shared" si="1398"/>
        <v>Ton </v>
      </c>
      <c r="EK94" s="227"/>
      <c r="EL94" s="227" t="str">
        <f t="shared" si="1167"/>
        <v/>
      </c>
      <c r="EM94" s="227">
        <f t="shared" si="1168"/>
        <v>0</v>
      </c>
      <c r="EN94" s="235"/>
      <c r="EO94" s="227">
        <f t="shared" si="1169"/>
        <v>0</v>
      </c>
      <c r="EP94" s="410"/>
      <c r="EQ94" s="96"/>
      <c r="ER94" s="96"/>
      <c r="ES94" s="227">
        <f t="shared" si="1170"/>
        <v>0</v>
      </c>
      <c r="ET94" s="235">
        <f t="shared" si="1171"/>
        <v>0.4604471269</v>
      </c>
      <c r="EU94" s="236">
        <f t="shared" si="1172"/>
        <v>0</v>
      </c>
      <c r="EV94" s="237">
        <f t="shared" si="1173"/>
        <v>0</v>
      </c>
      <c r="EW94" s="230"/>
      <c r="EX94" s="232">
        <f t="shared" si="1264"/>
        <v>10</v>
      </c>
      <c r="EY94" s="233" t="str">
        <f t="shared" ref="EY94:FA94" si="1399">IFERROR(VLOOKUP($R94,$A$13:$D$30,-EY$12,FALSE),"")</f>
        <v>Lainnya 2.3 (2) ………</v>
      </c>
      <c r="EZ94" s="234" t="str">
        <f t="shared" si="1399"/>
        <v>Bijih </v>
      </c>
      <c r="FA94" s="234" t="str">
        <f t="shared" si="1399"/>
        <v>Ton </v>
      </c>
      <c r="FB94" s="227"/>
      <c r="FC94" s="227" t="str">
        <f t="shared" si="1175"/>
        <v/>
      </c>
      <c r="FD94" s="227">
        <f t="shared" si="1176"/>
        <v>0</v>
      </c>
      <c r="FE94" s="235"/>
      <c r="FF94" s="227">
        <f t="shared" si="1177"/>
        <v>0</v>
      </c>
      <c r="FG94" s="410"/>
      <c r="FH94" s="96"/>
      <c r="FI94" s="96"/>
      <c r="FJ94" s="227">
        <f t="shared" si="1178"/>
        <v>0</v>
      </c>
      <c r="FK94" s="235">
        <f t="shared" si="1179"/>
        <v>0.4604471269</v>
      </c>
      <c r="FL94" s="236">
        <f t="shared" si="1180"/>
        <v>0</v>
      </c>
      <c r="FM94" s="237">
        <f t="shared" si="1181"/>
        <v>0</v>
      </c>
      <c r="FN94" s="230"/>
      <c r="FO94" s="232">
        <f t="shared" si="1266"/>
        <v>10</v>
      </c>
      <c r="FP94" s="233" t="str">
        <f t="shared" ref="FP94:FR94" si="1400">IFERROR(VLOOKUP($R94,$A$13:$D$30,-FP$12,FALSE),"")</f>
        <v>Lainnya 2.3 (2) ………</v>
      </c>
      <c r="FQ94" s="234" t="str">
        <f t="shared" si="1400"/>
        <v>Bijih </v>
      </c>
      <c r="FR94" s="234" t="str">
        <f t="shared" si="1400"/>
        <v>Ton </v>
      </c>
      <c r="FS94" s="227"/>
      <c r="FT94" s="227" t="str">
        <f t="shared" si="1183"/>
        <v/>
      </c>
      <c r="FU94" s="227">
        <f t="shared" si="1184"/>
        <v>0</v>
      </c>
      <c r="FV94" s="235"/>
      <c r="FW94" s="227">
        <f t="shared" si="1185"/>
        <v>0</v>
      </c>
      <c r="FX94" s="410"/>
      <c r="FY94" s="96"/>
      <c r="FZ94" s="96"/>
      <c r="GA94" s="227">
        <f t="shared" si="1186"/>
        <v>0</v>
      </c>
      <c r="GB94" s="235">
        <f t="shared" si="1187"/>
        <v>0.4604471269</v>
      </c>
      <c r="GC94" s="236">
        <f t="shared" si="1188"/>
        <v>0</v>
      </c>
      <c r="GD94" s="237">
        <f t="shared" si="1189"/>
        <v>0</v>
      </c>
      <c r="GE94" s="230"/>
      <c r="GF94" s="232">
        <f t="shared" si="1268"/>
        <v>10</v>
      </c>
      <c r="GG94" s="233" t="str">
        <f t="shared" ref="GG94:GI94" si="1401">IFERROR(VLOOKUP($R94,$A$13:$D$30,-GG$12,FALSE),"")</f>
        <v>Lainnya 2.3 (2) ………</v>
      </c>
      <c r="GH94" s="234" t="str">
        <f t="shared" si="1401"/>
        <v>Bijih </v>
      </c>
      <c r="GI94" s="234" t="str">
        <f t="shared" si="1401"/>
        <v>Ton </v>
      </c>
      <c r="GJ94" s="227"/>
      <c r="GK94" s="227" t="str">
        <f t="shared" si="1191"/>
        <v/>
      </c>
      <c r="GL94" s="227">
        <f t="shared" si="1192"/>
        <v>0</v>
      </c>
      <c r="GM94" s="235"/>
      <c r="GN94" s="227">
        <f t="shared" si="1193"/>
        <v>0</v>
      </c>
      <c r="GO94" s="410"/>
      <c r="GP94" s="96"/>
      <c r="GQ94" s="96"/>
      <c r="GR94" s="227">
        <f t="shared" si="1194"/>
        <v>0</v>
      </c>
      <c r="GS94" s="235">
        <f t="shared" si="1195"/>
        <v>0.4604471269</v>
      </c>
      <c r="GT94" s="236">
        <f t="shared" si="1196"/>
        <v>0</v>
      </c>
      <c r="GU94" s="237">
        <f t="shared" si="1197"/>
        <v>0</v>
      </c>
      <c r="GV94" s="230"/>
      <c r="GW94" s="232">
        <f t="shared" si="1270"/>
        <v>10</v>
      </c>
      <c r="GX94" s="233" t="str">
        <f t="shared" ref="GX94:GZ94" si="1402">IFERROR(VLOOKUP($R94,$A$13:$D$30,-GX$12,FALSE),"")</f>
        <v>Lainnya 2.3 (2) ………</v>
      </c>
      <c r="GY94" s="234" t="str">
        <f t="shared" si="1402"/>
        <v>Bijih </v>
      </c>
      <c r="GZ94" s="234" t="str">
        <f t="shared" si="1402"/>
        <v>Ton </v>
      </c>
      <c r="HA94" s="227"/>
      <c r="HB94" s="227" t="str">
        <f t="shared" si="1199"/>
        <v/>
      </c>
      <c r="HC94" s="227">
        <f t="shared" si="1200"/>
        <v>0</v>
      </c>
      <c r="HD94" s="235"/>
      <c r="HE94" s="227">
        <f t="shared" si="1201"/>
        <v>0</v>
      </c>
      <c r="HF94" s="410"/>
      <c r="HG94" s="96"/>
      <c r="HH94" s="96"/>
      <c r="HI94" s="227">
        <f t="shared" si="1202"/>
        <v>0</v>
      </c>
      <c r="HJ94" s="235">
        <f t="shared" si="1203"/>
        <v>0.4604471269</v>
      </c>
      <c r="HK94" s="236">
        <f t="shared" si="1204"/>
        <v>0</v>
      </c>
      <c r="HL94" s="237">
        <f t="shared" si="1205"/>
        <v>0</v>
      </c>
      <c r="HM94" s="230"/>
      <c r="HN94" s="232">
        <f t="shared" si="1272"/>
        <v>10</v>
      </c>
      <c r="HO94" s="233" t="str">
        <f t="shared" ref="HO94:HQ94" si="1403">IFERROR(VLOOKUP($R94,$A$13:$D$30,-HO$12,FALSE),"")</f>
        <v>Lainnya 2.3 (2) ………</v>
      </c>
      <c r="HP94" s="234" t="str">
        <f t="shared" si="1403"/>
        <v>Bijih </v>
      </c>
      <c r="HQ94" s="234" t="str">
        <f t="shared" si="1403"/>
        <v>Ton </v>
      </c>
      <c r="HR94" s="227"/>
      <c r="HS94" s="227" t="str">
        <f t="shared" si="1207"/>
        <v/>
      </c>
      <c r="HT94" s="227">
        <f t="shared" si="1208"/>
        <v>0</v>
      </c>
      <c r="HU94" s="235"/>
      <c r="HV94" s="227">
        <f t="shared" si="1209"/>
        <v>0</v>
      </c>
      <c r="HW94" s="410"/>
      <c r="HX94" s="96"/>
      <c r="HY94" s="96"/>
      <c r="HZ94" s="227">
        <f t="shared" si="1210"/>
        <v>0</v>
      </c>
      <c r="IA94" s="235">
        <f t="shared" si="1211"/>
        <v>0.4604471269</v>
      </c>
      <c r="IB94" s="236">
        <f t="shared" si="1212"/>
        <v>0</v>
      </c>
      <c r="IC94" s="237">
        <f t="shared" si="1213"/>
        <v>0</v>
      </c>
      <c r="ID94" s="230"/>
      <c r="IE94" s="232">
        <f t="shared" si="1274"/>
        <v>10</v>
      </c>
      <c r="IF94" s="233" t="str">
        <f t="shared" ref="IF94:IH94" si="1404">IFERROR(VLOOKUP($R94,$A$13:$D$30,-IF$12,FALSE),"")</f>
        <v>Lainnya 2.3 (2) ………</v>
      </c>
      <c r="IG94" s="234" t="str">
        <f t="shared" si="1404"/>
        <v>Bijih </v>
      </c>
      <c r="IH94" s="234" t="str">
        <f t="shared" si="1404"/>
        <v>Ton </v>
      </c>
      <c r="II94" s="227"/>
      <c r="IJ94" s="227" t="str">
        <f t="shared" si="1215"/>
        <v/>
      </c>
      <c r="IK94" s="227">
        <f t="shared" si="1216"/>
        <v>0</v>
      </c>
      <c r="IL94" s="235"/>
      <c r="IM94" s="227">
        <f t="shared" si="1217"/>
        <v>0</v>
      </c>
      <c r="IN94" s="410"/>
      <c r="IO94" s="96"/>
      <c r="IP94" s="96"/>
      <c r="IQ94" s="227">
        <f t="shared" si="1218"/>
        <v>0</v>
      </c>
      <c r="IR94" s="235">
        <f t="shared" si="1219"/>
        <v>0.4604471269</v>
      </c>
      <c r="IS94" s="236">
        <f t="shared" si="1220"/>
        <v>0</v>
      </c>
      <c r="IT94" s="237">
        <f t="shared" si="1221"/>
        <v>0</v>
      </c>
      <c r="IU94" s="230"/>
      <c r="IV94" s="232">
        <f t="shared" si="1276"/>
        <v>10</v>
      </c>
      <c r="IW94" s="233" t="str">
        <f t="shared" ref="IW94:IY94" si="1405">IFERROR(VLOOKUP($R94,$A$13:$D$30,-IW$12,FALSE),"")</f>
        <v>Lainnya 2.3 (2) ………</v>
      </c>
      <c r="IX94" s="234" t="str">
        <f t="shared" si="1405"/>
        <v>Bijih </v>
      </c>
      <c r="IY94" s="234" t="str">
        <f t="shared" si="1405"/>
        <v>Ton </v>
      </c>
      <c r="IZ94" s="227"/>
      <c r="JA94" s="227" t="str">
        <f t="shared" si="1223"/>
        <v/>
      </c>
      <c r="JB94" s="227">
        <f t="shared" si="1224"/>
        <v>0</v>
      </c>
      <c r="JC94" s="235"/>
      <c r="JD94" s="227">
        <f t="shared" si="1225"/>
        <v>0</v>
      </c>
      <c r="JE94" s="410"/>
      <c r="JF94" s="96"/>
      <c r="JG94" s="96"/>
      <c r="JH94" s="227">
        <f t="shared" si="1226"/>
        <v>0</v>
      </c>
      <c r="JI94" s="235">
        <f t="shared" si="1227"/>
        <v>0.4604471269</v>
      </c>
      <c r="JJ94" s="236">
        <f t="shared" si="1228"/>
        <v>0</v>
      </c>
      <c r="JK94" s="237">
        <f t="shared" si="1229"/>
        <v>0</v>
      </c>
      <c r="JL94" s="230"/>
      <c r="JM94" s="232">
        <f t="shared" si="1278"/>
        <v>10</v>
      </c>
      <c r="JN94" s="233" t="str">
        <f t="shared" ref="JN94:JP94" si="1406">IFERROR(VLOOKUP($R94,$A$13:$D$30,-JN$12,FALSE),"")</f>
        <v>Lainnya 2.3 (2) ………</v>
      </c>
      <c r="JO94" s="234" t="str">
        <f t="shared" si="1406"/>
        <v>Bijih </v>
      </c>
      <c r="JP94" s="234" t="str">
        <f t="shared" si="1406"/>
        <v>Ton </v>
      </c>
      <c r="JQ94" s="227"/>
      <c r="JR94" s="227" t="str">
        <f t="shared" si="1231"/>
        <v/>
      </c>
      <c r="JS94" s="227">
        <f t="shared" si="1232"/>
        <v>0</v>
      </c>
      <c r="JT94" s="235"/>
      <c r="JU94" s="227">
        <f t="shared" si="1233"/>
        <v>0</v>
      </c>
      <c r="JV94" s="410"/>
      <c r="JW94" s="96"/>
      <c r="JX94" s="96"/>
      <c r="JY94" s="227">
        <f t="shared" si="1234"/>
        <v>0</v>
      </c>
      <c r="JZ94" s="235">
        <f t="shared" si="1235"/>
        <v>0.4604471269</v>
      </c>
      <c r="KA94" s="236">
        <f t="shared" si="1236"/>
        <v>0</v>
      </c>
      <c r="KB94" s="237">
        <f t="shared" si="1237"/>
        <v>0</v>
      </c>
      <c r="KC94" s="230"/>
      <c r="KD94" s="232">
        <f t="shared" si="1280"/>
        <v>10</v>
      </c>
      <c r="KE94" s="233" t="str">
        <f t="shared" ref="KE94:KG94" si="1407">IFERROR(VLOOKUP($R94,$A$13:$D$30,-KE$12,FALSE),"")</f>
        <v>Lainnya 2.3 (2) ………</v>
      </c>
      <c r="KF94" s="234" t="str">
        <f t="shared" si="1407"/>
        <v>Bijih </v>
      </c>
      <c r="KG94" s="234" t="str">
        <f t="shared" si="1407"/>
        <v>Ton </v>
      </c>
      <c r="KH94" s="227"/>
      <c r="KI94" s="227" t="str">
        <f t="shared" si="1239"/>
        <v/>
      </c>
      <c r="KJ94" s="227">
        <f t="shared" si="1240"/>
        <v>0</v>
      </c>
      <c r="KK94" s="235"/>
      <c r="KL94" s="227">
        <f t="shared" si="1241"/>
        <v>0</v>
      </c>
      <c r="KM94" s="410"/>
      <c r="KN94" s="96"/>
      <c r="KO94" s="96"/>
      <c r="KP94" s="227">
        <f t="shared" si="1242"/>
        <v>0</v>
      </c>
      <c r="KQ94" s="235">
        <f t="shared" si="1243"/>
        <v>0.4604471269</v>
      </c>
      <c r="KR94" s="236">
        <f t="shared" si="1244"/>
        <v>0</v>
      </c>
      <c r="KS94" s="237">
        <f t="shared" si="1245"/>
        <v>0</v>
      </c>
      <c r="KT94" s="230"/>
      <c r="KU94" s="231"/>
    </row>
    <row r="95" ht="15.75" customHeight="1">
      <c r="A95" s="232">
        <f t="shared" si="1246"/>
        <v>11</v>
      </c>
      <c r="B95" s="233" t="str">
        <f t="shared" ref="B95:D95" si="1408">IFERROR(VLOOKUP($A95,$A$13:$D$30,-B$12,FALSE),"")</f>
        <v>Lainnya 2.3 (3) …….</v>
      </c>
      <c r="C95" s="234" t="str">
        <f t="shared" si="1408"/>
        <v/>
      </c>
      <c r="D95" s="234" t="str">
        <f t="shared" si="1408"/>
        <v/>
      </c>
      <c r="E95" s="227"/>
      <c r="F95" s="227" t="str">
        <f t="shared" si="1103"/>
        <v/>
      </c>
      <c r="G95" s="227">
        <f t="shared" si="1104"/>
        <v>0</v>
      </c>
      <c r="H95" s="235"/>
      <c r="I95" s="227">
        <f t="shared" si="1105"/>
        <v>0</v>
      </c>
      <c r="J95" s="410"/>
      <c r="K95" s="96"/>
      <c r="L95" s="96"/>
      <c r="M95" s="227">
        <f t="shared" si="1106"/>
        <v>0</v>
      </c>
      <c r="N95" s="235">
        <f t="shared" si="1107"/>
        <v>0.4604471269</v>
      </c>
      <c r="O95" s="236">
        <f t="shared" si="1108"/>
        <v>0</v>
      </c>
      <c r="P95" s="237">
        <f t="shared" si="1109"/>
        <v>0</v>
      </c>
      <c r="Q95" s="230"/>
      <c r="R95" s="232">
        <f t="shared" si="1248"/>
        <v>11</v>
      </c>
      <c r="S95" s="233" t="str">
        <f t="shared" ref="S95:U95" si="1409">IFERROR(VLOOKUP($R95,$A$13:$D$30,-S$12,FALSE),"")</f>
        <v>Lainnya 2.3 (3) …….</v>
      </c>
      <c r="T95" s="234" t="str">
        <f t="shared" si="1409"/>
        <v/>
      </c>
      <c r="U95" s="234" t="str">
        <f t="shared" si="1409"/>
        <v/>
      </c>
      <c r="V95" s="227"/>
      <c r="W95" s="227" t="str">
        <f t="shared" si="1111"/>
        <v/>
      </c>
      <c r="X95" s="227">
        <f t="shared" si="1112"/>
        <v>0</v>
      </c>
      <c r="Y95" s="235"/>
      <c r="Z95" s="227">
        <f t="shared" si="1113"/>
        <v>0</v>
      </c>
      <c r="AA95" s="410"/>
      <c r="AB95" s="96"/>
      <c r="AC95" s="96"/>
      <c r="AD95" s="227">
        <f t="shared" si="1114"/>
        <v>0</v>
      </c>
      <c r="AE95" s="235">
        <f t="shared" si="1115"/>
        <v>0.4604471269</v>
      </c>
      <c r="AF95" s="236">
        <f t="shared" si="1116"/>
        <v>0</v>
      </c>
      <c r="AG95" s="237">
        <f t="shared" si="1117"/>
        <v>0</v>
      </c>
      <c r="AH95" s="230"/>
      <c r="AI95" s="232">
        <f t="shared" si="1250"/>
        <v>11</v>
      </c>
      <c r="AJ95" s="233" t="str">
        <f t="shared" ref="AJ95:AL95" si="1410">IFERROR(VLOOKUP($R95,$A$13:$D$30,-AJ$12,FALSE),"")</f>
        <v>Lainnya 2.3 (3) …….</v>
      </c>
      <c r="AK95" s="234" t="str">
        <f t="shared" si="1410"/>
        <v/>
      </c>
      <c r="AL95" s="234" t="str">
        <f t="shared" si="1410"/>
        <v/>
      </c>
      <c r="AM95" s="227"/>
      <c r="AN95" s="227" t="str">
        <f t="shared" si="1119"/>
        <v/>
      </c>
      <c r="AO95" s="227">
        <f t="shared" si="1120"/>
        <v>0</v>
      </c>
      <c r="AP95" s="235"/>
      <c r="AQ95" s="227">
        <f t="shared" si="1121"/>
        <v>0</v>
      </c>
      <c r="AR95" s="410"/>
      <c r="AS95" s="96"/>
      <c r="AT95" s="96"/>
      <c r="AU95" s="227">
        <f t="shared" si="1122"/>
        <v>0</v>
      </c>
      <c r="AV95" s="235">
        <f t="shared" si="1123"/>
        <v>0.4604471269</v>
      </c>
      <c r="AW95" s="236">
        <f t="shared" si="1124"/>
        <v>0</v>
      </c>
      <c r="AX95" s="237">
        <f t="shared" si="1125"/>
        <v>0</v>
      </c>
      <c r="AY95" s="230"/>
      <c r="AZ95" s="232">
        <f t="shared" si="1252"/>
        <v>11</v>
      </c>
      <c r="BA95" s="233" t="str">
        <f t="shared" ref="BA95:BC95" si="1411">IFERROR(VLOOKUP($R95,$A$13:$D$30,-BA$12,FALSE),"")</f>
        <v>Lainnya 2.3 (3) …….</v>
      </c>
      <c r="BB95" s="234" t="str">
        <f t="shared" si="1411"/>
        <v/>
      </c>
      <c r="BC95" s="234" t="str">
        <f t="shared" si="1411"/>
        <v/>
      </c>
      <c r="BD95" s="227"/>
      <c r="BE95" s="227" t="str">
        <f t="shared" si="1127"/>
        <v/>
      </c>
      <c r="BF95" s="227">
        <f t="shared" si="1128"/>
        <v>0</v>
      </c>
      <c r="BG95" s="235"/>
      <c r="BH95" s="227">
        <f t="shared" si="1129"/>
        <v>0</v>
      </c>
      <c r="BI95" s="410"/>
      <c r="BJ95" s="96"/>
      <c r="BK95" s="96"/>
      <c r="BL95" s="227">
        <f t="shared" si="1130"/>
        <v>0</v>
      </c>
      <c r="BM95" s="235">
        <f t="shared" si="1131"/>
        <v>0.4604471269</v>
      </c>
      <c r="BN95" s="236">
        <f t="shared" si="1132"/>
        <v>0</v>
      </c>
      <c r="BO95" s="237">
        <f t="shared" si="1133"/>
        <v>0</v>
      </c>
      <c r="BP95" s="230"/>
      <c r="BQ95" s="232">
        <f t="shared" si="1254"/>
        <v>11</v>
      </c>
      <c r="BR95" s="233" t="str">
        <f t="shared" ref="BR95:BT95" si="1412">IFERROR(VLOOKUP($R95,$A$13:$D$30,-BR$12,FALSE),"")</f>
        <v>Lainnya 2.3 (3) …….</v>
      </c>
      <c r="BS95" s="234" t="str">
        <f t="shared" si="1412"/>
        <v/>
      </c>
      <c r="BT95" s="234" t="str">
        <f t="shared" si="1412"/>
        <v/>
      </c>
      <c r="BU95" s="227"/>
      <c r="BV95" s="227" t="str">
        <f t="shared" si="1135"/>
        <v/>
      </c>
      <c r="BW95" s="227">
        <f t="shared" si="1136"/>
        <v>0</v>
      </c>
      <c r="BX95" s="235"/>
      <c r="BY95" s="227">
        <f t="shared" si="1137"/>
        <v>0</v>
      </c>
      <c r="BZ95" s="410"/>
      <c r="CA95" s="96"/>
      <c r="CB95" s="96"/>
      <c r="CC95" s="227">
        <f t="shared" si="1138"/>
        <v>0</v>
      </c>
      <c r="CD95" s="235">
        <f t="shared" si="1139"/>
        <v>0.4604471269</v>
      </c>
      <c r="CE95" s="236">
        <f t="shared" si="1140"/>
        <v>0</v>
      </c>
      <c r="CF95" s="237">
        <f t="shared" si="1141"/>
        <v>0</v>
      </c>
      <c r="CG95" s="230"/>
      <c r="CH95" s="232">
        <f t="shared" si="1256"/>
        <v>11</v>
      </c>
      <c r="CI95" s="233" t="str">
        <f t="shared" ref="CI95:CK95" si="1413">IFERROR(VLOOKUP($R95,$A$13:$D$30,-CI$12,FALSE),"")</f>
        <v>Lainnya 2.3 (3) …….</v>
      </c>
      <c r="CJ95" s="234" t="str">
        <f t="shared" si="1413"/>
        <v/>
      </c>
      <c r="CK95" s="234" t="str">
        <f t="shared" si="1413"/>
        <v/>
      </c>
      <c r="CL95" s="227"/>
      <c r="CM95" s="227" t="str">
        <f t="shared" si="1143"/>
        <v/>
      </c>
      <c r="CN95" s="227">
        <f t="shared" si="1144"/>
        <v>0</v>
      </c>
      <c r="CO95" s="235"/>
      <c r="CP95" s="227">
        <f t="shared" si="1145"/>
        <v>0</v>
      </c>
      <c r="CQ95" s="410"/>
      <c r="CR95" s="96"/>
      <c r="CS95" s="96"/>
      <c r="CT95" s="227">
        <f t="shared" si="1146"/>
        <v>0</v>
      </c>
      <c r="CU95" s="235">
        <f t="shared" si="1147"/>
        <v>0.4604471269</v>
      </c>
      <c r="CV95" s="236">
        <f t="shared" si="1148"/>
        <v>0</v>
      </c>
      <c r="CW95" s="237">
        <f t="shared" si="1149"/>
        <v>0</v>
      </c>
      <c r="CX95" s="230"/>
      <c r="CY95" s="232">
        <f t="shared" si="1258"/>
        <v>11</v>
      </c>
      <c r="CZ95" s="233" t="str">
        <f t="shared" ref="CZ95:DB95" si="1414">IFERROR(VLOOKUP($R95,$A$13:$D$30,-CZ$12,FALSE),"")</f>
        <v>Lainnya 2.3 (3) …….</v>
      </c>
      <c r="DA95" s="234" t="str">
        <f t="shared" si="1414"/>
        <v/>
      </c>
      <c r="DB95" s="234" t="str">
        <f t="shared" si="1414"/>
        <v/>
      </c>
      <c r="DC95" s="227"/>
      <c r="DD95" s="227" t="str">
        <f t="shared" si="1151"/>
        <v/>
      </c>
      <c r="DE95" s="227">
        <f t="shared" si="1152"/>
        <v>0</v>
      </c>
      <c r="DF95" s="235"/>
      <c r="DG95" s="227">
        <f t="shared" si="1153"/>
        <v>0</v>
      </c>
      <c r="DH95" s="410"/>
      <c r="DI95" s="96"/>
      <c r="DJ95" s="96"/>
      <c r="DK95" s="227">
        <f t="shared" si="1154"/>
        <v>0</v>
      </c>
      <c r="DL95" s="235">
        <f t="shared" si="1155"/>
        <v>0.4604471269</v>
      </c>
      <c r="DM95" s="236">
        <f t="shared" si="1156"/>
        <v>0</v>
      </c>
      <c r="DN95" s="237">
        <f t="shared" si="1157"/>
        <v>0</v>
      </c>
      <c r="DO95" s="230"/>
      <c r="DP95" s="232">
        <f t="shared" si="1260"/>
        <v>11</v>
      </c>
      <c r="DQ95" s="233" t="str">
        <f t="shared" ref="DQ95:DS95" si="1415">IFERROR(VLOOKUP($R95,$A$13:$D$30,-DQ$12,FALSE),"")</f>
        <v>Lainnya 2.3 (3) …….</v>
      </c>
      <c r="DR95" s="234" t="str">
        <f t="shared" si="1415"/>
        <v/>
      </c>
      <c r="DS95" s="234" t="str">
        <f t="shared" si="1415"/>
        <v/>
      </c>
      <c r="DT95" s="227"/>
      <c r="DU95" s="227" t="str">
        <f t="shared" si="1159"/>
        <v/>
      </c>
      <c r="DV95" s="227">
        <f t="shared" si="1160"/>
        <v>0</v>
      </c>
      <c r="DW95" s="235"/>
      <c r="DX95" s="227">
        <f t="shared" si="1161"/>
        <v>0</v>
      </c>
      <c r="DY95" s="410"/>
      <c r="DZ95" s="96"/>
      <c r="EA95" s="96"/>
      <c r="EB95" s="227">
        <f t="shared" si="1162"/>
        <v>0</v>
      </c>
      <c r="EC95" s="235">
        <f t="shared" si="1163"/>
        <v>0.4604471269</v>
      </c>
      <c r="ED95" s="236">
        <f t="shared" si="1164"/>
        <v>0</v>
      </c>
      <c r="EE95" s="237">
        <f t="shared" si="1165"/>
        <v>0</v>
      </c>
      <c r="EF95" s="230"/>
      <c r="EG95" s="232">
        <f t="shared" si="1262"/>
        <v>11</v>
      </c>
      <c r="EH95" s="233" t="str">
        <f t="shared" ref="EH95:EJ95" si="1416">IFERROR(VLOOKUP($R95,$A$13:$D$30,-EH$12,FALSE),"")</f>
        <v>Lainnya 2.3 (3) …….</v>
      </c>
      <c r="EI95" s="234" t="str">
        <f t="shared" si="1416"/>
        <v/>
      </c>
      <c r="EJ95" s="234" t="str">
        <f t="shared" si="1416"/>
        <v/>
      </c>
      <c r="EK95" s="227"/>
      <c r="EL95" s="227" t="str">
        <f t="shared" si="1167"/>
        <v/>
      </c>
      <c r="EM95" s="227">
        <f t="shared" si="1168"/>
        <v>0</v>
      </c>
      <c r="EN95" s="235"/>
      <c r="EO95" s="227">
        <f t="shared" si="1169"/>
        <v>0</v>
      </c>
      <c r="EP95" s="410"/>
      <c r="EQ95" s="96"/>
      <c r="ER95" s="96"/>
      <c r="ES95" s="227">
        <f t="shared" si="1170"/>
        <v>0</v>
      </c>
      <c r="ET95" s="235">
        <f t="shared" si="1171"/>
        <v>0.4604471269</v>
      </c>
      <c r="EU95" s="236">
        <f t="shared" si="1172"/>
        <v>0</v>
      </c>
      <c r="EV95" s="237">
        <f t="shared" si="1173"/>
        <v>0</v>
      </c>
      <c r="EW95" s="230"/>
      <c r="EX95" s="232">
        <f t="shared" si="1264"/>
        <v>11</v>
      </c>
      <c r="EY95" s="233" t="str">
        <f t="shared" ref="EY95:FA95" si="1417">IFERROR(VLOOKUP($R95,$A$13:$D$30,-EY$12,FALSE),"")</f>
        <v>Lainnya 2.3 (3) …….</v>
      </c>
      <c r="EZ95" s="234" t="str">
        <f t="shared" si="1417"/>
        <v/>
      </c>
      <c r="FA95" s="234" t="str">
        <f t="shared" si="1417"/>
        <v/>
      </c>
      <c r="FB95" s="227"/>
      <c r="FC95" s="227" t="str">
        <f t="shared" si="1175"/>
        <v/>
      </c>
      <c r="FD95" s="227">
        <f t="shared" si="1176"/>
        <v>0</v>
      </c>
      <c r="FE95" s="235"/>
      <c r="FF95" s="227">
        <f t="shared" si="1177"/>
        <v>0</v>
      </c>
      <c r="FG95" s="410"/>
      <c r="FH95" s="96"/>
      <c r="FI95" s="96"/>
      <c r="FJ95" s="227">
        <f t="shared" si="1178"/>
        <v>0</v>
      </c>
      <c r="FK95" s="235">
        <f t="shared" si="1179"/>
        <v>0.4604471269</v>
      </c>
      <c r="FL95" s="236">
        <f t="shared" si="1180"/>
        <v>0</v>
      </c>
      <c r="FM95" s="237">
        <f t="shared" si="1181"/>
        <v>0</v>
      </c>
      <c r="FN95" s="230"/>
      <c r="FO95" s="232">
        <f t="shared" si="1266"/>
        <v>11</v>
      </c>
      <c r="FP95" s="233" t="str">
        <f t="shared" ref="FP95:FR95" si="1418">IFERROR(VLOOKUP($R95,$A$13:$D$30,-FP$12,FALSE),"")</f>
        <v>Lainnya 2.3 (3) …….</v>
      </c>
      <c r="FQ95" s="234" t="str">
        <f t="shared" si="1418"/>
        <v/>
      </c>
      <c r="FR95" s="234" t="str">
        <f t="shared" si="1418"/>
        <v/>
      </c>
      <c r="FS95" s="227"/>
      <c r="FT95" s="227" t="str">
        <f t="shared" si="1183"/>
        <v/>
      </c>
      <c r="FU95" s="227">
        <f t="shared" si="1184"/>
        <v>0</v>
      </c>
      <c r="FV95" s="235"/>
      <c r="FW95" s="227">
        <f t="shared" si="1185"/>
        <v>0</v>
      </c>
      <c r="FX95" s="410"/>
      <c r="FY95" s="96"/>
      <c r="FZ95" s="96"/>
      <c r="GA95" s="227">
        <f t="shared" si="1186"/>
        <v>0</v>
      </c>
      <c r="GB95" s="235">
        <f t="shared" si="1187"/>
        <v>0.4604471269</v>
      </c>
      <c r="GC95" s="236">
        <f t="shared" si="1188"/>
        <v>0</v>
      </c>
      <c r="GD95" s="237">
        <f t="shared" si="1189"/>
        <v>0</v>
      </c>
      <c r="GE95" s="230"/>
      <c r="GF95" s="232">
        <f t="shared" si="1268"/>
        <v>11</v>
      </c>
      <c r="GG95" s="233" t="str">
        <f t="shared" ref="GG95:GI95" si="1419">IFERROR(VLOOKUP($R95,$A$13:$D$30,-GG$12,FALSE),"")</f>
        <v>Lainnya 2.3 (3) …….</v>
      </c>
      <c r="GH95" s="234" t="str">
        <f t="shared" si="1419"/>
        <v/>
      </c>
      <c r="GI95" s="234" t="str">
        <f t="shared" si="1419"/>
        <v/>
      </c>
      <c r="GJ95" s="227"/>
      <c r="GK95" s="227" t="str">
        <f t="shared" si="1191"/>
        <v/>
      </c>
      <c r="GL95" s="227">
        <f t="shared" si="1192"/>
        <v>0</v>
      </c>
      <c r="GM95" s="235"/>
      <c r="GN95" s="227">
        <f t="shared" si="1193"/>
        <v>0</v>
      </c>
      <c r="GO95" s="410"/>
      <c r="GP95" s="96"/>
      <c r="GQ95" s="96"/>
      <c r="GR95" s="227">
        <f t="shared" si="1194"/>
        <v>0</v>
      </c>
      <c r="GS95" s="235">
        <f t="shared" si="1195"/>
        <v>0.4604471269</v>
      </c>
      <c r="GT95" s="236">
        <f t="shared" si="1196"/>
        <v>0</v>
      </c>
      <c r="GU95" s="237">
        <f t="shared" si="1197"/>
        <v>0</v>
      </c>
      <c r="GV95" s="230"/>
      <c r="GW95" s="232">
        <f t="shared" si="1270"/>
        <v>11</v>
      </c>
      <c r="GX95" s="233" t="str">
        <f t="shared" ref="GX95:GZ95" si="1420">IFERROR(VLOOKUP($R95,$A$13:$D$30,-GX$12,FALSE),"")</f>
        <v>Lainnya 2.3 (3) …….</v>
      </c>
      <c r="GY95" s="234" t="str">
        <f t="shared" si="1420"/>
        <v/>
      </c>
      <c r="GZ95" s="234" t="str">
        <f t="shared" si="1420"/>
        <v/>
      </c>
      <c r="HA95" s="227"/>
      <c r="HB95" s="227" t="str">
        <f t="shared" si="1199"/>
        <v/>
      </c>
      <c r="HC95" s="227">
        <f t="shared" si="1200"/>
        <v>0</v>
      </c>
      <c r="HD95" s="235"/>
      <c r="HE95" s="227">
        <f t="shared" si="1201"/>
        <v>0</v>
      </c>
      <c r="HF95" s="410"/>
      <c r="HG95" s="96"/>
      <c r="HH95" s="96"/>
      <c r="HI95" s="227">
        <f t="shared" si="1202"/>
        <v>0</v>
      </c>
      <c r="HJ95" s="235">
        <f t="shared" si="1203"/>
        <v>0.4604471269</v>
      </c>
      <c r="HK95" s="236">
        <f t="shared" si="1204"/>
        <v>0</v>
      </c>
      <c r="HL95" s="237">
        <f t="shared" si="1205"/>
        <v>0</v>
      </c>
      <c r="HM95" s="230"/>
      <c r="HN95" s="232">
        <f t="shared" si="1272"/>
        <v>11</v>
      </c>
      <c r="HO95" s="233" t="str">
        <f t="shared" ref="HO95:HQ95" si="1421">IFERROR(VLOOKUP($R95,$A$13:$D$30,-HO$12,FALSE),"")</f>
        <v>Lainnya 2.3 (3) …….</v>
      </c>
      <c r="HP95" s="234" t="str">
        <f t="shared" si="1421"/>
        <v/>
      </c>
      <c r="HQ95" s="234" t="str">
        <f t="shared" si="1421"/>
        <v/>
      </c>
      <c r="HR95" s="227"/>
      <c r="HS95" s="227" t="str">
        <f t="shared" si="1207"/>
        <v/>
      </c>
      <c r="HT95" s="227">
        <f t="shared" si="1208"/>
        <v>0</v>
      </c>
      <c r="HU95" s="235"/>
      <c r="HV95" s="227">
        <f t="shared" si="1209"/>
        <v>0</v>
      </c>
      <c r="HW95" s="410"/>
      <c r="HX95" s="96"/>
      <c r="HY95" s="96"/>
      <c r="HZ95" s="227">
        <f t="shared" si="1210"/>
        <v>0</v>
      </c>
      <c r="IA95" s="235">
        <f t="shared" si="1211"/>
        <v>0.4604471269</v>
      </c>
      <c r="IB95" s="236">
        <f t="shared" si="1212"/>
        <v>0</v>
      </c>
      <c r="IC95" s="237">
        <f t="shared" si="1213"/>
        <v>0</v>
      </c>
      <c r="ID95" s="230"/>
      <c r="IE95" s="232">
        <f t="shared" si="1274"/>
        <v>11</v>
      </c>
      <c r="IF95" s="233" t="str">
        <f t="shared" ref="IF95:IH95" si="1422">IFERROR(VLOOKUP($R95,$A$13:$D$30,-IF$12,FALSE),"")</f>
        <v>Lainnya 2.3 (3) …….</v>
      </c>
      <c r="IG95" s="234" t="str">
        <f t="shared" si="1422"/>
        <v/>
      </c>
      <c r="IH95" s="234" t="str">
        <f t="shared" si="1422"/>
        <v/>
      </c>
      <c r="II95" s="227"/>
      <c r="IJ95" s="227" t="str">
        <f t="shared" si="1215"/>
        <v/>
      </c>
      <c r="IK95" s="227">
        <f t="shared" si="1216"/>
        <v>0</v>
      </c>
      <c r="IL95" s="235"/>
      <c r="IM95" s="227">
        <f t="shared" si="1217"/>
        <v>0</v>
      </c>
      <c r="IN95" s="410"/>
      <c r="IO95" s="96"/>
      <c r="IP95" s="96"/>
      <c r="IQ95" s="227">
        <f t="shared" si="1218"/>
        <v>0</v>
      </c>
      <c r="IR95" s="235">
        <f t="shared" si="1219"/>
        <v>0.4604471269</v>
      </c>
      <c r="IS95" s="236">
        <f t="shared" si="1220"/>
        <v>0</v>
      </c>
      <c r="IT95" s="237">
        <f t="shared" si="1221"/>
        <v>0</v>
      </c>
      <c r="IU95" s="230"/>
      <c r="IV95" s="232">
        <f t="shared" si="1276"/>
        <v>11</v>
      </c>
      <c r="IW95" s="233" t="str">
        <f t="shared" ref="IW95:IY95" si="1423">IFERROR(VLOOKUP($R95,$A$13:$D$30,-IW$12,FALSE),"")</f>
        <v>Lainnya 2.3 (3) …….</v>
      </c>
      <c r="IX95" s="234" t="str">
        <f t="shared" si="1423"/>
        <v/>
      </c>
      <c r="IY95" s="234" t="str">
        <f t="shared" si="1423"/>
        <v/>
      </c>
      <c r="IZ95" s="227"/>
      <c r="JA95" s="227" t="str">
        <f t="shared" si="1223"/>
        <v/>
      </c>
      <c r="JB95" s="227">
        <f t="shared" si="1224"/>
        <v>0</v>
      </c>
      <c r="JC95" s="235"/>
      <c r="JD95" s="227">
        <f t="shared" si="1225"/>
        <v>0</v>
      </c>
      <c r="JE95" s="410"/>
      <c r="JF95" s="96"/>
      <c r="JG95" s="96"/>
      <c r="JH95" s="227">
        <f t="shared" si="1226"/>
        <v>0</v>
      </c>
      <c r="JI95" s="235">
        <f t="shared" si="1227"/>
        <v>0.4604471269</v>
      </c>
      <c r="JJ95" s="236">
        <f t="shared" si="1228"/>
        <v>0</v>
      </c>
      <c r="JK95" s="237">
        <f t="shared" si="1229"/>
        <v>0</v>
      </c>
      <c r="JL95" s="230"/>
      <c r="JM95" s="232">
        <f t="shared" si="1278"/>
        <v>11</v>
      </c>
      <c r="JN95" s="233" t="str">
        <f t="shared" ref="JN95:JP95" si="1424">IFERROR(VLOOKUP($R95,$A$13:$D$30,-JN$12,FALSE),"")</f>
        <v>Lainnya 2.3 (3) …….</v>
      </c>
      <c r="JO95" s="234" t="str">
        <f t="shared" si="1424"/>
        <v/>
      </c>
      <c r="JP95" s="234" t="str">
        <f t="shared" si="1424"/>
        <v/>
      </c>
      <c r="JQ95" s="227"/>
      <c r="JR95" s="227" t="str">
        <f t="shared" si="1231"/>
        <v/>
      </c>
      <c r="JS95" s="227">
        <f t="shared" si="1232"/>
        <v>0</v>
      </c>
      <c r="JT95" s="235"/>
      <c r="JU95" s="227">
        <f t="shared" si="1233"/>
        <v>0</v>
      </c>
      <c r="JV95" s="410"/>
      <c r="JW95" s="96"/>
      <c r="JX95" s="96"/>
      <c r="JY95" s="227">
        <f t="shared" si="1234"/>
        <v>0</v>
      </c>
      <c r="JZ95" s="235">
        <f t="shared" si="1235"/>
        <v>0.4604471269</v>
      </c>
      <c r="KA95" s="236">
        <f t="shared" si="1236"/>
        <v>0</v>
      </c>
      <c r="KB95" s="237">
        <f t="shared" si="1237"/>
        <v>0</v>
      </c>
      <c r="KC95" s="230"/>
      <c r="KD95" s="232">
        <f t="shared" si="1280"/>
        <v>11</v>
      </c>
      <c r="KE95" s="233" t="str">
        <f t="shared" ref="KE95:KG95" si="1425">IFERROR(VLOOKUP($R95,$A$13:$D$30,-KE$12,FALSE),"")</f>
        <v>Lainnya 2.3 (3) …….</v>
      </c>
      <c r="KF95" s="234" t="str">
        <f t="shared" si="1425"/>
        <v/>
      </c>
      <c r="KG95" s="234" t="str">
        <f t="shared" si="1425"/>
        <v/>
      </c>
      <c r="KH95" s="227"/>
      <c r="KI95" s="227" t="str">
        <f t="shared" si="1239"/>
        <v/>
      </c>
      <c r="KJ95" s="227">
        <f t="shared" si="1240"/>
        <v>0</v>
      </c>
      <c r="KK95" s="235"/>
      <c r="KL95" s="227">
        <f t="shared" si="1241"/>
        <v>0</v>
      </c>
      <c r="KM95" s="410"/>
      <c r="KN95" s="96"/>
      <c r="KO95" s="96"/>
      <c r="KP95" s="227">
        <f t="shared" si="1242"/>
        <v>0</v>
      </c>
      <c r="KQ95" s="235">
        <f t="shared" si="1243"/>
        <v>0.4604471269</v>
      </c>
      <c r="KR95" s="236">
        <f t="shared" si="1244"/>
        <v>0</v>
      </c>
      <c r="KS95" s="237">
        <f t="shared" si="1245"/>
        <v>0</v>
      </c>
      <c r="KT95" s="230"/>
      <c r="KU95" s="231"/>
    </row>
    <row r="96" ht="15.75" customHeight="1">
      <c r="A96" s="232">
        <f t="shared" si="1246"/>
        <v>12</v>
      </c>
      <c r="B96" s="233" t="str">
        <f t="shared" ref="B96:D96" si="1426">IFERROR(VLOOKUP($A96,$A$13:$D$30,-B$12,FALSE),"")</f>
        <v>Lainnya 2.3 (4) …….</v>
      </c>
      <c r="C96" s="234" t="str">
        <f t="shared" si="1426"/>
        <v/>
      </c>
      <c r="D96" s="234" t="str">
        <f t="shared" si="1426"/>
        <v/>
      </c>
      <c r="E96" s="227"/>
      <c r="F96" s="227" t="str">
        <f t="shared" si="1103"/>
        <v/>
      </c>
      <c r="G96" s="227">
        <f t="shared" si="1104"/>
        <v>0</v>
      </c>
      <c r="H96" s="235"/>
      <c r="I96" s="227">
        <f t="shared" si="1105"/>
        <v>0</v>
      </c>
      <c r="J96" s="410"/>
      <c r="K96" s="96"/>
      <c r="L96" s="96"/>
      <c r="M96" s="227">
        <f t="shared" si="1106"/>
        <v>0</v>
      </c>
      <c r="N96" s="235">
        <f t="shared" si="1107"/>
        <v>0.4604471269</v>
      </c>
      <c r="O96" s="236">
        <f t="shared" si="1108"/>
        <v>0</v>
      </c>
      <c r="P96" s="237">
        <f t="shared" si="1109"/>
        <v>0</v>
      </c>
      <c r="Q96" s="230"/>
      <c r="R96" s="232">
        <f t="shared" si="1248"/>
        <v>12</v>
      </c>
      <c r="S96" s="233" t="str">
        <f t="shared" ref="S96:U96" si="1427">IFERROR(VLOOKUP($R96,$A$13:$D$30,-S$12,FALSE),"")</f>
        <v>Lainnya 2.3 (4) …….</v>
      </c>
      <c r="T96" s="234" t="str">
        <f t="shared" si="1427"/>
        <v/>
      </c>
      <c r="U96" s="234" t="str">
        <f t="shared" si="1427"/>
        <v/>
      </c>
      <c r="V96" s="227"/>
      <c r="W96" s="227" t="str">
        <f t="shared" si="1111"/>
        <v/>
      </c>
      <c r="X96" s="227">
        <f t="shared" si="1112"/>
        <v>0</v>
      </c>
      <c r="Y96" s="235"/>
      <c r="Z96" s="227">
        <f t="shared" si="1113"/>
        <v>0</v>
      </c>
      <c r="AA96" s="410"/>
      <c r="AB96" s="96"/>
      <c r="AC96" s="96"/>
      <c r="AD96" s="227">
        <f t="shared" si="1114"/>
        <v>0</v>
      </c>
      <c r="AE96" s="235">
        <f t="shared" si="1115"/>
        <v>0.4604471269</v>
      </c>
      <c r="AF96" s="236">
        <f t="shared" si="1116"/>
        <v>0</v>
      </c>
      <c r="AG96" s="237">
        <f t="shared" si="1117"/>
        <v>0</v>
      </c>
      <c r="AH96" s="230"/>
      <c r="AI96" s="232">
        <f t="shared" si="1250"/>
        <v>12</v>
      </c>
      <c r="AJ96" s="233" t="str">
        <f t="shared" ref="AJ96:AL96" si="1428">IFERROR(VLOOKUP($R96,$A$13:$D$30,-AJ$12,FALSE),"")</f>
        <v>Lainnya 2.3 (4) …….</v>
      </c>
      <c r="AK96" s="234" t="str">
        <f t="shared" si="1428"/>
        <v/>
      </c>
      <c r="AL96" s="234" t="str">
        <f t="shared" si="1428"/>
        <v/>
      </c>
      <c r="AM96" s="227"/>
      <c r="AN96" s="227" t="str">
        <f t="shared" si="1119"/>
        <v/>
      </c>
      <c r="AO96" s="227">
        <f t="shared" si="1120"/>
        <v>0</v>
      </c>
      <c r="AP96" s="235"/>
      <c r="AQ96" s="227">
        <f t="shared" si="1121"/>
        <v>0</v>
      </c>
      <c r="AR96" s="410"/>
      <c r="AS96" s="96"/>
      <c r="AT96" s="96"/>
      <c r="AU96" s="227">
        <f t="shared" si="1122"/>
        <v>0</v>
      </c>
      <c r="AV96" s="235">
        <f t="shared" si="1123"/>
        <v>0.4604471269</v>
      </c>
      <c r="AW96" s="236">
        <f t="shared" si="1124"/>
        <v>0</v>
      </c>
      <c r="AX96" s="237">
        <f t="shared" si="1125"/>
        <v>0</v>
      </c>
      <c r="AY96" s="230"/>
      <c r="AZ96" s="232">
        <f t="shared" si="1252"/>
        <v>12</v>
      </c>
      <c r="BA96" s="233" t="str">
        <f t="shared" ref="BA96:BC96" si="1429">IFERROR(VLOOKUP($R96,$A$13:$D$30,-BA$12,FALSE),"")</f>
        <v>Lainnya 2.3 (4) …….</v>
      </c>
      <c r="BB96" s="234" t="str">
        <f t="shared" si="1429"/>
        <v/>
      </c>
      <c r="BC96" s="234" t="str">
        <f t="shared" si="1429"/>
        <v/>
      </c>
      <c r="BD96" s="227"/>
      <c r="BE96" s="227" t="str">
        <f t="shared" si="1127"/>
        <v/>
      </c>
      <c r="BF96" s="227">
        <f t="shared" si="1128"/>
        <v>0</v>
      </c>
      <c r="BG96" s="235"/>
      <c r="BH96" s="227">
        <f t="shared" si="1129"/>
        <v>0</v>
      </c>
      <c r="BI96" s="410"/>
      <c r="BJ96" s="96"/>
      <c r="BK96" s="96"/>
      <c r="BL96" s="227">
        <f t="shared" si="1130"/>
        <v>0</v>
      </c>
      <c r="BM96" s="235">
        <f t="shared" si="1131"/>
        <v>0.4604471269</v>
      </c>
      <c r="BN96" s="236">
        <f t="shared" si="1132"/>
        <v>0</v>
      </c>
      <c r="BO96" s="237">
        <f t="shared" si="1133"/>
        <v>0</v>
      </c>
      <c r="BP96" s="230"/>
      <c r="BQ96" s="232">
        <f t="shared" si="1254"/>
        <v>12</v>
      </c>
      <c r="BR96" s="233" t="str">
        <f t="shared" ref="BR96:BT96" si="1430">IFERROR(VLOOKUP($R96,$A$13:$D$30,-BR$12,FALSE),"")</f>
        <v>Lainnya 2.3 (4) …….</v>
      </c>
      <c r="BS96" s="234" t="str">
        <f t="shared" si="1430"/>
        <v/>
      </c>
      <c r="BT96" s="234" t="str">
        <f t="shared" si="1430"/>
        <v/>
      </c>
      <c r="BU96" s="227"/>
      <c r="BV96" s="227" t="str">
        <f t="shared" si="1135"/>
        <v/>
      </c>
      <c r="BW96" s="227">
        <f t="shared" si="1136"/>
        <v>0</v>
      </c>
      <c r="BX96" s="235"/>
      <c r="BY96" s="227">
        <f t="shared" si="1137"/>
        <v>0</v>
      </c>
      <c r="BZ96" s="410"/>
      <c r="CA96" s="96"/>
      <c r="CB96" s="96"/>
      <c r="CC96" s="227">
        <f t="shared" si="1138"/>
        <v>0</v>
      </c>
      <c r="CD96" s="235">
        <f t="shared" si="1139"/>
        <v>0.4604471269</v>
      </c>
      <c r="CE96" s="236">
        <f t="shared" si="1140"/>
        <v>0</v>
      </c>
      <c r="CF96" s="237">
        <f t="shared" si="1141"/>
        <v>0</v>
      </c>
      <c r="CG96" s="230"/>
      <c r="CH96" s="232">
        <f t="shared" si="1256"/>
        <v>12</v>
      </c>
      <c r="CI96" s="233" t="str">
        <f t="shared" ref="CI96:CK96" si="1431">IFERROR(VLOOKUP($R96,$A$13:$D$30,-CI$12,FALSE),"")</f>
        <v>Lainnya 2.3 (4) …….</v>
      </c>
      <c r="CJ96" s="234" t="str">
        <f t="shared" si="1431"/>
        <v/>
      </c>
      <c r="CK96" s="234" t="str">
        <f t="shared" si="1431"/>
        <v/>
      </c>
      <c r="CL96" s="227"/>
      <c r="CM96" s="227" t="str">
        <f t="shared" si="1143"/>
        <v/>
      </c>
      <c r="CN96" s="227">
        <f t="shared" si="1144"/>
        <v>0</v>
      </c>
      <c r="CO96" s="235"/>
      <c r="CP96" s="227">
        <f t="shared" si="1145"/>
        <v>0</v>
      </c>
      <c r="CQ96" s="410"/>
      <c r="CR96" s="96"/>
      <c r="CS96" s="96"/>
      <c r="CT96" s="227">
        <f t="shared" si="1146"/>
        <v>0</v>
      </c>
      <c r="CU96" s="235">
        <f t="shared" si="1147"/>
        <v>0.4604471269</v>
      </c>
      <c r="CV96" s="236">
        <f t="shared" si="1148"/>
        <v>0</v>
      </c>
      <c r="CW96" s="237">
        <f t="shared" si="1149"/>
        <v>0</v>
      </c>
      <c r="CX96" s="230"/>
      <c r="CY96" s="232">
        <f t="shared" si="1258"/>
        <v>12</v>
      </c>
      <c r="CZ96" s="233" t="str">
        <f t="shared" ref="CZ96:DB96" si="1432">IFERROR(VLOOKUP($R96,$A$13:$D$30,-CZ$12,FALSE),"")</f>
        <v>Lainnya 2.3 (4) …….</v>
      </c>
      <c r="DA96" s="234" t="str">
        <f t="shared" si="1432"/>
        <v/>
      </c>
      <c r="DB96" s="234" t="str">
        <f t="shared" si="1432"/>
        <v/>
      </c>
      <c r="DC96" s="227"/>
      <c r="DD96" s="227" t="str">
        <f t="shared" si="1151"/>
        <v/>
      </c>
      <c r="DE96" s="227">
        <f t="shared" si="1152"/>
        <v>0</v>
      </c>
      <c r="DF96" s="235"/>
      <c r="DG96" s="227">
        <f t="shared" si="1153"/>
        <v>0</v>
      </c>
      <c r="DH96" s="410"/>
      <c r="DI96" s="96"/>
      <c r="DJ96" s="96"/>
      <c r="DK96" s="227">
        <f t="shared" si="1154"/>
        <v>0</v>
      </c>
      <c r="DL96" s="235">
        <f t="shared" si="1155"/>
        <v>0.4604471269</v>
      </c>
      <c r="DM96" s="236">
        <f t="shared" si="1156"/>
        <v>0</v>
      </c>
      <c r="DN96" s="237">
        <f t="shared" si="1157"/>
        <v>0</v>
      </c>
      <c r="DO96" s="230"/>
      <c r="DP96" s="232">
        <f t="shared" si="1260"/>
        <v>12</v>
      </c>
      <c r="DQ96" s="233" t="str">
        <f t="shared" ref="DQ96:DS96" si="1433">IFERROR(VLOOKUP($R96,$A$13:$D$30,-DQ$12,FALSE),"")</f>
        <v>Lainnya 2.3 (4) …….</v>
      </c>
      <c r="DR96" s="234" t="str">
        <f t="shared" si="1433"/>
        <v/>
      </c>
      <c r="DS96" s="234" t="str">
        <f t="shared" si="1433"/>
        <v/>
      </c>
      <c r="DT96" s="227"/>
      <c r="DU96" s="227" t="str">
        <f t="shared" si="1159"/>
        <v/>
      </c>
      <c r="DV96" s="227">
        <f t="shared" si="1160"/>
        <v>0</v>
      </c>
      <c r="DW96" s="235"/>
      <c r="DX96" s="227">
        <f t="shared" si="1161"/>
        <v>0</v>
      </c>
      <c r="DY96" s="410"/>
      <c r="DZ96" s="96"/>
      <c r="EA96" s="96"/>
      <c r="EB96" s="227">
        <f t="shared" si="1162"/>
        <v>0</v>
      </c>
      <c r="EC96" s="235">
        <f t="shared" si="1163"/>
        <v>0.4604471269</v>
      </c>
      <c r="ED96" s="236">
        <f t="shared" si="1164"/>
        <v>0</v>
      </c>
      <c r="EE96" s="237">
        <f t="shared" si="1165"/>
        <v>0</v>
      </c>
      <c r="EF96" s="230"/>
      <c r="EG96" s="232">
        <f t="shared" si="1262"/>
        <v>12</v>
      </c>
      <c r="EH96" s="233" t="str">
        <f t="shared" ref="EH96:EJ96" si="1434">IFERROR(VLOOKUP($R96,$A$13:$D$30,-EH$12,FALSE),"")</f>
        <v>Lainnya 2.3 (4) …….</v>
      </c>
      <c r="EI96" s="234" t="str">
        <f t="shared" si="1434"/>
        <v/>
      </c>
      <c r="EJ96" s="234" t="str">
        <f t="shared" si="1434"/>
        <v/>
      </c>
      <c r="EK96" s="227"/>
      <c r="EL96" s="227" t="str">
        <f t="shared" si="1167"/>
        <v/>
      </c>
      <c r="EM96" s="227">
        <f t="shared" si="1168"/>
        <v>0</v>
      </c>
      <c r="EN96" s="235"/>
      <c r="EO96" s="227">
        <f t="shared" si="1169"/>
        <v>0</v>
      </c>
      <c r="EP96" s="410"/>
      <c r="EQ96" s="96"/>
      <c r="ER96" s="96"/>
      <c r="ES96" s="227">
        <f t="shared" si="1170"/>
        <v>0</v>
      </c>
      <c r="ET96" s="235">
        <f t="shared" si="1171"/>
        <v>0.4604471269</v>
      </c>
      <c r="EU96" s="236">
        <f t="shared" si="1172"/>
        <v>0</v>
      </c>
      <c r="EV96" s="237">
        <f t="shared" si="1173"/>
        <v>0</v>
      </c>
      <c r="EW96" s="230"/>
      <c r="EX96" s="232">
        <f t="shared" si="1264"/>
        <v>12</v>
      </c>
      <c r="EY96" s="233" t="str">
        <f t="shared" ref="EY96:FA96" si="1435">IFERROR(VLOOKUP($R96,$A$13:$D$30,-EY$12,FALSE),"")</f>
        <v>Lainnya 2.3 (4) …….</v>
      </c>
      <c r="EZ96" s="234" t="str">
        <f t="shared" si="1435"/>
        <v/>
      </c>
      <c r="FA96" s="234" t="str">
        <f t="shared" si="1435"/>
        <v/>
      </c>
      <c r="FB96" s="227"/>
      <c r="FC96" s="227" t="str">
        <f t="shared" si="1175"/>
        <v/>
      </c>
      <c r="FD96" s="227">
        <f t="shared" si="1176"/>
        <v>0</v>
      </c>
      <c r="FE96" s="235"/>
      <c r="FF96" s="227">
        <f t="shared" si="1177"/>
        <v>0</v>
      </c>
      <c r="FG96" s="410"/>
      <c r="FH96" s="96"/>
      <c r="FI96" s="96"/>
      <c r="FJ96" s="227">
        <f t="shared" si="1178"/>
        <v>0</v>
      </c>
      <c r="FK96" s="235">
        <f t="shared" si="1179"/>
        <v>0.4604471269</v>
      </c>
      <c r="FL96" s="236">
        <f t="shared" si="1180"/>
        <v>0</v>
      </c>
      <c r="FM96" s="237">
        <f t="shared" si="1181"/>
        <v>0</v>
      </c>
      <c r="FN96" s="230"/>
      <c r="FO96" s="232">
        <f t="shared" si="1266"/>
        <v>12</v>
      </c>
      <c r="FP96" s="233" t="str">
        <f t="shared" ref="FP96:FR96" si="1436">IFERROR(VLOOKUP($R96,$A$13:$D$30,-FP$12,FALSE),"")</f>
        <v>Lainnya 2.3 (4) …….</v>
      </c>
      <c r="FQ96" s="234" t="str">
        <f t="shared" si="1436"/>
        <v/>
      </c>
      <c r="FR96" s="234" t="str">
        <f t="shared" si="1436"/>
        <v/>
      </c>
      <c r="FS96" s="227"/>
      <c r="FT96" s="227" t="str">
        <f t="shared" si="1183"/>
        <v/>
      </c>
      <c r="FU96" s="227">
        <f t="shared" si="1184"/>
        <v>0</v>
      </c>
      <c r="FV96" s="235"/>
      <c r="FW96" s="227">
        <f t="shared" si="1185"/>
        <v>0</v>
      </c>
      <c r="FX96" s="410"/>
      <c r="FY96" s="96"/>
      <c r="FZ96" s="96"/>
      <c r="GA96" s="227">
        <f t="shared" si="1186"/>
        <v>0</v>
      </c>
      <c r="GB96" s="235">
        <f t="shared" si="1187"/>
        <v>0.4604471269</v>
      </c>
      <c r="GC96" s="236">
        <f t="shared" si="1188"/>
        <v>0</v>
      </c>
      <c r="GD96" s="237">
        <f t="shared" si="1189"/>
        <v>0</v>
      </c>
      <c r="GE96" s="230"/>
      <c r="GF96" s="232">
        <f t="shared" si="1268"/>
        <v>12</v>
      </c>
      <c r="GG96" s="233" t="str">
        <f t="shared" ref="GG96:GI96" si="1437">IFERROR(VLOOKUP($R96,$A$13:$D$30,-GG$12,FALSE),"")</f>
        <v>Lainnya 2.3 (4) …….</v>
      </c>
      <c r="GH96" s="234" t="str">
        <f t="shared" si="1437"/>
        <v/>
      </c>
      <c r="GI96" s="234" t="str">
        <f t="shared" si="1437"/>
        <v/>
      </c>
      <c r="GJ96" s="227"/>
      <c r="GK96" s="227" t="str">
        <f t="shared" si="1191"/>
        <v/>
      </c>
      <c r="GL96" s="227">
        <f t="shared" si="1192"/>
        <v>0</v>
      </c>
      <c r="GM96" s="235"/>
      <c r="GN96" s="227">
        <f t="shared" si="1193"/>
        <v>0</v>
      </c>
      <c r="GO96" s="410"/>
      <c r="GP96" s="96"/>
      <c r="GQ96" s="96"/>
      <c r="GR96" s="227">
        <f t="shared" si="1194"/>
        <v>0</v>
      </c>
      <c r="GS96" s="235">
        <f t="shared" si="1195"/>
        <v>0.4604471269</v>
      </c>
      <c r="GT96" s="236">
        <f t="shared" si="1196"/>
        <v>0</v>
      </c>
      <c r="GU96" s="237">
        <f t="shared" si="1197"/>
        <v>0</v>
      </c>
      <c r="GV96" s="230"/>
      <c r="GW96" s="232">
        <f t="shared" si="1270"/>
        <v>12</v>
      </c>
      <c r="GX96" s="233" t="str">
        <f t="shared" ref="GX96:GZ96" si="1438">IFERROR(VLOOKUP($R96,$A$13:$D$30,-GX$12,FALSE),"")</f>
        <v>Lainnya 2.3 (4) …….</v>
      </c>
      <c r="GY96" s="234" t="str">
        <f t="shared" si="1438"/>
        <v/>
      </c>
      <c r="GZ96" s="234" t="str">
        <f t="shared" si="1438"/>
        <v/>
      </c>
      <c r="HA96" s="227"/>
      <c r="HB96" s="227" t="str">
        <f t="shared" si="1199"/>
        <v/>
      </c>
      <c r="HC96" s="227">
        <f t="shared" si="1200"/>
        <v>0</v>
      </c>
      <c r="HD96" s="235"/>
      <c r="HE96" s="227">
        <f t="shared" si="1201"/>
        <v>0</v>
      </c>
      <c r="HF96" s="410"/>
      <c r="HG96" s="96"/>
      <c r="HH96" s="96"/>
      <c r="HI96" s="227">
        <f t="shared" si="1202"/>
        <v>0</v>
      </c>
      <c r="HJ96" s="235">
        <f t="shared" si="1203"/>
        <v>0.4604471269</v>
      </c>
      <c r="HK96" s="236">
        <f t="shared" si="1204"/>
        <v>0</v>
      </c>
      <c r="HL96" s="237">
        <f t="shared" si="1205"/>
        <v>0</v>
      </c>
      <c r="HM96" s="230"/>
      <c r="HN96" s="232">
        <f t="shared" si="1272"/>
        <v>12</v>
      </c>
      <c r="HO96" s="233" t="str">
        <f t="shared" ref="HO96:HQ96" si="1439">IFERROR(VLOOKUP($R96,$A$13:$D$30,-HO$12,FALSE),"")</f>
        <v>Lainnya 2.3 (4) …….</v>
      </c>
      <c r="HP96" s="234" t="str">
        <f t="shared" si="1439"/>
        <v/>
      </c>
      <c r="HQ96" s="234" t="str">
        <f t="shared" si="1439"/>
        <v/>
      </c>
      <c r="HR96" s="227"/>
      <c r="HS96" s="227" t="str">
        <f t="shared" si="1207"/>
        <v/>
      </c>
      <c r="HT96" s="227">
        <f t="shared" si="1208"/>
        <v>0</v>
      </c>
      <c r="HU96" s="235"/>
      <c r="HV96" s="227">
        <f t="shared" si="1209"/>
        <v>0</v>
      </c>
      <c r="HW96" s="410"/>
      <c r="HX96" s="96"/>
      <c r="HY96" s="96"/>
      <c r="HZ96" s="227">
        <f t="shared" si="1210"/>
        <v>0</v>
      </c>
      <c r="IA96" s="235">
        <f t="shared" si="1211"/>
        <v>0.4604471269</v>
      </c>
      <c r="IB96" s="236">
        <f t="shared" si="1212"/>
        <v>0</v>
      </c>
      <c r="IC96" s="237">
        <f t="shared" si="1213"/>
        <v>0</v>
      </c>
      <c r="ID96" s="230"/>
      <c r="IE96" s="232">
        <f t="shared" si="1274"/>
        <v>12</v>
      </c>
      <c r="IF96" s="233" t="str">
        <f t="shared" ref="IF96:IH96" si="1440">IFERROR(VLOOKUP($R96,$A$13:$D$30,-IF$12,FALSE),"")</f>
        <v>Lainnya 2.3 (4) …….</v>
      </c>
      <c r="IG96" s="234" t="str">
        <f t="shared" si="1440"/>
        <v/>
      </c>
      <c r="IH96" s="234" t="str">
        <f t="shared" si="1440"/>
        <v/>
      </c>
      <c r="II96" s="227"/>
      <c r="IJ96" s="227" t="str">
        <f t="shared" si="1215"/>
        <v/>
      </c>
      <c r="IK96" s="227">
        <f t="shared" si="1216"/>
        <v>0</v>
      </c>
      <c r="IL96" s="235"/>
      <c r="IM96" s="227">
        <f t="shared" si="1217"/>
        <v>0</v>
      </c>
      <c r="IN96" s="410"/>
      <c r="IO96" s="96"/>
      <c r="IP96" s="96"/>
      <c r="IQ96" s="227">
        <f t="shared" si="1218"/>
        <v>0</v>
      </c>
      <c r="IR96" s="235">
        <f t="shared" si="1219"/>
        <v>0.4604471269</v>
      </c>
      <c r="IS96" s="236">
        <f t="shared" si="1220"/>
        <v>0</v>
      </c>
      <c r="IT96" s="237">
        <f t="shared" si="1221"/>
        <v>0</v>
      </c>
      <c r="IU96" s="230"/>
      <c r="IV96" s="232">
        <f t="shared" si="1276"/>
        <v>12</v>
      </c>
      <c r="IW96" s="233" t="str">
        <f t="shared" ref="IW96:IY96" si="1441">IFERROR(VLOOKUP($R96,$A$13:$D$30,-IW$12,FALSE),"")</f>
        <v>Lainnya 2.3 (4) …….</v>
      </c>
      <c r="IX96" s="234" t="str">
        <f t="shared" si="1441"/>
        <v/>
      </c>
      <c r="IY96" s="234" t="str">
        <f t="shared" si="1441"/>
        <v/>
      </c>
      <c r="IZ96" s="227"/>
      <c r="JA96" s="227" t="str">
        <f t="shared" si="1223"/>
        <v/>
      </c>
      <c r="JB96" s="227">
        <f t="shared" si="1224"/>
        <v>0</v>
      </c>
      <c r="JC96" s="235"/>
      <c r="JD96" s="227">
        <f t="shared" si="1225"/>
        <v>0</v>
      </c>
      <c r="JE96" s="410"/>
      <c r="JF96" s="96"/>
      <c r="JG96" s="96"/>
      <c r="JH96" s="227">
        <f t="shared" si="1226"/>
        <v>0</v>
      </c>
      <c r="JI96" s="235">
        <f t="shared" si="1227"/>
        <v>0.4604471269</v>
      </c>
      <c r="JJ96" s="236">
        <f t="shared" si="1228"/>
        <v>0</v>
      </c>
      <c r="JK96" s="237">
        <f t="shared" si="1229"/>
        <v>0</v>
      </c>
      <c r="JL96" s="230"/>
      <c r="JM96" s="232">
        <f t="shared" si="1278"/>
        <v>12</v>
      </c>
      <c r="JN96" s="233" t="str">
        <f t="shared" ref="JN96:JP96" si="1442">IFERROR(VLOOKUP($R96,$A$13:$D$30,-JN$12,FALSE),"")</f>
        <v>Lainnya 2.3 (4) …….</v>
      </c>
      <c r="JO96" s="234" t="str">
        <f t="shared" si="1442"/>
        <v/>
      </c>
      <c r="JP96" s="234" t="str">
        <f t="shared" si="1442"/>
        <v/>
      </c>
      <c r="JQ96" s="227"/>
      <c r="JR96" s="227" t="str">
        <f t="shared" si="1231"/>
        <v/>
      </c>
      <c r="JS96" s="227">
        <f t="shared" si="1232"/>
        <v>0</v>
      </c>
      <c r="JT96" s="235"/>
      <c r="JU96" s="227">
        <f t="shared" si="1233"/>
        <v>0</v>
      </c>
      <c r="JV96" s="410"/>
      <c r="JW96" s="96"/>
      <c r="JX96" s="96"/>
      <c r="JY96" s="227">
        <f t="shared" si="1234"/>
        <v>0</v>
      </c>
      <c r="JZ96" s="235">
        <f t="shared" si="1235"/>
        <v>0.4604471269</v>
      </c>
      <c r="KA96" s="236">
        <f t="shared" si="1236"/>
        <v>0</v>
      </c>
      <c r="KB96" s="237">
        <f t="shared" si="1237"/>
        <v>0</v>
      </c>
      <c r="KC96" s="230"/>
      <c r="KD96" s="232">
        <f t="shared" si="1280"/>
        <v>12</v>
      </c>
      <c r="KE96" s="233" t="str">
        <f t="shared" ref="KE96:KG96" si="1443">IFERROR(VLOOKUP($R96,$A$13:$D$30,-KE$12,FALSE),"")</f>
        <v>Lainnya 2.3 (4) …….</v>
      </c>
      <c r="KF96" s="234" t="str">
        <f t="shared" si="1443"/>
        <v/>
      </c>
      <c r="KG96" s="234" t="str">
        <f t="shared" si="1443"/>
        <v/>
      </c>
      <c r="KH96" s="227"/>
      <c r="KI96" s="227" t="str">
        <f t="shared" si="1239"/>
        <v/>
      </c>
      <c r="KJ96" s="227">
        <f t="shared" si="1240"/>
        <v>0</v>
      </c>
      <c r="KK96" s="235"/>
      <c r="KL96" s="227">
        <f t="shared" si="1241"/>
        <v>0</v>
      </c>
      <c r="KM96" s="410"/>
      <c r="KN96" s="96"/>
      <c r="KO96" s="96"/>
      <c r="KP96" s="227">
        <f t="shared" si="1242"/>
        <v>0</v>
      </c>
      <c r="KQ96" s="235">
        <f t="shared" si="1243"/>
        <v>0.4604471269</v>
      </c>
      <c r="KR96" s="236">
        <f t="shared" si="1244"/>
        <v>0</v>
      </c>
      <c r="KS96" s="237">
        <f t="shared" si="1245"/>
        <v>0</v>
      </c>
      <c r="KT96" s="230"/>
      <c r="KU96" s="231"/>
    </row>
    <row r="97" ht="15.75" customHeight="1">
      <c r="A97" s="232">
        <f t="shared" si="1246"/>
        <v>13</v>
      </c>
      <c r="B97" s="233" t="str">
        <f t="shared" ref="B97:D97" si="1444">IFERROR(VLOOKUP($A97,$A$13:$D$30,-B$12,FALSE),"")</f>
        <v>Lainnya 2.3 (5) …….</v>
      </c>
      <c r="C97" s="234" t="str">
        <f t="shared" si="1444"/>
        <v/>
      </c>
      <c r="D97" s="234" t="str">
        <f t="shared" si="1444"/>
        <v/>
      </c>
      <c r="E97" s="227"/>
      <c r="F97" s="227" t="str">
        <f t="shared" si="1103"/>
        <v/>
      </c>
      <c r="G97" s="227">
        <f t="shared" si="1104"/>
        <v>0</v>
      </c>
      <c r="H97" s="235"/>
      <c r="I97" s="227">
        <f t="shared" si="1105"/>
        <v>0</v>
      </c>
      <c r="J97" s="410"/>
      <c r="K97" s="96"/>
      <c r="L97" s="96"/>
      <c r="M97" s="227">
        <f t="shared" si="1106"/>
        <v>0</v>
      </c>
      <c r="N97" s="235">
        <f t="shared" si="1107"/>
        <v>0.4604471269</v>
      </c>
      <c r="O97" s="236">
        <f t="shared" si="1108"/>
        <v>0</v>
      </c>
      <c r="P97" s="237">
        <f t="shared" si="1109"/>
        <v>0</v>
      </c>
      <c r="Q97" s="230"/>
      <c r="R97" s="232">
        <f t="shared" si="1248"/>
        <v>13</v>
      </c>
      <c r="S97" s="233" t="str">
        <f t="shared" ref="S97:U97" si="1445">IFERROR(VLOOKUP($R97,$A$13:$D$30,-S$12,FALSE),"")</f>
        <v>Lainnya 2.3 (5) …….</v>
      </c>
      <c r="T97" s="234" t="str">
        <f t="shared" si="1445"/>
        <v/>
      </c>
      <c r="U97" s="234" t="str">
        <f t="shared" si="1445"/>
        <v/>
      </c>
      <c r="V97" s="227"/>
      <c r="W97" s="227" t="str">
        <f t="shared" si="1111"/>
        <v/>
      </c>
      <c r="X97" s="227">
        <f t="shared" si="1112"/>
        <v>0</v>
      </c>
      <c r="Y97" s="235"/>
      <c r="Z97" s="227">
        <f t="shared" si="1113"/>
        <v>0</v>
      </c>
      <c r="AA97" s="410"/>
      <c r="AB97" s="96"/>
      <c r="AC97" s="96"/>
      <c r="AD97" s="227">
        <f t="shared" si="1114"/>
        <v>0</v>
      </c>
      <c r="AE97" s="235">
        <f t="shared" si="1115"/>
        <v>0.4604471269</v>
      </c>
      <c r="AF97" s="236">
        <f t="shared" si="1116"/>
        <v>0</v>
      </c>
      <c r="AG97" s="237">
        <f t="shared" si="1117"/>
        <v>0</v>
      </c>
      <c r="AH97" s="230"/>
      <c r="AI97" s="232">
        <f t="shared" si="1250"/>
        <v>13</v>
      </c>
      <c r="AJ97" s="233" t="str">
        <f t="shared" ref="AJ97:AL97" si="1446">IFERROR(VLOOKUP($R97,$A$13:$D$30,-AJ$12,FALSE),"")</f>
        <v>Lainnya 2.3 (5) …….</v>
      </c>
      <c r="AK97" s="234" t="str">
        <f t="shared" si="1446"/>
        <v/>
      </c>
      <c r="AL97" s="234" t="str">
        <f t="shared" si="1446"/>
        <v/>
      </c>
      <c r="AM97" s="227"/>
      <c r="AN97" s="227" t="str">
        <f t="shared" si="1119"/>
        <v/>
      </c>
      <c r="AO97" s="227">
        <f t="shared" si="1120"/>
        <v>0</v>
      </c>
      <c r="AP97" s="235"/>
      <c r="AQ97" s="227">
        <f t="shared" si="1121"/>
        <v>0</v>
      </c>
      <c r="AR97" s="410"/>
      <c r="AS97" s="96"/>
      <c r="AT97" s="96"/>
      <c r="AU97" s="227">
        <f t="shared" si="1122"/>
        <v>0</v>
      </c>
      <c r="AV97" s="235">
        <f t="shared" si="1123"/>
        <v>0.4604471269</v>
      </c>
      <c r="AW97" s="236">
        <f t="shared" si="1124"/>
        <v>0</v>
      </c>
      <c r="AX97" s="237">
        <f t="shared" si="1125"/>
        <v>0</v>
      </c>
      <c r="AY97" s="230"/>
      <c r="AZ97" s="232">
        <f t="shared" si="1252"/>
        <v>13</v>
      </c>
      <c r="BA97" s="233" t="str">
        <f t="shared" ref="BA97:BC97" si="1447">IFERROR(VLOOKUP($R97,$A$13:$D$30,-BA$12,FALSE),"")</f>
        <v>Lainnya 2.3 (5) …….</v>
      </c>
      <c r="BB97" s="234" t="str">
        <f t="shared" si="1447"/>
        <v/>
      </c>
      <c r="BC97" s="234" t="str">
        <f t="shared" si="1447"/>
        <v/>
      </c>
      <c r="BD97" s="227"/>
      <c r="BE97" s="227" t="str">
        <f t="shared" si="1127"/>
        <v/>
      </c>
      <c r="BF97" s="227">
        <f t="shared" si="1128"/>
        <v>0</v>
      </c>
      <c r="BG97" s="235"/>
      <c r="BH97" s="227">
        <f t="shared" si="1129"/>
        <v>0</v>
      </c>
      <c r="BI97" s="410"/>
      <c r="BJ97" s="96"/>
      <c r="BK97" s="96"/>
      <c r="BL97" s="227">
        <f t="shared" si="1130"/>
        <v>0</v>
      </c>
      <c r="BM97" s="235">
        <f t="shared" si="1131"/>
        <v>0.4604471269</v>
      </c>
      <c r="BN97" s="236">
        <f t="shared" si="1132"/>
        <v>0</v>
      </c>
      <c r="BO97" s="237">
        <f t="shared" si="1133"/>
        <v>0</v>
      </c>
      <c r="BP97" s="230"/>
      <c r="BQ97" s="232">
        <f t="shared" si="1254"/>
        <v>13</v>
      </c>
      <c r="BR97" s="233" t="str">
        <f t="shared" ref="BR97:BT97" si="1448">IFERROR(VLOOKUP($R97,$A$13:$D$30,-BR$12,FALSE),"")</f>
        <v>Lainnya 2.3 (5) …….</v>
      </c>
      <c r="BS97" s="234" t="str">
        <f t="shared" si="1448"/>
        <v/>
      </c>
      <c r="BT97" s="234" t="str">
        <f t="shared" si="1448"/>
        <v/>
      </c>
      <c r="BU97" s="227"/>
      <c r="BV97" s="227" t="str">
        <f t="shared" si="1135"/>
        <v/>
      </c>
      <c r="BW97" s="227">
        <f t="shared" si="1136"/>
        <v>0</v>
      </c>
      <c r="BX97" s="235"/>
      <c r="BY97" s="227">
        <f t="shared" si="1137"/>
        <v>0</v>
      </c>
      <c r="BZ97" s="410"/>
      <c r="CA97" s="96"/>
      <c r="CB97" s="96"/>
      <c r="CC97" s="227">
        <f t="shared" si="1138"/>
        <v>0</v>
      </c>
      <c r="CD97" s="235">
        <f t="shared" si="1139"/>
        <v>0.4604471269</v>
      </c>
      <c r="CE97" s="236">
        <f t="shared" si="1140"/>
        <v>0</v>
      </c>
      <c r="CF97" s="237">
        <f t="shared" si="1141"/>
        <v>0</v>
      </c>
      <c r="CG97" s="230"/>
      <c r="CH97" s="232">
        <f t="shared" si="1256"/>
        <v>13</v>
      </c>
      <c r="CI97" s="233" t="str">
        <f t="shared" ref="CI97:CK97" si="1449">IFERROR(VLOOKUP($R97,$A$13:$D$30,-CI$12,FALSE),"")</f>
        <v>Lainnya 2.3 (5) …….</v>
      </c>
      <c r="CJ97" s="234" t="str">
        <f t="shared" si="1449"/>
        <v/>
      </c>
      <c r="CK97" s="234" t="str">
        <f t="shared" si="1449"/>
        <v/>
      </c>
      <c r="CL97" s="227"/>
      <c r="CM97" s="227" t="str">
        <f t="shared" si="1143"/>
        <v/>
      </c>
      <c r="CN97" s="227">
        <f t="shared" si="1144"/>
        <v>0</v>
      </c>
      <c r="CO97" s="235"/>
      <c r="CP97" s="227">
        <f t="shared" si="1145"/>
        <v>0</v>
      </c>
      <c r="CQ97" s="410"/>
      <c r="CR97" s="96"/>
      <c r="CS97" s="96"/>
      <c r="CT97" s="227">
        <f t="shared" si="1146"/>
        <v>0</v>
      </c>
      <c r="CU97" s="235">
        <f t="shared" si="1147"/>
        <v>0.4604471269</v>
      </c>
      <c r="CV97" s="236">
        <f t="shared" si="1148"/>
        <v>0</v>
      </c>
      <c r="CW97" s="237">
        <f t="shared" si="1149"/>
        <v>0</v>
      </c>
      <c r="CX97" s="230"/>
      <c r="CY97" s="232">
        <f t="shared" si="1258"/>
        <v>13</v>
      </c>
      <c r="CZ97" s="233" t="str">
        <f t="shared" ref="CZ97:DB97" si="1450">IFERROR(VLOOKUP($R97,$A$13:$D$30,-CZ$12,FALSE),"")</f>
        <v>Lainnya 2.3 (5) …….</v>
      </c>
      <c r="DA97" s="234" t="str">
        <f t="shared" si="1450"/>
        <v/>
      </c>
      <c r="DB97" s="234" t="str">
        <f t="shared" si="1450"/>
        <v/>
      </c>
      <c r="DC97" s="227"/>
      <c r="DD97" s="227" t="str">
        <f t="shared" si="1151"/>
        <v/>
      </c>
      <c r="DE97" s="227">
        <f t="shared" si="1152"/>
        <v>0</v>
      </c>
      <c r="DF97" s="235"/>
      <c r="DG97" s="227">
        <f t="shared" si="1153"/>
        <v>0</v>
      </c>
      <c r="DH97" s="410"/>
      <c r="DI97" s="96"/>
      <c r="DJ97" s="96"/>
      <c r="DK97" s="227">
        <f t="shared" si="1154"/>
        <v>0</v>
      </c>
      <c r="DL97" s="235">
        <f t="shared" si="1155"/>
        <v>0.4604471269</v>
      </c>
      <c r="DM97" s="236">
        <f t="shared" si="1156"/>
        <v>0</v>
      </c>
      <c r="DN97" s="237">
        <f t="shared" si="1157"/>
        <v>0</v>
      </c>
      <c r="DO97" s="230"/>
      <c r="DP97" s="232">
        <f t="shared" si="1260"/>
        <v>13</v>
      </c>
      <c r="DQ97" s="233" t="str">
        <f t="shared" ref="DQ97:DS97" si="1451">IFERROR(VLOOKUP($R97,$A$13:$D$30,-DQ$12,FALSE),"")</f>
        <v>Lainnya 2.3 (5) …….</v>
      </c>
      <c r="DR97" s="234" t="str">
        <f t="shared" si="1451"/>
        <v/>
      </c>
      <c r="DS97" s="234" t="str">
        <f t="shared" si="1451"/>
        <v/>
      </c>
      <c r="DT97" s="227"/>
      <c r="DU97" s="227" t="str">
        <f t="shared" si="1159"/>
        <v/>
      </c>
      <c r="DV97" s="227">
        <f t="shared" si="1160"/>
        <v>0</v>
      </c>
      <c r="DW97" s="235"/>
      <c r="DX97" s="227">
        <f t="shared" si="1161"/>
        <v>0</v>
      </c>
      <c r="DY97" s="410"/>
      <c r="DZ97" s="96"/>
      <c r="EA97" s="96"/>
      <c r="EB97" s="227">
        <f t="shared" si="1162"/>
        <v>0</v>
      </c>
      <c r="EC97" s="235">
        <f t="shared" si="1163"/>
        <v>0.4604471269</v>
      </c>
      <c r="ED97" s="236">
        <f t="shared" si="1164"/>
        <v>0</v>
      </c>
      <c r="EE97" s="237">
        <f t="shared" si="1165"/>
        <v>0</v>
      </c>
      <c r="EF97" s="230"/>
      <c r="EG97" s="232">
        <f t="shared" si="1262"/>
        <v>13</v>
      </c>
      <c r="EH97" s="233" t="str">
        <f t="shared" ref="EH97:EJ97" si="1452">IFERROR(VLOOKUP($R97,$A$13:$D$30,-EH$12,FALSE),"")</f>
        <v>Lainnya 2.3 (5) …….</v>
      </c>
      <c r="EI97" s="234" t="str">
        <f t="shared" si="1452"/>
        <v/>
      </c>
      <c r="EJ97" s="234" t="str">
        <f t="shared" si="1452"/>
        <v/>
      </c>
      <c r="EK97" s="227"/>
      <c r="EL97" s="227" t="str">
        <f t="shared" si="1167"/>
        <v/>
      </c>
      <c r="EM97" s="227">
        <f t="shared" si="1168"/>
        <v>0</v>
      </c>
      <c r="EN97" s="235"/>
      <c r="EO97" s="227">
        <f t="shared" si="1169"/>
        <v>0</v>
      </c>
      <c r="EP97" s="410"/>
      <c r="EQ97" s="96"/>
      <c r="ER97" s="96"/>
      <c r="ES97" s="227">
        <f t="shared" si="1170"/>
        <v>0</v>
      </c>
      <c r="ET97" s="235">
        <f t="shared" si="1171"/>
        <v>0.4604471269</v>
      </c>
      <c r="EU97" s="236">
        <f t="shared" si="1172"/>
        <v>0</v>
      </c>
      <c r="EV97" s="237">
        <f t="shared" si="1173"/>
        <v>0</v>
      </c>
      <c r="EW97" s="230"/>
      <c r="EX97" s="232">
        <f t="shared" si="1264"/>
        <v>13</v>
      </c>
      <c r="EY97" s="233" t="str">
        <f t="shared" ref="EY97:FA97" si="1453">IFERROR(VLOOKUP($R97,$A$13:$D$30,-EY$12,FALSE),"")</f>
        <v>Lainnya 2.3 (5) …….</v>
      </c>
      <c r="EZ97" s="234" t="str">
        <f t="shared" si="1453"/>
        <v/>
      </c>
      <c r="FA97" s="234" t="str">
        <f t="shared" si="1453"/>
        <v/>
      </c>
      <c r="FB97" s="227"/>
      <c r="FC97" s="227" t="str">
        <f t="shared" si="1175"/>
        <v/>
      </c>
      <c r="FD97" s="227">
        <f t="shared" si="1176"/>
        <v>0</v>
      </c>
      <c r="FE97" s="235"/>
      <c r="FF97" s="227">
        <f t="shared" si="1177"/>
        <v>0</v>
      </c>
      <c r="FG97" s="410"/>
      <c r="FH97" s="96"/>
      <c r="FI97" s="96"/>
      <c r="FJ97" s="227">
        <f t="shared" si="1178"/>
        <v>0</v>
      </c>
      <c r="FK97" s="235">
        <f t="shared" si="1179"/>
        <v>0.4604471269</v>
      </c>
      <c r="FL97" s="236">
        <f t="shared" si="1180"/>
        <v>0</v>
      </c>
      <c r="FM97" s="237">
        <f t="shared" si="1181"/>
        <v>0</v>
      </c>
      <c r="FN97" s="230"/>
      <c r="FO97" s="232">
        <f t="shared" si="1266"/>
        <v>13</v>
      </c>
      <c r="FP97" s="233" t="str">
        <f t="shared" ref="FP97:FR97" si="1454">IFERROR(VLOOKUP($R97,$A$13:$D$30,-FP$12,FALSE),"")</f>
        <v>Lainnya 2.3 (5) …….</v>
      </c>
      <c r="FQ97" s="234" t="str">
        <f t="shared" si="1454"/>
        <v/>
      </c>
      <c r="FR97" s="234" t="str">
        <f t="shared" si="1454"/>
        <v/>
      </c>
      <c r="FS97" s="227"/>
      <c r="FT97" s="227" t="str">
        <f t="shared" si="1183"/>
        <v/>
      </c>
      <c r="FU97" s="227">
        <f t="shared" si="1184"/>
        <v>0</v>
      </c>
      <c r="FV97" s="235"/>
      <c r="FW97" s="227">
        <f t="shared" si="1185"/>
        <v>0</v>
      </c>
      <c r="FX97" s="410"/>
      <c r="FY97" s="96"/>
      <c r="FZ97" s="96"/>
      <c r="GA97" s="227">
        <f t="shared" si="1186"/>
        <v>0</v>
      </c>
      <c r="GB97" s="235">
        <f t="shared" si="1187"/>
        <v>0.4604471269</v>
      </c>
      <c r="GC97" s="236">
        <f t="shared" si="1188"/>
        <v>0</v>
      </c>
      <c r="GD97" s="237">
        <f t="shared" si="1189"/>
        <v>0</v>
      </c>
      <c r="GE97" s="230"/>
      <c r="GF97" s="232">
        <f t="shared" si="1268"/>
        <v>13</v>
      </c>
      <c r="GG97" s="233" t="str">
        <f t="shared" ref="GG97:GI97" si="1455">IFERROR(VLOOKUP($R97,$A$13:$D$30,-GG$12,FALSE),"")</f>
        <v>Lainnya 2.3 (5) …….</v>
      </c>
      <c r="GH97" s="234" t="str">
        <f t="shared" si="1455"/>
        <v/>
      </c>
      <c r="GI97" s="234" t="str">
        <f t="shared" si="1455"/>
        <v/>
      </c>
      <c r="GJ97" s="227"/>
      <c r="GK97" s="227" t="str">
        <f t="shared" si="1191"/>
        <v/>
      </c>
      <c r="GL97" s="227">
        <f t="shared" si="1192"/>
        <v>0</v>
      </c>
      <c r="GM97" s="235"/>
      <c r="GN97" s="227">
        <f t="shared" si="1193"/>
        <v>0</v>
      </c>
      <c r="GO97" s="410"/>
      <c r="GP97" s="96"/>
      <c r="GQ97" s="96"/>
      <c r="GR97" s="227">
        <f t="shared" si="1194"/>
        <v>0</v>
      </c>
      <c r="GS97" s="235">
        <f t="shared" si="1195"/>
        <v>0.4604471269</v>
      </c>
      <c r="GT97" s="236">
        <f t="shared" si="1196"/>
        <v>0</v>
      </c>
      <c r="GU97" s="237">
        <f t="shared" si="1197"/>
        <v>0</v>
      </c>
      <c r="GV97" s="230"/>
      <c r="GW97" s="232">
        <f t="shared" si="1270"/>
        <v>13</v>
      </c>
      <c r="GX97" s="233" t="str">
        <f t="shared" ref="GX97:GZ97" si="1456">IFERROR(VLOOKUP($R97,$A$13:$D$30,-GX$12,FALSE),"")</f>
        <v>Lainnya 2.3 (5) …….</v>
      </c>
      <c r="GY97" s="234" t="str">
        <f t="shared" si="1456"/>
        <v/>
      </c>
      <c r="GZ97" s="234" t="str">
        <f t="shared" si="1456"/>
        <v/>
      </c>
      <c r="HA97" s="227"/>
      <c r="HB97" s="227" t="str">
        <f t="shared" si="1199"/>
        <v/>
      </c>
      <c r="HC97" s="227">
        <f t="shared" si="1200"/>
        <v>0</v>
      </c>
      <c r="HD97" s="235"/>
      <c r="HE97" s="227">
        <f t="shared" si="1201"/>
        <v>0</v>
      </c>
      <c r="HF97" s="410"/>
      <c r="HG97" s="96"/>
      <c r="HH97" s="96"/>
      <c r="HI97" s="227">
        <f t="shared" si="1202"/>
        <v>0</v>
      </c>
      <c r="HJ97" s="235">
        <f t="shared" si="1203"/>
        <v>0.4604471269</v>
      </c>
      <c r="HK97" s="236">
        <f t="shared" si="1204"/>
        <v>0</v>
      </c>
      <c r="HL97" s="237">
        <f t="shared" si="1205"/>
        <v>0</v>
      </c>
      <c r="HM97" s="230"/>
      <c r="HN97" s="232">
        <f t="shared" si="1272"/>
        <v>13</v>
      </c>
      <c r="HO97" s="233" t="str">
        <f t="shared" ref="HO97:HQ97" si="1457">IFERROR(VLOOKUP($R97,$A$13:$D$30,-HO$12,FALSE),"")</f>
        <v>Lainnya 2.3 (5) …….</v>
      </c>
      <c r="HP97" s="234" t="str">
        <f t="shared" si="1457"/>
        <v/>
      </c>
      <c r="HQ97" s="234" t="str">
        <f t="shared" si="1457"/>
        <v/>
      </c>
      <c r="HR97" s="227"/>
      <c r="HS97" s="227" t="str">
        <f t="shared" si="1207"/>
        <v/>
      </c>
      <c r="HT97" s="227">
        <f t="shared" si="1208"/>
        <v>0</v>
      </c>
      <c r="HU97" s="235"/>
      <c r="HV97" s="227">
        <f t="shared" si="1209"/>
        <v>0</v>
      </c>
      <c r="HW97" s="410"/>
      <c r="HX97" s="96"/>
      <c r="HY97" s="96"/>
      <c r="HZ97" s="227">
        <f t="shared" si="1210"/>
        <v>0</v>
      </c>
      <c r="IA97" s="235">
        <f t="shared" si="1211"/>
        <v>0.4604471269</v>
      </c>
      <c r="IB97" s="236">
        <f t="shared" si="1212"/>
        <v>0</v>
      </c>
      <c r="IC97" s="237">
        <f t="shared" si="1213"/>
        <v>0</v>
      </c>
      <c r="ID97" s="230"/>
      <c r="IE97" s="232">
        <f t="shared" si="1274"/>
        <v>13</v>
      </c>
      <c r="IF97" s="233" t="str">
        <f t="shared" ref="IF97:IH97" si="1458">IFERROR(VLOOKUP($R97,$A$13:$D$30,-IF$12,FALSE),"")</f>
        <v>Lainnya 2.3 (5) …….</v>
      </c>
      <c r="IG97" s="234" t="str">
        <f t="shared" si="1458"/>
        <v/>
      </c>
      <c r="IH97" s="234" t="str">
        <f t="shared" si="1458"/>
        <v/>
      </c>
      <c r="II97" s="227"/>
      <c r="IJ97" s="227" t="str">
        <f t="shared" si="1215"/>
        <v/>
      </c>
      <c r="IK97" s="227">
        <f t="shared" si="1216"/>
        <v>0</v>
      </c>
      <c r="IL97" s="235"/>
      <c r="IM97" s="227">
        <f t="shared" si="1217"/>
        <v>0</v>
      </c>
      <c r="IN97" s="410"/>
      <c r="IO97" s="96"/>
      <c r="IP97" s="96"/>
      <c r="IQ97" s="227">
        <f t="shared" si="1218"/>
        <v>0</v>
      </c>
      <c r="IR97" s="235">
        <f t="shared" si="1219"/>
        <v>0.4604471269</v>
      </c>
      <c r="IS97" s="236">
        <f t="shared" si="1220"/>
        <v>0</v>
      </c>
      <c r="IT97" s="237">
        <f t="shared" si="1221"/>
        <v>0</v>
      </c>
      <c r="IU97" s="230"/>
      <c r="IV97" s="232">
        <f t="shared" si="1276"/>
        <v>13</v>
      </c>
      <c r="IW97" s="233" t="str">
        <f t="shared" ref="IW97:IY97" si="1459">IFERROR(VLOOKUP($R97,$A$13:$D$30,-IW$12,FALSE),"")</f>
        <v>Lainnya 2.3 (5) …….</v>
      </c>
      <c r="IX97" s="234" t="str">
        <f t="shared" si="1459"/>
        <v/>
      </c>
      <c r="IY97" s="234" t="str">
        <f t="shared" si="1459"/>
        <v/>
      </c>
      <c r="IZ97" s="227"/>
      <c r="JA97" s="227" t="str">
        <f t="shared" si="1223"/>
        <v/>
      </c>
      <c r="JB97" s="227">
        <f t="shared" si="1224"/>
        <v>0</v>
      </c>
      <c r="JC97" s="235"/>
      <c r="JD97" s="227">
        <f t="shared" si="1225"/>
        <v>0</v>
      </c>
      <c r="JE97" s="410"/>
      <c r="JF97" s="96"/>
      <c r="JG97" s="96"/>
      <c r="JH97" s="227">
        <f t="shared" si="1226"/>
        <v>0</v>
      </c>
      <c r="JI97" s="235">
        <f t="shared" si="1227"/>
        <v>0.4604471269</v>
      </c>
      <c r="JJ97" s="236">
        <f t="shared" si="1228"/>
        <v>0</v>
      </c>
      <c r="JK97" s="237">
        <f t="shared" si="1229"/>
        <v>0</v>
      </c>
      <c r="JL97" s="230"/>
      <c r="JM97" s="232">
        <f t="shared" si="1278"/>
        <v>13</v>
      </c>
      <c r="JN97" s="233" t="str">
        <f t="shared" ref="JN97:JP97" si="1460">IFERROR(VLOOKUP($R97,$A$13:$D$30,-JN$12,FALSE),"")</f>
        <v>Lainnya 2.3 (5) …….</v>
      </c>
      <c r="JO97" s="234" t="str">
        <f t="shared" si="1460"/>
        <v/>
      </c>
      <c r="JP97" s="234" t="str">
        <f t="shared" si="1460"/>
        <v/>
      </c>
      <c r="JQ97" s="227"/>
      <c r="JR97" s="227" t="str">
        <f t="shared" si="1231"/>
        <v/>
      </c>
      <c r="JS97" s="227">
        <f t="shared" si="1232"/>
        <v>0</v>
      </c>
      <c r="JT97" s="235"/>
      <c r="JU97" s="227">
        <f t="shared" si="1233"/>
        <v>0</v>
      </c>
      <c r="JV97" s="410"/>
      <c r="JW97" s="96"/>
      <c r="JX97" s="96"/>
      <c r="JY97" s="227">
        <f t="shared" si="1234"/>
        <v>0</v>
      </c>
      <c r="JZ97" s="235">
        <f t="shared" si="1235"/>
        <v>0.4604471269</v>
      </c>
      <c r="KA97" s="236">
        <f t="shared" si="1236"/>
        <v>0</v>
      </c>
      <c r="KB97" s="237">
        <f t="shared" si="1237"/>
        <v>0</v>
      </c>
      <c r="KC97" s="230"/>
      <c r="KD97" s="232">
        <f t="shared" si="1280"/>
        <v>13</v>
      </c>
      <c r="KE97" s="233" t="str">
        <f t="shared" ref="KE97:KG97" si="1461">IFERROR(VLOOKUP($R97,$A$13:$D$30,-KE$12,FALSE),"")</f>
        <v>Lainnya 2.3 (5) …….</v>
      </c>
      <c r="KF97" s="234" t="str">
        <f t="shared" si="1461"/>
        <v/>
      </c>
      <c r="KG97" s="234" t="str">
        <f t="shared" si="1461"/>
        <v/>
      </c>
      <c r="KH97" s="227"/>
      <c r="KI97" s="227" t="str">
        <f t="shared" si="1239"/>
        <v/>
      </c>
      <c r="KJ97" s="227">
        <f t="shared" si="1240"/>
        <v>0</v>
      </c>
      <c r="KK97" s="235"/>
      <c r="KL97" s="227">
        <f t="shared" si="1241"/>
        <v>0</v>
      </c>
      <c r="KM97" s="410"/>
      <c r="KN97" s="96"/>
      <c r="KO97" s="96"/>
      <c r="KP97" s="227">
        <f t="shared" si="1242"/>
        <v>0</v>
      </c>
      <c r="KQ97" s="235">
        <f t="shared" si="1243"/>
        <v>0.4604471269</v>
      </c>
      <c r="KR97" s="236">
        <f t="shared" si="1244"/>
        <v>0</v>
      </c>
      <c r="KS97" s="237">
        <f t="shared" si="1245"/>
        <v>0</v>
      </c>
      <c r="KT97" s="230"/>
      <c r="KU97" s="231"/>
    </row>
    <row r="98" ht="15.75" customHeight="1">
      <c r="A98" s="232">
        <f t="shared" si="1246"/>
        <v>14</v>
      </c>
      <c r="B98" s="233" t="str">
        <f t="shared" ref="B98:D98" si="1462">IFERROR(VLOOKUP($A98,$A$13:$D$30,-B$12,FALSE),"")</f>
        <v>Lainnya 2.3 (6) …….</v>
      </c>
      <c r="C98" s="234" t="str">
        <f t="shared" si="1462"/>
        <v/>
      </c>
      <c r="D98" s="234" t="str">
        <f t="shared" si="1462"/>
        <v/>
      </c>
      <c r="E98" s="227"/>
      <c r="F98" s="227" t="str">
        <f t="shared" si="1103"/>
        <v/>
      </c>
      <c r="G98" s="227">
        <f t="shared" si="1104"/>
        <v>0</v>
      </c>
      <c r="H98" s="235"/>
      <c r="I98" s="227">
        <f t="shared" si="1105"/>
        <v>0</v>
      </c>
      <c r="J98" s="410"/>
      <c r="K98" s="96"/>
      <c r="L98" s="96"/>
      <c r="M98" s="227">
        <f t="shared" si="1106"/>
        <v>0</v>
      </c>
      <c r="N98" s="235">
        <f t="shared" si="1107"/>
        <v>0.4604471269</v>
      </c>
      <c r="O98" s="236">
        <f t="shared" si="1108"/>
        <v>0</v>
      </c>
      <c r="P98" s="237">
        <f t="shared" si="1109"/>
        <v>0</v>
      </c>
      <c r="Q98" s="230"/>
      <c r="R98" s="232">
        <f t="shared" si="1248"/>
        <v>14</v>
      </c>
      <c r="S98" s="233" t="str">
        <f t="shared" ref="S98:U98" si="1463">IFERROR(VLOOKUP($R98,$A$13:$D$30,-S$12,FALSE),"")</f>
        <v>Lainnya 2.3 (6) …….</v>
      </c>
      <c r="T98" s="234" t="str">
        <f t="shared" si="1463"/>
        <v/>
      </c>
      <c r="U98" s="234" t="str">
        <f t="shared" si="1463"/>
        <v/>
      </c>
      <c r="V98" s="227"/>
      <c r="W98" s="227" t="str">
        <f t="shared" si="1111"/>
        <v/>
      </c>
      <c r="X98" s="227">
        <f t="shared" si="1112"/>
        <v>0</v>
      </c>
      <c r="Y98" s="235"/>
      <c r="Z98" s="227">
        <f t="shared" si="1113"/>
        <v>0</v>
      </c>
      <c r="AA98" s="410"/>
      <c r="AB98" s="96"/>
      <c r="AC98" s="96"/>
      <c r="AD98" s="227">
        <f t="shared" si="1114"/>
        <v>0</v>
      </c>
      <c r="AE98" s="235">
        <f t="shared" si="1115"/>
        <v>0.4604471269</v>
      </c>
      <c r="AF98" s="236">
        <f t="shared" si="1116"/>
        <v>0</v>
      </c>
      <c r="AG98" s="237">
        <f t="shared" si="1117"/>
        <v>0</v>
      </c>
      <c r="AH98" s="230"/>
      <c r="AI98" s="232">
        <f t="shared" si="1250"/>
        <v>14</v>
      </c>
      <c r="AJ98" s="233" t="str">
        <f t="shared" ref="AJ98:AL98" si="1464">IFERROR(VLOOKUP($R98,$A$13:$D$30,-AJ$12,FALSE),"")</f>
        <v>Lainnya 2.3 (6) …….</v>
      </c>
      <c r="AK98" s="234" t="str">
        <f t="shared" si="1464"/>
        <v/>
      </c>
      <c r="AL98" s="234" t="str">
        <f t="shared" si="1464"/>
        <v/>
      </c>
      <c r="AM98" s="227"/>
      <c r="AN98" s="227" t="str">
        <f t="shared" si="1119"/>
        <v/>
      </c>
      <c r="AO98" s="227">
        <f t="shared" si="1120"/>
        <v>0</v>
      </c>
      <c r="AP98" s="235"/>
      <c r="AQ98" s="227">
        <f t="shared" si="1121"/>
        <v>0</v>
      </c>
      <c r="AR98" s="410"/>
      <c r="AS98" s="96"/>
      <c r="AT98" s="96"/>
      <c r="AU98" s="227">
        <f t="shared" si="1122"/>
        <v>0</v>
      </c>
      <c r="AV98" s="235">
        <f t="shared" si="1123"/>
        <v>0.4604471269</v>
      </c>
      <c r="AW98" s="236">
        <f t="shared" si="1124"/>
        <v>0</v>
      </c>
      <c r="AX98" s="237">
        <f t="shared" si="1125"/>
        <v>0</v>
      </c>
      <c r="AY98" s="230"/>
      <c r="AZ98" s="232">
        <f t="shared" si="1252"/>
        <v>14</v>
      </c>
      <c r="BA98" s="233" t="str">
        <f t="shared" ref="BA98:BC98" si="1465">IFERROR(VLOOKUP($R98,$A$13:$D$30,-BA$12,FALSE),"")</f>
        <v>Lainnya 2.3 (6) …….</v>
      </c>
      <c r="BB98" s="234" t="str">
        <f t="shared" si="1465"/>
        <v/>
      </c>
      <c r="BC98" s="234" t="str">
        <f t="shared" si="1465"/>
        <v/>
      </c>
      <c r="BD98" s="227"/>
      <c r="BE98" s="227" t="str">
        <f t="shared" si="1127"/>
        <v/>
      </c>
      <c r="BF98" s="227">
        <f t="shared" si="1128"/>
        <v>0</v>
      </c>
      <c r="BG98" s="235"/>
      <c r="BH98" s="227">
        <f t="shared" si="1129"/>
        <v>0</v>
      </c>
      <c r="BI98" s="410"/>
      <c r="BJ98" s="96"/>
      <c r="BK98" s="96"/>
      <c r="BL98" s="227">
        <f t="shared" si="1130"/>
        <v>0</v>
      </c>
      <c r="BM98" s="235">
        <f t="shared" si="1131"/>
        <v>0.4604471269</v>
      </c>
      <c r="BN98" s="236">
        <f t="shared" si="1132"/>
        <v>0</v>
      </c>
      <c r="BO98" s="237">
        <f t="shared" si="1133"/>
        <v>0</v>
      </c>
      <c r="BP98" s="230"/>
      <c r="BQ98" s="232">
        <f t="shared" si="1254"/>
        <v>14</v>
      </c>
      <c r="BR98" s="233" t="str">
        <f t="shared" ref="BR98:BT98" si="1466">IFERROR(VLOOKUP($R98,$A$13:$D$30,-BR$12,FALSE),"")</f>
        <v>Lainnya 2.3 (6) …….</v>
      </c>
      <c r="BS98" s="234" t="str">
        <f t="shared" si="1466"/>
        <v/>
      </c>
      <c r="BT98" s="234" t="str">
        <f t="shared" si="1466"/>
        <v/>
      </c>
      <c r="BU98" s="227"/>
      <c r="BV98" s="227" t="str">
        <f t="shared" si="1135"/>
        <v/>
      </c>
      <c r="BW98" s="227">
        <f t="shared" si="1136"/>
        <v>0</v>
      </c>
      <c r="BX98" s="235"/>
      <c r="BY98" s="227">
        <f t="shared" si="1137"/>
        <v>0</v>
      </c>
      <c r="BZ98" s="410"/>
      <c r="CA98" s="96"/>
      <c r="CB98" s="96"/>
      <c r="CC98" s="227">
        <f t="shared" si="1138"/>
        <v>0</v>
      </c>
      <c r="CD98" s="235">
        <f t="shared" si="1139"/>
        <v>0.4604471269</v>
      </c>
      <c r="CE98" s="236">
        <f t="shared" si="1140"/>
        <v>0</v>
      </c>
      <c r="CF98" s="237">
        <f t="shared" si="1141"/>
        <v>0</v>
      </c>
      <c r="CG98" s="230"/>
      <c r="CH98" s="232">
        <f t="shared" si="1256"/>
        <v>14</v>
      </c>
      <c r="CI98" s="233" t="str">
        <f t="shared" ref="CI98:CK98" si="1467">IFERROR(VLOOKUP($R98,$A$13:$D$30,-CI$12,FALSE),"")</f>
        <v>Lainnya 2.3 (6) …….</v>
      </c>
      <c r="CJ98" s="234" t="str">
        <f t="shared" si="1467"/>
        <v/>
      </c>
      <c r="CK98" s="234" t="str">
        <f t="shared" si="1467"/>
        <v/>
      </c>
      <c r="CL98" s="227"/>
      <c r="CM98" s="227" t="str">
        <f t="shared" si="1143"/>
        <v/>
      </c>
      <c r="CN98" s="227">
        <f t="shared" si="1144"/>
        <v>0</v>
      </c>
      <c r="CO98" s="235"/>
      <c r="CP98" s="227">
        <f t="shared" si="1145"/>
        <v>0</v>
      </c>
      <c r="CQ98" s="410"/>
      <c r="CR98" s="96"/>
      <c r="CS98" s="96"/>
      <c r="CT98" s="227">
        <f t="shared" si="1146"/>
        <v>0</v>
      </c>
      <c r="CU98" s="235">
        <f t="shared" si="1147"/>
        <v>0.4604471269</v>
      </c>
      <c r="CV98" s="236">
        <f t="shared" si="1148"/>
        <v>0</v>
      </c>
      <c r="CW98" s="237">
        <f t="shared" si="1149"/>
        <v>0</v>
      </c>
      <c r="CX98" s="230"/>
      <c r="CY98" s="232">
        <f t="shared" si="1258"/>
        <v>14</v>
      </c>
      <c r="CZ98" s="233" t="str">
        <f t="shared" ref="CZ98:DB98" si="1468">IFERROR(VLOOKUP($R98,$A$13:$D$30,-CZ$12,FALSE),"")</f>
        <v>Lainnya 2.3 (6) …….</v>
      </c>
      <c r="DA98" s="234" t="str">
        <f t="shared" si="1468"/>
        <v/>
      </c>
      <c r="DB98" s="234" t="str">
        <f t="shared" si="1468"/>
        <v/>
      </c>
      <c r="DC98" s="227"/>
      <c r="DD98" s="227" t="str">
        <f t="shared" si="1151"/>
        <v/>
      </c>
      <c r="DE98" s="227">
        <f t="shared" si="1152"/>
        <v>0</v>
      </c>
      <c r="DF98" s="235"/>
      <c r="DG98" s="227">
        <f t="shared" si="1153"/>
        <v>0</v>
      </c>
      <c r="DH98" s="410"/>
      <c r="DI98" s="96"/>
      <c r="DJ98" s="96"/>
      <c r="DK98" s="227">
        <f t="shared" si="1154"/>
        <v>0</v>
      </c>
      <c r="DL98" s="235">
        <f t="shared" si="1155"/>
        <v>0.4604471269</v>
      </c>
      <c r="DM98" s="236">
        <f t="shared" si="1156"/>
        <v>0</v>
      </c>
      <c r="DN98" s="237">
        <f t="shared" si="1157"/>
        <v>0</v>
      </c>
      <c r="DO98" s="230"/>
      <c r="DP98" s="232">
        <f t="shared" si="1260"/>
        <v>14</v>
      </c>
      <c r="DQ98" s="233" t="str">
        <f t="shared" ref="DQ98:DS98" si="1469">IFERROR(VLOOKUP($R98,$A$13:$D$30,-DQ$12,FALSE),"")</f>
        <v>Lainnya 2.3 (6) …….</v>
      </c>
      <c r="DR98" s="234" t="str">
        <f t="shared" si="1469"/>
        <v/>
      </c>
      <c r="DS98" s="234" t="str">
        <f t="shared" si="1469"/>
        <v/>
      </c>
      <c r="DT98" s="227"/>
      <c r="DU98" s="227" t="str">
        <f t="shared" si="1159"/>
        <v/>
      </c>
      <c r="DV98" s="227">
        <f t="shared" si="1160"/>
        <v>0</v>
      </c>
      <c r="DW98" s="235"/>
      <c r="DX98" s="227">
        <f t="shared" si="1161"/>
        <v>0</v>
      </c>
      <c r="DY98" s="410"/>
      <c r="DZ98" s="96"/>
      <c r="EA98" s="96"/>
      <c r="EB98" s="227">
        <f t="shared" si="1162"/>
        <v>0</v>
      </c>
      <c r="EC98" s="235">
        <f t="shared" si="1163"/>
        <v>0.4604471269</v>
      </c>
      <c r="ED98" s="236">
        <f t="shared" si="1164"/>
        <v>0</v>
      </c>
      <c r="EE98" s="237">
        <f t="shared" si="1165"/>
        <v>0</v>
      </c>
      <c r="EF98" s="230"/>
      <c r="EG98" s="232">
        <f t="shared" si="1262"/>
        <v>14</v>
      </c>
      <c r="EH98" s="233" t="str">
        <f t="shared" ref="EH98:EJ98" si="1470">IFERROR(VLOOKUP($R98,$A$13:$D$30,-EH$12,FALSE),"")</f>
        <v>Lainnya 2.3 (6) …….</v>
      </c>
      <c r="EI98" s="234" t="str">
        <f t="shared" si="1470"/>
        <v/>
      </c>
      <c r="EJ98" s="234" t="str">
        <f t="shared" si="1470"/>
        <v/>
      </c>
      <c r="EK98" s="227"/>
      <c r="EL98" s="227" t="str">
        <f t="shared" si="1167"/>
        <v/>
      </c>
      <c r="EM98" s="227">
        <f t="shared" si="1168"/>
        <v>0</v>
      </c>
      <c r="EN98" s="235"/>
      <c r="EO98" s="227">
        <f t="shared" si="1169"/>
        <v>0</v>
      </c>
      <c r="EP98" s="410"/>
      <c r="EQ98" s="96"/>
      <c r="ER98" s="96"/>
      <c r="ES98" s="227">
        <f t="shared" si="1170"/>
        <v>0</v>
      </c>
      <c r="ET98" s="235">
        <f t="shared" si="1171"/>
        <v>0.4604471269</v>
      </c>
      <c r="EU98" s="236">
        <f t="shared" si="1172"/>
        <v>0</v>
      </c>
      <c r="EV98" s="237">
        <f t="shared" si="1173"/>
        <v>0</v>
      </c>
      <c r="EW98" s="230"/>
      <c r="EX98" s="232">
        <f t="shared" si="1264"/>
        <v>14</v>
      </c>
      <c r="EY98" s="233" t="str">
        <f t="shared" ref="EY98:FA98" si="1471">IFERROR(VLOOKUP($R98,$A$13:$D$30,-EY$12,FALSE),"")</f>
        <v>Lainnya 2.3 (6) …….</v>
      </c>
      <c r="EZ98" s="234" t="str">
        <f t="shared" si="1471"/>
        <v/>
      </c>
      <c r="FA98" s="234" t="str">
        <f t="shared" si="1471"/>
        <v/>
      </c>
      <c r="FB98" s="227"/>
      <c r="FC98" s="227" t="str">
        <f t="shared" si="1175"/>
        <v/>
      </c>
      <c r="FD98" s="227">
        <f t="shared" si="1176"/>
        <v>0</v>
      </c>
      <c r="FE98" s="235"/>
      <c r="FF98" s="227">
        <f t="shared" si="1177"/>
        <v>0</v>
      </c>
      <c r="FG98" s="410"/>
      <c r="FH98" s="96"/>
      <c r="FI98" s="96"/>
      <c r="FJ98" s="227">
        <f t="shared" si="1178"/>
        <v>0</v>
      </c>
      <c r="FK98" s="235">
        <f t="shared" si="1179"/>
        <v>0.4604471269</v>
      </c>
      <c r="FL98" s="236">
        <f t="shared" si="1180"/>
        <v>0</v>
      </c>
      <c r="FM98" s="237">
        <f t="shared" si="1181"/>
        <v>0</v>
      </c>
      <c r="FN98" s="230"/>
      <c r="FO98" s="232">
        <f t="shared" si="1266"/>
        <v>14</v>
      </c>
      <c r="FP98" s="233" t="str">
        <f t="shared" ref="FP98:FR98" si="1472">IFERROR(VLOOKUP($R98,$A$13:$D$30,-FP$12,FALSE),"")</f>
        <v>Lainnya 2.3 (6) …….</v>
      </c>
      <c r="FQ98" s="234" t="str">
        <f t="shared" si="1472"/>
        <v/>
      </c>
      <c r="FR98" s="234" t="str">
        <f t="shared" si="1472"/>
        <v/>
      </c>
      <c r="FS98" s="227"/>
      <c r="FT98" s="227" t="str">
        <f t="shared" si="1183"/>
        <v/>
      </c>
      <c r="FU98" s="227">
        <f t="shared" si="1184"/>
        <v>0</v>
      </c>
      <c r="FV98" s="235"/>
      <c r="FW98" s="227">
        <f t="shared" si="1185"/>
        <v>0</v>
      </c>
      <c r="FX98" s="410"/>
      <c r="FY98" s="96"/>
      <c r="FZ98" s="96"/>
      <c r="GA98" s="227">
        <f t="shared" si="1186"/>
        <v>0</v>
      </c>
      <c r="GB98" s="235">
        <f t="shared" si="1187"/>
        <v>0.4604471269</v>
      </c>
      <c r="GC98" s="236">
        <f t="shared" si="1188"/>
        <v>0</v>
      </c>
      <c r="GD98" s="237">
        <f t="shared" si="1189"/>
        <v>0</v>
      </c>
      <c r="GE98" s="230"/>
      <c r="GF98" s="232">
        <f t="shared" si="1268"/>
        <v>14</v>
      </c>
      <c r="GG98" s="233" t="str">
        <f t="shared" ref="GG98:GI98" si="1473">IFERROR(VLOOKUP($R98,$A$13:$D$30,-GG$12,FALSE),"")</f>
        <v>Lainnya 2.3 (6) …….</v>
      </c>
      <c r="GH98" s="234" t="str">
        <f t="shared" si="1473"/>
        <v/>
      </c>
      <c r="GI98" s="234" t="str">
        <f t="shared" si="1473"/>
        <v/>
      </c>
      <c r="GJ98" s="227"/>
      <c r="GK98" s="227" t="str">
        <f t="shared" si="1191"/>
        <v/>
      </c>
      <c r="GL98" s="227">
        <f t="shared" si="1192"/>
        <v>0</v>
      </c>
      <c r="GM98" s="235"/>
      <c r="GN98" s="227">
        <f t="shared" si="1193"/>
        <v>0</v>
      </c>
      <c r="GO98" s="410"/>
      <c r="GP98" s="96"/>
      <c r="GQ98" s="96"/>
      <c r="GR98" s="227">
        <f t="shared" si="1194"/>
        <v>0</v>
      </c>
      <c r="GS98" s="235">
        <f t="shared" si="1195"/>
        <v>0.4604471269</v>
      </c>
      <c r="GT98" s="236">
        <f t="shared" si="1196"/>
        <v>0</v>
      </c>
      <c r="GU98" s="237">
        <f t="shared" si="1197"/>
        <v>0</v>
      </c>
      <c r="GV98" s="230"/>
      <c r="GW98" s="232">
        <f t="shared" si="1270"/>
        <v>14</v>
      </c>
      <c r="GX98" s="233" t="str">
        <f t="shared" ref="GX98:GZ98" si="1474">IFERROR(VLOOKUP($R98,$A$13:$D$30,-GX$12,FALSE),"")</f>
        <v>Lainnya 2.3 (6) …….</v>
      </c>
      <c r="GY98" s="234" t="str">
        <f t="shared" si="1474"/>
        <v/>
      </c>
      <c r="GZ98" s="234" t="str">
        <f t="shared" si="1474"/>
        <v/>
      </c>
      <c r="HA98" s="227"/>
      <c r="HB98" s="227" t="str">
        <f t="shared" si="1199"/>
        <v/>
      </c>
      <c r="HC98" s="227">
        <f t="shared" si="1200"/>
        <v>0</v>
      </c>
      <c r="HD98" s="235"/>
      <c r="HE98" s="227">
        <f t="shared" si="1201"/>
        <v>0</v>
      </c>
      <c r="HF98" s="410"/>
      <c r="HG98" s="96"/>
      <c r="HH98" s="96"/>
      <c r="HI98" s="227">
        <f t="shared" si="1202"/>
        <v>0</v>
      </c>
      <c r="HJ98" s="235">
        <f t="shared" si="1203"/>
        <v>0.4604471269</v>
      </c>
      <c r="HK98" s="236">
        <f t="shared" si="1204"/>
        <v>0</v>
      </c>
      <c r="HL98" s="237">
        <f t="shared" si="1205"/>
        <v>0</v>
      </c>
      <c r="HM98" s="230"/>
      <c r="HN98" s="232">
        <f t="shared" si="1272"/>
        <v>14</v>
      </c>
      <c r="HO98" s="233" t="str">
        <f t="shared" ref="HO98:HQ98" si="1475">IFERROR(VLOOKUP($R98,$A$13:$D$30,-HO$12,FALSE),"")</f>
        <v>Lainnya 2.3 (6) …….</v>
      </c>
      <c r="HP98" s="234" t="str">
        <f t="shared" si="1475"/>
        <v/>
      </c>
      <c r="HQ98" s="234" t="str">
        <f t="shared" si="1475"/>
        <v/>
      </c>
      <c r="HR98" s="227"/>
      <c r="HS98" s="227" t="str">
        <f t="shared" si="1207"/>
        <v/>
      </c>
      <c r="HT98" s="227">
        <f t="shared" si="1208"/>
        <v>0</v>
      </c>
      <c r="HU98" s="235"/>
      <c r="HV98" s="227">
        <f t="shared" si="1209"/>
        <v>0</v>
      </c>
      <c r="HW98" s="410"/>
      <c r="HX98" s="96"/>
      <c r="HY98" s="96"/>
      <c r="HZ98" s="227">
        <f t="shared" si="1210"/>
        <v>0</v>
      </c>
      <c r="IA98" s="235">
        <f t="shared" si="1211"/>
        <v>0.4604471269</v>
      </c>
      <c r="IB98" s="236">
        <f t="shared" si="1212"/>
        <v>0</v>
      </c>
      <c r="IC98" s="237">
        <f t="shared" si="1213"/>
        <v>0</v>
      </c>
      <c r="ID98" s="230"/>
      <c r="IE98" s="232">
        <f t="shared" si="1274"/>
        <v>14</v>
      </c>
      <c r="IF98" s="233" t="str">
        <f t="shared" ref="IF98:IH98" si="1476">IFERROR(VLOOKUP($R98,$A$13:$D$30,-IF$12,FALSE),"")</f>
        <v>Lainnya 2.3 (6) …….</v>
      </c>
      <c r="IG98" s="234" t="str">
        <f t="shared" si="1476"/>
        <v/>
      </c>
      <c r="IH98" s="234" t="str">
        <f t="shared" si="1476"/>
        <v/>
      </c>
      <c r="II98" s="227"/>
      <c r="IJ98" s="227" t="str">
        <f t="shared" si="1215"/>
        <v/>
      </c>
      <c r="IK98" s="227">
        <f t="shared" si="1216"/>
        <v>0</v>
      </c>
      <c r="IL98" s="235"/>
      <c r="IM98" s="227">
        <f t="shared" si="1217"/>
        <v>0</v>
      </c>
      <c r="IN98" s="410"/>
      <c r="IO98" s="96"/>
      <c r="IP98" s="96"/>
      <c r="IQ98" s="227">
        <f t="shared" si="1218"/>
        <v>0</v>
      </c>
      <c r="IR98" s="235">
        <f t="shared" si="1219"/>
        <v>0.4604471269</v>
      </c>
      <c r="IS98" s="236">
        <f t="shared" si="1220"/>
        <v>0</v>
      </c>
      <c r="IT98" s="237">
        <f t="shared" si="1221"/>
        <v>0</v>
      </c>
      <c r="IU98" s="230"/>
      <c r="IV98" s="232">
        <f t="shared" si="1276"/>
        <v>14</v>
      </c>
      <c r="IW98" s="233" t="str">
        <f t="shared" ref="IW98:IY98" si="1477">IFERROR(VLOOKUP($R98,$A$13:$D$30,-IW$12,FALSE),"")</f>
        <v>Lainnya 2.3 (6) …….</v>
      </c>
      <c r="IX98" s="234" t="str">
        <f t="shared" si="1477"/>
        <v/>
      </c>
      <c r="IY98" s="234" t="str">
        <f t="shared" si="1477"/>
        <v/>
      </c>
      <c r="IZ98" s="227"/>
      <c r="JA98" s="227" t="str">
        <f t="shared" si="1223"/>
        <v/>
      </c>
      <c r="JB98" s="227">
        <f t="shared" si="1224"/>
        <v>0</v>
      </c>
      <c r="JC98" s="235"/>
      <c r="JD98" s="227">
        <f t="shared" si="1225"/>
        <v>0</v>
      </c>
      <c r="JE98" s="410"/>
      <c r="JF98" s="96"/>
      <c r="JG98" s="96"/>
      <c r="JH98" s="227">
        <f t="shared" si="1226"/>
        <v>0</v>
      </c>
      <c r="JI98" s="235">
        <f t="shared" si="1227"/>
        <v>0.4604471269</v>
      </c>
      <c r="JJ98" s="236">
        <f t="shared" si="1228"/>
        <v>0</v>
      </c>
      <c r="JK98" s="237">
        <f t="shared" si="1229"/>
        <v>0</v>
      </c>
      <c r="JL98" s="230"/>
      <c r="JM98" s="232">
        <f t="shared" si="1278"/>
        <v>14</v>
      </c>
      <c r="JN98" s="233" t="str">
        <f t="shared" ref="JN98:JP98" si="1478">IFERROR(VLOOKUP($R98,$A$13:$D$30,-JN$12,FALSE),"")</f>
        <v>Lainnya 2.3 (6) …….</v>
      </c>
      <c r="JO98" s="234" t="str">
        <f t="shared" si="1478"/>
        <v/>
      </c>
      <c r="JP98" s="234" t="str">
        <f t="shared" si="1478"/>
        <v/>
      </c>
      <c r="JQ98" s="227"/>
      <c r="JR98" s="227" t="str">
        <f t="shared" si="1231"/>
        <v/>
      </c>
      <c r="JS98" s="227">
        <f t="shared" si="1232"/>
        <v>0</v>
      </c>
      <c r="JT98" s="235"/>
      <c r="JU98" s="227">
        <f t="shared" si="1233"/>
        <v>0</v>
      </c>
      <c r="JV98" s="410"/>
      <c r="JW98" s="96"/>
      <c r="JX98" s="96"/>
      <c r="JY98" s="227">
        <f t="shared" si="1234"/>
        <v>0</v>
      </c>
      <c r="JZ98" s="235">
        <f t="shared" si="1235"/>
        <v>0.4604471269</v>
      </c>
      <c r="KA98" s="236">
        <f t="shared" si="1236"/>
        <v>0</v>
      </c>
      <c r="KB98" s="237">
        <f t="shared" si="1237"/>
        <v>0</v>
      </c>
      <c r="KC98" s="230"/>
      <c r="KD98" s="232">
        <f t="shared" si="1280"/>
        <v>14</v>
      </c>
      <c r="KE98" s="233" t="str">
        <f t="shared" ref="KE98:KG98" si="1479">IFERROR(VLOOKUP($R98,$A$13:$D$30,-KE$12,FALSE),"")</f>
        <v>Lainnya 2.3 (6) …….</v>
      </c>
      <c r="KF98" s="234" t="str">
        <f t="shared" si="1479"/>
        <v/>
      </c>
      <c r="KG98" s="234" t="str">
        <f t="shared" si="1479"/>
        <v/>
      </c>
      <c r="KH98" s="227"/>
      <c r="KI98" s="227" t="str">
        <f t="shared" si="1239"/>
        <v/>
      </c>
      <c r="KJ98" s="227">
        <f t="shared" si="1240"/>
        <v>0</v>
      </c>
      <c r="KK98" s="235"/>
      <c r="KL98" s="227">
        <f t="shared" si="1241"/>
        <v>0</v>
      </c>
      <c r="KM98" s="410"/>
      <c r="KN98" s="96"/>
      <c r="KO98" s="96"/>
      <c r="KP98" s="227">
        <f t="shared" si="1242"/>
        <v>0</v>
      </c>
      <c r="KQ98" s="235">
        <f t="shared" si="1243"/>
        <v>0.4604471269</v>
      </c>
      <c r="KR98" s="236">
        <f t="shared" si="1244"/>
        <v>0</v>
      </c>
      <c r="KS98" s="237">
        <f t="shared" si="1245"/>
        <v>0</v>
      </c>
      <c r="KT98" s="230"/>
      <c r="KU98" s="231"/>
    </row>
    <row r="99" ht="15.75" customHeight="1">
      <c r="A99" s="232">
        <f t="shared" si="1246"/>
        <v>15</v>
      </c>
      <c r="B99" s="233" t="str">
        <f t="shared" ref="B99:D99" si="1480">IFERROR(VLOOKUP($A99,$A$13:$D$30,-B$12,FALSE),"")</f>
        <v>Lainnya 2.3 (7) …….</v>
      </c>
      <c r="C99" s="234" t="str">
        <f t="shared" si="1480"/>
        <v/>
      </c>
      <c r="D99" s="234" t="str">
        <f t="shared" si="1480"/>
        <v/>
      </c>
      <c r="E99" s="227"/>
      <c r="F99" s="227">
        <f t="shared" si="1103"/>
        <v>6500000</v>
      </c>
      <c r="G99" s="227">
        <f t="shared" si="1104"/>
        <v>0</v>
      </c>
      <c r="H99" s="235"/>
      <c r="I99" s="227">
        <f t="shared" si="1105"/>
        <v>0</v>
      </c>
      <c r="J99" s="410"/>
      <c r="K99" s="96"/>
      <c r="L99" s="96"/>
      <c r="M99" s="227">
        <f t="shared" si="1106"/>
        <v>0</v>
      </c>
      <c r="N99" s="235">
        <f t="shared" si="1107"/>
        <v>0.4604471269</v>
      </c>
      <c r="O99" s="236">
        <f t="shared" si="1108"/>
        <v>0</v>
      </c>
      <c r="P99" s="237">
        <f t="shared" si="1109"/>
        <v>0</v>
      </c>
      <c r="Q99" s="230"/>
      <c r="R99" s="232">
        <f t="shared" si="1248"/>
        <v>15</v>
      </c>
      <c r="S99" s="233" t="str">
        <f t="shared" ref="S99:U99" si="1481">IFERROR(VLOOKUP($R99,$A$13:$D$30,-S$12,FALSE),"")</f>
        <v>Lainnya 2.3 (7) …….</v>
      </c>
      <c r="T99" s="234" t="str">
        <f t="shared" si="1481"/>
        <v/>
      </c>
      <c r="U99" s="234" t="str">
        <f t="shared" si="1481"/>
        <v/>
      </c>
      <c r="V99" s="227"/>
      <c r="W99" s="227">
        <f t="shared" si="1111"/>
        <v>6500000</v>
      </c>
      <c r="X99" s="227">
        <f t="shared" si="1112"/>
        <v>0</v>
      </c>
      <c r="Y99" s="235"/>
      <c r="Z99" s="227">
        <f t="shared" si="1113"/>
        <v>0</v>
      </c>
      <c r="AA99" s="410"/>
      <c r="AB99" s="96"/>
      <c r="AC99" s="96"/>
      <c r="AD99" s="227">
        <f t="shared" si="1114"/>
        <v>0</v>
      </c>
      <c r="AE99" s="235">
        <f t="shared" si="1115"/>
        <v>0.4604471269</v>
      </c>
      <c r="AF99" s="236">
        <f t="shared" si="1116"/>
        <v>0</v>
      </c>
      <c r="AG99" s="237">
        <f t="shared" si="1117"/>
        <v>0</v>
      </c>
      <c r="AH99" s="230"/>
      <c r="AI99" s="232">
        <f t="shared" si="1250"/>
        <v>15</v>
      </c>
      <c r="AJ99" s="233" t="str">
        <f t="shared" ref="AJ99:AL99" si="1482">IFERROR(VLOOKUP($R99,$A$13:$D$30,-AJ$12,FALSE),"")</f>
        <v>Lainnya 2.3 (7) …….</v>
      </c>
      <c r="AK99" s="234" t="str">
        <f t="shared" si="1482"/>
        <v/>
      </c>
      <c r="AL99" s="234" t="str">
        <f t="shared" si="1482"/>
        <v/>
      </c>
      <c r="AM99" s="227"/>
      <c r="AN99" s="227">
        <f t="shared" si="1119"/>
        <v>6500000</v>
      </c>
      <c r="AO99" s="227">
        <f t="shared" si="1120"/>
        <v>0</v>
      </c>
      <c r="AP99" s="235"/>
      <c r="AQ99" s="227">
        <f t="shared" si="1121"/>
        <v>0</v>
      </c>
      <c r="AR99" s="410"/>
      <c r="AS99" s="96"/>
      <c r="AT99" s="96"/>
      <c r="AU99" s="227">
        <f t="shared" si="1122"/>
        <v>0</v>
      </c>
      <c r="AV99" s="235">
        <f t="shared" si="1123"/>
        <v>0.4604471269</v>
      </c>
      <c r="AW99" s="236">
        <f t="shared" si="1124"/>
        <v>0</v>
      </c>
      <c r="AX99" s="237">
        <f t="shared" si="1125"/>
        <v>0</v>
      </c>
      <c r="AY99" s="230"/>
      <c r="AZ99" s="232">
        <f t="shared" si="1252"/>
        <v>15</v>
      </c>
      <c r="BA99" s="233" t="str">
        <f t="shared" ref="BA99:BC99" si="1483">IFERROR(VLOOKUP($R99,$A$13:$D$30,-BA$12,FALSE),"")</f>
        <v>Lainnya 2.3 (7) …….</v>
      </c>
      <c r="BB99" s="234" t="str">
        <f t="shared" si="1483"/>
        <v/>
      </c>
      <c r="BC99" s="234" t="str">
        <f t="shared" si="1483"/>
        <v/>
      </c>
      <c r="BD99" s="227"/>
      <c r="BE99" s="227">
        <f t="shared" si="1127"/>
        <v>6500000</v>
      </c>
      <c r="BF99" s="227">
        <f t="shared" si="1128"/>
        <v>0</v>
      </c>
      <c r="BG99" s="235"/>
      <c r="BH99" s="227">
        <f t="shared" si="1129"/>
        <v>0</v>
      </c>
      <c r="BI99" s="410"/>
      <c r="BJ99" s="96"/>
      <c r="BK99" s="96"/>
      <c r="BL99" s="227">
        <f t="shared" si="1130"/>
        <v>0</v>
      </c>
      <c r="BM99" s="235">
        <f t="shared" si="1131"/>
        <v>0.4604471269</v>
      </c>
      <c r="BN99" s="236">
        <f t="shared" si="1132"/>
        <v>0</v>
      </c>
      <c r="BO99" s="237">
        <f t="shared" si="1133"/>
        <v>0</v>
      </c>
      <c r="BP99" s="230"/>
      <c r="BQ99" s="232">
        <f t="shared" si="1254"/>
        <v>15</v>
      </c>
      <c r="BR99" s="233" t="str">
        <f t="shared" ref="BR99:BT99" si="1484">IFERROR(VLOOKUP($R99,$A$13:$D$30,-BR$12,FALSE),"")</f>
        <v>Lainnya 2.3 (7) …….</v>
      </c>
      <c r="BS99" s="234" t="str">
        <f t="shared" si="1484"/>
        <v/>
      </c>
      <c r="BT99" s="234" t="str">
        <f t="shared" si="1484"/>
        <v/>
      </c>
      <c r="BU99" s="227"/>
      <c r="BV99" s="227">
        <f t="shared" si="1135"/>
        <v>6500000</v>
      </c>
      <c r="BW99" s="227">
        <f t="shared" si="1136"/>
        <v>0</v>
      </c>
      <c r="BX99" s="235"/>
      <c r="BY99" s="227">
        <f t="shared" si="1137"/>
        <v>0</v>
      </c>
      <c r="BZ99" s="410"/>
      <c r="CA99" s="96"/>
      <c r="CB99" s="96"/>
      <c r="CC99" s="227">
        <f t="shared" si="1138"/>
        <v>0</v>
      </c>
      <c r="CD99" s="235">
        <f t="shared" si="1139"/>
        <v>0.4604471269</v>
      </c>
      <c r="CE99" s="236">
        <f t="shared" si="1140"/>
        <v>0</v>
      </c>
      <c r="CF99" s="237">
        <f t="shared" si="1141"/>
        <v>0</v>
      </c>
      <c r="CG99" s="230"/>
      <c r="CH99" s="232">
        <f t="shared" si="1256"/>
        <v>15</v>
      </c>
      <c r="CI99" s="233" t="str">
        <f t="shared" ref="CI99:CK99" si="1485">IFERROR(VLOOKUP($R99,$A$13:$D$30,-CI$12,FALSE),"")</f>
        <v>Lainnya 2.3 (7) …….</v>
      </c>
      <c r="CJ99" s="234" t="str">
        <f t="shared" si="1485"/>
        <v/>
      </c>
      <c r="CK99" s="234" t="str">
        <f t="shared" si="1485"/>
        <v/>
      </c>
      <c r="CL99" s="227"/>
      <c r="CM99" s="227">
        <f t="shared" si="1143"/>
        <v>6500000</v>
      </c>
      <c r="CN99" s="227">
        <f t="shared" si="1144"/>
        <v>0</v>
      </c>
      <c r="CO99" s="235"/>
      <c r="CP99" s="227">
        <f t="shared" si="1145"/>
        <v>0</v>
      </c>
      <c r="CQ99" s="410"/>
      <c r="CR99" s="96"/>
      <c r="CS99" s="96"/>
      <c r="CT99" s="227">
        <f t="shared" si="1146"/>
        <v>0</v>
      </c>
      <c r="CU99" s="235">
        <f t="shared" si="1147"/>
        <v>0.4604471269</v>
      </c>
      <c r="CV99" s="236">
        <f t="shared" si="1148"/>
        <v>0</v>
      </c>
      <c r="CW99" s="237">
        <f t="shared" si="1149"/>
        <v>0</v>
      </c>
      <c r="CX99" s="230"/>
      <c r="CY99" s="232">
        <f t="shared" si="1258"/>
        <v>15</v>
      </c>
      <c r="CZ99" s="233" t="str">
        <f t="shared" ref="CZ99:DB99" si="1486">IFERROR(VLOOKUP($R99,$A$13:$D$30,-CZ$12,FALSE),"")</f>
        <v>Lainnya 2.3 (7) …….</v>
      </c>
      <c r="DA99" s="234" t="str">
        <f t="shared" si="1486"/>
        <v/>
      </c>
      <c r="DB99" s="234" t="str">
        <f t="shared" si="1486"/>
        <v/>
      </c>
      <c r="DC99" s="227"/>
      <c r="DD99" s="227">
        <f t="shared" si="1151"/>
        <v>6500000</v>
      </c>
      <c r="DE99" s="227">
        <f t="shared" si="1152"/>
        <v>0</v>
      </c>
      <c r="DF99" s="235"/>
      <c r="DG99" s="227">
        <f t="shared" si="1153"/>
        <v>0</v>
      </c>
      <c r="DH99" s="410"/>
      <c r="DI99" s="96"/>
      <c r="DJ99" s="96"/>
      <c r="DK99" s="227">
        <f t="shared" si="1154"/>
        <v>0</v>
      </c>
      <c r="DL99" s="235">
        <f t="shared" si="1155"/>
        <v>0.4604471269</v>
      </c>
      <c r="DM99" s="236">
        <f t="shared" si="1156"/>
        <v>0</v>
      </c>
      <c r="DN99" s="237">
        <f t="shared" si="1157"/>
        <v>0</v>
      </c>
      <c r="DO99" s="230"/>
      <c r="DP99" s="232">
        <f t="shared" si="1260"/>
        <v>15</v>
      </c>
      <c r="DQ99" s="233" t="str">
        <f t="shared" ref="DQ99:DS99" si="1487">IFERROR(VLOOKUP($R99,$A$13:$D$30,-DQ$12,FALSE),"")</f>
        <v>Lainnya 2.3 (7) …….</v>
      </c>
      <c r="DR99" s="234" t="str">
        <f t="shared" si="1487"/>
        <v/>
      </c>
      <c r="DS99" s="234" t="str">
        <f t="shared" si="1487"/>
        <v/>
      </c>
      <c r="DT99" s="227"/>
      <c r="DU99" s="227">
        <f t="shared" si="1159"/>
        <v>6500000</v>
      </c>
      <c r="DV99" s="227">
        <f t="shared" si="1160"/>
        <v>0</v>
      </c>
      <c r="DW99" s="235"/>
      <c r="DX99" s="227">
        <f t="shared" si="1161"/>
        <v>0</v>
      </c>
      <c r="DY99" s="410"/>
      <c r="DZ99" s="96"/>
      <c r="EA99" s="96"/>
      <c r="EB99" s="227">
        <f t="shared" si="1162"/>
        <v>0</v>
      </c>
      <c r="EC99" s="235">
        <f t="shared" si="1163"/>
        <v>0.4604471269</v>
      </c>
      <c r="ED99" s="236">
        <f t="shared" si="1164"/>
        <v>0</v>
      </c>
      <c r="EE99" s="237">
        <f t="shared" si="1165"/>
        <v>0</v>
      </c>
      <c r="EF99" s="230"/>
      <c r="EG99" s="232">
        <f t="shared" si="1262"/>
        <v>15</v>
      </c>
      <c r="EH99" s="233" t="str">
        <f t="shared" ref="EH99:EJ99" si="1488">IFERROR(VLOOKUP($R99,$A$13:$D$30,-EH$12,FALSE),"")</f>
        <v>Lainnya 2.3 (7) …….</v>
      </c>
      <c r="EI99" s="234" t="str">
        <f t="shared" si="1488"/>
        <v/>
      </c>
      <c r="EJ99" s="234" t="str">
        <f t="shared" si="1488"/>
        <v/>
      </c>
      <c r="EK99" s="227"/>
      <c r="EL99" s="227">
        <f t="shared" si="1167"/>
        <v>6500000</v>
      </c>
      <c r="EM99" s="227">
        <f t="shared" si="1168"/>
        <v>0</v>
      </c>
      <c r="EN99" s="235"/>
      <c r="EO99" s="227">
        <f t="shared" si="1169"/>
        <v>0</v>
      </c>
      <c r="EP99" s="410"/>
      <c r="EQ99" s="96"/>
      <c r="ER99" s="96"/>
      <c r="ES99" s="227">
        <f t="shared" si="1170"/>
        <v>0</v>
      </c>
      <c r="ET99" s="235">
        <f t="shared" si="1171"/>
        <v>0.4604471269</v>
      </c>
      <c r="EU99" s="236">
        <f t="shared" si="1172"/>
        <v>0</v>
      </c>
      <c r="EV99" s="237">
        <f t="shared" si="1173"/>
        <v>0</v>
      </c>
      <c r="EW99" s="230"/>
      <c r="EX99" s="232">
        <f t="shared" si="1264"/>
        <v>15</v>
      </c>
      <c r="EY99" s="233" t="str">
        <f t="shared" ref="EY99:FA99" si="1489">IFERROR(VLOOKUP($R99,$A$13:$D$30,-EY$12,FALSE),"")</f>
        <v>Lainnya 2.3 (7) …….</v>
      </c>
      <c r="EZ99" s="234" t="str">
        <f t="shared" si="1489"/>
        <v/>
      </c>
      <c r="FA99" s="234" t="str">
        <f t="shared" si="1489"/>
        <v/>
      </c>
      <c r="FB99" s="227"/>
      <c r="FC99" s="227">
        <f t="shared" si="1175"/>
        <v>6500000</v>
      </c>
      <c r="FD99" s="227">
        <f t="shared" si="1176"/>
        <v>0</v>
      </c>
      <c r="FE99" s="235"/>
      <c r="FF99" s="227">
        <f t="shared" si="1177"/>
        <v>0</v>
      </c>
      <c r="FG99" s="410"/>
      <c r="FH99" s="96"/>
      <c r="FI99" s="96"/>
      <c r="FJ99" s="227">
        <f t="shared" si="1178"/>
        <v>0</v>
      </c>
      <c r="FK99" s="235">
        <f t="shared" si="1179"/>
        <v>0.4604471269</v>
      </c>
      <c r="FL99" s="236">
        <f t="shared" si="1180"/>
        <v>0</v>
      </c>
      <c r="FM99" s="237">
        <f t="shared" si="1181"/>
        <v>0</v>
      </c>
      <c r="FN99" s="230"/>
      <c r="FO99" s="232">
        <f t="shared" si="1266"/>
        <v>15</v>
      </c>
      <c r="FP99" s="233" t="str">
        <f t="shared" ref="FP99:FR99" si="1490">IFERROR(VLOOKUP($R99,$A$13:$D$30,-FP$12,FALSE),"")</f>
        <v>Lainnya 2.3 (7) …….</v>
      </c>
      <c r="FQ99" s="234" t="str">
        <f t="shared" si="1490"/>
        <v/>
      </c>
      <c r="FR99" s="234" t="str">
        <f t="shared" si="1490"/>
        <v/>
      </c>
      <c r="FS99" s="227"/>
      <c r="FT99" s="227">
        <f t="shared" si="1183"/>
        <v>6500000</v>
      </c>
      <c r="FU99" s="227">
        <f t="shared" si="1184"/>
        <v>0</v>
      </c>
      <c r="FV99" s="235"/>
      <c r="FW99" s="227">
        <f t="shared" si="1185"/>
        <v>0</v>
      </c>
      <c r="FX99" s="410"/>
      <c r="FY99" s="96"/>
      <c r="FZ99" s="96"/>
      <c r="GA99" s="227">
        <f t="shared" si="1186"/>
        <v>0</v>
      </c>
      <c r="GB99" s="235">
        <f t="shared" si="1187"/>
        <v>0.4604471269</v>
      </c>
      <c r="GC99" s="236">
        <f t="shared" si="1188"/>
        <v>0</v>
      </c>
      <c r="GD99" s="237">
        <f t="shared" si="1189"/>
        <v>0</v>
      </c>
      <c r="GE99" s="230"/>
      <c r="GF99" s="232">
        <f t="shared" si="1268"/>
        <v>15</v>
      </c>
      <c r="GG99" s="233" t="str">
        <f t="shared" ref="GG99:GI99" si="1491">IFERROR(VLOOKUP($R99,$A$13:$D$30,-GG$12,FALSE),"")</f>
        <v>Lainnya 2.3 (7) …….</v>
      </c>
      <c r="GH99" s="234" t="str">
        <f t="shared" si="1491"/>
        <v/>
      </c>
      <c r="GI99" s="234" t="str">
        <f t="shared" si="1491"/>
        <v/>
      </c>
      <c r="GJ99" s="227"/>
      <c r="GK99" s="227" t="str">
        <f t="shared" si="1191"/>
        <v/>
      </c>
      <c r="GL99" s="227">
        <f t="shared" si="1192"/>
        <v>0</v>
      </c>
      <c r="GM99" s="235"/>
      <c r="GN99" s="227">
        <f t="shared" si="1193"/>
        <v>0</v>
      </c>
      <c r="GO99" s="410"/>
      <c r="GP99" s="96"/>
      <c r="GQ99" s="96"/>
      <c r="GR99" s="227">
        <f t="shared" si="1194"/>
        <v>0</v>
      </c>
      <c r="GS99" s="235">
        <f t="shared" si="1195"/>
        <v>0.4604471269</v>
      </c>
      <c r="GT99" s="236">
        <f t="shared" si="1196"/>
        <v>0</v>
      </c>
      <c r="GU99" s="237">
        <f t="shared" si="1197"/>
        <v>0</v>
      </c>
      <c r="GV99" s="230"/>
      <c r="GW99" s="232">
        <f t="shared" si="1270"/>
        <v>15</v>
      </c>
      <c r="GX99" s="233" t="str">
        <f t="shared" ref="GX99:GZ99" si="1492">IFERROR(VLOOKUP($R99,$A$13:$D$30,-GX$12,FALSE),"")</f>
        <v>Lainnya 2.3 (7) …….</v>
      </c>
      <c r="GY99" s="234" t="str">
        <f t="shared" si="1492"/>
        <v/>
      </c>
      <c r="GZ99" s="234" t="str">
        <f t="shared" si="1492"/>
        <v/>
      </c>
      <c r="HA99" s="227"/>
      <c r="HB99" s="227" t="str">
        <f t="shared" si="1199"/>
        <v/>
      </c>
      <c r="HC99" s="227">
        <f t="shared" si="1200"/>
        <v>0</v>
      </c>
      <c r="HD99" s="235"/>
      <c r="HE99" s="227">
        <f t="shared" si="1201"/>
        <v>0</v>
      </c>
      <c r="HF99" s="410"/>
      <c r="HG99" s="96"/>
      <c r="HH99" s="96"/>
      <c r="HI99" s="227">
        <f t="shared" si="1202"/>
        <v>0</v>
      </c>
      <c r="HJ99" s="235">
        <f t="shared" si="1203"/>
        <v>0.4604471269</v>
      </c>
      <c r="HK99" s="236">
        <f t="shared" si="1204"/>
        <v>0</v>
      </c>
      <c r="HL99" s="237">
        <f t="shared" si="1205"/>
        <v>0</v>
      </c>
      <c r="HM99" s="230"/>
      <c r="HN99" s="232">
        <f t="shared" si="1272"/>
        <v>15</v>
      </c>
      <c r="HO99" s="233" t="str">
        <f t="shared" ref="HO99:HQ99" si="1493">IFERROR(VLOOKUP($R99,$A$13:$D$30,-HO$12,FALSE),"")</f>
        <v>Lainnya 2.3 (7) …….</v>
      </c>
      <c r="HP99" s="234" t="str">
        <f t="shared" si="1493"/>
        <v/>
      </c>
      <c r="HQ99" s="234" t="str">
        <f t="shared" si="1493"/>
        <v/>
      </c>
      <c r="HR99" s="227"/>
      <c r="HS99" s="227" t="str">
        <f t="shared" si="1207"/>
        <v/>
      </c>
      <c r="HT99" s="227">
        <f t="shared" si="1208"/>
        <v>0</v>
      </c>
      <c r="HU99" s="235"/>
      <c r="HV99" s="227">
        <f t="shared" si="1209"/>
        <v>0</v>
      </c>
      <c r="HW99" s="410"/>
      <c r="HX99" s="96"/>
      <c r="HY99" s="96"/>
      <c r="HZ99" s="227">
        <f t="shared" si="1210"/>
        <v>0</v>
      </c>
      <c r="IA99" s="235">
        <f t="shared" si="1211"/>
        <v>0.4604471269</v>
      </c>
      <c r="IB99" s="236">
        <f t="shared" si="1212"/>
        <v>0</v>
      </c>
      <c r="IC99" s="237">
        <f t="shared" si="1213"/>
        <v>0</v>
      </c>
      <c r="ID99" s="230"/>
      <c r="IE99" s="232">
        <f t="shared" si="1274"/>
        <v>15</v>
      </c>
      <c r="IF99" s="233" t="str">
        <f t="shared" ref="IF99:IH99" si="1494">IFERROR(VLOOKUP($R99,$A$13:$D$30,-IF$12,FALSE),"")</f>
        <v>Lainnya 2.3 (7) …….</v>
      </c>
      <c r="IG99" s="234" t="str">
        <f t="shared" si="1494"/>
        <v/>
      </c>
      <c r="IH99" s="234" t="str">
        <f t="shared" si="1494"/>
        <v/>
      </c>
      <c r="II99" s="227"/>
      <c r="IJ99" s="227" t="str">
        <f t="shared" si="1215"/>
        <v/>
      </c>
      <c r="IK99" s="227">
        <f t="shared" si="1216"/>
        <v>0</v>
      </c>
      <c r="IL99" s="235"/>
      <c r="IM99" s="227">
        <f t="shared" si="1217"/>
        <v>0</v>
      </c>
      <c r="IN99" s="410"/>
      <c r="IO99" s="96"/>
      <c r="IP99" s="96"/>
      <c r="IQ99" s="227">
        <f t="shared" si="1218"/>
        <v>0</v>
      </c>
      <c r="IR99" s="235">
        <f t="shared" si="1219"/>
        <v>0.4604471269</v>
      </c>
      <c r="IS99" s="236">
        <f t="shared" si="1220"/>
        <v>0</v>
      </c>
      <c r="IT99" s="237">
        <f t="shared" si="1221"/>
        <v>0</v>
      </c>
      <c r="IU99" s="230"/>
      <c r="IV99" s="232">
        <f t="shared" si="1276"/>
        <v>15</v>
      </c>
      <c r="IW99" s="233" t="str">
        <f t="shared" ref="IW99:IY99" si="1495">IFERROR(VLOOKUP($R99,$A$13:$D$30,-IW$12,FALSE),"")</f>
        <v>Lainnya 2.3 (7) …….</v>
      </c>
      <c r="IX99" s="234" t="str">
        <f t="shared" si="1495"/>
        <v/>
      </c>
      <c r="IY99" s="234" t="str">
        <f t="shared" si="1495"/>
        <v/>
      </c>
      <c r="IZ99" s="227"/>
      <c r="JA99" s="227" t="str">
        <f t="shared" si="1223"/>
        <v/>
      </c>
      <c r="JB99" s="227">
        <f t="shared" si="1224"/>
        <v>0</v>
      </c>
      <c r="JC99" s="235"/>
      <c r="JD99" s="227">
        <f t="shared" si="1225"/>
        <v>0</v>
      </c>
      <c r="JE99" s="410"/>
      <c r="JF99" s="96"/>
      <c r="JG99" s="96"/>
      <c r="JH99" s="227">
        <f t="shared" si="1226"/>
        <v>0</v>
      </c>
      <c r="JI99" s="235">
        <f t="shared" si="1227"/>
        <v>0.4604471269</v>
      </c>
      <c r="JJ99" s="236">
        <f t="shared" si="1228"/>
        <v>0</v>
      </c>
      <c r="JK99" s="237">
        <f t="shared" si="1229"/>
        <v>0</v>
      </c>
      <c r="JL99" s="230"/>
      <c r="JM99" s="232">
        <f t="shared" si="1278"/>
        <v>15</v>
      </c>
      <c r="JN99" s="233" t="str">
        <f t="shared" ref="JN99:JP99" si="1496">IFERROR(VLOOKUP($R99,$A$13:$D$30,-JN$12,FALSE),"")</f>
        <v>Lainnya 2.3 (7) …….</v>
      </c>
      <c r="JO99" s="234" t="str">
        <f t="shared" si="1496"/>
        <v/>
      </c>
      <c r="JP99" s="234" t="str">
        <f t="shared" si="1496"/>
        <v/>
      </c>
      <c r="JQ99" s="227"/>
      <c r="JR99" s="227" t="str">
        <f t="shared" si="1231"/>
        <v/>
      </c>
      <c r="JS99" s="227">
        <f t="shared" si="1232"/>
        <v>0</v>
      </c>
      <c r="JT99" s="235"/>
      <c r="JU99" s="227">
        <f t="shared" si="1233"/>
        <v>0</v>
      </c>
      <c r="JV99" s="410"/>
      <c r="JW99" s="96"/>
      <c r="JX99" s="96"/>
      <c r="JY99" s="227">
        <f t="shared" si="1234"/>
        <v>0</v>
      </c>
      <c r="JZ99" s="235">
        <f t="shared" si="1235"/>
        <v>0.4604471269</v>
      </c>
      <c r="KA99" s="236">
        <f t="shared" si="1236"/>
        <v>0</v>
      </c>
      <c r="KB99" s="237">
        <f t="shared" si="1237"/>
        <v>0</v>
      </c>
      <c r="KC99" s="230"/>
      <c r="KD99" s="232">
        <f t="shared" si="1280"/>
        <v>15</v>
      </c>
      <c r="KE99" s="233" t="str">
        <f t="shared" ref="KE99:KG99" si="1497">IFERROR(VLOOKUP($R99,$A$13:$D$30,-KE$12,FALSE),"")</f>
        <v>Lainnya 2.3 (7) …….</v>
      </c>
      <c r="KF99" s="234" t="str">
        <f t="shared" si="1497"/>
        <v/>
      </c>
      <c r="KG99" s="234" t="str">
        <f t="shared" si="1497"/>
        <v/>
      </c>
      <c r="KH99" s="227"/>
      <c r="KI99" s="227" t="str">
        <f t="shared" si="1239"/>
        <v/>
      </c>
      <c r="KJ99" s="227">
        <f t="shared" si="1240"/>
        <v>0</v>
      </c>
      <c r="KK99" s="235"/>
      <c r="KL99" s="227">
        <f t="shared" si="1241"/>
        <v>0</v>
      </c>
      <c r="KM99" s="410"/>
      <c r="KN99" s="96"/>
      <c r="KO99" s="96"/>
      <c r="KP99" s="227">
        <f t="shared" si="1242"/>
        <v>0</v>
      </c>
      <c r="KQ99" s="235">
        <f t="shared" si="1243"/>
        <v>0.4604471269</v>
      </c>
      <c r="KR99" s="236">
        <f t="shared" si="1244"/>
        <v>0</v>
      </c>
      <c r="KS99" s="237">
        <f t="shared" si="1245"/>
        <v>0</v>
      </c>
      <c r="KT99" s="230"/>
      <c r="KU99" s="231"/>
    </row>
    <row r="100" ht="15.75" customHeight="1">
      <c r="A100" s="232">
        <f t="shared" si="1246"/>
        <v>16</v>
      </c>
      <c r="B100" s="233" t="str">
        <f t="shared" ref="B100:D100" si="1498">IFERROR(VLOOKUP($A100,$A$13:$D$30,-B$12,FALSE),"")</f>
        <v>Lainnya 2.3 (8) …….</v>
      </c>
      <c r="C100" s="234" t="str">
        <f t="shared" si="1498"/>
        <v/>
      </c>
      <c r="D100" s="234" t="str">
        <f t="shared" si="1498"/>
        <v/>
      </c>
      <c r="E100" s="227"/>
      <c r="F100" s="227" t="str">
        <f t="shared" si="1103"/>
        <v/>
      </c>
      <c r="G100" s="227">
        <f t="shared" si="1104"/>
        <v>0</v>
      </c>
      <c r="H100" s="235"/>
      <c r="I100" s="227">
        <f t="shared" si="1105"/>
        <v>0</v>
      </c>
      <c r="J100" s="410"/>
      <c r="K100" s="96"/>
      <c r="L100" s="96"/>
      <c r="M100" s="227">
        <f t="shared" si="1106"/>
        <v>0</v>
      </c>
      <c r="N100" s="235"/>
      <c r="O100" s="236">
        <f t="shared" si="1108"/>
        <v>0</v>
      </c>
      <c r="P100" s="237">
        <f t="shared" si="1109"/>
        <v>0</v>
      </c>
      <c r="Q100" s="230"/>
      <c r="R100" s="232">
        <f t="shared" si="1248"/>
        <v>16</v>
      </c>
      <c r="S100" s="233" t="str">
        <f t="shared" ref="S100:U100" si="1499">IFERROR(VLOOKUP($R100,$A$13:$D$30,-S$12,FALSE),"")</f>
        <v>Lainnya 2.3 (8) …….</v>
      </c>
      <c r="T100" s="234" t="str">
        <f t="shared" si="1499"/>
        <v/>
      </c>
      <c r="U100" s="234" t="str">
        <f t="shared" si="1499"/>
        <v/>
      </c>
      <c r="V100" s="227"/>
      <c r="W100" s="227" t="str">
        <f t="shared" si="1111"/>
        <v/>
      </c>
      <c r="X100" s="227">
        <f t="shared" si="1112"/>
        <v>0</v>
      </c>
      <c r="Y100" s="235"/>
      <c r="Z100" s="227">
        <f t="shared" si="1113"/>
        <v>0</v>
      </c>
      <c r="AA100" s="410"/>
      <c r="AB100" s="96"/>
      <c r="AC100" s="96"/>
      <c r="AD100" s="227">
        <f t="shared" si="1114"/>
        <v>0</v>
      </c>
      <c r="AE100" s="235" t="str">
        <f t="shared" si="1115"/>
        <v/>
      </c>
      <c r="AF100" s="236">
        <f t="shared" si="1116"/>
        <v>0</v>
      </c>
      <c r="AG100" s="237">
        <f t="shared" si="1117"/>
        <v>0</v>
      </c>
      <c r="AH100" s="230"/>
      <c r="AI100" s="232">
        <f t="shared" si="1250"/>
        <v>16</v>
      </c>
      <c r="AJ100" s="233" t="str">
        <f t="shared" ref="AJ100:AL100" si="1500">IFERROR(VLOOKUP($R100,$A$13:$D$30,-AJ$12,FALSE),"")</f>
        <v>Lainnya 2.3 (8) …….</v>
      </c>
      <c r="AK100" s="234" t="str">
        <f t="shared" si="1500"/>
        <v/>
      </c>
      <c r="AL100" s="234" t="str">
        <f t="shared" si="1500"/>
        <v/>
      </c>
      <c r="AM100" s="227"/>
      <c r="AN100" s="227" t="str">
        <f t="shared" si="1119"/>
        <v/>
      </c>
      <c r="AO100" s="227">
        <f t="shared" si="1120"/>
        <v>0</v>
      </c>
      <c r="AP100" s="235"/>
      <c r="AQ100" s="227">
        <f t="shared" si="1121"/>
        <v>0</v>
      </c>
      <c r="AR100" s="410"/>
      <c r="AS100" s="96"/>
      <c r="AT100" s="96"/>
      <c r="AU100" s="227">
        <f t="shared" si="1122"/>
        <v>0</v>
      </c>
      <c r="AV100" s="235" t="str">
        <f t="shared" si="1123"/>
        <v/>
      </c>
      <c r="AW100" s="236">
        <f t="shared" si="1124"/>
        <v>0</v>
      </c>
      <c r="AX100" s="237">
        <f t="shared" si="1125"/>
        <v>0</v>
      </c>
      <c r="AY100" s="230"/>
      <c r="AZ100" s="232">
        <f t="shared" si="1252"/>
        <v>16</v>
      </c>
      <c r="BA100" s="233" t="str">
        <f t="shared" ref="BA100:BC100" si="1501">IFERROR(VLOOKUP($R100,$A$13:$D$30,-BA$12,FALSE),"")</f>
        <v>Lainnya 2.3 (8) …….</v>
      </c>
      <c r="BB100" s="234" t="str">
        <f t="shared" si="1501"/>
        <v/>
      </c>
      <c r="BC100" s="234" t="str">
        <f t="shared" si="1501"/>
        <v/>
      </c>
      <c r="BD100" s="227"/>
      <c r="BE100" s="227" t="str">
        <f t="shared" si="1127"/>
        <v/>
      </c>
      <c r="BF100" s="227">
        <f t="shared" si="1128"/>
        <v>0</v>
      </c>
      <c r="BG100" s="235"/>
      <c r="BH100" s="227">
        <f t="shared" si="1129"/>
        <v>0</v>
      </c>
      <c r="BI100" s="410"/>
      <c r="BJ100" s="96"/>
      <c r="BK100" s="96"/>
      <c r="BL100" s="227">
        <f t="shared" si="1130"/>
        <v>0</v>
      </c>
      <c r="BM100" s="235" t="str">
        <f t="shared" si="1131"/>
        <v/>
      </c>
      <c r="BN100" s="236">
        <f t="shared" si="1132"/>
        <v>0</v>
      </c>
      <c r="BO100" s="237">
        <f t="shared" si="1133"/>
        <v>0</v>
      </c>
      <c r="BP100" s="230"/>
      <c r="BQ100" s="232">
        <f t="shared" si="1254"/>
        <v>16</v>
      </c>
      <c r="BR100" s="233" t="str">
        <f t="shared" ref="BR100:BT100" si="1502">IFERROR(VLOOKUP($R100,$A$13:$D$30,-BR$12,FALSE),"")</f>
        <v>Lainnya 2.3 (8) …….</v>
      </c>
      <c r="BS100" s="234" t="str">
        <f t="shared" si="1502"/>
        <v/>
      </c>
      <c r="BT100" s="234" t="str">
        <f t="shared" si="1502"/>
        <v/>
      </c>
      <c r="BU100" s="227"/>
      <c r="BV100" s="227" t="str">
        <f t="shared" si="1135"/>
        <v/>
      </c>
      <c r="BW100" s="227">
        <f t="shared" si="1136"/>
        <v>0</v>
      </c>
      <c r="BX100" s="235"/>
      <c r="BY100" s="227">
        <f t="shared" si="1137"/>
        <v>0</v>
      </c>
      <c r="BZ100" s="410"/>
      <c r="CA100" s="96"/>
      <c r="CB100" s="96"/>
      <c r="CC100" s="227">
        <f t="shared" si="1138"/>
        <v>0</v>
      </c>
      <c r="CD100" s="235" t="str">
        <f t="shared" si="1139"/>
        <v/>
      </c>
      <c r="CE100" s="236">
        <f t="shared" si="1140"/>
        <v>0</v>
      </c>
      <c r="CF100" s="237">
        <f t="shared" si="1141"/>
        <v>0</v>
      </c>
      <c r="CG100" s="230"/>
      <c r="CH100" s="232">
        <f t="shared" si="1256"/>
        <v>16</v>
      </c>
      <c r="CI100" s="233" t="str">
        <f t="shared" ref="CI100:CK100" si="1503">IFERROR(VLOOKUP($R100,$A$13:$D$30,-CI$12,FALSE),"")</f>
        <v>Lainnya 2.3 (8) …….</v>
      </c>
      <c r="CJ100" s="234" t="str">
        <f t="shared" si="1503"/>
        <v/>
      </c>
      <c r="CK100" s="234" t="str">
        <f t="shared" si="1503"/>
        <v/>
      </c>
      <c r="CL100" s="227"/>
      <c r="CM100" s="227" t="str">
        <f t="shared" si="1143"/>
        <v/>
      </c>
      <c r="CN100" s="227">
        <f t="shared" si="1144"/>
        <v>0</v>
      </c>
      <c r="CO100" s="235"/>
      <c r="CP100" s="227">
        <f t="shared" si="1145"/>
        <v>0</v>
      </c>
      <c r="CQ100" s="410"/>
      <c r="CR100" s="96"/>
      <c r="CS100" s="96"/>
      <c r="CT100" s="227">
        <f t="shared" si="1146"/>
        <v>0</v>
      </c>
      <c r="CU100" s="235" t="str">
        <f t="shared" si="1147"/>
        <v/>
      </c>
      <c r="CV100" s="236">
        <f t="shared" si="1148"/>
        <v>0</v>
      </c>
      <c r="CW100" s="237">
        <f t="shared" si="1149"/>
        <v>0</v>
      </c>
      <c r="CX100" s="230"/>
      <c r="CY100" s="232">
        <f t="shared" si="1258"/>
        <v>16</v>
      </c>
      <c r="CZ100" s="233" t="str">
        <f t="shared" ref="CZ100:DB100" si="1504">IFERROR(VLOOKUP($R100,$A$13:$D$30,-CZ$12,FALSE),"")</f>
        <v>Lainnya 2.3 (8) …….</v>
      </c>
      <c r="DA100" s="234" t="str">
        <f t="shared" si="1504"/>
        <v/>
      </c>
      <c r="DB100" s="234" t="str">
        <f t="shared" si="1504"/>
        <v/>
      </c>
      <c r="DC100" s="227"/>
      <c r="DD100" s="227" t="str">
        <f t="shared" si="1151"/>
        <v/>
      </c>
      <c r="DE100" s="227">
        <f t="shared" si="1152"/>
        <v>0</v>
      </c>
      <c r="DF100" s="235"/>
      <c r="DG100" s="227">
        <f t="shared" si="1153"/>
        <v>0</v>
      </c>
      <c r="DH100" s="410"/>
      <c r="DI100" s="96"/>
      <c r="DJ100" s="96"/>
      <c r="DK100" s="227">
        <f t="shared" si="1154"/>
        <v>0</v>
      </c>
      <c r="DL100" s="235" t="str">
        <f t="shared" si="1155"/>
        <v/>
      </c>
      <c r="DM100" s="236">
        <f t="shared" si="1156"/>
        <v>0</v>
      </c>
      <c r="DN100" s="237">
        <f t="shared" si="1157"/>
        <v>0</v>
      </c>
      <c r="DO100" s="230"/>
      <c r="DP100" s="232">
        <f t="shared" si="1260"/>
        <v>16</v>
      </c>
      <c r="DQ100" s="233" t="str">
        <f t="shared" ref="DQ100:DS100" si="1505">IFERROR(VLOOKUP($R100,$A$13:$D$30,-DQ$12,FALSE),"")</f>
        <v>Lainnya 2.3 (8) …….</v>
      </c>
      <c r="DR100" s="234" t="str">
        <f t="shared" si="1505"/>
        <v/>
      </c>
      <c r="DS100" s="234" t="str">
        <f t="shared" si="1505"/>
        <v/>
      </c>
      <c r="DT100" s="227"/>
      <c r="DU100" s="227" t="str">
        <f t="shared" si="1159"/>
        <v/>
      </c>
      <c r="DV100" s="227">
        <f t="shared" si="1160"/>
        <v>0</v>
      </c>
      <c r="DW100" s="235"/>
      <c r="DX100" s="227">
        <f t="shared" si="1161"/>
        <v>0</v>
      </c>
      <c r="DY100" s="410"/>
      <c r="DZ100" s="96"/>
      <c r="EA100" s="96"/>
      <c r="EB100" s="227">
        <f t="shared" si="1162"/>
        <v>0</v>
      </c>
      <c r="EC100" s="235" t="str">
        <f t="shared" si="1163"/>
        <v/>
      </c>
      <c r="ED100" s="236">
        <f t="shared" si="1164"/>
        <v>0</v>
      </c>
      <c r="EE100" s="237">
        <f t="shared" si="1165"/>
        <v>0</v>
      </c>
      <c r="EF100" s="230"/>
      <c r="EG100" s="232">
        <f t="shared" si="1262"/>
        <v>16</v>
      </c>
      <c r="EH100" s="233" t="str">
        <f t="shared" ref="EH100:EJ100" si="1506">IFERROR(VLOOKUP($R100,$A$13:$D$30,-EH$12,FALSE),"")</f>
        <v>Lainnya 2.3 (8) …….</v>
      </c>
      <c r="EI100" s="234" t="str">
        <f t="shared" si="1506"/>
        <v/>
      </c>
      <c r="EJ100" s="234" t="str">
        <f t="shared" si="1506"/>
        <v/>
      </c>
      <c r="EK100" s="227"/>
      <c r="EL100" s="227" t="str">
        <f t="shared" si="1167"/>
        <v/>
      </c>
      <c r="EM100" s="227">
        <f t="shared" si="1168"/>
        <v>0</v>
      </c>
      <c r="EN100" s="235"/>
      <c r="EO100" s="227">
        <f t="shared" si="1169"/>
        <v>0</v>
      </c>
      <c r="EP100" s="410"/>
      <c r="EQ100" s="96"/>
      <c r="ER100" s="96"/>
      <c r="ES100" s="227">
        <f t="shared" si="1170"/>
        <v>0</v>
      </c>
      <c r="ET100" s="235" t="str">
        <f t="shared" si="1171"/>
        <v/>
      </c>
      <c r="EU100" s="236">
        <f t="shared" si="1172"/>
        <v>0</v>
      </c>
      <c r="EV100" s="237">
        <f t="shared" si="1173"/>
        <v>0</v>
      </c>
      <c r="EW100" s="230"/>
      <c r="EX100" s="232">
        <f t="shared" si="1264"/>
        <v>16</v>
      </c>
      <c r="EY100" s="233" t="str">
        <f t="shared" ref="EY100:FA100" si="1507">IFERROR(VLOOKUP($R100,$A$13:$D$30,-EY$12,FALSE),"")</f>
        <v>Lainnya 2.3 (8) …….</v>
      </c>
      <c r="EZ100" s="234" t="str">
        <f t="shared" si="1507"/>
        <v/>
      </c>
      <c r="FA100" s="234" t="str">
        <f t="shared" si="1507"/>
        <v/>
      </c>
      <c r="FB100" s="227"/>
      <c r="FC100" s="227" t="str">
        <f t="shared" si="1175"/>
        <v/>
      </c>
      <c r="FD100" s="227">
        <f t="shared" si="1176"/>
        <v>0</v>
      </c>
      <c r="FE100" s="235"/>
      <c r="FF100" s="227">
        <f t="shared" si="1177"/>
        <v>0</v>
      </c>
      <c r="FG100" s="410"/>
      <c r="FH100" s="96"/>
      <c r="FI100" s="96"/>
      <c r="FJ100" s="227">
        <f t="shared" si="1178"/>
        <v>0</v>
      </c>
      <c r="FK100" s="235" t="str">
        <f t="shared" si="1179"/>
        <v/>
      </c>
      <c r="FL100" s="236">
        <f t="shared" si="1180"/>
        <v>0</v>
      </c>
      <c r="FM100" s="237">
        <f t="shared" si="1181"/>
        <v>0</v>
      </c>
      <c r="FN100" s="230"/>
      <c r="FO100" s="232">
        <f t="shared" si="1266"/>
        <v>16</v>
      </c>
      <c r="FP100" s="233" t="str">
        <f t="shared" ref="FP100:FR100" si="1508">IFERROR(VLOOKUP($R100,$A$13:$D$30,-FP$12,FALSE),"")</f>
        <v>Lainnya 2.3 (8) …….</v>
      </c>
      <c r="FQ100" s="234" t="str">
        <f t="shared" si="1508"/>
        <v/>
      </c>
      <c r="FR100" s="234" t="str">
        <f t="shared" si="1508"/>
        <v/>
      </c>
      <c r="FS100" s="227"/>
      <c r="FT100" s="227" t="str">
        <f t="shared" si="1183"/>
        <v/>
      </c>
      <c r="FU100" s="227">
        <f t="shared" si="1184"/>
        <v>0</v>
      </c>
      <c r="FV100" s="235"/>
      <c r="FW100" s="227">
        <f t="shared" si="1185"/>
        <v>0</v>
      </c>
      <c r="FX100" s="410"/>
      <c r="FY100" s="96"/>
      <c r="FZ100" s="96"/>
      <c r="GA100" s="227">
        <f t="shared" si="1186"/>
        <v>0</v>
      </c>
      <c r="GB100" s="235" t="str">
        <f t="shared" si="1187"/>
        <v/>
      </c>
      <c r="GC100" s="236">
        <f t="shared" si="1188"/>
        <v>0</v>
      </c>
      <c r="GD100" s="237">
        <f t="shared" si="1189"/>
        <v>0</v>
      </c>
      <c r="GE100" s="230"/>
      <c r="GF100" s="232">
        <f t="shared" si="1268"/>
        <v>16</v>
      </c>
      <c r="GG100" s="233" t="str">
        <f t="shared" ref="GG100:GI100" si="1509">IFERROR(VLOOKUP($R100,$A$13:$D$30,-GG$12,FALSE),"")</f>
        <v>Lainnya 2.3 (8) …….</v>
      </c>
      <c r="GH100" s="234" t="str">
        <f t="shared" si="1509"/>
        <v/>
      </c>
      <c r="GI100" s="234" t="str">
        <f t="shared" si="1509"/>
        <v/>
      </c>
      <c r="GJ100" s="227"/>
      <c r="GK100" s="227" t="str">
        <f t="shared" si="1191"/>
        <v/>
      </c>
      <c r="GL100" s="227">
        <f t="shared" si="1192"/>
        <v>0</v>
      </c>
      <c r="GM100" s="235"/>
      <c r="GN100" s="227">
        <f t="shared" si="1193"/>
        <v>0</v>
      </c>
      <c r="GO100" s="410"/>
      <c r="GP100" s="96"/>
      <c r="GQ100" s="96"/>
      <c r="GR100" s="227">
        <f t="shared" si="1194"/>
        <v>0</v>
      </c>
      <c r="GS100" s="235" t="str">
        <f t="shared" si="1195"/>
        <v/>
      </c>
      <c r="GT100" s="236">
        <f t="shared" si="1196"/>
        <v>0</v>
      </c>
      <c r="GU100" s="237">
        <f t="shared" si="1197"/>
        <v>0</v>
      </c>
      <c r="GV100" s="230"/>
      <c r="GW100" s="232">
        <f t="shared" si="1270"/>
        <v>16</v>
      </c>
      <c r="GX100" s="233" t="str">
        <f t="shared" ref="GX100:GZ100" si="1510">IFERROR(VLOOKUP($R100,$A$13:$D$30,-GX$12,FALSE),"")</f>
        <v>Lainnya 2.3 (8) …….</v>
      </c>
      <c r="GY100" s="234" t="str">
        <f t="shared" si="1510"/>
        <v/>
      </c>
      <c r="GZ100" s="234" t="str">
        <f t="shared" si="1510"/>
        <v/>
      </c>
      <c r="HA100" s="227"/>
      <c r="HB100" s="227" t="str">
        <f t="shared" si="1199"/>
        <v/>
      </c>
      <c r="HC100" s="227">
        <f t="shared" si="1200"/>
        <v>0</v>
      </c>
      <c r="HD100" s="235"/>
      <c r="HE100" s="227">
        <f t="shared" si="1201"/>
        <v>0</v>
      </c>
      <c r="HF100" s="410"/>
      <c r="HG100" s="96"/>
      <c r="HH100" s="96"/>
      <c r="HI100" s="227">
        <f t="shared" si="1202"/>
        <v>0</v>
      </c>
      <c r="HJ100" s="235" t="str">
        <f t="shared" si="1203"/>
        <v/>
      </c>
      <c r="HK100" s="236">
        <f t="shared" si="1204"/>
        <v>0</v>
      </c>
      <c r="HL100" s="237">
        <f t="shared" si="1205"/>
        <v>0</v>
      </c>
      <c r="HM100" s="230"/>
      <c r="HN100" s="232">
        <f t="shared" si="1272"/>
        <v>16</v>
      </c>
      <c r="HO100" s="233" t="str">
        <f t="shared" ref="HO100:HQ100" si="1511">IFERROR(VLOOKUP($R100,$A$13:$D$30,-HO$12,FALSE),"")</f>
        <v>Lainnya 2.3 (8) …….</v>
      </c>
      <c r="HP100" s="234" t="str">
        <f t="shared" si="1511"/>
        <v/>
      </c>
      <c r="HQ100" s="234" t="str">
        <f t="shared" si="1511"/>
        <v/>
      </c>
      <c r="HR100" s="227"/>
      <c r="HS100" s="227" t="str">
        <f t="shared" si="1207"/>
        <v/>
      </c>
      <c r="HT100" s="227">
        <f t="shared" si="1208"/>
        <v>0</v>
      </c>
      <c r="HU100" s="235"/>
      <c r="HV100" s="227">
        <f t="shared" si="1209"/>
        <v>0</v>
      </c>
      <c r="HW100" s="410"/>
      <c r="HX100" s="96"/>
      <c r="HY100" s="96"/>
      <c r="HZ100" s="227">
        <f t="shared" si="1210"/>
        <v>0</v>
      </c>
      <c r="IA100" s="235" t="str">
        <f t="shared" si="1211"/>
        <v/>
      </c>
      <c r="IB100" s="236">
        <f t="shared" si="1212"/>
        <v>0</v>
      </c>
      <c r="IC100" s="237">
        <f t="shared" si="1213"/>
        <v>0</v>
      </c>
      <c r="ID100" s="230"/>
      <c r="IE100" s="232">
        <f t="shared" si="1274"/>
        <v>16</v>
      </c>
      <c r="IF100" s="233" t="str">
        <f t="shared" ref="IF100:IH100" si="1512">IFERROR(VLOOKUP($R100,$A$13:$D$30,-IF$12,FALSE),"")</f>
        <v>Lainnya 2.3 (8) …….</v>
      </c>
      <c r="IG100" s="234" t="str">
        <f t="shared" si="1512"/>
        <v/>
      </c>
      <c r="IH100" s="234" t="str">
        <f t="shared" si="1512"/>
        <v/>
      </c>
      <c r="II100" s="227"/>
      <c r="IJ100" s="227" t="str">
        <f t="shared" si="1215"/>
        <v/>
      </c>
      <c r="IK100" s="227">
        <f t="shared" si="1216"/>
        <v>0</v>
      </c>
      <c r="IL100" s="235"/>
      <c r="IM100" s="227">
        <f t="shared" si="1217"/>
        <v>0</v>
      </c>
      <c r="IN100" s="410"/>
      <c r="IO100" s="96"/>
      <c r="IP100" s="96"/>
      <c r="IQ100" s="227">
        <f t="shared" si="1218"/>
        <v>0</v>
      </c>
      <c r="IR100" s="235" t="str">
        <f t="shared" si="1219"/>
        <v/>
      </c>
      <c r="IS100" s="236">
        <f t="shared" si="1220"/>
        <v>0</v>
      </c>
      <c r="IT100" s="237">
        <f t="shared" si="1221"/>
        <v>0</v>
      </c>
      <c r="IU100" s="230"/>
      <c r="IV100" s="232">
        <f t="shared" si="1276"/>
        <v>16</v>
      </c>
      <c r="IW100" s="233" t="str">
        <f t="shared" ref="IW100:IY100" si="1513">IFERROR(VLOOKUP($R100,$A$13:$D$30,-IW$12,FALSE),"")</f>
        <v>Lainnya 2.3 (8) …….</v>
      </c>
      <c r="IX100" s="234" t="str">
        <f t="shared" si="1513"/>
        <v/>
      </c>
      <c r="IY100" s="234" t="str">
        <f t="shared" si="1513"/>
        <v/>
      </c>
      <c r="IZ100" s="227"/>
      <c r="JA100" s="227" t="str">
        <f t="shared" si="1223"/>
        <v/>
      </c>
      <c r="JB100" s="227">
        <f t="shared" si="1224"/>
        <v>0</v>
      </c>
      <c r="JC100" s="235"/>
      <c r="JD100" s="227">
        <f t="shared" si="1225"/>
        <v>0</v>
      </c>
      <c r="JE100" s="410"/>
      <c r="JF100" s="96"/>
      <c r="JG100" s="96"/>
      <c r="JH100" s="227">
        <f t="shared" si="1226"/>
        <v>0</v>
      </c>
      <c r="JI100" s="235" t="str">
        <f t="shared" si="1227"/>
        <v/>
      </c>
      <c r="JJ100" s="236">
        <f t="shared" si="1228"/>
        <v>0</v>
      </c>
      <c r="JK100" s="237">
        <f t="shared" si="1229"/>
        <v>0</v>
      </c>
      <c r="JL100" s="230"/>
      <c r="JM100" s="232">
        <f t="shared" si="1278"/>
        <v>16</v>
      </c>
      <c r="JN100" s="233" t="str">
        <f t="shared" ref="JN100:JP100" si="1514">IFERROR(VLOOKUP($R100,$A$13:$D$30,-JN$12,FALSE),"")</f>
        <v>Lainnya 2.3 (8) …….</v>
      </c>
      <c r="JO100" s="234" t="str">
        <f t="shared" si="1514"/>
        <v/>
      </c>
      <c r="JP100" s="234" t="str">
        <f t="shared" si="1514"/>
        <v/>
      </c>
      <c r="JQ100" s="227"/>
      <c r="JR100" s="227" t="str">
        <f t="shared" si="1231"/>
        <v/>
      </c>
      <c r="JS100" s="227">
        <f t="shared" si="1232"/>
        <v>0</v>
      </c>
      <c r="JT100" s="235"/>
      <c r="JU100" s="227">
        <f t="shared" si="1233"/>
        <v>0</v>
      </c>
      <c r="JV100" s="410"/>
      <c r="JW100" s="96"/>
      <c r="JX100" s="96"/>
      <c r="JY100" s="227">
        <f t="shared" si="1234"/>
        <v>0</v>
      </c>
      <c r="JZ100" s="235" t="str">
        <f t="shared" si="1235"/>
        <v/>
      </c>
      <c r="KA100" s="236">
        <f t="shared" si="1236"/>
        <v>0</v>
      </c>
      <c r="KB100" s="237">
        <f t="shared" si="1237"/>
        <v>0</v>
      </c>
      <c r="KC100" s="230"/>
      <c r="KD100" s="232">
        <f t="shared" si="1280"/>
        <v>16</v>
      </c>
      <c r="KE100" s="233" t="str">
        <f t="shared" ref="KE100:KG100" si="1515">IFERROR(VLOOKUP($R100,$A$13:$D$30,-KE$12,FALSE),"")</f>
        <v>Lainnya 2.3 (8) …….</v>
      </c>
      <c r="KF100" s="234" t="str">
        <f t="shared" si="1515"/>
        <v/>
      </c>
      <c r="KG100" s="234" t="str">
        <f t="shared" si="1515"/>
        <v/>
      </c>
      <c r="KH100" s="227"/>
      <c r="KI100" s="227" t="str">
        <f t="shared" si="1239"/>
        <v/>
      </c>
      <c r="KJ100" s="227">
        <f t="shared" si="1240"/>
        <v>0</v>
      </c>
      <c r="KK100" s="235"/>
      <c r="KL100" s="227">
        <f t="shared" si="1241"/>
        <v>0</v>
      </c>
      <c r="KM100" s="410"/>
      <c r="KN100" s="96"/>
      <c r="KO100" s="96"/>
      <c r="KP100" s="227">
        <f t="shared" si="1242"/>
        <v>0</v>
      </c>
      <c r="KQ100" s="235" t="str">
        <f t="shared" si="1243"/>
        <v/>
      </c>
      <c r="KR100" s="236">
        <f t="shared" si="1244"/>
        <v>0</v>
      </c>
      <c r="KS100" s="237">
        <f t="shared" si="1245"/>
        <v>0</v>
      </c>
      <c r="KT100" s="230"/>
      <c r="KU100" s="231"/>
    </row>
    <row r="101" ht="15.75" customHeight="1">
      <c r="A101" s="232">
        <f t="shared" si="1246"/>
        <v>17</v>
      </c>
      <c r="B101" s="233" t="str">
        <f t="shared" ref="B101:D101" si="1516">IFERROR(VLOOKUP($A101,$A$13:$D$30,-B$12,FALSE),"")</f>
        <v>Lainnya 2.3 (9) …….</v>
      </c>
      <c r="C101" s="234" t="str">
        <f t="shared" si="1516"/>
        <v/>
      </c>
      <c r="D101" s="234" t="str">
        <f t="shared" si="1516"/>
        <v/>
      </c>
      <c r="E101" s="227"/>
      <c r="F101" s="227" t="str">
        <f t="shared" si="1103"/>
        <v/>
      </c>
      <c r="G101" s="227">
        <f t="shared" si="1104"/>
        <v>0</v>
      </c>
      <c r="H101" s="235"/>
      <c r="I101" s="227">
        <f t="shared" si="1105"/>
        <v>0</v>
      </c>
      <c r="J101" s="410"/>
      <c r="K101" s="96"/>
      <c r="L101" s="96"/>
      <c r="M101" s="227">
        <f t="shared" si="1106"/>
        <v>0</v>
      </c>
      <c r="N101" s="235"/>
      <c r="O101" s="236">
        <f t="shared" si="1108"/>
        <v>0</v>
      </c>
      <c r="P101" s="237">
        <f t="shared" si="1109"/>
        <v>0</v>
      </c>
      <c r="Q101" s="230"/>
      <c r="R101" s="232">
        <f t="shared" si="1248"/>
        <v>17</v>
      </c>
      <c r="S101" s="233" t="str">
        <f t="shared" ref="S101:U101" si="1517">IFERROR(VLOOKUP($R101,$A$13:$D$30,-S$12,FALSE),"")</f>
        <v>Lainnya 2.3 (9) …….</v>
      </c>
      <c r="T101" s="234" t="str">
        <f t="shared" si="1517"/>
        <v/>
      </c>
      <c r="U101" s="234" t="str">
        <f t="shared" si="1517"/>
        <v/>
      </c>
      <c r="V101" s="227"/>
      <c r="W101" s="227" t="str">
        <f t="shared" si="1111"/>
        <v/>
      </c>
      <c r="X101" s="227">
        <f t="shared" si="1112"/>
        <v>0</v>
      </c>
      <c r="Y101" s="235"/>
      <c r="Z101" s="227">
        <f t="shared" si="1113"/>
        <v>0</v>
      </c>
      <c r="AA101" s="410"/>
      <c r="AB101" s="96"/>
      <c r="AC101" s="96"/>
      <c r="AD101" s="227">
        <f t="shared" si="1114"/>
        <v>0</v>
      </c>
      <c r="AE101" s="235" t="str">
        <f t="shared" si="1115"/>
        <v/>
      </c>
      <c r="AF101" s="236">
        <f t="shared" si="1116"/>
        <v>0</v>
      </c>
      <c r="AG101" s="237">
        <f t="shared" si="1117"/>
        <v>0</v>
      </c>
      <c r="AH101" s="230"/>
      <c r="AI101" s="232">
        <f t="shared" si="1250"/>
        <v>17</v>
      </c>
      <c r="AJ101" s="233" t="str">
        <f t="shared" ref="AJ101:AL101" si="1518">IFERROR(VLOOKUP($R101,$A$13:$D$30,-AJ$12,FALSE),"")</f>
        <v>Lainnya 2.3 (9) …….</v>
      </c>
      <c r="AK101" s="234" t="str">
        <f t="shared" si="1518"/>
        <v/>
      </c>
      <c r="AL101" s="234" t="str">
        <f t="shared" si="1518"/>
        <v/>
      </c>
      <c r="AM101" s="227"/>
      <c r="AN101" s="227" t="str">
        <f t="shared" si="1119"/>
        <v/>
      </c>
      <c r="AO101" s="227">
        <f t="shared" si="1120"/>
        <v>0</v>
      </c>
      <c r="AP101" s="235"/>
      <c r="AQ101" s="227">
        <f t="shared" si="1121"/>
        <v>0</v>
      </c>
      <c r="AR101" s="410"/>
      <c r="AS101" s="96"/>
      <c r="AT101" s="96"/>
      <c r="AU101" s="227">
        <f t="shared" si="1122"/>
        <v>0</v>
      </c>
      <c r="AV101" s="235" t="str">
        <f t="shared" si="1123"/>
        <v/>
      </c>
      <c r="AW101" s="236">
        <f t="shared" si="1124"/>
        <v>0</v>
      </c>
      <c r="AX101" s="237">
        <f t="shared" si="1125"/>
        <v>0</v>
      </c>
      <c r="AY101" s="230"/>
      <c r="AZ101" s="232">
        <f t="shared" si="1252"/>
        <v>17</v>
      </c>
      <c r="BA101" s="233" t="str">
        <f t="shared" ref="BA101:BC101" si="1519">IFERROR(VLOOKUP($R101,$A$13:$D$30,-BA$12,FALSE),"")</f>
        <v>Lainnya 2.3 (9) …….</v>
      </c>
      <c r="BB101" s="234" t="str">
        <f t="shared" si="1519"/>
        <v/>
      </c>
      <c r="BC101" s="234" t="str">
        <f t="shared" si="1519"/>
        <v/>
      </c>
      <c r="BD101" s="227"/>
      <c r="BE101" s="227" t="str">
        <f t="shared" si="1127"/>
        <v/>
      </c>
      <c r="BF101" s="227">
        <f t="shared" si="1128"/>
        <v>0</v>
      </c>
      <c r="BG101" s="235"/>
      <c r="BH101" s="227">
        <f t="shared" si="1129"/>
        <v>0</v>
      </c>
      <c r="BI101" s="410"/>
      <c r="BJ101" s="96"/>
      <c r="BK101" s="96"/>
      <c r="BL101" s="227">
        <f t="shared" si="1130"/>
        <v>0</v>
      </c>
      <c r="BM101" s="235" t="str">
        <f t="shared" si="1131"/>
        <v/>
      </c>
      <c r="BN101" s="236">
        <f t="shared" si="1132"/>
        <v>0</v>
      </c>
      <c r="BO101" s="237">
        <f t="shared" si="1133"/>
        <v>0</v>
      </c>
      <c r="BP101" s="230"/>
      <c r="BQ101" s="232">
        <f t="shared" si="1254"/>
        <v>17</v>
      </c>
      <c r="BR101" s="233" t="str">
        <f t="shared" ref="BR101:BT101" si="1520">IFERROR(VLOOKUP($R101,$A$13:$D$30,-BR$12,FALSE),"")</f>
        <v>Lainnya 2.3 (9) …….</v>
      </c>
      <c r="BS101" s="234" t="str">
        <f t="shared" si="1520"/>
        <v/>
      </c>
      <c r="BT101" s="234" t="str">
        <f t="shared" si="1520"/>
        <v/>
      </c>
      <c r="BU101" s="227"/>
      <c r="BV101" s="227" t="str">
        <f t="shared" si="1135"/>
        <v/>
      </c>
      <c r="BW101" s="227">
        <f t="shared" si="1136"/>
        <v>0</v>
      </c>
      <c r="BX101" s="235"/>
      <c r="BY101" s="227">
        <f t="shared" si="1137"/>
        <v>0</v>
      </c>
      <c r="BZ101" s="410"/>
      <c r="CA101" s="96"/>
      <c r="CB101" s="96"/>
      <c r="CC101" s="227">
        <f t="shared" si="1138"/>
        <v>0</v>
      </c>
      <c r="CD101" s="235" t="str">
        <f t="shared" si="1139"/>
        <v/>
      </c>
      <c r="CE101" s="236">
        <f t="shared" si="1140"/>
        <v>0</v>
      </c>
      <c r="CF101" s="237">
        <f t="shared" si="1141"/>
        <v>0</v>
      </c>
      <c r="CG101" s="230"/>
      <c r="CH101" s="232">
        <f t="shared" si="1256"/>
        <v>17</v>
      </c>
      <c r="CI101" s="233" t="str">
        <f t="shared" ref="CI101:CK101" si="1521">IFERROR(VLOOKUP($R101,$A$13:$D$30,-CI$12,FALSE),"")</f>
        <v>Lainnya 2.3 (9) …….</v>
      </c>
      <c r="CJ101" s="234" t="str">
        <f t="shared" si="1521"/>
        <v/>
      </c>
      <c r="CK101" s="234" t="str">
        <f t="shared" si="1521"/>
        <v/>
      </c>
      <c r="CL101" s="227"/>
      <c r="CM101" s="227" t="str">
        <f t="shared" si="1143"/>
        <v/>
      </c>
      <c r="CN101" s="227">
        <f t="shared" si="1144"/>
        <v>0</v>
      </c>
      <c r="CO101" s="235"/>
      <c r="CP101" s="227">
        <f t="shared" si="1145"/>
        <v>0</v>
      </c>
      <c r="CQ101" s="410"/>
      <c r="CR101" s="96"/>
      <c r="CS101" s="96"/>
      <c r="CT101" s="227">
        <f t="shared" si="1146"/>
        <v>0</v>
      </c>
      <c r="CU101" s="235" t="str">
        <f t="shared" si="1147"/>
        <v/>
      </c>
      <c r="CV101" s="236">
        <f t="shared" si="1148"/>
        <v>0</v>
      </c>
      <c r="CW101" s="237">
        <f t="shared" si="1149"/>
        <v>0</v>
      </c>
      <c r="CX101" s="230"/>
      <c r="CY101" s="232">
        <f t="shared" si="1258"/>
        <v>17</v>
      </c>
      <c r="CZ101" s="233" t="str">
        <f t="shared" ref="CZ101:DB101" si="1522">IFERROR(VLOOKUP($R101,$A$13:$D$30,-CZ$12,FALSE),"")</f>
        <v>Lainnya 2.3 (9) …….</v>
      </c>
      <c r="DA101" s="234" t="str">
        <f t="shared" si="1522"/>
        <v/>
      </c>
      <c r="DB101" s="234" t="str">
        <f t="shared" si="1522"/>
        <v/>
      </c>
      <c r="DC101" s="227"/>
      <c r="DD101" s="227" t="str">
        <f t="shared" si="1151"/>
        <v/>
      </c>
      <c r="DE101" s="227">
        <f t="shared" si="1152"/>
        <v>0</v>
      </c>
      <c r="DF101" s="235"/>
      <c r="DG101" s="227">
        <f t="shared" si="1153"/>
        <v>0</v>
      </c>
      <c r="DH101" s="410"/>
      <c r="DI101" s="96"/>
      <c r="DJ101" s="96"/>
      <c r="DK101" s="227">
        <f t="shared" si="1154"/>
        <v>0</v>
      </c>
      <c r="DL101" s="235" t="str">
        <f t="shared" si="1155"/>
        <v/>
      </c>
      <c r="DM101" s="236">
        <f t="shared" si="1156"/>
        <v>0</v>
      </c>
      <c r="DN101" s="237">
        <f t="shared" si="1157"/>
        <v>0</v>
      </c>
      <c r="DO101" s="230"/>
      <c r="DP101" s="232">
        <f t="shared" si="1260"/>
        <v>17</v>
      </c>
      <c r="DQ101" s="233" t="str">
        <f t="shared" ref="DQ101:DS101" si="1523">IFERROR(VLOOKUP($R101,$A$13:$D$30,-DQ$12,FALSE),"")</f>
        <v>Lainnya 2.3 (9) …….</v>
      </c>
      <c r="DR101" s="234" t="str">
        <f t="shared" si="1523"/>
        <v/>
      </c>
      <c r="DS101" s="234" t="str">
        <f t="shared" si="1523"/>
        <v/>
      </c>
      <c r="DT101" s="227"/>
      <c r="DU101" s="227" t="str">
        <f t="shared" si="1159"/>
        <v/>
      </c>
      <c r="DV101" s="227">
        <f t="shared" si="1160"/>
        <v>0</v>
      </c>
      <c r="DW101" s="235"/>
      <c r="DX101" s="227">
        <f t="shared" si="1161"/>
        <v>0</v>
      </c>
      <c r="DY101" s="410"/>
      <c r="DZ101" s="96"/>
      <c r="EA101" s="96"/>
      <c r="EB101" s="227">
        <f t="shared" si="1162"/>
        <v>0</v>
      </c>
      <c r="EC101" s="235" t="str">
        <f t="shared" si="1163"/>
        <v/>
      </c>
      <c r="ED101" s="236">
        <f t="shared" si="1164"/>
        <v>0</v>
      </c>
      <c r="EE101" s="237">
        <f t="shared" si="1165"/>
        <v>0</v>
      </c>
      <c r="EF101" s="230"/>
      <c r="EG101" s="232">
        <f t="shared" si="1262"/>
        <v>17</v>
      </c>
      <c r="EH101" s="233" t="str">
        <f t="shared" ref="EH101:EJ101" si="1524">IFERROR(VLOOKUP($R101,$A$13:$D$30,-EH$12,FALSE),"")</f>
        <v>Lainnya 2.3 (9) …….</v>
      </c>
      <c r="EI101" s="234" t="str">
        <f t="shared" si="1524"/>
        <v/>
      </c>
      <c r="EJ101" s="234" t="str">
        <f t="shared" si="1524"/>
        <v/>
      </c>
      <c r="EK101" s="227"/>
      <c r="EL101" s="227" t="str">
        <f t="shared" si="1167"/>
        <v/>
      </c>
      <c r="EM101" s="227">
        <f t="shared" si="1168"/>
        <v>0</v>
      </c>
      <c r="EN101" s="235"/>
      <c r="EO101" s="227">
        <f t="shared" si="1169"/>
        <v>0</v>
      </c>
      <c r="EP101" s="410"/>
      <c r="EQ101" s="96"/>
      <c r="ER101" s="96"/>
      <c r="ES101" s="227">
        <f t="shared" si="1170"/>
        <v>0</v>
      </c>
      <c r="ET101" s="235" t="str">
        <f t="shared" si="1171"/>
        <v/>
      </c>
      <c r="EU101" s="236">
        <f t="shared" si="1172"/>
        <v>0</v>
      </c>
      <c r="EV101" s="237">
        <f t="shared" si="1173"/>
        <v>0</v>
      </c>
      <c r="EW101" s="230"/>
      <c r="EX101" s="232">
        <f t="shared" si="1264"/>
        <v>17</v>
      </c>
      <c r="EY101" s="233" t="str">
        <f t="shared" ref="EY101:FA101" si="1525">IFERROR(VLOOKUP($R101,$A$13:$D$30,-EY$12,FALSE),"")</f>
        <v>Lainnya 2.3 (9) …….</v>
      </c>
      <c r="EZ101" s="234" t="str">
        <f t="shared" si="1525"/>
        <v/>
      </c>
      <c r="FA101" s="234" t="str">
        <f t="shared" si="1525"/>
        <v/>
      </c>
      <c r="FB101" s="227"/>
      <c r="FC101" s="227" t="str">
        <f t="shared" si="1175"/>
        <v/>
      </c>
      <c r="FD101" s="227">
        <f t="shared" si="1176"/>
        <v>0</v>
      </c>
      <c r="FE101" s="235"/>
      <c r="FF101" s="227">
        <f t="shared" si="1177"/>
        <v>0</v>
      </c>
      <c r="FG101" s="410"/>
      <c r="FH101" s="96"/>
      <c r="FI101" s="96"/>
      <c r="FJ101" s="227">
        <f t="shared" si="1178"/>
        <v>0</v>
      </c>
      <c r="FK101" s="235" t="str">
        <f t="shared" si="1179"/>
        <v/>
      </c>
      <c r="FL101" s="236">
        <f t="shared" si="1180"/>
        <v>0</v>
      </c>
      <c r="FM101" s="237">
        <f t="shared" si="1181"/>
        <v>0</v>
      </c>
      <c r="FN101" s="230"/>
      <c r="FO101" s="232">
        <f t="shared" si="1266"/>
        <v>17</v>
      </c>
      <c r="FP101" s="233" t="str">
        <f t="shared" ref="FP101:FR101" si="1526">IFERROR(VLOOKUP($R101,$A$13:$D$30,-FP$12,FALSE),"")</f>
        <v>Lainnya 2.3 (9) …….</v>
      </c>
      <c r="FQ101" s="234" t="str">
        <f t="shared" si="1526"/>
        <v/>
      </c>
      <c r="FR101" s="234" t="str">
        <f t="shared" si="1526"/>
        <v/>
      </c>
      <c r="FS101" s="227"/>
      <c r="FT101" s="227" t="str">
        <f t="shared" si="1183"/>
        <v/>
      </c>
      <c r="FU101" s="227">
        <f t="shared" si="1184"/>
        <v>0</v>
      </c>
      <c r="FV101" s="235"/>
      <c r="FW101" s="227">
        <f t="shared" si="1185"/>
        <v>0</v>
      </c>
      <c r="FX101" s="410"/>
      <c r="FY101" s="96"/>
      <c r="FZ101" s="96"/>
      <c r="GA101" s="227">
        <f t="shared" si="1186"/>
        <v>0</v>
      </c>
      <c r="GB101" s="235" t="str">
        <f t="shared" si="1187"/>
        <v/>
      </c>
      <c r="GC101" s="236">
        <f t="shared" si="1188"/>
        <v>0</v>
      </c>
      <c r="GD101" s="237">
        <f t="shared" si="1189"/>
        <v>0</v>
      </c>
      <c r="GE101" s="230"/>
      <c r="GF101" s="232">
        <f t="shared" si="1268"/>
        <v>17</v>
      </c>
      <c r="GG101" s="233" t="str">
        <f t="shared" ref="GG101:GI101" si="1527">IFERROR(VLOOKUP($R101,$A$13:$D$30,-GG$12,FALSE),"")</f>
        <v>Lainnya 2.3 (9) …….</v>
      </c>
      <c r="GH101" s="234" t="str">
        <f t="shared" si="1527"/>
        <v/>
      </c>
      <c r="GI101" s="234" t="str">
        <f t="shared" si="1527"/>
        <v/>
      </c>
      <c r="GJ101" s="227"/>
      <c r="GK101" s="227" t="str">
        <f t="shared" si="1191"/>
        <v/>
      </c>
      <c r="GL101" s="227">
        <f t="shared" si="1192"/>
        <v>0</v>
      </c>
      <c r="GM101" s="235"/>
      <c r="GN101" s="227">
        <f t="shared" si="1193"/>
        <v>0</v>
      </c>
      <c r="GO101" s="410"/>
      <c r="GP101" s="96"/>
      <c r="GQ101" s="96"/>
      <c r="GR101" s="227">
        <f t="shared" si="1194"/>
        <v>0</v>
      </c>
      <c r="GS101" s="235" t="str">
        <f t="shared" si="1195"/>
        <v/>
      </c>
      <c r="GT101" s="236">
        <f t="shared" si="1196"/>
        <v>0</v>
      </c>
      <c r="GU101" s="237">
        <f t="shared" si="1197"/>
        <v>0</v>
      </c>
      <c r="GV101" s="230"/>
      <c r="GW101" s="232">
        <f t="shared" si="1270"/>
        <v>17</v>
      </c>
      <c r="GX101" s="233" t="str">
        <f t="shared" ref="GX101:GZ101" si="1528">IFERROR(VLOOKUP($R101,$A$13:$D$30,-GX$12,FALSE),"")</f>
        <v>Lainnya 2.3 (9) …….</v>
      </c>
      <c r="GY101" s="234" t="str">
        <f t="shared" si="1528"/>
        <v/>
      </c>
      <c r="GZ101" s="234" t="str">
        <f t="shared" si="1528"/>
        <v/>
      </c>
      <c r="HA101" s="227"/>
      <c r="HB101" s="227" t="str">
        <f t="shared" si="1199"/>
        <v/>
      </c>
      <c r="HC101" s="227">
        <f t="shared" si="1200"/>
        <v>0</v>
      </c>
      <c r="HD101" s="235"/>
      <c r="HE101" s="227">
        <f t="shared" si="1201"/>
        <v>0</v>
      </c>
      <c r="HF101" s="410"/>
      <c r="HG101" s="96"/>
      <c r="HH101" s="96"/>
      <c r="HI101" s="227">
        <f t="shared" si="1202"/>
        <v>0</v>
      </c>
      <c r="HJ101" s="235" t="str">
        <f t="shared" si="1203"/>
        <v/>
      </c>
      <c r="HK101" s="236">
        <f t="shared" si="1204"/>
        <v>0</v>
      </c>
      <c r="HL101" s="237">
        <f t="shared" si="1205"/>
        <v>0</v>
      </c>
      <c r="HM101" s="230"/>
      <c r="HN101" s="232">
        <f t="shared" si="1272"/>
        <v>17</v>
      </c>
      <c r="HO101" s="233" t="str">
        <f t="shared" ref="HO101:HQ101" si="1529">IFERROR(VLOOKUP($R101,$A$13:$D$30,-HO$12,FALSE),"")</f>
        <v>Lainnya 2.3 (9) …….</v>
      </c>
      <c r="HP101" s="234" t="str">
        <f t="shared" si="1529"/>
        <v/>
      </c>
      <c r="HQ101" s="234" t="str">
        <f t="shared" si="1529"/>
        <v/>
      </c>
      <c r="HR101" s="227"/>
      <c r="HS101" s="227" t="str">
        <f t="shared" si="1207"/>
        <v/>
      </c>
      <c r="HT101" s="227">
        <f t="shared" si="1208"/>
        <v>0</v>
      </c>
      <c r="HU101" s="235"/>
      <c r="HV101" s="227">
        <f t="shared" si="1209"/>
        <v>0</v>
      </c>
      <c r="HW101" s="410"/>
      <c r="HX101" s="96"/>
      <c r="HY101" s="96"/>
      <c r="HZ101" s="227">
        <f t="shared" si="1210"/>
        <v>0</v>
      </c>
      <c r="IA101" s="235" t="str">
        <f t="shared" si="1211"/>
        <v/>
      </c>
      <c r="IB101" s="236">
        <f t="shared" si="1212"/>
        <v>0</v>
      </c>
      <c r="IC101" s="237">
        <f t="shared" si="1213"/>
        <v>0</v>
      </c>
      <c r="ID101" s="230"/>
      <c r="IE101" s="232">
        <f t="shared" si="1274"/>
        <v>17</v>
      </c>
      <c r="IF101" s="233" t="str">
        <f t="shared" ref="IF101:IH101" si="1530">IFERROR(VLOOKUP($R101,$A$13:$D$30,-IF$12,FALSE),"")</f>
        <v>Lainnya 2.3 (9) …….</v>
      </c>
      <c r="IG101" s="234" t="str">
        <f t="shared" si="1530"/>
        <v/>
      </c>
      <c r="IH101" s="234" t="str">
        <f t="shared" si="1530"/>
        <v/>
      </c>
      <c r="II101" s="227"/>
      <c r="IJ101" s="227" t="str">
        <f t="shared" si="1215"/>
        <v/>
      </c>
      <c r="IK101" s="227">
        <f t="shared" si="1216"/>
        <v>0</v>
      </c>
      <c r="IL101" s="235"/>
      <c r="IM101" s="227">
        <f t="shared" si="1217"/>
        <v>0</v>
      </c>
      <c r="IN101" s="410"/>
      <c r="IO101" s="96"/>
      <c r="IP101" s="96"/>
      <c r="IQ101" s="227">
        <f t="shared" si="1218"/>
        <v>0</v>
      </c>
      <c r="IR101" s="235" t="str">
        <f t="shared" si="1219"/>
        <v/>
      </c>
      <c r="IS101" s="236">
        <f t="shared" si="1220"/>
        <v>0</v>
      </c>
      <c r="IT101" s="237">
        <f t="shared" si="1221"/>
        <v>0</v>
      </c>
      <c r="IU101" s="230"/>
      <c r="IV101" s="232">
        <f t="shared" si="1276"/>
        <v>17</v>
      </c>
      <c r="IW101" s="233" t="str">
        <f t="shared" ref="IW101:IY101" si="1531">IFERROR(VLOOKUP($R101,$A$13:$D$30,-IW$12,FALSE),"")</f>
        <v>Lainnya 2.3 (9) …….</v>
      </c>
      <c r="IX101" s="234" t="str">
        <f t="shared" si="1531"/>
        <v/>
      </c>
      <c r="IY101" s="234" t="str">
        <f t="shared" si="1531"/>
        <v/>
      </c>
      <c r="IZ101" s="227"/>
      <c r="JA101" s="227" t="str">
        <f t="shared" si="1223"/>
        <v/>
      </c>
      <c r="JB101" s="227">
        <f t="shared" si="1224"/>
        <v>0</v>
      </c>
      <c r="JC101" s="235"/>
      <c r="JD101" s="227">
        <f t="shared" si="1225"/>
        <v>0</v>
      </c>
      <c r="JE101" s="410"/>
      <c r="JF101" s="96"/>
      <c r="JG101" s="96"/>
      <c r="JH101" s="227">
        <f t="shared" si="1226"/>
        <v>0</v>
      </c>
      <c r="JI101" s="235" t="str">
        <f t="shared" si="1227"/>
        <v/>
      </c>
      <c r="JJ101" s="236">
        <f t="shared" si="1228"/>
        <v>0</v>
      </c>
      <c r="JK101" s="237">
        <f t="shared" si="1229"/>
        <v>0</v>
      </c>
      <c r="JL101" s="230"/>
      <c r="JM101" s="232">
        <f t="shared" si="1278"/>
        <v>17</v>
      </c>
      <c r="JN101" s="233" t="str">
        <f t="shared" ref="JN101:JP101" si="1532">IFERROR(VLOOKUP($R101,$A$13:$D$30,-JN$12,FALSE),"")</f>
        <v>Lainnya 2.3 (9) …….</v>
      </c>
      <c r="JO101" s="234" t="str">
        <f t="shared" si="1532"/>
        <v/>
      </c>
      <c r="JP101" s="234" t="str">
        <f t="shared" si="1532"/>
        <v/>
      </c>
      <c r="JQ101" s="227"/>
      <c r="JR101" s="227" t="str">
        <f t="shared" si="1231"/>
        <v/>
      </c>
      <c r="JS101" s="227">
        <f t="shared" si="1232"/>
        <v>0</v>
      </c>
      <c r="JT101" s="235"/>
      <c r="JU101" s="227">
        <f t="shared" si="1233"/>
        <v>0</v>
      </c>
      <c r="JV101" s="410"/>
      <c r="JW101" s="96"/>
      <c r="JX101" s="96"/>
      <c r="JY101" s="227">
        <f t="shared" si="1234"/>
        <v>0</v>
      </c>
      <c r="JZ101" s="235" t="str">
        <f t="shared" si="1235"/>
        <v/>
      </c>
      <c r="KA101" s="236">
        <f t="shared" si="1236"/>
        <v>0</v>
      </c>
      <c r="KB101" s="237">
        <f t="shared" si="1237"/>
        <v>0</v>
      </c>
      <c r="KC101" s="230"/>
      <c r="KD101" s="232">
        <f t="shared" si="1280"/>
        <v>17</v>
      </c>
      <c r="KE101" s="233" t="str">
        <f t="shared" ref="KE101:KG101" si="1533">IFERROR(VLOOKUP($R101,$A$13:$D$30,-KE$12,FALSE),"")</f>
        <v>Lainnya 2.3 (9) …….</v>
      </c>
      <c r="KF101" s="234" t="str">
        <f t="shared" si="1533"/>
        <v/>
      </c>
      <c r="KG101" s="234" t="str">
        <f t="shared" si="1533"/>
        <v/>
      </c>
      <c r="KH101" s="227"/>
      <c r="KI101" s="227" t="str">
        <f t="shared" si="1239"/>
        <v/>
      </c>
      <c r="KJ101" s="227">
        <f t="shared" si="1240"/>
        <v>0</v>
      </c>
      <c r="KK101" s="235"/>
      <c r="KL101" s="227">
        <f t="shared" si="1241"/>
        <v>0</v>
      </c>
      <c r="KM101" s="410"/>
      <c r="KN101" s="96"/>
      <c r="KO101" s="96"/>
      <c r="KP101" s="227">
        <f t="shared" si="1242"/>
        <v>0</v>
      </c>
      <c r="KQ101" s="235" t="str">
        <f t="shared" si="1243"/>
        <v/>
      </c>
      <c r="KR101" s="236">
        <f t="shared" si="1244"/>
        <v>0</v>
      </c>
      <c r="KS101" s="237">
        <f t="shared" si="1245"/>
        <v>0</v>
      </c>
      <c r="KT101" s="230"/>
      <c r="KU101" s="231"/>
    </row>
    <row r="102" ht="15.75" customHeight="1">
      <c r="A102" s="232"/>
      <c r="B102" s="233"/>
      <c r="C102" s="239"/>
      <c r="D102" s="239"/>
      <c r="E102" s="227"/>
      <c r="F102" s="227"/>
      <c r="G102" s="227"/>
      <c r="H102" s="227"/>
      <c r="I102" s="227"/>
      <c r="J102" s="96"/>
      <c r="K102" s="96"/>
      <c r="L102" s="96"/>
      <c r="M102" s="227"/>
      <c r="N102" s="227"/>
      <c r="O102" s="227"/>
      <c r="P102" s="237"/>
      <c r="Q102" s="230"/>
      <c r="R102" s="232"/>
      <c r="S102" s="233"/>
      <c r="T102" s="239"/>
      <c r="U102" s="239"/>
      <c r="V102" s="227"/>
      <c r="W102" s="227"/>
      <c r="X102" s="227"/>
      <c r="Y102" s="227"/>
      <c r="Z102" s="227"/>
      <c r="AA102" s="96"/>
      <c r="AB102" s="96"/>
      <c r="AC102" s="96"/>
      <c r="AD102" s="227"/>
      <c r="AE102" s="227"/>
      <c r="AF102" s="227"/>
      <c r="AG102" s="237"/>
      <c r="AH102" s="230"/>
      <c r="AI102" s="232"/>
      <c r="AJ102" s="233"/>
      <c r="AK102" s="239"/>
      <c r="AL102" s="239"/>
      <c r="AM102" s="227"/>
      <c r="AN102" s="227"/>
      <c r="AO102" s="227"/>
      <c r="AP102" s="227"/>
      <c r="AQ102" s="227"/>
      <c r="AR102" s="96"/>
      <c r="AS102" s="96"/>
      <c r="AT102" s="96"/>
      <c r="AU102" s="227"/>
      <c r="AV102" s="227"/>
      <c r="AW102" s="227"/>
      <c r="AX102" s="237"/>
      <c r="AY102" s="230"/>
      <c r="AZ102" s="232"/>
      <c r="BA102" s="233"/>
      <c r="BB102" s="239"/>
      <c r="BC102" s="239"/>
      <c r="BD102" s="227"/>
      <c r="BE102" s="227"/>
      <c r="BF102" s="227"/>
      <c r="BG102" s="227"/>
      <c r="BH102" s="227"/>
      <c r="BI102" s="96"/>
      <c r="BJ102" s="96"/>
      <c r="BK102" s="96"/>
      <c r="BL102" s="227"/>
      <c r="BM102" s="227"/>
      <c r="BN102" s="227"/>
      <c r="BO102" s="237"/>
      <c r="BP102" s="230"/>
      <c r="BQ102" s="232"/>
      <c r="BR102" s="233"/>
      <c r="BS102" s="239"/>
      <c r="BT102" s="239"/>
      <c r="BU102" s="227"/>
      <c r="BV102" s="227"/>
      <c r="BW102" s="227"/>
      <c r="BX102" s="227"/>
      <c r="BY102" s="227"/>
      <c r="BZ102" s="96"/>
      <c r="CA102" s="96"/>
      <c r="CB102" s="96"/>
      <c r="CC102" s="227"/>
      <c r="CD102" s="227"/>
      <c r="CE102" s="227"/>
      <c r="CF102" s="237"/>
      <c r="CG102" s="230"/>
      <c r="CH102" s="232"/>
      <c r="CI102" s="233"/>
      <c r="CJ102" s="239"/>
      <c r="CK102" s="239"/>
      <c r="CL102" s="227"/>
      <c r="CM102" s="227"/>
      <c r="CN102" s="227"/>
      <c r="CO102" s="227"/>
      <c r="CP102" s="227"/>
      <c r="CQ102" s="96"/>
      <c r="CR102" s="96"/>
      <c r="CS102" s="96"/>
      <c r="CT102" s="227"/>
      <c r="CU102" s="227"/>
      <c r="CV102" s="227"/>
      <c r="CW102" s="237"/>
      <c r="CX102" s="230"/>
      <c r="CY102" s="232"/>
      <c r="CZ102" s="233"/>
      <c r="DA102" s="239"/>
      <c r="DB102" s="239"/>
      <c r="DC102" s="227"/>
      <c r="DD102" s="227"/>
      <c r="DE102" s="227"/>
      <c r="DF102" s="227"/>
      <c r="DG102" s="227"/>
      <c r="DH102" s="96"/>
      <c r="DI102" s="96"/>
      <c r="DJ102" s="96"/>
      <c r="DK102" s="227"/>
      <c r="DL102" s="227"/>
      <c r="DM102" s="227"/>
      <c r="DN102" s="237"/>
      <c r="DO102" s="230"/>
      <c r="DP102" s="232"/>
      <c r="DQ102" s="233"/>
      <c r="DR102" s="239"/>
      <c r="DS102" s="239"/>
      <c r="DT102" s="227"/>
      <c r="DU102" s="227"/>
      <c r="DV102" s="227"/>
      <c r="DW102" s="227"/>
      <c r="DX102" s="227"/>
      <c r="DY102" s="96"/>
      <c r="DZ102" s="96"/>
      <c r="EA102" s="96"/>
      <c r="EB102" s="227"/>
      <c r="EC102" s="227"/>
      <c r="ED102" s="227"/>
      <c r="EE102" s="237"/>
      <c r="EF102" s="230"/>
      <c r="EG102" s="232"/>
      <c r="EH102" s="233"/>
      <c r="EI102" s="239"/>
      <c r="EJ102" s="239"/>
      <c r="EK102" s="227"/>
      <c r="EL102" s="227"/>
      <c r="EM102" s="227"/>
      <c r="EN102" s="227"/>
      <c r="EO102" s="227"/>
      <c r="EP102" s="96"/>
      <c r="EQ102" s="96"/>
      <c r="ER102" s="96"/>
      <c r="ES102" s="227"/>
      <c r="ET102" s="227"/>
      <c r="EU102" s="227"/>
      <c r="EV102" s="237"/>
      <c r="EW102" s="230"/>
      <c r="EX102" s="232"/>
      <c r="EY102" s="233"/>
      <c r="EZ102" s="239"/>
      <c r="FA102" s="239"/>
      <c r="FB102" s="227"/>
      <c r="FC102" s="227"/>
      <c r="FD102" s="227"/>
      <c r="FE102" s="227"/>
      <c r="FF102" s="227"/>
      <c r="FG102" s="96"/>
      <c r="FH102" s="96"/>
      <c r="FI102" s="96"/>
      <c r="FJ102" s="227"/>
      <c r="FK102" s="227"/>
      <c r="FL102" s="227"/>
      <c r="FM102" s="237"/>
      <c r="FN102" s="230"/>
      <c r="FO102" s="232"/>
      <c r="FP102" s="233"/>
      <c r="FQ102" s="239"/>
      <c r="FR102" s="239"/>
      <c r="FS102" s="227"/>
      <c r="FT102" s="227"/>
      <c r="FU102" s="227"/>
      <c r="FV102" s="227"/>
      <c r="FW102" s="227"/>
      <c r="FX102" s="96"/>
      <c r="FY102" s="96"/>
      <c r="FZ102" s="96"/>
      <c r="GA102" s="227"/>
      <c r="GB102" s="227"/>
      <c r="GC102" s="227"/>
      <c r="GD102" s="237"/>
      <c r="GE102" s="230"/>
      <c r="GF102" s="232"/>
      <c r="GG102" s="233"/>
      <c r="GH102" s="239"/>
      <c r="GI102" s="239"/>
      <c r="GJ102" s="227"/>
      <c r="GK102" s="227"/>
      <c r="GL102" s="227"/>
      <c r="GM102" s="227"/>
      <c r="GN102" s="227"/>
      <c r="GO102" s="96"/>
      <c r="GP102" s="96"/>
      <c r="GQ102" s="96"/>
      <c r="GR102" s="227"/>
      <c r="GS102" s="227"/>
      <c r="GT102" s="227"/>
      <c r="GU102" s="237"/>
      <c r="GV102" s="230"/>
      <c r="GW102" s="232"/>
      <c r="GX102" s="233"/>
      <c r="GY102" s="239"/>
      <c r="GZ102" s="239"/>
      <c r="HA102" s="227"/>
      <c r="HB102" s="227"/>
      <c r="HC102" s="227"/>
      <c r="HD102" s="227"/>
      <c r="HE102" s="227"/>
      <c r="HF102" s="96"/>
      <c r="HG102" s="96"/>
      <c r="HH102" s="96"/>
      <c r="HI102" s="227"/>
      <c r="HJ102" s="227"/>
      <c r="HK102" s="227"/>
      <c r="HL102" s="237"/>
      <c r="HM102" s="230"/>
      <c r="HN102" s="232"/>
      <c r="HO102" s="233"/>
      <c r="HP102" s="239"/>
      <c r="HQ102" s="239"/>
      <c r="HR102" s="227"/>
      <c r="HS102" s="227"/>
      <c r="HT102" s="227"/>
      <c r="HU102" s="227"/>
      <c r="HV102" s="227"/>
      <c r="HW102" s="96"/>
      <c r="HX102" s="96"/>
      <c r="HY102" s="96"/>
      <c r="HZ102" s="227"/>
      <c r="IA102" s="227"/>
      <c r="IB102" s="227"/>
      <c r="IC102" s="237"/>
      <c r="ID102" s="230"/>
      <c r="IE102" s="232"/>
      <c r="IF102" s="233"/>
      <c r="IG102" s="239"/>
      <c r="IH102" s="239"/>
      <c r="II102" s="227"/>
      <c r="IJ102" s="227"/>
      <c r="IK102" s="227"/>
      <c r="IL102" s="227"/>
      <c r="IM102" s="227"/>
      <c r="IN102" s="96"/>
      <c r="IO102" s="96"/>
      <c r="IP102" s="96"/>
      <c r="IQ102" s="227"/>
      <c r="IR102" s="227"/>
      <c r="IS102" s="227"/>
      <c r="IT102" s="237"/>
      <c r="IU102" s="230"/>
      <c r="IV102" s="232"/>
      <c r="IW102" s="233"/>
      <c r="IX102" s="239"/>
      <c r="IY102" s="239"/>
      <c r="IZ102" s="227"/>
      <c r="JA102" s="227"/>
      <c r="JB102" s="227"/>
      <c r="JC102" s="227"/>
      <c r="JD102" s="227"/>
      <c r="JE102" s="96"/>
      <c r="JF102" s="96"/>
      <c r="JG102" s="96"/>
      <c r="JH102" s="227"/>
      <c r="JI102" s="227"/>
      <c r="JJ102" s="227"/>
      <c r="JK102" s="237"/>
      <c r="JL102" s="230"/>
      <c r="JM102" s="232"/>
      <c r="JN102" s="233"/>
      <c r="JO102" s="239"/>
      <c r="JP102" s="239"/>
      <c r="JQ102" s="227"/>
      <c r="JR102" s="227"/>
      <c r="JS102" s="227"/>
      <c r="JT102" s="227"/>
      <c r="JU102" s="227"/>
      <c r="JV102" s="96"/>
      <c r="JW102" s="96"/>
      <c r="JX102" s="96"/>
      <c r="JY102" s="227"/>
      <c r="JZ102" s="227"/>
      <c r="KA102" s="227"/>
      <c r="KB102" s="237"/>
      <c r="KC102" s="230"/>
      <c r="KD102" s="232"/>
      <c r="KE102" s="233"/>
      <c r="KF102" s="239"/>
      <c r="KG102" s="239"/>
      <c r="KH102" s="227"/>
      <c r="KI102" s="227"/>
      <c r="KJ102" s="227"/>
      <c r="KK102" s="227"/>
      <c r="KL102" s="227"/>
      <c r="KM102" s="96"/>
      <c r="KN102" s="96"/>
      <c r="KO102" s="96"/>
      <c r="KP102" s="227"/>
      <c r="KQ102" s="227"/>
      <c r="KR102" s="227"/>
      <c r="KS102" s="237"/>
      <c r="KT102" s="230"/>
      <c r="KU102" s="231"/>
    </row>
    <row r="103" ht="15.75" customHeight="1">
      <c r="A103" s="240" t="s">
        <v>51</v>
      </c>
      <c r="B103" s="102"/>
      <c r="C103" s="241"/>
      <c r="D103" s="241"/>
      <c r="E103" s="242"/>
      <c r="F103" s="242"/>
      <c r="G103" s="243">
        <f>SUM(G85:G102)</f>
        <v>0</v>
      </c>
      <c r="H103" s="242"/>
      <c r="I103" s="243">
        <f>SUM(I85:I102)</f>
        <v>0</v>
      </c>
      <c r="J103" s="104"/>
      <c r="K103" s="104"/>
      <c r="L103" s="104"/>
      <c r="M103" s="243">
        <f>SUM(M85:M102)</f>
        <v>0</v>
      </c>
      <c r="N103" s="242"/>
      <c r="O103" s="243">
        <f t="shared" ref="O103:P103" si="1534">SUM(O85:O102)</f>
        <v>0</v>
      </c>
      <c r="P103" s="243">
        <f t="shared" si="1534"/>
        <v>0</v>
      </c>
      <c r="Q103" s="244"/>
      <c r="R103" s="240" t="s">
        <v>51</v>
      </c>
      <c r="S103" s="102"/>
      <c r="T103" s="241"/>
      <c r="U103" s="241"/>
      <c r="V103" s="242"/>
      <c r="W103" s="242"/>
      <c r="X103" s="243">
        <f>SUM(X85:X102)</f>
        <v>0</v>
      </c>
      <c r="Y103" s="242"/>
      <c r="Z103" s="243">
        <f>SUM(Z85:Z102)</f>
        <v>0</v>
      </c>
      <c r="AA103" s="104"/>
      <c r="AB103" s="104"/>
      <c r="AC103" s="104"/>
      <c r="AD103" s="243">
        <f>SUM(AD85:AD102)</f>
        <v>0</v>
      </c>
      <c r="AE103" s="242"/>
      <c r="AF103" s="243">
        <f t="shared" ref="AF103:AG103" si="1535">SUM(AF85:AF102)</f>
        <v>0</v>
      </c>
      <c r="AG103" s="243">
        <f t="shared" si="1535"/>
        <v>0</v>
      </c>
      <c r="AH103" s="244"/>
      <c r="AI103" s="240" t="s">
        <v>51</v>
      </c>
      <c r="AJ103" s="102"/>
      <c r="AK103" s="241"/>
      <c r="AL103" s="241"/>
      <c r="AM103" s="242"/>
      <c r="AN103" s="242"/>
      <c r="AO103" s="243">
        <f>SUM(AO85:AO102)</f>
        <v>0</v>
      </c>
      <c r="AP103" s="242"/>
      <c r="AQ103" s="243">
        <f>SUM(AQ85:AQ102)</f>
        <v>0</v>
      </c>
      <c r="AR103" s="104"/>
      <c r="AS103" s="104"/>
      <c r="AT103" s="104"/>
      <c r="AU103" s="243">
        <f>SUM(AU85:AU102)</f>
        <v>0</v>
      </c>
      <c r="AV103" s="242"/>
      <c r="AW103" s="243">
        <f t="shared" ref="AW103:AX103" si="1536">SUM(AW85:AW102)</f>
        <v>0</v>
      </c>
      <c r="AX103" s="243">
        <f t="shared" si="1536"/>
        <v>0</v>
      </c>
      <c r="AY103" s="244"/>
      <c r="AZ103" s="240" t="s">
        <v>51</v>
      </c>
      <c r="BA103" s="102"/>
      <c r="BB103" s="241"/>
      <c r="BC103" s="241"/>
      <c r="BD103" s="242"/>
      <c r="BE103" s="242"/>
      <c r="BF103" s="243">
        <f>SUM(BF85:BF102)</f>
        <v>0</v>
      </c>
      <c r="BG103" s="242"/>
      <c r="BH103" s="243">
        <f>SUM(BH85:BH102)</f>
        <v>0</v>
      </c>
      <c r="BI103" s="104"/>
      <c r="BJ103" s="104"/>
      <c r="BK103" s="104"/>
      <c r="BL103" s="243">
        <f>SUM(BL85:BL102)</f>
        <v>0</v>
      </c>
      <c r="BM103" s="242"/>
      <c r="BN103" s="243">
        <f t="shared" ref="BN103:BO103" si="1537">SUM(BN85:BN102)</f>
        <v>0</v>
      </c>
      <c r="BO103" s="243">
        <f t="shared" si="1537"/>
        <v>0</v>
      </c>
      <c r="BP103" s="244"/>
      <c r="BQ103" s="240" t="s">
        <v>51</v>
      </c>
      <c r="BR103" s="102"/>
      <c r="BS103" s="241"/>
      <c r="BT103" s="241"/>
      <c r="BU103" s="242"/>
      <c r="BV103" s="242"/>
      <c r="BW103" s="243">
        <f>SUM(BW85:BW102)</f>
        <v>0</v>
      </c>
      <c r="BX103" s="242"/>
      <c r="BY103" s="243">
        <f>SUM(BY85:BY102)</f>
        <v>0</v>
      </c>
      <c r="BZ103" s="104"/>
      <c r="CA103" s="104"/>
      <c r="CB103" s="104"/>
      <c r="CC103" s="243">
        <f>SUM(CC85:CC102)</f>
        <v>0</v>
      </c>
      <c r="CD103" s="242"/>
      <c r="CE103" s="243">
        <f t="shared" ref="CE103:CF103" si="1538">SUM(CE85:CE102)</f>
        <v>0</v>
      </c>
      <c r="CF103" s="243">
        <f t="shared" si="1538"/>
        <v>0</v>
      </c>
      <c r="CG103" s="244"/>
      <c r="CH103" s="240" t="s">
        <v>51</v>
      </c>
      <c r="CI103" s="102"/>
      <c r="CJ103" s="241"/>
      <c r="CK103" s="241"/>
      <c r="CL103" s="242"/>
      <c r="CM103" s="242"/>
      <c r="CN103" s="243">
        <f>SUM(CN85:CN102)</f>
        <v>0</v>
      </c>
      <c r="CO103" s="242"/>
      <c r="CP103" s="243">
        <f>SUM(CP85:CP102)</f>
        <v>0</v>
      </c>
      <c r="CQ103" s="104"/>
      <c r="CR103" s="104"/>
      <c r="CS103" s="104"/>
      <c r="CT103" s="243">
        <f>SUM(CT85:CT102)</f>
        <v>0</v>
      </c>
      <c r="CU103" s="242"/>
      <c r="CV103" s="243">
        <f t="shared" ref="CV103:CW103" si="1539">SUM(CV85:CV102)</f>
        <v>0</v>
      </c>
      <c r="CW103" s="243">
        <f t="shared" si="1539"/>
        <v>0</v>
      </c>
      <c r="CX103" s="244"/>
      <c r="CY103" s="240" t="s">
        <v>51</v>
      </c>
      <c r="CZ103" s="102"/>
      <c r="DA103" s="241"/>
      <c r="DB103" s="241"/>
      <c r="DC103" s="242"/>
      <c r="DD103" s="242"/>
      <c r="DE103" s="243">
        <f>SUM(DE85:DE102)</f>
        <v>0</v>
      </c>
      <c r="DF103" s="242"/>
      <c r="DG103" s="243">
        <f>SUM(DG85:DG102)</f>
        <v>0</v>
      </c>
      <c r="DH103" s="104"/>
      <c r="DI103" s="104"/>
      <c r="DJ103" s="104"/>
      <c r="DK103" s="243">
        <f>SUM(DK85:DK102)</f>
        <v>0</v>
      </c>
      <c r="DL103" s="242"/>
      <c r="DM103" s="243">
        <f t="shared" ref="DM103:DN103" si="1540">SUM(DM85:DM102)</f>
        <v>0</v>
      </c>
      <c r="DN103" s="243">
        <f t="shared" si="1540"/>
        <v>0</v>
      </c>
      <c r="DO103" s="244"/>
      <c r="DP103" s="240" t="s">
        <v>51</v>
      </c>
      <c r="DQ103" s="102"/>
      <c r="DR103" s="241"/>
      <c r="DS103" s="241"/>
      <c r="DT103" s="242"/>
      <c r="DU103" s="242"/>
      <c r="DV103" s="243">
        <f>SUM(DV85:DV102)</f>
        <v>0</v>
      </c>
      <c r="DW103" s="242"/>
      <c r="DX103" s="243">
        <f>SUM(DX85:DX102)</f>
        <v>0</v>
      </c>
      <c r="DY103" s="104"/>
      <c r="DZ103" s="104"/>
      <c r="EA103" s="104"/>
      <c r="EB103" s="243">
        <f>SUM(EB85:EB102)</f>
        <v>0</v>
      </c>
      <c r="EC103" s="242"/>
      <c r="ED103" s="243">
        <f t="shared" ref="ED103:EE103" si="1541">SUM(ED85:ED102)</f>
        <v>0</v>
      </c>
      <c r="EE103" s="243">
        <f t="shared" si="1541"/>
        <v>0</v>
      </c>
      <c r="EF103" s="244"/>
      <c r="EG103" s="240" t="s">
        <v>51</v>
      </c>
      <c r="EH103" s="102"/>
      <c r="EI103" s="241"/>
      <c r="EJ103" s="241"/>
      <c r="EK103" s="242"/>
      <c r="EL103" s="242"/>
      <c r="EM103" s="243">
        <f>SUM(EM85:EM102)</f>
        <v>0</v>
      </c>
      <c r="EN103" s="242"/>
      <c r="EO103" s="243">
        <f>SUM(EO85:EO102)</f>
        <v>0</v>
      </c>
      <c r="EP103" s="104"/>
      <c r="EQ103" s="104"/>
      <c r="ER103" s="104"/>
      <c r="ES103" s="243">
        <f>SUM(ES85:ES102)</f>
        <v>0</v>
      </c>
      <c r="ET103" s="242"/>
      <c r="EU103" s="243">
        <f t="shared" ref="EU103:EV103" si="1542">SUM(EU85:EU102)</f>
        <v>0</v>
      </c>
      <c r="EV103" s="243">
        <f t="shared" si="1542"/>
        <v>0</v>
      </c>
      <c r="EW103" s="244"/>
      <c r="EX103" s="240" t="s">
        <v>51</v>
      </c>
      <c r="EY103" s="102"/>
      <c r="EZ103" s="241"/>
      <c r="FA103" s="241"/>
      <c r="FB103" s="242"/>
      <c r="FC103" s="242"/>
      <c r="FD103" s="243">
        <f>SUM(FD85:FD102)</f>
        <v>0</v>
      </c>
      <c r="FE103" s="242"/>
      <c r="FF103" s="243">
        <f>SUM(FF85:FF102)</f>
        <v>0</v>
      </c>
      <c r="FG103" s="104"/>
      <c r="FH103" s="104"/>
      <c r="FI103" s="104"/>
      <c r="FJ103" s="243">
        <f>SUM(FJ85:FJ102)</f>
        <v>0</v>
      </c>
      <c r="FK103" s="242"/>
      <c r="FL103" s="243">
        <f t="shared" ref="FL103:FM103" si="1543">SUM(FL85:FL102)</f>
        <v>0</v>
      </c>
      <c r="FM103" s="243">
        <f t="shared" si="1543"/>
        <v>0</v>
      </c>
      <c r="FN103" s="244"/>
      <c r="FO103" s="240" t="s">
        <v>51</v>
      </c>
      <c r="FP103" s="102"/>
      <c r="FQ103" s="241"/>
      <c r="FR103" s="241"/>
      <c r="FS103" s="242"/>
      <c r="FT103" s="242"/>
      <c r="FU103" s="243">
        <f>SUM(FU85:FU102)</f>
        <v>806673.6054</v>
      </c>
      <c r="FV103" s="242"/>
      <c r="FW103" s="243">
        <f>SUM(FW85:FW102)</f>
        <v>0</v>
      </c>
      <c r="FX103" s="104"/>
      <c r="FY103" s="104"/>
      <c r="FZ103" s="104"/>
      <c r="GA103" s="243">
        <f>SUM(GA85:GA102)</f>
        <v>806673.6054</v>
      </c>
      <c r="GB103" s="242"/>
      <c r="GC103" s="243">
        <f t="shared" ref="GC103:GD103" si="1544">SUM(GC85:GC102)</f>
        <v>371430.5439</v>
      </c>
      <c r="GD103" s="243">
        <f t="shared" si="1544"/>
        <v>435243.0614</v>
      </c>
      <c r="GE103" s="244"/>
      <c r="GF103" s="240" t="s">
        <v>51</v>
      </c>
      <c r="GG103" s="102"/>
      <c r="GH103" s="241"/>
      <c r="GI103" s="241"/>
      <c r="GJ103" s="242"/>
      <c r="GK103" s="242"/>
      <c r="GL103" s="243">
        <f>SUM(GL85:GL102)</f>
        <v>1266422.151</v>
      </c>
      <c r="GM103" s="242"/>
      <c r="GN103" s="243">
        <f>SUM(GN85:GN102)</f>
        <v>0</v>
      </c>
      <c r="GO103" s="104"/>
      <c r="GP103" s="104"/>
      <c r="GQ103" s="104"/>
      <c r="GR103" s="243">
        <f>SUM(GR85:GR102)</f>
        <v>1266422.151</v>
      </c>
      <c r="GS103" s="242"/>
      <c r="GT103" s="243">
        <f t="shared" ref="GT103:GU103" si="1545">SUM(GT85:GT102)</f>
        <v>583120.4407</v>
      </c>
      <c r="GU103" s="243">
        <f t="shared" si="1545"/>
        <v>683301.7099</v>
      </c>
      <c r="GV103" s="244"/>
      <c r="GW103" s="240" t="s">
        <v>51</v>
      </c>
      <c r="GX103" s="102"/>
      <c r="GY103" s="241"/>
      <c r="GZ103" s="241"/>
      <c r="HA103" s="242"/>
      <c r="HB103" s="242"/>
      <c r="HC103" s="243">
        <f>SUM(HC85:HC102)</f>
        <v>1179551.543</v>
      </c>
      <c r="HD103" s="242"/>
      <c r="HE103" s="243">
        <f>SUM(HE85:HE102)</f>
        <v>1179551.543</v>
      </c>
      <c r="HF103" s="104"/>
      <c r="HG103" s="104"/>
      <c r="HH103" s="104"/>
      <c r="HI103" s="243">
        <f>SUM(HI85:HI102)</f>
        <v>2359103.085</v>
      </c>
      <c r="HJ103" s="242"/>
      <c r="HK103" s="243">
        <f t="shared" ref="HK103:HL103" si="1546">SUM(HK85:HK102)</f>
        <v>1086242.238</v>
      </c>
      <c r="HL103" s="243">
        <f t="shared" si="1546"/>
        <v>1272860.848</v>
      </c>
      <c r="HM103" s="244"/>
      <c r="HN103" s="240" t="s">
        <v>51</v>
      </c>
      <c r="HO103" s="102"/>
      <c r="HP103" s="241"/>
      <c r="HQ103" s="241"/>
      <c r="HR103" s="242"/>
      <c r="HS103" s="242"/>
      <c r="HT103" s="243">
        <f>SUM(HT85:HT102)</f>
        <v>1962016.953</v>
      </c>
      <c r="HU103" s="242"/>
      <c r="HV103" s="243">
        <f>SUM(HV85:HV102)</f>
        <v>0</v>
      </c>
      <c r="HW103" s="104"/>
      <c r="HX103" s="104"/>
      <c r="HY103" s="104"/>
      <c r="HZ103" s="243">
        <f>SUM(HZ85:HZ102)</f>
        <v>1962016.953</v>
      </c>
      <c r="IA103" s="242"/>
      <c r="IB103" s="243">
        <f t="shared" ref="IB103:IC103" si="1547">SUM(IB85:IB102)</f>
        <v>903405.0688</v>
      </c>
      <c r="IC103" s="243">
        <f t="shared" si="1547"/>
        <v>1058611.884</v>
      </c>
      <c r="ID103" s="244"/>
      <c r="IE103" s="240" t="s">
        <v>51</v>
      </c>
      <c r="IF103" s="102"/>
      <c r="IG103" s="241"/>
      <c r="IH103" s="241"/>
      <c r="II103" s="242"/>
      <c r="IJ103" s="242"/>
      <c r="IK103" s="243">
        <f>SUM(IK85:IK102)</f>
        <v>4016650.173</v>
      </c>
      <c r="IL103" s="242"/>
      <c r="IM103" s="243">
        <f>SUM(IM85:IM102)</f>
        <v>0</v>
      </c>
      <c r="IN103" s="104"/>
      <c r="IO103" s="104"/>
      <c r="IP103" s="104"/>
      <c r="IQ103" s="243">
        <f>SUM(IQ85:IQ102)</f>
        <v>4016650.173</v>
      </c>
      <c r="IR103" s="242"/>
      <c r="IS103" s="243">
        <f t="shared" ref="IS103:IT103" si="1548">SUM(IS85:IS102)</f>
        <v>1849455.032</v>
      </c>
      <c r="IT103" s="243">
        <f t="shared" si="1548"/>
        <v>2167195.141</v>
      </c>
      <c r="IU103" s="244"/>
      <c r="IV103" s="240" t="s">
        <v>51</v>
      </c>
      <c r="IW103" s="102"/>
      <c r="IX103" s="241"/>
      <c r="IY103" s="241"/>
      <c r="IZ103" s="242"/>
      <c r="JA103" s="242"/>
      <c r="JB103" s="243">
        <f>SUM(JB85:JB102)</f>
        <v>3987064.166</v>
      </c>
      <c r="JC103" s="242"/>
      <c r="JD103" s="243">
        <f>SUM(JD85:JD102)</f>
        <v>0</v>
      </c>
      <c r="JE103" s="104"/>
      <c r="JF103" s="104"/>
      <c r="JG103" s="104"/>
      <c r="JH103" s="243">
        <f>SUM(JH85:JH102)</f>
        <v>3987064.166</v>
      </c>
      <c r="JI103" s="242"/>
      <c r="JJ103" s="243">
        <f t="shared" ref="JJ103:JK103" si="1549">SUM(JJ85:JJ102)</f>
        <v>1835832.24</v>
      </c>
      <c r="JK103" s="243">
        <f t="shared" si="1549"/>
        <v>2151231.926</v>
      </c>
      <c r="JL103" s="244"/>
      <c r="JM103" s="240" t="s">
        <v>51</v>
      </c>
      <c r="JN103" s="102"/>
      <c r="JO103" s="241"/>
      <c r="JP103" s="241"/>
      <c r="JQ103" s="242"/>
      <c r="JR103" s="242"/>
      <c r="JS103" s="243">
        <f>SUM(JS85:JS102)</f>
        <v>0</v>
      </c>
      <c r="JT103" s="242"/>
      <c r="JU103" s="243">
        <f>SUM(JU85:JU102)</f>
        <v>0</v>
      </c>
      <c r="JV103" s="104"/>
      <c r="JW103" s="104"/>
      <c r="JX103" s="104"/>
      <c r="JY103" s="243">
        <f>SUM(JY85:JY102)</f>
        <v>0</v>
      </c>
      <c r="JZ103" s="242"/>
      <c r="KA103" s="243">
        <f t="shared" ref="KA103:KB103" si="1550">SUM(KA85:KA102)</f>
        <v>0</v>
      </c>
      <c r="KB103" s="243">
        <f t="shared" si="1550"/>
        <v>0</v>
      </c>
      <c r="KC103" s="244"/>
      <c r="KD103" s="240" t="s">
        <v>51</v>
      </c>
      <c r="KE103" s="102"/>
      <c r="KF103" s="241"/>
      <c r="KG103" s="241"/>
      <c r="KH103" s="242"/>
      <c r="KI103" s="242"/>
      <c r="KJ103" s="243">
        <f>SUM(KJ85:KJ102)</f>
        <v>0</v>
      </c>
      <c r="KK103" s="242"/>
      <c r="KL103" s="243">
        <f>SUM(KL85:KL102)</f>
        <v>0</v>
      </c>
      <c r="KM103" s="104"/>
      <c r="KN103" s="104"/>
      <c r="KO103" s="104"/>
      <c r="KP103" s="243">
        <f>SUM(KP85:KP102)</f>
        <v>0</v>
      </c>
      <c r="KQ103" s="242"/>
      <c r="KR103" s="243">
        <f t="shared" ref="KR103:KS103" si="1551">SUM(KR85:KR102)</f>
        <v>0</v>
      </c>
      <c r="KS103" s="243">
        <f t="shared" si="1551"/>
        <v>0</v>
      </c>
      <c r="KT103" s="244"/>
      <c r="KU103" s="245"/>
    </row>
    <row r="104" ht="15.75" customHeight="1">
      <c r="A104" s="232"/>
      <c r="B104" s="239"/>
      <c r="C104" s="239"/>
      <c r="D104" s="239"/>
      <c r="E104" s="227"/>
      <c r="F104" s="227"/>
      <c r="G104" s="227"/>
      <c r="H104" s="227"/>
      <c r="I104" s="227"/>
      <c r="J104" s="87"/>
      <c r="K104" s="87"/>
      <c r="L104" s="87"/>
      <c r="M104" s="227"/>
      <c r="N104" s="227"/>
      <c r="O104" s="236"/>
      <c r="P104" s="237"/>
      <c r="Q104" s="230"/>
      <c r="R104" s="232"/>
      <c r="S104" s="239"/>
      <c r="T104" s="239"/>
      <c r="U104" s="239"/>
      <c r="V104" s="227"/>
      <c r="W104" s="227"/>
      <c r="X104" s="227"/>
      <c r="Y104" s="227"/>
      <c r="Z104" s="227"/>
      <c r="AA104" s="87"/>
      <c r="AB104" s="87"/>
      <c r="AC104" s="87"/>
      <c r="AD104" s="227"/>
      <c r="AE104" s="227"/>
      <c r="AF104" s="236"/>
      <c r="AG104" s="237"/>
      <c r="AH104" s="230"/>
      <c r="AI104" s="232"/>
      <c r="AJ104" s="239"/>
      <c r="AK104" s="239"/>
      <c r="AL104" s="239"/>
      <c r="AM104" s="227"/>
      <c r="AN104" s="227"/>
      <c r="AO104" s="227"/>
      <c r="AP104" s="227"/>
      <c r="AQ104" s="227"/>
      <c r="AR104" s="87"/>
      <c r="AS104" s="87"/>
      <c r="AT104" s="87"/>
      <c r="AU104" s="227"/>
      <c r="AV104" s="227"/>
      <c r="AW104" s="236"/>
      <c r="AX104" s="237"/>
      <c r="AY104" s="230"/>
      <c r="AZ104" s="232"/>
      <c r="BA104" s="239"/>
      <c r="BB104" s="239"/>
      <c r="BC104" s="239"/>
      <c r="BD104" s="227"/>
      <c r="BE104" s="227"/>
      <c r="BF104" s="227"/>
      <c r="BG104" s="227"/>
      <c r="BH104" s="227"/>
      <c r="BI104" s="87"/>
      <c r="BJ104" s="87"/>
      <c r="BK104" s="87"/>
      <c r="BL104" s="227"/>
      <c r="BM104" s="227"/>
      <c r="BN104" s="236"/>
      <c r="BO104" s="237"/>
      <c r="BP104" s="230"/>
      <c r="BQ104" s="232"/>
      <c r="BR104" s="239"/>
      <c r="BS104" s="239"/>
      <c r="BT104" s="239"/>
      <c r="BU104" s="227"/>
      <c r="BV104" s="227"/>
      <c r="BW104" s="227"/>
      <c r="BX104" s="227"/>
      <c r="BY104" s="227"/>
      <c r="BZ104" s="87"/>
      <c r="CA104" s="87"/>
      <c r="CB104" s="87"/>
      <c r="CC104" s="227"/>
      <c r="CD104" s="227"/>
      <c r="CE104" s="236"/>
      <c r="CF104" s="237"/>
      <c r="CG104" s="230"/>
      <c r="CH104" s="232"/>
      <c r="CI104" s="239"/>
      <c r="CJ104" s="239"/>
      <c r="CK104" s="239"/>
      <c r="CL104" s="227"/>
      <c r="CM104" s="227"/>
      <c r="CN104" s="227"/>
      <c r="CO104" s="227"/>
      <c r="CP104" s="227"/>
      <c r="CQ104" s="87"/>
      <c r="CR104" s="87"/>
      <c r="CS104" s="87"/>
      <c r="CT104" s="227"/>
      <c r="CU104" s="227"/>
      <c r="CV104" s="236"/>
      <c r="CW104" s="237"/>
      <c r="CX104" s="230"/>
      <c r="CY104" s="232"/>
      <c r="CZ104" s="239"/>
      <c r="DA104" s="239"/>
      <c r="DB104" s="239"/>
      <c r="DC104" s="227"/>
      <c r="DD104" s="227"/>
      <c r="DE104" s="227"/>
      <c r="DF104" s="227"/>
      <c r="DG104" s="227"/>
      <c r="DH104" s="87"/>
      <c r="DI104" s="87"/>
      <c r="DJ104" s="87"/>
      <c r="DK104" s="227"/>
      <c r="DL104" s="227"/>
      <c r="DM104" s="236"/>
      <c r="DN104" s="237"/>
      <c r="DO104" s="230"/>
      <c r="DP104" s="232"/>
      <c r="DQ104" s="239"/>
      <c r="DR104" s="239"/>
      <c r="DS104" s="239"/>
      <c r="DT104" s="227"/>
      <c r="DU104" s="227"/>
      <c r="DV104" s="227"/>
      <c r="DW104" s="227"/>
      <c r="DX104" s="227"/>
      <c r="DY104" s="87"/>
      <c r="DZ104" s="87"/>
      <c r="EA104" s="87"/>
      <c r="EB104" s="227"/>
      <c r="EC104" s="227"/>
      <c r="ED104" s="236"/>
      <c r="EE104" s="237"/>
      <c r="EF104" s="230"/>
      <c r="EG104" s="232"/>
      <c r="EH104" s="239"/>
      <c r="EI104" s="239"/>
      <c r="EJ104" s="239"/>
      <c r="EK104" s="227"/>
      <c r="EL104" s="227"/>
      <c r="EM104" s="227"/>
      <c r="EN104" s="227"/>
      <c r="EO104" s="227"/>
      <c r="EP104" s="87"/>
      <c r="EQ104" s="87"/>
      <c r="ER104" s="87"/>
      <c r="ES104" s="227"/>
      <c r="ET104" s="227"/>
      <c r="EU104" s="236"/>
      <c r="EV104" s="237"/>
      <c r="EW104" s="230"/>
      <c r="EX104" s="232"/>
      <c r="EY104" s="239"/>
      <c r="EZ104" s="239"/>
      <c r="FA104" s="239"/>
      <c r="FB104" s="227"/>
      <c r="FC104" s="227"/>
      <c r="FD104" s="227"/>
      <c r="FE104" s="227"/>
      <c r="FF104" s="227"/>
      <c r="FG104" s="87"/>
      <c r="FH104" s="87"/>
      <c r="FI104" s="87"/>
      <c r="FJ104" s="227"/>
      <c r="FK104" s="227"/>
      <c r="FL104" s="236"/>
      <c r="FM104" s="237"/>
      <c r="FN104" s="230"/>
      <c r="FO104" s="232"/>
      <c r="FP104" s="239"/>
      <c r="FQ104" s="239"/>
      <c r="FR104" s="239"/>
      <c r="FS104" s="227"/>
      <c r="FT104" s="227"/>
      <c r="FU104" s="227"/>
      <c r="FV104" s="227"/>
      <c r="FW104" s="227"/>
      <c r="FX104" s="87"/>
      <c r="FY104" s="87"/>
      <c r="FZ104" s="87"/>
      <c r="GA104" s="227"/>
      <c r="GB104" s="227"/>
      <c r="GC104" s="236"/>
      <c r="GD104" s="237"/>
      <c r="GE104" s="230"/>
      <c r="GF104" s="232"/>
      <c r="GG104" s="239"/>
      <c r="GH104" s="239"/>
      <c r="GI104" s="239"/>
      <c r="GJ104" s="227"/>
      <c r="GK104" s="227"/>
      <c r="GL104" s="227"/>
      <c r="GM104" s="227"/>
      <c r="GN104" s="227"/>
      <c r="GO104" s="87"/>
      <c r="GP104" s="87"/>
      <c r="GQ104" s="87"/>
      <c r="GR104" s="227"/>
      <c r="GS104" s="227"/>
      <c r="GT104" s="236"/>
      <c r="GU104" s="237"/>
      <c r="GV104" s="230"/>
      <c r="GW104" s="232"/>
      <c r="GX104" s="239"/>
      <c r="GY104" s="239"/>
      <c r="GZ104" s="239"/>
      <c r="HA104" s="227"/>
      <c r="HB104" s="227"/>
      <c r="HC104" s="227"/>
      <c r="HD104" s="227"/>
      <c r="HE104" s="227"/>
      <c r="HF104" s="87"/>
      <c r="HG104" s="87"/>
      <c r="HH104" s="87"/>
      <c r="HI104" s="227"/>
      <c r="HJ104" s="227"/>
      <c r="HK104" s="236"/>
      <c r="HL104" s="237"/>
      <c r="HM104" s="230"/>
      <c r="HN104" s="232"/>
      <c r="HO104" s="239"/>
      <c r="HP104" s="239"/>
      <c r="HQ104" s="239"/>
      <c r="HR104" s="227"/>
      <c r="HS104" s="227"/>
      <c r="HT104" s="227"/>
      <c r="HU104" s="227"/>
      <c r="HV104" s="227"/>
      <c r="HW104" s="87"/>
      <c r="HX104" s="87"/>
      <c r="HY104" s="87"/>
      <c r="HZ104" s="227"/>
      <c r="IA104" s="227"/>
      <c r="IB104" s="236"/>
      <c r="IC104" s="237"/>
      <c r="ID104" s="230"/>
      <c r="IE104" s="232"/>
      <c r="IF104" s="239"/>
      <c r="IG104" s="239"/>
      <c r="IH104" s="239"/>
      <c r="II104" s="227"/>
      <c r="IJ104" s="227"/>
      <c r="IK104" s="227"/>
      <c r="IL104" s="227"/>
      <c r="IM104" s="227"/>
      <c r="IN104" s="87"/>
      <c r="IO104" s="87"/>
      <c r="IP104" s="87"/>
      <c r="IQ104" s="227"/>
      <c r="IR104" s="227"/>
      <c r="IS104" s="236"/>
      <c r="IT104" s="237"/>
      <c r="IU104" s="230"/>
      <c r="IV104" s="232"/>
      <c r="IW104" s="239"/>
      <c r="IX104" s="239"/>
      <c r="IY104" s="239"/>
      <c r="IZ104" s="227"/>
      <c r="JA104" s="227"/>
      <c r="JB104" s="227"/>
      <c r="JC104" s="227"/>
      <c r="JD104" s="227"/>
      <c r="JE104" s="87"/>
      <c r="JF104" s="87"/>
      <c r="JG104" s="87"/>
      <c r="JH104" s="227"/>
      <c r="JI104" s="227"/>
      <c r="JJ104" s="236"/>
      <c r="JK104" s="237"/>
      <c r="JL104" s="230"/>
      <c r="JM104" s="232"/>
      <c r="JN104" s="239"/>
      <c r="JO104" s="239"/>
      <c r="JP104" s="239"/>
      <c r="JQ104" s="227"/>
      <c r="JR104" s="227"/>
      <c r="JS104" s="227"/>
      <c r="JT104" s="227"/>
      <c r="JU104" s="227"/>
      <c r="JV104" s="87"/>
      <c r="JW104" s="87"/>
      <c r="JX104" s="87"/>
      <c r="JY104" s="227"/>
      <c r="JZ104" s="227"/>
      <c r="KA104" s="236"/>
      <c r="KB104" s="237"/>
      <c r="KC104" s="230"/>
      <c r="KD104" s="232"/>
      <c r="KE104" s="239"/>
      <c r="KF104" s="239"/>
      <c r="KG104" s="239"/>
      <c r="KH104" s="227"/>
      <c r="KI104" s="227"/>
      <c r="KJ104" s="227"/>
      <c r="KK104" s="227"/>
      <c r="KL104" s="227"/>
      <c r="KM104" s="87"/>
      <c r="KN104" s="87"/>
      <c r="KO104" s="87"/>
      <c r="KP104" s="227"/>
      <c r="KQ104" s="227"/>
      <c r="KR104" s="236"/>
      <c r="KS104" s="237"/>
      <c r="KT104" s="230"/>
      <c r="KU104" s="231"/>
    </row>
    <row r="105" ht="15.75" customHeight="1">
      <c r="A105" s="232"/>
      <c r="B105" s="246" t="str">
        <f>"Output Sekunder "&amp;" %"</f>
        <v>Output Sekunder  %</v>
      </c>
      <c r="C105" s="247"/>
      <c r="D105" s="247"/>
      <c r="E105" s="227"/>
      <c r="F105" s="248"/>
      <c r="G105" s="248"/>
      <c r="H105" s="248"/>
      <c r="I105" s="248"/>
      <c r="J105" s="110"/>
      <c r="K105" s="110"/>
      <c r="L105" s="110"/>
      <c r="M105" s="249">
        <f>E105/100*M103</f>
        <v>0</v>
      </c>
      <c r="N105" s="248"/>
      <c r="O105" s="248"/>
      <c r="P105" s="250">
        <f t="shared" ref="P105:P106" si="1552">M105</f>
        <v>0</v>
      </c>
      <c r="Q105" s="230"/>
      <c r="R105" s="232"/>
      <c r="S105" s="246" t="str">
        <f>"Output Sekunder "&amp;" %"</f>
        <v>Output Sekunder  %</v>
      </c>
      <c r="T105" s="247"/>
      <c r="U105" s="247"/>
      <c r="V105" s="227"/>
      <c r="W105" s="248"/>
      <c r="X105" s="248"/>
      <c r="Y105" s="248"/>
      <c r="Z105" s="248"/>
      <c r="AA105" s="110"/>
      <c r="AB105" s="110"/>
      <c r="AC105" s="110"/>
      <c r="AD105" s="249">
        <f>V105/100*AD103</f>
        <v>0</v>
      </c>
      <c r="AE105" s="248"/>
      <c r="AF105" s="248"/>
      <c r="AG105" s="250">
        <f t="shared" ref="AG105:AG106" si="1553">AD105</f>
        <v>0</v>
      </c>
      <c r="AH105" s="230"/>
      <c r="AI105" s="232"/>
      <c r="AJ105" s="246" t="str">
        <f>"Output Sekunder "&amp;" %"</f>
        <v>Output Sekunder  %</v>
      </c>
      <c r="AK105" s="247"/>
      <c r="AL105" s="247"/>
      <c r="AM105" s="227"/>
      <c r="AN105" s="248"/>
      <c r="AO105" s="248"/>
      <c r="AP105" s="248"/>
      <c r="AQ105" s="248"/>
      <c r="AR105" s="110"/>
      <c r="AS105" s="110"/>
      <c r="AT105" s="110"/>
      <c r="AU105" s="249">
        <f>AM105/100*AU103</f>
        <v>0</v>
      </c>
      <c r="AV105" s="248"/>
      <c r="AW105" s="248"/>
      <c r="AX105" s="250">
        <f t="shared" ref="AX105:AX106" si="1554">AU105</f>
        <v>0</v>
      </c>
      <c r="AY105" s="230"/>
      <c r="AZ105" s="232"/>
      <c r="BA105" s="246" t="str">
        <f>"Output Sekunder "&amp;" %"</f>
        <v>Output Sekunder  %</v>
      </c>
      <c r="BB105" s="247"/>
      <c r="BC105" s="247"/>
      <c r="BD105" s="227"/>
      <c r="BE105" s="248"/>
      <c r="BF105" s="248"/>
      <c r="BG105" s="248"/>
      <c r="BH105" s="248"/>
      <c r="BI105" s="110"/>
      <c r="BJ105" s="110"/>
      <c r="BK105" s="110"/>
      <c r="BL105" s="249">
        <f>BD105/100*BL103</f>
        <v>0</v>
      </c>
      <c r="BM105" s="248"/>
      <c r="BN105" s="248"/>
      <c r="BO105" s="250">
        <f t="shared" ref="BO105:BO106" si="1555">BL105</f>
        <v>0</v>
      </c>
      <c r="BP105" s="230"/>
      <c r="BQ105" s="232"/>
      <c r="BR105" s="246" t="str">
        <f>"Output Sekunder "&amp;" %"</f>
        <v>Output Sekunder  %</v>
      </c>
      <c r="BS105" s="247"/>
      <c r="BT105" s="247"/>
      <c r="BU105" s="227"/>
      <c r="BV105" s="248"/>
      <c r="BW105" s="248"/>
      <c r="BX105" s="248"/>
      <c r="BY105" s="248"/>
      <c r="BZ105" s="110"/>
      <c r="CA105" s="110"/>
      <c r="CB105" s="110"/>
      <c r="CC105" s="249">
        <f>BU105/100*CC103</f>
        <v>0</v>
      </c>
      <c r="CD105" s="248"/>
      <c r="CE105" s="248"/>
      <c r="CF105" s="250">
        <f t="shared" ref="CF105:CF106" si="1556">CC105</f>
        <v>0</v>
      </c>
      <c r="CG105" s="230"/>
      <c r="CH105" s="232"/>
      <c r="CI105" s="246" t="str">
        <f>"Output Sekunder "&amp;" %"</f>
        <v>Output Sekunder  %</v>
      </c>
      <c r="CJ105" s="247"/>
      <c r="CK105" s="247"/>
      <c r="CL105" s="227"/>
      <c r="CM105" s="248"/>
      <c r="CN105" s="248"/>
      <c r="CO105" s="248"/>
      <c r="CP105" s="248"/>
      <c r="CQ105" s="110"/>
      <c r="CR105" s="110"/>
      <c r="CS105" s="110"/>
      <c r="CT105" s="249">
        <f>CL105/100*CT103</f>
        <v>0</v>
      </c>
      <c r="CU105" s="248"/>
      <c r="CV105" s="248"/>
      <c r="CW105" s="250">
        <f t="shared" ref="CW105:CW106" si="1557">CT105</f>
        <v>0</v>
      </c>
      <c r="CX105" s="230"/>
      <c r="CY105" s="232"/>
      <c r="CZ105" s="246" t="str">
        <f>"Output Sekunder "&amp;" %"</f>
        <v>Output Sekunder  %</v>
      </c>
      <c r="DA105" s="247"/>
      <c r="DB105" s="247"/>
      <c r="DC105" s="227"/>
      <c r="DD105" s="248"/>
      <c r="DE105" s="248"/>
      <c r="DF105" s="248"/>
      <c r="DG105" s="248"/>
      <c r="DH105" s="110"/>
      <c r="DI105" s="110"/>
      <c r="DJ105" s="110"/>
      <c r="DK105" s="249">
        <f>DC105/100*DK103</f>
        <v>0</v>
      </c>
      <c r="DL105" s="248"/>
      <c r="DM105" s="248"/>
      <c r="DN105" s="250">
        <f t="shared" ref="DN105:DN106" si="1558">DK105</f>
        <v>0</v>
      </c>
      <c r="DO105" s="230"/>
      <c r="DP105" s="232"/>
      <c r="DQ105" s="246" t="str">
        <f>"Output Sekunder "&amp;" %"</f>
        <v>Output Sekunder  %</v>
      </c>
      <c r="DR105" s="247"/>
      <c r="DS105" s="247"/>
      <c r="DT105" s="227"/>
      <c r="DU105" s="248"/>
      <c r="DV105" s="248"/>
      <c r="DW105" s="248"/>
      <c r="DX105" s="248"/>
      <c r="DY105" s="110"/>
      <c r="DZ105" s="110"/>
      <c r="EA105" s="110"/>
      <c r="EB105" s="249">
        <f>DT105/100*EB103</f>
        <v>0</v>
      </c>
      <c r="EC105" s="248"/>
      <c r="ED105" s="248"/>
      <c r="EE105" s="250">
        <f t="shared" ref="EE105:EE106" si="1559">EB105</f>
        <v>0</v>
      </c>
      <c r="EF105" s="230"/>
      <c r="EG105" s="232"/>
      <c r="EH105" s="246" t="str">
        <f>"Output Sekunder "&amp;" %"</f>
        <v>Output Sekunder  %</v>
      </c>
      <c r="EI105" s="247"/>
      <c r="EJ105" s="247"/>
      <c r="EK105" s="227"/>
      <c r="EL105" s="248"/>
      <c r="EM105" s="248"/>
      <c r="EN105" s="248"/>
      <c r="EO105" s="248"/>
      <c r="EP105" s="110"/>
      <c r="EQ105" s="110"/>
      <c r="ER105" s="110"/>
      <c r="ES105" s="249">
        <f>EK105/100*ES103</f>
        <v>0</v>
      </c>
      <c r="ET105" s="248"/>
      <c r="EU105" s="248"/>
      <c r="EV105" s="250">
        <f t="shared" ref="EV105:EV106" si="1560">ES105</f>
        <v>0</v>
      </c>
      <c r="EW105" s="230"/>
      <c r="EX105" s="232"/>
      <c r="EY105" s="246" t="str">
        <f>"Output Sekunder "&amp;" %"</f>
        <v>Output Sekunder  %</v>
      </c>
      <c r="EZ105" s="247"/>
      <c r="FA105" s="247"/>
      <c r="FB105" s="227"/>
      <c r="FC105" s="248"/>
      <c r="FD105" s="248"/>
      <c r="FE105" s="248"/>
      <c r="FF105" s="248"/>
      <c r="FG105" s="110"/>
      <c r="FH105" s="110"/>
      <c r="FI105" s="110"/>
      <c r="FJ105" s="249">
        <f>FB105/100*FJ103</f>
        <v>0</v>
      </c>
      <c r="FK105" s="248"/>
      <c r="FL105" s="248"/>
      <c r="FM105" s="250">
        <f t="shared" ref="FM105:FM106" si="1561">FJ105</f>
        <v>0</v>
      </c>
      <c r="FN105" s="230"/>
      <c r="FO105" s="232"/>
      <c r="FP105" s="246" t="str">
        <f>"Output Sekunder "&amp;" %"</f>
        <v>Output Sekunder  %</v>
      </c>
      <c r="FQ105" s="247"/>
      <c r="FR105" s="247"/>
      <c r="FS105" s="227"/>
      <c r="FT105" s="248"/>
      <c r="FU105" s="248"/>
      <c r="FV105" s="248"/>
      <c r="FW105" s="248"/>
      <c r="FX105" s="110"/>
      <c r="FY105" s="110"/>
      <c r="FZ105" s="110"/>
      <c r="GA105" s="249">
        <f>FS105/100*GA103</f>
        <v>0</v>
      </c>
      <c r="GB105" s="248"/>
      <c r="GC105" s="248"/>
      <c r="GD105" s="250">
        <f t="shared" ref="GD105:GD106" si="1562">GA105</f>
        <v>0</v>
      </c>
      <c r="GE105" s="230"/>
      <c r="GF105" s="232"/>
      <c r="GG105" s="246" t="str">
        <f>"Output Sekunder "&amp;" %"</f>
        <v>Output Sekunder  %</v>
      </c>
      <c r="GH105" s="247"/>
      <c r="GI105" s="247"/>
      <c r="GJ105" s="227"/>
      <c r="GK105" s="248"/>
      <c r="GL105" s="248"/>
      <c r="GM105" s="248"/>
      <c r="GN105" s="248"/>
      <c r="GO105" s="110"/>
      <c r="GP105" s="110"/>
      <c r="GQ105" s="110"/>
      <c r="GR105" s="249">
        <f>GJ105/100*GR103</f>
        <v>0</v>
      </c>
      <c r="GS105" s="248"/>
      <c r="GT105" s="248"/>
      <c r="GU105" s="250">
        <f t="shared" ref="GU105:GU106" si="1563">GR105</f>
        <v>0</v>
      </c>
      <c r="GV105" s="230"/>
      <c r="GW105" s="232"/>
      <c r="GX105" s="246" t="str">
        <f>"Output Sekunder "&amp;" %"</f>
        <v>Output Sekunder  %</v>
      </c>
      <c r="GY105" s="247"/>
      <c r="GZ105" s="247"/>
      <c r="HA105" s="227"/>
      <c r="HB105" s="248"/>
      <c r="HC105" s="248"/>
      <c r="HD105" s="248"/>
      <c r="HE105" s="248"/>
      <c r="HF105" s="110"/>
      <c r="HG105" s="110"/>
      <c r="HH105" s="110"/>
      <c r="HI105" s="249">
        <f>HA105/100*HI103</f>
        <v>0</v>
      </c>
      <c r="HJ105" s="248"/>
      <c r="HK105" s="248"/>
      <c r="HL105" s="250">
        <f t="shared" ref="HL105:HL106" si="1564">HI105</f>
        <v>0</v>
      </c>
      <c r="HM105" s="230"/>
      <c r="HN105" s="232"/>
      <c r="HO105" s="246" t="str">
        <f>"Output Sekunder "&amp;" %"</f>
        <v>Output Sekunder  %</v>
      </c>
      <c r="HP105" s="247"/>
      <c r="HQ105" s="247"/>
      <c r="HR105" s="227"/>
      <c r="HS105" s="248"/>
      <c r="HT105" s="248"/>
      <c r="HU105" s="248"/>
      <c r="HV105" s="248"/>
      <c r="HW105" s="110"/>
      <c r="HX105" s="110"/>
      <c r="HY105" s="110"/>
      <c r="HZ105" s="249">
        <f>HR105/100*HZ103</f>
        <v>0</v>
      </c>
      <c r="IA105" s="248"/>
      <c r="IB105" s="248"/>
      <c r="IC105" s="250">
        <f t="shared" ref="IC105:IC106" si="1565">HZ105</f>
        <v>0</v>
      </c>
      <c r="ID105" s="230"/>
      <c r="IE105" s="232"/>
      <c r="IF105" s="246" t="str">
        <f>"Output Sekunder "&amp;" %"</f>
        <v>Output Sekunder  %</v>
      </c>
      <c r="IG105" s="247"/>
      <c r="IH105" s="247"/>
      <c r="II105" s="227"/>
      <c r="IJ105" s="248"/>
      <c r="IK105" s="248"/>
      <c r="IL105" s="248"/>
      <c r="IM105" s="248"/>
      <c r="IN105" s="110"/>
      <c r="IO105" s="110"/>
      <c r="IP105" s="110"/>
      <c r="IQ105" s="249">
        <f>II105/100*IQ103</f>
        <v>0</v>
      </c>
      <c r="IR105" s="248"/>
      <c r="IS105" s="248"/>
      <c r="IT105" s="250">
        <f t="shared" ref="IT105:IT106" si="1566">IQ105</f>
        <v>0</v>
      </c>
      <c r="IU105" s="230"/>
      <c r="IV105" s="232"/>
      <c r="IW105" s="246" t="str">
        <f>"Output Sekunder "&amp;" %"</f>
        <v>Output Sekunder  %</v>
      </c>
      <c r="IX105" s="247"/>
      <c r="IY105" s="247"/>
      <c r="IZ105" s="227"/>
      <c r="JA105" s="248"/>
      <c r="JB105" s="248"/>
      <c r="JC105" s="248"/>
      <c r="JD105" s="248"/>
      <c r="JE105" s="110"/>
      <c r="JF105" s="110"/>
      <c r="JG105" s="110"/>
      <c r="JH105" s="249">
        <f>IZ105/100*JH103</f>
        <v>0</v>
      </c>
      <c r="JI105" s="248"/>
      <c r="JJ105" s="248"/>
      <c r="JK105" s="250">
        <f t="shared" ref="JK105:JK106" si="1567">JH105</f>
        <v>0</v>
      </c>
      <c r="JL105" s="230"/>
      <c r="JM105" s="232"/>
      <c r="JN105" s="246" t="str">
        <f>"Output Sekunder "&amp;" %"</f>
        <v>Output Sekunder  %</v>
      </c>
      <c r="JO105" s="247"/>
      <c r="JP105" s="247"/>
      <c r="JQ105" s="227"/>
      <c r="JR105" s="248"/>
      <c r="JS105" s="248"/>
      <c r="JT105" s="248"/>
      <c r="JU105" s="248"/>
      <c r="JV105" s="110"/>
      <c r="JW105" s="110"/>
      <c r="JX105" s="110"/>
      <c r="JY105" s="249">
        <f>JQ105/100*JY103</f>
        <v>0</v>
      </c>
      <c r="JZ105" s="248"/>
      <c r="KA105" s="248"/>
      <c r="KB105" s="250">
        <f t="shared" ref="KB105:KB106" si="1568">JY105</f>
        <v>0</v>
      </c>
      <c r="KC105" s="230"/>
      <c r="KD105" s="232"/>
      <c r="KE105" s="246" t="str">
        <f>"Output Sekunder "&amp;" %"</f>
        <v>Output Sekunder  %</v>
      </c>
      <c r="KF105" s="247"/>
      <c r="KG105" s="247"/>
      <c r="KH105" s="227"/>
      <c r="KI105" s="248"/>
      <c r="KJ105" s="248"/>
      <c r="KK105" s="248"/>
      <c r="KL105" s="248"/>
      <c r="KM105" s="110"/>
      <c r="KN105" s="110"/>
      <c r="KO105" s="110"/>
      <c r="KP105" s="249">
        <f>KH105/100*KP103</f>
        <v>0</v>
      </c>
      <c r="KQ105" s="248"/>
      <c r="KR105" s="248"/>
      <c r="KS105" s="250">
        <f t="shared" ref="KS105:KS106" si="1569">KP105</f>
        <v>0</v>
      </c>
      <c r="KT105" s="230"/>
      <c r="KU105" s="231"/>
    </row>
    <row r="106" ht="15.75" customHeight="1">
      <c r="A106" s="232"/>
      <c r="B106" s="251" t="str">
        <f>"Adjusment "&amp;" %"</f>
        <v>Adjusment  %</v>
      </c>
      <c r="C106" s="252"/>
      <c r="D106" s="252"/>
      <c r="E106" s="227"/>
      <c r="F106" s="248"/>
      <c r="G106" s="248"/>
      <c r="H106" s="248"/>
      <c r="I106" s="248"/>
      <c r="J106" s="110"/>
      <c r="K106" s="110"/>
      <c r="L106" s="110"/>
      <c r="M106" s="253">
        <f>E106/100*(M103+M105)</f>
        <v>0</v>
      </c>
      <c r="N106" s="248"/>
      <c r="O106" s="248"/>
      <c r="P106" s="254">
        <f t="shared" si="1552"/>
        <v>0</v>
      </c>
      <c r="Q106" s="230"/>
      <c r="R106" s="232"/>
      <c r="S106" s="251" t="str">
        <f>"Adjusment "&amp;" %"</f>
        <v>Adjusment  %</v>
      </c>
      <c r="T106" s="252"/>
      <c r="U106" s="252"/>
      <c r="V106" s="227"/>
      <c r="W106" s="248"/>
      <c r="X106" s="248"/>
      <c r="Y106" s="248"/>
      <c r="Z106" s="248"/>
      <c r="AA106" s="110"/>
      <c r="AB106" s="110"/>
      <c r="AC106" s="110"/>
      <c r="AD106" s="253">
        <f>V106/100*(AD103+AD105)</f>
        <v>0</v>
      </c>
      <c r="AE106" s="248"/>
      <c r="AF106" s="248"/>
      <c r="AG106" s="254">
        <f t="shared" si="1553"/>
        <v>0</v>
      </c>
      <c r="AH106" s="230"/>
      <c r="AI106" s="232"/>
      <c r="AJ106" s="251" t="str">
        <f>"Adjusment "&amp;" %"</f>
        <v>Adjusment  %</v>
      </c>
      <c r="AK106" s="252"/>
      <c r="AL106" s="252"/>
      <c r="AM106" s="227"/>
      <c r="AN106" s="248"/>
      <c r="AO106" s="248"/>
      <c r="AP106" s="248"/>
      <c r="AQ106" s="248"/>
      <c r="AR106" s="110"/>
      <c r="AS106" s="110"/>
      <c r="AT106" s="110"/>
      <c r="AU106" s="253">
        <f>AM106/100*(AU103+AU105)</f>
        <v>0</v>
      </c>
      <c r="AV106" s="248"/>
      <c r="AW106" s="248"/>
      <c r="AX106" s="254">
        <f t="shared" si="1554"/>
        <v>0</v>
      </c>
      <c r="AY106" s="230"/>
      <c r="AZ106" s="232"/>
      <c r="BA106" s="251" t="str">
        <f>"Adjusment "&amp;" %"</f>
        <v>Adjusment  %</v>
      </c>
      <c r="BB106" s="252"/>
      <c r="BC106" s="252"/>
      <c r="BD106" s="227"/>
      <c r="BE106" s="248"/>
      <c r="BF106" s="248"/>
      <c r="BG106" s="248"/>
      <c r="BH106" s="248"/>
      <c r="BI106" s="110"/>
      <c r="BJ106" s="110"/>
      <c r="BK106" s="110"/>
      <c r="BL106" s="253">
        <f>BD106/100*(BL103+BL105)</f>
        <v>0</v>
      </c>
      <c r="BM106" s="248"/>
      <c r="BN106" s="248"/>
      <c r="BO106" s="254">
        <f t="shared" si="1555"/>
        <v>0</v>
      </c>
      <c r="BP106" s="230"/>
      <c r="BQ106" s="232"/>
      <c r="BR106" s="251" t="str">
        <f>"Adjusment "&amp;" %"</f>
        <v>Adjusment  %</v>
      </c>
      <c r="BS106" s="252"/>
      <c r="BT106" s="252"/>
      <c r="BU106" s="227"/>
      <c r="BV106" s="248"/>
      <c r="BW106" s="248"/>
      <c r="BX106" s="248"/>
      <c r="BY106" s="248"/>
      <c r="BZ106" s="110"/>
      <c r="CA106" s="110"/>
      <c r="CB106" s="110"/>
      <c r="CC106" s="253">
        <f>BU106/100*(CC103+CC105)</f>
        <v>0</v>
      </c>
      <c r="CD106" s="248"/>
      <c r="CE106" s="248"/>
      <c r="CF106" s="254">
        <f t="shared" si="1556"/>
        <v>0</v>
      </c>
      <c r="CG106" s="230"/>
      <c r="CH106" s="232"/>
      <c r="CI106" s="251" t="str">
        <f>"Adjusment "&amp;" %"</f>
        <v>Adjusment  %</v>
      </c>
      <c r="CJ106" s="252"/>
      <c r="CK106" s="252"/>
      <c r="CL106" s="227"/>
      <c r="CM106" s="248"/>
      <c r="CN106" s="248"/>
      <c r="CO106" s="248"/>
      <c r="CP106" s="248"/>
      <c r="CQ106" s="110"/>
      <c r="CR106" s="110"/>
      <c r="CS106" s="110"/>
      <c r="CT106" s="253">
        <f>CL106/100*(CT103+CT105)</f>
        <v>0</v>
      </c>
      <c r="CU106" s="248"/>
      <c r="CV106" s="248"/>
      <c r="CW106" s="254">
        <f t="shared" si="1557"/>
        <v>0</v>
      </c>
      <c r="CX106" s="230"/>
      <c r="CY106" s="232"/>
      <c r="CZ106" s="251" t="str">
        <f>"Adjusment "&amp;" %"</f>
        <v>Adjusment  %</v>
      </c>
      <c r="DA106" s="252"/>
      <c r="DB106" s="252"/>
      <c r="DC106" s="227"/>
      <c r="DD106" s="248"/>
      <c r="DE106" s="248"/>
      <c r="DF106" s="248"/>
      <c r="DG106" s="248"/>
      <c r="DH106" s="110"/>
      <c r="DI106" s="110"/>
      <c r="DJ106" s="110"/>
      <c r="DK106" s="253">
        <f>DC106/100*(DK103+DK105)</f>
        <v>0</v>
      </c>
      <c r="DL106" s="248"/>
      <c r="DM106" s="248"/>
      <c r="DN106" s="254">
        <f t="shared" si="1558"/>
        <v>0</v>
      </c>
      <c r="DO106" s="230"/>
      <c r="DP106" s="232"/>
      <c r="DQ106" s="251" t="str">
        <f>"Adjusment "&amp;" %"</f>
        <v>Adjusment  %</v>
      </c>
      <c r="DR106" s="252"/>
      <c r="DS106" s="252"/>
      <c r="DT106" s="227"/>
      <c r="DU106" s="248"/>
      <c r="DV106" s="248"/>
      <c r="DW106" s="248"/>
      <c r="DX106" s="248"/>
      <c r="DY106" s="110"/>
      <c r="DZ106" s="110"/>
      <c r="EA106" s="110"/>
      <c r="EB106" s="253">
        <f>DT106/100*(EB103+EB105)</f>
        <v>0</v>
      </c>
      <c r="EC106" s="248"/>
      <c r="ED106" s="248"/>
      <c r="EE106" s="254">
        <f t="shared" si="1559"/>
        <v>0</v>
      </c>
      <c r="EF106" s="230"/>
      <c r="EG106" s="232"/>
      <c r="EH106" s="251" t="str">
        <f>"Adjusment "&amp;" %"</f>
        <v>Adjusment  %</v>
      </c>
      <c r="EI106" s="252"/>
      <c r="EJ106" s="252"/>
      <c r="EK106" s="227"/>
      <c r="EL106" s="248"/>
      <c r="EM106" s="248"/>
      <c r="EN106" s="248"/>
      <c r="EO106" s="248"/>
      <c r="EP106" s="110"/>
      <c r="EQ106" s="110"/>
      <c r="ER106" s="110"/>
      <c r="ES106" s="253">
        <f>EK106/100*(ES103+ES105)</f>
        <v>0</v>
      </c>
      <c r="ET106" s="248"/>
      <c r="EU106" s="248"/>
      <c r="EV106" s="254">
        <f t="shared" si="1560"/>
        <v>0</v>
      </c>
      <c r="EW106" s="230"/>
      <c r="EX106" s="232"/>
      <c r="EY106" s="251" t="str">
        <f>"Adjusment "&amp;" %"</f>
        <v>Adjusment  %</v>
      </c>
      <c r="EZ106" s="252"/>
      <c r="FA106" s="252"/>
      <c r="FB106" s="227"/>
      <c r="FC106" s="248"/>
      <c r="FD106" s="248"/>
      <c r="FE106" s="248"/>
      <c r="FF106" s="248"/>
      <c r="FG106" s="110"/>
      <c r="FH106" s="110"/>
      <c r="FI106" s="110"/>
      <c r="FJ106" s="253">
        <f>FB106/100*(FJ103+FJ105)</f>
        <v>0</v>
      </c>
      <c r="FK106" s="248"/>
      <c r="FL106" s="248"/>
      <c r="FM106" s="254">
        <f t="shared" si="1561"/>
        <v>0</v>
      </c>
      <c r="FN106" s="230"/>
      <c r="FO106" s="232"/>
      <c r="FP106" s="251" t="str">
        <f>"Adjusment "&amp;" %"</f>
        <v>Adjusment  %</v>
      </c>
      <c r="FQ106" s="252"/>
      <c r="FR106" s="252"/>
      <c r="FS106" s="227"/>
      <c r="FT106" s="248"/>
      <c r="FU106" s="248"/>
      <c r="FV106" s="248"/>
      <c r="FW106" s="248"/>
      <c r="FX106" s="110"/>
      <c r="FY106" s="110"/>
      <c r="FZ106" s="110"/>
      <c r="GA106" s="253">
        <f>FS106/100*(GA103+GA105)</f>
        <v>0</v>
      </c>
      <c r="GB106" s="248"/>
      <c r="GC106" s="248"/>
      <c r="GD106" s="254">
        <f t="shared" si="1562"/>
        <v>0</v>
      </c>
      <c r="GE106" s="230"/>
      <c r="GF106" s="232"/>
      <c r="GG106" s="251" t="str">
        <f>"Adjusment "&amp;" %"</f>
        <v>Adjusment  %</v>
      </c>
      <c r="GH106" s="252"/>
      <c r="GI106" s="252"/>
      <c r="GJ106" s="227"/>
      <c r="GK106" s="248"/>
      <c r="GL106" s="248"/>
      <c r="GM106" s="248"/>
      <c r="GN106" s="248"/>
      <c r="GO106" s="110"/>
      <c r="GP106" s="110"/>
      <c r="GQ106" s="110"/>
      <c r="GR106" s="253">
        <f>GJ106/100*(GR103+GR105)</f>
        <v>0</v>
      </c>
      <c r="GS106" s="248"/>
      <c r="GT106" s="248"/>
      <c r="GU106" s="254">
        <f t="shared" si="1563"/>
        <v>0</v>
      </c>
      <c r="GV106" s="230"/>
      <c r="GW106" s="232"/>
      <c r="GX106" s="251" t="str">
        <f>"Adjusment "&amp;" %"</f>
        <v>Adjusment  %</v>
      </c>
      <c r="GY106" s="252"/>
      <c r="GZ106" s="252"/>
      <c r="HA106" s="227"/>
      <c r="HB106" s="248"/>
      <c r="HC106" s="248"/>
      <c r="HD106" s="248"/>
      <c r="HE106" s="248"/>
      <c r="HF106" s="110"/>
      <c r="HG106" s="110"/>
      <c r="HH106" s="110"/>
      <c r="HI106" s="253">
        <f>HA106/100*(HI103+HI105)</f>
        <v>0</v>
      </c>
      <c r="HJ106" s="248"/>
      <c r="HK106" s="248"/>
      <c r="HL106" s="254">
        <f t="shared" si="1564"/>
        <v>0</v>
      </c>
      <c r="HM106" s="230"/>
      <c r="HN106" s="232"/>
      <c r="HO106" s="251" t="str">
        <f>"Adjusment "&amp;" %"</f>
        <v>Adjusment  %</v>
      </c>
      <c r="HP106" s="252"/>
      <c r="HQ106" s="252"/>
      <c r="HR106" s="227"/>
      <c r="HS106" s="248"/>
      <c r="HT106" s="248"/>
      <c r="HU106" s="248"/>
      <c r="HV106" s="248"/>
      <c r="HW106" s="110"/>
      <c r="HX106" s="110"/>
      <c r="HY106" s="110"/>
      <c r="HZ106" s="253">
        <f>HR106/100*(HZ103+HZ105)</f>
        <v>0</v>
      </c>
      <c r="IA106" s="248"/>
      <c r="IB106" s="248"/>
      <c r="IC106" s="254">
        <f t="shared" si="1565"/>
        <v>0</v>
      </c>
      <c r="ID106" s="230"/>
      <c r="IE106" s="232"/>
      <c r="IF106" s="251" t="str">
        <f>"Adjusment "&amp;" %"</f>
        <v>Adjusment  %</v>
      </c>
      <c r="IG106" s="252"/>
      <c r="IH106" s="252"/>
      <c r="II106" s="227"/>
      <c r="IJ106" s="248"/>
      <c r="IK106" s="248"/>
      <c r="IL106" s="248"/>
      <c r="IM106" s="248"/>
      <c r="IN106" s="110"/>
      <c r="IO106" s="110"/>
      <c r="IP106" s="110"/>
      <c r="IQ106" s="253">
        <f>II106/100*(IQ103+IQ105)</f>
        <v>0</v>
      </c>
      <c r="IR106" s="248"/>
      <c r="IS106" s="248"/>
      <c r="IT106" s="254">
        <f t="shared" si="1566"/>
        <v>0</v>
      </c>
      <c r="IU106" s="230"/>
      <c r="IV106" s="232"/>
      <c r="IW106" s="251" t="str">
        <f>"Adjusment "&amp;" %"</f>
        <v>Adjusment  %</v>
      </c>
      <c r="IX106" s="252"/>
      <c r="IY106" s="252"/>
      <c r="IZ106" s="227"/>
      <c r="JA106" s="248"/>
      <c r="JB106" s="248"/>
      <c r="JC106" s="248"/>
      <c r="JD106" s="248"/>
      <c r="JE106" s="110"/>
      <c r="JF106" s="110"/>
      <c r="JG106" s="110"/>
      <c r="JH106" s="253">
        <f>IZ106/100*(JH103+JH105)</f>
        <v>0</v>
      </c>
      <c r="JI106" s="248"/>
      <c r="JJ106" s="248"/>
      <c r="JK106" s="254">
        <f t="shared" si="1567"/>
        <v>0</v>
      </c>
      <c r="JL106" s="230"/>
      <c r="JM106" s="232"/>
      <c r="JN106" s="251" t="str">
        <f>"Adjusment "&amp;" %"</f>
        <v>Adjusment  %</v>
      </c>
      <c r="JO106" s="252"/>
      <c r="JP106" s="252"/>
      <c r="JQ106" s="227"/>
      <c r="JR106" s="248"/>
      <c r="JS106" s="248"/>
      <c r="JT106" s="248"/>
      <c r="JU106" s="248"/>
      <c r="JV106" s="110"/>
      <c r="JW106" s="110"/>
      <c r="JX106" s="110"/>
      <c r="JY106" s="253">
        <f>JQ106/100*(JY103+JY105)</f>
        <v>0</v>
      </c>
      <c r="JZ106" s="248"/>
      <c r="KA106" s="248"/>
      <c r="KB106" s="254">
        <f t="shared" si="1568"/>
        <v>0</v>
      </c>
      <c r="KC106" s="230"/>
      <c r="KD106" s="232"/>
      <c r="KE106" s="251" t="str">
        <f>"Adjusment "&amp;" %"</f>
        <v>Adjusment  %</v>
      </c>
      <c r="KF106" s="252"/>
      <c r="KG106" s="252"/>
      <c r="KH106" s="227"/>
      <c r="KI106" s="248"/>
      <c r="KJ106" s="248"/>
      <c r="KK106" s="248"/>
      <c r="KL106" s="248"/>
      <c r="KM106" s="110"/>
      <c r="KN106" s="110"/>
      <c r="KO106" s="110"/>
      <c r="KP106" s="253">
        <f>KH106/100*(KP103+KP105)</f>
        <v>0</v>
      </c>
      <c r="KQ106" s="248"/>
      <c r="KR106" s="248"/>
      <c r="KS106" s="254">
        <f t="shared" si="1569"/>
        <v>0</v>
      </c>
      <c r="KT106" s="230"/>
      <c r="KU106" s="231"/>
    </row>
    <row r="107" ht="15.75" customHeight="1">
      <c r="A107" s="232"/>
      <c r="B107" s="233"/>
      <c r="C107" s="234"/>
      <c r="D107" s="234"/>
      <c r="E107" s="227"/>
      <c r="F107" s="227"/>
      <c r="G107" s="227"/>
      <c r="H107" s="227"/>
      <c r="I107" s="227"/>
      <c r="J107" s="87"/>
      <c r="K107" s="87"/>
      <c r="L107" s="87"/>
      <c r="M107" s="227"/>
      <c r="N107" s="227"/>
      <c r="O107" s="227"/>
      <c r="P107" s="237"/>
      <c r="Q107" s="230"/>
      <c r="R107" s="232"/>
      <c r="S107" s="233"/>
      <c r="T107" s="234"/>
      <c r="U107" s="234"/>
      <c r="V107" s="227"/>
      <c r="W107" s="227"/>
      <c r="X107" s="227"/>
      <c r="Y107" s="227"/>
      <c r="Z107" s="227"/>
      <c r="AA107" s="87"/>
      <c r="AB107" s="87"/>
      <c r="AC107" s="87"/>
      <c r="AD107" s="227"/>
      <c r="AE107" s="227"/>
      <c r="AF107" s="227"/>
      <c r="AG107" s="237"/>
      <c r="AH107" s="230"/>
      <c r="AI107" s="232"/>
      <c r="AJ107" s="233"/>
      <c r="AK107" s="234"/>
      <c r="AL107" s="234"/>
      <c r="AM107" s="227"/>
      <c r="AN107" s="227"/>
      <c r="AO107" s="227"/>
      <c r="AP107" s="227"/>
      <c r="AQ107" s="227"/>
      <c r="AR107" s="87"/>
      <c r="AS107" s="87"/>
      <c r="AT107" s="87"/>
      <c r="AU107" s="227"/>
      <c r="AV107" s="227"/>
      <c r="AW107" s="227"/>
      <c r="AX107" s="237"/>
      <c r="AY107" s="230"/>
      <c r="AZ107" s="232"/>
      <c r="BA107" s="233"/>
      <c r="BB107" s="234"/>
      <c r="BC107" s="234"/>
      <c r="BD107" s="227"/>
      <c r="BE107" s="227"/>
      <c r="BF107" s="227"/>
      <c r="BG107" s="227"/>
      <c r="BH107" s="227"/>
      <c r="BI107" s="87"/>
      <c r="BJ107" s="87"/>
      <c r="BK107" s="87"/>
      <c r="BL107" s="227"/>
      <c r="BM107" s="227"/>
      <c r="BN107" s="227"/>
      <c r="BO107" s="237"/>
      <c r="BP107" s="230"/>
      <c r="BQ107" s="232"/>
      <c r="BR107" s="233"/>
      <c r="BS107" s="234"/>
      <c r="BT107" s="234"/>
      <c r="BU107" s="227"/>
      <c r="BV107" s="227"/>
      <c r="BW107" s="227"/>
      <c r="BX107" s="227"/>
      <c r="BY107" s="227"/>
      <c r="BZ107" s="87"/>
      <c r="CA107" s="87"/>
      <c r="CB107" s="87"/>
      <c r="CC107" s="227"/>
      <c r="CD107" s="227"/>
      <c r="CE107" s="227"/>
      <c r="CF107" s="237"/>
      <c r="CG107" s="230"/>
      <c r="CH107" s="232"/>
      <c r="CI107" s="233"/>
      <c r="CJ107" s="234"/>
      <c r="CK107" s="234"/>
      <c r="CL107" s="227"/>
      <c r="CM107" s="227"/>
      <c r="CN107" s="227"/>
      <c r="CO107" s="227"/>
      <c r="CP107" s="227"/>
      <c r="CQ107" s="87"/>
      <c r="CR107" s="87"/>
      <c r="CS107" s="87"/>
      <c r="CT107" s="227"/>
      <c r="CU107" s="227"/>
      <c r="CV107" s="227"/>
      <c r="CW107" s="237"/>
      <c r="CX107" s="230"/>
      <c r="CY107" s="232"/>
      <c r="CZ107" s="233"/>
      <c r="DA107" s="234"/>
      <c r="DB107" s="234"/>
      <c r="DC107" s="227"/>
      <c r="DD107" s="227"/>
      <c r="DE107" s="227"/>
      <c r="DF107" s="227"/>
      <c r="DG107" s="227"/>
      <c r="DH107" s="87"/>
      <c r="DI107" s="87"/>
      <c r="DJ107" s="87"/>
      <c r="DK107" s="227"/>
      <c r="DL107" s="227"/>
      <c r="DM107" s="227"/>
      <c r="DN107" s="237"/>
      <c r="DO107" s="230"/>
      <c r="DP107" s="232"/>
      <c r="DQ107" s="233"/>
      <c r="DR107" s="234"/>
      <c r="DS107" s="234"/>
      <c r="DT107" s="227"/>
      <c r="DU107" s="227"/>
      <c r="DV107" s="227"/>
      <c r="DW107" s="227"/>
      <c r="DX107" s="227"/>
      <c r="DY107" s="87"/>
      <c r="DZ107" s="87"/>
      <c r="EA107" s="87"/>
      <c r="EB107" s="227"/>
      <c r="EC107" s="227"/>
      <c r="ED107" s="227"/>
      <c r="EE107" s="237"/>
      <c r="EF107" s="230"/>
      <c r="EG107" s="232"/>
      <c r="EH107" s="233"/>
      <c r="EI107" s="234"/>
      <c r="EJ107" s="234"/>
      <c r="EK107" s="227"/>
      <c r="EL107" s="227"/>
      <c r="EM107" s="227"/>
      <c r="EN107" s="227"/>
      <c r="EO107" s="227"/>
      <c r="EP107" s="87"/>
      <c r="EQ107" s="87"/>
      <c r="ER107" s="87"/>
      <c r="ES107" s="227"/>
      <c r="ET107" s="227"/>
      <c r="EU107" s="227"/>
      <c r="EV107" s="237"/>
      <c r="EW107" s="230"/>
      <c r="EX107" s="232"/>
      <c r="EY107" s="233"/>
      <c r="EZ107" s="234"/>
      <c r="FA107" s="234"/>
      <c r="FB107" s="227"/>
      <c r="FC107" s="227"/>
      <c r="FD107" s="227"/>
      <c r="FE107" s="227"/>
      <c r="FF107" s="227"/>
      <c r="FG107" s="87"/>
      <c r="FH107" s="87"/>
      <c r="FI107" s="87"/>
      <c r="FJ107" s="227"/>
      <c r="FK107" s="227"/>
      <c r="FL107" s="227"/>
      <c r="FM107" s="237"/>
      <c r="FN107" s="230"/>
      <c r="FO107" s="232"/>
      <c r="FP107" s="233"/>
      <c r="FQ107" s="234"/>
      <c r="FR107" s="234"/>
      <c r="FS107" s="227"/>
      <c r="FT107" s="227"/>
      <c r="FU107" s="227"/>
      <c r="FV107" s="227"/>
      <c r="FW107" s="227"/>
      <c r="FX107" s="87"/>
      <c r="FY107" s="87"/>
      <c r="FZ107" s="87"/>
      <c r="GA107" s="227"/>
      <c r="GB107" s="227"/>
      <c r="GC107" s="227"/>
      <c r="GD107" s="237"/>
      <c r="GE107" s="230"/>
      <c r="GF107" s="232"/>
      <c r="GG107" s="233"/>
      <c r="GH107" s="234"/>
      <c r="GI107" s="234"/>
      <c r="GJ107" s="227"/>
      <c r="GK107" s="227"/>
      <c r="GL107" s="227"/>
      <c r="GM107" s="227"/>
      <c r="GN107" s="227"/>
      <c r="GO107" s="87"/>
      <c r="GP107" s="87"/>
      <c r="GQ107" s="87"/>
      <c r="GR107" s="227"/>
      <c r="GS107" s="227"/>
      <c r="GT107" s="227"/>
      <c r="GU107" s="237"/>
      <c r="GV107" s="230"/>
      <c r="GW107" s="232"/>
      <c r="GX107" s="233"/>
      <c r="GY107" s="234"/>
      <c r="GZ107" s="234"/>
      <c r="HA107" s="227"/>
      <c r="HB107" s="227"/>
      <c r="HC107" s="227"/>
      <c r="HD107" s="227"/>
      <c r="HE107" s="227"/>
      <c r="HF107" s="87"/>
      <c r="HG107" s="87"/>
      <c r="HH107" s="87"/>
      <c r="HI107" s="227"/>
      <c r="HJ107" s="227"/>
      <c r="HK107" s="227"/>
      <c r="HL107" s="237"/>
      <c r="HM107" s="230"/>
      <c r="HN107" s="232"/>
      <c r="HO107" s="233"/>
      <c r="HP107" s="234"/>
      <c r="HQ107" s="234"/>
      <c r="HR107" s="227"/>
      <c r="HS107" s="227"/>
      <c r="HT107" s="227"/>
      <c r="HU107" s="227"/>
      <c r="HV107" s="227"/>
      <c r="HW107" s="87"/>
      <c r="HX107" s="87"/>
      <c r="HY107" s="87"/>
      <c r="HZ107" s="227"/>
      <c r="IA107" s="227"/>
      <c r="IB107" s="227"/>
      <c r="IC107" s="237"/>
      <c r="ID107" s="230"/>
      <c r="IE107" s="232"/>
      <c r="IF107" s="233"/>
      <c r="IG107" s="234"/>
      <c r="IH107" s="234"/>
      <c r="II107" s="227"/>
      <c r="IJ107" s="227"/>
      <c r="IK107" s="227"/>
      <c r="IL107" s="227"/>
      <c r="IM107" s="227"/>
      <c r="IN107" s="87"/>
      <c r="IO107" s="87"/>
      <c r="IP107" s="87"/>
      <c r="IQ107" s="227"/>
      <c r="IR107" s="227"/>
      <c r="IS107" s="227"/>
      <c r="IT107" s="237"/>
      <c r="IU107" s="230"/>
      <c r="IV107" s="232"/>
      <c r="IW107" s="233"/>
      <c r="IX107" s="234"/>
      <c r="IY107" s="234"/>
      <c r="IZ107" s="227"/>
      <c r="JA107" s="227"/>
      <c r="JB107" s="227"/>
      <c r="JC107" s="227"/>
      <c r="JD107" s="227"/>
      <c r="JE107" s="87"/>
      <c r="JF107" s="87"/>
      <c r="JG107" s="87"/>
      <c r="JH107" s="227"/>
      <c r="JI107" s="227"/>
      <c r="JJ107" s="227"/>
      <c r="JK107" s="237"/>
      <c r="JL107" s="230"/>
      <c r="JM107" s="232"/>
      <c r="JN107" s="233"/>
      <c r="JO107" s="234"/>
      <c r="JP107" s="234"/>
      <c r="JQ107" s="227"/>
      <c r="JR107" s="227"/>
      <c r="JS107" s="227"/>
      <c r="JT107" s="227"/>
      <c r="JU107" s="227"/>
      <c r="JV107" s="87"/>
      <c r="JW107" s="87"/>
      <c r="JX107" s="87"/>
      <c r="JY107" s="227"/>
      <c r="JZ107" s="227"/>
      <c r="KA107" s="227"/>
      <c r="KB107" s="237"/>
      <c r="KC107" s="230"/>
      <c r="KD107" s="232"/>
      <c r="KE107" s="233"/>
      <c r="KF107" s="234"/>
      <c r="KG107" s="234"/>
      <c r="KH107" s="227"/>
      <c r="KI107" s="227"/>
      <c r="KJ107" s="227"/>
      <c r="KK107" s="227"/>
      <c r="KL107" s="227"/>
      <c r="KM107" s="87"/>
      <c r="KN107" s="87"/>
      <c r="KO107" s="87"/>
      <c r="KP107" s="227"/>
      <c r="KQ107" s="227"/>
      <c r="KR107" s="227"/>
      <c r="KS107" s="237"/>
      <c r="KT107" s="230"/>
      <c r="KU107" s="231"/>
    </row>
    <row r="108" ht="24.0" customHeight="1">
      <c r="A108" s="255" t="s">
        <v>52</v>
      </c>
      <c r="B108" s="118"/>
      <c r="C108" s="256"/>
      <c r="D108" s="256"/>
      <c r="E108" s="257"/>
      <c r="F108" s="257"/>
      <c r="G108" s="258">
        <f>SUM(G103:G107)</f>
        <v>0</v>
      </c>
      <c r="H108" s="257"/>
      <c r="I108" s="258">
        <f>SUM(I103:I107)</f>
        <v>0</v>
      </c>
      <c r="J108" s="120"/>
      <c r="K108" s="120"/>
      <c r="L108" s="120"/>
      <c r="M108" s="258">
        <f>SUM(M103:M107)</f>
        <v>0</v>
      </c>
      <c r="N108" s="257"/>
      <c r="O108" s="258">
        <f t="shared" ref="O108:P108" si="1570">SUM(O103:O107)</f>
        <v>0</v>
      </c>
      <c r="P108" s="258">
        <f t="shared" si="1570"/>
        <v>0</v>
      </c>
      <c r="Q108" s="244"/>
      <c r="R108" s="255" t="s">
        <v>52</v>
      </c>
      <c r="S108" s="118"/>
      <c r="T108" s="256"/>
      <c r="U108" s="256"/>
      <c r="V108" s="257"/>
      <c r="W108" s="257"/>
      <c r="X108" s="258">
        <f>SUM(X103:X107)</f>
        <v>0</v>
      </c>
      <c r="Y108" s="257"/>
      <c r="Z108" s="258">
        <f>SUM(Z103:Z107)</f>
        <v>0</v>
      </c>
      <c r="AA108" s="120"/>
      <c r="AB108" s="120"/>
      <c r="AC108" s="120"/>
      <c r="AD108" s="258">
        <f>SUM(AD103:AD107)</f>
        <v>0</v>
      </c>
      <c r="AE108" s="257"/>
      <c r="AF108" s="258">
        <f t="shared" ref="AF108:AG108" si="1571">SUM(AF103:AF107)</f>
        <v>0</v>
      </c>
      <c r="AG108" s="258">
        <f t="shared" si="1571"/>
        <v>0</v>
      </c>
      <c r="AH108" s="244"/>
      <c r="AI108" s="255" t="s">
        <v>52</v>
      </c>
      <c r="AJ108" s="118"/>
      <c r="AK108" s="256"/>
      <c r="AL108" s="256"/>
      <c r="AM108" s="257"/>
      <c r="AN108" s="257"/>
      <c r="AO108" s="258">
        <f>SUM(AO103:AO107)</f>
        <v>0</v>
      </c>
      <c r="AP108" s="257"/>
      <c r="AQ108" s="258">
        <f>SUM(AQ103:AQ107)</f>
        <v>0</v>
      </c>
      <c r="AR108" s="120"/>
      <c r="AS108" s="120"/>
      <c r="AT108" s="120"/>
      <c r="AU108" s="258">
        <f>SUM(AU103:AU107)</f>
        <v>0</v>
      </c>
      <c r="AV108" s="257"/>
      <c r="AW108" s="258">
        <f t="shared" ref="AW108:AX108" si="1572">SUM(AW103:AW107)</f>
        <v>0</v>
      </c>
      <c r="AX108" s="258">
        <f t="shared" si="1572"/>
        <v>0</v>
      </c>
      <c r="AY108" s="244"/>
      <c r="AZ108" s="255" t="s">
        <v>52</v>
      </c>
      <c r="BA108" s="118"/>
      <c r="BB108" s="256"/>
      <c r="BC108" s="256"/>
      <c r="BD108" s="257"/>
      <c r="BE108" s="257"/>
      <c r="BF108" s="258">
        <f>SUM(BF103:BF107)</f>
        <v>0</v>
      </c>
      <c r="BG108" s="257"/>
      <c r="BH108" s="258">
        <f>SUM(BH103:BH107)</f>
        <v>0</v>
      </c>
      <c r="BI108" s="120"/>
      <c r="BJ108" s="120"/>
      <c r="BK108" s="120"/>
      <c r="BL108" s="258">
        <f>SUM(BL103:BL107)</f>
        <v>0</v>
      </c>
      <c r="BM108" s="257"/>
      <c r="BN108" s="258">
        <f t="shared" ref="BN108:BO108" si="1573">SUM(BN103:BN107)</f>
        <v>0</v>
      </c>
      <c r="BO108" s="258">
        <f t="shared" si="1573"/>
        <v>0</v>
      </c>
      <c r="BP108" s="244"/>
      <c r="BQ108" s="255" t="s">
        <v>52</v>
      </c>
      <c r="BR108" s="118"/>
      <c r="BS108" s="256"/>
      <c r="BT108" s="256"/>
      <c r="BU108" s="257"/>
      <c r="BV108" s="257"/>
      <c r="BW108" s="258">
        <f>SUM(BW103:BW107)</f>
        <v>0</v>
      </c>
      <c r="BX108" s="257"/>
      <c r="BY108" s="258">
        <f>SUM(BY103:BY107)</f>
        <v>0</v>
      </c>
      <c r="BZ108" s="120"/>
      <c r="CA108" s="120"/>
      <c r="CB108" s="120"/>
      <c r="CC108" s="258">
        <f>SUM(CC103:CC107)</f>
        <v>0</v>
      </c>
      <c r="CD108" s="257"/>
      <c r="CE108" s="258">
        <f t="shared" ref="CE108:CF108" si="1574">SUM(CE103:CE107)</f>
        <v>0</v>
      </c>
      <c r="CF108" s="258">
        <f t="shared" si="1574"/>
        <v>0</v>
      </c>
      <c r="CG108" s="244"/>
      <c r="CH108" s="255" t="s">
        <v>52</v>
      </c>
      <c r="CI108" s="118"/>
      <c r="CJ108" s="256"/>
      <c r="CK108" s="256"/>
      <c r="CL108" s="257"/>
      <c r="CM108" s="257"/>
      <c r="CN108" s="258">
        <f>SUM(CN103:CN107)</f>
        <v>0</v>
      </c>
      <c r="CO108" s="257"/>
      <c r="CP108" s="258">
        <f>SUM(CP103:CP107)</f>
        <v>0</v>
      </c>
      <c r="CQ108" s="120"/>
      <c r="CR108" s="120"/>
      <c r="CS108" s="120"/>
      <c r="CT108" s="258">
        <f>SUM(CT103:CT107)</f>
        <v>0</v>
      </c>
      <c r="CU108" s="257"/>
      <c r="CV108" s="258">
        <f t="shared" ref="CV108:CW108" si="1575">SUM(CV103:CV107)</f>
        <v>0</v>
      </c>
      <c r="CW108" s="258">
        <f t="shared" si="1575"/>
        <v>0</v>
      </c>
      <c r="CX108" s="244"/>
      <c r="CY108" s="255" t="s">
        <v>52</v>
      </c>
      <c r="CZ108" s="118"/>
      <c r="DA108" s="256"/>
      <c r="DB108" s="256"/>
      <c r="DC108" s="257"/>
      <c r="DD108" s="257"/>
      <c r="DE108" s="258">
        <f>SUM(DE103:DE107)</f>
        <v>0</v>
      </c>
      <c r="DF108" s="257"/>
      <c r="DG108" s="258">
        <f>SUM(DG103:DG107)</f>
        <v>0</v>
      </c>
      <c r="DH108" s="120"/>
      <c r="DI108" s="120"/>
      <c r="DJ108" s="120"/>
      <c r="DK108" s="258">
        <f>SUM(DK103:DK107)</f>
        <v>0</v>
      </c>
      <c r="DL108" s="257"/>
      <c r="DM108" s="258">
        <f t="shared" ref="DM108:DN108" si="1576">SUM(DM103:DM107)</f>
        <v>0</v>
      </c>
      <c r="DN108" s="258">
        <f t="shared" si="1576"/>
        <v>0</v>
      </c>
      <c r="DO108" s="244"/>
      <c r="DP108" s="255" t="s">
        <v>52</v>
      </c>
      <c r="DQ108" s="118"/>
      <c r="DR108" s="256"/>
      <c r="DS108" s="256"/>
      <c r="DT108" s="257"/>
      <c r="DU108" s="257"/>
      <c r="DV108" s="258">
        <f>SUM(DV103:DV107)</f>
        <v>0</v>
      </c>
      <c r="DW108" s="257"/>
      <c r="DX108" s="258">
        <f>SUM(DX103:DX107)</f>
        <v>0</v>
      </c>
      <c r="DY108" s="120"/>
      <c r="DZ108" s="120"/>
      <c r="EA108" s="120"/>
      <c r="EB108" s="258">
        <f>SUM(EB103:EB107)</f>
        <v>0</v>
      </c>
      <c r="EC108" s="257"/>
      <c r="ED108" s="258">
        <f t="shared" ref="ED108:EE108" si="1577">SUM(ED103:ED107)</f>
        <v>0</v>
      </c>
      <c r="EE108" s="258">
        <f t="shared" si="1577"/>
        <v>0</v>
      </c>
      <c r="EF108" s="244"/>
      <c r="EG108" s="255" t="s">
        <v>52</v>
      </c>
      <c r="EH108" s="118"/>
      <c r="EI108" s="256"/>
      <c r="EJ108" s="256"/>
      <c r="EK108" s="257"/>
      <c r="EL108" s="257"/>
      <c r="EM108" s="258">
        <f>SUM(EM103:EM107)</f>
        <v>0</v>
      </c>
      <c r="EN108" s="257"/>
      <c r="EO108" s="258">
        <f>SUM(EO103:EO107)</f>
        <v>0</v>
      </c>
      <c r="EP108" s="120"/>
      <c r="EQ108" s="120"/>
      <c r="ER108" s="120"/>
      <c r="ES108" s="258">
        <f>SUM(ES103:ES107)</f>
        <v>0</v>
      </c>
      <c r="ET108" s="257"/>
      <c r="EU108" s="258">
        <f t="shared" ref="EU108:EV108" si="1578">SUM(EU103:EU107)</f>
        <v>0</v>
      </c>
      <c r="EV108" s="258">
        <f t="shared" si="1578"/>
        <v>0</v>
      </c>
      <c r="EW108" s="244"/>
      <c r="EX108" s="255" t="s">
        <v>52</v>
      </c>
      <c r="EY108" s="118"/>
      <c r="EZ108" s="256"/>
      <c r="FA108" s="256"/>
      <c r="FB108" s="257"/>
      <c r="FC108" s="257"/>
      <c r="FD108" s="258">
        <f>SUM(FD103:FD107)</f>
        <v>0</v>
      </c>
      <c r="FE108" s="257"/>
      <c r="FF108" s="258">
        <f>SUM(FF103:FF107)</f>
        <v>0</v>
      </c>
      <c r="FG108" s="120"/>
      <c r="FH108" s="120"/>
      <c r="FI108" s="120"/>
      <c r="FJ108" s="258">
        <f>SUM(FJ103:FJ107)</f>
        <v>0</v>
      </c>
      <c r="FK108" s="257"/>
      <c r="FL108" s="258">
        <f t="shared" ref="FL108:FM108" si="1579">SUM(FL103:FL107)</f>
        <v>0</v>
      </c>
      <c r="FM108" s="258">
        <f t="shared" si="1579"/>
        <v>0</v>
      </c>
      <c r="FN108" s="244"/>
      <c r="FO108" s="255" t="s">
        <v>52</v>
      </c>
      <c r="FP108" s="118"/>
      <c r="FQ108" s="256"/>
      <c r="FR108" s="256"/>
      <c r="FS108" s="257"/>
      <c r="FT108" s="257"/>
      <c r="FU108" s="258">
        <f>SUM(FU103:FU107)</f>
        <v>806673.6054</v>
      </c>
      <c r="FV108" s="257"/>
      <c r="FW108" s="258">
        <f>SUM(FW103:FW107)</f>
        <v>0</v>
      </c>
      <c r="FX108" s="120"/>
      <c r="FY108" s="120"/>
      <c r="FZ108" s="120"/>
      <c r="GA108" s="258">
        <f>SUM(GA103:GA107)</f>
        <v>806673.6054</v>
      </c>
      <c r="GB108" s="257"/>
      <c r="GC108" s="258">
        <f t="shared" ref="GC108:GD108" si="1580">SUM(GC103:GC107)</f>
        <v>371430.5439</v>
      </c>
      <c r="GD108" s="258">
        <f t="shared" si="1580"/>
        <v>435243.0614</v>
      </c>
      <c r="GE108" s="244"/>
      <c r="GF108" s="255" t="s">
        <v>52</v>
      </c>
      <c r="GG108" s="118"/>
      <c r="GH108" s="256"/>
      <c r="GI108" s="256"/>
      <c r="GJ108" s="257"/>
      <c r="GK108" s="257"/>
      <c r="GL108" s="258">
        <f>SUM(GL103:GL107)</f>
        <v>1266422.151</v>
      </c>
      <c r="GM108" s="257"/>
      <c r="GN108" s="258">
        <f>SUM(GN103:GN107)</f>
        <v>0</v>
      </c>
      <c r="GO108" s="120"/>
      <c r="GP108" s="120"/>
      <c r="GQ108" s="120"/>
      <c r="GR108" s="258">
        <f>SUM(GR103:GR107)</f>
        <v>1266422.151</v>
      </c>
      <c r="GS108" s="257"/>
      <c r="GT108" s="258">
        <f t="shared" ref="GT108:GU108" si="1581">SUM(GT103:GT107)</f>
        <v>583120.4407</v>
      </c>
      <c r="GU108" s="258">
        <f t="shared" si="1581"/>
        <v>683301.7099</v>
      </c>
      <c r="GV108" s="244"/>
      <c r="GW108" s="255" t="s">
        <v>52</v>
      </c>
      <c r="GX108" s="118"/>
      <c r="GY108" s="256"/>
      <c r="GZ108" s="256"/>
      <c r="HA108" s="257"/>
      <c r="HB108" s="257"/>
      <c r="HC108" s="258">
        <f>SUM(HC103:HC107)</f>
        <v>1179551.543</v>
      </c>
      <c r="HD108" s="257"/>
      <c r="HE108" s="258">
        <f>SUM(HE103:HE107)</f>
        <v>1179551.543</v>
      </c>
      <c r="HF108" s="120"/>
      <c r="HG108" s="120"/>
      <c r="HH108" s="120"/>
      <c r="HI108" s="258">
        <f>SUM(HI103:HI107)</f>
        <v>2359103.085</v>
      </c>
      <c r="HJ108" s="257"/>
      <c r="HK108" s="258">
        <f t="shared" ref="HK108:HL108" si="1582">SUM(HK103:HK107)</f>
        <v>1086242.238</v>
      </c>
      <c r="HL108" s="258">
        <f t="shared" si="1582"/>
        <v>1272860.848</v>
      </c>
      <c r="HM108" s="244"/>
      <c r="HN108" s="255" t="s">
        <v>52</v>
      </c>
      <c r="HO108" s="118"/>
      <c r="HP108" s="256"/>
      <c r="HQ108" s="256"/>
      <c r="HR108" s="257"/>
      <c r="HS108" s="257"/>
      <c r="HT108" s="258">
        <f>SUM(HT103:HT107)</f>
        <v>1962016.953</v>
      </c>
      <c r="HU108" s="257"/>
      <c r="HV108" s="258">
        <f>SUM(HV103:HV107)</f>
        <v>0</v>
      </c>
      <c r="HW108" s="120"/>
      <c r="HX108" s="120"/>
      <c r="HY108" s="120"/>
      <c r="HZ108" s="258">
        <f>SUM(HZ103:HZ107)</f>
        <v>1962016.953</v>
      </c>
      <c r="IA108" s="257"/>
      <c r="IB108" s="258">
        <f t="shared" ref="IB108:IC108" si="1583">SUM(IB103:IB107)</f>
        <v>903405.0688</v>
      </c>
      <c r="IC108" s="258">
        <f t="shared" si="1583"/>
        <v>1058611.884</v>
      </c>
      <c r="ID108" s="244"/>
      <c r="IE108" s="255" t="s">
        <v>52</v>
      </c>
      <c r="IF108" s="118"/>
      <c r="IG108" s="256"/>
      <c r="IH108" s="256"/>
      <c r="II108" s="257"/>
      <c r="IJ108" s="257"/>
      <c r="IK108" s="258">
        <f>SUM(IK103:IK107)</f>
        <v>4016650.173</v>
      </c>
      <c r="IL108" s="257"/>
      <c r="IM108" s="258">
        <f>SUM(IM103:IM107)</f>
        <v>0</v>
      </c>
      <c r="IN108" s="120"/>
      <c r="IO108" s="120"/>
      <c r="IP108" s="120"/>
      <c r="IQ108" s="258">
        <f>SUM(IQ103:IQ107)</f>
        <v>4016650.173</v>
      </c>
      <c r="IR108" s="257"/>
      <c r="IS108" s="258">
        <f t="shared" ref="IS108:IT108" si="1584">SUM(IS103:IS107)</f>
        <v>1849455.032</v>
      </c>
      <c r="IT108" s="258">
        <f t="shared" si="1584"/>
        <v>2167195.141</v>
      </c>
      <c r="IU108" s="244"/>
      <c r="IV108" s="255" t="s">
        <v>52</v>
      </c>
      <c r="IW108" s="118"/>
      <c r="IX108" s="256"/>
      <c r="IY108" s="256"/>
      <c r="IZ108" s="257"/>
      <c r="JA108" s="257"/>
      <c r="JB108" s="258">
        <f>SUM(JB103:JB107)</f>
        <v>3987064.166</v>
      </c>
      <c r="JC108" s="257"/>
      <c r="JD108" s="258">
        <f>SUM(JD103:JD107)</f>
        <v>0</v>
      </c>
      <c r="JE108" s="120"/>
      <c r="JF108" s="120"/>
      <c r="JG108" s="120"/>
      <c r="JH108" s="258">
        <f>SUM(JH103:JH107)</f>
        <v>3987064.166</v>
      </c>
      <c r="JI108" s="257"/>
      <c r="JJ108" s="258">
        <f t="shared" ref="JJ108:JK108" si="1585">SUM(JJ103:JJ107)</f>
        <v>1835832.24</v>
      </c>
      <c r="JK108" s="258">
        <f t="shared" si="1585"/>
        <v>2151231.926</v>
      </c>
      <c r="JL108" s="244"/>
      <c r="JM108" s="255" t="s">
        <v>52</v>
      </c>
      <c r="JN108" s="118"/>
      <c r="JO108" s="256"/>
      <c r="JP108" s="256"/>
      <c r="JQ108" s="257"/>
      <c r="JR108" s="257"/>
      <c r="JS108" s="258">
        <f>SUM(JS103:JS107)</f>
        <v>0</v>
      </c>
      <c r="JT108" s="257"/>
      <c r="JU108" s="258">
        <f>SUM(JU103:JU107)</f>
        <v>0</v>
      </c>
      <c r="JV108" s="120"/>
      <c r="JW108" s="120"/>
      <c r="JX108" s="120"/>
      <c r="JY108" s="258">
        <f>SUM(JY103:JY107)</f>
        <v>0</v>
      </c>
      <c r="JZ108" s="257"/>
      <c r="KA108" s="258">
        <f t="shared" ref="KA108:KB108" si="1586">SUM(KA103:KA107)</f>
        <v>0</v>
      </c>
      <c r="KB108" s="258">
        <f t="shared" si="1586"/>
        <v>0</v>
      </c>
      <c r="KC108" s="244"/>
      <c r="KD108" s="255" t="s">
        <v>52</v>
      </c>
      <c r="KE108" s="118"/>
      <c r="KF108" s="256"/>
      <c r="KG108" s="256"/>
      <c r="KH108" s="257"/>
      <c r="KI108" s="257"/>
      <c r="KJ108" s="258">
        <f>SUM(KJ103:KJ107)</f>
        <v>0</v>
      </c>
      <c r="KK108" s="257"/>
      <c r="KL108" s="258">
        <f>SUM(KL103:KL107)</f>
        <v>0</v>
      </c>
      <c r="KM108" s="120"/>
      <c r="KN108" s="120"/>
      <c r="KO108" s="120"/>
      <c r="KP108" s="258">
        <f>SUM(KP103:KP107)</f>
        <v>0</v>
      </c>
      <c r="KQ108" s="257"/>
      <c r="KR108" s="258">
        <f t="shared" ref="KR108:KS108" si="1587">SUM(KR103:KR107)</f>
        <v>0</v>
      </c>
      <c r="KS108" s="258">
        <f t="shared" si="1587"/>
        <v>0</v>
      </c>
      <c r="KT108" s="244"/>
      <c r="KU108" s="245"/>
    </row>
    <row r="109" ht="15.0" customHeight="1">
      <c r="A109" s="44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7"/>
      <c r="R109" s="44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7"/>
      <c r="AI109" s="44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V109" s="36"/>
      <c r="AW109" s="36"/>
      <c r="AX109" s="36"/>
      <c r="AY109" s="37"/>
      <c r="AZ109" s="44"/>
      <c r="BA109" s="36"/>
      <c r="BB109" s="36"/>
      <c r="BC109" s="36"/>
      <c r="BD109" s="36"/>
      <c r="BE109" s="36"/>
      <c r="BF109" s="36"/>
      <c r="BG109" s="36"/>
      <c r="BH109" s="36"/>
      <c r="BI109" s="36"/>
      <c r="BJ109" s="36"/>
      <c r="BK109" s="36"/>
      <c r="BL109" s="36"/>
      <c r="BM109" s="36"/>
      <c r="BN109" s="36"/>
      <c r="BO109" s="36"/>
      <c r="BP109" s="37"/>
      <c r="BQ109" s="44"/>
      <c r="BR109" s="36"/>
      <c r="BS109" s="36"/>
      <c r="BT109" s="36"/>
      <c r="BU109" s="36"/>
      <c r="BV109" s="36"/>
      <c r="BW109" s="36"/>
      <c r="BX109" s="36"/>
      <c r="BY109" s="36"/>
      <c r="BZ109" s="36"/>
      <c r="CA109" s="36"/>
      <c r="CB109" s="36"/>
      <c r="CC109" s="36"/>
      <c r="CD109" s="36"/>
      <c r="CE109" s="36"/>
      <c r="CF109" s="36"/>
      <c r="CG109" s="37"/>
      <c r="CH109" s="44"/>
      <c r="CI109" s="36"/>
      <c r="CJ109" s="36"/>
      <c r="CK109" s="36"/>
      <c r="CL109" s="36"/>
      <c r="CM109" s="36"/>
      <c r="CN109" s="36"/>
      <c r="CO109" s="36"/>
      <c r="CP109" s="36"/>
      <c r="CQ109" s="36"/>
      <c r="CR109" s="36"/>
      <c r="CS109" s="36"/>
      <c r="CT109" s="36"/>
      <c r="CU109" s="36"/>
      <c r="CV109" s="36"/>
      <c r="CW109" s="36"/>
      <c r="CX109" s="37"/>
      <c r="CY109" s="44"/>
      <c r="CZ109" s="36"/>
      <c r="DA109" s="36"/>
      <c r="DB109" s="36"/>
      <c r="DC109" s="36"/>
      <c r="DD109" s="36"/>
      <c r="DE109" s="36"/>
      <c r="DF109" s="36"/>
      <c r="DG109" s="36"/>
      <c r="DH109" s="36"/>
      <c r="DI109" s="36"/>
      <c r="DJ109" s="36"/>
      <c r="DK109" s="36"/>
      <c r="DL109" s="36"/>
      <c r="DM109" s="36"/>
      <c r="DN109" s="36"/>
      <c r="DO109" s="37"/>
      <c r="DP109" s="44"/>
      <c r="DQ109" s="36"/>
      <c r="DR109" s="36"/>
      <c r="DS109" s="36"/>
      <c r="DT109" s="36"/>
      <c r="DU109" s="36"/>
      <c r="DV109" s="36"/>
      <c r="DW109" s="36"/>
      <c r="DX109" s="36"/>
      <c r="DY109" s="36"/>
      <c r="DZ109" s="36"/>
      <c r="EA109" s="36"/>
      <c r="EB109" s="36"/>
      <c r="EC109" s="36"/>
      <c r="ED109" s="36"/>
      <c r="EE109" s="36"/>
      <c r="EF109" s="37"/>
      <c r="EG109" s="44"/>
      <c r="EH109" s="36"/>
      <c r="EI109" s="36"/>
      <c r="EJ109" s="36"/>
      <c r="EK109" s="36"/>
      <c r="EL109" s="36"/>
      <c r="EM109" s="36"/>
      <c r="EN109" s="36"/>
      <c r="EO109" s="36"/>
      <c r="EP109" s="36"/>
      <c r="EQ109" s="36"/>
      <c r="ER109" s="36"/>
      <c r="ES109" s="36"/>
      <c r="ET109" s="36"/>
      <c r="EU109" s="36"/>
      <c r="EV109" s="36"/>
      <c r="EW109" s="37"/>
      <c r="EX109" s="44"/>
      <c r="EY109" s="36"/>
      <c r="EZ109" s="36"/>
      <c r="FA109" s="36"/>
      <c r="FB109" s="36"/>
      <c r="FC109" s="36"/>
      <c r="FD109" s="36"/>
      <c r="FE109" s="36"/>
      <c r="FF109" s="36"/>
      <c r="FG109" s="36"/>
      <c r="FH109" s="36"/>
      <c r="FI109" s="36"/>
      <c r="FJ109" s="36"/>
      <c r="FK109" s="36"/>
      <c r="FL109" s="36"/>
      <c r="FM109" s="36"/>
      <c r="FN109" s="37"/>
      <c r="FO109" s="44"/>
      <c r="FP109" s="36"/>
      <c r="FQ109" s="36"/>
      <c r="FR109" s="36"/>
      <c r="FS109" s="36"/>
      <c r="FT109" s="36"/>
      <c r="FU109" s="36"/>
      <c r="FV109" s="36"/>
      <c r="FW109" s="36"/>
      <c r="FX109" s="36"/>
      <c r="FY109" s="36"/>
      <c r="FZ109" s="36"/>
      <c r="GA109" s="36"/>
      <c r="GB109" s="36"/>
      <c r="GC109" s="36"/>
      <c r="GD109" s="36"/>
      <c r="GE109" s="37"/>
      <c r="GF109" s="44"/>
      <c r="GG109" s="36"/>
      <c r="GH109" s="36"/>
      <c r="GI109" s="36"/>
      <c r="GJ109" s="36"/>
      <c r="GK109" s="36"/>
      <c r="GL109" s="36"/>
      <c r="GM109" s="36"/>
      <c r="GN109" s="36"/>
      <c r="GO109" s="36"/>
      <c r="GP109" s="36"/>
      <c r="GQ109" s="36"/>
      <c r="GR109" s="36"/>
      <c r="GS109" s="36"/>
      <c r="GT109" s="36"/>
      <c r="GU109" s="36"/>
      <c r="GV109" s="37"/>
      <c r="GW109" s="44"/>
      <c r="GX109" s="36"/>
      <c r="GY109" s="36"/>
      <c r="GZ109" s="36"/>
      <c r="HA109" s="36"/>
      <c r="HB109" s="36"/>
      <c r="HC109" s="36"/>
      <c r="HD109" s="36"/>
      <c r="HE109" s="36"/>
      <c r="HF109" s="36"/>
      <c r="HG109" s="36"/>
      <c r="HH109" s="36"/>
      <c r="HI109" s="36"/>
      <c r="HJ109" s="36"/>
      <c r="HK109" s="36"/>
      <c r="HL109" s="36"/>
      <c r="HM109" s="37"/>
      <c r="HN109" s="44"/>
      <c r="HO109" s="36"/>
      <c r="HP109" s="36"/>
      <c r="HQ109" s="36"/>
      <c r="HR109" s="36"/>
      <c r="HS109" s="36"/>
      <c r="HT109" s="36"/>
      <c r="HU109" s="36"/>
      <c r="HV109" s="36"/>
      <c r="HW109" s="36"/>
      <c r="HX109" s="36"/>
      <c r="HY109" s="36"/>
      <c r="HZ109" s="36"/>
      <c r="IA109" s="36"/>
      <c r="IB109" s="36"/>
      <c r="IC109" s="36"/>
      <c r="ID109" s="37"/>
      <c r="IE109" s="44"/>
      <c r="IF109" s="36"/>
      <c r="IG109" s="36"/>
      <c r="IH109" s="36"/>
      <c r="II109" s="36"/>
      <c r="IJ109" s="36"/>
      <c r="IK109" s="36"/>
      <c r="IL109" s="36"/>
      <c r="IM109" s="36"/>
      <c r="IN109" s="36"/>
      <c r="IO109" s="36"/>
      <c r="IP109" s="36"/>
      <c r="IQ109" s="36"/>
      <c r="IR109" s="36"/>
      <c r="IS109" s="36"/>
      <c r="IT109" s="36"/>
      <c r="IU109" s="37"/>
      <c r="IV109" s="44"/>
      <c r="IW109" s="36"/>
      <c r="IX109" s="36"/>
      <c r="IY109" s="36"/>
      <c r="IZ109" s="36"/>
      <c r="JA109" s="36"/>
      <c r="JB109" s="36"/>
      <c r="JC109" s="36"/>
      <c r="JD109" s="36"/>
      <c r="JE109" s="36"/>
      <c r="JF109" s="36"/>
      <c r="JG109" s="36"/>
      <c r="JH109" s="36"/>
      <c r="JI109" s="36"/>
      <c r="JJ109" s="36"/>
      <c r="JK109" s="36"/>
      <c r="JL109" s="37"/>
      <c r="JM109" s="44"/>
      <c r="JN109" s="36"/>
      <c r="JO109" s="36"/>
      <c r="JP109" s="36"/>
      <c r="JQ109" s="36"/>
      <c r="JR109" s="36"/>
      <c r="JS109" s="36"/>
      <c r="JT109" s="36"/>
      <c r="JU109" s="36"/>
      <c r="JV109" s="36"/>
      <c r="JW109" s="36"/>
      <c r="JX109" s="36"/>
      <c r="JY109" s="36"/>
      <c r="JZ109" s="36"/>
      <c r="KA109" s="36"/>
      <c r="KB109" s="36"/>
      <c r="KC109" s="37"/>
      <c r="KD109" s="44"/>
      <c r="KE109" s="36"/>
      <c r="KF109" s="36"/>
      <c r="KG109" s="36"/>
      <c r="KH109" s="36"/>
      <c r="KI109" s="36"/>
      <c r="KJ109" s="36"/>
      <c r="KK109" s="36"/>
      <c r="KL109" s="36"/>
      <c r="KM109" s="36"/>
      <c r="KN109" s="36"/>
      <c r="KO109" s="36"/>
      <c r="KP109" s="36"/>
      <c r="KQ109" s="36"/>
      <c r="KR109" s="36"/>
      <c r="KS109" s="36"/>
      <c r="KT109" s="37"/>
      <c r="KU109" s="36"/>
    </row>
    <row r="110" ht="15.0" customHeight="1">
      <c r="A110" s="44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7"/>
      <c r="R110" s="44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7"/>
      <c r="AI110" s="44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  <c r="AV110" s="36"/>
      <c r="AW110" s="36"/>
      <c r="AX110" s="36"/>
      <c r="AY110" s="37"/>
      <c r="AZ110" s="44"/>
      <c r="BA110" s="36"/>
      <c r="BB110" s="36"/>
      <c r="BC110" s="36"/>
      <c r="BD110" s="36"/>
      <c r="BE110" s="36"/>
      <c r="BF110" s="36"/>
      <c r="BG110" s="36"/>
      <c r="BH110" s="36"/>
      <c r="BI110" s="36"/>
      <c r="BJ110" s="36"/>
      <c r="BK110" s="36"/>
      <c r="BL110" s="36"/>
      <c r="BM110" s="36"/>
      <c r="BN110" s="36"/>
      <c r="BO110" s="36"/>
      <c r="BP110" s="37"/>
      <c r="BQ110" s="44"/>
      <c r="BR110" s="36"/>
      <c r="BS110" s="36"/>
      <c r="BT110" s="36"/>
      <c r="BU110" s="36"/>
      <c r="BV110" s="36"/>
      <c r="BW110" s="36"/>
      <c r="BX110" s="36"/>
      <c r="BY110" s="36"/>
      <c r="BZ110" s="36"/>
      <c r="CA110" s="36"/>
      <c r="CB110" s="36"/>
      <c r="CC110" s="36"/>
      <c r="CD110" s="36"/>
      <c r="CE110" s="36"/>
      <c r="CF110" s="36"/>
      <c r="CG110" s="37"/>
      <c r="CH110" s="44"/>
      <c r="CI110" s="36"/>
      <c r="CJ110" s="36"/>
      <c r="CK110" s="36"/>
      <c r="CL110" s="36"/>
      <c r="CM110" s="36"/>
      <c r="CN110" s="36"/>
      <c r="CO110" s="36"/>
      <c r="CP110" s="36"/>
      <c r="CQ110" s="36"/>
      <c r="CR110" s="36"/>
      <c r="CS110" s="36"/>
      <c r="CT110" s="36"/>
      <c r="CU110" s="36"/>
      <c r="CV110" s="36"/>
      <c r="CW110" s="36"/>
      <c r="CX110" s="37"/>
      <c r="CY110" s="44"/>
      <c r="CZ110" s="36"/>
      <c r="DA110" s="36"/>
      <c r="DB110" s="36"/>
      <c r="DC110" s="36"/>
      <c r="DD110" s="36"/>
      <c r="DE110" s="36"/>
      <c r="DF110" s="36"/>
      <c r="DG110" s="36"/>
      <c r="DH110" s="36"/>
      <c r="DI110" s="36"/>
      <c r="DJ110" s="36"/>
      <c r="DK110" s="36"/>
      <c r="DL110" s="36"/>
      <c r="DM110" s="36"/>
      <c r="DN110" s="36"/>
      <c r="DO110" s="37"/>
      <c r="DP110" s="44"/>
      <c r="DQ110" s="36"/>
      <c r="DR110" s="36"/>
      <c r="DS110" s="36"/>
      <c r="DT110" s="36"/>
      <c r="DU110" s="36"/>
      <c r="DV110" s="36"/>
      <c r="DW110" s="36"/>
      <c r="DX110" s="36"/>
      <c r="DY110" s="36"/>
      <c r="DZ110" s="36"/>
      <c r="EA110" s="36"/>
      <c r="EB110" s="36"/>
      <c r="EC110" s="36"/>
      <c r="ED110" s="36"/>
      <c r="EE110" s="36"/>
      <c r="EF110" s="37"/>
      <c r="EG110" s="44"/>
      <c r="EH110" s="36"/>
      <c r="EI110" s="36"/>
      <c r="EJ110" s="36"/>
      <c r="EK110" s="36"/>
      <c r="EL110" s="36"/>
      <c r="EM110" s="36"/>
      <c r="EN110" s="36"/>
      <c r="EO110" s="36"/>
      <c r="EP110" s="36"/>
      <c r="EQ110" s="36"/>
      <c r="ER110" s="36"/>
      <c r="ES110" s="36"/>
      <c r="ET110" s="36"/>
      <c r="EU110" s="36"/>
      <c r="EV110" s="36"/>
      <c r="EW110" s="37"/>
      <c r="EX110" s="44"/>
      <c r="EY110" s="36"/>
      <c r="EZ110" s="36"/>
      <c r="FA110" s="36"/>
      <c r="FB110" s="36"/>
      <c r="FC110" s="36"/>
      <c r="FD110" s="36"/>
      <c r="FE110" s="36"/>
      <c r="FF110" s="36"/>
      <c r="FG110" s="36"/>
      <c r="FH110" s="36"/>
      <c r="FI110" s="36"/>
      <c r="FJ110" s="36"/>
      <c r="FK110" s="36"/>
      <c r="FL110" s="36"/>
      <c r="FM110" s="36"/>
      <c r="FN110" s="37"/>
      <c r="FO110" s="44"/>
      <c r="FP110" s="36"/>
      <c r="FQ110" s="36"/>
      <c r="FR110" s="36"/>
      <c r="FS110" s="36"/>
      <c r="FT110" s="36"/>
      <c r="FU110" s="36"/>
      <c r="FV110" s="36"/>
      <c r="FW110" s="36"/>
      <c r="FX110" s="36"/>
      <c r="FY110" s="36"/>
      <c r="FZ110" s="36"/>
      <c r="GA110" s="36"/>
      <c r="GB110" s="36"/>
      <c r="GC110" s="36"/>
      <c r="GD110" s="36"/>
      <c r="GE110" s="37"/>
      <c r="GF110" s="44"/>
      <c r="GG110" s="36"/>
      <c r="GH110" s="36"/>
      <c r="GI110" s="36"/>
      <c r="GJ110" s="36"/>
      <c r="GK110" s="36"/>
      <c r="GL110" s="36"/>
      <c r="GM110" s="36"/>
      <c r="GN110" s="36"/>
      <c r="GO110" s="36"/>
      <c r="GP110" s="36"/>
      <c r="GQ110" s="36"/>
      <c r="GR110" s="36"/>
      <c r="GS110" s="36"/>
      <c r="GT110" s="36"/>
      <c r="GU110" s="36"/>
      <c r="GV110" s="37"/>
      <c r="GW110" s="44"/>
      <c r="GX110" s="36"/>
      <c r="GY110" s="36"/>
      <c r="GZ110" s="36"/>
      <c r="HA110" s="36"/>
      <c r="HB110" s="36"/>
      <c r="HC110" s="36"/>
      <c r="HD110" s="36"/>
      <c r="HE110" s="36"/>
      <c r="HF110" s="36"/>
      <c r="HG110" s="36"/>
      <c r="HH110" s="36"/>
      <c r="HI110" s="36"/>
      <c r="HJ110" s="36"/>
      <c r="HK110" s="36"/>
      <c r="HL110" s="36"/>
      <c r="HM110" s="37"/>
      <c r="HN110" s="44"/>
      <c r="HO110" s="36"/>
      <c r="HP110" s="36"/>
      <c r="HQ110" s="36"/>
      <c r="HR110" s="36"/>
      <c r="HS110" s="36"/>
      <c r="HT110" s="36"/>
      <c r="HU110" s="36"/>
      <c r="HV110" s="36"/>
      <c r="HW110" s="36"/>
      <c r="HX110" s="36"/>
      <c r="HY110" s="36"/>
      <c r="HZ110" s="36"/>
      <c r="IA110" s="36"/>
      <c r="IB110" s="36"/>
      <c r="IC110" s="36"/>
      <c r="ID110" s="37"/>
      <c r="IE110" s="44"/>
      <c r="IF110" s="36"/>
      <c r="IG110" s="36"/>
      <c r="IH110" s="36"/>
      <c r="II110" s="36"/>
      <c r="IJ110" s="36"/>
      <c r="IK110" s="36"/>
      <c r="IL110" s="36"/>
      <c r="IM110" s="36"/>
      <c r="IN110" s="36"/>
      <c r="IO110" s="36"/>
      <c r="IP110" s="36"/>
      <c r="IQ110" s="36"/>
      <c r="IR110" s="36"/>
      <c r="IS110" s="36"/>
      <c r="IT110" s="36"/>
      <c r="IU110" s="37"/>
      <c r="IV110" s="44"/>
      <c r="IW110" s="36"/>
      <c r="IX110" s="36"/>
      <c r="IY110" s="36"/>
      <c r="IZ110" s="36"/>
      <c r="JA110" s="36"/>
      <c r="JB110" s="36"/>
      <c r="JC110" s="36"/>
      <c r="JD110" s="36"/>
      <c r="JE110" s="36"/>
      <c r="JF110" s="36"/>
      <c r="JG110" s="36"/>
      <c r="JH110" s="36"/>
      <c r="JI110" s="36"/>
      <c r="JJ110" s="36"/>
      <c r="JK110" s="36"/>
      <c r="JL110" s="37"/>
      <c r="JM110" s="44"/>
      <c r="JN110" s="36"/>
      <c r="JO110" s="36"/>
      <c r="JP110" s="36"/>
      <c r="JQ110" s="36"/>
      <c r="JR110" s="36"/>
      <c r="JS110" s="36"/>
      <c r="JT110" s="36"/>
      <c r="JU110" s="36"/>
      <c r="JV110" s="36"/>
      <c r="JW110" s="36"/>
      <c r="JX110" s="36"/>
      <c r="JY110" s="36"/>
      <c r="JZ110" s="36"/>
      <c r="KA110" s="36"/>
      <c r="KB110" s="36"/>
      <c r="KC110" s="37"/>
      <c r="KD110" s="44"/>
      <c r="KE110" s="36"/>
      <c r="KF110" s="36"/>
      <c r="KG110" s="36"/>
      <c r="KH110" s="36"/>
      <c r="KI110" s="36"/>
      <c r="KJ110" s="36"/>
      <c r="KK110" s="36"/>
      <c r="KL110" s="36"/>
      <c r="KM110" s="36"/>
      <c r="KN110" s="36"/>
      <c r="KO110" s="36"/>
      <c r="KP110" s="36"/>
      <c r="KQ110" s="36"/>
      <c r="KR110" s="36"/>
      <c r="KS110" s="36"/>
      <c r="KT110" s="37"/>
      <c r="KU110" s="36"/>
    </row>
    <row r="111" ht="15.0" customHeight="1">
      <c r="A111" s="44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7"/>
      <c r="R111" s="44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7"/>
      <c r="AI111" s="44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  <c r="AV111" s="36"/>
      <c r="AW111" s="36"/>
      <c r="AX111" s="36"/>
      <c r="AY111" s="37"/>
      <c r="AZ111" s="44"/>
      <c r="BA111" s="36"/>
      <c r="BB111" s="36"/>
      <c r="BC111" s="36"/>
      <c r="BD111" s="36"/>
      <c r="BE111" s="36"/>
      <c r="BF111" s="36"/>
      <c r="BG111" s="36"/>
      <c r="BH111" s="36"/>
      <c r="BI111" s="36"/>
      <c r="BJ111" s="36"/>
      <c r="BK111" s="36"/>
      <c r="BL111" s="36"/>
      <c r="BM111" s="36"/>
      <c r="BN111" s="36"/>
      <c r="BO111" s="36"/>
      <c r="BP111" s="37"/>
      <c r="BQ111" s="44"/>
      <c r="BR111" s="36"/>
      <c r="BS111" s="36"/>
      <c r="BT111" s="36"/>
      <c r="BU111" s="36"/>
      <c r="BV111" s="36"/>
      <c r="BW111" s="36"/>
      <c r="BX111" s="36"/>
      <c r="BY111" s="36"/>
      <c r="BZ111" s="36"/>
      <c r="CA111" s="36"/>
      <c r="CB111" s="36"/>
      <c r="CC111" s="36"/>
      <c r="CD111" s="36"/>
      <c r="CE111" s="36"/>
      <c r="CF111" s="36"/>
      <c r="CG111" s="37"/>
      <c r="CH111" s="44"/>
      <c r="CI111" s="36"/>
      <c r="CJ111" s="36"/>
      <c r="CK111" s="36"/>
      <c r="CL111" s="36"/>
      <c r="CM111" s="36"/>
      <c r="CN111" s="36"/>
      <c r="CO111" s="36"/>
      <c r="CP111" s="36"/>
      <c r="CQ111" s="36"/>
      <c r="CR111" s="36"/>
      <c r="CS111" s="36"/>
      <c r="CT111" s="36"/>
      <c r="CU111" s="36"/>
      <c r="CV111" s="36"/>
      <c r="CW111" s="36"/>
      <c r="CX111" s="37"/>
      <c r="CY111" s="44"/>
      <c r="CZ111" s="36"/>
      <c r="DA111" s="36"/>
      <c r="DB111" s="36"/>
      <c r="DC111" s="36"/>
      <c r="DD111" s="36"/>
      <c r="DE111" s="36"/>
      <c r="DF111" s="36"/>
      <c r="DG111" s="36"/>
      <c r="DH111" s="36"/>
      <c r="DI111" s="36"/>
      <c r="DJ111" s="36"/>
      <c r="DK111" s="36"/>
      <c r="DL111" s="36"/>
      <c r="DM111" s="36"/>
      <c r="DN111" s="36"/>
      <c r="DO111" s="37"/>
      <c r="DP111" s="44"/>
      <c r="DQ111" s="36"/>
      <c r="DR111" s="36"/>
      <c r="DS111" s="36"/>
      <c r="DT111" s="36"/>
      <c r="DU111" s="36"/>
      <c r="DV111" s="36"/>
      <c r="DW111" s="36"/>
      <c r="DX111" s="36"/>
      <c r="DY111" s="36"/>
      <c r="DZ111" s="36"/>
      <c r="EA111" s="36"/>
      <c r="EB111" s="36"/>
      <c r="EC111" s="36"/>
      <c r="ED111" s="36"/>
      <c r="EE111" s="36"/>
      <c r="EF111" s="37"/>
      <c r="EG111" s="44"/>
      <c r="EH111" s="36"/>
      <c r="EI111" s="36"/>
      <c r="EJ111" s="36"/>
      <c r="EK111" s="36"/>
      <c r="EL111" s="36"/>
      <c r="EM111" s="36"/>
      <c r="EN111" s="36"/>
      <c r="EO111" s="36"/>
      <c r="EP111" s="36"/>
      <c r="EQ111" s="36"/>
      <c r="ER111" s="36"/>
      <c r="ES111" s="36"/>
      <c r="ET111" s="36"/>
      <c r="EU111" s="36"/>
      <c r="EV111" s="36"/>
      <c r="EW111" s="37"/>
      <c r="EX111" s="44"/>
      <c r="EY111" s="36"/>
      <c r="EZ111" s="36"/>
      <c r="FA111" s="36"/>
      <c r="FB111" s="36"/>
      <c r="FC111" s="36"/>
      <c r="FD111" s="36"/>
      <c r="FE111" s="36"/>
      <c r="FF111" s="36"/>
      <c r="FG111" s="36"/>
      <c r="FH111" s="36"/>
      <c r="FI111" s="36"/>
      <c r="FJ111" s="36"/>
      <c r="FK111" s="36"/>
      <c r="FL111" s="36"/>
      <c r="FM111" s="36"/>
      <c r="FN111" s="37"/>
      <c r="FO111" s="44"/>
      <c r="FP111" s="36"/>
      <c r="FQ111" s="36"/>
      <c r="FR111" s="36"/>
      <c r="FS111" s="36"/>
      <c r="FT111" s="36"/>
      <c r="FU111" s="36"/>
      <c r="FV111" s="36"/>
      <c r="FW111" s="36"/>
      <c r="FX111" s="36"/>
      <c r="FY111" s="36"/>
      <c r="FZ111" s="36"/>
      <c r="GA111" s="36"/>
      <c r="GB111" s="36"/>
      <c r="GC111" s="36"/>
      <c r="GD111" s="36"/>
      <c r="GE111" s="37"/>
      <c r="GF111" s="44"/>
      <c r="GG111" s="36"/>
      <c r="GH111" s="36"/>
      <c r="GI111" s="36"/>
      <c r="GJ111" s="36"/>
      <c r="GK111" s="36"/>
      <c r="GL111" s="36"/>
      <c r="GM111" s="36"/>
      <c r="GN111" s="36"/>
      <c r="GO111" s="36"/>
      <c r="GP111" s="36"/>
      <c r="GQ111" s="36"/>
      <c r="GR111" s="36"/>
      <c r="GS111" s="36"/>
      <c r="GT111" s="36"/>
      <c r="GU111" s="36"/>
      <c r="GV111" s="37"/>
      <c r="GW111" s="44"/>
      <c r="GX111" s="36"/>
      <c r="GY111" s="36"/>
      <c r="GZ111" s="36"/>
      <c r="HA111" s="36"/>
      <c r="HB111" s="36"/>
      <c r="HC111" s="36"/>
      <c r="HD111" s="36"/>
      <c r="HE111" s="36"/>
      <c r="HF111" s="36"/>
      <c r="HG111" s="36"/>
      <c r="HH111" s="36"/>
      <c r="HI111" s="36"/>
      <c r="HJ111" s="36"/>
      <c r="HK111" s="36"/>
      <c r="HL111" s="36"/>
      <c r="HM111" s="37"/>
      <c r="HN111" s="44"/>
      <c r="HO111" s="36"/>
      <c r="HP111" s="36"/>
      <c r="HQ111" s="36"/>
      <c r="HR111" s="36"/>
      <c r="HS111" s="36"/>
      <c r="HT111" s="36"/>
      <c r="HU111" s="36"/>
      <c r="HV111" s="36"/>
      <c r="HW111" s="36"/>
      <c r="HX111" s="36"/>
      <c r="HY111" s="36"/>
      <c r="HZ111" s="36"/>
      <c r="IA111" s="36"/>
      <c r="IB111" s="36"/>
      <c r="IC111" s="36"/>
      <c r="ID111" s="37"/>
      <c r="IE111" s="44"/>
      <c r="IF111" s="36"/>
      <c r="IG111" s="36"/>
      <c r="IH111" s="36"/>
      <c r="II111" s="36"/>
      <c r="IJ111" s="36"/>
      <c r="IK111" s="36"/>
      <c r="IL111" s="36"/>
      <c r="IM111" s="36"/>
      <c r="IN111" s="36"/>
      <c r="IO111" s="36"/>
      <c r="IP111" s="36"/>
      <c r="IQ111" s="36"/>
      <c r="IR111" s="36"/>
      <c r="IS111" s="36"/>
      <c r="IT111" s="36"/>
      <c r="IU111" s="37"/>
      <c r="IV111" s="44"/>
      <c r="IW111" s="36"/>
      <c r="IX111" s="36"/>
      <c r="IY111" s="36"/>
      <c r="IZ111" s="36"/>
      <c r="JA111" s="36"/>
      <c r="JB111" s="36"/>
      <c r="JC111" s="36"/>
      <c r="JD111" s="36"/>
      <c r="JE111" s="36"/>
      <c r="JF111" s="36"/>
      <c r="JG111" s="36"/>
      <c r="JH111" s="36"/>
      <c r="JI111" s="36"/>
      <c r="JJ111" s="36"/>
      <c r="JK111" s="36"/>
      <c r="JL111" s="37"/>
      <c r="JM111" s="44"/>
      <c r="JN111" s="36"/>
      <c r="JO111" s="36"/>
      <c r="JP111" s="36"/>
      <c r="JQ111" s="36"/>
      <c r="JR111" s="36"/>
      <c r="JS111" s="36"/>
      <c r="JT111" s="36"/>
      <c r="JU111" s="36"/>
      <c r="JV111" s="36"/>
      <c r="JW111" s="36"/>
      <c r="JX111" s="36"/>
      <c r="JY111" s="36"/>
      <c r="JZ111" s="36"/>
      <c r="KA111" s="36"/>
      <c r="KB111" s="36"/>
      <c r="KC111" s="37"/>
      <c r="KD111" s="44"/>
      <c r="KE111" s="36"/>
      <c r="KF111" s="36"/>
      <c r="KG111" s="36"/>
      <c r="KH111" s="36"/>
      <c r="KI111" s="36"/>
      <c r="KJ111" s="36"/>
      <c r="KK111" s="36"/>
      <c r="KL111" s="36"/>
      <c r="KM111" s="36"/>
      <c r="KN111" s="36"/>
      <c r="KO111" s="36"/>
      <c r="KP111" s="36"/>
      <c r="KQ111" s="36"/>
      <c r="KR111" s="36"/>
      <c r="KS111" s="36"/>
      <c r="KT111" s="37"/>
      <c r="KU111" s="36"/>
    </row>
    <row r="112" ht="15.0" customHeight="1">
      <c r="A112" s="259"/>
      <c r="B112" s="260" t="s">
        <v>24</v>
      </c>
      <c r="C112" s="260" t="str">
        <f t="shared" ref="C112:C116" si="1588">C76</f>
        <v>: Provinsi Sulawesi Tenggara</v>
      </c>
      <c r="D112" s="260"/>
      <c r="E112" s="260"/>
      <c r="F112" s="260"/>
      <c r="G112" s="260" t="s">
        <v>25</v>
      </c>
      <c r="H112" s="260"/>
      <c r="I112" s="261"/>
      <c r="J112" s="262"/>
      <c r="K112" s="262"/>
      <c r="L112" s="262"/>
      <c r="M112" s="262"/>
      <c r="N112" s="262"/>
      <c r="O112" s="262"/>
      <c r="P112" s="49" t="s">
        <v>60</v>
      </c>
      <c r="Q112" s="263"/>
      <c r="R112" s="259"/>
      <c r="S112" s="260" t="s">
        <v>24</v>
      </c>
      <c r="T112" s="260" t="str">
        <f t="shared" ref="T112:T115" si="1589">C112</f>
        <v>: Provinsi Sulawesi Tenggara</v>
      </c>
      <c r="U112" s="260"/>
      <c r="V112" s="260"/>
      <c r="W112" s="260"/>
      <c r="X112" s="260" t="s">
        <v>25</v>
      </c>
      <c r="Y112" s="260"/>
      <c r="Z112" s="261"/>
      <c r="AA112" s="262"/>
      <c r="AB112" s="262"/>
      <c r="AC112" s="262"/>
      <c r="AD112" s="262"/>
      <c r="AE112" s="262"/>
      <c r="AF112" s="262"/>
      <c r="AG112" s="49" t="s">
        <v>60</v>
      </c>
      <c r="AH112" s="263"/>
      <c r="AI112" s="259"/>
      <c r="AJ112" s="260" t="s">
        <v>24</v>
      </c>
      <c r="AK112" s="260" t="str">
        <f t="shared" ref="AK112:AK115" si="1590">T112</f>
        <v>: Provinsi Sulawesi Tenggara</v>
      </c>
      <c r="AL112" s="260"/>
      <c r="AM112" s="260"/>
      <c r="AN112" s="260"/>
      <c r="AO112" s="260" t="s">
        <v>25</v>
      </c>
      <c r="AP112" s="260"/>
      <c r="AQ112" s="261"/>
      <c r="AR112" s="262"/>
      <c r="AS112" s="262"/>
      <c r="AT112" s="262"/>
      <c r="AU112" s="262"/>
      <c r="AV112" s="262"/>
      <c r="AW112" s="262"/>
      <c r="AX112" s="49" t="s">
        <v>60</v>
      </c>
      <c r="AY112" s="263"/>
      <c r="AZ112" s="259"/>
      <c r="BA112" s="260" t="s">
        <v>24</v>
      </c>
      <c r="BB112" s="260" t="str">
        <f t="shared" ref="BB112:BB115" si="1591">AK112</f>
        <v>: Provinsi Sulawesi Tenggara</v>
      </c>
      <c r="BC112" s="260"/>
      <c r="BD112" s="260"/>
      <c r="BE112" s="260"/>
      <c r="BF112" s="260" t="s">
        <v>25</v>
      </c>
      <c r="BG112" s="260"/>
      <c r="BH112" s="261"/>
      <c r="BI112" s="262"/>
      <c r="BJ112" s="262"/>
      <c r="BK112" s="262"/>
      <c r="BL112" s="262"/>
      <c r="BM112" s="262"/>
      <c r="BN112" s="262"/>
      <c r="BO112" s="49" t="s">
        <v>60</v>
      </c>
      <c r="BP112" s="263"/>
      <c r="BQ112" s="259"/>
      <c r="BR112" s="260" t="s">
        <v>24</v>
      </c>
      <c r="BS112" s="260" t="str">
        <f t="shared" ref="BS112:BS115" si="1592">BB112</f>
        <v>: Provinsi Sulawesi Tenggara</v>
      </c>
      <c r="BT112" s="260"/>
      <c r="BU112" s="260"/>
      <c r="BV112" s="260"/>
      <c r="BW112" s="260" t="s">
        <v>25</v>
      </c>
      <c r="BX112" s="260"/>
      <c r="BY112" s="261"/>
      <c r="BZ112" s="262"/>
      <c r="CA112" s="262"/>
      <c r="CB112" s="262"/>
      <c r="CC112" s="262"/>
      <c r="CD112" s="262"/>
      <c r="CE112" s="262"/>
      <c r="CF112" s="49" t="s">
        <v>60</v>
      </c>
      <c r="CG112" s="263"/>
      <c r="CH112" s="259"/>
      <c r="CI112" s="260" t="s">
        <v>24</v>
      </c>
      <c r="CJ112" s="260" t="str">
        <f t="shared" ref="CJ112:CJ115" si="1593">BS112</f>
        <v>: Provinsi Sulawesi Tenggara</v>
      </c>
      <c r="CK112" s="260"/>
      <c r="CL112" s="260"/>
      <c r="CM112" s="260"/>
      <c r="CN112" s="260" t="s">
        <v>25</v>
      </c>
      <c r="CO112" s="260"/>
      <c r="CP112" s="261"/>
      <c r="CQ112" s="262"/>
      <c r="CR112" s="262"/>
      <c r="CS112" s="262"/>
      <c r="CT112" s="262"/>
      <c r="CU112" s="262"/>
      <c r="CV112" s="262"/>
      <c r="CW112" s="49" t="s">
        <v>60</v>
      </c>
      <c r="CX112" s="263"/>
      <c r="CY112" s="259"/>
      <c r="CZ112" s="260" t="s">
        <v>24</v>
      </c>
      <c r="DA112" s="260" t="str">
        <f t="shared" ref="DA112:DA115" si="1594">CJ112</f>
        <v>: Provinsi Sulawesi Tenggara</v>
      </c>
      <c r="DB112" s="260"/>
      <c r="DC112" s="260"/>
      <c r="DD112" s="260"/>
      <c r="DE112" s="260" t="s">
        <v>25</v>
      </c>
      <c r="DF112" s="260"/>
      <c r="DG112" s="261"/>
      <c r="DH112" s="262"/>
      <c r="DI112" s="262"/>
      <c r="DJ112" s="262"/>
      <c r="DK112" s="262"/>
      <c r="DL112" s="262"/>
      <c r="DM112" s="262"/>
      <c r="DN112" s="49" t="s">
        <v>60</v>
      </c>
      <c r="DO112" s="263"/>
      <c r="DP112" s="259"/>
      <c r="DQ112" s="260" t="s">
        <v>24</v>
      </c>
      <c r="DR112" s="260" t="str">
        <f t="shared" ref="DR112:DR115" si="1595">DA112</f>
        <v>: Provinsi Sulawesi Tenggara</v>
      </c>
      <c r="DS112" s="260"/>
      <c r="DT112" s="260"/>
      <c r="DU112" s="260"/>
      <c r="DV112" s="260" t="s">
        <v>25</v>
      </c>
      <c r="DW112" s="260"/>
      <c r="DX112" s="261"/>
      <c r="DY112" s="262"/>
      <c r="DZ112" s="262"/>
      <c r="EA112" s="262"/>
      <c r="EB112" s="262"/>
      <c r="EC112" s="262"/>
      <c r="ED112" s="262"/>
      <c r="EE112" s="49" t="s">
        <v>60</v>
      </c>
      <c r="EF112" s="263"/>
      <c r="EG112" s="259"/>
      <c r="EH112" s="260" t="s">
        <v>24</v>
      </c>
      <c r="EI112" s="260" t="str">
        <f t="shared" ref="EI112:EI115" si="1596">DR112</f>
        <v>: Provinsi Sulawesi Tenggara</v>
      </c>
      <c r="EJ112" s="260"/>
      <c r="EK112" s="260"/>
      <c r="EL112" s="260"/>
      <c r="EM112" s="260" t="s">
        <v>25</v>
      </c>
      <c r="EN112" s="260"/>
      <c r="EO112" s="261"/>
      <c r="EP112" s="262"/>
      <c r="EQ112" s="262"/>
      <c r="ER112" s="262"/>
      <c r="ES112" s="262"/>
      <c r="ET112" s="262"/>
      <c r="EU112" s="262"/>
      <c r="EV112" s="49" t="s">
        <v>60</v>
      </c>
      <c r="EW112" s="263"/>
      <c r="EX112" s="259"/>
      <c r="EY112" s="260" t="s">
        <v>24</v>
      </c>
      <c r="EZ112" s="260" t="str">
        <f t="shared" ref="EZ112:EZ115" si="1597">EI112</f>
        <v>: Provinsi Sulawesi Tenggara</v>
      </c>
      <c r="FA112" s="260"/>
      <c r="FB112" s="260"/>
      <c r="FC112" s="260"/>
      <c r="FD112" s="260" t="s">
        <v>25</v>
      </c>
      <c r="FE112" s="260"/>
      <c r="FF112" s="261"/>
      <c r="FG112" s="262"/>
      <c r="FH112" s="262"/>
      <c r="FI112" s="262"/>
      <c r="FJ112" s="262"/>
      <c r="FK112" s="262"/>
      <c r="FL112" s="262"/>
      <c r="FM112" s="49" t="s">
        <v>60</v>
      </c>
      <c r="FN112" s="263"/>
      <c r="FO112" s="259"/>
      <c r="FP112" s="260" t="s">
        <v>24</v>
      </c>
      <c r="FQ112" s="260" t="str">
        <f t="shared" ref="FQ112:FQ115" si="1598">EZ112</f>
        <v>: Provinsi Sulawesi Tenggara</v>
      </c>
      <c r="FR112" s="260"/>
      <c r="FS112" s="260"/>
      <c r="FT112" s="260"/>
      <c r="FU112" s="260" t="s">
        <v>25</v>
      </c>
      <c r="FV112" s="260"/>
      <c r="FW112" s="261"/>
      <c r="FX112" s="262"/>
      <c r="FY112" s="262"/>
      <c r="FZ112" s="262"/>
      <c r="GA112" s="262"/>
      <c r="GB112" s="262"/>
      <c r="GC112" s="262"/>
      <c r="GD112" s="49" t="s">
        <v>60</v>
      </c>
      <c r="GE112" s="263"/>
      <c r="GF112" s="259"/>
      <c r="GG112" s="260" t="s">
        <v>24</v>
      </c>
      <c r="GH112" s="260" t="str">
        <f t="shared" ref="GH112:GH115" si="1599">FQ112</f>
        <v>: Provinsi Sulawesi Tenggara</v>
      </c>
      <c r="GI112" s="260"/>
      <c r="GJ112" s="260"/>
      <c r="GK112" s="260"/>
      <c r="GL112" s="260" t="s">
        <v>25</v>
      </c>
      <c r="GM112" s="260"/>
      <c r="GN112" s="261"/>
      <c r="GO112" s="262"/>
      <c r="GP112" s="262"/>
      <c r="GQ112" s="262"/>
      <c r="GR112" s="262"/>
      <c r="GS112" s="262"/>
      <c r="GT112" s="262"/>
      <c r="GU112" s="49" t="s">
        <v>60</v>
      </c>
      <c r="GV112" s="263"/>
      <c r="GW112" s="259"/>
      <c r="GX112" s="260" t="s">
        <v>24</v>
      </c>
      <c r="GY112" s="260" t="str">
        <f t="shared" ref="GY112:GY115" si="1600">GH112</f>
        <v>: Provinsi Sulawesi Tenggara</v>
      </c>
      <c r="GZ112" s="260"/>
      <c r="HA112" s="260"/>
      <c r="HB112" s="260"/>
      <c r="HC112" s="260" t="s">
        <v>25</v>
      </c>
      <c r="HD112" s="260"/>
      <c r="HE112" s="261"/>
      <c r="HF112" s="262"/>
      <c r="HG112" s="262"/>
      <c r="HH112" s="262"/>
      <c r="HI112" s="262"/>
      <c r="HJ112" s="262"/>
      <c r="HK112" s="262"/>
      <c r="HL112" s="49" t="s">
        <v>60</v>
      </c>
      <c r="HM112" s="263"/>
      <c r="HN112" s="259"/>
      <c r="HO112" s="260" t="s">
        <v>24</v>
      </c>
      <c r="HP112" s="260" t="str">
        <f t="shared" ref="HP112:HP115" si="1601">GY112</f>
        <v>: Provinsi Sulawesi Tenggara</v>
      </c>
      <c r="HQ112" s="260"/>
      <c r="HR112" s="260"/>
      <c r="HS112" s="260"/>
      <c r="HT112" s="260" t="s">
        <v>25</v>
      </c>
      <c r="HU112" s="260"/>
      <c r="HV112" s="261"/>
      <c r="HW112" s="262"/>
      <c r="HX112" s="262"/>
      <c r="HY112" s="262"/>
      <c r="HZ112" s="262"/>
      <c r="IA112" s="262"/>
      <c r="IB112" s="262"/>
      <c r="IC112" s="49" t="s">
        <v>60</v>
      </c>
      <c r="ID112" s="263"/>
      <c r="IE112" s="259"/>
      <c r="IF112" s="260" t="s">
        <v>24</v>
      </c>
      <c r="IG112" s="260" t="str">
        <f t="shared" ref="IG112:IG115" si="1602">HP112</f>
        <v>: Provinsi Sulawesi Tenggara</v>
      </c>
      <c r="IH112" s="260"/>
      <c r="II112" s="260"/>
      <c r="IJ112" s="260"/>
      <c r="IK112" s="260" t="s">
        <v>25</v>
      </c>
      <c r="IL112" s="260"/>
      <c r="IM112" s="261"/>
      <c r="IN112" s="262"/>
      <c r="IO112" s="262"/>
      <c r="IP112" s="262"/>
      <c r="IQ112" s="262"/>
      <c r="IR112" s="262"/>
      <c r="IS112" s="262"/>
      <c r="IT112" s="49" t="s">
        <v>60</v>
      </c>
      <c r="IU112" s="263"/>
      <c r="IV112" s="259"/>
      <c r="IW112" s="260" t="s">
        <v>24</v>
      </c>
      <c r="IX112" s="260" t="str">
        <f t="shared" ref="IX112:IX115" si="1603">IG112</f>
        <v>: Provinsi Sulawesi Tenggara</v>
      </c>
      <c r="IY112" s="260"/>
      <c r="IZ112" s="260"/>
      <c r="JA112" s="260"/>
      <c r="JB112" s="260" t="s">
        <v>25</v>
      </c>
      <c r="JC112" s="260"/>
      <c r="JD112" s="261"/>
      <c r="JE112" s="262"/>
      <c r="JF112" s="262"/>
      <c r="JG112" s="262"/>
      <c r="JH112" s="262"/>
      <c r="JI112" s="262"/>
      <c r="JJ112" s="262"/>
      <c r="JK112" s="49" t="s">
        <v>60</v>
      </c>
      <c r="JL112" s="264"/>
      <c r="JM112" s="259"/>
      <c r="JN112" s="260" t="s">
        <v>24</v>
      </c>
      <c r="JO112" s="260" t="str">
        <f t="shared" ref="JO112:JO115" si="1604">IX112</f>
        <v>: Provinsi Sulawesi Tenggara</v>
      </c>
      <c r="JP112" s="260"/>
      <c r="JQ112" s="260"/>
      <c r="JR112" s="260"/>
      <c r="JS112" s="260" t="s">
        <v>25</v>
      </c>
      <c r="JT112" s="260"/>
      <c r="JU112" s="261"/>
      <c r="JV112" s="262"/>
      <c r="JW112" s="262"/>
      <c r="JX112" s="262"/>
      <c r="JY112" s="262"/>
      <c r="JZ112" s="262"/>
      <c r="KA112" s="262"/>
      <c r="KB112" s="49" t="s">
        <v>60</v>
      </c>
      <c r="KC112" s="264"/>
      <c r="KD112" s="259"/>
      <c r="KE112" s="260" t="s">
        <v>24</v>
      </c>
      <c r="KF112" s="260" t="str">
        <f t="shared" ref="KF112:KF115" si="1605">JO112</f>
        <v>: Provinsi Sulawesi Tenggara</v>
      </c>
      <c r="KG112" s="260"/>
      <c r="KH112" s="260"/>
      <c r="KI112" s="260"/>
      <c r="KJ112" s="260" t="s">
        <v>25</v>
      </c>
      <c r="KK112" s="260"/>
      <c r="KL112" s="261"/>
      <c r="KM112" s="262"/>
      <c r="KN112" s="262"/>
      <c r="KO112" s="262"/>
      <c r="KP112" s="262"/>
      <c r="KQ112" s="262"/>
      <c r="KR112" s="262"/>
      <c r="KS112" s="49" t="s">
        <v>60</v>
      </c>
      <c r="KT112" s="264"/>
      <c r="KU112" s="262"/>
    </row>
    <row r="113" ht="15.0" customHeight="1">
      <c r="A113" s="265"/>
      <c r="B113" s="266" t="s">
        <v>27</v>
      </c>
      <c r="C113" s="266" t="str">
        <f t="shared" si="1588"/>
        <v>: Pertambangan dan Penggalian    </v>
      </c>
      <c r="D113" s="266"/>
      <c r="E113" s="266"/>
      <c r="F113" s="266"/>
      <c r="G113" s="266" t="s">
        <v>28</v>
      </c>
      <c r="H113" s="266"/>
      <c r="I113" s="267"/>
      <c r="J113" s="262"/>
      <c r="K113" s="262"/>
      <c r="L113" s="262"/>
      <c r="M113" s="262"/>
      <c r="N113" s="262"/>
      <c r="O113" s="262"/>
      <c r="P113" s="55"/>
      <c r="Q113" s="263"/>
      <c r="R113" s="265"/>
      <c r="S113" s="266" t="s">
        <v>27</v>
      </c>
      <c r="T113" s="266" t="str">
        <f t="shared" si="1589"/>
        <v>: Pertambangan dan Penggalian    </v>
      </c>
      <c r="U113" s="266"/>
      <c r="V113" s="266"/>
      <c r="W113" s="266"/>
      <c r="X113" s="266" t="s">
        <v>28</v>
      </c>
      <c r="Y113" s="266"/>
      <c r="Z113" s="267"/>
      <c r="AA113" s="262"/>
      <c r="AB113" s="262"/>
      <c r="AC113" s="262"/>
      <c r="AD113" s="262"/>
      <c r="AE113" s="262"/>
      <c r="AF113" s="262"/>
      <c r="AG113" s="55"/>
      <c r="AH113" s="263"/>
      <c r="AI113" s="265"/>
      <c r="AJ113" s="266" t="s">
        <v>27</v>
      </c>
      <c r="AK113" s="266" t="str">
        <f t="shared" si="1590"/>
        <v>: Pertambangan dan Penggalian    </v>
      </c>
      <c r="AL113" s="266"/>
      <c r="AM113" s="266"/>
      <c r="AN113" s="266"/>
      <c r="AO113" s="266" t="s">
        <v>28</v>
      </c>
      <c r="AP113" s="266"/>
      <c r="AQ113" s="267"/>
      <c r="AR113" s="262"/>
      <c r="AS113" s="262"/>
      <c r="AT113" s="262"/>
      <c r="AU113" s="262"/>
      <c r="AV113" s="262"/>
      <c r="AW113" s="262"/>
      <c r="AX113" s="55"/>
      <c r="AY113" s="263"/>
      <c r="AZ113" s="265"/>
      <c r="BA113" s="266" t="s">
        <v>27</v>
      </c>
      <c r="BB113" s="266" t="str">
        <f t="shared" si="1591"/>
        <v>: Pertambangan dan Penggalian    </v>
      </c>
      <c r="BC113" s="266"/>
      <c r="BD113" s="266"/>
      <c r="BE113" s="266"/>
      <c r="BF113" s="266" t="s">
        <v>28</v>
      </c>
      <c r="BG113" s="266"/>
      <c r="BH113" s="267"/>
      <c r="BI113" s="262"/>
      <c r="BJ113" s="262"/>
      <c r="BK113" s="262"/>
      <c r="BL113" s="262"/>
      <c r="BM113" s="262"/>
      <c r="BN113" s="262"/>
      <c r="BO113" s="55"/>
      <c r="BP113" s="263"/>
      <c r="BQ113" s="265"/>
      <c r="BR113" s="266" t="s">
        <v>27</v>
      </c>
      <c r="BS113" s="266" t="str">
        <f t="shared" si="1592"/>
        <v>: Pertambangan dan Penggalian    </v>
      </c>
      <c r="BT113" s="266"/>
      <c r="BU113" s="266"/>
      <c r="BV113" s="266"/>
      <c r="BW113" s="266" t="s">
        <v>28</v>
      </c>
      <c r="BX113" s="266"/>
      <c r="BY113" s="267"/>
      <c r="BZ113" s="262"/>
      <c r="CA113" s="262"/>
      <c r="CB113" s="262"/>
      <c r="CC113" s="262"/>
      <c r="CD113" s="262"/>
      <c r="CE113" s="262"/>
      <c r="CF113" s="55"/>
      <c r="CG113" s="263"/>
      <c r="CH113" s="265"/>
      <c r="CI113" s="266" t="s">
        <v>27</v>
      </c>
      <c r="CJ113" s="266" t="str">
        <f t="shared" si="1593"/>
        <v>: Pertambangan dan Penggalian    </v>
      </c>
      <c r="CK113" s="266"/>
      <c r="CL113" s="266"/>
      <c r="CM113" s="266"/>
      <c r="CN113" s="266" t="s">
        <v>28</v>
      </c>
      <c r="CO113" s="266"/>
      <c r="CP113" s="267"/>
      <c r="CQ113" s="262"/>
      <c r="CR113" s="262"/>
      <c r="CS113" s="262"/>
      <c r="CT113" s="262"/>
      <c r="CU113" s="262"/>
      <c r="CV113" s="262"/>
      <c r="CW113" s="55"/>
      <c r="CX113" s="263"/>
      <c r="CY113" s="265"/>
      <c r="CZ113" s="266" t="s">
        <v>27</v>
      </c>
      <c r="DA113" s="266" t="str">
        <f t="shared" si="1594"/>
        <v>: Pertambangan dan Penggalian    </v>
      </c>
      <c r="DB113" s="266"/>
      <c r="DC113" s="266"/>
      <c r="DD113" s="266"/>
      <c r="DE113" s="266" t="s">
        <v>28</v>
      </c>
      <c r="DF113" s="266"/>
      <c r="DG113" s="267"/>
      <c r="DH113" s="262"/>
      <c r="DI113" s="262"/>
      <c r="DJ113" s="262"/>
      <c r="DK113" s="262"/>
      <c r="DL113" s="262"/>
      <c r="DM113" s="262"/>
      <c r="DN113" s="55"/>
      <c r="DO113" s="263"/>
      <c r="DP113" s="265"/>
      <c r="DQ113" s="266" t="s">
        <v>27</v>
      </c>
      <c r="DR113" s="266" t="str">
        <f t="shared" si="1595"/>
        <v>: Pertambangan dan Penggalian    </v>
      </c>
      <c r="DS113" s="266"/>
      <c r="DT113" s="266"/>
      <c r="DU113" s="266"/>
      <c r="DV113" s="266" t="s">
        <v>28</v>
      </c>
      <c r="DW113" s="266"/>
      <c r="DX113" s="267"/>
      <c r="DY113" s="262"/>
      <c r="DZ113" s="262"/>
      <c r="EA113" s="262"/>
      <c r="EB113" s="262"/>
      <c r="EC113" s="262"/>
      <c r="ED113" s="262"/>
      <c r="EE113" s="55"/>
      <c r="EF113" s="263"/>
      <c r="EG113" s="265"/>
      <c r="EH113" s="266" t="s">
        <v>27</v>
      </c>
      <c r="EI113" s="266" t="str">
        <f t="shared" si="1596"/>
        <v>: Pertambangan dan Penggalian    </v>
      </c>
      <c r="EJ113" s="266"/>
      <c r="EK113" s="266"/>
      <c r="EL113" s="266"/>
      <c r="EM113" s="266" t="s">
        <v>28</v>
      </c>
      <c r="EN113" s="266"/>
      <c r="EO113" s="267"/>
      <c r="EP113" s="262"/>
      <c r="EQ113" s="262"/>
      <c r="ER113" s="262"/>
      <c r="ES113" s="262"/>
      <c r="ET113" s="262"/>
      <c r="EU113" s="262"/>
      <c r="EV113" s="55"/>
      <c r="EW113" s="263"/>
      <c r="EX113" s="265"/>
      <c r="EY113" s="266" t="s">
        <v>27</v>
      </c>
      <c r="EZ113" s="266" t="str">
        <f t="shared" si="1597"/>
        <v>: Pertambangan dan Penggalian    </v>
      </c>
      <c r="FA113" s="266"/>
      <c r="FB113" s="266"/>
      <c r="FC113" s="266"/>
      <c r="FD113" s="266" t="s">
        <v>28</v>
      </c>
      <c r="FE113" s="266"/>
      <c r="FF113" s="267"/>
      <c r="FG113" s="262"/>
      <c r="FH113" s="262"/>
      <c r="FI113" s="262"/>
      <c r="FJ113" s="262"/>
      <c r="FK113" s="262"/>
      <c r="FL113" s="262"/>
      <c r="FM113" s="55"/>
      <c r="FN113" s="263"/>
      <c r="FO113" s="265"/>
      <c r="FP113" s="266" t="s">
        <v>27</v>
      </c>
      <c r="FQ113" s="266" t="str">
        <f t="shared" si="1598"/>
        <v>: Pertambangan dan Penggalian    </v>
      </c>
      <c r="FR113" s="266"/>
      <c r="FS113" s="266"/>
      <c r="FT113" s="266"/>
      <c r="FU113" s="266" t="s">
        <v>28</v>
      </c>
      <c r="FV113" s="266"/>
      <c r="FW113" s="267"/>
      <c r="FX113" s="262"/>
      <c r="FY113" s="262"/>
      <c r="FZ113" s="262"/>
      <c r="GA113" s="262"/>
      <c r="GB113" s="262"/>
      <c r="GC113" s="262"/>
      <c r="GD113" s="55"/>
      <c r="GE113" s="263"/>
      <c r="GF113" s="265"/>
      <c r="GG113" s="266" t="s">
        <v>27</v>
      </c>
      <c r="GH113" s="266" t="str">
        <f t="shared" si="1599"/>
        <v>: Pertambangan dan Penggalian    </v>
      </c>
      <c r="GI113" s="266"/>
      <c r="GJ113" s="266"/>
      <c r="GK113" s="266"/>
      <c r="GL113" s="266" t="s">
        <v>28</v>
      </c>
      <c r="GM113" s="266"/>
      <c r="GN113" s="267"/>
      <c r="GO113" s="262"/>
      <c r="GP113" s="262"/>
      <c r="GQ113" s="262"/>
      <c r="GR113" s="262"/>
      <c r="GS113" s="262"/>
      <c r="GT113" s="262"/>
      <c r="GU113" s="55"/>
      <c r="GV113" s="263"/>
      <c r="GW113" s="265"/>
      <c r="GX113" s="266" t="s">
        <v>27</v>
      </c>
      <c r="GY113" s="266" t="str">
        <f t="shared" si="1600"/>
        <v>: Pertambangan dan Penggalian    </v>
      </c>
      <c r="GZ113" s="266"/>
      <c r="HA113" s="266"/>
      <c r="HB113" s="266"/>
      <c r="HC113" s="266" t="s">
        <v>28</v>
      </c>
      <c r="HD113" s="266"/>
      <c r="HE113" s="267"/>
      <c r="HF113" s="262"/>
      <c r="HG113" s="262"/>
      <c r="HH113" s="262"/>
      <c r="HI113" s="262"/>
      <c r="HJ113" s="262"/>
      <c r="HK113" s="262"/>
      <c r="HL113" s="55"/>
      <c r="HM113" s="263"/>
      <c r="HN113" s="265"/>
      <c r="HO113" s="266" t="s">
        <v>27</v>
      </c>
      <c r="HP113" s="266" t="str">
        <f t="shared" si="1601"/>
        <v>: Pertambangan dan Penggalian    </v>
      </c>
      <c r="HQ113" s="266"/>
      <c r="HR113" s="266"/>
      <c r="HS113" s="266"/>
      <c r="HT113" s="266" t="s">
        <v>28</v>
      </c>
      <c r="HU113" s="266"/>
      <c r="HV113" s="267"/>
      <c r="HW113" s="262"/>
      <c r="HX113" s="262"/>
      <c r="HY113" s="262"/>
      <c r="HZ113" s="262"/>
      <c r="IA113" s="262"/>
      <c r="IB113" s="262"/>
      <c r="IC113" s="55"/>
      <c r="ID113" s="263"/>
      <c r="IE113" s="265"/>
      <c r="IF113" s="266" t="s">
        <v>27</v>
      </c>
      <c r="IG113" s="266" t="str">
        <f t="shared" si="1602"/>
        <v>: Pertambangan dan Penggalian    </v>
      </c>
      <c r="IH113" s="266"/>
      <c r="II113" s="266"/>
      <c r="IJ113" s="266"/>
      <c r="IK113" s="266" t="s">
        <v>28</v>
      </c>
      <c r="IL113" s="266"/>
      <c r="IM113" s="267"/>
      <c r="IN113" s="262"/>
      <c r="IO113" s="262"/>
      <c r="IP113" s="262"/>
      <c r="IQ113" s="262"/>
      <c r="IR113" s="262"/>
      <c r="IS113" s="262"/>
      <c r="IT113" s="55"/>
      <c r="IU113" s="263"/>
      <c r="IV113" s="265"/>
      <c r="IW113" s="266" t="s">
        <v>27</v>
      </c>
      <c r="IX113" s="266" t="str">
        <f t="shared" si="1603"/>
        <v>: Pertambangan dan Penggalian    </v>
      </c>
      <c r="IY113" s="266"/>
      <c r="IZ113" s="266"/>
      <c r="JA113" s="266"/>
      <c r="JB113" s="266" t="s">
        <v>28</v>
      </c>
      <c r="JC113" s="266"/>
      <c r="JD113" s="267"/>
      <c r="JE113" s="262"/>
      <c r="JF113" s="262"/>
      <c r="JG113" s="262"/>
      <c r="JH113" s="262"/>
      <c r="JI113" s="262"/>
      <c r="JJ113" s="262"/>
      <c r="JK113" s="55"/>
      <c r="JL113" s="264"/>
      <c r="JM113" s="265"/>
      <c r="JN113" s="266" t="s">
        <v>27</v>
      </c>
      <c r="JO113" s="266" t="str">
        <f t="shared" si="1604"/>
        <v>: Pertambangan dan Penggalian    </v>
      </c>
      <c r="JP113" s="266"/>
      <c r="JQ113" s="266"/>
      <c r="JR113" s="266"/>
      <c r="JS113" s="266" t="s">
        <v>28</v>
      </c>
      <c r="JT113" s="266"/>
      <c r="JU113" s="267"/>
      <c r="JV113" s="262"/>
      <c r="JW113" s="262"/>
      <c r="JX113" s="262"/>
      <c r="JY113" s="262"/>
      <c r="JZ113" s="262"/>
      <c r="KA113" s="262"/>
      <c r="KB113" s="55"/>
      <c r="KC113" s="264"/>
      <c r="KD113" s="265"/>
      <c r="KE113" s="266" t="s">
        <v>27</v>
      </c>
      <c r="KF113" s="266" t="str">
        <f t="shared" si="1605"/>
        <v>: Pertambangan dan Penggalian    </v>
      </c>
      <c r="KG113" s="266"/>
      <c r="KH113" s="266"/>
      <c r="KI113" s="266"/>
      <c r="KJ113" s="266" t="s">
        <v>28</v>
      </c>
      <c r="KK113" s="266"/>
      <c r="KL113" s="267"/>
      <c r="KM113" s="262"/>
      <c r="KN113" s="262"/>
      <c r="KO113" s="262"/>
      <c r="KP113" s="262"/>
      <c r="KQ113" s="262"/>
      <c r="KR113" s="262"/>
      <c r="KS113" s="55"/>
      <c r="KT113" s="264"/>
      <c r="KU113" s="262"/>
    </row>
    <row r="114" ht="15.0" customHeight="1">
      <c r="A114" s="265"/>
      <c r="B114" s="266" t="s">
        <v>29</v>
      </c>
      <c r="C114" s="266" t="str">
        <f t="shared" si="1588"/>
        <v>: Pertambangan Bijih Logam</v>
      </c>
      <c r="D114" s="266"/>
      <c r="E114" s="266"/>
      <c r="F114" s="266"/>
      <c r="G114" s="268" t="s">
        <v>61</v>
      </c>
      <c r="H114" s="266"/>
      <c r="I114" s="267"/>
      <c r="J114" s="262"/>
      <c r="K114" s="262"/>
      <c r="L114" s="262"/>
      <c r="M114" s="262"/>
      <c r="N114" s="262"/>
      <c r="O114" s="262"/>
      <c r="P114" s="57" t="str">
        <f>"III/"&amp;P$6</f>
        <v>III/2010</v>
      </c>
      <c r="Q114" s="263"/>
      <c r="R114" s="265"/>
      <c r="S114" s="266" t="s">
        <v>29</v>
      </c>
      <c r="T114" s="266" t="str">
        <f t="shared" si="1589"/>
        <v>: Pertambangan Bijih Logam</v>
      </c>
      <c r="U114" s="266"/>
      <c r="V114" s="266"/>
      <c r="W114" s="266"/>
      <c r="X114" s="268" t="s">
        <v>61</v>
      </c>
      <c r="Y114" s="266"/>
      <c r="Z114" s="267"/>
      <c r="AA114" s="262"/>
      <c r="AB114" s="262"/>
      <c r="AC114" s="262"/>
      <c r="AD114" s="262"/>
      <c r="AE114" s="262"/>
      <c r="AF114" s="262"/>
      <c r="AG114" s="57" t="str">
        <f>"III/"&amp;AG$6</f>
        <v>III/2011</v>
      </c>
      <c r="AH114" s="263"/>
      <c r="AI114" s="265"/>
      <c r="AJ114" s="266" t="s">
        <v>29</v>
      </c>
      <c r="AK114" s="266" t="str">
        <f t="shared" si="1590"/>
        <v>: Pertambangan Bijih Logam</v>
      </c>
      <c r="AL114" s="266"/>
      <c r="AM114" s="266"/>
      <c r="AN114" s="266"/>
      <c r="AO114" s="268" t="s">
        <v>61</v>
      </c>
      <c r="AP114" s="266"/>
      <c r="AQ114" s="267"/>
      <c r="AR114" s="262"/>
      <c r="AS114" s="262"/>
      <c r="AT114" s="262"/>
      <c r="AU114" s="262"/>
      <c r="AV114" s="262"/>
      <c r="AW114" s="262"/>
      <c r="AX114" s="57" t="str">
        <f>"III/"&amp;AX$6</f>
        <v>III/2012</v>
      </c>
      <c r="AY114" s="263"/>
      <c r="AZ114" s="265"/>
      <c r="BA114" s="266" t="s">
        <v>29</v>
      </c>
      <c r="BB114" s="266" t="str">
        <f t="shared" si="1591"/>
        <v>: Pertambangan Bijih Logam</v>
      </c>
      <c r="BC114" s="266"/>
      <c r="BD114" s="266"/>
      <c r="BE114" s="266"/>
      <c r="BF114" s="268" t="s">
        <v>61</v>
      </c>
      <c r="BG114" s="266"/>
      <c r="BH114" s="267"/>
      <c r="BI114" s="262"/>
      <c r="BJ114" s="262"/>
      <c r="BK114" s="262"/>
      <c r="BL114" s="262"/>
      <c r="BM114" s="262"/>
      <c r="BN114" s="262"/>
      <c r="BO114" s="57" t="str">
        <f>"III/"&amp;BO$6</f>
        <v>III/2013</v>
      </c>
      <c r="BP114" s="263"/>
      <c r="BQ114" s="265"/>
      <c r="BR114" s="266" t="s">
        <v>29</v>
      </c>
      <c r="BS114" s="266" t="str">
        <f t="shared" si="1592"/>
        <v>: Pertambangan Bijih Logam</v>
      </c>
      <c r="BT114" s="266"/>
      <c r="BU114" s="266"/>
      <c r="BV114" s="266"/>
      <c r="BW114" s="268" t="s">
        <v>61</v>
      </c>
      <c r="BX114" s="266"/>
      <c r="BY114" s="267"/>
      <c r="BZ114" s="262"/>
      <c r="CA114" s="262"/>
      <c r="CB114" s="262"/>
      <c r="CC114" s="262"/>
      <c r="CD114" s="262"/>
      <c r="CE114" s="262"/>
      <c r="CF114" s="57" t="str">
        <f>"III/"&amp;CF$6</f>
        <v>III/2014</v>
      </c>
      <c r="CG114" s="263"/>
      <c r="CH114" s="265"/>
      <c r="CI114" s="266" t="s">
        <v>29</v>
      </c>
      <c r="CJ114" s="266" t="str">
        <f t="shared" si="1593"/>
        <v>: Pertambangan Bijih Logam</v>
      </c>
      <c r="CK114" s="266"/>
      <c r="CL114" s="266"/>
      <c r="CM114" s="266"/>
      <c r="CN114" s="268" t="s">
        <v>61</v>
      </c>
      <c r="CO114" s="266"/>
      <c r="CP114" s="267"/>
      <c r="CQ114" s="262"/>
      <c r="CR114" s="262"/>
      <c r="CS114" s="262"/>
      <c r="CT114" s="262"/>
      <c r="CU114" s="262"/>
      <c r="CV114" s="262"/>
      <c r="CW114" s="57" t="str">
        <f>"III/"&amp;CW$6</f>
        <v>III/2015</v>
      </c>
      <c r="CX114" s="263"/>
      <c r="CY114" s="265"/>
      <c r="CZ114" s="266" t="s">
        <v>29</v>
      </c>
      <c r="DA114" s="266" t="str">
        <f t="shared" si="1594"/>
        <v>: Pertambangan Bijih Logam</v>
      </c>
      <c r="DB114" s="266"/>
      <c r="DC114" s="266"/>
      <c r="DD114" s="266"/>
      <c r="DE114" s="268" t="s">
        <v>61</v>
      </c>
      <c r="DF114" s="266"/>
      <c r="DG114" s="267"/>
      <c r="DH114" s="262"/>
      <c r="DI114" s="262"/>
      <c r="DJ114" s="262"/>
      <c r="DK114" s="262"/>
      <c r="DL114" s="262"/>
      <c r="DM114" s="262"/>
      <c r="DN114" s="57" t="str">
        <f>"III/"&amp;DN$6</f>
        <v>III/2016</v>
      </c>
      <c r="DO114" s="263"/>
      <c r="DP114" s="265"/>
      <c r="DQ114" s="266" t="s">
        <v>29</v>
      </c>
      <c r="DR114" s="266" t="str">
        <f t="shared" si="1595"/>
        <v>: Pertambangan Bijih Logam</v>
      </c>
      <c r="DS114" s="266"/>
      <c r="DT114" s="266"/>
      <c r="DU114" s="266"/>
      <c r="DV114" s="268" t="s">
        <v>61</v>
      </c>
      <c r="DW114" s="266"/>
      <c r="DX114" s="267"/>
      <c r="DY114" s="262"/>
      <c r="DZ114" s="262"/>
      <c r="EA114" s="262"/>
      <c r="EB114" s="262"/>
      <c r="EC114" s="262"/>
      <c r="ED114" s="262"/>
      <c r="EE114" s="57" t="str">
        <f>"III/"&amp;EE$6</f>
        <v>III/2017</v>
      </c>
      <c r="EF114" s="263"/>
      <c r="EG114" s="265"/>
      <c r="EH114" s="266" t="s">
        <v>29</v>
      </c>
      <c r="EI114" s="266" t="str">
        <f t="shared" si="1596"/>
        <v>: Pertambangan Bijih Logam</v>
      </c>
      <c r="EJ114" s="266"/>
      <c r="EK114" s="266"/>
      <c r="EL114" s="266"/>
      <c r="EM114" s="268" t="s">
        <v>61</v>
      </c>
      <c r="EN114" s="266"/>
      <c r="EO114" s="267"/>
      <c r="EP114" s="262"/>
      <c r="EQ114" s="262"/>
      <c r="ER114" s="262"/>
      <c r="ES114" s="262"/>
      <c r="ET114" s="262"/>
      <c r="EU114" s="262"/>
      <c r="EV114" s="57" t="str">
        <f>"III/"&amp;EV$6</f>
        <v>III/2018</v>
      </c>
      <c r="EW114" s="263"/>
      <c r="EX114" s="265"/>
      <c r="EY114" s="266" t="s">
        <v>29</v>
      </c>
      <c r="EZ114" s="266" t="str">
        <f t="shared" si="1597"/>
        <v>: Pertambangan Bijih Logam</v>
      </c>
      <c r="FA114" s="266"/>
      <c r="FB114" s="266"/>
      <c r="FC114" s="266"/>
      <c r="FD114" s="268" t="s">
        <v>61</v>
      </c>
      <c r="FE114" s="266"/>
      <c r="FF114" s="267"/>
      <c r="FG114" s="262"/>
      <c r="FH114" s="262"/>
      <c r="FI114" s="262"/>
      <c r="FJ114" s="262"/>
      <c r="FK114" s="262"/>
      <c r="FL114" s="262"/>
      <c r="FM114" s="57" t="str">
        <f>"III/"&amp;FM$6</f>
        <v>III/2019</v>
      </c>
      <c r="FN114" s="263"/>
      <c r="FO114" s="265"/>
      <c r="FP114" s="266" t="s">
        <v>29</v>
      </c>
      <c r="FQ114" s="266" t="str">
        <f t="shared" si="1598"/>
        <v>: Pertambangan Bijih Logam</v>
      </c>
      <c r="FR114" s="266"/>
      <c r="FS114" s="266"/>
      <c r="FT114" s="266"/>
      <c r="FU114" s="268" t="s">
        <v>61</v>
      </c>
      <c r="FV114" s="266"/>
      <c r="FW114" s="267"/>
      <c r="FX114" s="262"/>
      <c r="FY114" s="262"/>
      <c r="FZ114" s="262"/>
      <c r="GA114" s="262"/>
      <c r="GB114" s="262"/>
      <c r="GC114" s="262"/>
      <c r="GD114" s="57" t="str">
        <f>"III/"&amp;GD$6</f>
        <v>III/2020</v>
      </c>
      <c r="GE114" s="263"/>
      <c r="GF114" s="265"/>
      <c r="GG114" s="266" t="s">
        <v>29</v>
      </c>
      <c r="GH114" s="266" t="str">
        <f t="shared" si="1599"/>
        <v>: Pertambangan Bijih Logam</v>
      </c>
      <c r="GI114" s="266"/>
      <c r="GJ114" s="266"/>
      <c r="GK114" s="266"/>
      <c r="GL114" s="268" t="s">
        <v>61</v>
      </c>
      <c r="GM114" s="266"/>
      <c r="GN114" s="267"/>
      <c r="GO114" s="262"/>
      <c r="GP114" s="262"/>
      <c r="GQ114" s="262"/>
      <c r="GR114" s="262"/>
      <c r="GS114" s="262"/>
      <c r="GT114" s="262"/>
      <c r="GU114" s="57" t="str">
        <f>"III/"&amp;GU$6</f>
        <v>III/2021</v>
      </c>
      <c r="GV114" s="263"/>
      <c r="GW114" s="265"/>
      <c r="GX114" s="266" t="s">
        <v>29</v>
      </c>
      <c r="GY114" s="266" t="str">
        <f t="shared" si="1600"/>
        <v>: Pertambangan Bijih Logam</v>
      </c>
      <c r="GZ114" s="266"/>
      <c r="HA114" s="266"/>
      <c r="HB114" s="266"/>
      <c r="HC114" s="268" t="s">
        <v>61</v>
      </c>
      <c r="HD114" s="266"/>
      <c r="HE114" s="267"/>
      <c r="HF114" s="262"/>
      <c r="HG114" s="262"/>
      <c r="HH114" s="262"/>
      <c r="HI114" s="262"/>
      <c r="HJ114" s="262"/>
      <c r="HK114" s="262"/>
      <c r="HL114" s="57" t="str">
        <f>"III/"&amp;HL$6</f>
        <v>III/2022</v>
      </c>
      <c r="HM114" s="263"/>
      <c r="HN114" s="265"/>
      <c r="HO114" s="266" t="s">
        <v>29</v>
      </c>
      <c r="HP114" s="266" t="str">
        <f t="shared" si="1601"/>
        <v>: Pertambangan Bijih Logam</v>
      </c>
      <c r="HQ114" s="266"/>
      <c r="HR114" s="266"/>
      <c r="HS114" s="266"/>
      <c r="HT114" s="268" t="s">
        <v>61</v>
      </c>
      <c r="HU114" s="266"/>
      <c r="HV114" s="267"/>
      <c r="HW114" s="262"/>
      <c r="HX114" s="262"/>
      <c r="HY114" s="262"/>
      <c r="HZ114" s="262"/>
      <c r="IA114" s="262"/>
      <c r="IB114" s="262"/>
      <c r="IC114" s="57" t="str">
        <f>"III/"&amp;IC$6</f>
        <v>III/2023</v>
      </c>
      <c r="ID114" s="263"/>
      <c r="IE114" s="265"/>
      <c r="IF114" s="266" t="s">
        <v>29</v>
      </c>
      <c r="IG114" s="266" t="str">
        <f t="shared" si="1602"/>
        <v>: Pertambangan Bijih Logam</v>
      </c>
      <c r="IH114" s="266"/>
      <c r="II114" s="266"/>
      <c r="IJ114" s="266"/>
      <c r="IK114" s="268" t="s">
        <v>61</v>
      </c>
      <c r="IL114" s="266"/>
      <c r="IM114" s="267"/>
      <c r="IN114" s="262"/>
      <c r="IO114" s="262"/>
      <c r="IP114" s="262"/>
      <c r="IQ114" s="262"/>
      <c r="IR114" s="262"/>
      <c r="IS114" s="262"/>
      <c r="IT114" s="57" t="str">
        <f>"III/"&amp;IT$6</f>
        <v>III/2024</v>
      </c>
      <c r="IU114" s="263"/>
      <c r="IV114" s="265"/>
      <c r="IW114" s="266" t="s">
        <v>29</v>
      </c>
      <c r="IX114" s="266" t="str">
        <f t="shared" si="1603"/>
        <v>: Pertambangan Bijih Logam</v>
      </c>
      <c r="IY114" s="266"/>
      <c r="IZ114" s="266"/>
      <c r="JA114" s="266"/>
      <c r="JB114" s="268" t="s">
        <v>61</v>
      </c>
      <c r="JC114" s="266"/>
      <c r="JD114" s="267"/>
      <c r="JE114" s="262"/>
      <c r="JF114" s="262"/>
      <c r="JG114" s="262"/>
      <c r="JH114" s="262"/>
      <c r="JI114" s="262"/>
      <c r="JJ114" s="262"/>
      <c r="JK114" s="57" t="str">
        <f>"III/"&amp;JK$6</f>
        <v>III/2025</v>
      </c>
      <c r="JL114" s="264"/>
      <c r="JM114" s="265"/>
      <c r="JN114" s="266" t="s">
        <v>29</v>
      </c>
      <c r="JO114" s="266" t="str">
        <f t="shared" si="1604"/>
        <v>: Pertambangan Bijih Logam</v>
      </c>
      <c r="JP114" s="266"/>
      <c r="JQ114" s="266"/>
      <c r="JR114" s="266"/>
      <c r="JS114" s="268" t="s">
        <v>61</v>
      </c>
      <c r="JT114" s="266"/>
      <c r="JU114" s="267"/>
      <c r="JV114" s="262"/>
      <c r="JW114" s="262"/>
      <c r="JX114" s="262"/>
      <c r="JY114" s="262"/>
      <c r="JZ114" s="262"/>
      <c r="KA114" s="262"/>
      <c r="KB114" s="57" t="str">
        <f>"III/"&amp;KB$6</f>
        <v>III/2026</v>
      </c>
      <c r="KC114" s="264"/>
      <c r="KD114" s="265"/>
      <c r="KE114" s="266" t="s">
        <v>29</v>
      </c>
      <c r="KF114" s="266" t="str">
        <f t="shared" si="1605"/>
        <v>: Pertambangan Bijih Logam</v>
      </c>
      <c r="KG114" s="266"/>
      <c r="KH114" s="266"/>
      <c r="KI114" s="266"/>
      <c r="KJ114" s="268" t="s">
        <v>61</v>
      </c>
      <c r="KK114" s="266"/>
      <c r="KL114" s="267"/>
      <c r="KM114" s="262"/>
      <c r="KN114" s="262"/>
      <c r="KO114" s="262"/>
      <c r="KP114" s="262"/>
      <c r="KQ114" s="262"/>
      <c r="KR114" s="262"/>
      <c r="KS114" s="57" t="str">
        <f>"III/"&amp;KS$6</f>
        <v>III/2027</v>
      </c>
      <c r="KT114" s="264"/>
      <c r="KU114" s="262"/>
    </row>
    <row r="115" ht="15.0" customHeight="1">
      <c r="A115" s="265"/>
      <c r="B115" s="266" t="s">
        <v>31</v>
      </c>
      <c r="C115" s="266" t="str">
        <f t="shared" si="1588"/>
        <v>: Pertambangan Bijih Logam</v>
      </c>
      <c r="D115" s="266"/>
      <c r="E115" s="266"/>
      <c r="F115" s="266"/>
      <c r="G115" s="269" t="s">
        <v>58</v>
      </c>
      <c r="H115" s="266"/>
      <c r="I115" s="267"/>
      <c r="J115" s="262"/>
      <c r="K115" s="262"/>
      <c r="L115" s="262"/>
      <c r="M115" s="262"/>
      <c r="N115" s="262"/>
      <c r="O115" s="262"/>
      <c r="P115" s="55"/>
      <c r="Q115" s="263"/>
      <c r="R115" s="265"/>
      <c r="S115" s="266" t="s">
        <v>31</v>
      </c>
      <c r="T115" s="266" t="str">
        <f t="shared" si="1589"/>
        <v>: Pertambangan Bijih Logam</v>
      </c>
      <c r="U115" s="266"/>
      <c r="V115" s="266"/>
      <c r="W115" s="266"/>
      <c r="X115" s="269" t="s">
        <v>58</v>
      </c>
      <c r="Y115" s="266"/>
      <c r="Z115" s="267"/>
      <c r="AA115" s="262"/>
      <c r="AB115" s="262"/>
      <c r="AC115" s="262"/>
      <c r="AD115" s="262"/>
      <c r="AE115" s="262"/>
      <c r="AF115" s="262"/>
      <c r="AG115" s="55"/>
      <c r="AH115" s="263"/>
      <c r="AI115" s="265"/>
      <c r="AJ115" s="266" t="s">
        <v>31</v>
      </c>
      <c r="AK115" s="266" t="str">
        <f t="shared" si="1590"/>
        <v>: Pertambangan Bijih Logam</v>
      </c>
      <c r="AL115" s="266"/>
      <c r="AM115" s="266"/>
      <c r="AN115" s="266"/>
      <c r="AO115" s="269" t="s">
        <v>58</v>
      </c>
      <c r="AP115" s="266"/>
      <c r="AQ115" s="267"/>
      <c r="AR115" s="262"/>
      <c r="AS115" s="262"/>
      <c r="AT115" s="262"/>
      <c r="AU115" s="262"/>
      <c r="AV115" s="262"/>
      <c r="AW115" s="262"/>
      <c r="AX115" s="55"/>
      <c r="AY115" s="263"/>
      <c r="AZ115" s="265"/>
      <c r="BA115" s="266" t="s">
        <v>31</v>
      </c>
      <c r="BB115" s="266" t="str">
        <f t="shared" si="1591"/>
        <v>: Pertambangan Bijih Logam</v>
      </c>
      <c r="BC115" s="266"/>
      <c r="BD115" s="266"/>
      <c r="BE115" s="266"/>
      <c r="BF115" s="269" t="s">
        <v>58</v>
      </c>
      <c r="BG115" s="266"/>
      <c r="BH115" s="267"/>
      <c r="BI115" s="262"/>
      <c r="BJ115" s="262"/>
      <c r="BK115" s="262"/>
      <c r="BL115" s="262"/>
      <c r="BM115" s="262"/>
      <c r="BN115" s="262"/>
      <c r="BO115" s="55"/>
      <c r="BP115" s="263"/>
      <c r="BQ115" s="265"/>
      <c r="BR115" s="266" t="s">
        <v>31</v>
      </c>
      <c r="BS115" s="266" t="str">
        <f t="shared" si="1592"/>
        <v>: Pertambangan Bijih Logam</v>
      </c>
      <c r="BT115" s="266"/>
      <c r="BU115" s="266"/>
      <c r="BV115" s="266"/>
      <c r="BW115" s="269" t="s">
        <v>58</v>
      </c>
      <c r="BX115" s="266"/>
      <c r="BY115" s="267"/>
      <c r="BZ115" s="262"/>
      <c r="CA115" s="262"/>
      <c r="CB115" s="262"/>
      <c r="CC115" s="262"/>
      <c r="CD115" s="262"/>
      <c r="CE115" s="262"/>
      <c r="CF115" s="55"/>
      <c r="CG115" s="263"/>
      <c r="CH115" s="265"/>
      <c r="CI115" s="266" t="s">
        <v>31</v>
      </c>
      <c r="CJ115" s="266" t="str">
        <f t="shared" si="1593"/>
        <v>: Pertambangan Bijih Logam</v>
      </c>
      <c r="CK115" s="266"/>
      <c r="CL115" s="266"/>
      <c r="CM115" s="266"/>
      <c r="CN115" s="269" t="s">
        <v>58</v>
      </c>
      <c r="CO115" s="266"/>
      <c r="CP115" s="267"/>
      <c r="CQ115" s="262"/>
      <c r="CR115" s="262"/>
      <c r="CS115" s="262"/>
      <c r="CT115" s="262"/>
      <c r="CU115" s="262"/>
      <c r="CV115" s="262"/>
      <c r="CW115" s="55"/>
      <c r="CX115" s="263"/>
      <c r="CY115" s="265"/>
      <c r="CZ115" s="266" t="s">
        <v>31</v>
      </c>
      <c r="DA115" s="266" t="str">
        <f t="shared" si="1594"/>
        <v>: Pertambangan Bijih Logam</v>
      </c>
      <c r="DB115" s="266"/>
      <c r="DC115" s="266"/>
      <c r="DD115" s="266"/>
      <c r="DE115" s="269" t="s">
        <v>58</v>
      </c>
      <c r="DF115" s="266"/>
      <c r="DG115" s="267"/>
      <c r="DH115" s="262"/>
      <c r="DI115" s="262"/>
      <c r="DJ115" s="262"/>
      <c r="DK115" s="262"/>
      <c r="DL115" s="262"/>
      <c r="DM115" s="262"/>
      <c r="DN115" s="55"/>
      <c r="DO115" s="263"/>
      <c r="DP115" s="265"/>
      <c r="DQ115" s="266" t="s">
        <v>31</v>
      </c>
      <c r="DR115" s="266" t="str">
        <f t="shared" si="1595"/>
        <v>: Pertambangan Bijih Logam</v>
      </c>
      <c r="DS115" s="266"/>
      <c r="DT115" s="266"/>
      <c r="DU115" s="266"/>
      <c r="DV115" s="269" t="s">
        <v>58</v>
      </c>
      <c r="DW115" s="266"/>
      <c r="DX115" s="267"/>
      <c r="DY115" s="262"/>
      <c r="DZ115" s="262"/>
      <c r="EA115" s="262"/>
      <c r="EB115" s="262"/>
      <c r="EC115" s="262"/>
      <c r="ED115" s="262"/>
      <c r="EE115" s="55"/>
      <c r="EF115" s="263"/>
      <c r="EG115" s="265"/>
      <c r="EH115" s="266" t="s">
        <v>31</v>
      </c>
      <c r="EI115" s="266" t="str">
        <f t="shared" si="1596"/>
        <v>: Pertambangan Bijih Logam</v>
      </c>
      <c r="EJ115" s="266"/>
      <c r="EK115" s="266"/>
      <c r="EL115" s="266"/>
      <c r="EM115" s="269" t="s">
        <v>58</v>
      </c>
      <c r="EN115" s="266"/>
      <c r="EO115" s="267"/>
      <c r="EP115" s="262"/>
      <c r="EQ115" s="262"/>
      <c r="ER115" s="262"/>
      <c r="ES115" s="262"/>
      <c r="ET115" s="262"/>
      <c r="EU115" s="262"/>
      <c r="EV115" s="55"/>
      <c r="EW115" s="263"/>
      <c r="EX115" s="265"/>
      <c r="EY115" s="266" t="s">
        <v>31</v>
      </c>
      <c r="EZ115" s="266" t="str">
        <f t="shared" si="1597"/>
        <v>: Pertambangan Bijih Logam</v>
      </c>
      <c r="FA115" s="266"/>
      <c r="FB115" s="266"/>
      <c r="FC115" s="266"/>
      <c r="FD115" s="269" t="s">
        <v>58</v>
      </c>
      <c r="FE115" s="266"/>
      <c r="FF115" s="267"/>
      <c r="FG115" s="262"/>
      <c r="FH115" s="262"/>
      <c r="FI115" s="262"/>
      <c r="FJ115" s="262"/>
      <c r="FK115" s="262"/>
      <c r="FL115" s="262"/>
      <c r="FM115" s="55"/>
      <c r="FN115" s="263"/>
      <c r="FO115" s="265"/>
      <c r="FP115" s="266" t="s">
        <v>31</v>
      </c>
      <c r="FQ115" s="266" t="str">
        <f t="shared" si="1598"/>
        <v>: Pertambangan Bijih Logam</v>
      </c>
      <c r="FR115" s="266"/>
      <c r="FS115" s="266"/>
      <c r="FT115" s="266"/>
      <c r="FU115" s="269" t="s">
        <v>58</v>
      </c>
      <c r="FV115" s="266"/>
      <c r="FW115" s="267"/>
      <c r="FX115" s="262"/>
      <c r="FY115" s="262"/>
      <c r="FZ115" s="262"/>
      <c r="GA115" s="262"/>
      <c r="GB115" s="262"/>
      <c r="GC115" s="262"/>
      <c r="GD115" s="55"/>
      <c r="GE115" s="263"/>
      <c r="GF115" s="265"/>
      <c r="GG115" s="266" t="s">
        <v>31</v>
      </c>
      <c r="GH115" s="266" t="str">
        <f t="shared" si="1599"/>
        <v>: Pertambangan Bijih Logam</v>
      </c>
      <c r="GI115" s="266"/>
      <c r="GJ115" s="266"/>
      <c r="GK115" s="266"/>
      <c r="GL115" s="269" t="s">
        <v>58</v>
      </c>
      <c r="GM115" s="266"/>
      <c r="GN115" s="267"/>
      <c r="GO115" s="262"/>
      <c r="GP115" s="262"/>
      <c r="GQ115" s="262"/>
      <c r="GR115" s="262"/>
      <c r="GS115" s="262"/>
      <c r="GT115" s="262"/>
      <c r="GU115" s="55"/>
      <c r="GV115" s="263"/>
      <c r="GW115" s="265"/>
      <c r="GX115" s="266" t="s">
        <v>31</v>
      </c>
      <c r="GY115" s="266" t="str">
        <f t="shared" si="1600"/>
        <v>: Pertambangan Bijih Logam</v>
      </c>
      <c r="GZ115" s="266"/>
      <c r="HA115" s="266"/>
      <c r="HB115" s="266"/>
      <c r="HC115" s="269" t="s">
        <v>58</v>
      </c>
      <c r="HD115" s="266"/>
      <c r="HE115" s="267"/>
      <c r="HF115" s="262"/>
      <c r="HG115" s="262"/>
      <c r="HH115" s="262"/>
      <c r="HI115" s="262"/>
      <c r="HJ115" s="262"/>
      <c r="HK115" s="262"/>
      <c r="HL115" s="55"/>
      <c r="HM115" s="263"/>
      <c r="HN115" s="265"/>
      <c r="HO115" s="266" t="s">
        <v>31</v>
      </c>
      <c r="HP115" s="266" t="str">
        <f t="shared" si="1601"/>
        <v>: Pertambangan Bijih Logam</v>
      </c>
      <c r="HQ115" s="266"/>
      <c r="HR115" s="266"/>
      <c r="HS115" s="266"/>
      <c r="HT115" s="269" t="s">
        <v>58</v>
      </c>
      <c r="HU115" s="266"/>
      <c r="HV115" s="267"/>
      <c r="HW115" s="262"/>
      <c r="HX115" s="262"/>
      <c r="HY115" s="262"/>
      <c r="HZ115" s="262"/>
      <c r="IA115" s="262"/>
      <c r="IB115" s="262"/>
      <c r="IC115" s="55"/>
      <c r="ID115" s="263"/>
      <c r="IE115" s="265"/>
      <c r="IF115" s="266" t="s">
        <v>31</v>
      </c>
      <c r="IG115" s="266" t="str">
        <f t="shared" si="1602"/>
        <v>: Pertambangan Bijih Logam</v>
      </c>
      <c r="IH115" s="266"/>
      <c r="II115" s="266"/>
      <c r="IJ115" s="266"/>
      <c r="IK115" s="269" t="s">
        <v>58</v>
      </c>
      <c r="IL115" s="266"/>
      <c r="IM115" s="267"/>
      <c r="IN115" s="262"/>
      <c r="IO115" s="262"/>
      <c r="IP115" s="262"/>
      <c r="IQ115" s="262"/>
      <c r="IR115" s="262"/>
      <c r="IS115" s="262"/>
      <c r="IT115" s="55"/>
      <c r="IU115" s="263"/>
      <c r="IV115" s="265"/>
      <c r="IW115" s="266" t="s">
        <v>31</v>
      </c>
      <c r="IX115" s="266" t="str">
        <f t="shared" si="1603"/>
        <v>: Pertambangan Bijih Logam</v>
      </c>
      <c r="IY115" s="266"/>
      <c r="IZ115" s="266"/>
      <c r="JA115" s="266"/>
      <c r="JB115" s="269" t="s">
        <v>58</v>
      </c>
      <c r="JC115" s="266"/>
      <c r="JD115" s="267"/>
      <c r="JE115" s="262"/>
      <c r="JF115" s="262"/>
      <c r="JG115" s="262"/>
      <c r="JH115" s="262"/>
      <c r="JI115" s="262"/>
      <c r="JJ115" s="262"/>
      <c r="JK115" s="55"/>
      <c r="JL115" s="264"/>
      <c r="JM115" s="265"/>
      <c r="JN115" s="266" t="s">
        <v>31</v>
      </c>
      <c r="JO115" s="266" t="str">
        <f t="shared" si="1604"/>
        <v>: Pertambangan Bijih Logam</v>
      </c>
      <c r="JP115" s="266"/>
      <c r="JQ115" s="266"/>
      <c r="JR115" s="266"/>
      <c r="JS115" s="269" t="s">
        <v>58</v>
      </c>
      <c r="JT115" s="266"/>
      <c r="JU115" s="267"/>
      <c r="JV115" s="262"/>
      <c r="JW115" s="262"/>
      <c r="JX115" s="262"/>
      <c r="JY115" s="262"/>
      <c r="JZ115" s="262"/>
      <c r="KA115" s="262"/>
      <c r="KB115" s="55"/>
      <c r="KC115" s="264"/>
      <c r="KD115" s="265"/>
      <c r="KE115" s="266" t="s">
        <v>31</v>
      </c>
      <c r="KF115" s="266" t="str">
        <f t="shared" si="1605"/>
        <v>: Pertambangan Bijih Logam</v>
      </c>
      <c r="KG115" s="266"/>
      <c r="KH115" s="266"/>
      <c r="KI115" s="266"/>
      <c r="KJ115" s="269" t="s">
        <v>58</v>
      </c>
      <c r="KK115" s="266"/>
      <c r="KL115" s="267"/>
      <c r="KM115" s="262"/>
      <c r="KN115" s="262"/>
      <c r="KO115" s="262"/>
      <c r="KP115" s="262"/>
      <c r="KQ115" s="262"/>
      <c r="KR115" s="262"/>
      <c r="KS115" s="55"/>
      <c r="KT115" s="264"/>
      <c r="KU115" s="262"/>
    </row>
    <row r="116" ht="15.75" customHeight="1">
      <c r="A116" s="270"/>
      <c r="B116" s="271" t="s">
        <v>32</v>
      </c>
      <c r="C116" s="271" t="str">
        <f t="shared" si="1588"/>
        <v>: Revaluasi </v>
      </c>
      <c r="D116" s="271"/>
      <c r="E116" s="271"/>
      <c r="F116" s="271"/>
      <c r="G116" s="271" t="str">
        <f>"Tahun "&amp;P$6</f>
        <v>Tahun 2010</v>
      </c>
      <c r="H116" s="271"/>
      <c r="I116" s="272"/>
      <c r="J116" s="262"/>
      <c r="K116" s="262"/>
      <c r="L116" s="262"/>
      <c r="M116" s="262"/>
      <c r="N116" s="262"/>
      <c r="O116" s="262"/>
      <c r="P116" s="262"/>
      <c r="Q116" s="263"/>
      <c r="R116" s="270"/>
      <c r="S116" s="271" t="s">
        <v>32</v>
      </c>
      <c r="T116" s="271" t="s">
        <v>33</v>
      </c>
      <c r="U116" s="271"/>
      <c r="V116" s="271"/>
      <c r="W116" s="271"/>
      <c r="X116" s="271" t="str">
        <f>"Tahun "&amp;AG$6</f>
        <v>Tahun 2011</v>
      </c>
      <c r="Y116" s="271"/>
      <c r="Z116" s="272"/>
      <c r="AA116" s="262"/>
      <c r="AB116" s="262"/>
      <c r="AC116" s="262"/>
      <c r="AD116" s="262"/>
      <c r="AE116" s="262"/>
      <c r="AF116" s="262"/>
      <c r="AG116" s="262"/>
      <c r="AH116" s="263"/>
      <c r="AI116" s="270"/>
      <c r="AJ116" s="271" t="s">
        <v>32</v>
      </c>
      <c r="AK116" s="271" t="s">
        <v>33</v>
      </c>
      <c r="AL116" s="271"/>
      <c r="AM116" s="271"/>
      <c r="AN116" s="271"/>
      <c r="AO116" s="271" t="str">
        <f>"Tahun "&amp;AX$6</f>
        <v>Tahun 2012</v>
      </c>
      <c r="AP116" s="271"/>
      <c r="AQ116" s="272"/>
      <c r="AR116" s="262"/>
      <c r="AS116" s="262"/>
      <c r="AT116" s="262"/>
      <c r="AU116" s="262"/>
      <c r="AV116" s="262"/>
      <c r="AW116" s="262"/>
      <c r="AX116" s="262"/>
      <c r="AY116" s="263"/>
      <c r="AZ116" s="270"/>
      <c r="BA116" s="271" t="s">
        <v>32</v>
      </c>
      <c r="BB116" s="271" t="s">
        <v>33</v>
      </c>
      <c r="BC116" s="271"/>
      <c r="BD116" s="271"/>
      <c r="BE116" s="271"/>
      <c r="BF116" s="271" t="str">
        <f>"Tahun "&amp;BO$6</f>
        <v>Tahun 2013</v>
      </c>
      <c r="BG116" s="271"/>
      <c r="BH116" s="272"/>
      <c r="BI116" s="262"/>
      <c r="BJ116" s="262"/>
      <c r="BK116" s="262"/>
      <c r="BL116" s="262"/>
      <c r="BM116" s="262"/>
      <c r="BN116" s="262"/>
      <c r="BO116" s="262"/>
      <c r="BP116" s="263"/>
      <c r="BQ116" s="270"/>
      <c r="BR116" s="271" t="s">
        <v>32</v>
      </c>
      <c r="BS116" s="271" t="s">
        <v>33</v>
      </c>
      <c r="BT116" s="271"/>
      <c r="BU116" s="271"/>
      <c r="BV116" s="271"/>
      <c r="BW116" s="271" t="str">
        <f>"Tahun "&amp;CF$6</f>
        <v>Tahun 2014</v>
      </c>
      <c r="BX116" s="271"/>
      <c r="BY116" s="272"/>
      <c r="BZ116" s="262"/>
      <c r="CA116" s="262"/>
      <c r="CB116" s="262"/>
      <c r="CC116" s="262"/>
      <c r="CD116" s="262"/>
      <c r="CE116" s="262"/>
      <c r="CF116" s="262"/>
      <c r="CG116" s="263"/>
      <c r="CH116" s="270"/>
      <c r="CI116" s="271" t="s">
        <v>32</v>
      </c>
      <c r="CJ116" s="271" t="s">
        <v>33</v>
      </c>
      <c r="CK116" s="271"/>
      <c r="CL116" s="271"/>
      <c r="CM116" s="271"/>
      <c r="CN116" s="271" t="str">
        <f>"Tahun "&amp;CW$6</f>
        <v>Tahun 2015</v>
      </c>
      <c r="CO116" s="271"/>
      <c r="CP116" s="272"/>
      <c r="CQ116" s="262"/>
      <c r="CR116" s="262"/>
      <c r="CS116" s="262"/>
      <c r="CT116" s="262"/>
      <c r="CU116" s="262"/>
      <c r="CV116" s="262"/>
      <c r="CW116" s="262"/>
      <c r="CX116" s="263"/>
      <c r="CY116" s="270"/>
      <c r="CZ116" s="271" t="s">
        <v>32</v>
      </c>
      <c r="DA116" s="271" t="s">
        <v>33</v>
      </c>
      <c r="DB116" s="271"/>
      <c r="DC116" s="271"/>
      <c r="DD116" s="271"/>
      <c r="DE116" s="271" t="str">
        <f>"Tahun "&amp;DN$6</f>
        <v>Tahun 2016</v>
      </c>
      <c r="DF116" s="271"/>
      <c r="DG116" s="272"/>
      <c r="DH116" s="262"/>
      <c r="DI116" s="262"/>
      <c r="DJ116" s="262"/>
      <c r="DK116" s="262"/>
      <c r="DL116" s="262"/>
      <c r="DM116" s="262"/>
      <c r="DN116" s="262"/>
      <c r="DO116" s="263"/>
      <c r="DP116" s="270"/>
      <c r="DQ116" s="271" t="s">
        <v>32</v>
      </c>
      <c r="DR116" s="271" t="s">
        <v>33</v>
      </c>
      <c r="DS116" s="271"/>
      <c r="DT116" s="271"/>
      <c r="DU116" s="271"/>
      <c r="DV116" s="271" t="str">
        <f>"Tahun "&amp;EE$6</f>
        <v>Tahun 2017</v>
      </c>
      <c r="DW116" s="271"/>
      <c r="DX116" s="272"/>
      <c r="DY116" s="262"/>
      <c r="DZ116" s="262"/>
      <c r="EA116" s="262"/>
      <c r="EB116" s="262"/>
      <c r="EC116" s="262"/>
      <c r="ED116" s="262"/>
      <c r="EE116" s="262"/>
      <c r="EF116" s="263"/>
      <c r="EG116" s="270"/>
      <c r="EH116" s="271" t="s">
        <v>32</v>
      </c>
      <c r="EI116" s="271" t="s">
        <v>33</v>
      </c>
      <c r="EJ116" s="271"/>
      <c r="EK116" s="271"/>
      <c r="EL116" s="271"/>
      <c r="EM116" s="271" t="str">
        <f>"Tahun "&amp;EV$6</f>
        <v>Tahun 2018</v>
      </c>
      <c r="EN116" s="271"/>
      <c r="EO116" s="272"/>
      <c r="EP116" s="262"/>
      <c r="EQ116" s="262"/>
      <c r="ER116" s="262"/>
      <c r="ES116" s="262"/>
      <c r="ET116" s="262"/>
      <c r="EU116" s="262"/>
      <c r="EV116" s="262"/>
      <c r="EW116" s="263"/>
      <c r="EX116" s="270"/>
      <c r="EY116" s="271" t="s">
        <v>32</v>
      </c>
      <c r="EZ116" s="271" t="s">
        <v>33</v>
      </c>
      <c r="FA116" s="271"/>
      <c r="FB116" s="271"/>
      <c r="FC116" s="271"/>
      <c r="FD116" s="271" t="str">
        <f>"Tahun "&amp;FM$6</f>
        <v>Tahun 2019</v>
      </c>
      <c r="FE116" s="271"/>
      <c r="FF116" s="272"/>
      <c r="FG116" s="262"/>
      <c r="FH116" s="262"/>
      <c r="FI116" s="262"/>
      <c r="FJ116" s="262"/>
      <c r="FK116" s="262"/>
      <c r="FL116" s="262"/>
      <c r="FM116" s="262"/>
      <c r="FN116" s="263"/>
      <c r="FO116" s="270"/>
      <c r="FP116" s="271" t="s">
        <v>32</v>
      </c>
      <c r="FQ116" s="271" t="s">
        <v>33</v>
      </c>
      <c r="FR116" s="271"/>
      <c r="FS116" s="271"/>
      <c r="FT116" s="271"/>
      <c r="FU116" s="271" t="str">
        <f>"Tahun "&amp;GD$6</f>
        <v>Tahun 2020</v>
      </c>
      <c r="FV116" s="271"/>
      <c r="FW116" s="272"/>
      <c r="FX116" s="262"/>
      <c r="FY116" s="262"/>
      <c r="FZ116" s="262"/>
      <c r="GA116" s="262"/>
      <c r="GB116" s="262"/>
      <c r="GC116" s="262"/>
      <c r="GD116" s="262"/>
      <c r="GE116" s="263"/>
      <c r="GF116" s="270"/>
      <c r="GG116" s="271" t="s">
        <v>32</v>
      </c>
      <c r="GH116" s="271" t="s">
        <v>33</v>
      </c>
      <c r="GI116" s="271"/>
      <c r="GJ116" s="271"/>
      <c r="GK116" s="271"/>
      <c r="GL116" s="271" t="str">
        <f>"Tahun "&amp;GU$6</f>
        <v>Tahun 2021</v>
      </c>
      <c r="GM116" s="271"/>
      <c r="GN116" s="272"/>
      <c r="GO116" s="262"/>
      <c r="GP116" s="262"/>
      <c r="GQ116" s="262"/>
      <c r="GR116" s="262"/>
      <c r="GS116" s="262"/>
      <c r="GT116" s="262"/>
      <c r="GU116" s="262"/>
      <c r="GV116" s="263"/>
      <c r="GW116" s="270"/>
      <c r="GX116" s="271" t="s">
        <v>32</v>
      </c>
      <c r="GY116" s="271" t="s">
        <v>33</v>
      </c>
      <c r="GZ116" s="271"/>
      <c r="HA116" s="271"/>
      <c r="HB116" s="271"/>
      <c r="HC116" s="271" t="str">
        <f>"Tahun "&amp;HL$6</f>
        <v>Tahun 2022</v>
      </c>
      <c r="HD116" s="271"/>
      <c r="HE116" s="272"/>
      <c r="HF116" s="262"/>
      <c r="HG116" s="262"/>
      <c r="HH116" s="262"/>
      <c r="HI116" s="262"/>
      <c r="HJ116" s="262"/>
      <c r="HK116" s="262"/>
      <c r="HL116" s="262"/>
      <c r="HM116" s="263"/>
      <c r="HN116" s="270"/>
      <c r="HO116" s="271" t="s">
        <v>32</v>
      </c>
      <c r="HP116" s="271" t="s">
        <v>33</v>
      </c>
      <c r="HQ116" s="271"/>
      <c r="HR116" s="271"/>
      <c r="HS116" s="271"/>
      <c r="HT116" s="271" t="str">
        <f>"Tahun "&amp;IC$6</f>
        <v>Tahun 2023</v>
      </c>
      <c r="HU116" s="271"/>
      <c r="HV116" s="272"/>
      <c r="HW116" s="262"/>
      <c r="HX116" s="262"/>
      <c r="HY116" s="262"/>
      <c r="HZ116" s="262"/>
      <c r="IA116" s="262"/>
      <c r="IB116" s="262"/>
      <c r="IC116" s="262"/>
      <c r="ID116" s="263"/>
      <c r="IE116" s="270"/>
      <c r="IF116" s="271" t="s">
        <v>32</v>
      </c>
      <c r="IG116" s="271" t="s">
        <v>33</v>
      </c>
      <c r="IH116" s="271"/>
      <c r="II116" s="271"/>
      <c r="IJ116" s="271"/>
      <c r="IK116" s="271" t="str">
        <f>"Tahun "&amp;IT$6</f>
        <v>Tahun 2024</v>
      </c>
      <c r="IL116" s="271"/>
      <c r="IM116" s="272"/>
      <c r="IN116" s="262"/>
      <c r="IO116" s="262"/>
      <c r="IP116" s="262"/>
      <c r="IQ116" s="262"/>
      <c r="IR116" s="262"/>
      <c r="IS116" s="262"/>
      <c r="IT116" s="262"/>
      <c r="IU116" s="263"/>
      <c r="IV116" s="270"/>
      <c r="IW116" s="271" t="s">
        <v>32</v>
      </c>
      <c r="IX116" s="271" t="s">
        <v>33</v>
      </c>
      <c r="IY116" s="271"/>
      <c r="IZ116" s="271"/>
      <c r="JA116" s="271"/>
      <c r="JB116" s="271" t="str">
        <f>"Tahun "&amp;JK$6</f>
        <v>Tahun 2025</v>
      </c>
      <c r="JC116" s="271"/>
      <c r="JD116" s="272"/>
      <c r="JE116" s="262"/>
      <c r="JF116" s="262"/>
      <c r="JG116" s="262"/>
      <c r="JH116" s="262"/>
      <c r="JI116" s="262"/>
      <c r="JJ116" s="262"/>
      <c r="JK116" s="262"/>
      <c r="JL116" s="263"/>
      <c r="JM116" s="270"/>
      <c r="JN116" s="271" t="s">
        <v>32</v>
      </c>
      <c r="JO116" s="271" t="s">
        <v>33</v>
      </c>
      <c r="JP116" s="271"/>
      <c r="JQ116" s="271"/>
      <c r="JR116" s="271"/>
      <c r="JS116" s="271" t="str">
        <f>"Tahun "&amp;KB$6</f>
        <v>Tahun 2026</v>
      </c>
      <c r="JT116" s="271"/>
      <c r="JU116" s="272"/>
      <c r="JV116" s="262"/>
      <c r="JW116" s="262"/>
      <c r="JX116" s="262"/>
      <c r="JY116" s="262"/>
      <c r="JZ116" s="262"/>
      <c r="KA116" s="262"/>
      <c r="KB116" s="262"/>
      <c r="KC116" s="263"/>
      <c r="KD116" s="270"/>
      <c r="KE116" s="271" t="s">
        <v>32</v>
      </c>
      <c r="KF116" s="271" t="s">
        <v>33</v>
      </c>
      <c r="KG116" s="271"/>
      <c r="KH116" s="271"/>
      <c r="KI116" s="271"/>
      <c r="KJ116" s="271" t="str">
        <f>"Tahun "&amp;KS$6</f>
        <v>Tahun 2027</v>
      </c>
      <c r="KK116" s="271"/>
      <c r="KL116" s="272"/>
      <c r="KM116" s="262"/>
      <c r="KN116" s="262"/>
      <c r="KO116" s="262"/>
      <c r="KP116" s="262"/>
      <c r="KQ116" s="262"/>
      <c r="KR116" s="262"/>
      <c r="KS116" s="262"/>
      <c r="KT116" s="263"/>
      <c r="KU116" s="262"/>
    </row>
    <row r="117" ht="15.75" customHeight="1">
      <c r="A117" s="273"/>
      <c r="B117" s="274"/>
      <c r="C117" s="274"/>
      <c r="D117" s="274"/>
      <c r="E117" s="274"/>
      <c r="F117" s="274"/>
      <c r="G117" s="274"/>
      <c r="H117" s="274"/>
      <c r="I117" s="274"/>
      <c r="J117" s="274"/>
      <c r="K117" s="274"/>
      <c r="L117" s="274"/>
      <c r="M117" s="274"/>
      <c r="N117" s="274"/>
      <c r="O117" s="274"/>
      <c r="P117" s="274"/>
      <c r="Q117" s="275"/>
      <c r="R117" s="273"/>
      <c r="S117" s="274"/>
      <c r="T117" s="274"/>
      <c r="U117" s="274"/>
      <c r="V117" s="274"/>
      <c r="W117" s="274"/>
      <c r="X117" s="274"/>
      <c r="Y117" s="274"/>
      <c r="Z117" s="274"/>
      <c r="AA117" s="274"/>
      <c r="AB117" s="274"/>
      <c r="AC117" s="274"/>
      <c r="AD117" s="274"/>
      <c r="AE117" s="274"/>
      <c r="AF117" s="274"/>
      <c r="AG117" s="274"/>
      <c r="AH117" s="275"/>
      <c r="AI117" s="273"/>
      <c r="AJ117" s="274"/>
      <c r="AK117" s="274"/>
      <c r="AL117" s="274"/>
      <c r="AM117" s="274"/>
      <c r="AN117" s="274"/>
      <c r="AO117" s="274"/>
      <c r="AP117" s="274"/>
      <c r="AQ117" s="274"/>
      <c r="AR117" s="274"/>
      <c r="AS117" s="274"/>
      <c r="AT117" s="274"/>
      <c r="AU117" s="274"/>
      <c r="AV117" s="274"/>
      <c r="AW117" s="274"/>
      <c r="AX117" s="274"/>
      <c r="AY117" s="275"/>
      <c r="AZ117" s="273"/>
      <c r="BA117" s="274"/>
      <c r="BB117" s="274"/>
      <c r="BC117" s="274"/>
      <c r="BD117" s="274"/>
      <c r="BE117" s="274"/>
      <c r="BF117" s="274"/>
      <c r="BG117" s="274"/>
      <c r="BH117" s="274"/>
      <c r="BI117" s="274"/>
      <c r="BJ117" s="274"/>
      <c r="BK117" s="274"/>
      <c r="BL117" s="274"/>
      <c r="BM117" s="274"/>
      <c r="BN117" s="274"/>
      <c r="BO117" s="274"/>
      <c r="BP117" s="275"/>
      <c r="BQ117" s="273"/>
      <c r="BR117" s="274"/>
      <c r="BS117" s="274"/>
      <c r="BT117" s="274"/>
      <c r="BU117" s="274"/>
      <c r="BV117" s="274"/>
      <c r="BW117" s="274"/>
      <c r="BX117" s="274"/>
      <c r="BY117" s="274"/>
      <c r="BZ117" s="274"/>
      <c r="CA117" s="274"/>
      <c r="CB117" s="274"/>
      <c r="CC117" s="274"/>
      <c r="CD117" s="274"/>
      <c r="CE117" s="274"/>
      <c r="CF117" s="274"/>
      <c r="CG117" s="275"/>
      <c r="CH117" s="273"/>
      <c r="CI117" s="274"/>
      <c r="CJ117" s="274"/>
      <c r="CK117" s="274"/>
      <c r="CL117" s="274"/>
      <c r="CM117" s="274"/>
      <c r="CN117" s="274"/>
      <c r="CO117" s="274"/>
      <c r="CP117" s="274"/>
      <c r="CQ117" s="274"/>
      <c r="CR117" s="274"/>
      <c r="CS117" s="274"/>
      <c r="CT117" s="274"/>
      <c r="CU117" s="274"/>
      <c r="CV117" s="274"/>
      <c r="CW117" s="274"/>
      <c r="CX117" s="275"/>
      <c r="CY117" s="273"/>
      <c r="CZ117" s="274"/>
      <c r="DA117" s="274"/>
      <c r="DB117" s="274"/>
      <c r="DC117" s="274"/>
      <c r="DD117" s="274"/>
      <c r="DE117" s="274"/>
      <c r="DF117" s="274"/>
      <c r="DG117" s="274"/>
      <c r="DH117" s="274"/>
      <c r="DI117" s="274"/>
      <c r="DJ117" s="274"/>
      <c r="DK117" s="274"/>
      <c r="DL117" s="274"/>
      <c r="DM117" s="274"/>
      <c r="DN117" s="274"/>
      <c r="DO117" s="275"/>
      <c r="DP117" s="273"/>
      <c r="DQ117" s="274"/>
      <c r="DR117" s="274"/>
      <c r="DS117" s="274"/>
      <c r="DT117" s="274"/>
      <c r="DU117" s="274"/>
      <c r="DV117" s="274"/>
      <c r="DW117" s="274"/>
      <c r="DX117" s="274"/>
      <c r="DY117" s="274"/>
      <c r="DZ117" s="274"/>
      <c r="EA117" s="274"/>
      <c r="EB117" s="274"/>
      <c r="EC117" s="274"/>
      <c r="ED117" s="274"/>
      <c r="EE117" s="274"/>
      <c r="EF117" s="275"/>
      <c r="EG117" s="273"/>
      <c r="EH117" s="274"/>
      <c r="EI117" s="274"/>
      <c r="EJ117" s="274"/>
      <c r="EK117" s="274"/>
      <c r="EL117" s="274"/>
      <c r="EM117" s="274"/>
      <c r="EN117" s="274"/>
      <c r="EO117" s="274"/>
      <c r="EP117" s="274"/>
      <c r="EQ117" s="274"/>
      <c r="ER117" s="274"/>
      <c r="ES117" s="274"/>
      <c r="ET117" s="274"/>
      <c r="EU117" s="274"/>
      <c r="EV117" s="274"/>
      <c r="EW117" s="275"/>
      <c r="EX117" s="273"/>
      <c r="EY117" s="274"/>
      <c r="EZ117" s="274"/>
      <c r="FA117" s="274"/>
      <c r="FB117" s="274"/>
      <c r="FC117" s="274"/>
      <c r="FD117" s="274"/>
      <c r="FE117" s="274"/>
      <c r="FF117" s="274"/>
      <c r="FG117" s="274"/>
      <c r="FH117" s="274"/>
      <c r="FI117" s="274"/>
      <c r="FJ117" s="274"/>
      <c r="FK117" s="274"/>
      <c r="FL117" s="274"/>
      <c r="FM117" s="274"/>
      <c r="FN117" s="275"/>
      <c r="FO117" s="273"/>
      <c r="FP117" s="274"/>
      <c r="FQ117" s="274"/>
      <c r="FR117" s="274"/>
      <c r="FS117" s="274"/>
      <c r="FT117" s="274"/>
      <c r="FU117" s="274"/>
      <c r="FV117" s="274"/>
      <c r="FW117" s="274"/>
      <c r="FX117" s="274"/>
      <c r="FY117" s="274"/>
      <c r="FZ117" s="274"/>
      <c r="GA117" s="274"/>
      <c r="GB117" s="274"/>
      <c r="GC117" s="274"/>
      <c r="GD117" s="274"/>
      <c r="GE117" s="275"/>
      <c r="GF117" s="273"/>
      <c r="GG117" s="274"/>
      <c r="GH117" s="274"/>
      <c r="GI117" s="274"/>
      <c r="GJ117" s="274"/>
      <c r="GK117" s="274"/>
      <c r="GL117" s="274"/>
      <c r="GM117" s="274"/>
      <c r="GN117" s="274"/>
      <c r="GO117" s="274"/>
      <c r="GP117" s="274"/>
      <c r="GQ117" s="274"/>
      <c r="GR117" s="274"/>
      <c r="GS117" s="274"/>
      <c r="GT117" s="274"/>
      <c r="GU117" s="274"/>
      <c r="GV117" s="275"/>
      <c r="GW117" s="273"/>
      <c r="GX117" s="274"/>
      <c r="GY117" s="274"/>
      <c r="GZ117" s="274"/>
      <c r="HA117" s="274"/>
      <c r="HB117" s="274"/>
      <c r="HC117" s="274"/>
      <c r="HD117" s="274"/>
      <c r="HE117" s="274"/>
      <c r="HF117" s="274"/>
      <c r="HG117" s="274"/>
      <c r="HH117" s="274"/>
      <c r="HI117" s="274"/>
      <c r="HJ117" s="274"/>
      <c r="HK117" s="274"/>
      <c r="HL117" s="274"/>
      <c r="HM117" s="275"/>
      <c r="HN117" s="273"/>
      <c r="HO117" s="274"/>
      <c r="HP117" s="274"/>
      <c r="HQ117" s="274"/>
      <c r="HR117" s="274"/>
      <c r="HS117" s="274"/>
      <c r="HT117" s="274"/>
      <c r="HU117" s="274"/>
      <c r="HV117" s="274"/>
      <c r="HW117" s="274"/>
      <c r="HX117" s="274"/>
      <c r="HY117" s="274"/>
      <c r="HZ117" s="274"/>
      <c r="IA117" s="274"/>
      <c r="IB117" s="274"/>
      <c r="IC117" s="274"/>
      <c r="ID117" s="275"/>
      <c r="IE117" s="273"/>
      <c r="IF117" s="274"/>
      <c r="IG117" s="274"/>
      <c r="IH117" s="274"/>
      <c r="II117" s="274"/>
      <c r="IJ117" s="274"/>
      <c r="IK117" s="274"/>
      <c r="IL117" s="274"/>
      <c r="IM117" s="274"/>
      <c r="IN117" s="274"/>
      <c r="IO117" s="274"/>
      <c r="IP117" s="274"/>
      <c r="IQ117" s="274"/>
      <c r="IR117" s="274"/>
      <c r="IS117" s="274"/>
      <c r="IT117" s="274"/>
      <c r="IU117" s="275"/>
      <c r="IV117" s="273"/>
      <c r="IW117" s="274"/>
      <c r="IX117" s="274"/>
      <c r="IY117" s="274"/>
      <c r="IZ117" s="274"/>
      <c r="JA117" s="274"/>
      <c r="JB117" s="274"/>
      <c r="JC117" s="274"/>
      <c r="JD117" s="274"/>
      <c r="JE117" s="274"/>
      <c r="JF117" s="274"/>
      <c r="JG117" s="274"/>
      <c r="JH117" s="274"/>
      <c r="JI117" s="274"/>
      <c r="JJ117" s="274"/>
      <c r="JK117" s="274"/>
      <c r="JL117" s="275"/>
      <c r="JM117" s="273"/>
      <c r="JN117" s="274"/>
      <c r="JO117" s="274"/>
      <c r="JP117" s="274"/>
      <c r="JQ117" s="274"/>
      <c r="JR117" s="274"/>
      <c r="JS117" s="274"/>
      <c r="JT117" s="274"/>
      <c r="JU117" s="274"/>
      <c r="JV117" s="274"/>
      <c r="JW117" s="274"/>
      <c r="JX117" s="274"/>
      <c r="JY117" s="274"/>
      <c r="JZ117" s="274"/>
      <c r="KA117" s="274"/>
      <c r="KB117" s="274"/>
      <c r="KC117" s="275"/>
      <c r="KD117" s="273"/>
      <c r="KE117" s="274"/>
      <c r="KF117" s="274"/>
      <c r="KG117" s="274"/>
      <c r="KH117" s="274"/>
      <c r="KI117" s="274"/>
      <c r="KJ117" s="274"/>
      <c r="KK117" s="274"/>
      <c r="KL117" s="274"/>
      <c r="KM117" s="274"/>
      <c r="KN117" s="274"/>
      <c r="KO117" s="274"/>
      <c r="KP117" s="274"/>
      <c r="KQ117" s="274"/>
      <c r="KR117" s="274"/>
      <c r="KS117" s="274"/>
      <c r="KT117" s="275"/>
      <c r="KU117" s="274"/>
    </row>
    <row r="118" ht="33.75" customHeight="1">
      <c r="A118" s="276" t="s">
        <v>34</v>
      </c>
      <c r="B118" s="277" t="s">
        <v>35</v>
      </c>
      <c r="C118" s="278" t="s">
        <v>36</v>
      </c>
      <c r="D118" s="66"/>
      <c r="E118" s="66"/>
      <c r="F118" s="66"/>
      <c r="G118" s="67"/>
      <c r="H118" s="278" t="s">
        <v>37</v>
      </c>
      <c r="I118" s="67"/>
      <c r="J118" s="278" t="s">
        <v>38</v>
      </c>
      <c r="K118" s="66"/>
      <c r="L118" s="67"/>
      <c r="M118" s="277" t="s">
        <v>39</v>
      </c>
      <c r="N118" s="278" t="s">
        <v>40</v>
      </c>
      <c r="O118" s="67"/>
      <c r="P118" s="279" t="s">
        <v>41</v>
      </c>
      <c r="Q118" s="280"/>
      <c r="R118" s="276" t="s">
        <v>34</v>
      </c>
      <c r="S118" s="277" t="s">
        <v>35</v>
      </c>
      <c r="T118" s="278" t="s">
        <v>36</v>
      </c>
      <c r="U118" s="66"/>
      <c r="V118" s="66"/>
      <c r="W118" s="66"/>
      <c r="X118" s="67"/>
      <c r="Y118" s="278" t="s">
        <v>37</v>
      </c>
      <c r="Z118" s="67"/>
      <c r="AA118" s="278" t="s">
        <v>38</v>
      </c>
      <c r="AB118" s="66"/>
      <c r="AC118" s="67"/>
      <c r="AD118" s="277" t="s">
        <v>39</v>
      </c>
      <c r="AE118" s="278" t="s">
        <v>40</v>
      </c>
      <c r="AF118" s="67"/>
      <c r="AG118" s="279" t="s">
        <v>41</v>
      </c>
      <c r="AH118" s="280"/>
      <c r="AI118" s="276" t="s">
        <v>34</v>
      </c>
      <c r="AJ118" s="277" t="s">
        <v>35</v>
      </c>
      <c r="AK118" s="278" t="s">
        <v>36</v>
      </c>
      <c r="AL118" s="66"/>
      <c r="AM118" s="66"/>
      <c r="AN118" s="66"/>
      <c r="AO118" s="67"/>
      <c r="AP118" s="278" t="s">
        <v>37</v>
      </c>
      <c r="AQ118" s="67"/>
      <c r="AR118" s="278" t="s">
        <v>38</v>
      </c>
      <c r="AS118" s="66"/>
      <c r="AT118" s="67"/>
      <c r="AU118" s="277" t="s">
        <v>39</v>
      </c>
      <c r="AV118" s="278" t="s">
        <v>40</v>
      </c>
      <c r="AW118" s="67"/>
      <c r="AX118" s="279" t="s">
        <v>41</v>
      </c>
      <c r="AY118" s="280"/>
      <c r="AZ118" s="276" t="s">
        <v>34</v>
      </c>
      <c r="BA118" s="277" t="s">
        <v>35</v>
      </c>
      <c r="BB118" s="278" t="s">
        <v>36</v>
      </c>
      <c r="BC118" s="66"/>
      <c r="BD118" s="66"/>
      <c r="BE118" s="66"/>
      <c r="BF118" s="67"/>
      <c r="BG118" s="278" t="s">
        <v>37</v>
      </c>
      <c r="BH118" s="67"/>
      <c r="BI118" s="278" t="s">
        <v>38</v>
      </c>
      <c r="BJ118" s="66"/>
      <c r="BK118" s="67"/>
      <c r="BL118" s="277" t="s">
        <v>39</v>
      </c>
      <c r="BM118" s="278" t="s">
        <v>40</v>
      </c>
      <c r="BN118" s="67"/>
      <c r="BO118" s="279" t="s">
        <v>41</v>
      </c>
      <c r="BP118" s="280"/>
      <c r="BQ118" s="276" t="s">
        <v>34</v>
      </c>
      <c r="BR118" s="277" t="s">
        <v>35</v>
      </c>
      <c r="BS118" s="278" t="s">
        <v>36</v>
      </c>
      <c r="BT118" s="66"/>
      <c r="BU118" s="66"/>
      <c r="BV118" s="66"/>
      <c r="BW118" s="67"/>
      <c r="BX118" s="278" t="s">
        <v>37</v>
      </c>
      <c r="BY118" s="67"/>
      <c r="BZ118" s="278" t="s">
        <v>38</v>
      </c>
      <c r="CA118" s="66"/>
      <c r="CB118" s="67"/>
      <c r="CC118" s="277" t="s">
        <v>39</v>
      </c>
      <c r="CD118" s="278" t="s">
        <v>40</v>
      </c>
      <c r="CE118" s="67"/>
      <c r="CF118" s="279" t="s">
        <v>41</v>
      </c>
      <c r="CG118" s="280"/>
      <c r="CH118" s="276" t="s">
        <v>34</v>
      </c>
      <c r="CI118" s="277" t="s">
        <v>35</v>
      </c>
      <c r="CJ118" s="278" t="s">
        <v>36</v>
      </c>
      <c r="CK118" s="66"/>
      <c r="CL118" s="66"/>
      <c r="CM118" s="66"/>
      <c r="CN118" s="67"/>
      <c r="CO118" s="278" t="s">
        <v>37</v>
      </c>
      <c r="CP118" s="67"/>
      <c r="CQ118" s="278" t="s">
        <v>38</v>
      </c>
      <c r="CR118" s="66"/>
      <c r="CS118" s="67"/>
      <c r="CT118" s="277" t="s">
        <v>39</v>
      </c>
      <c r="CU118" s="278" t="s">
        <v>40</v>
      </c>
      <c r="CV118" s="67"/>
      <c r="CW118" s="279" t="s">
        <v>41</v>
      </c>
      <c r="CX118" s="280"/>
      <c r="CY118" s="276" t="s">
        <v>34</v>
      </c>
      <c r="CZ118" s="277" t="s">
        <v>35</v>
      </c>
      <c r="DA118" s="278" t="s">
        <v>36</v>
      </c>
      <c r="DB118" s="66"/>
      <c r="DC118" s="66"/>
      <c r="DD118" s="66"/>
      <c r="DE118" s="67"/>
      <c r="DF118" s="278" t="s">
        <v>37</v>
      </c>
      <c r="DG118" s="67"/>
      <c r="DH118" s="278" t="s">
        <v>38</v>
      </c>
      <c r="DI118" s="66"/>
      <c r="DJ118" s="67"/>
      <c r="DK118" s="277" t="s">
        <v>39</v>
      </c>
      <c r="DL118" s="278" t="s">
        <v>40</v>
      </c>
      <c r="DM118" s="67"/>
      <c r="DN118" s="279" t="s">
        <v>41</v>
      </c>
      <c r="DO118" s="280"/>
      <c r="DP118" s="276" t="s">
        <v>34</v>
      </c>
      <c r="DQ118" s="277" t="s">
        <v>35</v>
      </c>
      <c r="DR118" s="278" t="s">
        <v>36</v>
      </c>
      <c r="DS118" s="66"/>
      <c r="DT118" s="66"/>
      <c r="DU118" s="66"/>
      <c r="DV118" s="67"/>
      <c r="DW118" s="278" t="s">
        <v>37</v>
      </c>
      <c r="DX118" s="67"/>
      <c r="DY118" s="278" t="s">
        <v>38</v>
      </c>
      <c r="DZ118" s="66"/>
      <c r="EA118" s="67"/>
      <c r="EB118" s="277" t="s">
        <v>39</v>
      </c>
      <c r="EC118" s="278" t="s">
        <v>40</v>
      </c>
      <c r="ED118" s="67"/>
      <c r="EE118" s="279" t="s">
        <v>41</v>
      </c>
      <c r="EF118" s="280"/>
      <c r="EG118" s="276" t="s">
        <v>34</v>
      </c>
      <c r="EH118" s="277" t="s">
        <v>35</v>
      </c>
      <c r="EI118" s="278" t="s">
        <v>36</v>
      </c>
      <c r="EJ118" s="66"/>
      <c r="EK118" s="66"/>
      <c r="EL118" s="66"/>
      <c r="EM118" s="67"/>
      <c r="EN118" s="278" t="s">
        <v>37</v>
      </c>
      <c r="EO118" s="67"/>
      <c r="EP118" s="278" t="s">
        <v>38</v>
      </c>
      <c r="EQ118" s="66"/>
      <c r="ER118" s="67"/>
      <c r="ES118" s="277" t="s">
        <v>39</v>
      </c>
      <c r="ET118" s="278" t="s">
        <v>40</v>
      </c>
      <c r="EU118" s="67"/>
      <c r="EV118" s="279" t="s">
        <v>41</v>
      </c>
      <c r="EW118" s="280"/>
      <c r="EX118" s="276" t="s">
        <v>34</v>
      </c>
      <c r="EY118" s="277" t="s">
        <v>35</v>
      </c>
      <c r="EZ118" s="278" t="s">
        <v>36</v>
      </c>
      <c r="FA118" s="66"/>
      <c r="FB118" s="66"/>
      <c r="FC118" s="66"/>
      <c r="FD118" s="67"/>
      <c r="FE118" s="278" t="s">
        <v>37</v>
      </c>
      <c r="FF118" s="67"/>
      <c r="FG118" s="278" t="s">
        <v>38</v>
      </c>
      <c r="FH118" s="66"/>
      <c r="FI118" s="67"/>
      <c r="FJ118" s="277" t="s">
        <v>39</v>
      </c>
      <c r="FK118" s="278" t="s">
        <v>40</v>
      </c>
      <c r="FL118" s="67"/>
      <c r="FM118" s="279" t="s">
        <v>41</v>
      </c>
      <c r="FN118" s="280"/>
      <c r="FO118" s="276" t="s">
        <v>34</v>
      </c>
      <c r="FP118" s="277" t="s">
        <v>35</v>
      </c>
      <c r="FQ118" s="278" t="s">
        <v>36</v>
      </c>
      <c r="FR118" s="66"/>
      <c r="FS118" s="66"/>
      <c r="FT118" s="66"/>
      <c r="FU118" s="67"/>
      <c r="FV118" s="278" t="s">
        <v>37</v>
      </c>
      <c r="FW118" s="67"/>
      <c r="FX118" s="278" t="s">
        <v>38</v>
      </c>
      <c r="FY118" s="66"/>
      <c r="FZ118" s="67"/>
      <c r="GA118" s="277" t="s">
        <v>39</v>
      </c>
      <c r="GB118" s="278" t="s">
        <v>40</v>
      </c>
      <c r="GC118" s="67"/>
      <c r="GD118" s="279" t="s">
        <v>41</v>
      </c>
      <c r="GE118" s="280"/>
      <c r="GF118" s="276" t="s">
        <v>34</v>
      </c>
      <c r="GG118" s="277" t="s">
        <v>35</v>
      </c>
      <c r="GH118" s="278" t="s">
        <v>36</v>
      </c>
      <c r="GI118" s="66"/>
      <c r="GJ118" s="66"/>
      <c r="GK118" s="66"/>
      <c r="GL118" s="67"/>
      <c r="GM118" s="278" t="s">
        <v>37</v>
      </c>
      <c r="GN118" s="67"/>
      <c r="GO118" s="278" t="s">
        <v>38</v>
      </c>
      <c r="GP118" s="66"/>
      <c r="GQ118" s="67"/>
      <c r="GR118" s="277" t="s">
        <v>39</v>
      </c>
      <c r="GS118" s="278" t="s">
        <v>40</v>
      </c>
      <c r="GT118" s="67"/>
      <c r="GU118" s="279" t="s">
        <v>41</v>
      </c>
      <c r="GV118" s="280"/>
      <c r="GW118" s="276" t="s">
        <v>34</v>
      </c>
      <c r="GX118" s="277" t="s">
        <v>35</v>
      </c>
      <c r="GY118" s="278" t="s">
        <v>36</v>
      </c>
      <c r="GZ118" s="66"/>
      <c r="HA118" s="66"/>
      <c r="HB118" s="66"/>
      <c r="HC118" s="67"/>
      <c r="HD118" s="278" t="s">
        <v>37</v>
      </c>
      <c r="HE118" s="67"/>
      <c r="HF118" s="278" t="s">
        <v>38</v>
      </c>
      <c r="HG118" s="66"/>
      <c r="HH118" s="67"/>
      <c r="HI118" s="277" t="s">
        <v>39</v>
      </c>
      <c r="HJ118" s="278" t="s">
        <v>40</v>
      </c>
      <c r="HK118" s="67"/>
      <c r="HL118" s="279" t="s">
        <v>41</v>
      </c>
      <c r="HM118" s="280"/>
      <c r="HN118" s="276" t="s">
        <v>34</v>
      </c>
      <c r="HO118" s="277" t="s">
        <v>35</v>
      </c>
      <c r="HP118" s="278" t="s">
        <v>36</v>
      </c>
      <c r="HQ118" s="66"/>
      <c r="HR118" s="66"/>
      <c r="HS118" s="66"/>
      <c r="HT118" s="67"/>
      <c r="HU118" s="278" t="s">
        <v>37</v>
      </c>
      <c r="HV118" s="67"/>
      <c r="HW118" s="278" t="s">
        <v>38</v>
      </c>
      <c r="HX118" s="66"/>
      <c r="HY118" s="67"/>
      <c r="HZ118" s="277" t="s">
        <v>39</v>
      </c>
      <c r="IA118" s="278" t="s">
        <v>40</v>
      </c>
      <c r="IB118" s="67"/>
      <c r="IC118" s="279" t="s">
        <v>41</v>
      </c>
      <c r="ID118" s="280"/>
      <c r="IE118" s="276" t="s">
        <v>34</v>
      </c>
      <c r="IF118" s="277" t="s">
        <v>35</v>
      </c>
      <c r="IG118" s="278" t="s">
        <v>36</v>
      </c>
      <c r="IH118" s="66"/>
      <c r="II118" s="66"/>
      <c r="IJ118" s="66"/>
      <c r="IK118" s="67"/>
      <c r="IL118" s="278" t="s">
        <v>37</v>
      </c>
      <c r="IM118" s="67"/>
      <c r="IN118" s="278" t="s">
        <v>38</v>
      </c>
      <c r="IO118" s="66"/>
      <c r="IP118" s="67"/>
      <c r="IQ118" s="277" t="s">
        <v>39</v>
      </c>
      <c r="IR118" s="278" t="s">
        <v>40</v>
      </c>
      <c r="IS118" s="67"/>
      <c r="IT118" s="279" t="s">
        <v>41</v>
      </c>
      <c r="IU118" s="280"/>
      <c r="IV118" s="276" t="s">
        <v>34</v>
      </c>
      <c r="IW118" s="277" t="s">
        <v>35</v>
      </c>
      <c r="IX118" s="278" t="s">
        <v>36</v>
      </c>
      <c r="IY118" s="66"/>
      <c r="IZ118" s="66"/>
      <c r="JA118" s="66"/>
      <c r="JB118" s="67"/>
      <c r="JC118" s="278" t="s">
        <v>37</v>
      </c>
      <c r="JD118" s="67"/>
      <c r="JE118" s="278" t="s">
        <v>38</v>
      </c>
      <c r="JF118" s="66"/>
      <c r="JG118" s="67"/>
      <c r="JH118" s="277" t="s">
        <v>39</v>
      </c>
      <c r="JI118" s="278" t="s">
        <v>40</v>
      </c>
      <c r="JJ118" s="67"/>
      <c r="JK118" s="279" t="s">
        <v>41</v>
      </c>
      <c r="JL118" s="281"/>
      <c r="JM118" s="276" t="s">
        <v>34</v>
      </c>
      <c r="JN118" s="277" t="s">
        <v>35</v>
      </c>
      <c r="JO118" s="278" t="s">
        <v>36</v>
      </c>
      <c r="JP118" s="66"/>
      <c r="JQ118" s="66"/>
      <c r="JR118" s="66"/>
      <c r="JS118" s="67"/>
      <c r="JT118" s="278" t="s">
        <v>37</v>
      </c>
      <c r="JU118" s="67"/>
      <c r="JV118" s="278" t="s">
        <v>38</v>
      </c>
      <c r="JW118" s="66"/>
      <c r="JX118" s="67"/>
      <c r="JY118" s="277" t="s">
        <v>39</v>
      </c>
      <c r="JZ118" s="278" t="s">
        <v>40</v>
      </c>
      <c r="KA118" s="67"/>
      <c r="KB118" s="279" t="s">
        <v>41</v>
      </c>
      <c r="KC118" s="281"/>
      <c r="KD118" s="276" t="s">
        <v>34</v>
      </c>
      <c r="KE118" s="277" t="s">
        <v>35</v>
      </c>
      <c r="KF118" s="278" t="s">
        <v>36</v>
      </c>
      <c r="KG118" s="66"/>
      <c r="KH118" s="66"/>
      <c r="KI118" s="66"/>
      <c r="KJ118" s="67"/>
      <c r="KK118" s="278" t="s">
        <v>37</v>
      </c>
      <c r="KL118" s="67"/>
      <c r="KM118" s="278" t="s">
        <v>38</v>
      </c>
      <c r="KN118" s="66"/>
      <c r="KO118" s="67"/>
      <c r="KP118" s="277" t="s">
        <v>39</v>
      </c>
      <c r="KQ118" s="278" t="s">
        <v>40</v>
      </c>
      <c r="KR118" s="67"/>
      <c r="KS118" s="279" t="s">
        <v>41</v>
      </c>
      <c r="KT118" s="281"/>
      <c r="KU118" s="282"/>
    </row>
    <row r="119" ht="66.0" customHeight="1">
      <c r="A119" s="72"/>
      <c r="B119" s="55"/>
      <c r="C119" s="283" t="s">
        <v>42</v>
      </c>
      <c r="D119" s="283" t="s">
        <v>43</v>
      </c>
      <c r="E119" s="283" t="s">
        <v>44</v>
      </c>
      <c r="F119" s="283" t="s">
        <v>63</v>
      </c>
      <c r="G119" s="283" t="s">
        <v>46</v>
      </c>
      <c r="H119" s="284" t="s">
        <v>64</v>
      </c>
      <c r="I119" s="283" t="s">
        <v>48</v>
      </c>
      <c r="J119" s="284" t="s">
        <v>65</v>
      </c>
      <c r="K119" s="283" t="s">
        <v>66</v>
      </c>
      <c r="L119" s="283" t="s">
        <v>67</v>
      </c>
      <c r="M119" s="55"/>
      <c r="N119" s="284" t="s">
        <v>64</v>
      </c>
      <c r="O119" s="284" t="s">
        <v>50</v>
      </c>
      <c r="P119" s="75"/>
      <c r="Q119" s="280"/>
      <c r="R119" s="72"/>
      <c r="S119" s="55"/>
      <c r="T119" s="283" t="s">
        <v>42</v>
      </c>
      <c r="U119" s="283" t="s">
        <v>43</v>
      </c>
      <c r="V119" s="283" t="s">
        <v>44</v>
      </c>
      <c r="W119" s="283" t="s">
        <v>63</v>
      </c>
      <c r="X119" s="283" t="s">
        <v>46</v>
      </c>
      <c r="Y119" s="284" t="s">
        <v>64</v>
      </c>
      <c r="Z119" s="283" t="s">
        <v>48</v>
      </c>
      <c r="AA119" s="284" t="s">
        <v>65</v>
      </c>
      <c r="AB119" s="283" t="s">
        <v>66</v>
      </c>
      <c r="AC119" s="283" t="s">
        <v>67</v>
      </c>
      <c r="AD119" s="55"/>
      <c r="AE119" s="284" t="s">
        <v>64</v>
      </c>
      <c r="AF119" s="284" t="s">
        <v>50</v>
      </c>
      <c r="AG119" s="75"/>
      <c r="AH119" s="280"/>
      <c r="AI119" s="72"/>
      <c r="AJ119" s="55"/>
      <c r="AK119" s="283" t="s">
        <v>42</v>
      </c>
      <c r="AL119" s="283" t="s">
        <v>43</v>
      </c>
      <c r="AM119" s="283" t="s">
        <v>44</v>
      </c>
      <c r="AN119" s="283" t="s">
        <v>63</v>
      </c>
      <c r="AO119" s="283" t="s">
        <v>46</v>
      </c>
      <c r="AP119" s="284" t="s">
        <v>64</v>
      </c>
      <c r="AQ119" s="283" t="s">
        <v>48</v>
      </c>
      <c r="AR119" s="284" t="s">
        <v>65</v>
      </c>
      <c r="AS119" s="283" t="s">
        <v>66</v>
      </c>
      <c r="AT119" s="283" t="s">
        <v>67</v>
      </c>
      <c r="AU119" s="55"/>
      <c r="AV119" s="284" t="s">
        <v>64</v>
      </c>
      <c r="AW119" s="284" t="s">
        <v>50</v>
      </c>
      <c r="AX119" s="75"/>
      <c r="AY119" s="280"/>
      <c r="AZ119" s="72"/>
      <c r="BA119" s="55"/>
      <c r="BB119" s="283" t="s">
        <v>42</v>
      </c>
      <c r="BC119" s="283" t="s">
        <v>43</v>
      </c>
      <c r="BD119" s="283" t="s">
        <v>44</v>
      </c>
      <c r="BE119" s="283" t="s">
        <v>63</v>
      </c>
      <c r="BF119" s="283" t="s">
        <v>46</v>
      </c>
      <c r="BG119" s="284" t="s">
        <v>64</v>
      </c>
      <c r="BH119" s="283" t="s">
        <v>48</v>
      </c>
      <c r="BI119" s="284" t="s">
        <v>65</v>
      </c>
      <c r="BJ119" s="283" t="s">
        <v>66</v>
      </c>
      <c r="BK119" s="283" t="s">
        <v>67</v>
      </c>
      <c r="BL119" s="55"/>
      <c r="BM119" s="284" t="s">
        <v>64</v>
      </c>
      <c r="BN119" s="284" t="s">
        <v>50</v>
      </c>
      <c r="BO119" s="75"/>
      <c r="BP119" s="280"/>
      <c r="BQ119" s="72"/>
      <c r="BR119" s="55"/>
      <c r="BS119" s="283" t="s">
        <v>42</v>
      </c>
      <c r="BT119" s="283" t="s">
        <v>43</v>
      </c>
      <c r="BU119" s="283" t="s">
        <v>44</v>
      </c>
      <c r="BV119" s="283" t="s">
        <v>63</v>
      </c>
      <c r="BW119" s="283" t="s">
        <v>46</v>
      </c>
      <c r="BX119" s="284" t="s">
        <v>64</v>
      </c>
      <c r="BY119" s="283" t="s">
        <v>48</v>
      </c>
      <c r="BZ119" s="284" t="s">
        <v>65</v>
      </c>
      <c r="CA119" s="283" t="s">
        <v>66</v>
      </c>
      <c r="CB119" s="283" t="s">
        <v>67</v>
      </c>
      <c r="CC119" s="55"/>
      <c r="CD119" s="284" t="s">
        <v>64</v>
      </c>
      <c r="CE119" s="284" t="s">
        <v>50</v>
      </c>
      <c r="CF119" s="75"/>
      <c r="CG119" s="280"/>
      <c r="CH119" s="72"/>
      <c r="CI119" s="55"/>
      <c r="CJ119" s="283" t="s">
        <v>42</v>
      </c>
      <c r="CK119" s="283" t="s">
        <v>43</v>
      </c>
      <c r="CL119" s="283" t="s">
        <v>44</v>
      </c>
      <c r="CM119" s="283" t="s">
        <v>63</v>
      </c>
      <c r="CN119" s="283" t="s">
        <v>46</v>
      </c>
      <c r="CO119" s="284" t="s">
        <v>64</v>
      </c>
      <c r="CP119" s="283" t="s">
        <v>48</v>
      </c>
      <c r="CQ119" s="284" t="s">
        <v>65</v>
      </c>
      <c r="CR119" s="283" t="s">
        <v>66</v>
      </c>
      <c r="CS119" s="283" t="s">
        <v>67</v>
      </c>
      <c r="CT119" s="55"/>
      <c r="CU119" s="284" t="s">
        <v>64</v>
      </c>
      <c r="CV119" s="284" t="s">
        <v>50</v>
      </c>
      <c r="CW119" s="75"/>
      <c r="CX119" s="280"/>
      <c r="CY119" s="72"/>
      <c r="CZ119" s="55"/>
      <c r="DA119" s="283" t="s">
        <v>42</v>
      </c>
      <c r="DB119" s="283" t="s">
        <v>43</v>
      </c>
      <c r="DC119" s="283" t="s">
        <v>44</v>
      </c>
      <c r="DD119" s="283" t="s">
        <v>63</v>
      </c>
      <c r="DE119" s="283" t="s">
        <v>46</v>
      </c>
      <c r="DF119" s="284" t="s">
        <v>64</v>
      </c>
      <c r="DG119" s="283" t="s">
        <v>48</v>
      </c>
      <c r="DH119" s="284" t="s">
        <v>65</v>
      </c>
      <c r="DI119" s="283" t="s">
        <v>66</v>
      </c>
      <c r="DJ119" s="283" t="s">
        <v>67</v>
      </c>
      <c r="DK119" s="55"/>
      <c r="DL119" s="284" t="s">
        <v>64</v>
      </c>
      <c r="DM119" s="284" t="s">
        <v>50</v>
      </c>
      <c r="DN119" s="75"/>
      <c r="DO119" s="280"/>
      <c r="DP119" s="72"/>
      <c r="DQ119" s="55"/>
      <c r="DR119" s="283" t="s">
        <v>42</v>
      </c>
      <c r="DS119" s="283" t="s">
        <v>43</v>
      </c>
      <c r="DT119" s="283" t="s">
        <v>44</v>
      </c>
      <c r="DU119" s="283" t="s">
        <v>63</v>
      </c>
      <c r="DV119" s="283" t="s">
        <v>46</v>
      </c>
      <c r="DW119" s="284" t="s">
        <v>64</v>
      </c>
      <c r="DX119" s="283" t="s">
        <v>48</v>
      </c>
      <c r="DY119" s="284" t="s">
        <v>65</v>
      </c>
      <c r="DZ119" s="283" t="s">
        <v>66</v>
      </c>
      <c r="EA119" s="283" t="s">
        <v>67</v>
      </c>
      <c r="EB119" s="55"/>
      <c r="EC119" s="284" t="s">
        <v>64</v>
      </c>
      <c r="ED119" s="284" t="s">
        <v>50</v>
      </c>
      <c r="EE119" s="75"/>
      <c r="EF119" s="280"/>
      <c r="EG119" s="72"/>
      <c r="EH119" s="55"/>
      <c r="EI119" s="283" t="s">
        <v>42</v>
      </c>
      <c r="EJ119" s="283" t="s">
        <v>43</v>
      </c>
      <c r="EK119" s="283" t="s">
        <v>44</v>
      </c>
      <c r="EL119" s="283" t="s">
        <v>63</v>
      </c>
      <c r="EM119" s="283" t="s">
        <v>46</v>
      </c>
      <c r="EN119" s="284" t="s">
        <v>64</v>
      </c>
      <c r="EO119" s="283" t="s">
        <v>48</v>
      </c>
      <c r="EP119" s="284" t="s">
        <v>65</v>
      </c>
      <c r="EQ119" s="283" t="s">
        <v>66</v>
      </c>
      <c r="ER119" s="283" t="s">
        <v>67</v>
      </c>
      <c r="ES119" s="55"/>
      <c r="ET119" s="284" t="s">
        <v>64</v>
      </c>
      <c r="EU119" s="284" t="s">
        <v>50</v>
      </c>
      <c r="EV119" s="75"/>
      <c r="EW119" s="280"/>
      <c r="EX119" s="72"/>
      <c r="EY119" s="55"/>
      <c r="EZ119" s="283" t="s">
        <v>42</v>
      </c>
      <c r="FA119" s="283" t="s">
        <v>43</v>
      </c>
      <c r="FB119" s="283" t="s">
        <v>44</v>
      </c>
      <c r="FC119" s="283" t="s">
        <v>63</v>
      </c>
      <c r="FD119" s="283" t="s">
        <v>46</v>
      </c>
      <c r="FE119" s="284" t="s">
        <v>64</v>
      </c>
      <c r="FF119" s="283" t="s">
        <v>48</v>
      </c>
      <c r="FG119" s="284" t="s">
        <v>65</v>
      </c>
      <c r="FH119" s="283" t="s">
        <v>66</v>
      </c>
      <c r="FI119" s="283" t="s">
        <v>67</v>
      </c>
      <c r="FJ119" s="55"/>
      <c r="FK119" s="284" t="s">
        <v>64</v>
      </c>
      <c r="FL119" s="284" t="s">
        <v>50</v>
      </c>
      <c r="FM119" s="75"/>
      <c r="FN119" s="280"/>
      <c r="FO119" s="72"/>
      <c r="FP119" s="55"/>
      <c r="FQ119" s="283" t="s">
        <v>42</v>
      </c>
      <c r="FR119" s="283" t="s">
        <v>43</v>
      </c>
      <c r="FS119" s="283" t="s">
        <v>44</v>
      </c>
      <c r="FT119" s="283" t="s">
        <v>63</v>
      </c>
      <c r="FU119" s="283" t="s">
        <v>46</v>
      </c>
      <c r="FV119" s="284" t="s">
        <v>64</v>
      </c>
      <c r="FW119" s="283" t="s">
        <v>48</v>
      </c>
      <c r="FX119" s="284" t="s">
        <v>65</v>
      </c>
      <c r="FY119" s="283" t="s">
        <v>66</v>
      </c>
      <c r="FZ119" s="283" t="s">
        <v>67</v>
      </c>
      <c r="GA119" s="55"/>
      <c r="GB119" s="284" t="s">
        <v>64</v>
      </c>
      <c r="GC119" s="284" t="s">
        <v>50</v>
      </c>
      <c r="GD119" s="75"/>
      <c r="GE119" s="280"/>
      <c r="GF119" s="72"/>
      <c r="GG119" s="55"/>
      <c r="GH119" s="283" t="s">
        <v>42</v>
      </c>
      <c r="GI119" s="283" t="s">
        <v>43</v>
      </c>
      <c r="GJ119" s="283" t="s">
        <v>44</v>
      </c>
      <c r="GK119" s="283" t="s">
        <v>63</v>
      </c>
      <c r="GL119" s="283" t="s">
        <v>46</v>
      </c>
      <c r="GM119" s="284" t="s">
        <v>64</v>
      </c>
      <c r="GN119" s="283" t="s">
        <v>48</v>
      </c>
      <c r="GO119" s="284" t="s">
        <v>65</v>
      </c>
      <c r="GP119" s="283" t="s">
        <v>66</v>
      </c>
      <c r="GQ119" s="283" t="s">
        <v>67</v>
      </c>
      <c r="GR119" s="55"/>
      <c r="GS119" s="284" t="s">
        <v>64</v>
      </c>
      <c r="GT119" s="284" t="s">
        <v>50</v>
      </c>
      <c r="GU119" s="75"/>
      <c r="GV119" s="280"/>
      <c r="GW119" s="72"/>
      <c r="GX119" s="55"/>
      <c r="GY119" s="283" t="s">
        <v>42</v>
      </c>
      <c r="GZ119" s="283" t="s">
        <v>43</v>
      </c>
      <c r="HA119" s="283" t="s">
        <v>44</v>
      </c>
      <c r="HB119" s="283" t="s">
        <v>63</v>
      </c>
      <c r="HC119" s="283" t="s">
        <v>46</v>
      </c>
      <c r="HD119" s="284" t="s">
        <v>64</v>
      </c>
      <c r="HE119" s="283" t="s">
        <v>48</v>
      </c>
      <c r="HF119" s="284" t="s">
        <v>65</v>
      </c>
      <c r="HG119" s="283" t="s">
        <v>66</v>
      </c>
      <c r="HH119" s="283" t="s">
        <v>67</v>
      </c>
      <c r="HI119" s="55"/>
      <c r="HJ119" s="284" t="s">
        <v>64</v>
      </c>
      <c r="HK119" s="284" t="s">
        <v>50</v>
      </c>
      <c r="HL119" s="75"/>
      <c r="HM119" s="280"/>
      <c r="HN119" s="72"/>
      <c r="HO119" s="55"/>
      <c r="HP119" s="283" t="s">
        <v>42</v>
      </c>
      <c r="HQ119" s="283" t="s">
        <v>43</v>
      </c>
      <c r="HR119" s="283" t="s">
        <v>44</v>
      </c>
      <c r="HS119" s="283" t="s">
        <v>63</v>
      </c>
      <c r="HT119" s="283" t="s">
        <v>46</v>
      </c>
      <c r="HU119" s="284" t="s">
        <v>64</v>
      </c>
      <c r="HV119" s="283" t="s">
        <v>48</v>
      </c>
      <c r="HW119" s="284" t="s">
        <v>65</v>
      </c>
      <c r="HX119" s="283" t="s">
        <v>66</v>
      </c>
      <c r="HY119" s="283" t="s">
        <v>67</v>
      </c>
      <c r="HZ119" s="55"/>
      <c r="IA119" s="284" t="s">
        <v>64</v>
      </c>
      <c r="IB119" s="284" t="s">
        <v>50</v>
      </c>
      <c r="IC119" s="75"/>
      <c r="ID119" s="280"/>
      <c r="IE119" s="72"/>
      <c r="IF119" s="55"/>
      <c r="IG119" s="283" t="s">
        <v>42</v>
      </c>
      <c r="IH119" s="283" t="s">
        <v>43</v>
      </c>
      <c r="II119" s="283" t="s">
        <v>44</v>
      </c>
      <c r="IJ119" s="283" t="s">
        <v>63</v>
      </c>
      <c r="IK119" s="283" t="s">
        <v>46</v>
      </c>
      <c r="IL119" s="284" t="s">
        <v>64</v>
      </c>
      <c r="IM119" s="283" t="s">
        <v>48</v>
      </c>
      <c r="IN119" s="284" t="s">
        <v>65</v>
      </c>
      <c r="IO119" s="283" t="s">
        <v>66</v>
      </c>
      <c r="IP119" s="283" t="s">
        <v>67</v>
      </c>
      <c r="IQ119" s="55"/>
      <c r="IR119" s="284" t="s">
        <v>64</v>
      </c>
      <c r="IS119" s="284" t="s">
        <v>50</v>
      </c>
      <c r="IT119" s="75"/>
      <c r="IU119" s="280"/>
      <c r="IV119" s="72"/>
      <c r="IW119" s="55"/>
      <c r="IX119" s="283" t="s">
        <v>42</v>
      </c>
      <c r="IY119" s="283" t="s">
        <v>43</v>
      </c>
      <c r="IZ119" s="283" t="s">
        <v>44</v>
      </c>
      <c r="JA119" s="283" t="s">
        <v>63</v>
      </c>
      <c r="JB119" s="283" t="s">
        <v>46</v>
      </c>
      <c r="JC119" s="284" t="s">
        <v>64</v>
      </c>
      <c r="JD119" s="283" t="s">
        <v>48</v>
      </c>
      <c r="JE119" s="284" t="s">
        <v>65</v>
      </c>
      <c r="JF119" s="283" t="s">
        <v>66</v>
      </c>
      <c r="JG119" s="283" t="s">
        <v>67</v>
      </c>
      <c r="JH119" s="55"/>
      <c r="JI119" s="284" t="s">
        <v>64</v>
      </c>
      <c r="JJ119" s="284" t="s">
        <v>50</v>
      </c>
      <c r="JK119" s="75"/>
      <c r="JL119" s="281"/>
      <c r="JM119" s="72"/>
      <c r="JN119" s="55"/>
      <c r="JO119" s="283" t="s">
        <v>42</v>
      </c>
      <c r="JP119" s="283" t="s">
        <v>43</v>
      </c>
      <c r="JQ119" s="283" t="s">
        <v>44</v>
      </c>
      <c r="JR119" s="283" t="s">
        <v>63</v>
      </c>
      <c r="JS119" s="283" t="s">
        <v>46</v>
      </c>
      <c r="JT119" s="284" t="s">
        <v>64</v>
      </c>
      <c r="JU119" s="283" t="s">
        <v>48</v>
      </c>
      <c r="JV119" s="284" t="s">
        <v>65</v>
      </c>
      <c r="JW119" s="283" t="s">
        <v>66</v>
      </c>
      <c r="JX119" s="283" t="s">
        <v>67</v>
      </c>
      <c r="JY119" s="55"/>
      <c r="JZ119" s="284" t="s">
        <v>64</v>
      </c>
      <c r="KA119" s="284" t="s">
        <v>50</v>
      </c>
      <c r="KB119" s="75"/>
      <c r="KC119" s="281"/>
      <c r="KD119" s="72"/>
      <c r="KE119" s="55"/>
      <c r="KF119" s="283" t="s">
        <v>42</v>
      </c>
      <c r="KG119" s="283" t="s">
        <v>43</v>
      </c>
      <c r="KH119" s="283" t="s">
        <v>44</v>
      </c>
      <c r="KI119" s="283" t="s">
        <v>63</v>
      </c>
      <c r="KJ119" s="283" t="s">
        <v>46</v>
      </c>
      <c r="KK119" s="284" t="s">
        <v>64</v>
      </c>
      <c r="KL119" s="283" t="s">
        <v>48</v>
      </c>
      <c r="KM119" s="284" t="s">
        <v>65</v>
      </c>
      <c r="KN119" s="283" t="s">
        <v>66</v>
      </c>
      <c r="KO119" s="283" t="s">
        <v>67</v>
      </c>
      <c r="KP119" s="55"/>
      <c r="KQ119" s="284" t="s">
        <v>64</v>
      </c>
      <c r="KR119" s="284" t="s">
        <v>50</v>
      </c>
      <c r="KS119" s="75"/>
      <c r="KT119" s="281"/>
      <c r="KU119" s="282"/>
    </row>
    <row r="120" ht="15.75" customHeight="1">
      <c r="A120" s="285">
        <v>-1.0</v>
      </c>
      <c r="B120" s="286">
        <v>-2.0</v>
      </c>
      <c r="C120" s="286">
        <v>-3.0</v>
      </c>
      <c r="D120" s="286">
        <v>-4.0</v>
      </c>
      <c r="E120" s="286">
        <v>-5.0</v>
      </c>
      <c r="F120" s="286">
        <v>-6.0</v>
      </c>
      <c r="G120" s="286">
        <v>-7.0</v>
      </c>
      <c r="H120" s="286">
        <v>-8.0</v>
      </c>
      <c r="I120" s="286">
        <v>-9.0</v>
      </c>
      <c r="J120" s="286">
        <v>-10.0</v>
      </c>
      <c r="K120" s="286">
        <v>-11.0</v>
      </c>
      <c r="L120" s="286">
        <v>-12.0</v>
      </c>
      <c r="M120" s="286">
        <v>-13.0</v>
      </c>
      <c r="N120" s="286">
        <v>-14.0</v>
      </c>
      <c r="O120" s="286">
        <v>-15.0</v>
      </c>
      <c r="P120" s="286">
        <v>-16.0</v>
      </c>
      <c r="Q120" s="287"/>
      <c r="R120" s="285">
        <v>-1.0</v>
      </c>
      <c r="S120" s="286">
        <v>-2.0</v>
      </c>
      <c r="T120" s="286">
        <v>-3.0</v>
      </c>
      <c r="U120" s="286">
        <v>-4.0</v>
      </c>
      <c r="V120" s="286">
        <v>-5.0</v>
      </c>
      <c r="W120" s="286">
        <v>-6.0</v>
      </c>
      <c r="X120" s="286">
        <v>-7.0</v>
      </c>
      <c r="Y120" s="286">
        <v>-8.0</v>
      </c>
      <c r="Z120" s="286">
        <v>-9.0</v>
      </c>
      <c r="AA120" s="286">
        <v>-10.0</v>
      </c>
      <c r="AB120" s="286">
        <v>-11.0</v>
      </c>
      <c r="AC120" s="286">
        <v>-12.0</v>
      </c>
      <c r="AD120" s="286">
        <v>-13.0</v>
      </c>
      <c r="AE120" s="286">
        <v>-14.0</v>
      </c>
      <c r="AF120" s="286">
        <v>-15.0</v>
      </c>
      <c r="AG120" s="286">
        <v>-16.0</v>
      </c>
      <c r="AH120" s="287"/>
      <c r="AI120" s="285">
        <v>-1.0</v>
      </c>
      <c r="AJ120" s="286">
        <v>-2.0</v>
      </c>
      <c r="AK120" s="286">
        <v>-3.0</v>
      </c>
      <c r="AL120" s="286">
        <v>-4.0</v>
      </c>
      <c r="AM120" s="286">
        <v>-5.0</v>
      </c>
      <c r="AN120" s="286">
        <v>-6.0</v>
      </c>
      <c r="AO120" s="286">
        <v>-7.0</v>
      </c>
      <c r="AP120" s="286">
        <v>-8.0</v>
      </c>
      <c r="AQ120" s="286">
        <v>-9.0</v>
      </c>
      <c r="AR120" s="286">
        <v>-10.0</v>
      </c>
      <c r="AS120" s="286">
        <v>-11.0</v>
      </c>
      <c r="AT120" s="286">
        <v>-12.0</v>
      </c>
      <c r="AU120" s="286">
        <v>-13.0</v>
      </c>
      <c r="AV120" s="286">
        <v>-14.0</v>
      </c>
      <c r="AW120" s="286">
        <v>-15.0</v>
      </c>
      <c r="AX120" s="286">
        <v>-16.0</v>
      </c>
      <c r="AY120" s="287"/>
      <c r="AZ120" s="285">
        <v>-1.0</v>
      </c>
      <c r="BA120" s="286">
        <v>-2.0</v>
      </c>
      <c r="BB120" s="286">
        <v>-3.0</v>
      </c>
      <c r="BC120" s="286">
        <v>-4.0</v>
      </c>
      <c r="BD120" s="286">
        <v>-5.0</v>
      </c>
      <c r="BE120" s="286">
        <v>-6.0</v>
      </c>
      <c r="BF120" s="286">
        <v>-7.0</v>
      </c>
      <c r="BG120" s="286">
        <v>-8.0</v>
      </c>
      <c r="BH120" s="286">
        <v>-9.0</v>
      </c>
      <c r="BI120" s="286">
        <v>-10.0</v>
      </c>
      <c r="BJ120" s="286">
        <v>-11.0</v>
      </c>
      <c r="BK120" s="286">
        <v>-12.0</v>
      </c>
      <c r="BL120" s="286">
        <v>-13.0</v>
      </c>
      <c r="BM120" s="286">
        <v>-14.0</v>
      </c>
      <c r="BN120" s="286">
        <v>-15.0</v>
      </c>
      <c r="BO120" s="286">
        <v>-16.0</v>
      </c>
      <c r="BP120" s="287"/>
      <c r="BQ120" s="285">
        <v>-1.0</v>
      </c>
      <c r="BR120" s="286">
        <v>-2.0</v>
      </c>
      <c r="BS120" s="286">
        <v>-3.0</v>
      </c>
      <c r="BT120" s="286">
        <v>-4.0</v>
      </c>
      <c r="BU120" s="286">
        <v>-5.0</v>
      </c>
      <c r="BV120" s="286">
        <v>-6.0</v>
      </c>
      <c r="BW120" s="286">
        <v>-7.0</v>
      </c>
      <c r="BX120" s="286">
        <v>-8.0</v>
      </c>
      <c r="BY120" s="286">
        <v>-9.0</v>
      </c>
      <c r="BZ120" s="286">
        <v>-10.0</v>
      </c>
      <c r="CA120" s="286">
        <v>-11.0</v>
      </c>
      <c r="CB120" s="286">
        <v>-12.0</v>
      </c>
      <c r="CC120" s="286">
        <v>-13.0</v>
      </c>
      <c r="CD120" s="286">
        <v>-14.0</v>
      </c>
      <c r="CE120" s="286">
        <v>-15.0</v>
      </c>
      <c r="CF120" s="286">
        <v>-16.0</v>
      </c>
      <c r="CG120" s="287"/>
      <c r="CH120" s="285">
        <v>-1.0</v>
      </c>
      <c r="CI120" s="286">
        <v>-2.0</v>
      </c>
      <c r="CJ120" s="286">
        <v>-3.0</v>
      </c>
      <c r="CK120" s="286">
        <v>-4.0</v>
      </c>
      <c r="CL120" s="286">
        <v>-5.0</v>
      </c>
      <c r="CM120" s="286">
        <v>-6.0</v>
      </c>
      <c r="CN120" s="286">
        <v>-7.0</v>
      </c>
      <c r="CO120" s="286">
        <v>-8.0</v>
      </c>
      <c r="CP120" s="286">
        <v>-9.0</v>
      </c>
      <c r="CQ120" s="286">
        <v>-10.0</v>
      </c>
      <c r="CR120" s="286">
        <v>-11.0</v>
      </c>
      <c r="CS120" s="286">
        <v>-12.0</v>
      </c>
      <c r="CT120" s="286">
        <v>-13.0</v>
      </c>
      <c r="CU120" s="286">
        <v>-14.0</v>
      </c>
      <c r="CV120" s="286">
        <v>-15.0</v>
      </c>
      <c r="CW120" s="286">
        <v>-16.0</v>
      </c>
      <c r="CX120" s="287"/>
      <c r="CY120" s="285">
        <v>-1.0</v>
      </c>
      <c r="CZ120" s="286">
        <v>-2.0</v>
      </c>
      <c r="DA120" s="286">
        <v>-3.0</v>
      </c>
      <c r="DB120" s="286">
        <v>-4.0</v>
      </c>
      <c r="DC120" s="286">
        <v>-5.0</v>
      </c>
      <c r="DD120" s="286">
        <v>-6.0</v>
      </c>
      <c r="DE120" s="286">
        <v>-7.0</v>
      </c>
      <c r="DF120" s="286">
        <v>-8.0</v>
      </c>
      <c r="DG120" s="286">
        <v>-9.0</v>
      </c>
      <c r="DH120" s="286">
        <v>-10.0</v>
      </c>
      <c r="DI120" s="286">
        <v>-11.0</v>
      </c>
      <c r="DJ120" s="286">
        <v>-12.0</v>
      </c>
      <c r="DK120" s="286">
        <v>-13.0</v>
      </c>
      <c r="DL120" s="286">
        <v>-14.0</v>
      </c>
      <c r="DM120" s="286">
        <v>-15.0</v>
      </c>
      <c r="DN120" s="286">
        <v>-16.0</v>
      </c>
      <c r="DO120" s="287"/>
      <c r="DP120" s="285">
        <v>-1.0</v>
      </c>
      <c r="DQ120" s="286">
        <v>-2.0</v>
      </c>
      <c r="DR120" s="286">
        <v>-3.0</v>
      </c>
      <c r="DS120" s="286">
        <v>-4.0</v>
      </c>
      <c r="DT120" s="286">
        <v>-5.0</v>
      </c>
      <c r="DU120" s="286">
        <v>-6.0</v>
      </c>
      <c r="DV120" s="286">
        <v>-7.0</v>
      </c>
      <c r="DW120" s="286">
        <v>-8.0</v>
      </c>
      <c r="DX120" s="286">
        <v>-9.0</v>
      </c>
      <c r="DY120" s="286">
        <v>-10.0</v>
      </c>
      <c r="DZ120" s="286">
        <v>-11.0</v>
      </c>
      <c r="EA120" s="286">
        <v>-12.0</v>
      </c>
      <c r="EB120" s="286">
        <v>-13.0</v>
      </c>
      <c r="EC120" s="286">
        <v>-14.0</v>
      </c>
      <c r="ED120" s="286">
        <v>-15.0</v>
      </c>
      <c r="EE120" s="286">
        <v>-16.0</v>
      </c>
      <c r="EF120" s="287"/>
      <c r="EG120" s="285">
        <v>-1.0</v>
      </c>
      <c r="EH120" s="286">
        <v>-2.0</v>
      </c>
      <c r="EI120" s="286">
        <v>-3.0</v>
      </c>
      <c r="EJ120" s="286">
        <v>-4.0</v>
      </c>
      <c r="EK120" s="286">
        <v>-5.0</v>
      </c>
      <c r="EL120" s="286">
        <v>-6.0</v>
      </c>
      <c r="EM120" s="286">
        <v>-7.0</v>
      </c>
      <c r="EN120" s="286">
        <v>-8.0</v>
      </c>
      <c r="EO120" s="286">
        <v>-9.0</v>
      </c>
      <c r="EP120" s="286">
        <v>-10.0</v>
      </c>
      <c r="EQ120" s="286">
        <v>-11.0</v>
      </c>
      <c r="ER120" s="286">
        <v>-12.0</v>
      </c>
      <c r="ES120" s="286">
        <v>-13.0</v>
      </c>
      <c r="ET120" s="286">
        <v>-14.0</v>
      </c>
      <c r="EU120" s="286">
        <v>-15.0</v>
      </c>
      <c r="EV120" s="286">
        <v>-16.0</v>
      </c>
      <c r="EW120" s="287"/>
      <c r="EX120" s="285">
        <v>-1.0</v>
      </c>
      <c r="EY120" s="286">
        <v>-2.0</v>
      </c>
      <c r="EZ120" s="286">
        <v>-3.0</v>
      </c>
      <c r="FA120" s="286">
        <v>-4.0</v>
      </c>
      <c r="FB120" s="286">
        <v>-5.0</v>
      </c>
      <c r="FC120" s="286">
        <v>-6.0</v>
      </c>
      <c r="FD120" s="286">
        <v>-7.0</v>
      </c>
      <c r="FE120" s="286">
        <v>-8.0</v>
      </c>
      <c r="FF120" s="286">
        <v>-9.0</v>
      </c>
      <c r="FG120" s="286">
        <v>-10.0</v>
      </c>
      <c r="FH120" s="286">
        <v>-11.0</v>
      </c>
      <c r="FI120" s="286">
        <v>-12.0</v>
      </c>
      <c r="FJ120" s="286">
        <v>-13.0</v>
      </c>
      <c r="FK120" s="286">
        <v>-14.0</v>
      </c>
      <c r="FL120" s="286">
        <v>-15.0</v>
      </c>
      <c r="FM120" s="286">
        <v>-16.0</v>
      </c>
      <c r="FN120" s="287"/>
      <c r="FO120" s="285">
        <v>-1.0</v>
      </c>
      <c r="FP120" s="286">
        <v>-2.0</v>
      </c>
      <c r="FQ120" s="286">
        <v>-3.0</v>
      </c>
      <c r="FR120" s="286">
        <v>-4.0</v>
      </c>
      <c r="FS120" s="286">
        <v>-5.0</v>
      </c>
      <c r="FT120" s="286">
        <v>-6.0</v>
      </c>
      <c r="FU120" s="286">
        <v>-7.0</v>
      </c>
      <c r="FV120" s="286">
        <v>-8.0</v>
      </c>
      <c r="FW120" s="286">
        <v>-9.0</v>
      </c>
      <c r="FX120" s="286">
        <v>-10.0</v>
      </c>
      <c r="FY120" s="286">
        <v>-11.0</v>
      </c>
      <c r="FZ120" s="286">
        <v>-12.0</v>
      </c>
      <c r="GA120" s="286">
        <v>-13.0</v>
      </c>
      <c r="GB120" s="286">
        <v>-14.0</v>
      </c>
      <c r="GC120" s="286">
        <v>-15.0</v>
      </c>
      <c r="GD120" s="286">
        <v>-16.0</v>
      </c>
      <c r="GE120" s="287"/>
      <c r="GF120" s="285">
        <v>-1.0</v>
      </c>
      <c r="GG120" s="286">
        <v>-2.0</v>
      </c>
      <c r="GH120" s="286">
        <v>-3.0</v>
      </c>
      <c r="GI120" s="286">
        <v>-4.0</v>
      </c>
      <c r="GJ120" s="286">
        <v>-5.0</v>
      </c>
      <c r="GK120" s="286">
        <v>-6.0</v>
      </c>
      <c r="GL120" s="286">
        <v>-7.0</v>
      </c>
      <c r="GM120" s="286">
        <v>-8.0</v>
      </c>
      <c r="GN120" s="286">
        <v>-9.0</v>
      </c>
      <c r="GO120" s="286">
        <v>-10.0</v>
      </c>
      <c r="GP120" s="286">
        <v>-11.0</v>
      </c>
      <c r="GQ120" s="286">
        <v>-12.0</v>
      </c>
      <c r="GR120" s="286">
        <v>-13.0</v>
      </c>
      <c r="GS120" s="286">
        <v>-14.0</v>
      </c>
      <c r="GT120" s="286">
        <v>-15.0</v>
      </c>
      <c r="GU120" s="286">
        <v>-16.0</v>
      </c>
      <c r="GV120" s="287"/>
      <c r="GW120" s="285">
        <v>-1.0</v>
      </c>
      <c r="GX120" s="286">
        <v>-2.0</v>
      </c>
      <c r="GY120" s="286">
        <v>-3.0</v>
      </c>
      <c r="GZ120" s="286">
        <v>-4.0</v>
      </c>
      <c r="HA120" s="286">
        <v>-5.0</v>
      </c>
      <c r="HB120" s="286">
        <v>-6.0</v>
      </c>
      <c r="HC120" s="286">
        <v>-7.0</v>
      </c>
      <c r="HD120" s="286">
        <v>-8.0</v>
      </c>
      <c r="HE120" s="286">
        <v>-9.0</v>
      </c>
      <c r="HF120" s="286">
        <v>-10.0</v>
      </c>
      <c r="HG120" s="286">
        <v>-11.0</v>
      </c>
      <c r="HH120" s="286">
        <v>-12.0</v>
      </c>
      <c r="HI120" s="286">
        <v>-13.0</v>
      </c>
      <c r="HJ120" s="286">
        <v>-14.0</v>
      </c>
      <c r="HK120" s="286">
        <v>-15.0</v>
      </c>
      <c r="HL120" s="286">
        <v>-16.0</v>
      </c>
      <c r="HM120" s="287"/>
      <c r="HN120" s="285">
        <v>-1.0</v>
      </c>
      <c r="HO120" s="286">
        <v>-2.0</v>
      </c>
      <c r="HP120" s="286">
        <v>-3.0</v>
      </c>
      <c r="HQ120" s="286">
        <v>-4.0</v>
      </c>
      <c r="HR120" s="286">
        <v>-5.0</v>
      </c>
      <c r="HS120" s="286">
        <v>-6.0</v>
      </c>
      <c r="HT120" s="286">
        <v>-7.0</v>
      </c>
      <c r="HU120" s="286">
        <v>-8.0</v>
      </c>
      <c r="HV120" s="286">
        <v>-9.0</v>
      </c>
      <c r="HW120" s="286">
        <v>-10.0</v>
      </c>
      <c r="HX120" s="286">
        <v>-11.0</v>
      </c>
      <c r="HY120" s="286">
        <v>-12.0</v>
      </c>
      <c r="HZ120" s="286">
        <v>-13.0</v>
      </c>
      <c r="IA120" s="286">
        <v>-14.0</v>
      </c>
      <c r="IB120" s="286">
        <v>-15.0</v>
      </c>
      <c r="IC120" s="286">
        <v>-16.0</v>
      </c>
      <c r="ID120" s="287"/>
      <c r="IE120" s="285">
        <v>-1.0</v>
      </c>
      <c r="IF120" s="286">
        <v>-2.0</v>
      </c>
      <c r="IG120" s="286">
        <v>-3.0</v>
      </c>
      <c r="IH120" s="286">
        <v>-4.0</v>
      </c>
      <c r="II120" s="286">
        <v>-5.0</v>
      </c>
      <c r="IJ120" s="286">
        <v>-6.0</v>
      </c>
      <c r="IK120" s="286">
        <v>-7.0</v>
      </c>
      <c r="IL120" s="286">
        <v>-8.0</v>
      </c>
      <c r="IM120" s="286">
        <v>-9.0</v>
      </c>
      <c r="IN120" s="286">
        <v>-10.0</v>
      </c>
      <c r="IO120" s="286">
        <v>-11.0</v>
      </c>
      <c r="IP120" s="286">
        <v>-12.0</v>
      </c>
      <c r="IQ120" s="286">
        <v>-13.0</v>
      </c>
      <c r="IR120" s="286">
        <v>-14.0</v>
      </c>
      <c r="IS120" s="286">
        <v>-15.0</v>
      </c>
      <c r="IT120" s="286">
        <v>-16.0</v>
      </c>
      <c r="IU120" s="287"/>
      <c r="IV120" s="285">
        <v>-1.0</v>
      </c>
      <c r="IW120" s="286">
        <v>-2.0</v>
      </c>
      <c r="IX120" s="286">
        <v>-3.0</v>
      </c>
      <c r="IY120" s="286">
        <v>-4.0</v>
      </c>
      <c r="IZ120" s="286">
        <v>-5.0</v>
      </c>
      <c r="JA120" s="286">
        <v>-6.0</v>
      </c>
      <c r="JB120" s="286">
        <v>-7.0</v>
      </c>
      <c r="JC120" s="286">
        <v>-8.0</v>
      </c>
      <c r="JD120" s="286">
        <v>-9.0</v>
      </c>
      <c r="JE120" s="286">
        <v>-10.0</v>
      </c>
      <c r="JF120" s="286">
        <v>-11.0</v>
      </c>
      <c r="JG120" s="286">
        <v>-12.0</v>
      </c>
      <c r="JH120" s="286">
        <v>-13.0</v>
      </c>
      <c r="JI120" s="286">
        <v>-14.0</v>
      </c>
      <c r="JJ120" s="286">
        <v>-15.0</v>
      </c>
      <c r="JK120" s="286">
        <v>-16.0</v>
      </c>
      <c r="JL120" s="287"/>
      <c r="JM120" s="285">
        <v>-1.0</v>
      </c>
      <c r="JN120" s="286">
        <v>-2.0</v>
      </c>
      <c r="JO120" s="286">
        <v>-3.0</v>
      </c>
      <c r="JP120" s="286">
        <v>-4.0</v>
      </c>
      <c r="JQ120" s="286">
        <v>-5.0</v>
      </c>
      <c r="JR120" s="286">
        <v>-6.0</v>
      </c>
      <c r="JS120" s="286">
        <v>-7.0</v>
      </c>
      <c r="JT120" s="286">
        <v>-8.0</v>
      </c>
      <c r="JU120" s="286">
        <v>-9.0</v>
      </c>
      <c r="JV120" s="286">
        <v>-10.0</v>
      </c>
      <c r="JW120" s="286">
        <v>-11.0</v>
      </c>
      <c r="JX120" s="286">
        <v>-12.0</v>
      </c>
      <c r="JY120" s="286">
        <v>-13.0</v>
      </c>
      <c r="JZ120" s="286">
        <v>-14.0</v>
      </c>
      <c r="KA120" s="286">
        <v>-15.0</v>
      </c>
      <c r="KB120" s="286">
        <v>-16.0</v>
      </c>
      <c r="KC120" s="287"/>
      <c r="KD120" s="285">
        <v>-1.0</v>
      </c>
      <c r="KE120" s="286">
        <v>-2.0</v>
      </c>
      <c r="KF120" s="286">
        <v>-3.0</v>
      </c>
      <c r="KG120" s="286">
        <v>-4.0</v>
      </c>
      <c r="KH120" s="286">
        <v>-5.0</v>
      </c>
      <c r="KI120" s="286">
        <v>-6.0</v>
      </c>
      <c r="KJ120" s="286">
        <v>-7.0</v>
      </c>
      <c r="KK120" s="286">
        <v>-8.0</v>
      </c>
      <c r="KL120" s="286">
        <v>-9.0</v>
      </c>
      <c r="KM120" s="286">
        <v>-10.0</v>
      </c>
      <c r="KN120" s="286">
        <v>-11.0</v>
      </c>
      <c r="KO120" s="286">
        <v>-12.0</v>
      </c>
      <c r="KP120" s="286">
        <v>-13.0</v>
      </c>
      <c r="KQ120" s="286">
        <v>-14.0</v>
      </c>
      <c r="KR120" s="286">
        <v>-15.0</v>
      </c>
      <c r="KS120" s="286">
        <v>-16.0</v>
      </c>
      <c r="KT120" s="287"/>
      <c r="KU120" s="288"/>
    </row>
    <row r="121" ht="15.75" customHeight="1">
      <c r="A121" s="289">
        <v>1.0</v>
      </c>
      <c r="B121" s="290" t="str">
        <f t="shared" ref="B121:D121" si="1606">IFERROR(VLOOKUP($A121,$A$13:$D$30,-B$12,FALSE),"")</f>
        <v>Bijih  Emas</v>
      </c>
      <c r="C121" s="291" t="str">
        <f t="shared" si="1606"/>
        <v>Bijih </v>
      </c>
      <c r="D121" s="291" t="str">
        <f t="shared" si="1606"/>
        <v>Kg</v>
      </c>
      <c r="E121" s="292"/>
      <c r="F121" s="292" t="str">
        <f t="shared" ref="F121:F137" si="1625">F85</f>
        <v/>
      </c>
      <c r="G121" s="292">
        <f t="shared" ref="G121:G137" si="1626">IFERROR(+E121*F121/1000000,"")</f>
        <v>0</v>
      </c>
      <c r="H121" s="293"/>
      <c r="I121" s="292">
        <f t="shared" ref="I121:I137" si="1627">IFERROR(+G121*H121,"")</f>
        <v>0</v>
      </c>
      <c r="J121" s="409"/>
      <c r="K121" s="85"/>
      <c r="L121" s="85"/>
      <c r="M121" s="294">
        <f t="shared" ref="M121:M137" si="1628">IFERROR(+(IF(G121="","0",G121))+(IF(I121="","0",I121))+(IF(L121="","0",L121)),"")</f>
        <v>0</v>
      </c>
      <c r="N121" s="293">
        <f t="shared" ref="N121:N135" si="1629">N85</f>
        <v>0.4604471269</v>
      </c>
      <c r="O121" s="295">
        <f t="shared" ref="O121:O137" si="1630">IFERROR(+N121*(M121-L121),"")</f>
        <v>0</v>
      </c>
      <c r="P121" s="296">
        <f t="shared" ref="P121:P137" si="1631">IFERROR(+(IF(M121="","0",M121))-(IF(O121="","0",O121)),"")</f>
        <v>0</v>
      </c>
      <c r="Q121" s="297"/>
      <c r="R121" s="289">
        <v>1.0</v>
      </c>
      <c r="S121" s="290" t="str">
        <f t="shared" ref="S121:U121" si="1607">IFERROR(VLOOKUP($R121,$A$13:$D$30,-S$12,FALSE),"")</f>
        <v>Bijih  Emas</v>
      </c>
      <c r="T121" s="291" t="str">
        <f t="shared" si="1607"/>
        <v>Bijih </v>
      </c>
      <c r="U121" s="291" t="str">
        <f t="shared" si="1607"/>
        <v>Kg</v>
      </c>
      <c r="V121" s="292"/>
      <c r="W121" s="292" t="str">
        <f t="shared" ref="W121:W137" si="1633">W85</f>
        <v/>
      </c>
      <c r="X121" s="292">
        <f t="shared" ref="X121:X137" si="1634">IFERROR(+V121*W121/1000000,"")</f>
        <v>0</v>
      </c>
      <c r="Y121" s="293"/>
      <c r="Z121" s="292">
        <f t="shared" ref="Z121:Z137" si="1635">IFERROR(+X121*Y121,"")</f>
        <v>0</v>
      </c>
      <c r="AA121" s="409"/>
      <c r="AB121" s="85"/>
      <c r="AC121" s="85"/>
      <c r="AD121" s="294">
        <f t="shared" ref="AD121:AD137" si="1636">IFERROR(+(IF(X121="","0",X121))+(IF(Z121="","0",Z121))+(IF(AC121="","0",AC121)),"")</f>
        <v>0</v>
      </c>
      <c r="AE121" s="293">
        <f t="shared" ref="AE121:AE135" si="1637">N121</f>
        <v>0.4604471269</v>
      </c>
      <c r="AF121" s="295">
        <f t="shared" ref="AF121:AF137" si="1638">IFERROR(+AE121*(AD121-AC121),"")</f>
        <v>0</v>
      </c>
      <c r="AG121" s="296">
        <f t="shared" ref="AG121:AG137" si="1639">IFERROR(+(IF(AD121="","0",AD121))-(IF(AF121="","0",AF121)),"")</f>
        <v>0</v>
      </c>
      <c r="AH121" s="297"/>
      <c r="AI121" s="289">
        <v>1.0</v>
      </c>
      <c r="AJ121" s="290" t="str">
        <f t="shared" ref="AJ121:AL121" si="1608">IFERROR(VLOOKUP($R121,$A$13:$D$30,-AJ$12,FALSE),"")</f>
        <v>Bijih  Emas</v>
      </c>
      <c r="AK121" s="291" t="str">
        <f t="shared" si="1608"/>
        <v>Bijih </v>
      </c>
      <c r="AL121" s="291" t="str">
        <f t="shared" si="1608"/>
        <v>Kg</v>
      </c>
      <c r="AM121" s="292"/>
      <c r="AN121" s="292" t="str">
        <f t="shared" ref="AN121:AN137" si="1641">AN85</f>
        <v/>
      </c>
      <c r="AO121" s="292">
        <f t="shared" ref="AO121:AO137" si="1642">IFERROR(+AM121*AN121/1000000,"")</f>
        <v>0</v>
      </c>
      <c r="AP121" s="293"/>
      <c r="AQ121" s="292">
        <f t="shared" ref="AQ121:AQ137" si="1643">IFERROR(+AO121*AP121,"")</f>
        <v>0</v>
      </c>
      <c r="AR121" s="409"/>
      <c r="AS121" s="85"/>
      <c r="AT121" s="85"/>
      <c r="AU121" s="294">
        <f t="shared" ref="AU121:AU137" si="1644">IFERROR(+(IF(AO121="","0",AO121))+(IF(AQ121="","0",AQ121))+(IF(AT121="","0",AT121)),"")</f>
        <v>0</v>
      </c>
      <c r="AV121" s="293">
        <f t="shared" ref="AV121:AV135" si="1645">AE121</f>
        <v>0.4604471269</v>
      </c>
      <c r="AW121" s="295">
        <f t="shared" ref="AW121:AW137" si="1646">IFERROR(+AV121*(AU121-AT121),"")</f>
        <v>0</v>
      </c>
      <c r="AX121" s="296">
        <f t="shared" ref="AX121:AX137" si="1647">IFERROR(+(IF(AU121="","0",AU121))-(IF(AW121="","0",AW121)),"")</f>
        <v>0</v>
      </c>
      <c r="AY121" s="297"/>
      <c r="AZ121" s="289">
        <v>1.0</v>
      </c>
      <c r="BA121" s="290" t="str">
        <f t="shared" ref="BA121:BC121" si="1609">IFERROR(VLOOKUP($R121,$A$13:$D$30,-BA$12,FALSE),"")</f>
        <v>Bijih  Emas</v>
      </c>
      <c r="BB121" s="291" t="str">
        <f t="shared" si="1609"/>
        <v>Bijih </v>
      </c>
      <c r="BC121" s="291" t="str">
        <f t="shared" si="1609"/>
        <v>Kg</v>
      </c>
      <c r="BD121" s="292"/>
      <c r="BE121" s="292" t="str">
        <f t="shared" ref="BE121:BE137" si="1649">BE85</f>
        <v/>
      </c>
      <c r="BF121" s="292">
        <f t="shared" ref="BF121:BF137" si="1650">IFERROR(+BD121*BE121/1000000,"")</f>
        <v>0</v>
      </c>
      <c r="BG121" s="293"/>
      <c r="BH121" s="292">
        <f t="shared" ref="BH121:BH137" si="1651">IFERROR(+BF121*BG121,"")</f>
        <v>0</v>
      </c>
      <c r="BI121" s="409"/>
      <c r="BJ121" s="85"/>
      <c r="BK121" s="85"/>
      <c r="BL121" s="294">
        <f t="shared" ref="BL121:BL137" si="1652">IFERROR(+(IF(BF121="","0",BF121))+(IF(BH121="","0",BH121))+(IF(BK121="","0",BK121)),"")</f>
        <v>0</v>
      </c>
      <c r="BM121" s="293">
        <f t="shared" ref="BM121:BM135" si="1653">AV121</f>
        <v>0.4604471269</v>
      </c>
      <c r="BN121" s="295">
        <f t="shared" ref="BN121:BN137" si="1654">IFERROR(+BM121*(BL121-BK121),"")</f>
        <v>0</v>
      </c>
      <c r="BO121" s="296">
        <f t="shared" ref="BO121:BO137" si="1655">IFERROR(+(IF(BL121="","0",BL121))-(IF(BN121="","0",BN121)),"")</f>
        <v>0</v>
      </c>
      <c r="BP121" s="297"/>
      <c r="BQ121" s="289">
        <v>1.0</v>
      </c>
      <c r="BR121" s="290" t="str">
        <f t="shared" ref="BR121:BT121" si="1610">IFERROR(VLOOKUP($R121,$A$13:$D$30,-BR$12,FALSE),"")</f>
        <v>Bijih  Emas</v>
      </c>
      <c r="BS121" s="291" t="str">
        <f t="shared" si="1610"/>
        <v>Bijih </v>
      </c>
      <c r="BT121" s="291" t="str">
        <f t="shared" si="1610"/>
        <v>Kg</v>
      </c>
      <c r="BU121" s="292"/>
      <c r="BV121" s="292" t="str">
        <f t="shared" ref="BV121:BV137" si="1657">BV85</f>
        <v/>
      </c>
      <c r="BW121" s="292">
        <f t="shared" ref="BW121:BW137" si="1658">IFERROR(+BU121*BV121/1000000,"")</f>
        <v>0</v>
      </c>
      <c r="BX121" s="293"/>
      <c r="BY121" s="292">
        <f t="shared" ref="BY121:BY137" si="1659">IFERROR(+BW121*BX121,"")</f>
        <v>0</v>
      </c>
      <c r="BZ121" s="409"/>
      <c r="CA121" s="85"/>
      <c r="CB121" s="85"/>
      <c r="CC121" s="294">
        <f t="shared" ref="CC121:CC137" si="1660">IFERROR(+(IF(BW121="","0",BW121))+(IF(BY121="","0",BY121))+(IF(CB121="","0",CB121)),"")</f>
        <v>0</v>
      </c>
      <c r="CD121" s="293">
        <f t="shared" ref="CD121:CD135" si="1661">BM121</f>
        <v>0.4604471269</v>
      </c>
      <c r="CE121" s="295">
        <f t="shared" ref="CE121:CE137" si="1662">IFERROR(+CD121*(CC121-CB121),"")</f>
        <v>0</v>
      </c>
      <c r="CF121" s="296">
        <f t="shared" ref="CF121:CF137" si="1663">IFERROR(+(IF(CC121="","0",CC121))-(IF(CE121="","0",CE121)),"")</f>
        <v>0</v>
      </c>
      <c r="CG121" s="297"/>
      <c r="CH121" s="289">
        <v>1.0</v>
      </c>
      <c r="CI121" s="290" t="str">
        <f t="shared" ref="CI121:CK121" si="1611">IFERROR(VLOOKUP($R121,$A$13:$D$30,-CI$12,FALSE),"")</f>
        <v>Bijih  Emas</v>
      </c>
      <c r="CJ121" s="291" t="str">
        <f t="shared" si="1611"/>
        <v>Bijih </v>
      </c>
      <c r="CK121" s="291" t="str">
        <f t="shared" si="1611"/>
        <v>Kg</v>
      </c>
      <c r="CL121" s="292"/>
      <c r="CM121" s="292" t="str">
        <f t="shared" ref="CM121:CM137" si="1665">CM85</f>
        <v/>
      </c>
      <c r="CN121" s="292">
        <f t="shared" ref="CN121:CN137" si="1666">IFERROR(+CL121*CM121/1000000,"")</f>
        <v>0</v>
      </c>
      <c r="CO121" s="293"/>
      <c r="CP121" s="292">
        <f t="shared" ref="CP121:CP137" si="1667">IFERROR(+CN121*CO121,"")</f>
        <v>0</v>
      </c>
      <c r="CQ121" s="409"/>
      <c r="CR121" s="85"/>
      <c r="CS121" s="85"/>
      <c r="CT121" s="294">
        <f t="shared" ref="CT121:CT137" si="1668">IFERROR(+(IF(CN121="","0",CN121))+(IF(CP121="","0",CP121))+(IF(CS121="","0",CS121)),"")</f>
        <v>0</v>
      </c>
      <c r="CU121" s="293">
        <f t="shared" ref="CU121:CU135" si="1669">CD121</f>
        <v>0.4604471269</v>
      </c>
      <c r="CV121" s="295">
        <f t="shared" ref="CV121:CV137" si="1670">IFERROR(+CU121*(CT121-CS121),"")</f>
        <v>0</v>
      </c>
      <c r="CW121" s="296">
        <f t="shared" ref="CW121:CW137" si="1671">IFERROR(+(IF(CT121="","0",CT121))-(IF(CV121="","0",CV121)),"")</f>
        <v>0</v>
      </c>
      <c r="CX121" s="297"/>
      <c r="CY121" s="289">
        <v>1.0</v>
      </c>
      <c r="CZ121" s="290" t="str">
        <f t="shared" ref="CZ121:DB121" si="1612">IFERROR(VLOOKUP($R121,$A$13:$D$30,-CZ$12,FALSE),"")</f>
        <v>Bijih  Emas</v>
      </c>
      <c r="DA121" s="291" t="str">
        <f t="shared" si="1612"/>
        <v>Bijih </v>
      </c>
      <c r="DB121" s="291" t="str">
        <f t="shared" si="1612"/>
        <v>Kg</v>
      </c>
      <c r="DC121" s="292"/>
      <c r="DD121" s="292" t="str">
        <f t="shared" ref="DD121:DD137" si="1673">DD85</f>
        <v/>
      </c>
      <c r="DE121" s="292">
        <f t="shared" ref="DE121:DE137" si="1674">IFERROR(+DC121*DD121/1000000,"")</f>
        <v>0</v>
      </c>
      <c r="DF121" s="293"/>
      <c r="DG121" s="292">
        <f t="shared" ref="DG121:DG137" si="1675">IFERROR(+DE121*DF121,"")</f>
        <v>0</v>
      </c>
      <c r="DH121" s="409"/>
      <c r="DI121" s="85"/>
      <c r="DJ121" s="85"/>
      <c r="DK121" s="294">
        <f t="shared" ref="DK121:DK137" si="1676">IFERROR(+(IF(DE121="","0",DE121))+(IF(DG121="","0",DG121))+(IF(DJ121="","0",DJ121)),"")</f>
        <v>0</v>
      </c>
      <c r="DL121" s="293">
        <f t="shared" ref="DL121:DL135" si="1677">CU121</f>
        <v>0.4604471269</v>
      </c>
      <c r="DM121" s="295">
        <f t="shared" ref="DM121:DM137" si="1678">IFERROR(+DL121*(DK121-DJ121),"")</f>
        <v>0</v>
      </c>
      <c r="DN121" s="296">
        <f t="shared" ref="DN121:DN137" si="1679">IFERROR(+(IF(DK121="","0",DK121))-(IF(DM121="","0",DM121)),"")</f>
        <v>0</v>
      </c>
      <c r="DO121" s="297"/>
      <c r="DP121" s="289">
        <v>1.0</v>
      </c>
      <c r="DQ121" s="290" t="str">
        <f t="shared" ref="DQ121:DS121" si="1613">IFERROR(VLOOKUP($R121,$A$13:$D$30,-DQ$12,FALSE),"")</f>
        <v>Bijih  Emas</v>
      </c>
      <c r="DR121" s="291" t="str">
        <f t="shared" si="1613"/>
        <v>Bijih </v>
      </c>
      <c r="DS121" s="291" t="str">
        <f t="shared" si="1613"/>
        <v>Kg</v>
      </c>
      <c r="DT121" s="292"/>
      <c r="DU121" s="292" t="str">
        <f t="shared" ref="DU121:DU137" si="1681">DU85</f>
        <v/>
      </c>
      <c r="DV121" s="292">
        <f t="shared" ref="DV121:DV137" si="1682">IFERROR(+DT121*DU121/1000000,"")</f>
        <v>0</v>
      </c>
      <c r="DW121" s="293"/>
      <c r="DX121" s="292">
        <f t="shared" ref="DX121:DX137" si="1683">IFERROR(+DV121*DW121,"")</f>
        <v>0</v>
      </c>
      <c r="DY121" s="409"/>
      <c r="DZ121" s="85"/>
      <c r="EA121" s="85"/>
      <c r="EB121" s="294">
        <f t="shared" ref="EB121:EB137" si="1684">IFERROR(+(IF(DV121="","0",DV121))+(IF(DX121="","0",DX121))+(IF(EA121="","0",EA121)),"")</f>
        <v>0</v>
      </c>
      <c r="EC121" s="293">
        <f t="shared" ref="EC121:EC135" si="1685">DL121</f>
        <v>0.4604471269</v>
      </c>
      <c r="ED121" s="295">
        <f t="shared" ref="ED121:ED137" si="1686">IFERROR(+EC121*(EB121-EA121),"")</f>
        <v>0</v>
      </c>
      <c r="EE121" s="296">
        <f t="shared" ref="EE121:EE137" si="1687">IFERROR(+(IF(EB121="","0",EB121))-(IF(ED121="","0",ED121)),"")</f>
        <v>0</v>
      </c>
      <c r="EF121" s="297"/>
      <c r="EG121" s="289">
        <v>1.0</v>
      </c>
      <c r="EH121" s="290" t="str">
        <f t="shared" ref="EH121:EJ121" si="1614">IFERROR(VLOOKUP($R121,$A$13:$D$30,-EH$12,FALSE),"")</f>
        <v>Bijih  Emas</v>
      </c>
      <c r="EI121" s="291" t="str">
        <f t="shared" si="1614"/>
        <v>Bijih </v>
      </c>
      <c r="EJ121" s="291" t="str">
        <f t="shared" si="1614"/>
        <v>Kg</v>
      </c>
      <c r="EK121" s="292"/>
      <c r="EL121" s="292" t="str">
        <f t="shared" ref="EL121:EL137" si="1689">EL85</f>
        <v/>
      </c>
      <c r="EM121" s="292">
        <f t="shared" ref="EM121:EM137" si="1690">IFERROR(+EK121*EL121/1000000,"")</f>
        <v>0</v>
      </c>
      <c r="EN121" s="293"/>
      <c r="EO121" s="292">
        <f t="shared" ref="EO121:EO137" si="1691">IFERROR(+EM121*EN121,"")</f>
        <v>0</v>
      </c>
      <c r="EP121" s="409"/>
      <c r="EQ121" s="85"/>
      <c r="ER121" s="85"/>
      <c r="ES121" s="294">
        <f t="shared" ref="ES121:ES137" si="1692">IFERROR(+(IF(EM121="","0",EM121))+(IF(EO121="","0",EO121))+(IF(ER121="","0",ER121)),"")</f>
        <v>0</v>
      </c>
      <c r="ET121" s="293">
        <f t="shared" ref="ET121:ET135" si="1693">EC121</f>
        <v>0.4604471269</v>
      </c>
      <c r="EU121" s="295">
        <f t="shared" ref="EU121:EU137" si="1694">IFERROR(+ET121*(ES121-ER121),"")</f>
        <v>0</v>
      </c>
      <c r="EV121" s="296">
        <f t="shared" ref="EV121:EV137" si="1695">IFERROR(+(IF(ES121="","0",ES121))-(IF(EU121="","0",EU121)),"")</f>
        <v>0</v>
      </c>
      <c r="EW121" s="297"/>
      <c r="EX121" s="289">
        <v>1.0</v>
      </c>
      <c r="EY121" s="290" t="str">
        <f t="shared" ref="EY121:FA121" si="1615">IFERROR(VLOOKUP($R121,$A$13:$D$30,-EY$12,FALSE),"")</f>
        <v>Bijih  Emas</v>
      </c>
      <c r="EZ121" s="291" t="str">
        <f t="shared" si="1615"/>
        <v>Bijih </v>
      </c>
      <c r="FA121" s="291" t="str">
        <f t="shared" si="1615"/>
        <v>Kg</v>
      </c>
      <c r="FB121" s="292"/>
      <c r="FC121" s="292" t="str">
        <f t="shared" ref="FC121:FC137" si="1697">FC85</f>
        <v/>
      </c>
      <c r="FD121" s="292">
        <f t="shared" ref="FD121:FD137" si="1698">IFERROR(+FB121*FC121/1000000,"")</f>
        <v>0</v>
      </c>
      <c r="FE121" s="293"/>
      <c r="FF121" s="292">
        <f t="shared" ref="FF121:FF137" si="1699">IFERROR(+FD121*FE121,"")</f>
        <v>0</v>
      </c>
      <c r="FG121" s="409"/>
      <c r="FH121" s="85"/>
      <c r="FI121" s="85"/>
      <c r="FJ121" s="294">
        <f t="shared" ref="FJ121:FJ137" si="1700">IFERROR(+(IF(FD121="","0",FD121))+(IF(FF121="","0",FF121))+(IF(FI121="","0",FI121)),"")</f>
        <v>0</v>
      </c>
      <c r="FK121" s="293">
        <f t="shared" ref="FK121:FK135" si="1701">ET121</f>
        <v>0.4604471269</v>
      </c>
      <c r="FL121" s="295">
        <f t="shared" ref="FL121:FL137" si="1702">IFERROR(+FK121*(FJ121-FI121),"")</f>
        <v>0</v>
      </c>
      <c r="FM121" s="296">
        <f t="shared" ref="FM121:FM137" si="1703">IFERROR(+(IF(FJ121="","0",FJ121))-(IF(FL121="","0",FL121)),"")</f>
        <v>0</v>
      </c>
      <c r="FN121" s="297"/>
      <c r="FO121" s="289">
        <v>1.0</v>
      </c>
      <c r="FP121" s="290" t="str">
        <f t="shared" ref="FP121:FR121" si="1616">IFERROR(VLOOKUP($R121,$A$13:$D$30,-FP$12,FALSE),"")</f>
        <v>Bijih  Emas</v>
      </c>
      <c r="FQ121" s="291" t="str">
        <f t="shared" si="1616"/>
        <v>Bijih </v>
      </c>
      <c r="FR121" s="291" t="str">
        <f t="shared" si="1616"/>
        <v>Kg</v>
      </c>
      <c r="FS121" s="292"/>
      <c r="FT121" s="292" t="str">
        <f t="shared" ref="FT121:FT137" si="1705">FT85</f>
        <v/>
      </c>
      <c r="FU121" s="292">
        <f t="shared" ref="FU121:FU137" si="1706">IFERROR(+FS121*FT121/1000000,"")</f>
        <v>0</v>
      </c>
      <c r="FV121" s="293"/>
      <c r="FW121" s="292">
        <f t="shared" ref="FW121:FW137" si="1707">IFERROR(+FU121*FV121,"")</f>
        <v>0</v>
      </c>
      <c r="FX121" s="409"/>
      <c r="FY121" s="85"/>
      <c r="FZ121" s="85"/>
      <c r="GA121" s="294">
        <f t="shared" ref="GA121:GA137" si="1708">IFERROR(+(IF(FU121="","0",FU121))+(IF(FW121="","0",FW121))+(IF(FZ121="","0",FZ121)),"")</f>
        <v>0</v>
      </c>
      <c r="GB121" s="293">
        <f t="shared" ref="GB121:GB135" si="1709">FK121</f>
        <v>0.4604471269</v>
      </c>
      <c r="GC121" s="295">
        <f t="shared" ref="GC121:GC137" si="1710">IFERROR(+GB121*(GA121-FZ121),"")</f>
        <v>0</v>
      </c>
      <c r="GD121" s="296">
        <f t="shared" ref="GD121:GD137" si="1711">IFERROR(+(IF(GA121="","0",GA121))-(IF(GC121="","0",GC121)),"")</f>
        <v>0</v>
      </c>
      <c r="GE121" s="297"/>
      <c r="GF121" s="289">
        <v>1.0</v>
      </c>
      <c r="GG121" s="290" t="str">
        <f t="shared" ref="GG121:GI121" si="1617">IFERROR(VLOOKUP($R121,$A$13:$D$30,-GG$12,FALSE),"")</f>
        <v>Bijih  Emas</v>
      </c>
      <c r="GH121" s="291" t="str">
        <f t="shared" si="1617"/>
        <v>Bijih </v>
      </c>
      <c r="GI121" s="291" t="str">
        <f t="shared" si="1617"/>
        <v>Kg</v>
      </c>
      <c r="GJ121" s="292"/>
      <c r="GK121" s="292" t="str">
        <f t="shared" ref="GK121:GK137" si="1713">GK85</f>
        <v/>
      </c>
      <c r="GL121" s="292">
        <f t="shared" ref="GL121:GL137" si="1714">IFERROR(+GJ121*GK121/1000000,"")</f>
        <v>0</v>
      </c>
      <c r="GM121" s="293"/>
      <c r="GN121" s="292">
        <f t="shared" ref="GN121:GN137" si="1715">IFERROR(+GL121*GM121,"")</f>
        <v>0</v>
      </c>
      <c r="GO121" s="409"/>
      <c r="GP121" s="85"/>
      <c r="GQ121" s="85"/>
      <c r="GR121" s="294">
        <f t="shared" ref="GR121:GR137" si="1716">IFERROR(+(IF(GL121="","0",GL121))+(IF(GN121="","0",GN121))+(IF(GQ121="","0",GQ121)),"")</f>
        <v>0</v>
      </c>
      <c r="GS121" s="293">
        <f t="shared" ref="GS121:GS135" si="1717">GB121</f>
        <v>0.4604471269</v>
      </c>
      <c r="GT121" s="295">
        <f t="shared" ref="GT121:GT137" si="1718">IFERROR(+GS121*(GR121-GQ121),"")</f>
        <v>0</v>
      </c>
      <c r="GU121" s="296">
        <f t="shared" ref="GU121:GU137" si="1719">IFERROR(+(IF(GR121="","0",GR121))-(IF(GT121="","0",GT121)),"")</f>
        <v>0</v>
      </c>
      <c r="GV121" s="297"/>
      <c r="GW121" s="289">
        <v>1.0</v>
      </c>
      <c r="GX121" s="290" t="str">
        <f t="shared" ref="GX121:GZ121" si="1618">IFERROR(VLOOKUP($R121,$A$13:$D$30,-GX$12,FALSE),"")</f>
        <v>Bijih  Emas</v>
      </c>
      <c r="GY121" s="291" t="str">
        <f t="shared" si="1618"/>
        <v>Bijih </v>
      </c>
      <c r="GZ121" s="291" t="str">
        <f t="shared" si="1618"/>
        <v>Kg</v>
      </c>
      <c r="HA121" s="292"/>
      <c r="HB121" s="292" t="str">
        <f t="shared" ref="HB121:HB137" si="1721">HB85</f>
        <v/>
      </c>
      <c r="HC121" s="292">
        <f t="shared" ref="HC121:HC137" si="1722">IFERROR(+HA121*HB121/1000000,"")</f>
        <v>0</v>
      </c>
      <c r="HD121" s="293"/>
      <c r="HE121" s="292">
        <f t="shared" ref="HE121:HE137" si="1723">IFERROR(+HC121*HD121,"")</f>
        <v>0</v>
      </c>
      <c r="HF121" s="409"/>
      <c r="HG121" s="85"/>
      <c r="HH121" s="85"/>
      <c r="HI121" s="294">
        <f t="shared" ref="HI121:HI137" si="1724">IFERROR(+(IF(HC121="","0",HC121))+(IF(HE121="","0",HE121))+(IF(HH121="","0",HH121)),"")</f>
        <v>0</v>
      </c>
      <c r="HJ121" s="293">
        <f t="shared" ref="HJ121:HJ135" si="1725">GS121</f>
        <v>0.4604471269</v>
      </c>
      <c r="HK121" s="295">
        <f t="shared" ref="HK121:HK137" si="1726">IFERROR(+HJ121*(HI121-HH121),"")</f>
        <v>0</v>
      </c>
      <c r="HL121" s="296">
        <f t="shared" ref="HL121:HL137" si="1727">IFERROR(+(IF(HI121="","0",HI121))-(IF(HK121="","0",HK121)),"")</f>
        <v>0</v>
      </c>
      <c r="HM121" s="297"/>
      <c r="HN121" s="289">
        <v>1.0</v>
      </c>
      <c r="HO121" s="290" t="str">
        <f t="shared" ref="HO121:HQ121" si="1619">IFERROR(VLOOKUP($R121,$A$13:$D$30,-HO$12,FALSE),"")</f>
        <v>Bijih  Emas</v>
      </c>
      <c r="HP121" s="291" t="str">
        <f t="shared" si="1619"/>
        <v>Bijih </v>
      </c>
      <c r="HQ121" s="291" t="str">
        <f t="shared" si="1619"/>
        <v>Kg</v>
      </c>
      <c r="HR121" s="292"/>
      <c r="HS121" s="292" t="str">
        <f t="shared" ref="HS121:HS137" si="1729">HS85</f>
        <v/>
      </c>
      <c r="HT121" s="292">
        <f t="shared" ref="HT121:HT137" si="1730">IFERROR(+HR121*HS121/1000000,"")</f>
        <v>0</v>
      </c>
      <c r="HU121" s="293"/>
      <c r="HV121" s="292">
        <f t="shared" ref="HV121:HV137" si="1731">IFERROR(+HT121*HU121,"")</f>
        <v>0</v>
      </c>
      <c r="HW121" s="409"/>
      <c r="HX121" s="85"/>
      <c r="HY121" s="85"/>
      <c r="HZ121" s="294">
        <f t="shared" ref="HZ121:HZ137" si="1732">IFERROR(+(IF(HT121="","0",HT121))+(IF(HV121="","0",HV121))+(IF(HY121="","0",HY121)),"")</f>
        <v>0</v>
      </c>
      <c r="IA121" s="293">
        <f t="shared" ref="IA121:IA135" si="1733">HJ121</f>
        <v>0.4604471269</v>
      </c>
      <c r="IB121" s="295">
        <f t="shared" ref="IB121:IB137" si="1734">IFERROR(+IA121*(HZ121-HY121),"")</f>
        <v>0</v>
      </c>
      <c r="IC121" s="296">
        <f t="shared" ref="IC121:IC137" si="1735">IFERROR(+(IF(HZ121="","0",HZ121))-(IF(IB121="","0",IB121)),"")</f>
        <v>0</v>
      </c>
      <c r="ID121" s="297"/>
      <c r="IE121" s="289">
        <v>1.0</v>
      </c>
      <c r="IF121" s="290" t="str">
        <f t="shared" ref="IF121:IH121" si="1620">IFERROR(VLOOKUP($R121,$A$13:$D$30,-IF$12,FALSE),"")</f>
        <v>Bijih  Emas</v>
      </c>
      <c r="IG121" s="291" t="str">
        <f t="shared" si="1620"/>
        <v>Bijih </v>
      </c>
      <c r="IH121" s="291" t="str">
        <f t="shared" si="1620"/>
        <v>Kg</v>
      </c>
      <c r="II121" s="292"/>
      <c r="IJ121" s="292" t="str">
        <f t="shared" ref="IJ121:IJ137" si="1737">IJ85</f>
        <v/>
      </c>
      <c r="IK121" s="292">
        <f t="shared" ref="IK121:IK137" si="1738">IFERROR(+II121*IJ121/1000000,"")</f>
        <v>0</v>
      </c>
      <c r="IL121" s="293"/>
      <c r="IM121" s="292">
        <f t="shared" ref="IM121:IM137" si="1739">IFERROR(+IK121*IL121,"")</f>
        <v>0</v>
      </c>
      <c r="IN121" s="409"/>
      <c r="IO121" s="85"/>
      <c r="IP121" s="85"/>
      <c r="IQ121" s="294">
        <f t="shared" ref="IQ121:IQ137" si="1740">IFERROR(+(IF(IK121="","0",IK121))+(IF(IM121="","0",IM121))+(IF(IP121="","0",IP121)),"")</f>
        <v>0</v>
      </c>
      <c r="IR121" s="293">
        <f t="shared" ref="IR121:IR135" si="1741">IA121</f>
        <v>0.4604471269</v>
      </c>
      <c r="IS121" s="295">
        <f t="shared" ref="IS121:IS137" si="1742">IFERROR(+IR121*(IQ121-IP121),"")</f>
        <v>0</v>
      </c>
      <c r="IT121" s="296">
        <f t="shared" ref="IT121:IT137" si="1743">IFERROR(+(IF(IQ121="","0",IQ121))-(IF(IS121="","0",IS121)),"")</f>
        <v>0</v>
      </c>
      <c r="IU121" s="297"/>
      <c r="IV121" s="289">
        <v>1.0</v>
      </c>
      <c r="IW121" s="290" t="str">
        <f t="shared" ref="IW121:IY121" si="1621">IFERROR(VLOOKUP($R121,$A$13:$D$30,-IW$12,FALSE),"")</f>
        <v>Bijih  Emas</v>
      </c>
      <c r="IX121" s="291" t="str">
        <f t="shared" si="1621"/>
        <v>Bijih </v>
      </c>
      <c r="IY121" s="291" t="str">
        <f t="shared" si="1621"/>
        <v>Kg</v>
      </c>
      <c r="IZ121" s="292"/>
      <c r="JA121" s="292" t="str">
        <f t="shared" ref="JA121:JA137" si="1745">JA85</f>
        <v/>
      </c>
      <c r="JB121" s="292">
        <f t="shared" ref="JB121:JB137" si="1746">IFERROR(+IZ121*JA121/1000000,"")</f>
        <v>0</v>
      </c>
      <c r="JC121" s="293"/>
      <c r="JD121" s="292">
        <f t="shared" ref="JD121:JD137" si="1747">IFERROR(+JB121*JC121,"")</f>
        <v>0</v>
      </c>
      <c r="JE121" s="409"/>
      <c r="JF121" s="85"/>
      <c r="JG121" s="85"/>
      <c r="JH121" s="294">
        <f t="shared" ref="JH121:JH137" si="1748">IFERROR(+(IF(JB121="","0",JB121))+(IF(JD121="","0",JD121))+(IF(JG121="","0",JG121)),"")</f>
        <v>0</v>
      </c>
      <c r="JI121" s="293">
        <f t="shared" ref="JI121:JI135" si="1749">IR121</f>
        <v>0.4604471269</v>
      </c>
      <c r="JJ121" s="295">
        <f t="shared" ref="JJ121:JJ137" si="1750">IFERROR(+JI121*(JH121-JG121),"")</f>
        <v>0</v>
      </c>
      <c r="JK121" s="296">
        <f t="shared" ref="JK121:JK137" si="1751">IFERROR(+(IF(JH121="","0",JH121))-(IF(JJ121="","0",JJ121)),"")</f>
        <v>0</v>
      </c>
      <c r="JL121" s="297"/>
      <c r="JM121" s="289">
        <v>1.0</v>
      </c>
      <c r="JN121" s="290" t="str">
        <f t="shared" ref="JN121:JP121" si="1622">IFERROR(VLOOKUP($R121,$A$13:$D$30,-JN$12,FALSE),"")</f>
        <v>Bijih  Emas</v>
      </c>
      <c r="JO121" s="291" t="str">
        <f t="shared" si="1622"/>
        <v>Bijih </v>
      </c>
      <c r="JP121" s="291" t="str">
        <f t="shared" si="1622"/>
        <v>Kg</v>
      </c>
      <c r="JQ121" s="292"/>
      <c r="JR121" s="292" t="str">
        <f t="shared" ref="JR121:JR137" si="1753">JR85</f>
        <v/>
      </c>
      <c r="JS121" s="292">
        <f t="shared" ref="JS121:JS137" si="1754">IFERROR(+JQ121*JR121/1000000,"")</f>
        <v>0</v>
      </c>
      <c r="JT121" s="293"/>
      <c r="JU121" s="292">
        <f t="shared" ref="JU121:JU137" si="1755">IFERROR(+JS121*JT121,"")</f>
        <v>0</v>
      </c>
      <c r="JV121" s="409"/>
      <c r="JW121" s="85"/>
      <c r="JX121" s="85"/>
      <c r="JY121" s="294">
        <f t="shared" ref="JY121:JY137" si="1756">IFERROR(+(IF(JS121="","0",JS121))+(IF(JU121="","0",JU121))+(IF(JX121="","0",JX121)),"")</f>
        <v>0</v>
      </c>
      <c r="JZ121" s="293">
        <f t="shared" ref="JZ121:JZ135" si="1757">JI121</f>
        <v>0.4604471269</v>
      </c>
      <c r="KA121" s="295">
        <f t="shared" ref="KA121:KA137" si="1758">IFERROR(+JZ121*(JY121-JX121),"")</f>
        <v>0</v>
      </c>
      <c r="KB121" s="296">
        <f t="shared" ref="KB121:KB137" si="1759">IFERROR(+(IF(JY121="","0",JY121))-(IF(KA121="","0",KA121)),"")</f>
        <v>0</v>
      </c>
      <c r="KC121" s="297"/>
      <c r="KD121" s="289">
        <v>1.0</v>
      </c>
      <c r="KE121" s="290" t="str">
        <f t="shared" ref="KE121:KG121" si="1623">IFERROR(VLOOKUP($R121,$A$13:$D$30,-KE$12,FALSE),"")</f>
        <v>Bijih  Emas</v>
      </c>
      <c r="KF121" s="291" t="str">
        <f t="shared" si="1623"/>
        <v>Bijih </v>
      </c>
      <c r="KG121" s="291" t="str">
        <f t="shared" si="1623"/>
        <v>Kg</v>
      </c>
      <c r="KH121" s="292"/>
      <c r="KI121" s="292" t="str">
        <f t="shared" ref="KI121:KI137" si="1761">KI85</f>
        <v/>
      </c>
      <c r="KJ121" s="292">
        <f t="shared" ref="KJ121:KJ137" si="1762">IFERROR(+KH121*KI121/1000000,"")</f>
        <v>0</v>
      </c>
      <c r="KK121" s="293"/>
      <c r="KL121" s="292">
        <f t="shared" ref="KL121:KL137" si="1763">IFERROR(+KJ121*KK121,"")</f>
        <v>0</v>
      </c>
      <c r="KM121" s="409"/>
      <c r="KN121" s="85"/>
      <c r="KO121" s="85"/>
      <c r="KP121" s="294">
        <f t="shared" ref="KP121:KP137" si="1764">IFERROR(+(IF(KJ121="","0",KJ121))+(IF(KL121="","0",KL121))+(IF(KO121="","0",KO121)),"")</f>
        <v>0</v>
      </c>
      <c r="KQ121" s="293">
        <f t="shared" ref="KQ121:KQ135" si="1765">JZ121</f>
        <v>0.4604471269</v>
      </c>
      <c r="KR121" s="295">
        <f t="shared" ref="KR121:KR137" si="1766">IFERROR(+KQ121*(KP121-KO121),"")</f>
        <v>0</v>
      </c>
      <c r="KS121" s="296">
        <f t="shared" ref="KS121:KS137" si="1767">IFERROR(+(IF(KP121="","0",KP121))-(IF(KR121="","0",KR121)),"")</f>
        <v>0</v>
      </c>
      <c r="KT121" s="297"/>
      <c r="KU121" s="298"/>
    </row>
    <row r="122" ht="15.75" customHeight="1">
      <c r="A122" s="299">
        <f t="shared" ref="A122:A137" si="1768">A121+1</f>
        <v>2</v>
      </c>
      <c r="B122" s="300" t="str">
        <f t="shared" ref="B122:D122" si="1624">IFERROR(VLOOKUP($A122,$A$13:$D$30,-B$12,FALSE),"")</f>
        <v>Bijih  Perak</v>
      </c>
      <c r="C122" s="301" t="str">
        <f t="shared" si="1624"/>
        <v>Bijih </v>
      </c>
      <c r="D122" s="301" t="str">
        <f t="shared" si="1624"/>
        <v>Kg</v>
      </c>
      <c r="E122" s="294"/>
      <c r="F122" s="294" t="str">
        <f t="shared" si="1625"/>
        <v/>
      </c>
      <c r="G122" s="294">
        <f t="shared" si="1626"/>
        <v>0</v>
      </c>
      <c r="H122" s="302"/>
      <c r="I122" s="294">
        <f t="shared" si="1627"/>
        <v>0</v>
      </c>
      <c r="J122" s="410"/>
      <c r="K122" s="96"/>
      <c r="L122" s="96"/>
      <c r="M122" s="294">
        <f t="shared" si="1628"/>
        <v>0</v>
      </c>
      <c r="N122" s="302">
        <f t="shared" si="1629"/>
        <v>0.4604471269</v>
      </c>
      <c r="O122" s="303">
        <f t="shared" si="1630"/>
        <v>0</v>
      </c>
      <c r="P122" s="304">
        <f t="shared" si="1631"/>
        <v>0</v>
      </c>
      <c r="Q122" s="297"/>
      <c r="R122" s="299">
        <f t="shared" ref="R122:R137" si="1770">R121+1</f>
        <v>2</v>
      </c>
      <c r="S122" s="300" t="str">
        <f t="shared" ref="S122:U122" si="1632">IFERROR(VLOOKUP($R122,$A$13:$D$30,-S$12,FALSE),"")</f>
        <v>Bijih  Perak</v>
      </c>
      <c r="T122" s="301" t="str">
        <f t="shared" si="1632"/>
        <v>Bijih </v>
      </c>
      <c r="U122" s="301" t="str">
        <f t="shared" si="1632"/>
        <v>Kg</v>
      </c>
      <c r="V122" s="294"/>
      <c r="W122" s="294" t="str">
        <f t="shared" si="1633"/>
        <v/>
      </c>
      <c r="X122" s="294">
        <f t="shared" si="1634"/>
        <v>0</v>
      </c>
      <c r="Y122" s="302"/>
      <c r="Z122" s="294">
        <f t="shared" si="1635"/>
        <v>0</v>
      </c>
      <c r="AA122" s="410"/>
      <c r="AB122" s="96"/>
      <c r="AC122" s="96"/>
      <c r="AD122" s="294">
        <f t="shared" si="1636"/>
        <v>0</v>
      </c>
      <c r="AE122" s="302">
        <f t="shared" si="1637"/>
        <v>0.4604471269</v>
      </c>
      <c r="AF122" s="303">
        <f t="shared" si="1638"/>
        <v>0</v>
      </c>
      <c r="AG122" s="304">
        <f t="shared" si="1639"/>
        <v>0</v>
      </c>
      <c r="AH122" s="297"/>
      <c r="AI122" s="299">
        <f t="shared" ref="AI122:AI137" si="1772">AI121+1</f>
        <v>2</v>
      </c>
      <c r="AJ122" s="300" t="str">
        <f t="shared" ref="AJ122:AL122" si="1640">IFERROR(VLOOKUP($R122,$A$13:$D$30,-AJ$12,FALSE),"")</f>
        <v>Bijih  Perak</v>
      </c>
      <c r="AK122" s="301" t="str">
        <f t="shared" si="1640"/>
        <v>Bijih </v>
      </c>
      <c r="AL122" s="301" t="str">
        <f t="shared" si="1640"/>
        <v>Kg</v>
      </c>
      <c r="AM122" s="294"/>
      <c r="AN122" s="294" t="str">
        <f t="shared" si="1641"/>
        <v/>
      </c>
      <c r="AO122" s="294">
        <f t="shared" si="1642"/>
        <v>0</v>
      </c>
      <c r="AP122" s="302"/>
      <c r="AQ122" s="294">
        <f t="shared" si="1643"/>
        <v>0</v>
      </c>
      <c r="AR122" s="410"/>
      <c r="AS122" s="96"/>
      <c r="AT122" s="96"/>
      <c r="AU122" s="294">
        <f t="shared" si="1644"/>
        <v>0</v>
      </c>
      <c r="AV122" s="302">
        <f t="shared" si="1645"/>
        <v>0.4604471269</v>
      </c>
      <c r="AW122" s="303">
        <f t="shared" si="1646"/>
        <v>0</v>
      </c>
      <c r="AX122" s="304">
        <f t="shared" si="1647"/>
        <v>0</v>
      </c>
      <c r="AY122" s="297"/>
      <c r="AZ122" s="299">
        <f t="shared" ref="AZ122:AZ137" si="1774">AZ121+1</f>
        <v>2</v>
      </c>
      <c r="BA122" s="300" t="str">
        <f t="shared" ref="BA122:BC122" si="1648">IFERROR(VLOOKUP($R122,$A$13:$D$30,-BA$12,FALSE),"")</f>
        <v>Bijih  Perak</v>
      </c>
      <c r="BB122" s="301" t="str">
        <f t="shared" si="1648"/>
        <v>Bijih </v>
      </c>
      <c r="BC122" s="301" t="str">
        <f t="shared" si="1648"/>
        <v>Kg</v>
      </c>
      <c r="BD122" s="294"/>
      <c r="BE122" s="294" t="str">
        <f t="shared" si="1649"/>
        <v/>
      </c>
      <c r="BF122" s="294">
        <f t="shared" si="1650"/>
        <v>0</v>
      </c>
      <c r="BG122" s="302"/>
      <c r="BH122" s="294">
        <f t="shared" si="1651"/>
        <v>0</v>
      </c>
      <c r="BI122" s="410"/>
      <c r="BJ122" s="96"/>
      <c r="BK122" s="96"/>
      <c r="BL122" s="294">
        <f t="shared" si="1652"/>
        <v>0</v>
      </c>
      <c r="BM122" s="302">
        <f t="shared" si="1653"/>
        <v>0.4604471269</v>
      </c>
      <c r="BN122" s="303">
        <f t="shared" si="1654"/>
        <v>0</v>
      </c>
      <c r="BO122" s="304">
        <f t="shared" si="1655"/>
        <v>0</v>
      </c>
      <c r="BP122" s="297"/>
      <c r="BQ122" s="299">
        <f t="shared" ref="BQ122:BQ137" si="1776">BQ121+1</f>
        <v>2</v>
      </c>
      <c r="BR122" s="300" t="str">
        <f t="shared" ref="BR122:BT122" si="1656">IFERROR(VLOOKUP($R122,$A$13:$D$30,-BR$12,FALSE),"")</f>
        <v>Bijih  Perak</v>
      </c>
      <c r="BS122" s="301" t="str">
        <f t="shared" si="1656"/>
        <v>Bijih </v>
      </c>
      <c r="BT122" s="301" t="str">
        <f t="shared" si="1656"/>
        <v>Kg</v>
      </c>
      <c r="BU122" s="294"/>
      <c r="BV122" s="294" t="str">
        <f t="shared" si="1657"/>
        <v/>
      </c>
      <c r="BW122" s="294">
        <f t="shared" si="1658"/>
        <v>0</v>
      </c>
      <c r="BX122" s="302"/>
      <c r="BY122" s="294">
        <f t="shared" si="1659"/>
        <v>0</v>
      </c>
      <c r="BZ122" s="410"/>
      <c r="CA122" s="96"/>
      <c r="CB122" s="96"/>
      <c r="CC122" s="294">
        <f t="shared" si="1660"/>
        <v>0</v>
      </c>
      <c r="CD122" s="302">
        <f t="shared" si="1661"/>
        <v>0.4604471269</v>
      </c>
      <c r="CE122" s="303">
        <f t="shared" si="1662"/>
        <v>0</v>
      </c>
      <c r="CF122" s="304">
        <f t="shared" si="1663"/>
        <v>0</v>
      </c>
      <c r="CG122" s="297"/>
      <c r="CH122" s="299">
        <f t="shared" ref="CH122:CH137" si="1778">CH121+1</f>
        <v>2</v>
      </c>
      <c r="CI122" s="300" t="str">
        <f t="shared" ref="CI122:CK122" si="1664">IFERROR(VLOOKUP($R122,$A$13:$D$30,-CI$12,FALSE),"")</f>
        <v>Bijih  Perak</v>
      </c>
      <c r="CJ122" s="301" t="str">
        <f t="shared" si="1664"/>
        <v>Bijih </v>
      </c>
      <c r="CK122" s="301" t="str">
        <f t="shared" si="1664"/>
        <v>Kg</v>
      </c>
      <c r="CL122" s="294"/>
      <c r="CM122" s="294" t="str">
        <f t="shared" si="1665"/>
        <v/>
      </c>
      <c r="CN122" s="294">
        <f t="shared" si="1666"/>
        <v>0</v>
      </c>
      <c r="CO122" s="302"/>
      <c r="CP122" s="294">
        <f t="shared" si="1667"/>
        <v>0</v>
      </c>
      <c r="CQ122" s="410"/>
      <c r="CR122" s="96"/>
      <c r="CS122" s="96"/>
      <c r="CT122" s="294">
        <f t="shared" si="1668"/>
        <v>0</v>
      </c>
      <c r="CU122" s="302">
        <f t="shared" si="1669"/>
        <v>0.4604471269</v>
      </c>
      <c r="CV122" s="303">
        <f t="shared" si="1670"/>
        <v>0</v>
      </c>
      <c r="CW122" s="304">
        <f t="shared" si="1671"/>
        <v>0</v>
      </c>
      <c r="CX122" s="297"/>
      <c r="CY122" s="299">
        <f t="shared" ref="CY122:CY137" si="1780">CY121+1</f>
        <v>2</v>
      </c>
      <c r="CZ122" s="300" t="str">
        <f t="shared" ref="CZ122:DB122" si="1672">IFERROR(VLOOKUP($R122,$A$13:$D$30,-CZ$12,FALSE),"")</f>
        <v>Bijih  Perak</v>
      </c>
      <c r="DA122" s="301" t="str">
        <f t="shared" si="1672"/>
        <v>Bijih </v>
      </c>
      <c r="DB122" s="301" t="str">
        <f t="shared" si="1672"/>
        <v>Kg</v>
      </c>
      <c r="DC122" s="294"/>
      <c r="DD122" s="294" t="str">
        <f t="shared" si="1673"/>
        <v/>
      </c>
      <c r="DE122" s="294">
        <f t="shared" si="1674"/>
        <v>0</v>
      </c>
      <c r="DF122" s="302"/>
      <c r="DG122" s="294">
        <f t="shared" si="1675"/>
        <v>0</v>
      </c>
      <c r="DH122" s="410"/>
      <c r="DI122" s="96"/>
      <c r="DJ122" s="96"/>
      <c r="DK122" s="294">
        <f t="shared" si="1676"/>
        <v>0</v>
      </c>
      <c r="DL122" s="302">
        <f t="shared" si="1677"/>
        <v>0.4604471269</v>
      </c>
      <c r="DM122" s="303">
        <f t="shared" si="1678"/>
        <v>0</v>
      </c>
      <c r="DN122" s="304">
        <f t="shared" si="1679"/>
        <v>0</v>
      </c>
      <c r="DO122" s="297"/>
      <c r="DP122" s="299">
        <f t="shared" ref="DP122:DP137" si="1782">DP121+1</f>
        <v>2</v>
      </c>
      <c r="DQ122" s="300" t="str">
        <f t="shared" ref="DQ122:DS122" si="1680">IFERROR(VLOOKUP($R122,$A$13:$D$30,-DQ$12,FALSE),"")</f>
        <v>Bijih  Perak</v>
      </c>
      <c r="DR122" s="301" t="str">
        <f t="shared" si="1680"/>
        <v>Bijih </v>
      </c>
      <c r="DS122" s="301" t="str">
        <f t="shared" si="1680"/>
        <v>Kg</v>
      </c>
      <c r="DT122" s="294"/>
      <c r="DU122" s="294" t="str">
        <f t="shared" si="1681"/>
        <v/>
      </c>
      <c r="DV122" s="294">
        <f t="shared" si="1682"/>
        <v>0</v>
      </c>
      <c r="DW122" s="302"/>
      <c r="DX122" s="294">
        <f t="shared" si="1683"/>
        <v>0</v>
      </c>
      <c r="DY122" s="410"/>
      <c r="DZ122" s="96"/>
      <c r="EA122" s="96"/>
      <c r="EB122" s="294">
        <f t="shared" si="1684"/>
        <v>0</v>
      </c>
      <c r="EC122" s="302">
        <f t="shared" si="1685"/>
        <v>0.4604471269</v>
      </c>
      <c r="ED122" s="303">
        <f t="shared" si="1686"/>
        <v>0</v>
      </c>
      <c r="EE122" s="304">
        <f t="shared" si="1687"/>
        <v>0</v>
      </c>
      <c r="EF122" s="297"/>
      <c r="EG122" s="299">
        <f t="shared" ref="EG122:EG137" si="1784">EG121+1</f>
        <v>2</v>
      </c>
      <c r="EH122" s="300" t="str">
        <f t="shared" ref="EH122:EJ122" si="1688">IFERROR(VLOOKUP($R122,$A$13:$D$30,-EH$12,FALSE),"")</f>
        <v>Bijih  Perak</v>
      </c>
      <c r="EI122" s="301" t="str">
        <f t="shared" si="1688"/>
        <v>Bijih </v>
      </c>
      <c r="EJ122" s="301" t="str">
        <f t="shared" si="1688"/>
        <v>Kg</v>
      </c>
      <c r="EK122" s="294"/>
      <c r="EL122" s="294" t="str">
        <f t="shared" si="1689"/>
        <v/>
      </c>
      <c r="EM122" s="294">
        <f t="shared" si="1690"/>
        <v>0</v>
      </c>
      <c r="EN122" s="302"/>
      <c r="EO122" s="294">
        <f t="shared" si="1691"/>
        <v>0</v>
      </c>
      <c r="EP122" s="410"/>
      <c r="EQ122" s="96"/>
      <c r="ER122" s="96"/>
      <c r="ES122" s="294">
        <f t="shared" si="1692"/>
        <v>0</v>
      </c>
      <c r="ET122" s="302">
        <f t="shared" si="1693"/>
        <v>0.4604471269</v>
      </c>
      <c r="EU122" s="303">
        <f t="shared" si="1694"/>
        <v>0</v>
      </c>
      <c r="EV122" s="304">
        <f t="shared" si="1695"/>
        <v>0</v>
      </c>
      <c r="EW122" s="297"/>
      <c r="EX122" s="299">
        <f t="shared" ref="EX122:EX137" si="1786">EX121+1</f>
        <v>2</v>
      </c>
      <c r="EY122" s="300" t="str">
        <f t="shared" ref="EY122:FA122" si="1696">IFERROR(VLOOKUP($R122,$A$13:$D$30,-EY$12,FALSE),"")</f>
        <v>Bijih  Perak</v>
      </c>
      <c r="EZ122" s="301" t="str">
        <f t="shared" si="1696"/>
        <v>Bijih </v>
      </c>
      <c r="FA122" s="301" t="str">
        <f t="shared" si="1696"/>
        <v>Kg</v>
      </c>
      <c r="FB122" s="294"/>
      <c r="FC122" s="294" t="str">
        <f t="shared" si="1697"/>
        <v/>
      </c>
      <c r="FD122" s="294">
        <f t="shared" si="1698"/>
        <v>0</v>
      </c>
      <c r="FE122" s="302"/>
      <c r="FF122" s="294">
        <f t="shared" si="1699"/>
        <v>0</v>
      </c>
      <c r="FG122" s="410"/>
      <c r="FH122" s="96"/>
      <c r="FI122" s="96"/>
      <c r="FJ122" s="294">
        <f t="shared" si="1700"/>
        <v>0</v>
      </c>
      <c r="FK122" s="302">
        <f t="shared" si="1701"/>
        <v>0.4604471269</v>
      </c>
      <c r="FL122" s="303">
        <f t="shared" si="1702"/>
        <v>0</v>
      </c>
      <c r="FM122" s="304">
        <f t="shared" si="1703"/>
        <v>0</v>
      </c>
      <c r="FN122" s="297"/>
      <c r="FO122" s="299">
        <f t="shared" ref="FO122:FO137" si="1788">FO121+1</f>
        <v>2</v>
      </c>
      <c r="FP122" s="300" t="str">
        <f t="shared" ref="FP122:FR122" si="1704">IFERROR(VLOOKUP($R122,$A$13:$D$30,-FP$12,FALSE),"")</f>
        <v>Bijih  Perak</v>
      </c>
      <c r="FQ122" s="301" t="str">
        <f t="shared" si="1704"/>
        <v>Bijih </v>
      </c>
      <c r="FR122" s="301" t="str">
        <f t="shared" si="1704"/>
        <v>Kg</v>
      </c>
      <c r="FS122" s="294"/>
      <c r="FT122" s="294" t="str">
        <f t="shared" si="1705"/>
        <v/>
      </c>
      <c r="FU122" s="294">
        <f t="shared" si="1706"/>
        <v>0</v>
      </c>
      <c r="FV122" s="302"/>
      <c r="FW122" s="294">
        <f t="shared" si="1707"/>
        <v>0</v>
      </c>
      <c r="FX122" s="410"/>
      <c r="FY122" s="96"/>
      <c r="FZ122" s="96"/>
      <c r="GA122" s="294">
        <f t="shared" si="1708"/>
        <v>0</v>
      </c>
      <c r="GB122" s="302">
        <f t="shared" si="1709"/>
        <v>0.4604471269</v>
      </c>
      <c r="GC122" s="303">
        <f t="shared" si="1710"/>
        <v>0</v>
      </c>
      <c r="GD122" s="304">
        <f t="shared" si="1711"/>
        <v>0</v>
      </c>
      <c r="GE122" s="297"/>
      <c r="GF122" s="299">
        <f t="shared" ref="GF122:GF137" si="1790">GF121+1</f>
        <v>2</v>
      </c>
      <c r="GG122" s="300" t="str">
        <f t="shared" ref="GG122:GI122" si="1712">IFERROR(VLOOKUP($R122,$A$13:$D$30,-GG$12,FALSE),"")</f>
        <v>Bijih  Perak</v>
      </c>
      <c r="GH122" s="301" t="str">
        <f t="shared" si="1712"/>
        <v>Bijih </v>
      </c>
      <c r="GI122" s="301" t="str">
        <f t="shared" si="1712"/>
        <v>Kg</v>
      </c>
      <c r="GJ122" s="294"/>
      <c r="GK122" s="294" t="str">
        <f t="shared" si="1713"/>
        <v/>
      </c>
      <c r="GL122" s="294">
        <f t="shared" si="1714"/>
        <v>0</v>
      </c>
      <c r="GM122" s="302"/>
      <c r="GN122" s="294">
        <f t="shared" si="1715"/>
        <v>0</v>
      </c>
      <c r="GO122" s="410"/>
      <c r="GP122" s="96"/>
      <c r="GQ122" s="96"/>
      <c r="GR122" s="294">
        <f t="shared" si="1716"/>
        <v>0</v>
      </c>
      <c r="GS122" s="302">
        <f t="shared" si="1717"/>
        <v>0.4604471269</v>
      </c>
      <c r="GT122" s="303">
        <f t="shared" si="1718"/>
        <v>0</v>
      </c>
      <c r="GU122" s="304">
        <f t="shared" si="1719"/>
        <v>0</v>
      </c>
      <c r="GV122" s="297"/>
      <c r="GW122" s="299">
        <f t="shared" ref="GW122:GW137" si="1792">GW121+1</f>
        <v>2</v>
      </c>
      <c r="GX122" s="300" t="str">
        <f t="shared" ref="GX122:GZ122" si="1720">IFERROR(VLOOKUP($R122,$A$13:$D$30,-GX$12,FALSE),"")</f>
        <v>Bijih  Perak</v>
      </c>
      <c r="GY122" s="301" t="str">
        <f t="shared" si="1720"/>
        <v>Bijih </v>
      </c>
      <c r="GZ122" s="301" t="str">
        <f t="shared" si="1720"/>
        <v>Kg</v>
      </c>
      <c r="HA122" s="294"/>
      <c r="HB122" s="294" t="str">
        <f t="shared" si="1721"/>
        <v/>
      </c>
      <c r="HC122" s="294">
        <f t="shared" si="1722"/>
        <v>0</v>
      </c>
      <c r="HD122" s="302"/>
      <c r="HE122" s="294">
        <f t="shared" si="1723"/>
        <v>0</v>
      </c>
      <c r="HF122" s="410"/>
      <c r="HG122" s="96"/>
      <c r="HH122" s="96"/>
      <c r="HI122" s="294">
        <f t="shared" si="1724"/>
        <v>0</v>
      </c>
      <c r="HJ122" s="302">
        <f t="shared" si="1725"/>
        <v>0.4604471269</v>
      </c>
      <c r="HK122" s="303">
        <f t="shared" si="1726"/>
        <v>0</v>
      </c>
      <c r="HL122" s="304">
        <f t="shared" si="1727"/>
        <v>0</v>
      </c>
      <c r="HM122" s="297"/>
      <c r="HN122" s="299">
        <f t="shared" ref="HN122:HN137" si="1794">HN121+1</f>
        <v>2</v>
      </c>
      <c r="HO122" s="300" t="str">
        <f t="shared" ref="HO122:HQ122" si="1728">IFERROR(VLOOKUP($R122,$A$13:$D$30,-HO$12,FALSE),"")</f>
        <v>Bijih  Perak</v>
      </c>
      <c r="HP122" s="301" t="str">
        <f t="shared" si="1728"/>
        <v>Bijih </v>
      </c>
      <c r="HQ122" s="301" t="str">
        <f t="shared" si="1728"/>
        <v>Kg</v>
      </c>
      <c r="HR122" s="294"/>
      <c r="HS122" s="294" t="str">
        <f t="shared" si="1729"/>
        <v/>
      </c>
      <c r="HT122" s="294">
        <f t="shared" si="1730"/>
        <v>0</v>
      </c>
      <c r="HU122" s="302"/>
      <c r="HV122" s="294">
        <f t="shared" si="1731"/>
        <v>0</v>
      </c>
      <c r="HW122" s="410"/>
      <c r="HX122" s="96"/>
      <c r="HY122" s="96"/>
      <c r="HZ122" s="294">
        <f t="shared" si="1732"/>
        <v>0</v>
      </c>
      <c r="IA122" s="302">
        <f t="shared" si="1733"/>
        <v>0.4604471269</v>
      </c>
      <c r="IB122" s="303">
        <f t="shared" si="1734"/>
        <v>0</v>
      </c>
      <c r="IC122" s="304">
        <f t="shared" si="1735"/>
        <v>0</v>
      </c>
      <c r="ID122" s="297"/>
      <c r="IE122" s="299">
        <f t="shared" ref="IE122:IE137" si="1796">IE121+1</f>
        <v>2</v>
      </c>
      <c r="IF122" s="300" t="str">
        <f t="shared" ref="IF122:IH122" si="1736">IFERROR(VLOOKUP($R122,$A$13:$D$30,-IF$12,FALSE),"")</f>
        <v>Bijih  Perak</v>
      </c>
      <c r="IG122" s="301" t="str">
        <f t="shared" si="1736"/>
        <v>Bijih </v>
      </c>
      <c r="IH122" s="301" t="str">
        <f t="shared" si="1736"/>
        <v>Kg</v>
      </c>
      <c r="II122" s="294"/>
      <c r="IJ122" s="294" t="str">
        <f t="shared" si="1737"/>
        <v/>
      </c>
      <c r="IK122" s="294">
        <f t="shared" si="1738"/>
        <v>0</v>
      </c>
      <c r="IL122" s="302"/>
      <c r="IM122" s="294">
        <f t="shared" si="1739"/>
        <v>0</v>
      </c>
      <c r="IN122" s="410"/>
      <c r="IO122" s="96"/>
      <c r="IP122" s="96"/>
      <c r="IQ122" s="294">
        <f t="shared" si="1740"/>
        <v>0</v>
      </c>
      <c r="IR122" s="302">
        <f t="shared" si="1741"/>
        <v>0.4604471269</v>
      </c>
      <c r="IS122" s="303">
        <f t="shared" si="1742"/>
        <v>0</v>
      </c>
      <c r="IT122" s="304">
        <f t="shared" si="1743"/>
        <v>0</v>
      </c>
      <c r="IU122" s="297"/>
      <c r="IV122" s="299">
        <f t="shared" ref="IV122:IV137" si="1798">IV121+1</f>
        <v>2</v>
      </c>
      <c r="IW122" s="300" t="str">
        <f t="shared" ref="IW122:IY122" si="1744">IFERROR(VLOOKUP($R122,$A$13:$D$30,-IW$12,FALSE),"")</f>
        <v>Bijih  Perak</v>
      </c>
      <c r="IX122" s="301" t="str">
        <f t="shared" si="1744"/>
        <v>Bijih </v>
      </c>
      <c r="IY122" s="301" t="str">
        <f t="shared" si="1744"/>
        <v>Kg</v>
      </c>
      <c r="IZ122" s="294"/>
      <c r="JA122" s="294" t="str">
        <f t="shared" si="1745"/>
        <v/>
      </c>
      <c r="JB122" s="294">
        <f t="shared" si="1746"/>
        <v>0</v>
      </c>
      <c r="JC122" s="302"/>
      <c r="JD122" s="294">
        <f t="shared" si="1747"/>
        <v>0</v>
      </c>
      <c r="JE122" s="410"/>
      <c r="JF122" s="96"/>
      <c r="JG122" s="96"/>
      <c r="JH122" s="294">
        <f t="shared" si="1748"/>
        <v>0</v>
      </c>
      <c r="JI122" s="302">
        <f t="shared" si="1749"/>
        <v>0.4604471269</v>
      </c>
      <c r="JJ122" s="303">
        <f t="shared" si="1750"/>
        <v>0</v>
      </c>
      <c r="JK122" s="304">
        <f t="shared" si="1751"/>
        <v>0</v>
      </c>
      <c r="JL122" s="297"/>
      <c r="JM122" s="299">
        <f t="shared" ref="JM122:JM137" si="1800">JM121+1</f>
        <v>2</v>
      </c>
      <c r="JN122" s="300" t="str">
        <f t="shared" ref="JN122:JP122" si="1752">IFERROR(VLOOKUP($R122,$A$13:$D$30,-JN$12,FALSE),"")</f>
        <v>Bijih  Perak</v>
      </c>
      <c r="JO122" s="301" t="str">
        <f t="shared" si="1752"/>
        <v>Bijih </v>
      </c>
      <c r="JP122" s="301" t="str">
        <f t="shared" si="1752"/>
        <v>Kg</v>
      </c>
      <c r="JQ122" s="294"/>
      <c r="JR122" s="294" t="str">
        <f t="shared" si="1753"/>
        <v/>
      </c>
      <c r="JS122" s="294">
        <f t="shared" si="1754"/>
        <v>0</v>
      </c>
      <c r="JT122" s="302"/>
      <c r="JU122" s="294">
        <f t="shared" si="1755"/>
        <v>0</v>
      </c>
      <c r="JV122" s="410"/>
      <c r="JW122" s="96"/>
      <c r="JX122" s="96"/>
      <c r="JY122" s="294">
        <f t="shared" si="1756"/>
        <v>0</v>
      </c>
      <c r="JZ122" s="302">
        <f t="shared" si="1757"/>
        <v>0.4604471269</v>
      </c>
      <c r="KA122" s="303">
        <f t="shared" si="1758"/>
        <v>0</v>
      </c>
      <c r="KB122" s="304">
        <f t="shared" si="1759"/>
        <v>0</v>
      </c>
      <c r="KC122" s="297"/>
      <c r="KD122" s="299">
        <f t="shared" ref="KD122:KD137" si="1802">KD121+1</f>
        <v>2</v>
      </c>
      <c r="KE122" s="300" t="str">
        <f t="shared" ref="KE122:KG122" si="1760">IFERROR(VLOOKUP($R122,$A$13:$D$30,-KE$12,FALSE),"")</f>
        <v>Bijih  Perak</v>
      </c>
      <c r="KF122" s="301" t="str">
        <f t="shared" si="1760"/>
        <v>Bijih </v>
      </c>
      <c r="KG122" s="301" t="str">
        <f t="shared" si="1760"/>
        <v>Kg</v>
      </c>
      <c r="KH122" s="294"/>
      <c r="KI122" s="294" t="str">
        <f t="shared" si="1761"/>
        <v/>
      </c>
      <c r="KJ122" s="294">
        <f t="shared" si="1762"/>
        <v>0</v>
      </c>
      <c r="KK122" s="302"/>
      <c r="KL122" s="294">
        <f t="shared" si="1763"/>
        <v>0</v>
      </c>
      <c r="KM122" s="410"/>
      <c r="KN122" s="96"/>
      <c r="KO122" s="96"/>
      <c r="KP122" s="294">
        <f t="shared" si="1764"/>
        <v>0</v>
      </c>
      <c r="KQ122" s="302">
        <f t="shared" si="1765"/>
        <v>0.4604471269</v>
      </c>
      <c r="KR122" s="303">
        <f t="shared" si="1766"/>
        <v>0</v>
      </c>
      <c r="KS122" s="304">
        <f t="shared" si="1767"/>
        <v>0</v>
      </c>
      <c r="KT122" s="297"/>
      <c r="KU122" s="298"/>
    </row>
    <row r="123" ht="15.75" customHeight="1">
      <c r="A123" s="299">
        <f t="shared" si="1768"/>
        <v>3</v>
      </c>
      <c r="B123" s="300" t="str">
        <f t="shared" ref="B123:D123" si="1769">IFERROR(VLOOKUP($A123,$A$13:$D$30,-B$12,FALSE),"")</f>
        <v>Tembaga</v>
      </c>
      <c r="C123" s="301" t="str">
        <f t="shared" si="1769"/>
        <v>Bijih </v>
      </c>
      <c r="D123" s="301" t="str">
        <f t="shared" si="1769"/>
        <v>Ton </v>
      </c>
      <c r="E123" s="294"/>
      <c r="F123" s="294" t="str">
        <f t="shared" si="1625"/>
        <v/>
      </c>
      <c r="G123" s="294">
        <f t="shared" si="1626"/>
        <v>0</v>
      </c>
      <c r="H123" s="302"/>
      <c r="I123" s="294">
        <f t="shared" si="1627"/>
        <v>0</v>
      </c>
      <c r="J123" s="410"/>
      <c r="K123" s="96"/>
      <c r="L123" s="96"/>
      <c r="M123" s="294">
        <f t="shared" si="1628"/>
        <v>0</v>
      </c>
      <c r="N123" s="302">
        <f t="shared" si="1629"/>
        <v>0.4604471269</v>
      </c>
      <c r="O123" s="303">
        <f t="shared" si="1630"/>
        <v>0</v>
      </c>
      <c r="P123" s="304">
        <f t="shared" si="1631"/>
        <v>0</v>
      </c>
      <c r="Q123" s="297"/>
      <c r="R123" s="299">
        <f t="shared" si="1770"/>
        <v>3</v>
      </c>
      <c r="S123" s="300" t="str">
        <f t="shared" ref="S123:U123" si="1771">IFERROR(VLOOKUP($R123,$A$13:$D$30,-S$12,FALSE),"")</f>
        <v>Tembaga</v>
      </c>
      <c r="T123" s="301" t="str">
        <f t="shared" si="1771"/>
        <v>Bijih </v>
      </c>
      <c r="U123" s="301" t="str">
        <f t="shared" si="1771"/>
        <v>Ton </v>
      </c>
      <c r="V123" s="294"/>
      <c r="W123" s="294" t="str">
        <f t="shared" si="1633"/>
        <v/>
      </c>
      <c r="X123" s="294">
        <f t="shared" si="1634"/>
        <v>0</v>
      </c>
      <c r="Y123" s="302"/>
      <c r="Z123" s="294">
        <f t="shared" si="1635"/>
        <v>0</v>
      </c>
      <c r="AA123" s="410"/>
      <c r="AB123" s="96"/>
      <c r="AC123" s="96"/>
      <c r="AD123" s="294">
        <f t="shared" si="1636"/>
        <v>0</v>
      </c>
      <c r="AE123" s="302">
        <f t="shared" si="1637"/>
        <v>0.4604471269</v>
      </c>
      <c r="AF123" s="303">
        <f t="shared" si="1638"/>
        <v>0</v>
      </c>
      <c r="AG123" s="304">
        <f t="shared" si="1639"/>
        <v>0</v>
      </c>
      <c r="AH123" s="297"/>
      <c r="AI123" s="299">
        <f t="shared" si="1772"/>
        <v>3</v>
      </c>
      <c r="AJ123" s="300" t="str">
        <f t="shared" ref="AJ123:AL123" si="1773">IFERROR(VLOOKUP($R123,$A$13:$D$30,-AJ$12,FALSE),"")</f>
        <v>Tembaga</v>
      </c>
      <c r="AK123" s="301" t="str">
        <f t="shared" si="1773"/>
        <v>Bijih </v>
      </c>
      <c r="AL123" s="301" t="str">
        <f t="shared" si="1773"/>
        <v>Ton </v>
      </c>
      <c r="AM123" s="294"/>
      <c r="AN123" s="294" t="str">
        <f t="shared" si="1641"/>
        <v/>
      </c>
      <c r="AO123" s="294">
        <f t="shared" si="1642"/>
        <v>0</v>
      </c>
      <c r="AP123" s="302"/>
      <c r="AQ123" s="294">
        <f t="shared" si="1643"/>
        <v>0</v>
      </c>
      <c r="AR123" s="410"/>
      <c r="AS123" s="96"/>
      <c r="AT123" s="96"/>
      <c r="AU123" s="294">
        <f t="shared" si="1644"/>
        <v>0</v>
      </c>
      <c r="AV123" s="302">
        <f t="shared" si="1645"/>
        <v>0.4604471269</v>
      </c>
      <c r="AW123" s="303">
        <f t="shared" si="1646"/>
        <v>0</v>
      </c>
      <c r="AX123" s="304">
        <f t="shared" si="1647"/>
        <v>0</v>
      </c>
      <c r="AY123" s="297"/>
      <c r="AZ123" s="299">
        <f t="shared" si="1774"/>
        <v>3</v>
      </c>
      <c r="BA123" s="300" t="str">
        <f t="shared" ref="BA123:BC123" si="1775">IFERROR(VLOOKUP($R123,$A$13:$D$30,-BA$12,FALSE),"")</f>
        <v>Tembaga</v>
      </c>
      <c r="BB123" s="301" t="str">
        <f t="shared" si="1775"/>
        <v>Bijih </v>
      </c>
      <c r="BC123" s="301" t="str">
        <f t="shared" si="1775"/>
        <v>Ton </v>
      </c>
      <c r="BD123" s="294"/>
      <c r="BE123" s="294" t="str">
        <f t="shared" si="1649"/>
        <v/>
      </c>
      <c r="BF123" s="294">
        <f t="shared" si="1650"/>
        <v>0</v>
      </c>
      <c r="BG123" s="302"/>
      <c r="BH123" s="294">
        <f t="shared" si="1651"/>
        <v>0</v>
      </c>
      <c r="BI123" s="410"/>
      <c r="BJ123" s="96"/>
      <c r="BK123" s="96"/>
      <c r="BL123" s="294">
        <f t="shared" si="1652"/>
        <v>0</v>
      </c>
      <c r="BM123" s="302">
        <f t="shared" si="1653"/>
        <v>0.4604471269</v>
      </c>
      <c r="BN123" s="303">
        <f t="shared" si="1654"/>
        <v>0</v>
      </c>
      <c r="BO123" s="304">
        <f t="shared" si="1655"/>
        <v>0</v>
      </c>
      <c r="BP123" s="297"/>
      <c r="BQ123" s="299">
        <f t="shared" si="1776"/>
        <v>3</v>
      </c>
      <c r="BR123" s="300" t="str">
        <f t="shared" ref="BR123:BT123" si="1777">IFERROR(VLOOKUP($R123,$A$13:$D$30,-BR$12,FALSE),"")</f>
        <v>Tembaga</v>
      </c>
      <c r="BS123" s="301" t="str">
        <f t="shared" si="1777"/>
        <v>Bijih </v>
      </c>
      <c r="BT123" s="301" t="str">
        <f t="shared" si="1777"/>
        <v>Ton </v>
      </c>
      <c r="BU123" s="294"/>
      <c r="BV123" s="294" t="str">
        <f t="shared" si="1657"/>
        <v/>
      </c>
      <c r="BW123" s="294">
        <f t="shared" si="1658"/>
        <v>0</v>
      </c>
      <c r="BX123" s="302"/>
      <c r="BY123" s="294">
        <f t="shared" si="1659"/>
        <v>0</v>
      </c>
      <c r="BZ123" s="410"/>
      <c r="CA123" s="96"/>
      <c r="CB123" s="96"/>
      <c r="CC123" s="294">
        <f t="shared" si="1660"/>
        <v>0</v>
      </c>
      <c r="CD123" s="302">
        <f t="shared" si="1661"/>
        <v>0.4604471269</v>
      </c>
      <c r="CE123" s="303">
        <f t="shared" si="1662"/>
        <v>0</v>
      </c>
      <c r="CF123" s="304">
        <f t="shared" si="1663"/>
        <v>0</v>
      </c>
      <c r="CG123" s="297"/>
      <c r="CH123" s="299">
        <f t="shared" si="1778"/>
        <v>3</v>
      </c>
      <c r="CI123" s="300" t="str">
        <f t="shared" ref="CI123:CK123" si="1779">IFERROR(VLOOKUP($R123,$A$13:$D$30,-CI$12,FALSE),"")</f>
        <v>Tembaga</v>
      </c>
      <c r="CJ123" s="301" t="str">
        <f t="shared" si="1779"/>
        <v>Bijih </v>
      </c>
      <c r="CK123" s="301" t="str">
        <f t="shared" si="1779"/>
        <v>Ton </v>
      </c>
      <c r="CL123" s="294"/>
      <c r="CM123" s="294" t="str">
        <f t="shared" si="1665"/>
        <v/>
      </c>
      <c r="CN123" s="294">
        <f t="shared" si="1666"/>
        <v>0</v>
      </c>
      <c r="CO123" s="302"/>
      <c r="CP123" s="294">
        <f t="shared" si="1667"/>
        <v>0</v>
      </c>
      <c r="CQ123" s="410"/>
      <c r="CR123" s="96"/>
      <c r="CS123" s="96"/>
      <c r="CT123" s="294">
        <f t="shared" si="1668"/>
        <v>0</v>
      </c>
      <c r="CU123" s="302">
        <f t="shared" si="1669"/>
        <v>0.4604471269</v>
      </c>
      <c r="CV123" s="303">
        <f t="shared" si="1670"/>
        <v>0</v>
      </c>
      <c r="CW123" s="304">
        <f t="shared" si="1671"/>
        <v>0</v>
      </c>
      <c r="CX123" s="297"/>
      <c r="CY123" s="299">
        <f t="shared" si="1780"/>
        <v>3</v>
      </c>
      <c r="CZ123" s="300" t="str">
        <f t="shared" ref="CZ123:DB123" si="1781">IFERROR(VLOOKUP($R123,$A$13:$D$30,-CZ$12,FALSE),"")</f>
        <v>Tembaga</v>
      </c>
      <c r="DA123" s="301" t="str">
        <f t="shared" si="1781"/>
        <v>Bijih </v>
      </c>
      <c r="DB123" s="301" t="str">
        <f t="shared" si="1781"/>
        <v>Ton </v>
      </c>
      <c r="DC123" s="294"/>
      <c r="DD123" s="294" t="str">
        <f t="shared" si="1673"/>
        <v/>
      </c>
      <c r="DE123" s="294">
        <f t="shared" si="1674"/>
        <v>0</v>
      </c>
      <c r="DF123" s="302"/>
      <c r="DG123" s="294">
        <f t="shared" si="1675"/>
        <v>0</v>
      </c>
      <c r="DH123" s="410"/>
      <c r="DI123" s="96"/>
      <c r="DJ123" s="96"/>
      <c r="DK123" s="294">
        <f t="shared" si="1676"/>
        <v>0</v>
      </c>
      <c r="DL123" s="302">
        <f t="shared" si="1677"/>
        <v>0.4604471269</v>
      </c>
      <c r="DM123" s="303">
        <f t="shared" si="1678"/>
        <v>0</v>
      </c>
      <c r="DN123" s="304">
        <f t="shared" si="1679"/>
        <v>0</v>
      </c>
      <c r="DO123" s="297"/>
      <c r="DP123" s="299">
        <f t="shared" si="1782"/>
        <v>3</v>
      </c>
      <c r="DQ123" s="300" t="str">
        <f t="shared" ref="DQ123:DS123" si="1783">IFERROR(VLOOKUP($R123,$A$13:$D$30,-DQ$12,FALSE),"")</f>
        <v>Tembaga</v>
      </c>
      <c r="DR123" s="301" t="str">
        <f t="shared" si="1783"/>
        <v>Bijih </v>
      </c>
      <c r="DS123" s="301" t="str">
        <f t="shared" si="1783"/>
        <v>Ton </v>
      </c>
      <c r="DT123" s="294"/>
      <c r="DU123" s="294" t="str">
        <f t="shared" si="1681"/>
        <v/>
      </c>
      <c r="DV123" s="294">
        <f t="shared" si="1682"/>
        <v>0</v>
      </c>
      <c r="DW123" s="302"/>
      <c r="DX123" s="294">
        <f t="shared" si="1683"/>
        <v>0</v>
      </c>
      <c r="DY123" s="410"/>
      <c r="DZ123" s="96"/>
      <c r="EA123" s="96"/>
      <c r="EB123" s="294">
        <f t="shared" si="1684"/>
        <v>0</v>
      </c>
      <c r="EC123" s="302">
        <f t="shared" si="1685"/>
        <v>0.4604471269</v>
      </c>
      <c r="ED123" s="303">
        <f t="shared" si="1686"/>
        <v>0</v>
      </c>
      <c r="EE123" s="304">
        <f t="shared" si="1687"/>
        <v>0</v>
      </c>
      <c r="EF123" s="297"/>
      <c r="EG123" s="299">
        <f t="shared" si="1784"/>
        <v>3</v>
      </c>
      <c r="EH123" s="300" t="str">
        <f t="shared" ref="EH123:EJ123" si="1785">IFERROR(VLOOKUP($R123,$A$13:$D$30,-EH$12,FALSE),"")</f>
        <v>Tembaga</v>
      </c>
      <c r="EI123" s="301" t="str">
        <f t="shared" si="1785"/>
        <v>Bijih </v>
      </c>
      <c r="EJ123" s="301" t="str">
        <f t="shared" si="1785"/>
        <v>Ton </v>
      </c>
      <c r="EK123" s="294"/>
      <c r="EL123" s="294" t="str">
        <f t="shared" si="1689"/>
        <v/>
      </c>
      <c r="EM123" s="294">
        <f t="shared" si="1690"/>
        <v>0</v>
      </c>
      <c r="EN123" s="302"/>
      <c r="EO123" s="294">
        <f t="shared" si="1691"/>
        <v>0</v>
      </c>
      <c r="EP123" s="410"/>
      <c r="EQ123" s="96"/>
      <c r="ER123" s="96"/>
      <c r="ES123" s="294">
        <f t="shared" si="1692"/>
        <v>0</v>
      </c>
      <c r="ET123" s="302">
        <f t="shared" si="1693"/>
        <v>0.4604471269</v>
      </c>
      <c r="EU123" s="303">
        <f t="shared" si="1694"/>
        <v>0</v>
      </c>
      <c r="EV123" s="304">
        <f t="shared" si="1695"/>
        <v>0</v>
      </c>
      <c r="EW123" s="297"/>
      <c r="EX123" s="299">
        <f t="shared" si="1786"/>
        <v>3</v>
      </c>
      <c r="EY123" s="300" t="str">
        <f t="shared" ref="EY123:FA123" si="1787">IFERROR(VLOOKUP($R123,$A$13:$D$30,-EY$12,FALSE),"")</f>
        <v>Tembaga</v>
      </c>
      <c r="EZ123" s="301" t="str">
        <f t="shared" si="1787"/>
        <v>Bijih </v>
      </c>
      <c r="FA123" s="301" t="str">
        <f t="shared" si="1787"/>
        <v>Ton </v>
      </c>
      <c r="FB123" s="294"/>
      <c r="FC123" s="294" t="str">
        <f t="shared" si="1697"/>
        <v/>
      </c>
      <c r="FD123" s="294">
        <f t="shared" si="1698"/>
        <v>0</v>
      </c>
      <c r="FE123" s="302"/>
      <c r="FF123" s="294">
        <f t="shared" si="1699"/>
        <v>0</v>
      </c>
      <c r="FG123" s="410"/>
      <c r="FH123" s="96"/>
      <c r="FI123" s="96"/>
      <c r="FJ123" s="294">
        <f t="shared" si="1700"/>
        <v>0</v>
      </c>
      <c r="FK123" s="302">
        <f t="shared" si="1701"/>
        <v>0.4604471269</v>
      </c>
      <c r="FL123" s="303">
        <f t="shared" si="1702"/>
        <v>0</v>
      </c>
      <c r="FM123" s="304">
        <f t="shared" si="1703"/>
        <v>0</v>
      </c>
      <c r="FN123" s="297"/>
      <c r="FO123" s="299">
        <f t="shared" si="1788"/>
        <v>3</v>
      </c>
      <c r="FP123" s="300" t="str">
        <f t="shared" ref="FP123:FR123" si="1789">IFERROR(VLOOKUP($R123,$A$13:$D$30,-FP$12,FALSE),"")</f>
        <v>Tembaga</v>
      </c>
      <c r="FQ123" s="301" t="str">
        <f t="shared" si="1789"/>
        <v>Bijih </v>
      </c>
      <c r="FR123" s="301" t="str">
        <f t="shared" si="1789"/>
        <v>Ton </v>
      </c>
      <c r="FS123" s="294"/>
      <c r="FT123" s="294" t="str">
        <f t="shared" si="1705"/>
        <v/>
      </c>
      <c r="FU123" s="294">
        <f t="shared" si="1706"/>
        <v>0</v>
      </c>
      <c r="FV123" s="302"/>
      <c r="FW123" s="294">
        <f t="shared" si="1707"/>
        <v>0</v>
      </c>
      <c r="FX123" s="410"/>
      <c r="FY123" s="96"/>
      <c r="FZ123" s="96"/>
      <c r="GA123" s="294">
        <f t="shared" si="1708"/>
        <v>0</v>
      </c>
      <c r="GB123" s="302">
        <f t="shared" si="1709"/>
        <v>0.4604471269</v>
      </c>
      <c r="GC123" s="303">
        <f t="shared" si="1710"/>
        <v>0</v>
      </c>
      <c r="GD123" s="304">
        <f t="shared" si="1711"/>
        <v>0</v>
      </c>
      <c r="GE123" s="297"/>
      <c r="GF123" s="299">
        <f t="shared" si="1790"/>
        <v>3</v>
      </c>
      <c r="GG123" s="300" t="str">
        <f t="shared" ref="GG123:GI123" si="1791">IFERROR(VLOOKUP($R123,$A$13:$D$30,-GG$12,FALSE),"")</f>
        <v>Tembaga</v>
      </c>
      <c r="GH123" s="301" t="str">
        <f t="shared" si="1791"/>
        <v>Bijih </v>
      </c>
      <c r="GI123" s="301" t="str">
        <f t="shared" si="1791"/>
        <v>Ton </v>
      </c>
      <c r="GJ123" s="294"/>
      <c r="GK123" s="294" t="str">
        <f t="shared" si="1713"/>
        <v/>
      </c>
      <c r="GL123" s="294">
        <f t="shared" si="1714"/>
        <v>0</v>
      </c>
      <c r="GM123" s="302"/>
      <c r="GN123" s="294">
        <f t="shared" si="1715"/>
        <v>0</v>
      </c>
      <c r="GO123" s="410"/>
      <c r="GP123" s="96"/>
      <c r="GQ123" s="96"/>
      <c r="GR123" s="294">
        <f t="shared" si="1716"/>
        <v>0</v>
      </c>
      <c r="GS123" s="302">
        <f t="shared" si="1717"/>
        <v>0.4604471269</v>
      </c>
      <c r="GT123" s="303">
        <f t="shared" si="1718"/>
        <v>0</v>
      </c>
      <c r="GU123" s="304">
        <f t="shared" si="1719"/>
        <v>0</v>
      </c>
      <c r="GV123" s="297"/>
      <c r="GW123" s="299">
        <f t="shared" si="1792"/>
        <v>3</v>
      </c>
      <c r="GX123" s="300" t="str">
        <f t="shared" ref="GX123:GZ123" si="1793">IFERROR(VLOOKUP($R123,$A$13:$D$30,-GX$12,FALSE),"")</f>
        <v>Tembaga</v>
      </c>
      <c r="GY123" s="301" t="str">
        <f t="shared" si="1793"/>
        <v>Bijih </v>
      </c>
      <c r="GZ123" s="301" t="str">
        <f t="shared" si="1793"/>
        <v>Ton </v>
      </c>
      <c r="HA123" s="294"/>
      <c r="HB123" s="294" t="str">
        <f t="shared" si="1721"/>
        <v/>
      </c>
      <c r="HC123" s="294">
        <f t="shared" si="1722"/>
        <v>0</v>
      </c>
      <c r="HD123" s="302"/>
      <c r="HE123" s="294">
        <f t="shared" si="1723"/>
        <v>0</v>
      </c>
      <c r="HF123" s="410"/>
      <c r="HG123" s="96"/>
      <c r="HH123" s="96"/>
      <c r="HI123" s="294">
        <f t="shared" si="1724"/>
        <v>0</v>
      </c>
      <c r="HJ123" s="302">
        <f t="shared" si="1725"/>
        <v>0.4604471269</v>
      </c>
      <c r="HK123" s="303">
        <f t="shared" si="1726"/>
        <v>0</v>
      </c>
      <c r="HL123" s="304">
        <f t="shared" si="1727"/>
        <v>0</v>
      </c>
      <c r="HM123" s="297"/>
      <c r="HN123" s="299">
        <f t="shared" si="1794"/>
        <v>3</v>
      </c>
      <c r="HO123" s="300" t="str">
        <f t="shared" ref="HO123:HQ123" si="1795">IFERROR(VLOOKUP($R123,$A$13:$D$30,-HO$12,FALSE),"")</f>
        <v>Tembaga</v>
      </c>
      <c r="HP123" s="301" t="str">
        <f t="shared" si="1795"/>
        <v>Bijih </v>
      </c>
      <c r="HQ123" s="301" t="str">
        <f t="shared" si="1795"/>
        <v>Ton </v>
      </c>
      <c r="HR123" s="294"/>
      <c r="HS123" s="294" t="str">
        <f t="shared" si="1729"/>
        <v/>
      </c>
      <c r="HT123" s="294">
        <f t="shared" si="1730"/>
        <v>0</v>
      </c>
      <c r="HU123" s="302"/>
      <c r="HV123" s="294">
        <f t="shared" si="1731"/>
        <v>0</v>
      </c>
      <c r="HW123" s="410"/>
      <c r="HX123" s="96"/>
      <c r="HY123" s="96"/>
      <c r="HZ123" s="294">
        <f t="shared" si="1732"/>
        <v>0</v>
      </c>
      <c r="IA123" s="302">
        <f t="shared" si="1733"/>
        <v>0.4604471269</v>
      </c>
      <c r="IB123" s="303">
        <f t="shared" si="1734"/>
        <v>0</v>
      </c>
      <c r="IC123" s="304">
        <f t="shared" si="1735"/>
        <v>0</v>
      </c>
      <c r="ID123" s="297"/>
      <c r="IE123" s="299">
        <f t="shared" si="1796"/>
        <v>3</v>
      </c>
      <c r="IF123" s="300" t="str">
        <f t="shared" ref="IF123:IH123" si="1797">IFERROR(VLOOKUP($R123,$A$13:$D$30,-IF$12,FALSE),"")</f>
        <v>Tembaga</v>
      </c>
      <c r="IG123" s="301" t="str">
        <f t="shared" si="1797"/>
        <v>Bijih </v>
      </c>
      <c r="IH123" s="301" t="str">
        <f t="shared" si="1797"/>
        <v>Ton </v>
      </c>
      <c r="II123" s="294"/>
      <c r="IJ123" s="294" t="str">
        <f t="shared" si="1737"/>
        <v/>
      </c>
      <c r="IK123" s="294">
        <f t="shared" si="1738"/>
        <v>0</v>
      </c>
      <c r="IL123" s="302"/>
      <c r="IM123" s="294">
        <f t="shared" si="1739"/>
        <v>0</v>
      </c>
      <c r="IN123" s="410"/>
      <c r="IO123" s="96"/>
      <c r="IP123" s="96"/>
      <c r="IQ123" s="294">
        <f t="shared" si="1740"/>
        <v>0</v>
      </c>
      <c r="IR123" s="302">
        <f t="shared" si="1741"/>
        <v>0.4604471269</v>
      </c>
      <c r="IS123" s="303">
        <f t="shared" si="1742"/>
        <v>0</v>
      </c>
      <c r="IT123" s="304">
        <f t="shared" si="1743"/>
        <v>0</v>
      </c>
      <c r="IU123" s="297"/>
      <c r="IV123" s="299">
        <f t="shared" si="1798"/>
        <v>3</v>
      </c>
      <c r="IW123" s="300" t="str">
        <f t="shared" ref="IW123:IY123" si="1799">IFERROR(VLOOKUP($R123,$A$13:$D$30,-IW$12,FALSE),"")</f>
        <v>Tembaga</v>
      </c>
      <c r="IX123" s="301" t="str">
        <f t="shared" si="1799"/>
        <v>Bijih </v>
      </c>
      <c r="IY123" s="301" t="str">
        <f t="shared" si="1799"/>
        <v>Ton </v>
      </c>
      <c r="IZ123" s="294"/>
      <c r="JA123" s="294" t="str">
        <f t="shared" si="1745"/>
        <v/>
      </c>
      <c r="JB123" s="294">
        <f t="shared" si="1746"/>
        <v>0</v>
      </c>
      <c r="JC123" s="302"/>
      <c r="JD123" s="294">
        <f t="shared" si="1747"/>
        <v>0</v>
      </c>
      <c r="JE123" s="410"/>
      <c r="JF123" s="96"/>
      <c r="JG123" s="96"/>
      <c r="JH123" s="294">
        <f t="shared" si="1748"/>
        <v>0</v>
      </c>
      <c r="JI123" s="302">
        <f t="shared" si="1749"/>
        <v>0.4604471269</v>
      </c>
      <c r="JJ123" s="303">
        <f t="shared" si="1750"/>
        <v>0</v>
      </c>
      <c r="JK123" s="304">
        <f t="shared" si="1751"/>
        <v>0</v>
      </c>
      <c r="JL123" s="297"/>
      <c r="JM123" s="299">
        <f t="shared" si="1800"/>
        <v>3</v>
      </c>
      <c r="JN123" s="300" t="str">
        <f t="shared" ref="JN123:JP123" si="1801">IFERROR(VLOOKUP($R123,$A$13:$D$30,-JN$12,FALSE),"")</f>
        <v>Tembaga</v>
      </c>
      <c r="JO123" s="301" t="str">
        <f t="shared" si="1801"/>
        <v>Bijih </v>
      </c>
      <c r="JP123" s="301" t="str">
        <f t="shared" si="1801"/>
        <v>Ton </v>
      </c>
      <c r="JQ123" s="294"/>
      <c r="JR123" s="294" t="str">
        <f t="shared" si="1753"/>
        <v/>
      </c>
      <c r="JS123" s="294">
        <f t="shared" si="1754"/>
        <v>0</v>
      </c>
      <c r="JT123" s="302"/>
      <c r="JU123" s="294">
        <f t="shared" si="1755"/>
        <v>0</v>
      </c>
      <c r="JV123" s="410"/>
      <c r="JW123" s="96"/>
      <c r="JX123" s="96"/>
      <c r="JY123" s="294">
        <f t="shared" si="1756"/>
        <v>0</v>
      </c>
      <c r="JZ123" s="302">
        <f t="shared" si="1757"/>
        <v>0.4604471269</v>
      </c>
      <c r="KA123" s="303">
        <f t="shared" si="1758"/>
        <v>0</v>
      </c>
      <c r="KB123" s="304">
        <f t="shared" si="1759"/>
        <v>0</v>
      </c>
      <c r="KC123" s="297"/>
      <c r="KD123" s="299">
        <f t="shared" si="1802"/>
        <v>3</v>
      </c>
      <c r="KE123" s="300" t="str">
        <f t="shared" ref="KE123:KG123" si="1803">IFERROR(VLOOKUP($R123,$A$13:$D$30,-KE$12,FALSE),"")</f>
        <v>Tembaga</v>
      </c>
      <c r="KF123" s="301" t="str">
        <f t="shared" si="1803"/>
        <v>Bijih </v>
      </c>
      <c r="KG123" s="301" t="str">
        <f t="shared" si="1803"/>
        <v>Ton </v>
      </c>
      <c r="KH123" s="294"/>
      <c r="KI123" s="294" t="str">
        <f t="shared" si="1761"/>
        <v/>
      </c>
      <c r="KJ123" s="294">
        <f t="shared" si="1762"/>
        <v>0</v>
      </c>
      <c r="KK123" s="302"/>
      <c r="KL123" s="294">
        <f t="shared" si="1763"/>
        <v>0</v>
      </c>
      <c r="KM123" s="410"/>
      <c r="KN123" s="96"/>
      <c r="KO123" s="96"/>
      <c r="KP123" s="294">
        <f t="shared" si="1764"/>
        <v>0</v>
      </c>
      <c r="KQ123" s="302">
        <f t="shared" si="1765"/>
        <v>0.4604471269</v>
      </c>
      <c r="KR123" s="303">
        <f t="shared" si="1766"/>
        <v>0</v>
      </c>
      <c r="KS123" s="304">
        <f t="shared" si="1767"/>
        <v>0</v>
      </c>
      <c r="KT123" s="297"/>
      <c r="KU123" s="298"/>
    </row>
    <row r="124" ht="15.75" customHeight="1">
      <c r="A124" s="299">
        <f t="shared" si="1768"/>
        <v>4</v>
      </c>
      <c r="B124" s="300" t="str">
        <f t="shared" ref="B124:D124" si="1804">IFERROR(VLOOKUP($A124,$A$13:$D$30,-B$12,FALSE),"")</f>
        <v>Bauksit </v>
      </c>
      <c r="C124" s="301" t="str">
        <f t="shared" si="1804"/>
        <v>Bijih </v>
      </c>
      <c r="D124" s="301" t="str">
        <f t="shared" si="1804"/>
        <v>Ton </v>
      </c>
      <c r="E124" s="294"/>
      <c r="F124" s="294" t="str">
        <f t="shared" si="1625"/>
        <v/>
      </c>
      <c r="G124" s="294">
        <f t="shared" si="1626"/>
        <v>0</v>
      </c>
      <c r="H124" s="302"/>
      <c r="I124" s="294">
        <f t="shared" si="1627"/>
        <v>0</v>
      </c>
      <c r="J124" s="410"/>
      <c r="K124" s="96"/>
      <c r="L124" s="96"/>
      <c r="M124" s="294">
        <f t="shared" si="1628"/>
        <v>0</v>
      </c>
      <c r="N124" s="302">
        <f t="shared" si="1629"/>
        <v>0.4604471269</v>
      </c>
      <c r="O124" s="303">
        <f t="shared" si="1630"/>
        <v>0</v>
      </c>
      <c r="P124" s="304">
        <f t="shared" si="1631"/>
        <v>0</v>
      </c>
      <c r="Q124" s="297"/>
      <c r="R124" s="299">
        <f t="shared" si="1770"/>
        <v>4</v>
      </c>
      <c r="S124" s="300" t="str">
        <f t="shared" ref="S124:U124" si="1805">IFERROR(VLOOKUP($R124,$A$13:$D$30,-S$12,FALSE),"")</f>
        <v>Bauksit </v>
      </c>
      <c r="T124" s="301" t="str">
        <f t="shared" si="1805"/>
        <v>Bijih </v>
      </c>
      <c r="U124" s="301" t="str">
        <f t="shared" si="1805"/>
        <v>Ton </v>
      </c>
      <c r="V124" s="294"/>
      <c r="W124" s="294" t="str">
        <f t="shared" si="1633"/>
        <v/>
      </c>
      <c r="X124" s="294">
        <f t="shared" si="1634"/>
        <v>0</v>
      </c>
      <c r="Y124" s="302"/>
      <c r="Z124" s="294">
        <f t="shared" si="1635"/>
        <v>0</v>
      </c>
      <c r="AA124" s="410"/>
      <c r="AB124" s="96"/>
      <c r="AC124" s="96"/>
      <c r="AD124" s="294">
        <f t="shared" si="1636"/>
        <v>0</v>
      </c>
      <c r="AE124" s="302">
        <f t="shared" si="1637"/>
        <v>0.4604471269</v>
      </c>
      <c r="AF124" s="303">
        <f t="shared" si="1638"/>
        <v>0</v>
      </c>
      <c r="AG124" s="304">
        <f t="shared" si="1639"/>
        <v>0</v>
      </c>
      <c r="AH124" s="297"/>
      <c r="AI124" s="299">
        <f t="shared" si="1772"/>
        <v>4</v>
      </c>
      <c r="AJ124" s="300" t="str">
        <f t="shared" ref="AJ124:AL124" si="1806">IFERROR(VLOOKUP($R124,$A$13:$D$30,-AJ$12,FALSE),"")</f>
        <v>Bauksit </v>
      </c>
      <c r="AK124" s="301" t="str">
        <f t="shared" si="1806"/>
        <v>Bijih </v>
      </c>
      <c r="AL124" s="301" t="str">
        <f t="shared" si="1806"/>
        <v>Ton </v>
      </c>
      <c r="AM124" s="294"/>
      <c r="AN124" s="294" t="str">
        <f t="shared" si="1641"/>
        <v/>
      </c>
      <c r="AO124" s="294">
        <f t="shared" si="1642"/>
        <v>0</v>
      </c>
      <c r="AP124" s="302"/>
      <c r="AQ124" s="294">
        <f t="shared" si="1643"/>
        <v>0</v>
      </c>
      <c r="AR124" s="410"/>
      <c r="AS124" s="96"/>
      <c r="AT124" s="96"/>
      <c r="AU124" s="294">
        <f t="shared" si="1644"/>
        <v>0</v>
      </c>
      <c r="AV124" s="302">
        <f t="shared" si="1645"/>
        <v>0.4604471269</v>
      </c>
      <c r="AW124" s="303">
        <f t="shared" si="1646"/>
        <v>0</v>
      </c>
      <c r="AX124" s="304">
        <f t="shared" si="1647"/>
        <v>0</v>
      </c>
      <c r="AY124" s="297"/>
      <c r="AZ124" s="299">
        <f t="shared" si="1774"/>
        <v>4</v>
      </c>
      <c r="BA124" s="300" t="str">
        <f t="shared" ref="BA124:BC124" si="1807">IFERROR(VLOOKUP($R124,$A$13:$D$30,-BA$12,FALSE),"")</f>
        <v>Bauksit </v>
      </c>
      <c r="BB124" s="301" t="str">
        <f t="shared" si="1807"/>
        <v>Bijih </v>
      </c>
      <c r="BC124" s="301" t="str">
        <f t="shared" si="1807"/>
        <v>Ton </v>
      </c>
      <c r="BD124" s="294"/>
      <c r="BE124" s="294" t="str">
        <f t="shared" si="1649"/>
        <v/>
      </c>
      <c r="BF124" s="294">
        <f t="shared" si="1650"/>
        <v>0</v>
      </c>
      <c r="BG124" s="302"/>
      <c r="BH124" s="294">
        <f t="shared" si="1651"/>
        <v>0</v>
      </c>
      <c r="BI124" s="410"/>
      <c r="BJ124" s="96"/>
      <c r="BK124" s="96"/>
      <c r="BL124" s="294">
        <f t="shared" si="1652"/>
        <v>0</v>
      </c>
      <c r="BM124" s="302">
        <f t="shared" si="1653"/>
        <v>0.4604471269</v>
      </c>
      <c r="BN124" s="303">
        <f t="shared" si="1654"/>
        <v>0</v>
      </c>
      <c r="BO124" s="304">
        <f t="shared" si="1655"/>
        <v>0</v>
      </c>
      <c r="BP124" s="297"/>
      <c r="BQ124" s="299">
        <f t="shared" si="1776"/>
        <v>4</v>
      </c>
      <c r="BR124" s="300" t="str">
        <f t="shared" ref="BR124:BT124" si="1808">IFERROR(VLOOKUP($R124,$A$13:$D$30,-BR$12,FALSE),"")</f>
        <v>Bauksit </v>
      </c>
      <c r="BS124" s="301" t="str">
        <f t="shared" si="1808"/>
        <v>Bijih </v>
      </c>
      <c r="BT124" s="301" t="str">
        <f t="shared" si="1808"/>
        <v>Ton </v>
      </c>
      <c r="BU124" s="294"/>
      <c r="BV124" s="294" t="str">
        <f t="shared" si="1657"/>
        <v/>
      </c>
      <c r="BW124" s="294">
        <f t="shared" si="1658"/>
        <v>0</v>
      </c>
      <c r="BX124" s="302"/>
      <c r="BY124" s="294">
        <f t="shared" si="1659"/>
        <v>0</v>
      </c>
      <c r="BZ124" s="410"/>
      <c r="CA124" s="96"/>
      <c r="CB124" s="96"/>
      <c r="CC124" s="294">
        <f t="shared" si="1660"/>
        <v>0</v>
      </c>
      <c r="CD124" s="302">
        <f t="shared" si="1661"/>
        <v>0.4604471269</v>
      </c>
      <c r="CE124" s="303">
        <f t="shared" si="1662"/>
        <v>0</v>
      </c>
      <c r="CF124" s="304">
        <f t="shared" si="1663"/>
        <v>0</v>
      </c>
      <c r="CG124" s="297"/>
      <c r="CH124" s="299">
        <f t="shared" si="1778"/>
        <v>4</v>
      </c>
      <c r="CI124" s="300" t="str">
        <f t="shared" ref="CI124:CK124" si="1809">IFERROR(VLOOKUP($R124,$A$13:$D$30,-CI$12,FALSE),"")</f>
        <v>Bauksit </v>
      </c>
      <c r="CJ124" s="301" t="str">
        <f t="shared" si="1809"/>
        <v>Bijih </v>
      </c>
      <c r="CK124" s="301" t="str">
        <f t="shared" si="1809"/>
        <v>Ton </v>
      </c>
      <c r="CL124" s="294"/>
      <c r="CM124" s="294" t="str">
        <f t="shared" si="1665"/>
        <v/>
      </c>
      <c r="CN124" s="294">
        <f t="shared" si="1666"/>
        <v>0</v>
      </c>
      <c r="CO124" s="302"/>
      <c r="CP124" s="294">
        <f t="shared" si="1667"/>
        <v>0</v>
      </c>
      <c r="CQ124" s="410"/>
      <c r="CR124" s="96"/>
      <c r="CS124" s="96"/>
      <c r="CT124" s="294">
        <f t="shared" si="1668"/>
        <v>0</v>
      </c>
      <c r="CU124" s="302">
        <f t="shared" si="1669"/>
        <v>0.4604471269</v>
      </c>
      <c r="CV124" s="303">
        <f t="shared" si="1670"/>
        <v>0</v>
      </c>
      <c r="CW124" s="304">
        <f t="shared" si="1671"/>
        <v>0</v>
      </c>
      <c r="CX124" s="297"/>
      <c r="CY124" s="299">
        <f t="shared" si="1780"/>
        <v>4</v>
      </c>
      <c r="CZ124" s="300" t="str">
        <f t="shared" ref="CZ124:DB124" si="1810">IFERROR(VLOOKUP($R124,$A$13:$D$30,-CZ$12,FALSE),"")</f>
        <v>Bauksit </v>
      </c>
      <c r="DA124" s="301" t="str">
        <f t="shared" si="1810"/>
        <v>Bijih </v>
      </c>
      <c r="DB124" s="301" t="str">
        <f t="shared" si="1810"/>
        <v>Ton </v>
      </c>
      <c r="DC124" s="294"/>
      <c r="DD124" s="294" t="str">
        <f t="shared" si="1673"/>
        <v/>
      </c>
      <c r="DE124" s="294">
        <f t="shared" si="1674"/>
        <v>0</v>
      </c>
      <c r="DF124" s="302"/>
      <c r="DG124" s="294">
        <f t="shared" si="1675"/>
        <v>0</v>
      </c>
      <c r="DH124" s="410"/>
      <c r="DI124" s="96"/>
      <c r="DJ124" s="96"/>
      <c r="DK124" s="294">
        <f t="shared" si="1676"/>
        <v>0</v>
      </c>
      <c r="DL124" s="302">
        <f t="shared" si="1677"/>
        <v>0.4604471269</v>
      </c>
      <c r="DM124" s="303">
        <f t="shared" si="1678"/>
        <v>0</v>
      </c>
      <c r="DN124" s="304">
        <f t="shared" si="1679"/>
        <v>0</v>
      </c>
      <c r="DO124" s="297"/>
      <c r="DP124" s="299">
        <f t="shared" si="1782"/>
        <v>4</v>
      </c>
      <c r="DQ124" s="300" t="str">
        <f t="shared" ref="DQ124:DS124" si="1811">IFERROR(VLOOKUP($R124,$A$13:$D$30,-DQ$12,FALSE),"")</f>
        <v>Bauksit </v>
      </c>
      <c r="DR124" s="301" t="str">
        <f t="shared" si="1811"/>
        <v>Bijih </v>
      </c>
      <c r="DS124" s="301" t="str">
        <f t="shared" si="1811"/>
        <v>Ton </v>
      </c>
      <c r="DT124" s="294"/>
      <c r="DU124" s="294" t="str">
        <f t="shared" si="1681"/>
        <v/>
      </c>
      <c r="DV124" s="294">
        <f t="shared" si="1682"/>
        <v>0</v>
      </c>
      <c r="DW124" s="302"/>
      <c r="DX124" s="294">
        <f t="shared" si="1683"/>
        <v>0</v>
      </c>
      <c r="DY124" s="410"/>
      <c r="DZ124" s="96"/>
      <c r="EA124" s="96"/>
      <c r="EB124" s="294">
        <f t="shared" si="1684"/>
        <v>0</v>
      </c>
      <c r="EC124" s="302">
        <f t="shared" si="1685"/>
        <v>0.4604471269</v>
      </c>
      <c r="ED124" s="303">
        <f t="shared" si="1686"/>
        <v>0</v>
      </c>
      <c r="EE124" s="304">
        <f t="shared" si="1687"/>
        <v>0</v>
      </c>
      <c r="EF124" s="297"/>
      <c r="EG124" s="299">
        <f t="shared" si="1784"/>
        <v>4</v>
      </c>
      <c r="EH124" s="300" t="str">
        <f t="shared" ref="EH124:EJ124" si="1812">IFERROR(VLOOKUP($R124,$A$13:$D$30,-EH$12,FALSE),"")</f>
        <v>Bauksit </v>
      </c>
      <c r="EI124" s="301" t="str">
        <f t="shared" si="1812"/>
        <v>Bijih </v>
      </c>
      <c r="EJ124" s="301" t="str">
        <f t="shared" si="1812"/>
        <v>Ton </v>
      </c>
      <c r="EK124" s="294"/>
      <c r="EL124" s="294" t="str">
        <f t="shared" si="1689"/>
        <v/>
      </c>
      <c r="EM124" s="294">
        <f t="shared" si="1690"/>
        <v>0</v>
      </c>
      <c r="EN124" s="302"/>
      <c r="EO124" s="294">
        <f t="shared" si="1691"/>
        <v>0</v>
      </c>
      <c r="EP124" s="410"/>
      <c r="EQ124" s="96"/>
      <c r="ER124" s="96"/>
      <c r="ES124" s="294">
        <f t="shared" si="1692"/>
        <v>0</v>
      </c>
      <c r="ET124" s="302">
        <f t="shared" si="1693"/>
        <v>0.4604471269</v>
      </c>
      <c r="EU124" s="303">
        <f t="shared" si="1694"/>
        <v>0</v>
      </c>
      <c r="EV124" s="304">
        <f t="shared" si="1695"/>
        <v>0</v>
      </c>
      <c r="EW124" s="297"/>
      <c r="EX124" s="299">
        <f t="shared" si="1786"/>
        <v>4</v>
      </c>
      <c r="EY124" s="300" t="str">
        <f t="shared" ref="EY124:FA124" si="1813">IFERROR(VLOOKUP($R124,$A$13:$D$30,-EY$12,FALSE),"")</f>
        <v>Bauksit </v>
      </c>
      <c r="EZ124" s="301" t="str">
        <f t="shared" si="1813"/>
        <v>Bijih </v>
      </c>
      <c r="FA124" s="301" t="str">
        <f t="shared" si="1813"/>
        <v>Ton </v>
      </c>
      <c r="FB124" s="294"/>
      <c r="FC124" s="294" t="str">
        <f t="shared" si="1697"/>
        <v/>
      </c>
      <c r="FD124" s="294">
        <f t="shared" si="1698"/>
        <v>0</v>
      </c>
      <c r="FE124" s="302"/>
      <c r="FF124" s="294">
        <f t="shared" si="1699"/>
        <v>0</v>
      </c>
      <c r="FG124" s="410"/>
      <c r="FH124" s="96"/>
      <c r="FI124" s="96"/>
      <c r="FJ124" s="294">
        <f t="shared" si="1700"/>
        <v>0</v>
      </c>
      <c r="FK124" s="302">
        <f t="shared" si="1701"/>
        <v>0.4604471269</v>
      </c>
      <c r="FL124" s="303">
        <f t="shared" si="1702"/>
        <v>0</v>
      </c>
      <c r="FM124" s="304">
        <f t="shared" si="1703"/>
        <v>0</v>
      </c>
      <c r="FN124" s="297"/>
      <c r="FO124" s="299">
        <f t="shared" si="1788"/>
        <v>4</v>
      </c>
      <c r="FP124" s="300" t="str">
        <f t="shared" ref="FP124:FR124" si="1814">IFERROR(VLOOKUP($R124,$A$13:$D$30,-FP$12,FALSE),"")</f>
        <v>Bauksit </v>
      </c>
      <c r="FQ124" s="301" t="str">
        <f t="shared" si="1814"/>
        <v>Bijih </v>
      </c>
      <c r="FR124" s="301" t="str">
        <f t="shared" si="1814"/>
        <v>Ton </v>
      </c>
      <c r="FS124" s="294"/>
      <c r="FT124" s="294" t="str">
        <f t="shared" si="1705"/>
        <v/>
      </c>
      <c r="FU124" s="294">
        <f t="shared" si="1706"/>
        <v>0</v>
      </c>
      <c r="FV124" s="302"/>
      <c r="FW124" s="294">
        <f t="shared" si="1707"/>
        <v>0</v>
      </c>
      <c r="FX124" s="410"/>
      <c r="FY124" s="96"/>
      <c r="FZ124" s="96"/>
      <c r="GA124" s="294">
        <f t="shared" si="1708"/>
        <v>0</v>
      </c>
      <c r="GB124" s="302">
        <f t="shared" si="1709"/>
        <v>0.4604471269</v>
      </c>
      <c r="GC124" s="303">
        <f t="shared" si="1710"/>
        <v>0</v>
      </c>
      <c r="GD124" s="304">
        <f t="shared" si="1711"/>
        <v>0</v>
      </c>
      <c r="GE124" s="297"/>
      <c r="GF124" s="299">
        <f t="shared" si="1790"/>
        <v>4</v>
      </c>
      <c r="GG124" s="300" t="str">
        <f t="shared" ref="GG124:GI124" si="1815">IFERROR(VLOOKUP($R124,$A$13:$D$30,-GG$12,FALSE),"")</f>
        <v>Bauksit </v>
      </c>
      <c r="GH124" s="301" t="str">
        <f t="shared" si="1815"/>
        <v>Bijih </v>
      </c>
      <c r="GI124" s="301" t="str">
        <f t="shared" si="1815"/>
        <v>Ton </v>
      </c>
      <c r="GJ124" s="294"/>
      <c r="GK124" s="294" t="str">
        <f t="shared" si="1713"/>
        <v/>
      </c>
      <c r="GL124" s="294">
        <f t="shared" si="1714"/>
        <v>0</v>
      </c>
      <c r="GM124" s="302"/>
      <c r="GN124" s="294">
        <f t="shared" si="1715"/>
        <v>0</v>
      </c>
      <c r="GO124" s="410"/>
      <c r="GP124" s="96"/>
      <c r="GQ124" s="96"/>
      <c r="GR124" s="294">
        <f t="shared" si="1716"/>
        <v>0</v>
      </c>
      <c r="GS124" s="302">
        <f t="shared" si="1717"/>
        <v>0.4604471269</v>
      </c>
      <c r="GT124" s="303">
        <f t="shared" si="1718"/>
        <v>0</v>
      </c>
      <c r="GU124" s="304">
        <f t="shared" si="1719"/>
        <v>0</v>
      </c>
      <c r="GV124" s="297"/>
      <c r="GW124" s="299">
        <f t="shared" si="1792"/>
        <v>4</v>
      </c>
      <c r="GX124" s="300" t="str">
        <f t="shared" ref="GX124:GZ124" si="1816">IFERROR(VLOOKUP($R124,$A$13:$D$30,-GX$12,FALSE),"")</f>
        <v>Bauksit </v>
      </c>
      <c r="GY124" s="301" t="str">
        <f t="shared" si="1816"/>
        <v>Bijih </v>
      </c>
      <c r="GZ124" s="301" t="str">
        <f t="shared" si="1816"/>
        <v>Ton </v>
      </c>
      <c r="HA124" s="294"/>
      <c r="HB124" s="294" t="str">
        <f t="shared" si="1721"/>
        <v/>
      </c>
      <c r="HC124" s="294">
        <f t="shared" si="1722"/>
        <v>0</v>
      </c>
      <c r="HD124" s="302"/>
      <c r="HE124" s="294">
        <f t="shared" si="1723"/>
        <v>0</v>
      </c>
      <c r="HF124" s="410"/>
      <c r="HG124" s="96"/>
      <c r="HH124" s="96"/>
      <c r="HI124" s="294">
        <f t="shared" si="1724"/>
        <v>0</v>
      </c>
      <c r="HJ124" s="302">
        <f t="shared" si="1725"/>
        <v>0.4604471269</v>
      </c>
      <c r="HK124" s="303">
        <f t="shared" si="1726"/>
        <v>0</v>
      </c>
      <c r="HL124" s="304">
        <f t="shared" si="1727"/>
        <v>0</v>
      </c>
      <c r="HM124" s="297"/>
      <c r="HN124" s="299">
        <f t="shared" si="1794"/>
        <v>4</v>
      </c>
      <c r="HO124" s="300" t="str">
        <f t="shared" ref="HO124:HQ124" si="1817">IFERROR(VLOOKUP($R124,$A$13:$D$30,-HO$12,FALSE),"")</f>
        <v>Bauksit </v>
      </c>
      <c r="HP124" s="301" t="str">
        <f t="shared" si="1817"/>
        <v>Bijih </v>
      </c>
      <c r="HQ124" s="301" t="str">
        <f t="shared" si="1817"/>
        <v>Ton </v>
      </c>
      <c r="HR124" s="294"/>
      <c r="HS124" s="294" t="str">
        <f t="shared" si="1729"/>
        <v/>
      </c>
      <c r="HT124" s="294">
        <f t="shared" si="1730"/>
        <v>0</v>
      </c>
      <c r="HU124" s="302"/>
      <c r="HV124" s="294">
        <f t="shared" si="1731"/>
        <v>0</v>
      </c>
      <c r="HW124" s="410"/>
      <c r="HX124" s="96"/>
      <c r="HY124" s="96"/>
      <c r="HZ124" s="294">
        <f t="shared" si="1732"/>
        <v>0</v>
      </c>
      <c r="IA124" s="302">
        <f t="shared" si="1733"/>
        <v>0.4604471269</v>
      </c>
      <c r="IB124" s="303">
        <f t="shared" si="1734"/>
        <v>0</v>
      </c>
      <c r="IC124" s="304">
        <f t="shared" si="1735"/>
        <v>0</v>
      </c>
      <c r="ID124" s="297"/>
      <c r="IE124" s="299">
        <f t="shared" si="1796"/>
        <v>4</v>
      </c>
      <c r="IF124" s="300" t="str">
        <f t="shared" ref="IF124:IH124" si="1818">IFERROR(VLOOKUP($R124,$A$13:$D$30,-IF$12,FALSE),"")</f>
        <v>Bauksit </v>
      </c>
      <c r="IG124" s="301" t="str">
        <f t="shared" si="1818"/>
        <v>Bijih </v>
      </c>
      <c r="IH124" s="301" t="str">
        <f t="shared" si="1818"/>
        <v>Ton </v>
      </c>
      <c r="II124" s="294"/>
      <c r="IJ124" s="294" t="str">
        <f t="shared" si="1737"/>
        <v/>
      </c>
      <c r="IK124" s="294">
        <f t="shared" si="1738"/>
        <v>0</v>
      </c>
      <c r="IL124" s="302"/>
      <c r="IM124" s="294">
        <f t="shared" si="1739"/>
        <v>0</v>
      </c>
      <c r="IN124" s="410"/>
      <c r="IO124" s="96"/>
      <c r="IP124" s="96"/>
      <c r="IQ124" s="294">
        <f t="shared" si="1740"/>
        <v>0</v>
      </c>
      <c r="IR124" s="302">
        <f t="shared" si="1741"/>
        <v>0.4604471269</v>
      </c>
      <c r="IS124" s="303">
        <f t="shared" si="1742"/>
        <v>0</v>
      </c>
      <c r="IT124" s="304">
        <f t="shared" si="1743"/>
        <v>0</v>
      </c>
      <c r="IU124" s="297"/>
      <c r="IV124" s="299">
        <f t="shared" si="1798"/>
        <v>4</v>
      </c>
      <c r="IW124" s="300" t="str">
        <f t="shared" ref="IW124:IY124" si="1819">IFERROR(VLOOKUP($R124,$A$13:$D$30,-IW$12,FALSE),"")</f>
        <v>Bauksit </v>
      </c>
      <c r="IX124" s="301" t="str">
        <f t="shared" si="1819"/>
        <v>Bijih </v>
      </c>
      <c r="IY124" s="301" t="str">
        <f t="shared" si="1819"/>
        <v>Ton </v>
      </c>
      <c r="IZ124" s="294"/>
      <c r="JA124" s="294" t="str">
        <f t="shared" si="1745"/>
        <v/>
      </c>
      <c r="JB124" s="294">
        <f t="shared" si="1746"/>
        <v>0</v>
      </c>
      <c r="JC124" s="302"/>
      <c r="JD124" s="294">
        <f t="shared" si="1747"/>
        <v>0</v>
      </c>
      <c r="JE124" s="410"/>
      <c r="JF124" s="96"/>
      <c r="JG124" s="96"/>
      <c r="JH124" s="294">
        <f t="shared" si="1748"/>
        <v>0</v>
      </c>
      <c r="JI124" s="302">
        <f t="shared" si="1749"/>
        <v>0.4604471269</v>
      </c>
      <c r="JJ124" s="303">
        <f t="shared" si="1750"/>
        <v>0</v>
      </c>
      <c r="JK124" s="304">
        <f t="shared" si="1751"/>
        <v>0</v>
      </c>
      <c r="JL124" s="297"/>
      <c r="JM124" s="299">
        <f t="shared" si="1800"/>
        <v>4</v>
      </c>
      <c r="JN124" s="300" t="str">
        <f t="shared" ref="JN124:JP124" si="1820">IFERROR(VLOOKUP($R124,$A$13:$D$30,-JN$12,FALSE),"")</f>
        <v>Bauksit </v>
      </c>
      <c r="JO124" s="301" t="str">
        <f t="shared" si="1820"/>
        <v>Bijih </v>
      </c>
      <c r="JP124" s="301" t="str">
        <f t="shared" si="1820"/>
        <v>Ton </v>
      </c>
      <c r="JQ124" s="294"/>
      <c r="JR124" s="294" t="str">
        <f t="shared" si="1753"/>
        <v/>
      </c>
      <c r="JS124" s="294">
        <f t="shared" si="1754"/>
        <v>0</v>
      </c>
      <c r="JT124" s="302"/>
      <c r="JU124" s="294">
        <f t="shared" si="1755"/>
        <v>0</v>
      </c>
      <c r="JV124" s="410"/>
      <c r="JW124" s="96"/>
      <c r="JX124" s="96"/>
      <c r="JY124" s="294">
        <f t="shared" si="1756"/>
        <v>0</v>
      </c>
      <c r="JZ124" s="302">
        <f t="shared" si="1757"/>
        <v>0.4604471269</v>
      </c>
      <c r="KA124" s="303">
        <f t="shared" si="1758"/>
        <v>0</v>
      </c>
      <c r="KB124" s="304">
        <f t="shared" si="1759"/>
        <v>0</v>
      </c>
      <c r="KC124" s="297"/>
      <c r="KD124" s="299">
        <f t="shared" si="1802"/>
        <v>4</v>
      </c>
      <c r="KE124" s="300" t="str">
        <f t="shared" ref="KE124:KG124" si="1821">IFERROR(VLOOKUP($R124,$A$13:$D$30,-KE$12,FALSE),"")</f>
        <v>Bauksit </v>
      </c>
      <c r="KF124" s="301" t="str">
        <f t="shared" si="1821"/>
        <v>Bijih </v>
      </c>
      <c r="KG124" s="301" t="str">
        <f t="shared" si="1821"/>
        <v>Ton </v>
      </c>
      <c r="KH124" s="294"/>
      <c r="KI124" s="294" t="str">
        <f t="shared" si="1761"/>
        <v/>
      </c>
      <c r="KJ124" s="294">
        <f t="shared" si="1762"/>
        <v>0</v>
      </c>
      <c r="KK124" s="302"/>
      <c r="KL124" s="294">
        <f t="shared" si="1763"/>
        <v>0</v>
      </c>
      <c r="KM124" s="410"/>
      <c r="KN124" s="96"/>
      <c r="KO124" s="96"/>
      <c r="KP124" s="294">
        <f t="shared" si="1764"/>
        <v>0</v>
      </c>
      <c r="KQ124" s="302">
        <f t="shared" si="1765"/>
        <v>0.4604471269</v>
      </c>
      <c r="KR124" s="303">
        <f t="shared" si="1766"/>
        <v>0</v>
      </c>
      <c r="KS124" s="304">
        <f t="shared" si="1767"/>
        <v>0</v>
      </c>
      <c r="KT124" s="297"/>
      <c r="KU124" s="298"/>
    </row>
    <row r="125" ht="15.75" customHeight="1">
      <c r="A125" s="299">
        <f t="shared" si="1768"/>
        <v>5</v>
      </c>
      <c r="B125" s="300" t="str">
        <f t="shared" ref="B125:D125" si="1822">IFERROR(VLOOKUP($A125,$A$13:$D$30,-B$12,FALSE),"")</f>
        <v>Bijih Nikel </v>
      </c>
      <c r="C125" s="301" t="str">
        <f t="shared" si="1822"/>
        <v>Bijih </v>
      </c>
      <c r="D125" s="301" t="str">
        <f t="shared" si="1822"/>
        <v>WMT</v>
      </c>
      <c r="E125" s="294"/>
      <c r="F125" s="294" t="str">
        <f t="shared" si="1625"/>
        <v/>
      </c>
      <c r="G125" s="294">
        <f t="shared" si="1626"/>
        <v>0</v>
      </c>
      <c r="H125" s="302"/>
      <c r="I125" s="294">
        <f t="shared" si="1627"/>
        <v>0</v>
      </c>
      <c r="J125" s="410"/>
      <c r="K125" s="96"/>
      <c r="L125" s="96"/>
      <c r="M125" s="294">
        <f t="shared" si="1628"/>
        <v>0</v>
      </c>
      <c r="N125" s="302">
        <f t="shared" si="1629"/>
        <v>0.4604471269</v>
      </c>
      <c r="O125" s="303">
        <f t="shared" si="1630"/>
        <v>0</v>
      </c>
      <c r="P125" s="304">
        <f t="shared" si="1631"/>
        <v>0</v>
      </c>
      <c r="Q125" s="297"/>
      <c r="R125" s="299">
        <f t="shared" si="1770"/>
        <v>5</v>
      </c>
      <c r="S125" s="300" t="str">
        <f t="shared" ref="S125:U125" si="1823">IFERROR(VLOOKUP($R125,$A$13:$D$30,-S$12,FALSE),"")</f>
        <v>Bijih Nikel </v>
      </c>
      <c r="T125" s="301" t="str">
        <f t="shared" si="1823"/>
        <v>Bijih </v>
      </c>
      <c r="U125" s="301" t="str">
        <f t="shared" si="1823"/>
        <v>WMT</v>
      </c>
      <c r="V125" s="294"/>
      <c r="W125" s="294" t="str">
        <f t="shared" si="1633"/>
        <v/>
      </c>
      <c r="X125" s="294">
        <f t="shared" si="1634"/>
        <v>0</v>
      </c>
      <c r="Y125" s="302"/>
      <c r="Z125" s="294">
        <f t="shared" si="1635"/>
        <v>0</v>
      </c>
      <c r="AA125" s="410"/>
      <c r="AB125" s="96"/>
      <c r="AC125" s="96"/>
      <c r="AD125" s="294">
        <f t="shared" si="1636"/>
        <v>0</v>
      </c>
      <c r="AE125" s="302">
        <f t="shared" si="1637"/>
        <v>0.4604471269</v>
      </c>
      <c r="AF125" s="303">
        <f t="shared" si="1638"/>
        <v>0</v>
      </c>
      <c r="AG125" s="304">
        <f t="shared" si="1639"/>
        <v>0</v>
      </c>
      <c r="AH125" s="297"/>
      <c r="AI125" s="299">
        <f t="shared" si="1772"/>
        <v>5</v>
      </c>
      <c r="AJ125" s="300" t="str">
        <f t="shared" ref="AJ125:AL125" si="1824">IFERROR(VLOOKUP($R125,$A$13:$D$30,-AJ$12,FALSE),"")</f>
        <v>Bijih Nikel </v>
      </c>
      <c r="AK125" s="301" t="str">
        <f t="shared" si="1824"/>
        <v>Bijih </v>
      </c>
      <c r="AL125" s="301" t="str">
        <f t="shared" si="1824"/>
        <v>WMT</v>
      </c>
      <c r="AM125" s="294"/>
      <c r="AN125" s="294" t="str">
        <f t="shared" si="1641"/>
        <v/>
      </c>
      <c r="AO125" s="294">
        <f t="shared" si="1642"/>
        <v>0</v>
      </c>
      <c r="AP125" s="302"/>
      <c r="AQ125" s="294">
        <f t="shared" si="1643"/>
        <v>0</v>
      </c>
      <c r="AR125" s="410"/>
      <c r="AS125" s="96"/>
      <c r="AT125" s="96"/>
      <c r="AU125" s="294">
        <f t="shared" si="1644"/>
        <v>0</v>
      </c>
      <c r="AV125" s="302">
        <f t="shared" si="1645"/>
        <v>0.4604471269</v>
      </c>
      <c r="AW125" s="303">
        <f t="shared" si="1646"/>
        <v>0</v>
      </c>
      <c r="AX125" s="304">
        <f t="shared" si="1647"/>
        <v>0</v>
      </c>
      <c r="AY125" s="297"/>
      <c r="AZ125" s="299">
        <f t="shared" si="1774"/>
        <v>5</v>
      </c>
      <c r="BA125" s="300" t="str">
        <f t="shared" ref="BA125:BC125" si="1825">IFERROR(VLOOKUP($R125,$A$13:$D$30,-BA$12,FALSE),"")</f>
        <v>Bijih Nikel </v>
      </c>
      <c r="BB125" s="301" t="str">
        <f t="shared" si="1825"/>
        <v>Bijih </v>
      </c>
      <c r="BC125" s="301" t="str">
        <f t="shared" si="1825"/>
        <v>WMT</v>
      </c>
      <c r="BD125" s="294"/>
      <c r="BE125" s="294" t="str">
        <f t="shared" si="1649"/>
        <v/>
      </c>
      <c r="BF125" s="294">
        <f t="shared" si="1650"/>
        <v>0</v>
      </c>
      <c r="BG125" s="302"/>
      <c r="BH125" s="294">
        <f t="shared" si="1651"/>
        <v>0</v>
      </c>
      <c r="BI125" s="410"/>
      <c r="BJ125" s="96"/>
      <c r="BK125" s="96"/>
      <c r="BL125" s="294">
        <f t="shared" si="1652"/>
        <v>0</v>
      </c>
      <c r="BM125" s="302">
        <f t="shared" si="1653"/>
        <v>0.4604471269</v>
      </c>
      <c r="BN125" s="303">
        <f t="shared" si="1654"/>
        <v>0</v>
      </c>
      <c r="BO125" s="304">
        <f t="shared" si="1655"/>
        <v>0</v>
      </c>
      <c r="BP125" s="297"/>
      <c r="BQ125" s="299">
        <f t="shared" si="1776"/>
        <v>5</v>
      </c>
      <c r="BR125" s="300" t="str">
        <f t="shared" ref="BR125:BT125" si="1826">IFERROR(VLOOKUP($R125,$A$13:$D$30,-BR$12,FALSE),"")</f>
        <v>Bijih Nikel </v>
      </c>
      <c r="BS125" s="301" t="str">
        <f t="shared" si="1826"/>
        <v>Bijih </v>
      </c>
      <c r="BT125" s="301" t="str">
        <f t="shared" si="1826"/>
        <v>WMT</v>
      </c>
      <c r="BU125" s="294"/>
      <c r="BV125" s="294" t="str">
        <f t="shared" si="1657"/>
        <v/>
      </c>
      <c r="BW125" s="294">
        <f t="shared" si="1658"/>
        <v>0</v>
      </c>
      <c r="BX125" s="302"/>
      <c r="BY125" s="294">
        <f t="shared" si="1659"/>
        <v>0</v>
      </c>
      <c r="BZ125" s="410"/>
      <c r="CA125" s="96"/>
      <c r="CB125" s="96"/>
      <c r="CC125" s="294">
        <f t="shared" si="1660"/>
        <v>0</v>
      </c>
      <c r="CD125" s="302">
        <f t="shared" si="1661"/>
        <v>0.4604471269</v>
      </c>
      <c r="CE125" s="303">
        <f t="shared" si="1662"/>
        <v>0</v>
      </c>
      <c r="CF125" s="304">
        <f t="shared" si="1663"/>
        <v>0</v>
      </c>
      <c r="CG125" s="297"/>
      <c r="CH125" s="299">
        <f t="shared" si="1778"/>
        <v>5</v>
      </c>
      <c r="CI125" s="300" t="str">
        <f t="shared" ref="CI125:CK125" si="1827">IFERROR(VLOOKUP($R125,$A$13:$D$30,-CI$12,FALSE),"")</f>
        <v>Bijih Nikel </v>
      </c>
      <c r="CJ125" s="301" t="str">
        <f t="shared" si="1827"/>
        <v>Bijih </v>
      </c>
      <c r="CK125" s="301" t="str">
        <f t="shared" si="1827"/>
        <v>WMT</v>
      </c>
      <c r="CL125" s="294"/>
      <c r="CM125" s="294" t="str">
        <f t="shared" si="1665"/>
        <v/>
      </c>
      <c r="CN125" s="294">
        <f t="shared" si="1666"/>
        <v>0</v>
      </c>
      <c r="CO125" s="302"/>
      <c r="CP125" s="294">
        <f t="shared" si="1667"/>
        <v>0</v>
      </c>
      <c r="CQ125" s="410"/>
      <c r="CR125" s="96"/>
      <c r="CS125" s="96"/>
      <c r="CT125" s="294">
        <f t="shared" si="1668"/>
        <v>0</v>
      </c>
      <c r="CU125" s="302">
        <f t="shared" si="1669"/>
        <v>0.4604471269</v>
      </c>
      <c r="CV125" s="303">
        <f t="shared" si="1670"/>
        <v>0</v>
      </c>
      <c r="CW125" s="304">
        <f t="shared" si="1671"/>
        <v>0</v>
      </c>
      <c r="CX125" s="297"/>
      <c r="CY125" s="299">
        <f t="shared" si="1780"/>
        <v>5</v>
      </c>
      <c r="CZ125" s="300" t="str">
        <f t="shared" ref="CZ125:DB125" si="1828">IFERROR(VLOOKUP($R125,$A$13:$D$30,-CZ$12,FALSE),"")</f>
        <v>Bijih Nikel </v>
      </c>
      <c r="DA125" s="301" t="str">
        <f t="shared" si="1828"/>
        <v>Bijih </v>
      </c>
      <c r="DB125" s="301" t="str">
        <f t="shared" si="1828"/>
        <v>WMT</v>
      </c>
      <c r="DC125" s="294"/>
      <c r="DD125" s="294" t="str">
        <f t="shared" si="1673"/>
        <v/>
      </c>
      <c r="DE125" s="294">
        <f t="shared" si="1674"/>
        <v>0</v>
      </c>
      <c r="DF125" s="302"/>
      <c r="DG125" s="294">
        <f t="shared" si="1675"/>
        <v>0</v>
      </c>
      <c r="DH125" s="410"/>
      <c r="DI125" s="96"/>
      <c r="DJ125" s="96"/>
      <c r="DK125" s="294">
        <f t="shared" si="1676"/>
        <v>0</v>
      </c>
      <c r="DL125" s="302">
        <f t="shared" si="1677"/>
        <v>0.4604471269</v>
      </c>
      <c r="DM125" s="303">
        <f t="shared" si="1678"/>
        <v>0</v>
      </c>
      <c r="DN125" s="304">
        <f t="shared" si="1679"/>
        <v>0</v>
      </c>
      <c r="DO125" s="297"/>
      <c r="DP125" s="299">
        <f t="shared" si="1782"/>
        <v>5</v>
      </c>
      <c r="DQ125" s="300" t="str">
        <f t="shared" ref="DQ125:DS125" si="1829">IFERROR(VLOOKUP($R125,$A$13:$D$30,-DQ$12,FALSE),"")</f>
        <v>Bijih Nikel </v>
      </c>
      <c r="DR125" s="301" t="str">
        <f t="shared" si="1829"/>
        <v>Bijih </v>
      </c>
      <c r="DS125" s="301" t="str">
        <f t="shared" si="1829"/>
        <v>WMT</v>
      </c>
      <c r="DT125" s="294"/>
      <c r="DU125" s="294" t="str">
        <f t="shared" si="1681"/>
        <v/>
      </c>
      <c r="DV125" s="294">
        <f t="shared" si="1682"/>
        <v>0</v>
      </c>
      <c r="DW125" s="302"/>
      <c r="DX125" s="294">
        <f t="shared" si="1683"/>
        <v>0</v>
      </c>
      <c r="DY125" s="410"/>
      <c r="DZ125" s="96"/>
      <c r="EA125" s="96"/>
      <c r="EB125" s="294">
        <f t="shared" si="1684"/>
        <v>0</v>
      </c>
      <c r="EC125" s="302">
        <f t="shared" si="1685"/>
        <v>0.4604471269</v>
      </c>
      <c r="ED125" s="303">
        <f t="shared" si="1686"/>
        <v>0</v>
      </c>
      <c r="EE125" s="304">
        <f t="shared" si="1687"/>
        <v>0</v>
      </c>
      <c r="EF125" s="297"/>
      <c r="EG125" s="299">
        <f t="shared" si="1784"/>
        <v>5</v>
      </c>
      <c r="EH125" s="300" t="str">
        <f t="shared" ref="EH125:EJ125" si="1830">IFERROR(VLOOKUP($R125,$A$13:$D$30,-EH$12,FALSE),"")</f>
        <v>Bijih Nikel </v>
      </c>
      <c r="EI125" s="301" t="str">
        <f t="shared" si="1830"/>
        <v>Bijih </v>
      </c>
      <c r="EJ125" s="301" t="str">
        <f t="shared" si="1830"/>
        <v>WMT</v>
      </c>
      <c r="EK125" s="294"/>
      <c r="EL125" s="294" t="str">
        <f t="shared" si="1689"/>
        <v/>
      </c>
      <c r="EM125" s="294">
        <f t="shared" si="1690"/>
        <v>0</v>
      </c>
      <c r="EN125" s="302"/>
      <c r="EO125" s="294">
        <f t="shared" si="1691"/>
        <v>0</v>
      </c>
      <c r="EP125" s="410"/>
      <c r="EQ125" s="96"/>
      <c r="ER125" s="96"/>
      <c r="ES125" s="294">
        <f t="shared" si="1692"/>
        <v>0</v>
      </c>
      <c r="ET125" s="302">
        <f t="shared" si="1693"/>
        <v>0.4604471269</v>
      </c>
      <c r="EU125" s="303">
        <f t="shared" si="1694"/>
        <v>0</v>
      </c>
      <c r="EV125" s="304">
        <f t="shared" si="1695"/>
        <v>0</v>
      </c>
      <c r="EW125" s="297"/>
      <c r="EX125" s="299">
        <f t="shared" si="1786"/>
        <v>5</v>
      </c>
      <c r="EY125" s="300" t="str">
        <f t="shared" ref="EY125:FA125" si="1831">IFERROR(VLOOKUP($R125,$A$13:$D$30,-EY$12,FALSE),"")</f>
        <v>Bijih Nikel </v>
      </c>
      <c r="EZ125" s="301" t="str">
        <f t="shared" si="1831"/>
        <v>Bijih </v>
      </c>
      <c r="FA125" s="301" t="str">
        <f t="shared" si="1831"/>
        <v>WMT</v>
      </c>
      <c r="FB125" s="294"/>
      <c r="FC125" s="294" t="str">
        <f t="shared" si="1697"/>
        <v/>
      </c>
      <c r="FD125" s="294">
        <f t="shared" si="1698"/>
        <v>0</v>
      </c>
      <c r="FE125" s="302"/>
      <c r="FF125" s="294">
        <f t="shared" si="1699"/>
        <v>0</v>
      </c>
      <c r="FG125" s="410"/>
      <c r="FH125" s="96"/>
      <c r="FI125" s="96"/>
      <c r="FJ125" s="294">
        <f t="shared" si="1700"/>
        <v>0</v>
      </c>
      <c r="FK125" s="302">
        <f t="shared" si="1701"/>
        <v>0.4604471269</v>
      </c>
      <c r="FL125" s="303">
        <f t="shared" si="1702"/>
        <v>0</v>
      </c>
      <c r="FM125" s="304">
        <f t="shared" si="1703"/>
        <v>0</v>
      </c>
      <c r="FN125" s="297"/>
      <c r="FO125" s="299">
        <f t="shared" si="1788"/>
        <v>5</v>
      </c>
      <c r="FP125" s="300" t="str">
        <f t="shared" ref="FP125:FR125" si="1832">IFERROR(VLOOKUP($R125,$A$13:$D$30,-FP$12,FALSE),"")</f>
        <v>Bijih Nikel </v>
      </c>
      <c r="FQ125" s="301" t="str">
        <f t="shared" si="1832"/>
        <v>Bijih </v>
      </c>
      <c r="FR125" s="301" t="str">
        <f t="shared" si="1832"/>
        <v>WMT</v>
      </c>
      <c r="FS125" s="305">
        <f>ADHB!FS125</f>
        <v>5027131.72</v>
      </c>
      <c r="FT125" s="294">
        <f t="shared" si="1705"/>
        <v>192960.46</v>
      </c>
      <c r="FU125" s="294">
        <f t="shared" si="1706"/>
        <v>970037.6492</v>
      </c>
      <c r="FV125" s="302"/>
      <c r="FW125" s="294">
        <f t="shared" si="1707"/>
        <v>0</v>
      </c>
      <c r="FX125" s="410"/>
      <c r="FY125" s="96"/>
      <c r="FZ125" s="96"/>
      <c r="GA125" s="294">
        <f t="shared" si="1708"/>
        <v>970037.6492</v>
      </c>
      <c r="GB125" s="302">
        <f t="shared" si="1709"/>
        <v>0.4604471269</v>
      </c>
      <c r="GC125" s="303">
        <f t="shared" si="1710"/>
        <v>446651.0485</v>
      </c>
      <c r="GD125" s="304">
        <f t="shared" si="1711"/>
        <v>523386.6006</v>
      </c>
      <c r="GE125" s="297"/>
      <c r="GF125" s="299">
        <f t="shared" si="1790"/>
        <v>5</v>
      </c>
      <c r="GG125" s="300" t="str">
        <f t="shared" ref="GG125:GI125" si="1833">IFERROR(VLOOKUP($R125,$A$13:$D$30,-GG$12,FALSE),"")</f>
        <v>Bijih Nikel </v>
      </c>
      <c r="GH125" s="301" t="str">
        <f t="shared" si="1833"/>
        <v>Bijih </v>
      </c>
      <c r="GI125" s="301" t="str">
        <f t="shared" si="1833"/>
        <v>WMT</v>
      </c>
      <c r="GJ125" s="305">
        <f>ADHB!GJ125</f>
        <v>5055789</v>
      </c>
      <c r="GK125" s="294">
        <f t="shared" si="1713"/>
        <v>192960.46</v>
      </c>
      <c r="GL125" s="294">
        <f t="shared" si="1714"/>
        <v>975567.3711</v>
      </c>
      <c r="GM125" s="302"/>
      <c r="GN125" s="294">
        <f t="shared" si="1715"/>
        <v>0</v>
      </c>
      <c r="GO125" s="410"/>
      <c r="GP125" s="96"/>
      <c r="GQ125" s="96"/>
      <c r="GR125" s="294">
        <f t="shared" si="1716"/>
        <v>975567.3711</v>
      </c>
      <c r="GS125" s="302">
        <f t="shared" si="1717"/>
        <v>0.4604471269</v>
      </c>
      <c r="GT125" s="303">
        <f t="shared" si="1718"/>
        <v>449197.1931</v>
      </c>
      <c r="GU125" s="304">
        <f t="shared" si="1719"/>
        <v>526370.178</v>
      </c>
      <c r="GV125" s="297"/>
      <c r="GW125" s="299">
        <f t="shared" si="1792"/>
        <v>5</v>
      </c>
      <c r="GX125" s="300" t="str">
        <f t="shared" ref="GX125:GZ125" si="1834">IFERROR(VLOOKUP($R125,$A$13:$D$30,-GX$12,FALSE),"")</f>
        <v>Bijih Nikel </v>
      </c>
      <c r="GY125" s="301" t="str">
        <f t="shared" si="1834"/>
        <v>Bijih </v>
      </c>
      <c r="GZ125" s="301" t="str">
        <f t="shared" si="1834"/>
        <v>WMT</v>
      </c>
      <c r="HA125" s="294">
        <f>ADHB!HA125</f>
        <v>8993242.602</v>
      </c>
      <c r="HB125" s="294">
        <f t="shared" si="1721"/>
        <v>192960.46</v>
      </c>
      <c r="HC125" s="294">
        <f t="shared" si="1722"/>
        <v>1735340.229</v>
      </c>
      <c r="HD125" s="416">
        <v>1.0</v>
      </c>
      <c r="HE125" s="294">
        <f t="shared" si="1723"/>
        <v>1735340.229</v>
      </c>
      <c r="HF125" s="410"/>
      <c r="HG125" s="96"/>
      <c r="HH125" s="96"/>
      <c r="HI125" s="294">
        <f t="shared" si="1724"/>
        <v>3470680.459</v>
      </c>
      <c r="HJ125" s="302">
        <f t="shared" si="1725"/>
        <v>0.4604471269</v>
      </c>
      <c r="HK125" s="303">
        <f t="shared" si="1726"/>
        <v>1598064.846</v>
      </c>
      <c r="HL125" s="304">
        <f t="shared" si="1727"/>
        <v>1872615.613</v>
      </c>
      <c r="HM125" s="297"/>
      <c r="HN125" s="299">
        <f t="shared" si="1794"/>
        <v>5</v>
      </c>
      <c r="HO125" s="300" t="str">
        <f t="shared" ref="HO125:HQ125" si="1835">IFERROR(VLOOKUP($R125,$A$13:$D$30,-HO$12,FALSE),"")</f>
        <v>Bijih Nikel </v>
      </c>
      <c r="HP125" s="301" t="str">
        <f t="shared" si="1835"/>
        <v>Bijih </v>
      </c>
      <c r="HQ125" s="301" t="str">
        <f t="shared" si="1835"/>
        <v>WMT</v>
      </c>
      <c r="HR125" s="294">
        <v>1.1634046666261E7</v>
      </c>
      <c r="HS125" s="294">
        <f t="shared" si="1729"/>
        <v>192960.46</v>
      </c>
      <c r="HT125" s="294">
        <f t="shared" si="1730"/>
        <v>2244910.996</v>
      </c>
      <c r="HU125" s="302"/>
      <c r="HV125" s="294">
        <f t="shared" si="1731"/>
        <v>0</v>
      </c>
      <c r="HW125" s="410"/>
      <c r="HX125" s="96"/>
      <c r="HY125" s="96"/>
      <c r="HZ125" s="294">
        <f t="shared" si="1732"/>
        <v>2244910.996</v>
      </c>
      <c r="IA125" s="302">
        <f t="shared" si="1733"/>
        <v>0.4604471269</v>
      </c>
      <c r="IB125" s="303">
        <f t="shared" si="1734"/>
        <v>1033662.818</v>
      </c>
      <c r="IC125" s="304">
        <f t="shared" si="1735"/>
        <v>1211248.178</v>
      </c>
      <c r="ID125" s="297"/>
      <c r="IE125" s="299">
        <f t="shared" si="1796"/>
        <v>5</v>
      </c>
      <c r="IF125" s="300" t="str">
        <f t="shared" ref="IF125:IH125" si="1836">IFERROR(VLOOKUP($R125,$A$13:$D$30,-IF$12,FALSE),"")</f>
        <v>Bijih Nikel </v>
      </c>
      <c r="IG125" s="301" t="str">
        <f t="shared" si="1836"/>
        <v>Bijih </v>
      </c>
      <c r="IH125" s="301" t="str">
        <f t="shared" si="1836"/>
        <v>WMT</v>
      </c>
      <c r="II125" s="294">
        <f>ADHB!II125</f>
        <v>23162918.87</v>
      </c>
      <c r="IJ125" s="294">
        <f t="shared" si="1737"/>
        <v>192960.46</v>
      </c>
      <c r="IK125" s="294">
        <f t="shared" si="1738"/>
        <v>4469527.48</v>
      </c>
      <c r="IL125" s="302"/>
      <c r="IM125" s="294">
        <f t="shared" si="1739"/>
        <v>0</v>
      </c>
      <c r="IN125" s="410"/>
      <c r="IO125" s="96"/>
      <c r="IP125" s="96"/>
      <c r="IQ125" s="294">
        <f t="shared" si="1740"/>
        <v>4469527.48</v>
      </c>
      <c r="IR125" s="302">
        <f t="shared" si="1741"/>
        <v>0.4604471269</v>
      </c>
      <c r="IS125" s="303">
        <f t="shared" si="1742"/>
        <v>2057981.087</v>
      </c>
      <c r="IT125" s="304">
        <f t="shared" si="1743"/>
        <v>2411546.393</v>
      </c>
      <c r="IU125" s="297"/>
      <c r="IV125" s="299">
        <f t="shared" si="1798"/>
        <v>5</v>
      </c>
      <c r="IW125" s="300" t="str">
        <f t="shared" ref="IW125:IY125" si="1837">IFERROR(VLOOKUP($R125,$A$13:$D$30,-IW$12,FALSE),"")</f>
        <v>Bijih Nikel </v>
      </c>
      <c r="IX125" s="301" t="str">
        <f t="shared" si="1837"/>
        <v>Bijih </v>
      </c>
      <c r="IY125" s="301" t="str">
        <f t="shared" si="1837"/>
        <v>WMT</v>
      </c>
      <c r="IZ125" s="301">
        <f>ADHB!IZ125</f>
        <v>23679335.83</v>
      </c>
      <c r="JA125" s="294">
        <f t="shared" si="1745"/>
        <v>192960.46</v>
      </c>
      <c r="JB125" s="294">
        <f t="shared" si="1746"/>
        <v>4569175.535</v>
      </c>
      <c r="JC125" s="302"/>
      <c r="JD125" s="294">
        <f t="shared" si="1747"/>
        <v>0</v>
      </c>
      <c r="JE125" s="410"/>
      <c r="JF125" s="96"/>
      <c r="JG125" s="96"/>
      <c r="JH125" s="294">
        <f t="shared" si="1748"/>
        <v>4569175.535</v>
      </c>
      <c r="JI125" s="302">
        <f t="shared" si="1749"/>
        <v>0.4604471269</v>
      </c>
      <c r="JJ125" s="303">
        <f t="shared" si="1750"/>
        <v>2103863.747</v>
      </c>
      <c r="JK125" s="304">
        <f t="shared" si="1751"/>
        <v>2465311.787</v>
      </c>
      <c r="JL125" s="297"/>
      <c r="JM125" s="299">
        <f t="shared" si="1800"/>
        <v>5</v>
      </c>
      <c r="JN125" s="300" t="str">
        <f t="shared" ref="JN125:JP125" si="1838">IFERROR(VLOOKUP($R125,$A$13:$D$30,-JN$12,FALSE),"")</f>
        <v>Bijih Nikel </v>
      </c>
      <c r="JO125" s="301" t="str">
        <f t="shared" si="1838"/>
        <v>Bijih </v>
      </c>
      <c r="JP125" s="301" t="str">
        <f t="shared" si="1838"/>
        <v>WMT</v>
      </c>
      <c r="JQ125" s="301" t="str">
        <f>ADHB!JQ125</f>
        <v/>
      </c>
      <c r="JR125" s="294">
        <f t="shared" si="1753"/>
        <v>192960.46</v>
      </c>
      <c r="JS125" s="294">
        <f t="shared" si="1754"/>
        <v>0</v>
      </c>
      <c r="JT125" s="302"/>
      <c r="JU125" s="294">
        <f t="shared" si="1755"/>
        <v>0</v>
      </c>
      <c r="JV125" s="410"/>
      <c r="JW125" s="96"/>
      <c r="JX125" s="96"/>
      <c r="JY125" s="294">
        <f t="shared" si="1756"/>
        <v>0</v>
      </c>
      <c r="JZ125" s="302">
        <f t="shared" si="1757"/>
        <v>0.4604471269</v>
      </c>
      <c r="KA125" s="303">
        <f t="shared" si="1758"/>
        <v>0</v>
      </c>
      <c r="KB125" s="304">
        <f t="shared" si="1759"/>
        <v>0</v>
      </c>
      <c r="KC125" s="297"/>
      <c r="KD125" s="299">
        <f t="shared" si="1802"/>
        <v>5</v>
      </c>
      <c r="KE125" s="300" t="str">
        <f t="shared" ref="KE125:KG125" si="1839">IFERROR(VLOOKUP($R125,$A$13:$D$30,-KE$12,FALSE),"")</f>
        <v>Bijih Nikel </v>
      </c>
      <c r="KF125" s="301" t="str">
        <f t="shared" si="1839"/>
        <v>Bijih </v>
      </c>
      <c r="KG125" s="301" t="str">
        <f t="shared" si="1839"/>
        <v>WMT</v>
      </c>
      <c r="KH125" s="301" t="str">
        <f>ADHB!KH125</f>
        <v/>
      </c>
      <c r="KI125" s="294" t="str">
        <f t="shared" si="1761"/>
        <v/>
      </c>
      <c r="KJ125" s="294">
        <f t="shared" si="1762"/>
        <v>0</v>
      </c>
      <c r="KK125" s="302"/>
      <c r="KL125" s="294">
        <f t="shared" si="1763"/>
        <v>0</v>
      </c>
      <c r="KM125" s="410"/>
      <c r="KN125" s="96"/>
      <c r="KO125" s="96"/>
      <c r="KP125" s="294">
        <f t="shared" si="1764"/>
        <v>0</v>
      </c>
      <c r="KQ125" s="302">
        <f t="shared" si="1765"/>
        <v>0.4604471269</v>
      </c>
      <c r="KR125" s="303">
        <f t="shared" si="1766"/>
        <v>0</v>
      </c>
      <c r="KS125" s="304">
        <f t="shared" si="1767"/>
        <v>0</v>
      </c>
      <c r="KT125" s="297"/>
      <c r="KU125" s="298"/>
    </row>
    <row r="126" ht="15.75" customHeight="1">
      <c r="A126" s="299">
        <f t="shared" si="1768"/>
        <v>6</v>
      </c>
      <c r="B126" s="300" t="str">
        <f t="shared" ref="B126:D126" si="1840">IFERROR(VLOOKUP($A126,$A$13:$D$30,-B$12,FALSE),"")</f>
        <v>Pasir Besi </v>
      </c>
      <c r="C126" s="301" t="str">
        <f t="shared" si="1840"/>
        <v>Bijih </v>
      </c>
      <c r="D126" s="301" t="str">
        <f t="shared" si="1840"/>
        <v>Ton </v>
      </c>
      <c r="E126" s="294"/>
      <c r="F126" s="294" t="str">
        <f t="shared" si="1625"/>
        <v/>
      </c>
      <c r="G126" s="294">
        <f t="shared" si="1626"/>
        <v>0</v>
      </c>
      <c r="H126" s="302"/>
      <c r="I126" s="294">
        <f t="shared" si="1627"/>
        <v>0</v>
      </c>
      <c r="J126" s="410"/>
      <c r="K126" s="96"/>
      <c r="L126" s="96"/>
      <c r="M126" s="294">
        <f t="shared" si="1628"/>
        <v>0</v>
      </c>
      <c r="N126" s="302">
        <f t="shared" si="1629"/>
        <v>0.4604471269</v>
      </c>
      <c r="O126" s="303">
        <f t="shared" si="1630"/>
        <v>0</v>
      </c>
      <c r="P126" s="304">
        <f t="shared" si="1631"/>
        <v>0</v>
      </c>
      <c r="Q126" s="297"/>
      <c r="R126" s="299">
        <f t="shared" si="1770"/>
        <v>6</v>
      </c>
      <c r="S126" s="300" t="str">
        <f t="shared" ref="S126:U126" si="1841">IFERROR(VLOOKUP($R126,$A$13:$D$30,-S$12,FALSE),"")</f>
        <v>Pasir Besi </v>
      </c>
      <c r="T126" s="301" t="str">
        <f t="shared" si="1841"/>
        <v>Bijih </v>
      </c>
      <c r="U126" s="301" t="str">
        <f t="shared" si="1841"/>
        <v>Ton </v>
      </c>
      <c r="V126" s="294"/>
      <c r="W126" s="294" t="str">
        <f t="shared" si="1633"/>
        <v/>
      </c>
      <c r="X126" s="294">
        <f t="shared" si="1634"/>
        <v>0</v>
      </c>
      <c r="Y126" s="302"/>
      <c r="Z126" s="294">
        <f t="shared" si="1635"/>
        <v>0</v>
      </c>
      <c r="AA126" s="410"/>
      <c r="AB126" s="96"/>
      <c r="AC126" s="96"/>
      <c r="AD126" s="294">
        <f t="shared" si="1636"/>
        <v>0</v>
      </c>
      <c r="AE126" s="302">
        <f t="shared" si="1637"/>
        <v>0.4604471269</v>
      </c>
      <c r="AF126" s="303">
        <f t="shared" si="1638"/>
        <v>0</v>
      </c>
      <c r="AG126" s="304">
        <f t="shared" si="1639"/>
        <v>0</v>
      </c>
      <c r="AH126" s="297"/>
      <c r="AI126" s="299">
        <f t="shared" si="1772"/>
        <v>6</v>
      </c>
      <c r="AJ126" s="300" t="str">
        <f t="shared" ref="AJ126:AL126" si="1842">IFERROR(VLOOKUP($R126,$A$13:$D$30,-AJ$12,FALSE),"")</f>
        <v>Pasir Besi </v>
      </c>
      <c r="AK126" s="301" t="str">
        <f t="shared" si="1842"/>
        <v>Bijih </v>
      </c>
      <c r="AL126" s="301" t="str">
        <f t="shared" si="1842"/>
        <v>Ton </v>
      </c>
      <c r="AM126" s="294"/>
      <c r="AN126" s="294" t="str">
        <f t="shared" si="1641"/>
        <v/>
      </c>
      <c r="AO126" s="294">
        <f t="shared" si="1642"/>
        <v>0</v>
      </c>
      <c r="AP126" s="302"/>
      <c r="AQ126" s="294">
        <f t="shared" si="1643"/>
        <v>0</v>
      </c>
      <c r="AR126" s="410"/>
      <c r="AS126" s="96"/>
      <c r="AT126" s="96"/>
      <c r="AU126" s="294">
        <f t="shared" si="1644"/>
        <v>0</v>
      </c>
      <c r="AV126" s="302">
        <f t="shared" si="1645"/>
        <v>0.4604471269</v>
      </c>
      <c r="AW126" s="303">
        <f t="shared" si="1646"/>
        <v>0</v>
      </c>
      <c r="AX126" s="304">
        <f t="shared" si="1647"/>
        <v>0</v>
      </c>
      <c r="AY126" s="297"/>
      <c r="AZ126" s="299">
        <f t="shared" si="1774"/>
        <v>6</v>
      </c>
      <c r="BA126" s="300" t="str">
        <f t="shared" ref="BA126:BC126" si="1843">IFERROR(VLOOKUP($R126,$A$13:$D$30,-BA$12,FALSE),"")</f>
        <v>Pasir Besi </v>
      </c>
      <c r="BB126" s="301" t="str">
        <f t="shared" si="1843"/>
        <v>Bijih </v>
      </c>
      <c r="BC126" s="301" t="str">
        <f t="shared" si="1843"/>
        <v>Ton </v>
      </c>
      <c r="BD126" s="294"/>
      <c r="BE126" s="294" t="str">
        <f t="shared" si="1649"/>
        <v/>
      </c>
      <c r="BF126" s="294">
        <f t="shared" si="1650"/>
        <v>0</v>
      </c>
      <c r="BG126" s="302"/>
      <c r="BH126" s="294">
        <f t="shared" si="1651"/>
        <v>0</v>
      </c>
      <c r="BI126" s="410"/>
      <c r="BJ126" s="96"/>
      <c r="BK126" s="96"/>
      <c r="BL126" s="294">
        <f t="shared" si="1652"/>
        <v>0</v>
      </c>
      <c r="BM126" s="302">
        <f t="shared" si="1653"/>
        <v>0.4604471269</v>
      </c>
      <c r="BN126" s="303">
        <f t="shared" si="1654"/>
        <v>0</v>
      </c>
      <c r="BO126" s="304">
        <f t="shared" si="1655"/>
        <v>0</v>
      </c>
      <c r="BP126" s="297"/>
      <c r="BQ126" s="299">
        <f t="shared" si="1776"/>
        <v>6</v>
      </c>
      <c r="BR126" s="300" t="str">
        <f t="shared" ref="BR126:BT126" si="1844">IFERROR(VLOOKUP($R126,$A$13:$D$30,-BR$12,FALSE),"")</f>
        <v>Pasir Besi </v>
      </c>
      <c r="BS126" s="301" t="str">
        <f t="shared" si="1844"/>
        <v>Bijih </v>
      </c>
      <c r="BT126" s="301" t="str">
        <f t="shared" si="1844"/>
        <v>Ton </v>
      </c>
      <c r="BU126" s="294"/>
      <c r="BV126" s="294" t="str">
        <f t="shared" si="1657"/>
        <v/>
      </c>
      <c r="BW126" s="294">
        <f t="shared" si="1658"/>
        <v>0</v>
      </c>
      <c r="BX126" s="302"/>
      <c r="BY126" s="294">
        <f t="shared" si="1659"/>
        <v>0</v>
      </c>
      <c r="BZ126" s="410"/>
      <c r="CA126" s="96"/>
      <c r="CB126" s="96"/>
      <c r="CC126" s="294">
        <f t="shared" si="1660"/>
        <v>0</v>
      </c>
      <c r="CD126" s="302">
        <f t="shared" si="1661"/>
        <v>0.4604471269</v>
      </c>
      <c r="CE126" s="303">
        <f t="shared" si="1662"/>
        <v>0</v>
      </c>
      <c r="CF126" s="304">
        <f t="shared" si="1663"/>
        <v>0</v>
      </c>
      <c r="CG126" s="297"/>
      <c r="CH126" s="299">
        <f t="shared" si="1778"/>
        <v>6</v>
      </c>
      <c r="CI126" s="300" t="str">
        <f t="shared" ref="CI126:CK126" si="1845">IFERROR(VLOOKUP($R126,$A$13:$D$30,-CI$12,FALSE),"")</f>
        <v>Pasir Besi </v>
      </c>
      <c r="CJ126" s="301" t="str">
        <f t="shared" si="1845"/>
        <v>Bijih </v>
      </c>
      <c r="CK126" s="301" t="str">
        <f t="shared" si="1845"/>
        <v>Ton </v>
      </c>
      <c r="CL126" s="294"/>
      <c r="CM126" s="294" t="str">
        <f t="shared" si="1665"/>
        <v/>
      </c>
      <c r="CN126" s="294">
        <f t="shared" si="1666"/>
        <v>0</v>
      </c>
      <c r="CO126" s="302"/>
      <c r="CP126" s="294">
        <f t="shared" si="1667"/>
        <v>0</v>
      </c>
      <c r="CQ126" s="410"/>
      <c r="CR126" s="96"/>
      <c r="CS126" s="96"/>
      <c r="CT126" s="294">
        <f t="shared" si="1668"/>
        <v>0</v>
      </c>
      <c r="CU126" s="302">
        <f t="shared" si="1669"/>
        <v>0.4604471269</v>
      </c>
      <c r="CV126" s="303">
        <f t="shared" si="1670"/>
        <v>0</v>
      </c>
      <c r="CW126" s="304">
        <f t="shared" si="1671"/>
        <v>0</v>
      </c>
      <c r="CX126" s="297"/>
      <c r="CY126" s="299">
        <f t="shared" si="1780"/>
        <v>6</v>
      </c>
      <c r="CZ126" s="300" t="str">
        <f t="shared" ref="CZ126:DB126" si="1846">IFERROR(VLOOKUP($R126,$A$13:$D$30,-CZ$12,FALSE),"")</f>
        <v>Pasir Besi </v>
      </c>
      <c r="DA126" s="301" t="str">
        <f t="shared" si="1846"/>
        <v>Bijih </v>
      </c>
      <c r="DB126" s="301" t="str">
        <f t="shared" si="1846"/>
        <v>Ton </v>
      </c>
      <c r="DC126" s="294"/>
      <c r="DD126" s="294" t="str">
        <f t="shared" si="1673"/>
        <v/>
      </c>
      <c r="DE126" s="294">
        <f t="shared" si="1674"/>
        <v>0</v>
      </c>
      <c r="DF126" s="302"/>
      <c r="DG126" s="294">
        <f t="shared" si="1675"/>
        <v>0</v>
      </c>
      <c r="DH126" s="410"/>
      <c r="DI126" s="96"/>
      <c r="DJ126" s="96"/>
      <c r="DK126" s="294">
        <f t="shared" si="1676"/>
        <v>0</v>
      </c>
      <c r="DL126" s="302">
        <f t="shared" si="1677"/>
        <v>0.4604471269</v>
      </c>
      <c r="DM126" s="303">
        <f t="shared" si="1678"/>
        <v>0</v>
      </c>
      <c r="DN126" s="304">
        <f t="shared" si="1679"/>
        <v>0</v>
      </c>
      <c r="DO126" s="297"/>
      <c r="DP126" s="299">
        <f t="shared" si="1782"/>
        <v>6</v>
      </c>
      <c r="DQ126" s="300" t="str">
        <f t="shared" ref="DQ126:DS126" si="1847">IFERROR(VLOOKUP($R126,$A$13:$D$30,-DQ$12,FALSE),"")</f>
        <v>Pasir Besi </v>
      </c>
      <c r="DR126" s="301" t="str">
        <f t="shared" si="1847"/>
        <v>Bijih </v>
      </c>
      <c r="DS126" s="301" t="str">
        <f t="shared" si="1847"/>
        <v>Ton </v>
      </c>
      <c r="DT126" s="294"/>
      <c r="DU126" s="294" t="str">
        <f t="shared" si="1681"/>
        <v/>
      </c>
      <c r="DV126" s="294">
        <f t="shared" si="1682"/>
        <v>0</v>
      </c>
      <c r="DW126" s="302"/>
      <c r="DX126" s="294">
        <f t="shared" si="1683"/>
        <v>0</v>
      </c>
      <c r="DY126" s="410"/>
      <c r="DZ126" s="96"/>
      <c r="EA126" s="96"/>
      <c r="EB126" s="294">
        <f t="shared" si="1684"/>
        <v>0</v>
      </c>
      <c r="EC126" s="302">
        <f t="shared" si="1685"/>
        <v>0.4604471269</v>
      </c>
      <c r="ED126" s="303">
        <f t="shared" si="1686"/>
        <v>0</v>
      </c>
      <c r="EE126" s="304">
        <f t="shared" si="1687"/>
        <v>0</v>
      </c>
      <c r="EF126" s="297"/>
      <c r="EG126" s="299">
        <f t="shared" si="1784"/>
        <v>6</v>
      </c>
      <c r="EH126" s="300" t="str">
        <f t="shared" ref="EH126:EJ126" si="1848">IFERROR(VLOOKUP($R126,$A$13:$D$30,-EH$12,FALSE),"")</f>
        <v>Pasir Besi </v>
      </c>
      <c r="EI126" s="301" t="str">
        <f t="shared" si="1848"/>
        <v>Bijih </v>
      </c>
      <c r="EJ126" s="301" t="str">
        <f t="shared" si="1848"/>
        <v>Ton </v>
      </c>
      <c r="EK126" s="294"/>
      <c r="EL126" s="294" t="str">
        <f t="shared" si="1689"/>
        <v/>
      </c>
      <c r="EM126" s="294">
        <f t="shared" si="1690"/>
        <v>0</v>
      </c>
      <c r="EN126" s="302"/>
      <c r="EO126" s="294">
        <f t="shared" si="1691"/>
        <v>0</v>
      </c>
      <c r="EP126" s="410"/>
      <c r="EQ126" s="96"/>
      <c r="ER126" s="96"/>
      <c r="ES126" s="294">
        <f t="shared" si="1692"/>
        <v>0</v>
      </c>
      <c r="ET126" s="302">
        <f t="shared" si="1693"/>
        <v>0.4604471269</v>
      </c>
      <c r="EU126" s="303">
        <f t="shared" si="1694"/>
        <v>0</v>
      </c>
      <c r="EV126" s="304">
        <f t="shared" si="1695"/>
        <v>0</v>
      </c>
      <c r="EW126" s="297"/>
      <c r="EX126" s="299">
        <f t="shared" si="1786"/>
        <v>6</v>
      </c>
      <c r="EY126" s="300" t="str">
        <f t="shared" ref="EY126:FA126" si="1849">IFERROR(VLOOKUP($R126,$A$13:$D$30,-EY$12,FALSE),"")</f>
        <v>Pasir Besi </v>
      </c>
      <c r="EZ126" s="301" t="str">
        <f t="shared" si="1849"/>
        <v>Bijih </v>
      </c>
      <c r="FA126" s="301" t="str">
        <f t="shared" si="1849"/>
        <v>Ton </v>
      </c>
      <c r="FB126" s="294"/>
      <c r="FC126" s="294" t="str">
        <f t="shared" si="1697"/>
        <v/>
      </c>
      <c r="FD126" s="294">
        <f t="shared" si="1698"/>
        <v>0</v>
      </c>
      <c r="FE126" s="302"/>
      <c r="FF126" s="294">
        <f t="shared" si="1699"/>
        <v>0</v>
      </c>
      <c r="FG126" s="410"/>
      <c r="FH126" s="96"/>
      <c r="FI126" s="96"/>
      <c r="FJ126" s="294">
        <f t="shared" si="1700"/>
        <v>0</v>
      </c>
      <c r="FK126" s="302">
        <f t="shared" si="1701"/>
        <v>0.4604471269</v>
      </c>
      <c r="FL126" s="303">
        <f t="shared" si="1702"/>
        <v>0</v>
      </c>
      <c r="FM126" s="304">
        <f t="shared" si="1703"/>
        <v>0</v>
      </c>
      <c r="FN126" s="297"/>
      <c r="FO126" s="299">
        <f t="shared" si="1788"/>
        <v>6</v>
      </c>
      <c r="FP126" s="300" t="str">
        <f t="shared" ref="FP126:FR126" si="1850">IFERROR(VLOOKUP($R126,$A$13:$D$30,-FP$12,FALSE),"")</f>
        <v>Pasir Besi </v>
      </c>
      <c r="FQ126" s="301" t="str">
        <f t="shared" si="1850"/>
        <v>Bijih </v>
      </c>
      <c r="FR126" s="301" t="str">
        <f t="shared" si="1850"/>
        <v>Ton </v>
      </c>
      <c r="FS126" s="294"/>
      <c r="FT126" s="294" t="str">
        <f t="shared" si="1705"/>
        <v/>
      </c>
      <c r="FU126" s="294">
        <f t="shared" si="1706"/>
        <v>0</v>
      </c>
      <c r="FV126" s="302"/>
      <c r="FW126" s="294">
        <f t="shared" si="1707"/>
        <v>0</v>
      </c>
      <c r="FX126" s="410"/>
      <c r="FY126" s="96"/>
      <c r="FZ126" s="96"/>
      <c r="GA126" s="294">
        <f t="shared" si="1708"/>
        <v>0</v>
      </c>
      <c r="GB126" s="302">
        <f t="shared" si="1709"/>
        <v>0.4604471269</v>
      </c>
      <c r="GC126" s="303">
        <f t="shared" si="1710"/>
        <v>0</v>
      </c>
      <c r="GD126" s="304">
        <f t="shared" si="1711"/>
        <v>0</v>
      </c>
      <c r="GE126" s="297"/>
      <c r="GF126" s="299">
        <f t="shared" si="1790"/>
        <v>6</v>
      </c>
      <c r="GG126" s="300" t="str">
        <f t="shared" ref="GG126:GI126" si="1851">IFERROR(VLOOKUP($R126,$A$13:$D$30,-GG$12,FALSE),"")</f>
        <v>Pasir Besi </v>
      </c>
      <c r="GH126" s="301" t="str">
        <f t="shared" si="1851"/>
        <v>Bijih </v>
      </c>
      <c r="GI126" s="301" t="str">
        <f t="shared" si="1851"/>
        <v>Ton </v>
      </c>
      <c r="GJ126" s="305"/>
      <c r="GK126" s="294" t="str">
        <f t="shared" si="1713"/>
        <v/>
      </c>
      <c r="GL126" s="294">
        <f t="shared" si="1714"/>
        <v>0</v>
      </c>
      <c r="GM126" s="302"/>
      <c r="GN126" s="294">
        <f t="shared" si="1715"/>
        <v>0</v>
      </c>
      <c r="GO126" s="410"/>
      <c r="GP126" s="96"/>
      <c r="GQ126" s="96"/>
      <c r="GR126" s="294">
        <f t="shared" si="1716"/>
        <v>0</v>
      </c>
      <c r="GS126" s="302">
        <f t="shared" si="1717"/>
        <v>0.4604471269</v>
      </c>
      <c r="GT126" s="303">
        <f t="shared" si="1718"/>
        <v>0</v>
      </c>
      <c r="GU126" s="304">
        <f t="shared" si="1719"/>
        <v>0</v>
      </c>
      <c r="GV126" s="297"/>
      <c r="GW126" s="299">
        <f t="shared" si="1792"/>
        <v>6</v>
      </c>
      <c r="GX126" s="300" t="str">
        <f t="shared" ref="GX126:GZ126" si="1852">IFERROR(VLOOKUP($R126,$A$13:$D$30,-GX$12,FALSE),"")</f>
        <v>Pasir Besi </v>
      </c>
      <c r="GY126" s="301" t="str">
        <f t="shared" si="1852"/>
        <v>Bijih </v>
      </c>
      <c r="GZ126" s="301" t="str">
        <f t="shared" si="1852"/>
        <v>Ton </v>
      </c>
      <c r="HA126" s="294"/>
      <c r="HB126" s="294" t="str">
        <f t="shared" si="1721"/>
        <v/>
      </c>
      <c r="HC126" s="294">
        <f t="shared" si="1722"/>
        <v>0</v>
      </c>
      <c r="HD126" s="302"/>
      <c r="HE126" s="294">
        <f t="shared" si="1723"/>
        <v>0</v>
      </c>
      <c r="HF126" s="410"/>
      <c r="HG126" s="96"/>
      <c r="HH126" s="96"/>
      <c r="HI126" s="294">
        <f t="shared" si="1724"/>
        <v>0</v>
      </c>
      <c r="HJ126" s="302">
        <f t="shared" si="1725"/>
        <v>0.4604471269</v>
      </c>
      <c r="HK126" s="303">
        <f t="shared" si="1726"/>
        <v>0</v>
      </c>
      <c r="HL126" s="304">
        <f t="shared" si="1727"/>
        <v>0</v>
      </c>
      <c r="HM126" s="297"/>
      <c r="HN126" s="299">
        <f t="shared" si="1794"/>
        <v>6</v>
      </c>
      <c r="HO126" s="300" t="str">
        <f t="shared" ref="HO126:HQ126" si="1853">IFERROR(VLOOKUP($R126,$A$13:$D$30,-HO$12,FALSE),"")</f>
        <v>Pasir Besi </v>
      </c>
      <c r="HP126" s="301" t="str">
        <f t="shared" si="1853"/>
        <v>Bijih </v>
      </c>
      <c r="HQ126" s="301" t="str">
        <f t="shared" si="1853"/>
        <v>Ton </v>
      </c>
      <c r="HR126" s="294"/>
      <c r="HS126" s="294" t="str">
        <f t="shared" si="1729"/>
        <v/>
      </c>
      <c r="HT126" s="294">
        <f t="shared" si="1730"/>
        <v>0</v>
      </c>
      <c r="HU126" s="302"/>
      <c r="HV126" s="294">
        <f t="shared" si="1731"/>
        <v>0</v>
      </c>
      <c r="HW126" s="410"/>
      <c r="HX126" s="96"/>
      <c r="HY126" s="96"/>
      <c r="HZ126" s="294">
        <f t="shared" si="1732"/>
        <v>0</v>
      </c>
      <c r="IA126" s="302">
        <f t="shared" si="1733"/>
        <v>0.4604471269</v>
      </c>
      <c r="IB126" s="303">
        <f t="shared" si="1734"/>
        <v>0</v>
      </c>
      <c r="IC126" s="304">
        <f t="shared" si="1735"/>
        <v>0</v>
      </c>
      <c r="ID126" s="297"/>
      <c r="IE126" s="299">
        <f t="shared" si="1796"/>
        <v>6</v>
      </c>
      <c r="IF126" s="300" t="str">
        <f t="shared" ref="IF126:IH126" si="1854">IFERROR(VLOOKUP($R126,$A$13:$D$30,-IF$12,FALSE),"")</f>
        <v>Pasir Besi </v>
      </c>
      <c r="IG126" s="301" t="str">
        <f t="shared" si="1854"/>
        <v>Bijih </v>
      </c>
      <c r="IH126" s="301" t="str">
        <f t="shared" si="1854"/>
        <v>Ton </v>
      </c>
      <c r="II126" s="294"/>
      <c r="IJ126" s="294" t="str">
        <f t="shared" si="1737"/>
        <v/>
      </c>
      <c r="IK126" s="294">
        <f t="shared" si="1738"/>
        <v>0</v>
      </c>
      <c r="IL126" s="302"/>
      <c r="IM126" s="294">
        <f t="shared" si="1739"/>
        <v>0</v>
      </c>
      <c r="IN126" s="410"/>
      <c r="IO126" s="96"/>
      <c r="IP126" s="96"/>
      <c r="IQ126" s="294">
        <f t="shared" si="1740"/>
        <v>0</v>
      </c>
      <c r="IR126" s="302">
        <f t="shared" si="1741"/>
        <v>0.4604471269</v>
      </c>
      <c r="IS126" s="303">
        <f t="shared" si="1742"/>
        <v>0</v>
      </c>
      <c r="IT126" s="304">
        <f t="shared" si="1743"/>
        <v>0</v>
      </c>
      <c r="IU126" s="297"/>
      <c r="IV126" s="299">
        <f t="shared" si="1798"/>
        <v>6</v>
      </c>
      <c r="IW126" s="300" t="str">
        <f t="shared" ref="IW126:IY126" si="1855">IFERROR(VLOOKUP($R126,$A$13:$D$30,-IW$12,FALSE),"")</f>
        <v>Pasir Besi </v>
      </c>
      <c r="IX126" s="301" t="str">
        <f t="shared" si="1855"/>
        <v>Bijih </v>
      </c>
      <c r="IY126" s="301" t="str">
        <f t="shared" si="1855"/>
        <v>Ton </v>
      </c>
      <c r="IZ126" s="294"/>
      <c r="JA126" s="294" t="str">
        <f t="shared" si="1745"/>
        <v/>
      </c>
      <c r="JB126" s="294">
        <f t="shared" si="1746"/>
        <v>0</v>
      </c>
      <c r="JC126" s="302"/>
      <c r="JD126" s="294">
        <f t="shared" si="1747"/>
        <v>0</v>
      </c>
      <c r="JE126" s="410"/>
      <c r="JF126" s="96"/>
      <c r="JG126" s="96"/>
      <c r="JH126" s="294">
        <f t="shared" si="1748"/>
        <v>0</v>
      </c>
      <c r="JI126" s="302">
        <f t="shared" si="1749"/>
        <v>0.4604471269</v>
      </c>
      <c r="JJ126" s="303">
        <f t="shared" si="1750"/>
        <v>0</v>
      </c>
      <c r="JK126" s="304">
        <f t="shared" si="1751"/>
        <v>0</v>
      </c>
      <c r="JL126" s="297"/>
      <c r="JM126" s="299">
        <f t="shared" si="1800"/>
        <v>6</v>
      </c>
      <c r="JN126" s="300" t="str">
        <f t="shared" ref="JN126:JP126" si="1856">IFERROR(VLOOKUP($R126,$A$13:$D$30,-JN$12,FALSE),"")</f>
        <v>Pasir Besi </v>
      </c>
      <c r="JO126" s="301" t="str">
        <f t="shared" si="1856"/>
        <v>Bijih </v>
      </c>
      <c r="JP126" s="301" t="str">
        <f t="shared" si="1856"/>
        <v>Ton </v>
      </c>
      <c r="JQ126" s="294"/>
      <c r="JR126" s="294" t="str">
        <f t="shared" si="1753"/>
        <v/>
      </c>
      <c r="JS126" s="294">
        <f t="shared" si="1754"/>
        <v>0</v>
      </c>
      <c r="JT126" s="302"/>
      <c r="JU126" s="294">
        <f t="shared" si="1755"/>
        <v>0</v>
      </c>
      <c r="JV126" s="410"/>
      <c r="JW126" s="96"/>
      <c r="JX126" s="96"/>
      <c r="JY126" s="294">
        <f t="shared" si="1756"/>
        <v>0</v>
      </c>
      <c r="JZ126" s="302">
        <f t="shared" si="1757"/>
        <v>0.4604471269</v>
      </c>
      <c r="KA126" s="303">
        <f t="shared" si="1758"/>
        <v>0</v>
      </c>
      <c r="KB126" s="304">
        <f t="shared" si="1759"/>
        <v>0</v>
      </c>
      <c r="KC126" s="297"/>
      <c r="KD126" s="299">
        <f t="shared" si="1802"/>
        <v>6</v>
      </c>
      <c r="KE126" s="300" t="str">
        <f t="shared" ref="KE126:KG126" si="1857">IFERROR(VLOOKUP($R126,$A$13:$D$30,-KE$12,FALSE),"")</f>
        <v>Pasir Besi </v>
      </c>
      <c r="KF126" s="301" t="str">
        <f t="shared" si="1857"/>
        <v>Bijih </v>
      </c>
      <c r="KG126" s="301" t="str">
        <f t="shared" si="1857"/>
        <v>Ton </v>
      </c>
      <c r="KH126" s="294"/>
      <c r="KI126" s="294" t="str">
        <f t="shared" si="1761"/>
        <v/>
      </c>
      <c r="KJ126" s="294">
        <f t="shared" si="1762"/>
        <v>0</v>
      </c>
      <c r="KK126" s="302"/>
      <c r="KL126" s="294">
        <f t="shared" si="1763"/>
        <v>0</v>
      </c>
      <c r="KM126" s="410"/>
      <c r="KN126" s="96"/>
      <c r="KO126" s="96"/>
      <c r="KP126" s="294">
        <f t="shared" si="1764"/>
        <v>0</v>
      </c>
      <c r="KQ126" s="302">
        <f t="shared" si="1765"/>
        <v>0.4604471269</v>
      </c>
      <c r="KR126" s="303">
        <f t="shared" si="1766"/>
        <v>0</v>
      </c>
      <c r="KS126" s="304">
        <f t="shared" si="1767"/>
        <v>0</v>
      </c>
      <c r="KT126" s="297"/>
      <c r="KU126" s="298"/>
    </row>
    <row r="127" ht="15.75" customHeight="1">
      <c r="A127" s="299">
        <f t="shared" si="1768"/>
        <v>7</v>
      </c>
      <c r="B127" s="300" t="str">
        <f t="shared" ref="B127:D127" si="1858">IFERROR(VLOOKUP($A127,$A$13:$D$30,-B$12,FALSE),"")</f>
        <v>Timah</v>
      </c>
      <c r="C127" s="301" t="str">
        <f t="shared" si="1858"/>
        <v>Bijih </v>
      </c>
      <c r="D127" s="301" t="str">
        <f t="shared" si="1858"/>
        <v>Ton </v>
      </c>
      <c r="E127" s="294"/>
      <c r="F127" s="294" t="str">
        <f t="shared" si="1625"/>
        <v/>
      </c>
      <c r="G127" s="294">
        <f t="shared" si="1626"/>
        <v>0</v>
      </c>
      <c r="H127" s="302"/>
      <c r="I127" s="294">
        <f t="shared" si="1627"/>
        <v>0</v>
      </c>
      <c r="J127" s="410"/>
      <c r="K127" s="96"/>
      <c r="L127" s="96"/>
      <c r="M127" s="294">
        <f t="shared" si="1628"/>
        <v>0</v>
      </c>
      <c r="N127" s="302">
        <f t="shared" si="1629"/>
        <v>0.4604471269</v>
      </c>
      <c r="O127" s="303">
        <f t="shared" si="1630"/>
        <v>0</v>
      </c>
      <c r="P127" s="304">
        <f t="shared" si="1631"/>
        <v>0</v>
      </c>
      <c r="Q127" s="297"/>
      <c r="R127" s="299">
        <f t="shared" si="1770"/>
        <v>7</v>
      </c>
      <c r="S127" s="300" t="str">
        <f t="shared" ref="S127:U127" si="1859">IFERROR(VLOOKUP($R127,$A$13:$D$30,-S$12,FALSE),"")</f>
        <v>Timah</v>
      </c>
      <c r="T127" s="301" t="str">
        <f t="shared" si="1859"/>
        <v>Bijih </v>
      </c>
      <c r="U127" s="301" t="str">
        <f t="shared" si="1859"/>
        <v>Ton </v>
      </c>
      <c r="V127" s="294"/>
      <c r="W127" s="294" t="str">
        <f t="shared" si="1633"/>
        <v/>
      </c>
      <c r="X127" s="294">
        <f t="shared" si="1634"/>
        <v>0</v>
      </c>
      <c r="Y127" s="302"/>
      <c r="Z127" s="294">
        <f t="shared" si="1635"/>
        <v>0</v>
      </c>
      <c r="AA127" s="410"/>
      <c r="AB127" s="96"/>
      <c r="AC127" s="96"/>
      <c r="AD127" s="294">
        <f t="shared" si="1636"/>
        <v>0</v>
      </c>
      <c r="AE127" s="302">
        <f t="shared" si="1637"/>
        <v>0.4604471269</v>
      </c>
      <c r="AF127" s="303">
        <f t="shared" si="1638"/>
        <v>0</v>
      </c>
      <c r="AG127" s="304">
        <f t="shared" si="1639"/>
        <v>0</v>
      </c>
      <c r="AH127" s="297"/>
      <c r="AI127" s="299">
        <f t="shared" si="1772"/>
        <v>7</v>
      </c>
      <c r="AJ127" s="300" t="str">
        <f t="shared" ref="AJ127:AL127" si="1860">IFERROR(VLOOKUP($R127,$A$13:$D$30,-AJ$12,FALSE),"")</f>
        <v>Timah</v>
      </c>
      <c r="AK127" s="301" t="str">
        <f t="shared" si="1860"/>
        <v>Bijih </v>
      </c>
      <c r="AL127" s="301" t="str">
        <f t="shared" si="1860"/>
        <v>Ton </v>
      </c>
      <c r="AM127" s="294"/>
      <c r="AN127" s="294" t="str">
        <f t="shared" si="1641"/>
        <v/>
      </c>
      <c r="AO127" s="294">
        <f t="shared" si="1642"/>
        <v>0</v>
      </c>
      <c r="AP127" s="302"/>
      <c r="AQ127" s="294">
        <f t="shared" si="1643"/>
        <v>0</v>
      </c>
      <c r="AR127" s="410"/>
      <c r="AS127" s="96"/>
      <c r="AT127" s="96"/>
      <c r="AU127" s="294">
        <f t="shared" si="1644"/>
        <v>0</v>
      </c>
      <c r="AV127" s="302">
        <f t="shared" si="1645"/>
        <v>0.4604471269</v>
      </c>
      <c r="AW127" s="303">
        <f t="shared" si="1646"/>
        <v>0</v>
      </c>
      <c r="AX127" s="304">
        <f t="shared" si="1647"/>
        <v>0</v>
      </c>
      <c r="AY127" s="297"/>
      <c r="AZ127" s="299">
        <f t="shared" si="1774"/>
        <v>7</v>
      </c>
      <c r="BA127" s="300" t="str">
        <f t="shared" ref="BA127:BC127" si="1861">IFERROR(VLOOKUP($R127,$A$13:$D$30,-BA$12,FALSE),"")</f>
        <v>Timah</v>
      </c>
      <c r="BB127" s="301" t="str">
        <f t="shared" si="1861"/>
        <v>Bijih </v>
      </c>
      <c r="BC127" s="301" t="str">
        <f t="shared" si="1861"/>
        <v>Ton </v>
      </c>
      <c r="BD127" s="294"/>
      <c r="BE127" s="294" t="str">
        <f t="shared" si="1649"/>
        <v/>
      </c>
      <c r="BF127" s="294">
        <f t="shared" si="1650"/>
        <v>0</v>
      </c>
      <c r="BG127" s="302"/>
      <c r="BH127" s="294">
        <f t="shared" si="1651"/>
        <v>0</v>
      </c>
      <c r="BI127" s="410"/>
      <c r="BJ127" s="96"/>
      <c r="BK127" s="96"/>
      <c r="BL127" s="294">
        <f t="shared" si="1652"/>
        <v>0</v>
      </c>
      <c r="BM127" s="302">
        <f t="shared" si="1653"/>
        <v>0.4604471269</v>
      </c>
      <c r="BN127" s="303">
        <f t="shared" si="1654"/>
        <v>0</v>
      </c>
      <c r="BO127" s="304">
        <f t="shared" si="1655"/>
        <v>0</v>
      </c>
      <c r="BP127" s="297"/>
      <c r="BQ127" s="299">
        <f t="shared" si="1776"/>
        <v>7</v>
      </c>
      <c r="BR127" s="300" t="str">
        <f t="shared" ref="BR127:BT127" si="1862">IFERROR(VLOOKUP($R127,$A$13:$D$30,-BR$12,FALSE),"")</f>
        <v>Timah</v>
      </c>
      <c r="BS127" s="301" t="str">
        <f t="shared" si="1862"/>
        <v>Bijih </v>
      </c>
      <c r="BT127" s="301" t="str">
        <f t="shared" si="1862"/>
        <v>Ton </v>
      </c>
      <c r="BU127" s="294"/>
      <c r="BV127" s="294" t="str">
        <f t="shared" si="1657"/>
        <v/>
      </c>
      <c r="BW127" s="294">
        <f t="shared" si="1658"/>
        <v>0</v>
      </c>
      <c r="BX127" s="302"/>
      <c r="BY127" s="294">
        <f t="shared" si="1659"/>
        <v>0</v>
      </c>
      <c r="BZ127" s="410"/>
      <c r="CA127" s="96"/>
      <c r="CB127" s="96"/>
      <c r="CC127" s="294">
        <f t="shared" si="1660"/>
        <v>0</v>
      </c>
      <c r="CD127" s="302">
        <f t="shared" si="1661"/>
        <v>0.4604471269</v>
      </c>
      <c r="CE127" s="303">
        <f t="shared" si="1662"/>
        <v>0</v>
      </c>
      <c r="CF127" s="304">
        <f t="shared" si="1663"/>
        <v>0</v>
      </c>
      <c r="CG127" s="297"/>
      <c r="CH127" s="299">
        <f t="shared" si="1778"/>
        <v>7</v>
      </c>
      <c r="CI127" s="300" t="str">
        <f t="shared" ref="CI127:CK127" si="1863">IFERROR(VLOOKUP($R127,$A$13:$D$30,-CI$12,FALSE),"")</f>
        <v>Timah</v>
      </c>
      <c r="CJ127" s="301" t="str">
        <f t="shared" si="1863"/>
        <v>Bijih </v>
      </c>
      <c r="CK127" s="301" t="str">
        <f t="shared" si="1863"/>
        <v>Ton </v>
      </c>
      <c r="CL127" s="294"/>
      <c r="CM127" s="294" t="str">
        <f t="shared" si="1665"/>
        <v/>
      </c>
      <c r="CN127" s="294">
        <f t="shared" si="1666"/>
        <v>0</v>
      </c>
      <c r="CO127" s="302"/>
      <c r="CP127" s="294">
        <f t="shared" si="1667"/>
        <v>0</v>
      </c>
      <c r="CQ127" s="410"/>
      <c r="CR127" s="96"/>
      <c r="CS127" s="96"/>
      <c r="CT127" s="294">
        <f t="shared" si="1668"/>
        <v>0</v>
      </c>
      <c r="CU127" s="302">
        <f t="shared" si="1669"/>
        <v>0.4604471269</v>
      </c>
      <c r="CV127" s="303">
        <f t="shared" si="1670"/>
        <v>0</v>
      </c>
      <c r="CW127" s="304">
        <f t="shared" si="1671"/>
        <v>0</v>
      </c>
      <c r="CX127" s="297"/>
      <c r="CY127" s="299">
        <f t="shared" si="1780"/>
        <v>7</v>
      </c>
      <c r="CZ127" s="300" t="str">
        <f t="shared" ref="CZ127:DB127" si="1864">IFERROR(VLOOKUP($R127,$A$13:$D$30,-CZ$12,FALSE),"")</f>
        <v>Timah</v>
      </c>
      <c r="DA127" s="301" t="str">
        <f t="shared" si="1864"/>
        <v>Bijih </v>
      </c>
      <c r="DB127" s="301" t="str">
        <f t="shared" si="1864"/>
        <v>Ton </v>
      </c>
      <c r="DC127" s="294"/>
      <c r="DD127" s="294" t="str">
        <f t="shared" si="1673"/>
        <v/>
      </c>
      <c r="DE127" s="294">
        <f t="shared" si="1674"/>
        <v>0</v>
      </c>
      <c r="DF127" s="302"/>
      <c r="DG127" s="294">
        <f t="shared" si="1675"/>
        <v>0</v>
      </c>
      <c r="DH127" s="410"/>
      <c r="DI127" s="96"/>
      <c r="DJ127" s="96"/>
      <c r="DK127" s="294">
        <f t="shared" si="1676"/>
        <v>0</v>
      </c>
      <c r="DL127" s="302">
        <f t="shared" si="1677"/>
        <v>0.4604471269</v>
      </c>
      <c r="DM127" s="303">
        <f t="shared" si="1678"/>
        <v>0</v>
      </c>
      <c r="DN127" s="304">
        <f t="shared" si="1679"/>
        <v>0</v>
      </c>
      <c r="DO127" s="297"/>
      <c r="DP127" s="299">
        <f t="shared" si="1782"/>
        <v>7</v>
      </c>
      <c r="DQ127" s="300" t="str">
        <f t="shared" ref="DQ127:DS127" si="1865">IFERROR(VLOOKUP($R127,$A$13:$D$30,-DQ$12,FALSE),"")</f>
        <v>Timah</v>
      </c>
      <c r="DR127" s="301" t="str">
        <f t="shared" si="1865"/>
        <v>Bijih </v>
      </c>
      <c r="DS127" s="301" t="str">
        <f t="shared" si="1865"/>
        <v>Ton </v>
      </c>
      <c r="DT127" s="294"/>
      <c r="DU127" s="294" t="str">
        <f t="shared" si="1681"/>
        <v/>
      </c>
      <c r="DV127" s="294">
        <f t="shared" si="1682"/>
        <v>0</v>
      </c>
      <c r="DW127" s="302"/>
      <c r="DX127" s="294">
        <f t="shared" si="1683"/>
        <v>0</v>
      </c>
      <c r="DY127" s="410"/>
      <c r="DZ127" s="96"/>
      <c r="EA127" s="96"/>
      <c r="EB127" s="294">
        <f t="shared" si="1684"/>
        <v>0</v>
      </c>
      <c r="EC127" s="302">
        <f t="shared" si="1685"/>
        <v>0.4604471269</v>
      </c>
      <c r="ED127" s="303">
        <f t="shared" si="1686"/>
        <v>0</v>
      </c>
      <c r="EE127" s="304">
        <f t="shared" si="1687"/>
        <v>0</v>
      </c>
      <c r="EF127" s="297"/>
      <c r="EG127" s="299">
        <f t="shared" si="1784"/>
        <v>7</v>
      </c>
      <c r="EH127" s="300" t="str">
        <f t="shared" ref="EH127:EJ127" si="1866">IFERROR(VLOOKUP($R127,$A$13:$D$30,-EH$12,FALSE),"")</f>
        <v>Timah</v>
      </c>
      <c r="EI127" s="301" t="str">
        <f t="shared" si="1866"/>
        <v>Bijih </v>
      </c>
      <c r="EJ127" s="301" t="str">
        <f t="shared" si="1866"/>
        <v>Ton </v>
      </c>
      <c r="EK127" s="294"/>
      <c r="EL127" s="294" t="str">
        <f t="shared" si="1689"/>
        <v/>
      </c>
      <c r="EM127" s="294">
        <f t="shared" si="1690"/>
        <v>0</v>
      </c>
      <c r="EN127" s="302"/>
      <c r="EO127" s="294">
        <f t="shared" si="1691"/>
        <v>0</v>
      </c>
      <c r="EP127" s="410"/>
      <c r="EQ127" s="96"/>
      <c r="ER127" s="96"/>
      <c r="ES127" s="294">
        <f t="shared" si="1692"/>
        <v>0</v>
      </c>
      <c r="ET127" s="302">
        <f t="shared" si="1693"/>
        <v>0.4604471269</v>
      </c>
      <c r="EU127" s="303">
        <f t="shared" si="1694"/>
        <v>0</v>
      </c>
      <c r="EV127" s="304">
        <f t="shared" si="1695"/>
        <v>0</v>
      </c>
      <c r="EW127" s="297"/>
      <c r="EX127" s="299">
        <f t="shared" si="1786"/>
        <v>7</v>
      </c>
      <c r="EY127" s="300" t="str">
        <f t="shared" ref="EY127:FA127" si="1867">IFERROR(VLOOKUP($R127,$A$13:$D$30,-EY$12,FALSE),"")</f>
        <v>Timah</v>
      </c>
      <c r="EZ127" s="301" t="str">
        <f t="shared" si="1867"/>
        <v>Bijih </v>
      </c>
      <c r="FA127" s="301" t="str">
        <f t="shared" si="1867"/>
        <v>Ton </v>
      </c>
      <c r="FB127" s="294"/>
      <c r="FC127" s="294" t="str">
        <f t="shared" si="1697"/>
        <v/>
      </c>
      <c r="FD127" s="294">
        <f t="shared" si="1698"/>
        <v>0</v>
      </c>
      <c r="FE127" s="302"/>
      <c r="FF127" s="294">
        <f t="shared" si="1699"/>
        <v>0</v>
      </c>
      <c r="FG127" s="410"/>
      <c r="FH127" s="96"/>
      <c r="FI127" s="96"/>
      <c r="FJ127" s="294">
        <f t="shared" si="1700"/>
        <v>0</v>
      </c>
      <c r="FK127" s="302">
        <f t="shared" si="1701"/>
        <v>0.4604471269</v>
      </c>
      <c r="FL127" s="303">
        <f t="shared" si="1702"/>
        <v>0</v>
      </c>
      <c r="FM127" s="304">
        <f t="shared" si="1703"/>
        <v>0</v>
      </c>
      <c r="FN127" s="297"/>
      <c r="FO127" s="299">
        <f t="shared" si="1788"/>
        <v>7</v>
      </c>
      <c r="FP127" s="300" t="str">
        <f t="shared" ref="FP127:FR127" si="1868">IFERROR(VLOOKUP($R127,$A$13:$D$30,-FP$12,FALSE),"")</f>
        <v>Timah</v>
      </c>
      <c r="FQ127" s="301" t="str">
        <f t="shared" si="1868"/>
        <v>Bijih </v>
      </c>
      <c r="FR127" s="301" t="str">
        <f t="shared" si="1868"/>
        <v>Ton </v>
      </c>
      <c r="FS127" s="294"/>
      <c r="FT127" s="294" t="str">
        <f t="shared" si="1705"/>
        <v/>
      </c>
      <c r="FU127" s="294">
        <f t="shared" si="1706"/>
        <v>0</v>
      </c>
      <c r="FV127" s="302"/>
      <c r="FW127" s="294">
        <f t="shared" si="1707"/>
        <v>0</v>
      </c>
      <c r="FX127" s="410"/>
      <c r="FY127" s="96"/>
      <c r="FZ127" s="96"/>
      <c r="GA127" s="294">
        <f t="shared" si="1708"/>
        <v>0</v>
      </c>
      <c r="GB127" s="302">
        <f t="shared" si="1709"/>
        <v>0.4604471269</v>
      </c>
      <c r="GC127" s="303">
        <f t="shared" si="1710"/>
        <v>0</v>
      </c>
      <c r="GD127" s="304">
        <f t="shared" si="1711"/>
        <v>0</v>
      </c>
      <c r="GE127" s="297"/>
      <c r="GF127" s="299">
        <f t="shared" si="1790"/>
        <v>7</v>
      </c>
      <c r="GG127" s="300" t="str">
        <f t="shared" ref="GG127:GI127" si="1869">IFERROR(VLOOKUP($R127,$A$13:$D$30,-GG$12,FALSE),"")</f>
        <v>Timah</v>
      </c>
      <c r="GH127" s="301" t="str">
        <f t="shared" si="1869"/>
        <v>Bijih </v>
      </c>
      <c r="GI127" s="301" t="str">
        <f t="shared" si="1869"/>
        <v>Ton </v>
      </c>
      <c r="GJ127" s="294"/>
      <c r="GK127" s="294" t="str">
        <f t="shared" si="1713"/>
        <v/>
      </c>
      <c r="GL127" s="294">
        <f t="shared" si="1714"/>
        <v>0</v>
      </c>
      <c r="GM127" s="302"/>
      <c r="GN127" s="294">
        <f t="shared" si="1715"/>
        <v>0</v>
      </c>
      <c r="GO127" s="410"/>
      <c r="GP127" s="96"/>
      <c r="GQ127" s="96"/>
      <c r="GR127" s="294">
        <f t="shared" si="1716"/>
        <v>0</v>
      </c>
      <c r="GS127" s="302">
        <f t="shared" si="1717"/>
        <v>0.4604471269</v>
      </c>
      <c r="GT127" s="303">
        <f t="shared" si="1718"/>
        <v>0</v>
      </c>
      <c r="GU127" s="304">
        <f t="shared" si="1719"/>
        <v>0</v>
      </c>
      <c r="GV127" s="297"/>
      <c r="GW127" s="299">
        <f t="shared" si="1792"/>
        <v>7</v>
      </c>
      <c r="GX127" s="300" t="str">
        <f t="shared" ref="GX127:GZ127" si="1870">IFERROR(VLOOKUP($R127,$A$13:$D$30,-GX$12,FALSE),"")</f>
        <v>Timah</v>
      </c>
      <c r="GY127" s="301" t="str">
        <f t="shared" si="1870"/>
        <v>Bijih </v>
      </c>
      <c r="GZ127" s="301" t="str">
        <f t="shared" si="1870"/>
        <v>Ton </v>
      </c>
      <c r="HA127" s="294"/>
      <c r="HB127" s="294" t="str">
        <f t="shared" si="1721"/>
        <v/>
      </c>
      <c r="HC127" s="294">
        <f t="shared" si="1722"/>
        <v>0</v>
      </c>
      <c r="HD127" s="302"/>
      <c r="HE127" s="294">
        <f t="shared" si="1723"/>
        <v>0</v>
      </c>
      <c r="HF127" s="410"/>
      <c r="HG127" s="96"/>
      <c r="HH127" s="96"/>
      <c r="HI127" s="294">
        <f t="shared" si="1724"/>
        <v>0</v>
      </c>
      <c r="HJ127" s="302">
        <f t="shared" si="1725"/>
        <v>0.4604471269</v>
      </c>
      <c r="HK127" s="303">
        <f t="shared" si="1726"/>
        <v>0</v>
      </c>
      <c r="HL127" s="304">
        <f t="shared" si="1727"/>
        <v>0</v>
      </c>
      <c r="HM127" s="297"/>
      <c r="HN127" s="299">
        <f t="shared" si="1794"/>
        <v>7</v>
      </c>
      <c r="HO127" s="300" t="str">
        <f t="shared" ref="HO127:HQ127" si="1871">IFERROR(VLOOKUP($R127,$A$13:$D$30,-HO$12,FALSE),"")</f>
        <v>Timah</v>
      </c>
      <c r="HP127" s="301" t="str">
        <f t="shared" si="1871"/>
        <v>Bijih </v>
      </c>
      <c r="HQ127" s="301" t="str">
        <f t="shared" si="1871"/>
        <v>Ton </v>
      </c>
      <c r="HR127" s="294"/>
      <c r="HS127" s="294" t="str">
        <f t="shared" si="1729"/>
        <v/>
      </c>
      <c r="HT127" s="294">
        <f t="shared" si="1730"/>
        <v>0</v>
      </c>
      <c r="HU127" s="302"/>
      <c r="HV127" s="294">
        <f t="shared" si="1731"/>
        <v>0</v>
      </c>
      <c r="HW127" s="410"/>
      <c r="HX127" s="96"/>
      <c r="HY127" s="96"/>
      <c r="HZ127" s="294">
        <f t="shared" si="1732"/>
        <v>0</v>
      </c>
      <c r="IA127" s="302">
        <f t="shared" si="1733"/>
        <v>0.4604471269</v>
      </c>
      <c r="IB127" s="303">
        <f t="shared" si="1734"/>
        <v>0</v>
      </c>
      <c r="IC127" s="304">
        <f t="shared" si="1735"/>
        <v>0</v>
      </c>
      <c r="ID127" s="297"/>
      <c r="IE127" s="299">
        <f t="shared" si="1796"/>
        <v>7</v>
      </c>
      <c r="IF127" s="300" t="str">
        <f t="shared" ref="IF127:IH127" si="1872">IFERROR(VLOOKUP($R127,$A$13:$D$30,-IF$12,FALSE),"")</f>
        <v>Timah</v>
      </c>
      <c r="IG127" s="301" t="str">
        <f t="shared" si="1872"/>
        <v>Bijih </v>
      </c>
      <c r="IH127" s="301" t="str">
        <f t="shared" si="1872"/>
        <v>Ton </v>
      </c>
      <c r="II127" s="294"/>
      <c r="IJ127" s="294" t="str">
        <f t="shared" si="1737"/>
        <v/>
      </c>
      <c r="IK127" s="294">
        <f t="shared" si="1738"/>
        <v>0</v>
      </c>
      <c r="IL127" s="302"/>
      <c r="IM127" s="294">
        <f t="shared" si="1739"/>
        <v>0</v>
      </c>
      <c r="IN127" s="410"/>
      <c r="IO127" s="96"/>
      <c r="IP127" s="96"/>
      <c r="IQ127" s="294">
        <f t="shared" si="1740"/>
        <v>0</v>
      </c>
      <c r="IR127" s="302">
        <f t="shared" si="1741"/>
        <v>0.4604471269</v>
      </c>
      <c r="IS127" s="303">
        <f t="shared" si="1742"/>
        <v>0</v>
      </c>
      <c r="IT127" s="304">
        <f t="shared" si="1743"/>
        <v>0</v>
      </c>
      <c r="IU127" s="297"/>
      <c r="IV127" s="299">
        <f t="shared" si="1798"/>
        <v>7</v>
      </c>
      <c r="IW127" s="300" t="str">
        <f t="shared" ref="IW127:IY127" si="1873">IFERROR(VLOOKUP($R127,$A$13:$D$30,-IW$12,FALSE),"")</f>
        <v>Timah</v>
      </c>
      <c r="IX127" s="301" t="str">
        <f t="shared" si="1873"/>
        <v>Bijih </v>
      </c>
      <c r="IY127" s="301" t="str">
        <f t="shared" si="1873"/>
        <v>Ton </v>
      </c>
      <c r="IZ127" s="294"/>
      <c r="JA127" s="294" t="str">
        <f t="shared" si="1745"/>
        <v/>
      </c>
      <c r="JB127" s="294">
        <f t="shared" si="1746"/>
        <v>0</v>
      </c>
      <c r="JC127" s="302"/>
      <c r="JD127" s="294">
        <f t="shared" si="1747"/>
        <v>0</v>
      </c>
      <c r="JE127" s="410"/>
      <c r="JF127" s="96"/>
      <c r="JG127" s="96"/>
      <c r="JH127" s="294">
        <f t="shared" si="1748"/>
        <v>0</v>
      </c>
      <c r="JI127" s="302">
        <f t="shared" si="1749"/>
        <v>0.4604471269</v>
      </c>
      <c r="JJ127" s="303">
        <f t="shared" si="1750"/>
        <v>0</v>
      </c>
      <c r="JK127" s="304">
        <f t="shared" si="1751"/>
        <v>0</v>
      </c>
      <c r="JL127" s="297"/>
      <c r="JM127" s="299">
        <f t="shared" si="1800"/>
        <v>7</v>
      </c>
      <c r="JN127" s="300" t="str">
        <f t="shared" ref="JN127:JP127" si="1874">IFERROR(VLOOKUP($R127,$A$13:$D$30,-JN$12,FALSE),"")</f>
        <v>Timah</v>
      </c>
      <c r="JO127" s="301" t="str">
        <f t="shared" si="1874"/>
        <v>Bijih </v>
      </c>
      <c r="JP127" s="301" t="str">
        <f t="shared" si="1874"/>
        <v>Ton </v>
      </c>
      <c r="JQ127" s="294"/>
      <c r="JR127" s="294" t="str">
        <f t="shared" si="1753"/>
        <v/>
      </c>
      <c r="JS127" s="294">
        <f t="shared" si="1754"/>
        <v>0</v>
      </c>
      <c r="JT127" s="302"/>
      <c r="JU127" s="294">
        <f t="shared" si="1755"/>
        <v>0</v>
      </c>
      <c r="JV127" s="410"/>
      <c r="JW127" s="96"/>
      <c r="JX127" s="96"/>
      <c r="JY127" s="294">
        <f t="shared" si="1756"/>
        <v>0</v>
      </c>
      <c r="JZ127" s="302">
        <f t="shared" si="1757"/>
        <v>0.4604471269</v>
      </c>
      <c r="KA127" s="303">
        <f t="shared" si="1758"/>
        <v>0</v>
      </c>
      <c r="KB127" s="304">
        <f t="shared" si="1759"/>
        <v>0</v>
      </c>
      <c r="KC127" s="297"/>
      <c r="KD127" s="299">
        <f t="shared" si="1802"/>
        <v>7</v>
      </c>
      <c r="KE127" s="300" t="str">
        <f t="shared" ref="KE127:KG127" si="1875">IFERROR(VLOOKUP($R127,$A$13:$D$30,-KE$12,FALSE),"")</f>
        <v>Timah</v>
      </c>
      <c r="KF127" s="301" t="str">
        <f t="shared" si="1875"/>
        <v>Bijih </v>
      </c>
      <c r="KG127" s="301" t="str">
        <f t="shared" si="1875"/>
        <v>Ton </v>
      </c>
      <c r="KH127" s="294"/>
      <c r="KI127" s="294" t="str">
        <f t="shared" si="1761"/>
        <v/>
      </c>
      <c r="KJ127" s="294">
        <f t="shared" si="1762"/>
        <v>0</v>
      </c>
      <c r="KK127" s="302"/>
      <c r="KL127" s="294">
        <f t="shared" si="1763"/>
        <v>0</v>
      </c>
      <c r="KM127" s="410"/>
      <c r="KN127" s="96"/>
      <c r="KO127" s="96"/>
      <c r="KP127" s="294">
        <f t="shared" si="1764"/>
        <v>0</v>
      </c>
      <c r="KQ127" s="302">
        <f t="shared" si="1765"/>
        <v>0.4604471269</v>
      </c>
      <c r="KR127" s="303">
        <f t="shared" si="1766"/>
        <v>0</v>
      </c>
      <c r="KS127" s="304">
        <f t="shared" si="1767"/>
        <v>0</v>
      </c>
      <c r="KT127" s="297"/>
      <c r="KU127" s="298"/>
    </row>
    <row r="128" ht="15.75" customHeight="1">
      <c r="A128" s="299">
        <f t="shared" si="1768"/>
        <v>8</v>
      </c>
      <c r="B128" s="300" t="str">
        <f t="shared" ref="B128:D128" si="1876">IFERROR(VLOOKUP($A128,$A$13:$D$30,-B$12,FALSE),"")</f>
        <v>Mangan</v>
      </c>
      <c r="C128" s="301" t="str">
        <f t="shared" si="1876"/>
        <v>Bijih </v>
      </c>
      <c r="D128" s="301" t="str">
        <f t="shared" si="1876"/>
        <v>Ton </v>
      </c>
      <c r="E128" s="294"/>
      <c r="F128" s="294" t="str">
        <f t="shared" si="1625"/>
        <v/>
      </c>
      <c r="G128" s="294">
        <f t="shared" si="1626"/>
        <v>0</v>
      </c>
      <c r="H128" s="302"/>
      <c r="I128" s="294">
        <f t="shared" si="1627"/>
        <v>0</v>
      </c>
      <c r="J128" s="410"/>
      <c r="K128" s="96"/>
      <c r="L128" s="96"/>
      <c r="M128" s="294">
        <f t="shared" si="1628"/>
        <v>0</v>
      </c>
      <c r="N128" s="302">
        <f t="shared" si="1629"/>
        <v>0.4604471269</v>
      </c>
      <c r="O128" s="303">
        <f t="shared" si="1630"/>
        <v>0</v>
      </c>
      <c r="P128" s="304">
        <f t="shared" si="1631"/>
        <v>0</v>
      </c>
      <c r="Q128" s="297"/>
      <c r="R128" s="299">
        <f t="shared" si="1770"/>
        <v>8</v>
      </c>
      <c r="S128" s="300" t="str">
        <f t="shared" ref="S128:U128" si="1877">IFERROR(VLOOKUP($R128,$A$13:$D$30,-S$12,FALSE),"")</f>
        <v>Mangan</v>
      </c>
      <c r="T128" s="301" t="str">
        <f t="shared" si="1877"/>
        <v>Bijih </v>
      </c>
      <c r="U128" s="301" t="str">
        <f t="shared" si="1877"/>
        <v>Ton </v>
      </c>
      <c r="V128" s="294"/>
      <c r="W128" s="294" t="str">
        <f t="shared" si="1633"/>
        <v/>
      </c>
      <c r="X128" s="294">
        <f t="shared" si="1634"/>
        <v>0</v>
      </c>
      <c r="Y128" s="302"/>
      <c r="Z128" s="294">
        <f t="shared" si="1635"/>
        <v>0</v>
      </c>
      <c r="AA128" s="410"/>
      <c r="AB128" s="96"/>
      <c r="AC128" s="96"/>
      <c r="AD128" s="294">
        <f t="shared" si="1636"/>
        <v>0</v>
      </c>
      <c r="AE128" s="302">
        <f t="shared" si="1637"/>
        <v>0.4604471269</v>
      </c>
      <c r="AF128" s="303">
        <f t="shared" si="1638"/>
        <v>0</v>
      </c>
      <c r="AG128" s="304">
        <f t="shared" si="1639"/>
        <v>0</v>
      </c>
      <c r="AH128" s="297"/>
      <c r="AI128" s="299">
        <f t="shared" si="1772"/>
        <v>8</v>
      </c>
      <c r="AJ128" s="300" t="str">
        <f t="shared" ref="AJ128:AL128" si="1878">IFERROR(VLOOKUP($R128,$A$13:$D$30,-AJ$12,FALSE),"")</f>
        <v>Mangan</v>
      </c>
      <c r="AK128" s="301" t="str">
        <f t="shared" si="1878"/>
        <v>Bijih </v>
      </c>
      <c r="AL128" s="301" t="str">
        <f t="shared" si="1878"/>
        <v>Ton </v>
      </c>
      <c r="AM128" s="294"/>
      <c r="AN128" s="294" t="str">
        <f t="shared" si="1641"/>
        <v/>
      </c>
      <c r="AO128" s="294">
        <f t="shared" si="1642"/>
        <v>0</v>
      </c>
      <c r="AP128" s="302"/>
      <c r="AQ128" s="294">
        <f t="shared" si="1643"/>
        <v>0</v>
      </c>
      <c r="AR128" s="410"/>
      <c r="AS128" s="96"/>
      <c r="AT128" s="96"/>
      <c r="AU128" s="294">
        <f t="shared" si="1644"/>
        <v>0</v>
      </c>
      <c r="AV128" s="302">
        <f t="shared" si="1645"/>
        <v>0.4604471269</v>
      </c>
      <c r="AW128" s="303">
        <f t="shared" si="1646"/>
        <v>0</v>
      </c>
      <c r="AX128" s="304">
        <f t="shared" si="1647"/>
        <v>0</v>
      </c>
      <c r="AY128" s="297"/>
      <c r="AZ128" s="299">
        <f t="shared" si="1774"/>
        <v>8</v>
      </c>
      <c r="BA128" s="300" t="str">
        <f t="shared" ref="BA128:BC128" si="1879">IFERROR(VLOOKUP($R128,$A$13:$D$30,-BA$12,FALSE),"")</f>
        <v>Mangan</v>
      </c>
      <c r="BB128" s="301" t="str">
        <f t="shared" si="1879"/>
        <v>Bijih </v>
      </c>
      <c r="BC128" s="301" t="str">
        <f t="shared" si="1879"/>
        <v>Ton </v>
      </c>
      <c r="BD128" s="294"/>
      <c r="BE128" s="294" t="str">
        <f t="shared" si="1649"/>
        <v/>
      </c>
      <c r="BF128" s="294">
        <f t="shared" si="1650"/>
        <v>0</v>
      </c>
      <c r="BG128" s="302"/>
      <c r="BH128" s="294">
        <f t="shared" si="1651"/>
        <v>0</v>
      </c>
      <c r="BI128" s="410"/>
      <c r="BJ128" s="96"/>
      <c r="BK128" s="96"/>
      <c r="BL128" s="294">
        <f t="shared" si="1652"/>
        <v>0</v>
      </c>
      <c r="BM128" s="302">
        <f t="shared" si="1653"/>
        <v>0.4604471269</v>
      </c>
      <c r="BN128" s="303">
        <f t="shared" si="1654"/>
        <v>0</v>
      </c>
      <c r="BO128" s="304">
        <f t="shared" si="1655"/>
        <v>0</v>
      </c>
      <c r="BP128" s="297"/>
      <c r="BQ128" s="299">
        <f t="shared" si="1776"/>
        <v>8</v>
      </c>
      <c r="BR128" s="300" t="str">
        <f t="shared" ref="BR128:BT128" si="1880">IFERROR(VLOOKUP($R128,$A$13:$D$30,-BR$12,FALSE),"")</f>
        <v>Mangan</v>
      </c>
      <c r="BS128" s="301" t="str">
        <f t="shared" si="1880"/>
        <v>Bijih </v>
      </c>
      <c r="BT128" s="301" t="str">
        <f t="shared" si="1880"/>
        <v>Ton </v>
      </c>
      <c r="BU128" s="294"/>
      <c r="BV128" s="294" t="str">
        <f t="shared" si="1657"/>
        <v/>
      </c>
      <c r="BW128" s="294">
        <f t="shared" si="1658"/>
        <v>0</v>
      </c>
      <c r="BX128" s="302"/>
      <c r="BY128" s="294">
        <f t="shared" si="1659"/>
        <v>0</v>
      </c>
      <c r="BZ128" s="410"/>
      <c r="CA128" s="96"/>
      <c r="CB128" s="96"/>
      <c r="CC128" s="294">
        <f t="shared" si="1660"/>
        <v>0</v>
      </c>
      <c r="CD128" s="302">
        <f t="shared" si="1661"/>
        <v>0.4604471269</v>
      </c>
      <c r="CE128" s="303">
        <f t="shared" si="1662"/>
        <v>0</v>
      </c>
      <c r="CF128" s="304">
        <f t="shared" si="1663"/>
        <v>0</v>
      </c>
      <c r="CG128" s="297"/>
      <c r="CH128" s="299">
        <f t="shared" si="1778"/>
        <v>8</v>
      </c>
      <c r="CI128" s="300" t="str">
        <f t="shared" ref="CI128:CK128" si="1881">IFERROR(VLOOKUP($R128,$A$13:$D$30,-CI$12,FALSE),"")</f>
        <v>Mangan</v>
      </c>
      <c r="CJ128" s="301" t="str">
        <f t="shared" si="1881"/>
        <v>Bijih </v>
      </c>
      <c r="CK128" s="301" t="str">
        <f t="shared" si="1881"/>
        <v>Ton </v>
      </c>
      <c r="CL128" s="294"/>
      <c r="CM128" s="294" t="str">
        <f t="shared" si="1665"/>
        <v/>
      </c>
      <c r="CN128" s="294">
        <f t="shared" si="1666"/>
        <v>0</v>
      </c>
      <c r="CO128" s="302"/>
      <c r="CP128" s="294">
        <f t="shared" si="1667"/>
        <v>0</v>
      </c>
      <c r="CQ128" s="410"/>
      <c r="CR128" s="96"/>
      <c r="CS128" s="96"/>
      <c r="CT128" s="294">
        <f t="shared" si="1668"/>
        <v>0</v>
      </c>
      <c r="CU128" s="302">
        <f t="shared" si="1669"/>
        <v>0.4604471269</v>
      </c>
      <c r="CV128" s="303">
        <f t="shared" si="1670"/>
        <v>0</v>
      </c>
      <c r="CW128" s="304">
        <f t="shared" si="1671"/>
        <v>0</v>
      </c>
      <c r="CX128" s="297"/>
      <c r="CY128" s="299">
        <f t="shared" si="1780"/>
        <v>8</v>
      </c>
      <c r="CZ128" s="300" t="str">
        <f t="shared" ref="CZ128:DB128" si="1882">IFERROR(VLOOKUP($R128,$A$13:$D$30,-CZ$12,FALSE),"")</f>
        <v>Mangan</v>
      </c>
      <c r="DA128" s="301" t="str">
        <f t="shared" si="1882"/>
        <v>Bijih </v>
      </c>
      <c r="DB128" s="301" t="str">
        <f t="shared" si="1882"/>
        <v>Ton </v>
      </c>
      <c r="DC128" s="294"/>
      <c r="DD128" s="294" t="str">
        <f t="shared" si="1673"/>
        <v/>
      </c>
      <c r="DE128" s="294">
        <f t="shared" si="1674"/>
        <v>0</v>
      </c>
      <c r="DF128" s="302"/>
      <c r="DG128" s="294">
        <f t="shared" si="1675"/>
        <v>0</v>
      </c>
      <c r="DH128" s="410"/>
      <c r="DI128" s="96"/>
      <c r="DJ128" s="96"/>
      <c r="DK128" s="294">
        <f t="shared" si="1676"/>
        <v>0</v>
      </c>
      <c r="DL128" s="302">
        <f t="shared" si="1677"/>
        <v>0.4604471269</v>
      </c>
      <c r="DM128" s="303">
        <f t="shared" si="1678"/>
        <v>0</v>
      </c>
      <c r="DN128" s="304">
        <f t="shared" si="1679"/>
        <v>0</v>
      </c>
      <c r="DO128" s="297"/>
      <c r="DP128" s="299">
        <f t="shared" si="1782"/>
        <v>8</v>
      </c>
      <c r="DQ128" s="300" t="str">
        <f t="shared" ref="DQ128:DS128" si="1883">IFERROR(VLOOKUP($R128,$A$13:$D$30,-DQ$12,FALSE),"")</f>
        <v>Mangan</v>
      </c>
      <c r="DR128" s="301" t="str">
        <f t="shared" si="1883"/>
        <v>Bijih </v>
      </c>
      <c r="DS128" s="301" t="str">
        <f t="shared" si="1883"/>
        <v>Ton </v>
      </c>
      <c r="DT128" s="294"/>
      <c r="DU128" s="294" t="str">
        <f t="shared" si="1681"/>
        <v/>
      </c>
      <c r="DV128" s="294">
        <f t="shared" si="1682"/>
        <v>0</v>
      </c>
      <c r="DW128" s="302"/>
      <c r="DX128" s="294">
        <f t="shared" si="1683"/>
        <v>0</v>
      </c>
      <c r="DY128" s="410"/>
      <c r="DZ128" s="96"/>
      <c r="EA128" s="96"/>
      <c r="EB128" s="294">
        <f t="shared" si="1684"/>
        <v>0</v>
      </c>
      <c r="EC128" s="302">
        <f t="shared" si="1685"/>
        <v>0.4604471269</v>
      </c>
      <c r="ED128" s="303">
        <f t="shared" si="1686"/>
        <v>0</v>
      </c>
      <c r="EE128" s="304">
        <f t="shared" si="1687"/>
        <v>0</v>
      </c>
      <c r="EF128" s="297"/>
      <c r="EG128" s="299">
        <f t="shared" si="1784"/>
        <v>8</v>
      </c>
      <c r="EH128" s="300" t="str">
        <f t="shared" ref="EH128:EJ128" si="1884">IFERROR(VLOOKUP($R128,$A$13:$D$30,-EH$12,FALSE),"")</f>
        <v>Mangan</v>
      </c>
      <c r="EI128" s="301" t="str">
        <f t="shared" si="1884"/>
        <v>Bijih </v>
      </c>
      <c r="EJ128" s="301" t="str">
        <f t="shared" si="1884"/>
        <v>Ton </v>
      </c>
      <c r="EK128" s="294"/>
      <c r="EL128" s="294" t="str">
        <f t="shared" si="1689"/>
        <v/>
      </c>
      <c r="EM128" s="294">
        <f t="shared" si="1690"/>
        <v>0</v>
      </c>
      <c r="EN128" s="302"/>
      <c r="EO128" s="294">
        <f t="shared" si="1691"/>
        <v>0</v>
      </c>
      <c r="EP128" s="410"/>
      <c r="EQ128" s="96"/>
      <c r="ER128" s="96"/>
      <c r="ES128" s="294">
        <f t="shared" si="1692"/>
        <v>0</v>
      </c>
      <c r="ET128" s="302">
        <f t="shared" si="1693"/>
        <v>0.4604471269</v>
      </c>
      <c r="EU128" s="303">
        <f t="shared" si="1694"/>
        <v>0</v>
      </c>
      <c r="EV128" s="304">
        <f t="shared" si="1695"/>
        <v>0</v>
      </c>
      <c r="EW128" s="297"/>
      <c r="EX128" s="299">
        <f t="shared" si="1786"/>
        <v>8</v>
      </c>
      <c r="EY128" s="300" t="str">
        <f t="shared" ref="EY128:FA128" si="1885">IFERROR(VLOOKUP($R128,$A$13:$D$30,-EY$12,FALSE),"")</f>
        <v>Mangan</v>
      </c>
      <c r="EZ128" s="301" t="str">
        <f t="shared" si="1885"/>
        <v>Bijih </v>
      </c>
      <c r="FA128" s="301" t="str">
        <f t="shared" si="1885"/>
        <v>Ton </v>
      </c>
      <c r="FB128" s="294"/>
      <c r="FC128" s="294" t="str">
        <f t="shared" si="1697"/>
        <v/>
      </c>
      <c r="FD128" s="294">
        <f t="shared" si="1698"/>
        <v>0</v>
      </c>
      <c r="FE128" s="302"/>
      <c r="FF128" s="294">
        <f t="shared" si="1699"/>
        <v>0</v>
      </c>
      <c r="FG128" s="410"/>
      <c r="FH128" s="96"/>
      <c r="FI128" s="96"/>
      <c r="FJ128" s="294">
        <f t="shared" si="1700"/>
        <v>0</v>
      </c>
      <c r="FK128" s="302">
        <f t="shared" si="1701"/>
        <v>0.4604471269</v>
      </c>
      <c r="FL128" s="303">
        <f t="shared" si="1702"/>
        <v>0</v>
      </c>
      <c r="FM128" s="304">
        <f t="shared" si="1703"/>
        <v>0</v>
      </c>
      <c r="FN128" s="297"/>
      <c r="FO128" s="299">
        <f t="shared" si="1788"/>
        <v>8</v>
      </c>
      <c r="FP128" s="300" t="str">
        <f t="shared" ref="FP128:FR128" si="1886">IFERROR(VLOOKUP($R128,$A$13:$D$30,-FP$12,FALSE),"")</f>
        <v>Mangan</v>
      </c>
      <c r="FQ128" s="301" t="str">
        <f t="shared" si="1886"/>
        <v>Bijih </v>
      </c>
      <c r="FR128" s="301" t="str">
        <f t="shared" si="1886"/>
        <v>Ton </v>
      </c>
      <c r="FS128" s="294"/>
      <c r="FT128" s="294" t="str">
        <f t="shared" si="1705"/>
        <v/>
      </c>
      <c r="FU128" s="294">
        <f t="shared" si="1706"/>
        <v>0</v>
      </c>
      <c r="FV128" s="302"/>
      <c r="FW128" s="294">
        <f t="shared" si="1707"/>
        <v>0</v>
      </c>
      <c r="FX128" s="410"/>
      <c r="FY128" s="96"/>
      <c r="FZ128" s="96"/>
      <c r="GA128" s="294">
        <f t="shared" si="1708"/>
        <v>0</v>
      </c>
      <c r="GB128" s="302">
        <f t="shared" si="1709"/>
        <v>0.4604471269</v>
      </c>
      <c r="GC128" s="303">
        <f t="shared" si="1710"/>
        <v>0</v>
      </c>
      <c r="GD128" s="304">
        <f t="shared" si="1711"/>
        <v>0</v>
      </c>
      <c r="GE128" s="297"/>
      <c r="GF128" s="299">
        <f t="shared" si="1790"/>
        <v>8</v>
      </c>
      <c r="GG128" s="300" t="str">
        <f t="shared" ref="GG128:GI128" si="1887">IFERROR(VLOOKUP($R128,$A$13:$D$30,-GG$12,FALSE),"")</f>
        <v>Mangan</v>
      </c>
      <c r="GH128" s="301" t="str">
        <f t="shared" si="1887"/>
        <v>Bijih </v>
      </c>
      <c r="GI128" s="301" t="str">
        <f t="shared" si="1887"/>
        <v>Ton </v>
      </c>
      <c r="GJ128" s="294"/>
      <c r="GK128" s="294" t="str">
        <f t="shared" si="1713"/>
        <v/>
      </c>
      <c r="GL128" s="294">
        <f t="shared" si="1714"/>
        <v>0</v>
      </c>
      <c r="GM128" s="302"/>
      <c r="GN128" s="294">
        <f t="shared" si="1715"/>
        <v>0</v>
      </c>
      <c r="GO128" s="410"/>
      <c r="GP128" s="96"/>
      <c r="GQ128" s="96"/>
      <c r="GR128" s="294">
        <f t="shared" si="1716"/>
        <v>0</v>
      </c>
      <c r="GS128" s="302">
        <f t="shared" si="1717"/>
        <v>0.4604471269</v>
      </c>
      <c r="GT128" s="303">
        <f t="shared" si="1718"/>
        <v>0</v>
      </c>
      <c r="GU128" s="304">
        <f t="shared" si="1719"/>
        <v>0</v>
      </c>
      <c r="GV128" s="297"/>
      <c r="GW128" s="299">
        <f t="shared" si="1792"/>
        <v>8</v>
      </c>
      <c r="GX128" s="300" t="str">
        <f t="shared" ref="GX128:GZ128" si="1888">IFERROR(VLOOKUP($R128,$A$13:$D$30,-GX$12,FALSE),"")</f>
        <v>Mangan</v>
      </c>
      <c r="GY128" s="301" t="str">
        <f t="shared" si="1888"/>
        <v>Bijih </v>
      </c>
      <c r="GZ128" s="301" t="str">
        <f t="shared" si="1888"/>
        <v>Ton </v>
      </c>
      <c r="HA128" s="294"/>
      <c r="HB128" s="294" t="str">
        <f t="shared" si="1721"/>
        <v/>
      </c>
      <c r="HC128" s="294">
        <f t="shared" si="1722"/>
        <v>0</v>
      </c>
      <c r="HD128" s="302"/>
      <c r="HE128" s="294">
        <f t="shared" si="1723"/>
        <v>0</v>
      </c>
      <c r="HF128" s="410"/>
      <c r="HG128" s="96"/>
      <c r="HH128" s="96"/>
      <c r="HI128" s="294">
        <f t="shared" si="1724"/>
        <v>0</v>
      </c>
      <c r="HJ128" s="302">
        <f t="shared" si="1725"/>
        <v>0.4604471269</v>
      </c>
      <c r="HK128" s="303">
        <f t="shared" si="1726"/>
        <v>0</v>
      </c>
      <c r="HL128" s="304">
        <f t="shared" si="1727"/>
        <v>0</v>
      </c>
      <c r="HM128" s="297"/>
      <c r="HN128" s="299">
        <f t="shared" si="1794"/>
        <v>8</v>
      </c>
      <c r="HO128" s="300" t="str">
        <f t="shared" ref="HO128:HQ128" si="1889">IFERROR(VLOOKUP($R128,$A$13:$D$30,-HO$12,FALSE),"")</f>
        <v>Mangan</v>
      </c>
      <c r="HP128" s="301" t="str">
        <f t="shared" si="1889"/>
        <v>Bijih </v>
      </c>
      <c r="HQ128" s="301" t="str">
        <f t="shared" si="1889"/>
        <v>Ton </v>
      </c>
      <c r="HR128" s="294"/>
      <c r="HS128" s="294" t="str">
        <f t="shared" si="1729"/>
        <v/>
      </c>
      <c r="HT128" s="294">
        <f t="shared" si="1730"/>
        <v>0</v>
      </c>
      <c r="HU128" s="302"/>
      <c r="HV128" s="294">
        <f t="shared" si="1731"/>
        <v>0</v>
      </c>
      <c r="HW128" s="410"/>
      <c r="HX128" s="96"/>
      <c r="HY128" s="96"/>
      <c r="HZ128" s="294">
        <f t="shared" si="1732"/>
        <v>0</v>
      </c>
      <c r="IA128" s="302">
        <f t="shared" si="1733"/>
        <v>0.4604471269</v>
      </c>
      <c r="IB128" s="303">
        <f t="shared" si="1734"/>
        <v>0</v>
      </c>
      <c r="IC128" s="304">
        <f t="shared" si="1735"/>
        <v>0</v>
      </c>
      <c r="ID128" s="297"/>
      <c r="IE128" s="299">
        <f t="shared" si="1796"/>
        <v>8</v>
      </c>
      <c r="IF128" s="300" t="str">
        <f t="shared" ref="IF128:IH128" si="1890">IFERROR(VLOOKUP($R128,$A$13:$D$30,-IF$12,FALSE),"")</f>
        <v>Mangan</v>
      </c>
      <c r="IG128" s="301" t="str">
        <f t="shared" si="1890"/>
        <v>Bijih </v>
      </c>
      <c r="IH128" s="301" t="str">
        <f t="shared" si="1890"/>
        <v>Ton </v>
      </c>
      <c r="II128" s="294"/>
      <c r="IJ128" s="294" t="str">
        <f t="shared" si="1737"/>
        <v/>
      </c>
      <c r="IK128" s="294">
        <f t="shared" si="1738"/>
        <v>0</v>
      </c>
      <c r="IL128" s="302"/>
      <c r="IM128" s="294">
        <f t="shared" si="1739"/>
        <v>0</v>
      </c>
      <c r="IN128" s="410"/>
      <c r="IO128" s="96"/>
      <c r="IP128" s="96"/>
      <c r="IQ128" s="294">
        <f t="shared" si="1740"/>
        <v>0</v>
      </c>
      <c r="IR128" s="302">
        <f t="shared" si="1741"/>
        <v>0.4604471269</v>
      </c>
      <c r="IS128" s="303">
        <f t="shared" si="1742"/>
        <v>0</v>
      </c>
      <c r="IT128" s="304">
        <f t="shared" si="1743"/>
        <v>0</v>
      </c>
      <c r="IU128" s="297"/>
      <c r="IV128" s="299">
        <f t="shared" si="1798"/>
        <v>8</v>
      </c>
      <c r="IW128" s="300" t="str">
        <f t="shared" ref="IW128:IY128" si="1891">IFERROR(VLOOKUP($R128,$A$13:$D$30,-IW$12,FALSE),"")</f>
        <v>Mangan</v>
      </c>
      <c r="IX128" s="301" t="str">
        <f t="shared" si="1891"/>
        <v>Bijih </v>
      </c>
      <c r="IY128" s="301" t="str">
        <f t="shared" si="1891"/>
        <v>Ton </v>
      </c>
      <c r="IZ128" s="294"/>
      <c r="JA128" s="294" t="str">
        <f t="shared" si="1745"/>
        <v/>
      </c>
      <c r="JB128" s="294">
        <f t="shared" si="1746"/>
        <v>0</v>
      </c>
      <c r="JC128" s="302"/>
      <c r="JD128" s="294">
        <f t="shared" si="1747"/>
        <v>0</v>
      </c>
      <c r="JE128" s="410"/>
      <c r="JF128" s="96"/>
      <c r="JG128" s="96"/>
      <c r="JH128" s="294">
        <f t="shared" si="1748"/>
        <v>0</v>
      </c>
      <c r="JI128" s="302">
        <f t="shared" si="1749"/>
        <v>0.4604471269</v>
      </c>
      <c r="JJ128" s="303">
        <f t="shared" si="1750"/>
        <v>0</v>
      </c>
      <c r="JK128" s="304">
        <f t="shared" si="1751"/>
        <v>0</v>
      </c>
      <c r="JL128" s="297"/>
      <c r="JM128" s="299">
        <f t="shared" si="1800"/>
        <v>8</v>
      </c>
      <c r="JN128" s="300" t="str">
        <f t="shared" ref="JN128:JP128" si="1892">IFERROR(VLOOKUP($R128,$A$13:$D$30,-JN$12,FALSE),"")</f>
        <v>Mangan</v>
      </c>
      <c r="JO128" s="301" t="str">
        <f t="shared" si="1892"/>
        <v>Bijih </v>
      </c>
      <c r="JP128" s="301" t="str">
        <f t="shared" si="1892"/>
        <v>Ton </v>
      </c>
      <c r="JQ128" s="294"/>
      <c r="JR128" s="294" t="str">
        <f t="shared" si="1753"/>
        <v/>
      </c>
      <c r="JS128" s="294">
        <f t="shared" si="1754"/>
        <v>0</v>
      </c>
      <c r="JT128" s="302"/>
      <c r="JU128" s="294">
        <f t="shared" si="1755"/>
        <v>0</v>
      </c>
      <c r="JV128" s="410"/>
      <c r="JW128" s="96"/>
      <c r="JX128" s="96"/>
      <c r="JY128" s="294">
        <f t="shared" si="1756"/>
        <v>0</v>
      </c>
      <c r="JZ128" s="302">
        <f t="shared" si="1757"/>
        <v>0.4604471269</v>
      </c>
      <c r="KA128" s="303">
        <f t="shared" si="1758"/>
        <v>0</v>
      </c>
      <c r="KB128" s="304">
        <f t="shared" si="1759"/>
        <v>0</v>
      </c>
      <c r="KC128" s="297"/>
      <c r="KD128" s="299">
        <f t="shared" si="1802"/>
        <v>8</v>
      </c>
      <c r="KE128" s="300" t="str">
        <f t="shared" ref="KE128:KG128" si="1893">IFERROR(VLOOKUP($R128,$A$13:$D$30,-KE$12,FALSE),"")</f>
        <v>Mangan</v>
      </c>
      <c r="KF128" s="301" t="str">
        <f t="shared" si="1893"/>
        <v>Bijih </v>
      </c>
      <c r="KG128" s="301" t="str">
        <f t="shared" si="1893"/>
        <v>Ton </v>
      </c>
      <c r="KH128" s="294"/>
      <c r="KI128" s="294" t="str">
        <f t="shared" si="1761"/>
        <v/>
      </c>
      <c r="KJ128" s="294">
        <f t="shared" si="1762"/>
        <v>0</v>
      </c>
      <c r="KK128" s="302"/>
      <c r="KL128" s="294">
        <f t="shared" si="1763"/>
        <v>0</v>
      </c>
      <c r="KM128" s="410"/>
      <c r="KN128" s="96"/>
      <c r="KO128" s="96"/>
      <c r="KP128" s="294">
        <f t="shared" si="1764"/>
        <v>0</v>
      </c>
      <c r="KQ128" s="302">
        <f t="shared" si="1765"/>
        <v>0.4604471269</v>
      </c>
      <c r="KR128" s="303">
        <f t="shared" si="1766"/>
        <v>0</v>
      </c>
      <c r="KS128" s="304">
        <f t="shared" si="1767"/>
        <v>0</v>
      </c>
      <c r="KT128" s="297"/>
      <c r="KU128" s="298"/>
    </row>
    <row r="129" ht="15.75" customHeight="1">
      <c r="A129" s="299">
        <f t="shared" si="1768"/>
        <v>9</v>
      </c>
      <c r="B129" s="300" t="str">
        <f t="shared" ref="B129:D129" si="1894">IFERROR(VLOOKUP($A129,$A$13:$D$30,-B$12,FALSE),"")</f>
        <v>Lainnya 2.3 (1) ……..</v>
      </c>
      <c r="C129" s="301" t="str">
        <f t="shared" si="1894"/>
        <v>Bijih </v>
      </c>
      <c r="D129" s="301" t="str">
        <f t="shared" si="1894"/>
        <v>Ton </v>
      </c>
      <c r="E129" s="294"/>
      <c r="F129" s="294" t="str">
        <f t="shared" si="1625"/>
        <v/>
      </c>
      <c r="G129" s="294">
        <f t="shared" si="1626"/>
        <v>0</v>
      </c>
      <c r="H129" s="302"/>
      <c r="I129" s="294">
        <f t="shared" si="1627"/>
        <v>0</v>
      </c>
      <c r="J129" s="410"/>
      <c r="K129" s="96"/>
      <c r="L129" s="96"/>
      <c r="M129" s="294">
        <f t="shared" si="1628"/>
        <v>0</v>
      </c>
      <c r="N129" s="302">
        <f t="shared" si="1629"/>
        <v>0.4604471269</v>
      </c>
      <c r="O129" s="303">
        <f t="shared" si="1630"/>
        <v>0</v>
      </c>
      <c r="P129" s="304">
        <f t="shared" si="1631"/>
        <v>0</v>
      </c>
      <c r="Q129" s="297"/>
      <c r="R129" s="299">
        <f t="shared" si="1770"/>
        <v>9</v>
      </c>
      <c r="S129" s="300" t="str">
        <f t="shared" ref="S129:U129" si="1895">IFERROR(VLOOKUP($R129,$A$13:$D$30,-S$12,FALSE),"")</f>
        <v>Lainnya 2.3 (1) ……..</v>
      </c>
      <c r="T129" s="301" t="str">
        <f t="shared" si="1895"/>
        <v>Bijih </v>
      </c>
      <c r="U129" s="301" t="str">
        <f t="shared" si="1895"/>
        <v>Ton </v>
      </c>
      <c r="V129" s="294"/>
      <c r="W129" s="294" t="str">
        <f t="shared" si="1633"/>
        <v/>
      </c>
      <c r="X129" s="294">
        <f t="shared" si="1634"/>
        <v>0</v>
      </c>
      <c r="Y129" s="302"/>
      <c r="Z129" s="294">
        <f t="shared" si="1635"/>
        <v>0</v>
      </c>
      <c r="AA129" s="410"/>
      <c r="AB129" s="96"/>
      <c r="AC129" s="96"/>
      <c r="AD129" s="294">
        <f t="shared" si="1636"/>
        <v>0</v>
      </c>
      <c r="AE129" s="302">
        <f t="shared" si="1637"/>
        <v>0.4604471269</v>
      </c>
      <c r="AF129" s="303">
        <f t="shared" si="1638"/>
        <v>0</v>
      </c>
      <c r="AG129" s="304">
        <f t="shared" si="1639"/>
        <v>0</v>
      </c>
      <c r="AH129" s="297"/>
      <c r="AI129" s="299">
        <f t="shared" si="1772"/>
        <v>9</v>
      </c>
      <c r="AJ129" s="300" t="str">
        <f t="shared" ref="AJ129:AL129" si="1896">IFERROR(VLOOKUP($R129,$A$13:$D$30,-AJ$12,FALSE),"")</f>
        <v>Lainnya 2.3 (1) ……..</v>
      </c>
      <c r="AK129" s="301" t="str">
        <f t="shared" si="1896"/>
        <v>Bijih </v>
      </c>
      <c r="AL129" s="301" t="str">
        <f t="shared" si="1896"/>
        <v>Ton </v>
      </c>
      <c r="AM129" s="294"/>
      <c r="AN129" s="294" t="str">
        <f t="shared" si="1641"/>
        <v/>
      </c>
      <c r="AO129" s="294">
        <f t="shared" si="1642"/>
        <v>0</v>
      </c>
      <c r="AP129" s="302"/>
      <c r="AQ129" s="294">
        <f t="shared" si="1643"/>
        <v>0</v>
      </c>
      <c r="AR129" s="410"/>
      <c r="AS129" s="96"/>
      <c r="AT129" s="96"/>
      <c r="AU129" s="294">
        <f t="shared" si="1644"/>
        <v>0</v>
      </c>
      <c r="AV129" s="302">
        <f t="shared" si="1645"/>
        <v>0.4604471269</v>
      </c>
      <c r="AW129" s="303">
        <f t="shared" si="1646"/>
        <v>0</v>
      </c>
      <c r="AX129" s="304">
        <f t="shared" si="1647"/>
        <v>0</v>
      </c>
      <c r="AY129" s="297"/>
      <c r="AZ129" s="299">
        <f t="shared" si="1774"/>
        <v>9</v>
      </c>
      <c r="BA129" s="300" t="str">
        <f t="shared" ref="BA129:BC129" si="1897">IFERROR(VLOOKUP($R129,$A$13:$D$30,-BA$12,FALSE),"")</f>
        <v>Lainnya 2.3 (1) ……..</v>
      </c>
      <c r="BB129" s="301" t="str">
        <f t="shared" si="1897"/>
        <v>Bijih </v>
      </c>
      <c r="BC129" s="301" t="str">
        <f t="shared" si="1897"/>
        <v>Ton </v>
      </c>
      <c r="BD129" s="294"/>
      <c r="BE129" s="294" t="str">
        <f t="shared" si="1649"/>
        <v/>
      </c>
      <c r="BF129" s="294">
        <f t="shared" si="1650"/>
        <v>0</v>
      </c>
      <c r="BG129" s="302"/>
      <c r="BH129" s="294">
        <f t="shared" si="1651"/>
        <v>0</v>
      </c>
      <c r="BI129" s="410"/>
      <c r="BJ129" s="96"/>
      <c r="BK129" s="96"/>
      <c r="BL129" s="294">
        <f t="shared" si="1652"/>
        <v>0</v>
      </c>
      <c r="BM129" s="302">
        <f t="shared" si="1653"/>
        <v>0.4604471269</v>
      </c>
      <c r="BN129" s="303">
        <f t="shared" si="1654"/>
        <v>0</v>
      </c>
      <c r="BO129" s="304">
        <f t="shared" si="1655"/>
        <v>0</v>
      </c>
      <c r="BP129" s="297"/>
      <c r="BQ129" s="299">
        <f t="shared" si="1776"/>
        <v>9</v>
      </c>
      <c r="BR129" s="300" t="str">
        <f t="shared" ref="BR129:BT129" si="1898">IFERROR(VLOOKUP($R129,$A$13:$D$30,-BR$12,FALSE),"")</f>
        <v>Lainnya 2.3 (1) ……..</v>
      </c>
      <c r="BS129" s="301" t="str">
        <f t="shared" si="1898"/>
        <v>Bijih </v>
      </c>
      <c r="BT129" s="301" t="str">
        <f t="shared" si="1898"/>
        <v>Ton </v>
      </c>
      <c r="BU129" s="294"/>
      <c r="BV129" s="294" t="str">
        <f t="shared" si="1657"/>
        <v/>
      </c>
      <c r="BW129" s="294">
        <f t="shared" si="1658"/>
        <v>0</v>
      </c>
      <c r="BX129" s="302"/>
      <c r="BY129" s="294">
        <f t="shared" si="1659"/>
        <v>0</v>
      </c>
      <c r="BZ129" s="410"/>
      <c r="CA129" s="96"/>
      <c r="CB129" s="96"/>
      <c r="CC129" s="294">
        <f t="shared" si="1660"/>
        <v>0</v>
      </c>
      <c r="CD129" s="302">
        <f t="shared" si="1661"/>
        <v>0.4604471269</v>
      </c>
      <c r="CE129" s="303">
        <f t="shared" si="1662"/>
        <v>0</v>
      </c>
      <c r="CF129" s="304">
        <f t="shared" si="1663"/>
        <v>0</v>
      </c>
      <c r="CG129" s="297"/>
      <c r="CH129" s="299">
        <f t="shared" si="1778"/>
        <v>9</v>
      </c>
      <c r="CI129" s="300" t="str">
        <f t="shared" ref="CI129:CK129" si="1899">IFERROR(VLOOKUP($R129,$A$13:$D$30,-CI$12,FALSE),"")</f>
        <v>Lainnya 2.3 (1) ……..</v>
      </c>
      <c r="CJ129" s="301" t="str">
        <f t="shared" si="1899"/>
        <v>Bijih </v>
      </c>
      <c r="CK129" s="301" t="str">
        <f t="shared" si="1899"/>
        <v>Ton </v>
      </c>
      <c r="CL129" s="294"/>
      <c r="CM129" s="294" t="str">
        <f t="shared" si="1665"/>
        <v/>
      </c>
      <c r="CN129" s="294">
        <f t="shared" si="1666"/>
        <v>0</v>
      </c>
      <c r="CO129" s="302"/>
      <c r="CP129" s="294">
        <f t="shared" si="1667"/>
        <v>0</v>
      </c>
      <c r="CQ129" s="410"/>
      <c r="CR129" s="96"/>
      <c r="CS129" s="96"/>
      <c r="CT129" s="294">
        <f t="shared" si="1668"/>
        <v>0</v>
      </c>
      <c r="CU129" s="302">
        <f t="shared" si="1669"/>
        <v>0.4604471269</v>
      </c>
      <c r="CV129" s="303">
        <f t="shared" si="1670"/>
        <v>0</v>
      </c>
      <c r="CW129" s="304">
        <f t="shared" si="1671"/>
        <v>0</v>
      </c>
      <c r="CX129" s="297"/>
      <c r="CY129" s="299">
        <f t="shared" si="1780"/>
        <v>9</v>
      </c>
      <c r="CZ129" s="300" t="str">
        <f t="shared" ref="CZ129:DB129" si="1900">IFERROR(VLOOKUP($R129,$A$13:$D$30,-CZ$12,FALSE),"")</f>
        <v>Lainnya 2.3 (1) ……..</v>
      </c>
      <c r="DA129" s="301" t="str">
        <f t="shared" si="1900"/>
        <v>Bijih </v>
      </c>
      <c r="DB129" s="301" t="str">
        <f t="shared" si="1900"/>
        <v>Ton </v>
      </c>
      <c r="DC129" s="294"/>
      <c r="DD129" s="294" t="str">
        <f t="shared" si="1673"/>
        <v/>
      </c>
      <c r="DE129" s="294">
        <f t="shared" si="1674"/>
        <v>0</v>
      </c>
      <c r="DF129" s="302"/>
      <c r="DG129" s="294">
        <f t="shared" si="1675"/>
        <v>0</v>
      </c>
      <c r="DH129" s="410"/>
      <c r="DI129" s="96"/>
      <c r="DJ129" s="96"/>
      <c r="DK129" s="294">
        <f t="shared" si="1676"/>
        <v>0</v>
      </c>
      <c r="DL129" s="302">
        <f t="shared" si="1677"/>
        <v>0.4604471269</v>
      </c>
      <c r="DM129" s="303">
        <f t="shared" si="1678"/>
        <v>0</v>
      </c>
      <c r="DN129" s="304">
        <f t="shared" si="1679"/>
        <v>0</v>
      </c>
      <c r="DO129" s="297"/>
      <c r="DP129" s="299">
        <f t="shared" si="1782"/>
        <v>9</v>
      </c>
      <c r="DQ129" s="300" t="str">
        <f t="shared" ref="DQ129:DS129" si="1901">IFERROR(VLOOKUP($R129,$A$13:$D$30,-DQ$12,FALSE),"")</f>
        <v>Lainnya 2.3 (1) ……..</v>
      </c>
      <c r="DR129" s="301" t="str">
        <f t="shared" si="1901"/>
        <v>Bijih </v>
      </c>
      <c r="DS129" s="301" t="str">
        <f t="shared" si="1901"/>
        <v>Ton </v>
      </c>
      <c r="DT129" s="294"/>
      <c r="DU129" s="294" t="str">
        <f t="shared" si="1681"/>
        <v/>
      </c>
      <c r="DV129" s="294">
        <f t="shared" si="1682"/>
        <v>0</v>
      </c>
      <c r="DW129" s="302"/>
      <c r="DX129" s="294">
        <f t="shared" si="1683"/>
        <v>0</v>
      </c>
      <c r="DY129" s="410"/>
      <c r="DZ129" s="96"/>
      <c r="EA129" s="96"/>
      <c r="EB129" s="294">
        <f t="shared" si="1684"/>
        <v>0</v>
      </c>
      <c r="EC129" s="302">
        <f t="shared" si="1685"/>
        <v>0.4604471269</v>
      </c>
      <c r="ED129" s="303">
        <f t="shared" si="1686"/>
        <v>0</v>
      </c>
      <c r="EE129" s="304">
        <f t="shared" si="1687"/>
        <v>0</v>
      </c>
      <c r="EF129" s="297"/>
      <c r="EG129" s="299">
        <f t="shared" si="1784"/>
        <v>9</v>
      </c>
      <c r="EH129" s="300" t="str">
        <f t="shared" ref="EH129:EJ129" si="1902">IFERROR(VLOOKUP($R129,$A$13:$D$30,-EH$12,FALSE),"")</f>
        <v>Lainnya 2.3 (1) ……..</v>
      </c>
      <c r="EI129" s="301" t="str">
        <f t="shared" si="1902"/>
        <v>Bijih </v>
      </c>
      <c r="EJ129" s="301" t="str">
        <f t="shared" si="1902"/>
        <v>Ton </v>
      </c>
      <c r="EK129" s="294"/>
      <c r="EL129" s="294" t="str">
        <f t="shared" si="1689"/>
        <v/>
      </c>
      <c r="EM129" s="294">
        <f t="shared" si="1690"/>
        <v>0</v>
      </c>
      <c r="EN129" s="302"/>
      <c r="EO129" s="294">
        <f t="shared" si="1691"/>
        <v>0</v>
      </c>
      <c r="EP129" s="410"/>
      <c r="EQ129" s="96"/>
      <c r="ER129" s="96"/>
      <c r="ES129" s="294">
        <f t="shared" si="1692"/>
        <v>0</v>
      </c>
      <c r="ET129" s="302">
        <f t="shared" si="1693"/>
        <v>0.4604471269</v>
      </c>
      <c r="EU129" s="303">
        <f t="shared" si="1694"/>
        <v>0</v>
      </c>
      <c r="EV129" s="304">
        <f t="shared" si="1695"/>
        <v>0</v>
      </c>
      <c r="EW129" s="297"/>
      <c r="EX129" s="299">
        <f t="shared" si="1786"/>
        <v>9</v>
      </c>
      <c r="EY129" s="300" t="str">
        <f t="shared" ref="EY129:FA129" si="1903">IFERROR(VLOOKUP($R129,$A$13:$D$30,-EY$12,FALSE),"")</f>
        <v>Lainnya 2.3 (1) ……..</v>
      </c>
      <c r="EZ129" s="301" t="str">
        <f t="shared" si="1903"/>
        <v>Bijih </v>
      </c>
      <c r="FA129" s="301" t="str">
        <f t="shared" si="1903"/>
        <v>Ton </v>
      </c>
      <c r="FB129" s="294"/>
      <c r="FC129" s="294" t="str">
        <f t="shared" si="1697"/>
        <v/>
      </c>
      <c r="FD129" s="294">
        <f t="shared" si="1698"/>
        <v>0</v>
      </c>
      <c r="FE129" s="302"/>
      <c r="FF129" s="294">
        <f t="shared" si="1699"/>
        <v>0</v>
      </c>
      <c r="FG129" s="410"/>
      <c r="FH129" s="96"/>
      <c r="FI129" s="96"/>
      <c r="FJ129" s="294">
        <f t="shared" si="1700"/>
        <v>0</v>
      </c>
      <c r="FK129" s="302">
        <f t="shared" si="1701"/>
        <v>0.4604471269</v>
      </c>
      <c r="FL129" s="303">
        <f t="shared" si="1702"/>
        <v>0</v>
      </c>
      <c r="FM129" s="304">
        <f t="shared" si="1703"/>
        <v>0</v>
      </c>
      <c r="FN129" s="297"/>
      <c r="FO129" s="299">
        <f t="shared" si="1788"/>
        <v>9</v>
      </c>
      <c r="FP129" s="300" t="str">
        <f t="shared" ref="FP129:FR129" si="1904">IFERROR(VLOOKUP($R129,$A$13:$D$30,-FP$12,FALSE),"")</f>
        <v>Lainnya 2.3 (1) ……..</v>
      </c>
      <c r="FQ129" s="301" t="str">
        <f t="shared" si="1904"/>
        <v>Bijih </v>
      </c>
      <c r="FR129" s="301" t="str">
        <f t="shared" si="1904"/>
        <v>Ton </v>
      </c>
      <c r="FS129" s="294"/>
      <c r="FT129" s="294" t="str">
        <f t="shared" si="1705"/>
        <v/>
      </c>
      <c r="FU129" s="294">
        <f t="shared" si="1706"/>
        <v>0</v>
      </c>
      <c r="FV129" s="302"/>
      <c r="FW129" s="294">
        <f t="shared" si="1707"/>
        <v>0</v>
      </c>
      <c r="FX129" s="410"/>
      <c r="FY129" s="96"/>
      <c r="FZ129" s="96"/>
      <c r="GA129" s="294">
        <f t="shared" si="1708"/>
        <v>0</v>
      </c>
      <c r="GB129" s="302">
        <f t="shared" si="1709"/>
        <v>0.4604471269</v>
      </c>
      <c r="GC129" s="303">
        <f t="shared" si="1710"/>
        <v>0</v>
      </c>
      <c r="GD129" s="304">
        <f t="shared" si="1711"/>
        <v>0</v>
      </c>
      <c r="GE129" s="297"/>
      <c r="GF129" s="299">
        <f t="shared" si="1790"/>
        <v>9</v>
      </c>
      <c r="GG129" s="300" t="str">
        <f t="shared" ref="GG129:GI129" si="1905">IFERROR(VLOOKUP($R129,$A$13:$D$30,-GG$12,FALSE),"")</f>
        <v>Lainnya 2.3 (1) ……..</v>
      </c>
      <c r="GH129" s="301" t="str">
        <f t="shared" si="1905"/>
        <v>Bijih </v>
      </c>
      <c r="GI129" s="301" t="str">
        <f t="shared" si="1905"/>
        <v>Ton </v>
      </c>
      <c r="GJ129" s="305">
        <f>ADHB!GJ129</f>
        <v>626030</v>
      </c>
      <c r="GK129" s="294">
        <f t="shared" si="1713"/>
        <v>166269.8</v>
      </c>
      <c r="GL129" s="294">
        <f t="shared" si="1714"/>
        <v>104089.8829</v>
      </c>
      <c r="GM129" s="302"/>
      <c r="GN129" s="294">
        <f t="shared" si="1715"/>
        <v>0</v>
      </c>
      <c r="GO129" s="410"/>
      <c r="GP129" s="96"/>
      <c r="GQ129" s="96"/>
      <c r="GR129" s="294">
        <f t="shared" si="1716"/>
        <v>104089.8829</v>
      </c>
      <c r="GS129" s="302">
        <f t="shared" si="1717"/>
        <v>0.4604471269</v>
      </c>
      <c r="GT129" s="303">
        <f t="shared" si="1718"/>
        <v>47927.88752</v>
      </c>
      <c r="GU129" s="304">
        <f t="shared" si="1719"/>
        <v>56161.99538</v>
      </c>
      <c r="GV129" s="297"/>
      <c r="GW129" s="299">
        <f t="shared" si="1792"/>
        <v>9</v>
      </c>
      <c r="GX129" s="300" t="str">
        <f t="shared" ref="GX129:GZ129" si="1906">IFERROR(VLOOKUP($R129,$A$13:$D$30,-GX$12,FALSE),"")</f>
        <v>Lainnya 2.3 (1) ……..</v>
      </c>
      <c r="GY129" s="301" t="str">
        <f t="shared" si="1906"/>
        <v>Bijih </v>
      </c>
      <c r="GZ129" s="301" t="str">
        <f t="shared" si="1906"/>
        <v>Ton </v>
      </c>
      <c r="HA129" s="294"/>
      <c r="HB129" s="294">
        <f t="shared" si="1721"/>
        <v>166269.8</v>
      </c>
      <c r="HC129" s="294">
        <f t="shared" si="1722"/>
        <v>0</v>
      </c>
      <c r="HD129" s="416">
        <v>1.0</v>
      </c>
      <c r="HE129" s="294">
        <f t="shared" si="1723"/>
        <v>0</v>
      </c>
      <c r="HF129" s="410"/>
      <c r="HG129" s="96"/>
      <c r="HH129" s="96"/>
      <c r="HI129" s="294">
        <f t="shared" si="1724"/>
        <v>0</v>
      </c>
      <c r="HJ129" s="302">
        <f t="shared" si="1725"/>
        <v>0.4604471269</v>
      </c>
      <c r="HK129" s="303">
        <f t="shared" si="1726"/>
        <v>0</v>
      </c>
      <c r="HL129" s="304">
        <f t="shared" si="1727"/>
        <v>0</v>
      </c>
      <c r="HM129" s="297"/>
      <c r="HN129" s="299">
        <f t="shared" si="1794"/>
        <v>9</v>
      </c>
      <c r="HO129" s="300" t="str">
        <f t="shared" ref="HO129:HQ129" si="1907">IFERROR(VLOOKUP($R129,$A$13:$D$30,-HO$12,FALSE),"")</f>
        <v>Lainnya 2.3 (1) ……..</v>
      </c>
      <c r="HP129" s="301" t="str">
        <f t="shared" si="1907"/>
        <v>Bijih </v>
      </c>
      <c r="HQ129" s="301" t="str">
        <f t="shared" si="1907"/>
        <v>Ton </v>
      </c>
      <c r="HR129" s="305">
        <v>264000.3662</v>
      </c>
      <c r="HS129" s="294">
        <f t="shared" si="1729"/>
        <v>166269.8</v>
      </c>
      <c r="HT129" s="294">
        <f t="shared" si="1730"/>
        <v>43895.28809</v>
      </c>
      <c r="HU129" s="302"/>
      <c r="HV129" s="294">
        <f t="shared" si="1731"/>
        <v>0</v>
      </c>
      <c r="HW129" s="410"/>
      <c r="HX129" s="96"/>
      <c r="HY129" s="96"/>
      <c r="HZ129" s="294">
        <f t="shared" si="1732"/>
        <v>43895.28809</v>
      </c>
      <c r="IA129" s="302">
        <f t="shared" si="1733"/>
        <v>0.4604471269</v>
      </c>
      <c r="IB129" s="303">
        <f t="shared" si="1734"/>
        <v>20211.45928</v>
      </c>
      <c r="IC129" s="304">
        <f t="shared" si="1735"/>
        <v>23683.8288</v>
      </c>
      <c r="ID129" s="297"/>
      <c r="IE129" s="299">
        <f t="shared" si="1796"/>
        <v>9</v>
      </c>
      <c r="IF129" s="300" t="str">
        <f t="shared" ref="IF129:IH129" si="1908">IFERROR(VLOOKUP($R129,$A$13:$D$30,-IF$12,FALSE),"")</f>
        <v>Lainnya 2.3 (1) ……..</v>
      </c>
      <c r="IG129" s="301" t="str">
        <f t="shared" si="1908"/>
        <v>Bijih </v>
      </c>
      <c r="IH129" s="301" t="str">
        <f t="shared" si="1908"/>
        <v>Ton </v>
      </c>
      <c r="II129" s="294" t="str">
        <f>ADHB!II129</f>
        <v/>
      </c>
      <c r="IJ129" s="294">
        <f t="shared" si="1737"/>
        <v>166269.8</v>
      </c>
      <c r="IK129" s="294">
        <f t="shared" si="1738"/>
        <v>0</v>
      </c>
      <c r="IL129" s="302"/>
      <c r="IM129" s="294">
        <f t="shared" si="1739"/>
        <v>0</v>
      </c>
      <c r="IN129" s="410"/>
      <c r="IO129" s="96"/>
      <c r="IP129" s="96"/>
      <c r="IQ129" s="294">
        <f t="shared" si="1740"/>
        <v>0</v>
      </c>
      <c r="IR129" s="302">
        <f t="shared" si="1741"/>
        <v>0.4604471269</v>
      </c>
      <c r="IS129" s="303">
        <f t="shared" si="1742"/>
        <v>0</v>
      </c>
      <c r="IT129" s="304">
        <f t="shared" si="1743"/>
        <v>0</v>
      </c>
      <c r="IU129" s="297"/>
      <c r="IV129" s="299">
        <f t="shared" si="1798"/>
        <v>9</v>
      </c>
      <c r="IW129" s="300" t="str">
        <f t="shared" ref="IW129:IY129" si="1909">IFERROR(VLOOKUP($R129,$A$13:$D$30,-IW$12,FALSE),"")</f>
        <v>Lainnya 2.3 (1) ……..</v>
      </c>
      <c r="IX129" s="301" t="str">
        <f t="shared" si="1909"/>
        <v>Bijih </v>
      </c>
      <c r="IY129" s="301" t="str">
        <f t="shared" si="1909"/>
        <v>Ton </v>
      </c>
      <c r="IZ129" s="294"/>
      <c r="JA129" s="294">
        <f t="shared" si="1745"/>
        <v>166269.8</v>
      </c>
      <c r="JB129" s="294">
        <f t="shared" si="1746"/>
        <v>0</v>
      </c>
      <c r="JC129" s="302"/>
      <c r="JD129" s="294">
        <f t="shared" si="1747"/>
        <v>0</v>
      </c>
      <c r="JE129" s="410"/>
      <c r="JF129" s="96"/>
      <c r="JG129" s="96"/>
      <c r="JH129" s="294">
        <f t="shared" si="1748"/>
        <v>0</v>
      </c>
      <c r="JI129" s="302">
        <f t="shared" si="1749"/>
        <v>0.4604471269</v>
      </c>
      <c r="JJ129" s="303">
        <f t="shared" si="1750"/>
        <v>0</v>
      </c>
      <c r="JK129" s="304">
        <f t="shared" si="1751"/>
        <v>0</v>
      </c>
      <c r="JL129" s="297"/>
      <c r="JM129" s="299">
        <f t="shared" si="1800"/>
        <v>9</v>
      </c>
      <c r="JN129" s="300" t="str">
        <f t="shared" ref="JN129:JP129" si="1910">IFERROR(VLOOKUP($R129,$A$13:$D$30,-JN$12,FALSE),"")</f>
        <v>Lainnya 2.3 (1) ……..</v>
      </c>
      <c r="JO129" s="301" t="str">
        <f t="shared" si="1910"/>
        <v>Bijih </v>
      </c>
      <c r="JP129" s="301" t="str">
        <f t="shared" si="1910"/>
        <v>Ton </v>
      </c>
      <c r="JQ129" s="294"/>
      <c r="JR129" s="294" t="str">
        <f t="shared" si="1753"/>
        <v/>
      </c>
      <c r="JS129" s="294">
        <f t="shared" si="1754"/>
        <v>0</v>
      </c>
      <c r="JT129" s="302"/>
      <c r="JU129" s="294">
        <f t="shared" si="1755"/>
        <v>0</v>
      </c>
      <c r="JV129" s="410"/>
      <c r="JW129" s="96"/>
      <c r="JX129" s="96"/>
      <c r="JY129" s="294">
        <f t="shared" si="1756"/>
        <v>0</v>
      </c>
      <c r="JZ129" s="302">
        <f t="shared" si="1757"/>
        <v>0.4604471269</v>
      </c>
      <c r="KA129" s="303">
        <f t="shared" si="1758"/>
        <v>0</v>
      </c>
      <c r="KB129" s="304">
        <f t="shared" si="1759"/>
        <v>0</v>
      </c>
      <c r="KC129" s="297"/>
      <c r="KD129" s="299">
        <f t="shared" si="1802"/>
        <v>9</v>
      </c>
      <c r="KE129" s="300" t="str">
        <f t="shared" ref="KE129:KG129" si="1911">IFERROR(VLOOKUP($R129,$A$13:$D$30,-KE$12,FALSE),"")</f>
        <v>Lainnya 2.3 (1) ……..</v>
      </c>
      <c r="KF129" s="301" t="str">
        <f t="shared" si="1911"/>
        <v>Bijih </v>
      </c>
      <c r="KG129" s="301" t="str">
        <f t="shared" si="1911"/>
        <v>Ton </v>
      </c>
      <c r="KH129" s="294"/>
      <c r="KI129" s="294" t="str">
        <f t="shared" si="1761"/>
        <v/>
      </c>
      <c r="KJ129" s="294">
        <f t="shared" si="1762"/>
        <v>0</v>
      </c>
      <c r="KK129" s="302"/>
      <c r="KL129" s="294">
        <f t="shared" si="1763"/>
        <v>0</v>
      </c>
      <c r="KM129" s="410"/>
      <c r="KN129" s="96"/>
      <c r="KO129" s="96"/>
      <c r="KP129" s="294">
        <f t="shared" si="1764"/>
        <v>0</v>
      </c>
      <c r="KQ129" s="302">
        <f t="shared" si="1765"/>
        <v>0.4604471269</v>
      </c>
      <c r="KR129" s="303">
        <f t="shared" si="1766"/>
        <v>0</v>
      </c>
      <c r="KS129" s="304">
        <f t="shared" si="1767"/>
        <v>0</v>
      </c>
      <c r="KT129" s="297"/>
      <c r="KU129" s="298"/>
    </row>
    <row r="130" ht="15.75" customHeight="1">
      <c r="A130" s="299">
        <f t="shared" si="1768"/>
        <v>10</v>
      </c>
      <c r="B130" s="300" t="str">
        <f t="shared" ref="B130:D130" si="1912">IFERROR(VLOOKUP($A130,$A$13:$D$30,-B$12,FALSE),"")</f>
        <v>Lainnya 2.3 (2) ………</v>
      </c>
      <c r="C130" s="301" t="str">
        <f t="shared" si="1912"/>
        <v>Bijih </v>
      </c>
      <c r="D130" s="301" t="str">
        <f t="shared" si="1912"/>
        <v>Ton </v>
      </c>
      <c r="E130" s="294"/>
      <c r="F130" s="294" t="str">
        <f t="shared" si="1625"/>
        <v/>
      </c>
      <c r="G130" s="294">
        <f t="shared" si="1626"/>
        <v>0</v>
      </c>
      <c r="H130" s="302"/>
      <c r="I130" s="294">
        <f t="shared" si="1627"/>
        <v>0</v>
      </c>
      <c r="J130" s="410"/>
      <c r="K130" s="96"/>
      <c r="L130" s="96"/>
      <c r="M130" s="294">
        <f t="shared" si="1628"/>
        <v>0</v>
      </c>
      <c r="N130" s="302">
        <f t="shared" si="1629"/>
        <v>0.4604471269</v>
      </c>
      <c r="O130" s="303">
        <f t="shared" si="1630"/>
        <v>0</v>
      </c>
      <c r="P130" s="304">
        <f t="shared" si="1631"/>
        <v>0</v>
      </c>
      <c r="Q130" s="297"/>
      <c r="R130" s="299">
        <f t="shared" si="1770"/>
        <v>10</v>
      </c>
      <c r="S130" s="300" t="str">
        <f t="shared" ref="S130:U130" si="1913">IFERROR(VLOOKUP($R130,$A$13:$D$30,-S$12,FALSE),"")</f>
        <v>Lainnya 2.3 (2) ………</v>
      </c>
      <c r="T130" s="301" t="str">
        <f t="shared" si="1913"/>
        <v>Bijih </v>
      </c>
      <c r="U130" s="301" t="str">
        <f t="shared" si="1913"/>
        <v>Ton </v>
      </c>
      <c r="V130" s="294"/>
      <c r="W130" s="294" t="str">
        <f t="shared" si="1633"/>
        <v/>
      </c>
      <c r="X130" s="294">
        <f t="shared" si="1634"/>
        <v>0</v>
      </c>
      <c r="Y130" s="302"/>
      <c r="Z130" s="294">
        <f t="shared" si="1635"/>
        <v>0</v>
      </c>
      <c r="AA130" s="410"/>
      <c r="AB130" s="96"/>
      <c r="AC130" s="96"/>
      <c r="AD130" s="294">
        <f t="shared" si="1636"/>
        <v>0</v>
      </c>
      <c r="AE130" s="302">
        <f t="shared" si="1637"/>
        <v>0.4604471269</v>
      </c>
      <c r="AF130" s="303">
        <f t="shared" si="1638"/>
        <v>0</v>
      </c>
      <c r="AG130" s="304">
        <f t="shared" si="1639"/>
        <v>0</v>
      </c>
      <c r="AH130" s="297"/>
      <c r="AI130" s="299">
        <f t="shared" si="1772"/>
        <v>10</v>
      </c>
      <c r="AJ130" s="300" t="str">
        <f t="shared" ref="AJ130:AL130" si="1914">IFERROR(VLOOKUP($R130,$A$13:$D$30,-AJ$12,FALSE),"")</f>
        <v>Lainnya 2.3 (2) ………</v>
      </c>
      <c r="AK130" s="301" t="str">
        <f t="shared" si="1914"/>
        <v>Bijih </v>
      </c>
      <c r="AL130" s="301" t="str">
        <f t="shared" si="1914"/>
        <v>Ton </v>
      </c>
      <c r="AM130" s="294"/>
      <c r="AN130" s="294" t="str">
        <f t="shared" si="1641"/>
        <v/>
      </c>
      <c r="AO130" s="294">
        <f t="shared" si="1642"/>
        <v>0</v>
      </c>
      <c r="AP130" s="302"/>
      <c r="AQ130" s="294">
        <f t="shared" si="1643"/>
        <v>0</v>
      </c>
      <c r="AR130" s="410"/>
      <c r="AS130" s="96"/>
      <c r="AT130" s="96"/>
      <c r="AU130" s="294">
        <f t="shared" si="1644"/>
        <v>0</v>
      </c>
      <c r="AV130" s="302">
        <f t="shared" si="1645"/>
        <v>0.4604471269</v>
      </c>
      <c r="AW130" s="303">
        <f t="shared" si="1646"/>
        <v>0</v>
      </c>
      <c r="AX130" s="304">
        <f t="shared" si="1647"/>
        <v>0</v>
      </c>
      <c r="AY130" s="297"/>
      <c r="AZ130" s="299">
        <f t="shared" si="1774"/>
        <v>10</v>
      </c>
      <c r="BA130" s="300" t="str">
        <f t="shared" ref="BA130:BC130" si="1915">IFERROR(VLOOKUP($R130,$A$13:$D$30,-BA$12,FALSE),"")</f>
        <v>Lainnya 2.3 (2) ………</v>
      </c>
      <c r="BB130" s="301" t="str">
        <f t="shared" si="1915"/>
        <v>Bijih </v>
      </c>
      <c r="BC130" s="301" t="str">
        <f t="shared" si="1915"/>
        <v>Ton </v>
      </c>
      <c r="BD130" s="294"/>
      <c r="BE130" s="294" t="str">
        <f t="shared" si="1649"/>
        <v/>
      </c>
      <c r="BF130" s="294">
        <f t="shared" si="1650"/>
        <v>0</v>
      </c>
      <c r="BG130" s="302"/>
      <c r="BH130" s="294">
        <f t="shared" si="1651"/>
        <v>0</v>
      </c>
      <c r="BI130" s="410"/>
      <c r="BJ130" s="96"/>
      <c r="BK130" s="96"/>
      <c r="BL130" s="294">
        <f t="shared" si="1652"/>
        <v>0</v>
      </c>
      <c r="BM130" s="302">
        <f t="shared" si="1653"/>
        <v>0.4604471269</v>
      </c>
      <c r="BN130" s="303">
        <f t="shared" si="1654"/>
        <v>0</v>
      </c>
      <c r="BO130" s="304">
        <f t="shared" si="1655"/>
        <v>0</v>
      </c>
      <c r="BP130" s="297"/>
      <c r="BQ130" s="299">
        <f t="shared" si="1776"/>
        <v>10</v>
      </c>
      <c r="BR130" s="300" t="str">
        <f t="shared" ref="BR130:BT130" si="1916">IFERROR(VLOOKUP($R130,$A$13:$D$30,-BR$12,FALSE),"")</f>
        <v>Lainnya 2.3 (2) ………</v>
      </c>
      <c r="BS130" s="301" t="str">
        <f t="shared" si="1916"/>
        <v>Bijih </v>
      </c>
      <c r="BT130" s="301" t="str">
        <f t="shared" si="1916"/>
        <v>Ton </v>
      </c>
      <c r="BU130" s="294"/>
      <c r="BV130" s="294" t="str">
        <f t="shared" si="1657"/>
        <v/>
      </c>
      <c r="BW130" s="294">
        <f t="shared" si="1658"/>
        <v>0</v>
      </c>
      <c r="BX130" s="302"/>
      <c r="BY130" s="294">
        <f t="shared" si="1659"/>
        <v>0</v>
      </c>
      <c r="BZ130" s="410"/>
      <c r="CA130" s="96"/>
      <c r="CB130" s="96"/>
      <c r="CC130" s="294">
        <f t="shared" si="1660"/>
        <v>0</v>
      </c>
      <c r="CD130" s="302">
        <f t="shared" si="1661"/>
        <v>0.4604471269</v>
      </c>
      <c r="CE130" s="303">
        <f t="shared" si="1662"/>
        <v>0</v>
      </c>
      <c r="CF130" s="304">
        <f t="shared" si="1663"/>
        <v>0</v>
      </c>
      <c r="CG130" s="297"/>
      <c r="CH130" s="299">
        <f t="shared" si="1778"/>
        <v>10</v>
      </c>
      <c r="CI130" s="300" t="str">
        <f t="shared" ref="CI130:CK130" si="1917">IFERROR(VLOOKUP($R130,$A$13:$D$30,-CI$12,FALSE),"")</f>
        <v>Lainnya 2.3 (2) ………</v>
      </c>
      <c r="CJ130" s="301" t="str">
        <f t="shared" si="1917"/>
        <v>Bijih </v>
      </c>
      <c r="CK130" s="301" t="str">
        <f t="shared" si="1917"/>
        <v>Ton </v>
      </c>
      <c r="CL130" s="294"/>
      <c r="CM130" s="294" t="str">
        <f t="shared" si="1665"/>
        <v/>
      </c>
      <c r="CN130" s="294">
        <f t="shared" si="1666"/>
        <v>0</v>
      </c>
      <c r="CO130" s="302"/>
      <c r="CP130" s="294">
        <f t="shared" si="1667"/>
        <v>0</v>
      </c>
      <c r="CQ130" s="410"/>
      <c r="CR130" s="96"/>
      <c r="CS130" s="96"/>
      <c r="CT130" s="294">
        <f t="shared" si="1668"/>
        <v>0</v>
      </c>
      <c r="CU130" s="302">
        <f t="shared" si="1669"/>
        <v>0.4604471269</v>
      </c>
      <c r="CV130" s="303">
        <f t="shared" si="1670"/>
        <v>0</v>
      </c>
      <c r="CW130" s="304">
        <f t="shared" si="1671"/>
        <v>0</v>
      </c>
      <c r="CX130" s="297"/>
      <c r="CY130" s="299">
        <f t="shared" si="1780"/>
        <v>10</v>
      </c>
      <c r="CZ130" s="300" t="str">
        <f t="shared" ref="CZ130:DB130" si="1918">IFERROR(VLOOKUP($R130,$A$13:$D$30,-CZ$12,FALSE),"")</f>
        <v>Lainnya 2.3 (2) ………</v>
      </c>
      <c r="DA130" s="301" t="str">
        <f t="shared" si="1918"/>
        <v>Bijih </v>
      </c>
      <c r="DB130" s="301" t="str">
        <f t="shared" si="1918"/>
        <v>Ton </v>
      </c>
      <c r="DC130" s="294"/>
      <c r="DD130" s="294" t="str">
        <f t="shared" si="1673"/>
        <v/>
      </c>
      <c r="DE130" s="294">
        <f t="shared" si="1674"/>
        <v>0</v>
      </c>
      <c r="DF130" s="302"/>
      <c r="DG130" s="294">
        <f t="shared" si="1675"/>
        <v>0</v>
      </c>
      <c r="DH130" s="410"/>
      <c r="DI130" s="96"/>
      <c r="DJ130" s="96"/>
      <c r="DK130" s="294">
        <f t="shared" si="1676"/>
        <v>0</v>
      </c>
      <c r="DL130" s="302">
        <f t="shared" si="1677"/>
        <v>0.4604471269</v>
      </c>
      <c r="DM130" s="303">
        <f t="shared" si="1678"/>
        <v>0</v>
      </c>
      <c r="DN130" s="304">
        <f t="shared" si="1679"/>
        <v>0</v>
      </c>
      <c r="DO130" s="297"/>
      <c r="DP130" s="299">
        <f t="shared" si="1782"/>
        <v>10</v>
      </c>
      <c r="DQ130" s="300" t="str">
        <f t="shared" ref="DQ130:DS130" si="1919">IFERROR(VLOOKUP($R130,$A$13:$D$30,-DQ$12,FALSE),"")</f>
        <v>Lainnya 2.3 (2) ………</v>
      </c>
      <c r="DR130" s="301" t="str">
        <f t="shared" si="1919"/>
        <v>Bijih </v>
      </c>
      <c r="DS130" s="301" t="str">
        <f t="shared" si="1919"/>
        <v>Ton </v>
      </c>
      <c r="DT130" s="294"/>
      <c r="DU130" s="294" t="str">
        <f t="shared" si="1681"/>
        <v/>
      </c>
      <c r="DV130" s="294">
        <f t="shared" si="1682"/>
        <v>0</v>
      </c>
      <c r="DW130" s="302"/>
      <c r="DX130" s="294">
        <f t="shared" si="1683"/>
        <v>0</v>
      </c>
      <c r="DY130" s="410"/>
      <c r="DZ130" s="96"/>
      <c r="EA130" s="96"/>
      <c r="EB130" s="294">
        <f t="shared" si="1684"/>
        <v>0</v>
      </c>
      <c r="EC130" s="302">
        <f t="shared" si="1685"/>
        <v>0.4604471269</v>
      </c>
      <c r="ED130" s="303">
        <f t="shared" si="1686"/>
        <v>0</v>
      </c>
      <c r="EE130" s="304">
        <f t="shared" si="1687"/>
        <v>0</v>
      </c>
      <c r="EF130" s="297"/>
      <c r="EG130" s="299">
        <f t="shared" si="1784"/>
        <v>10</v>
      </c>
      <c r="EH130" s="300" t="str">
        <f t="shared" ref="EH130:EJ130" si="1920">IFERROR(VLOOKUP($R130,$A$13:$D$30,-EH$12,FALSE),"")</f>
        <v>Lainnya 2.3 (2) ………</v>
      </c>
      <c r="EI130" s="301" t="str">
        <f t="shared" si="1920"/>
        <v>Bijih </v>
      </c>
      <c r="EJ130" s="301" t="str">
        <f t="shared" si="1920"/>
        <v>Ton </v>
      </c>
      <c r="EK130" s="294"/>
      <c r="EL130" s="294" t="str">
        <f t="shared" si="1689"/>
        <v/>
      </c>
      <c r="EM130" s="294">
        <f t="shared" si="1690"/>
        <v>0</v>
      </c>
      <c r="EN130" s="302"/>
      <c r="EO130" s="294">
        <f t="shared" si="1691"/>
        <v>0</v>
      </c>
      <c r="EP130" s="410"/>
      <c r="EQ130" s="96"/>
      <c r="ER130" s="96"/>
      <c r="ES130" s="294">
        <f t="shared" si="1692"/>
        <v>0</v>
      </c>
      <c r="ET130" s="302">
        <f t="shared" si="1693"/>
        <v>0.4604471269</v>
      </c>
      <c r="EU130" s="303">
        <f t="shared" si="1694"/>
        <v>0</v>
      </c>
      <c r="EV130" s="304">
        <f t="shared" si="1695"/>
        <v>0</v>
      </c>
      <c r="EW130" s="297"/>
      <c r="EX130" s="299">
        <f t="shared" si="1786"/>
        <v>10</v>
      </c>
      <c r="EY130" s="300" t="str">
        <f t="shared" ref="EY130:FA130" si="1921">IFERROR(VLOOKUP($R130,$A$13:$D$30,-EY$12,FALSE),"")</f>
        <v>Lainnya 2.3 (2) ………</v>
      </c>
      <c r="EZ130" s="301" t="str">
        <f t="shared" si="1921"/>
        <v>Bijih </v>
      </c>
      <c r="FA130" s="301" t="str">
        <f t="shared" si="1921"/>
        <v>Ton </v>
      </c>
      <c r="FB130" s="294"/>
      <c r="FC130" s="294" t="str">
        <f t="shared" si="1697"/>
        <v/>
      </c>
      <c r="FD130" s="294">
        <f t="shared" si="1698"/>
        <v>0</v>
      </c>
      <c r="FE130" s="302"/>
      <c r="FF130" s="294">
        <f t="shared" si="1699"/>
        <v>0</v>
      </c>
      <c r="FG130" s="410"/>
      <c r="FH130" s="96"/>
      <c r="FI130" s="96"/>
      <c r="FJ130" s="294">
        <f t="shared" si="1700"/>
        <v>0</v>
      </c>
      <c r="FK130" s="302">
        <f t="shared" si="1701"/>
        <v>0.4604471269</v>
      </c>
      <c r="FL130" s="303">
        <f t="shared" si="1702"/>
        <v>0</v>
      </c>
      <c r="FM130" s="304">
        <f t="shared" si="1703"/>
        <v>0</v>
      </c>
      <c r="FN130" s="297"/>
      <c r="FO130" s="299">
        <f t="shared" si="1788"/>
        <v>10</v>
      </c>
      <c r="FP130" s="300" t="str">
        <f t="shared" ref="FP130:FR130" si="1922">IFERROR(VLOOKUP($R130,$A$13:$D$30,-FP$12,FALSE),"")</f>
        <v>Lainnya 2.3 (2) ………</v>
      </c>
      <c r="FQ130" s="301" t="str">
        <f t="shared" si="1922"/>
        <v>Bijih </v>
      </c>
      <c r="FR130" s="301" t="str">
        <f t="shared" si="1922"/>
        <v>Ton </v>
      </c>
      <c r="FS130" s="294"/>
      <c r="FT130" s="294" t="str">
        <f t="shared" si="1705"/>
        <v/>
      </c>
      <c r="FU130" s="294">
        <f t="shared" si="1706"/>
        <v>0</v>
      </c>
      <c r="FV130" s="302"/>
      <c r="FW130" s="294">
        <f t="shared" si="1707"/>
        <v>0</v>
      </c>
      <c r="FX130" s="410"/>
      <c r="FY130" s="96"/>
      <c r="FZ130" s="96"/>
      <c r="GA130" s="294">
        <f t="shared" si="1708"/>
        <v>0</v>
      </c>
      <c r="GB130" s="302">
        <f t="shared" si="1709"/>
        <v>0.4604471269</v>
      </c>
      <c r="GC130" s="303">
        <f t="shared" si="1710"/>
        <v>0</v>
      </c>
      <c r="GD130" s="304">
        <f t="shared" si="1711"/>
        <v>0</v>
      </c>
      <c r="GE130" s="297"/>
      <c r="GF130" s="299">
        <f t="shared" si="1790"/>
        <v>10</v>
      </c>
      <c r="GG130" s="300" t="str">
        <f t="shared" ref="GG130:GI130" si="1923">IFERROR(VLOOKUP($R130,$A$13:$D$30,-GG$12,FALSE),"")</f>
        <v>Lainnya 2.3 (2) ………</v>
      </c>
      <c r="GH130" s="301" t="str">
        <f t="shared" si="1923"/>
        <v>Bijih </v>
      </c>
      <c r="GI130" s="301" t="str">
        <f t="shared" si="1923"/>
        <v>Ton </v>
      </c>
      <c r="GJ130" s="294"/>
      <c r="GK130" s="294" t="str">
        <f t="shared" si="1713"/>
        <v/>
      </c>
      <c r="GL130" s="294">
        <f t="shared" si="1714"/>
        <v>0</v>
      </c>
      <c r="GM130" s="302"/>
      <c r="GN130" s="294">
        <f t="shared" si="1715"/>
        <v>0</v>
      </c>
      <c r="GO130" s="410"/>
      <c r="GP130" s="96"/>
      <c r="GQ130" s="96"/>
      <c r="GR130" s="294">
        <f t="shared" si="1716"/>
        <v>0</v>
      </c>
      <c r="GS130" s="302">
        <f t="shared" si="1717"/>
        <v>0.4604471269</v>
      </c>
      <c r="GT130" s="303">
        <f t="shared" si="1718"/>
        <v>0</v>
      </c>
      <c r="GU130" s="304">
        <f t="shared" si="1719"/>
        <v>0</v>
      </c>
      <c r="GV130" s="297"/>
      <c r="GW130" s="299">
        <f t="shared" si="1792"/>
        <v>10</v>
      </c>
      <c r="GX130" s="300" t="str">
        <f t="shared" ref="GX130:GZ130" si="1924">IFERROR(VLOOKUP($R130,$A$13:$D$30,-GX$12,FALSE),"")</f>
        <v>Lainnya 2.3 (2) ………</v>
      </c>
      <c r="GY130" s="301" t="str">
        <f t="shared" si="1924"/>
        <v>Bijih </v>
      </c>
      <c r="GZ130" s="301" t="str">
        <f t="shared" si="1924"/>
        <v>Ton </v>
      </c>
      <c r="HA130" s="294"/>
      <c r="HB130" s="294" t="str">
        <f t="shared" si="1721"/>
        <v/>
      </c>
      <c r="HC130" s="294">
        <f t="shared" si="1722"/>
        <v>0</v>
      </c>
      <c r="HD130" s="302"/>
      <c r="HE130" s="294">
        <f t="shared" si="1723"/>
        <v>0</v>
      </c>
      <c r="HF130" s="410"/>
      <c r="HG130" s="96"/>
      <c r="HH130" s="96"/>
      <c r="HI130" s="294">
        <f t="shared" si="1724"/>
        <v>0</v>
      </c>
      <c r="HJ130" s="302">
        <f t="shared" si="1725"/>
        <v>0.4604471269</v>
      </c>
      <c r="HK130" s="303">
        <f t="shared" si="1726"/>
        <v>0</v>
      </c>
      <c r="HL130" s="304">
        <f t="shared" si="1727"/>
        <v>0</v>
      </c>
      <c r="HM130" s="297"/>
      <c r="HN130" s="299">
        <f t="shared" si="1794"/>
        <v>10</v>
      </c>
      <c r="HO130" s="300" t="str">
        <f t="shared" ref="HO130:HQ130" si="1925">IFERROR(VLOOKUP($R130,$A$13:$D$30,-HO$12,FALSE),"")</f>
        <v>Lainnya 2.3 (2) ………</v>
      </c>
      <c r="HP130" s="301" t="str">
        <f t="shared" si="1925"/>
        <v>Bijih </v>
      </c>
      <c r="HQ130" s="301" t="str">
        <f t="shared" si="1925"/>
        <v>Ton </v>
      </c>
      <c r="HR130" s="294"/>
      <c r="HS130" s="294" t="str">
        <f t="shared" si="1729"/>
        <v/>
      </c>
      <c r="HT130" s="294">
        <f t="shared" si="1730"/>
        <v>0</v>
      </c>
      <c r="HU130" s="302"/>
      <c r="HV130" s="294">
        <f t="shared" si="1731"/>
        <v>0</v>
      </c>
      <c r="HW130" s="410"/>
      <c r="HX130" s="96"/>
      <c r="HY130" s="96"/>
      <c r="HZ130" s="294">
        <f t="shared" si="1732"/>
        <v>0</v>
      </c>
      <c r="IA130" s="302">
        <f t="shared" si="1733"/>
        <v>0.4604471269</v>
      </c>
      <c r="IB130" s="303">
        <f t="shared" si="1734"/>
        <v>0</v>
      </c>
      <c r="IC130" s="304">
        <f t="shared" si="1735"/>
        <v>0</v>
      </c>
      <c r="ID130" s="297"/>
      <c r="IE130" s="299">
        <f t="shared" si="1796"/>
        <v>10</v>
      </c>
      <c r="IF130" s="300" t="str">
        <f t="shared" ref="IF130:IH130" si="1926">IFERROR(VLOOKUP($R130,$A$13:$D$30,-IF$12,FALSE),"")</f>
        <v>Lainnya 2.3 (2) ………</v>
      </c>
      <c r="IG130" s="301" t="str">
        <f t="shared" si="1926"/>
        <v>Bijih </v>
      </c>
      <c r="IH130" s="301" t="str">
        <f t="shared" si="1926"/>
        <v>Ton </v>
      </c>
      <c r="II130" s="294"/>
      <c r="IJ130" s="294" t="str">
        <f t="shared" si="1737"/>
        <v/>
      </c>
      <c r="IK130" s="294">
        <f t="shared" si="1738"/>
        <v>0</v>
      </c>
      <c r="IL130" s="302"/>
      <c r="IM130" s="294">
        <f t="shared" si="1739"/>
        <v>0</v>
      </c>
      <c r="IN130" s="410"/>
      <c r="IO130" s="96"/>
      <c r="IP130" s="96"/>
      <c r="IQ130" s="294">
        <f t="shared" si="1740"/>
        <v>0</v>
      </c>
      <c r="IR130" s="302">
        <f t="shared" si="1741"/>
        <v>0.4604471269</v>
      </c>
      <c r="IS130" s="303">
        <f t="shared" si="1742"/>
        <v>0</v>
      </c>
      <c r="IT130" s="304">
        <f t="shared" si="1743"/>
        <v>0</v>
      </c>
      <c r="IU130" s="297"/>
      <c r="IV130" s="299">
        <f t="shared" si="1798"/>
        <v>10</v>
      </c>
      <c r="IW130" s="300" t="str">
        <f t="shared" ref="IW130:IY130" si="1927">IFERROR(VLOOKUP($R130,$A$13:$D$30,-IW$12,FALSE),"")</f>
        <v>Lainnya 2.3 (2) ………</v>
      </c>
      <c r="IX130" s="301" t="str">
        <f t="shared" si="1927"/>
        <v>Bijih </v>
      </c>
      <c r="IY130" s="301" t="str">
        <f t="shared" si="1927"/>
        <v>Ton </v>
      </c>
      <c r="IZ130" s="294"/>
      <c r="JA130" s="294" t="str">
        <f t="shared" si="1745"/>
        <v/>
      </c>
      <c r="JB130" s="294">
        <f t="shared" si="1746"/>
        <v>0</v>
      </c>
      <c r="JC130" s="302"/>
      <c r="JD130" s="294">
        <f t="shared" si="1747"/>
        <v>0</v>
      </c>
      <c r="JE130" s="410"/>
      <c r="JF130" s="96"/>
      <c r="JG130" s="96"/>
      <c r="JH130" s="294">
        <f t="shared" si="1748"/>
        <v>0</v>
      </c>
      <c r="JI130" s="302">
        <f t="shared" si="1749"/>
        <v>0.4604471269</v>
      </c>
      <c r="JJ130" s="303">
        <f t="shared" si="1750"/>
        <v>0</v>
      </c>
      <c r="JK130" s="304">
        <f t="shared" si="1751"/>
        <v>0</v>
      </c>
      <c r="JL130" s="297"/>
      <c r="JM130" s="299">
        <f t="shared" si="1800"/>
        <v>10</v>
      </c>
      <c r="JN130" s="300" t="str">
        <f t="shared" ref="JN130:JP130" si="1928">IFERROR(VLOOKUP($R130,$A$13:$D$30,-JN$12,FALSE),"")</f>
        <v>Lainnya 2.3 (2) ………</v>
      </c>
      <c r="JO130" s="301" t="str">
        <f t="shared" si="1928"/>
        <v>Bijih </v>
      </c>
      <c r="JP130" s="301" t="str">
        <f t="shared" si="1928"/>
        <v>Ton </v>
      </c>
      <c r="JQ130" s="294"/>
      <c r="JR130" s="294" t="str">
        <f t="shared" si="1753"/>
        <v/>
      </c>
      <c r="JS130" s="294">
        <f t="shared" si="1754"/>
        <v>0</v>
      </c>
      <c r="JT130" s="302"/>
      <c r="JU130" s="294">
        <f t="shared" si="1755"/>
        <v>0</v>
      </c>
      <c r="JV130" s="410"/>
      <c r="JW130" s="96"/>
      <c r="JX130" s="96"/>
      <c r="JY130" s="294">
        <f t="shared" si="1756"/>
        <v>0</v>
      </c>
      <c r="JZ130" s="302">
        <f t="shared" si="1757"/>
        <v>0.4604471269</v>
      </c>
      <c r="KA130" s="303">
        <f t="shared" si="1758"/>
        <v>0</v>
      </c>
      <c r="KB130" s="304">
        <f t="shared" si="1759"/>
        <v>0</v>
      </c>
      <c r="KC130" s="297"/>
      <c r="KD130" s="299">
        <f t="shared" si="1802"/>
        <v>10</v>
      </c>
      <c r="KE130" s="300" t="str">
        <f t="shared" ref="KE130:KG130" si="1929">IFERROR(VLOOKUP($R130,$A$13:$D$30,-KE$12,FALSE),"")</f>
        <v>Lainnya 2.3 (2) ………</v>
      </c>
      <c r="KF130" s="301" t="str">
        <f t="shared" si="1929"/>
        <v>Bijih </v>
      </c>
      <c r="KG130" s="301" t="str">
        <f t="shared" si="1929"/>
        <v>Ton </v>
      </c>
      <c r="KH130" s="294"/>
      <c r="KI130" s="294" t="str">
        <f t="shared" si="1761"/>
        <v/>
      </c>
      <c r="KJ130" s="294">
        <f t="shared" si="1762"/>
        <v>0</v>
      </c>
      <c r="KK130" s="302"/>
      <c r="KL130" s="294">
        <f t="shared" si="1763"/>
        <v>0</v>
      </c>
      <c r="KM130" s="410"/>
      <c r="KN130" s="96"/>
      <c r="KO130" s="96"/>
      <c r="KP130" s="294">
        <f t="shared" si="1764"/>
        <v>0</v>
      </c>
      <c r="KQ130" s="302">
        <f t="shared" si="1765"/>
        <v>0.4604471269</v>
      </c>
      <c r="KR130" s="303">
        <f t="shared" si="1766"/>
        <v>0</v>
      </c>
      <c r="KS130" s="304">
        <f t="shared" si="1767"/>
        <v>0</v>
      </c>
      <c r="KT130" s="297"/>
      <c r="KU130" s="298"/>
    </row>
    <row r="131" ht="15.75" customHeight="1">
      <c r="A131" s="299">
        <f t="shared" si="1768"/>
        <v>11</v>
      </c>
      <c r="B131" s="300" t="str">
        <f t="shared" ref="B131:D131" si="1930">IFERROR(VLOOKUP($A131,$A$13:$D$30,-B$12,FALSE),"")</f>
        <v>Lainnya 2.3 (3) …….</v>
      </c>
      <c r="C131" s="301" t="str">
        <f t="shared" si="1930"/>
        <v/>
      </c>
      <c r="D131" s="301" t="str">
        <f t="shared" si="1930"/>
        <v/>
      </c>
      <c r="E131" s="294"/>
      <c r="F131" s="294" t="str">
        <f t="shared" si="1625"/>
        <v/>
      </c>
      <c r="G131" s="294">
        <f t="shared" si="1626"/>
        <v>0</v>
      </c>
      <c r="H131" s="302"/>
      <c r="I131" s="294">
        <f t="shared" si="1627"/>
        <v>0</v>
      </c>
      <c r="J131" s="410"/>
      <c r="K131" s="96"/>
      <c r="L131" s="96"/>
      <c r="M131" s="294">
        <f t="shared" si="1628"/>
        <v>0</v>
      </c>
      <c r="N131" s="302">
        <f t="shared" si="1629"/>
        <v>0.4604471269</v>
      </c>
      <c r="O131" s="303">
        <f t="shared" si="1630"/>
        <v>0</v>
      </c>
      <c r="P131" s="304">
        <f t="shared" si="1631"/>
        <v>0</v>
      </c>
      <c r="Q131" s="297"/>
      <c r="R131" s="299">
        <f t="shared" si="1770"/>
        <v>11</v>
      </c>
      <c r="S131" s="300" t="str">
        <f t="shared" ref="S131:U131" si="1931">IFERROR(VLOOKUP($R131,$A$13:$D$30,-S$12,FALSE),"")</f>
        <v>Lainnya 2.3 (3) …….</v>
      </c>
      <c r="T131" s="301" t="str">
        <f t="shared" si="1931"/>
        <v/>
      </c>
      <c r="U131" s="301" t="str">
        <f t="shared" si="1931"/>
        <v/>
      </c>
      <c r="V131" s="294"/>
      <c r="W131" s="294" t="str">
        <f t="shared" si="1633"/>
        <v/>
      </c>
      <c r="X131" s="294">
        <f t="shared" si="1634"/>
        <v>0</v>
      </c>
      <c r="Y131" s="302"/>
      <c r="Z131" s="294">
        <f t="shared" si="1635"/>
        <v>0</v>
      </c>
      <c r="AA131" s="410"/>
      <c r="AB131" s="96"/>
      <c r="AC131" s="96"/>
      <c r="AD131" s="294">
        <f t="shared" si="1636"/>
        <v>0</v>
      </c>
      <c r="AE131" s="302">
        <f t="shared" si="1637"/>
        <v>0.4604471269</v>
      </c>
      <c r="AF131" s="303">
        <f t="shared" si="1638"/>
        <v>0</v>
      </c>
      <c r="AG131" s="304">
        <f t="shared" si="1639"/>
        <v>0</v>
      </c>
      <c r="AH131" s="297"/>
      <c r="AI131" s="299">
        <f t="shared" si="1772"/>
        <v>11</v>
      </c>
      <c r="AJ131" s="300" t="str">
        <f t="shared" ref="AJ131:AL131" si="1932">IFERROR(VLOOKUP($R131,$A$13:$D$30,-AJ$12,FALSE),"")</f>
        <v>Lainnya 2.3 (3) …….</v>
      </c>
      <c r="AK131" s="301" t="str">
        <f t="shared" si="1932"/>
        <v/>
      </c>
      <c r="AL131" s="301" t="str">
        <f t="shared" si="1932"/>
        <v/>
      </c>
      <c r="AM131" s="294"/>
      <c r="AN131" s="294" t="str">
        <f t="shared" si="1641"/>
        <v/>
      </c>
      <c r="AO131" s="294">
        <f t="shared" si="1642"/>
        <v>0</v>
      </c>
      <c r="AP131" s="302"/>
      <c r="AQ131" s="294">
        <f t="shared" si="1643"/>
        <v>0</v>
      </c>
      <c r="AR131" s="410"/>
      <c r="AS131" s="96"/>
      <c r="AT131" s="96"/>
      <c r="AU131" s="294">
        <f t="shared" si="1644"/>
        <v>0</v>
      </c>
      <c r="AV131" s="302">
        <f t="shared" si="1645"/>
        <v>0.4604471269</v>
      </c>
      <c r="AW131" s="303">
        <f t="shared" si="1646"/>
        <v>0</v>
      </c>
      <c r="AX131" s="304">
        <f t="shared" si="1647"/>
        <v>0</v>
      </c>
      <c r="AY131" s="297"/>
      <c r="AZ131" s="299">
        <f t="shared" si="1774"/>
        <v>11</v>
      </c>
      <c r="BA131" s="300" t="str">
        <f t="shared" ref="BA131:BC131" si="1933">IFERROR(VLOOKUP($R131,$A$13:$D$30,-BA$12,FALSE),"")</f>
        <v>Lainnya 2.3 (3) …….</v>
      </c>
      <c r="BB131" s="301" t="str">
        <f t="shared" si="1933"/>
        <v/>
      </c>
      <c r="BC131" s="301" t="str">
        <f t="shared" si="1933"/>
        <v/>
      </c>
      <c r="BD131" s="294"/>
      <c r="BE131" s="294" t="str">
        <f t="shared" si="1649"/>
        <v/>
      </c>
      <c r="BF131" s="294">
        <f t="shared" si="1650"/>
        <v>0</v>
      </c>
      <c r="BG131" s="302"/>
      <c r="BH131" s="294">
        <f t="shared" si="1651"/>
        <v>0</v>
      </c>
      <c r="BI131" s="410"/>
      <c r="BJ131" s="96"/>
      <c r="BK131" s="96"/>
      <c r="BL131" s="294">
        <f t="shared" si="1652"/>
        <v>0</v>
      </c>
      <c r="BM131" s="302">
        <f t="shared" si="1653"/>
        <v>0.4604471269</v>
      </c>
      <c r="BN131" s="303">
        <f t="shared" si="1654"/>
        <v>0</v>
      </c>
      <c r="BO131" s="304">
        <f t="shared" si="1655"/>
        <v>0</v>
      </c>
      <c r="BP131" s="297"/>
      <c r="BQ131" s="299">
        <f t="shared" si="1776"/>
        <v>11</v>
      </c>
      <c r="BR131" s="300" t="str">
        <f t="shared" ref="BR131:BT131" si="1934">IFERROR(VLOOKUP($R131,$A$13:$D$30,-BR$12,FALSE),"")</f>
        <v>Lainnya 2.3 (3) …….</v>
      </c>
      <c r="BS131" s="301" t="str">
        <f t="shared" si="1934"/>
        <v/>
      </c>
      <c r="BT131" s="301" t="str">
        <f t="shared" si="1934"/>
        <v/>
      </c>
      <c r="BU131" s="294"/>
      <c r="BV131" s="294" t="str">
        <f t="shared" si="1657"/>
        <v/>
      </c>
      <c r="BW131" s="294">
        <f t="shared" si="1658"/>
        <v>0</v>
      </c>
      <c r="BX131" s="302"/>
      <c r="BY131" s="294">
        <f t="shared" si="1659"/>
        <v>0</v>
      </c>
      <c r="BZ131" s="410"/>
      <c r="CA131" s="96"/>
      <c r="CB131" s="96"/>
      <c r="CC131" s="294">
        <f t="shared" si="1660"/>
        <v>0</v>
      </c>
      <c r="CD131" s="302">
        <f t="shared" si="1661"/>
        <v>0.4604471269</v>
      </c>
      <c r="CE131" s="303">
        <f t="shared" si="1662"/>
        <v>0</v>
      </c>
      <c r="CF131" s="304">
        <f t="shared" si="1663"/>
        <v>0</v>
      </c>
      <c r="CG131" s="297"/>
      <c r="CH131" s="299">
        <f t="shared" si="1778"/>
        <v>11</v>
      </c>
      <c r="CI131" s="300" t="str">
        <f t="shared" ref="CI131:CK131" si="1935">IFERROR(VLOOKUP($R131,$A$13:$D$30,-CI$12,FALSE),"")</f>
        <v>Lainnya 2.3 (3) …….</v>
      </c>
      <c r="CJ131" s="301" t="str">
        <f t="shared" si="1935"/>
        <v/>
      </c>
      <c r="CK131" s="301" t="str">
        <f t="shared" si="1935"/>
        <v/>
      </c>
      <c r="CL131" s="294"/>
      <c r="CM131" s="294" t="str">
        <f t="shared" si="1665"/>
        <v/>
      </c>
      <c r="CN131" s="294">
        <f t="shared" si="1666"/>
        <v>0</v>
      </c>
      <c r="CO131" s="302"/>
      <c r="CP131" s="294">
        <f t="shared" si="1667"/>
        <v>0</v>
      </c>
      <c r="CQ131" s="410"/>
      <c r="CR131" s="96"/>
      <c r="CS131" s="96"/>
      <c r="CT131" s="294">
        <f t="shared" si="1668"/>
        <v>0</v>
      </c>
      <c r="CU131" s="302">
        <f t="shared" si="1669"/>
        <v>0.4604471269</v>
      </c>
      <c r="CV131" s="303">
        <f t="shared" si="1670"/>
        <v>0</v>
      </c>
      <c r="CW131" s="304">
        <f t="shared" si="1671"/>
        <v>0</v>
      </c>
      <c r="CX131" s="297"/>
      <c r="CY131" s="299">
        <f t="shared" si="1780"/>
        <v>11</v>
      </c>
      <c r="CZ131" s="300" t="str">
        <f t="shared" ref="CZ131:DB131" si="1936">IFERROR(VLOOKUP($R131,$A$13:$D$30,-CZ$12,FALSE),"")</f>
        <v>Lainnya 2.3 (3) …….</v>
      </c>
      <c r="DA131" s="301" t="str">
        <f t="shared" si="1936"/>
        <v/>
      </c>
      <c r="DB131" s="301" t="str">
        <f t="shared" si="1936"/>
        <v/>
      </c>
      <c r="DC131" s="294"/>
      <c r="DD131" s="294" t="str">
        <f t="shared" si="1673"/>
        <v/>
      </c>
      <c r="DE131" s="294">
        <f t="shared" si="1674"/>
        <v>0</v>
      </c>
      <c r="DF131" s="302"/>
      <c r="DG131" s="294">
        <f t="shared" si="1675"/>
        <v>0</v>
      </c>
      <c r="DH131" s="410"/>
      <c r="DI131" s="96"/>
      <c r="DJ131" s="96"/>
      <c r="DK131" s="294">
        <f t="shared" si="1676"/>
        <v>0</v>
      </c>
      <c r="DL131" s="302">
        <f t="shared" si="1677"/>
        <v>0.4604471269</v>
      </c>
      <c r="DM131" s="303">
        <f t="shared" si="1678"/>
        <v>0</v>
      </c>
      <c r="DN131" s="304">
        <f t="shared" si="1679"/>
        <v>0</v>
      </c>
      <c r="DO131" s="297"/>
      <c r="DP131" s="299">
        <f t="shared" si="1782"/>
        <v>11</v>
      </c>
      <c r="DQ131" s="300" t="str">
        <f t="shared" ref="DQ131:DS131" si="1937">IFERROR(VLOOKUP($R131,$A$13:$D$30,-DQ$12,FALSE),"")</f>
        <v>Lainnya 2.3 (3) …….</v>
      </c>
      <c r="DR131" s="301" t="str">
        <f t="shared" si="1937"/>
        <v/>
      </c>
      <c r="DS131" s="301" t="str">
        <f t="shared" si="1937"/>
        <v/>
      </c>
      <c r="DT131" s="294"/>
      <c r="DU131" s="294" t="str">
        <f t="shared" si="1681"/>
        <v/>
      </c>
      <c r="DV131" s="294">
        <f t="shared" si="1682"/>
        <v>0</v>
      </c>
      <c r="DW131" s="302"/>
      <c r="DX131" s="294">
        <f t="shared" si="1683"/>
        <v>0</v>
      </c>
      <c r="DY131" s="410"/>
      <c r="DZ131" s="96"/>
      <c r="EA131" s="96"/>
      <c r="EB131" s="294">
        <f t="shared" si="1684"/>
        <v>0</v>
      </c>
      <c r="EC131" s="302">
        <f t="shared" si="1685"/>
        <v>0.4604471269</v>
      </c>
      <c r="ED131" s="303">
        <f t="shared" si="1686"/>
        <v>0</v>
      </c>
      <c r="EE131" s="304">
        <f t="shared" si="1687"/>
        <v>0</v>
      </c>
      <c r="EF131" s="297"/>
      <c r="EG131" s="299">
        <f t="shared" si="1784"/>
        <v>11</v>
      </c>
      <c r="EH131" s="300" t="str">
        <f t="shared" ref="EH131:EJ131" si="1938">IFERROR(VLOOKUP($R131,$A$13:$D$30,-EH$12,FALSE),"")</f>
        <v>Lainnya 2.3 (3) …….</v>
      </c>
      <c r="EI131" s="301" t="str">
        <f t="shared" si="1938"/>
        <v/>
      </c>
      <c r="EJ131" s="301" t="str">
        <f t="shared" si="1938"/>
        <v/>
      </c>
      <c r="EK131" s="294"/>
      <c r="EL131" s="294" t="str">
        <f t="shared" si="1689"/>
        <v/>
      </c>
      <c r="EM131" s="294">
        <f t="shared" si="1690"/>
        <v>0</v>
      </c>
      <c r="EN131" s="302"/>
      <c r="EO131" s="294">
        <f t="shared" si="1691"/>
        <v>0</v>
      </c>
      <c r="EP131" s="410"/>
      <c r="EQ131" s="96"/>
      <c r="ER131" s="96"/>
      <c r="ES131" s="294">
        <f t="shared" si="1692"/>
        <v>0</v>
      </c>
      <c r="ET131" s="302">
        <f t="shared" si="1693"/>
        <v>0.4604471269</v>
      </c>
      <c r="EU131" s="303">
        <f t="shared" si="1694"/>
        <v>0</v>
      </c>
      <c r="EV131" s="304">
        <f t="shared" si="1695"/>
        <v>0</v>
      </c>
      <c r="EW131" s="297"/>
      <c r="EX131" s="299">
        <f t="shared" si="1786"/>
        <v>11</v>
      </c>
      <c r="EY131" s="300" t="str">
        <f t="shared" ref="EY131:FA131" si="1939">IFERROR(VLOOKUP($R131,$A$13:$D$30,-EY$12,FALSE),"")</f>
        <v>Lainnya 2.3 (3) …….</v>
      </c>
      <c r="EZ131" s="301" t="str">
        <f t="shared" si="1939"/>
        <v/>
      </c>
      <c r="FA131" s="301" t="str">
        <f t="shared" si="1939"/>
        <v/>
      </c>
      <c r="FB131" s="294"/>
      <c r="FC131" s="294" t="str">
        <f t="shared" si="1697"/>
        <v/>
      </c>
      <c r="FD131" s="294">
        <f t="shared" si="1698"/>
        <v>0</v>
      </c>
      <c r="FE131" s="302"/>
      <c r="FF131" s="294">
        <f t="shared" si="1699"/>
        <v>0</v>
      </c>
      <c r="FG131" s="410"/>
      <c r="FH131" s="96"/>
      <c r="FI131" s="96"/>
      <c r="FJ131" s="294">
        <f t="shared" si="1700"/>
        <v>0</v>
      </c>
      <c r="FK131" s="302">
        <f t="shared" si="1701"/>
        <v>0.4604471269</v>
      </c>
      <c r="FL131" s="303">
        <f t="shared" si="1702"/>
        <v>0</v>
      </c>
      <c r="FM131" s="304">
        <f t="shared" si="1703"/>
        <v>0</v>
      </c>
      <c r="FN131" s="297"/>
      <c r="FO131" s="299">
        <f t="shared" si="1788"/>
        <v>11</v>
      </c>
      <c r="FP131" s="300" t="str">
        <f t="shared" ref="FP131:FR131" si="1940">IFERROR(VLOOKUP($R131,$A$13:$D$30,-FP$12,FALSE),"")</f>
        <v>Lainnya 2.3 (3) …….</v>
      </c>
      <c r="FQ131" s="301" t="str">
        <f t="shared" si="1940"/>
        <v/>
      </c>
      <c r="FR131" s="301" t="str">
        <f t="shared" si="1940"/>
        <v/>
      </c>
      <c r="FS131" s="294"/>
      <c r="FT131" s="294" t="str">
        <f t="shared" si="1705"/>
        <v/>
      </c>
      <c r="FU131" s="294">
        <f t="shared" si="1706"/>
        <v>0</v>
      </c>
      <c r="FV131" s="302"/>
      <c r="FW131" s="294">
        <f t="shared" si="1707"/>
        <v>0</v>
      </c>
      <c r="FX131" s="410"/>
      <c r="FY131" s="96"/>
      <c r="FZ131" s="96"/>
      <c r="GA131" s="294">
        <f t="shared" si="1708"/>
        <v>0</v>
      </c>
      <c r="GB131" s="302">
        <f t="shared" si="1709"/>
        <v>0.4604471269</v>
      </c>
      <c r="GC131" s="303">
        <f t="shared" si="1710"/>
        <v>0</v>
      </c>
      <c r="GD131" s="304">
        <f t="shared" si="1711"/>
        <v>0</v>
      </c>
      <c r="GE131" s="297"/>
      <c r="GF131" s="299">
        <f t="shared" si="1790"/>
        <v>11</v>
      </c>
      <c r="GG131" s="300" t="str">
        <f t="shared" ref="GG131:GI131" si="1941">IFERROR(VLOOKUP($R131,$A$13:$D$30,-GG$12,FALSE),"")</f>
        <v>Lainnya 2.3 (3) …….</v>
      </c>
      <c r="GH131" s="301" t="str">
        <f t="shared" si="1941"/>
        <v/>
      </c>
      <c r="GI131" s="301" t="str">
        <f t="shared" si="1941"/>
        <v/>
      </c>
      <c r="GJ131" s="294"/>
      <c r="GK131" s="294" t="str">
        <f t="shared" si="1713"/>
        <v/>
      </c>
      <c r="GL131" s="294">
        <f t="shared" si="1714"/>
        <v>0</v>
      </c>
      <c r="GM131" s="302"/>
      <c r="GN131" s="294">
        <f t="shared" si="1715"/>
        <v>0</v>
      </c>
      <c r="GO131" s="410"/>
      <c r="GP131" s="96"/>
      <c r="GQ131" s="96"/>
      <c r="GR131" s="294">
        <f t="shared" si="1716"/>
        <v>0</v>
      </c>
      <c r="GS131" s="302">
        <f t="shared" si="1717"/>
        <v>0.4604471269</v>
      </c>
      <c r="GT131" s="303">
        <f t="shared" si="1718"/>
        <v>0</v>
      </c>
      <c r="GU131" s="304">
        <f t="shared" si="1719"/>
        <v>0</v>
      </c>
      <c r="GV131" s="297"/>
      <c r="GW131" s="299">
        <f t="shared" si="1792"/>
        <v>11</v>
      </c>
      <c r="GX131" s="300" t="str">
        <f t="shared" ref="GX131:GY131" si="1942">IFERROR(VLOOKUP($R131,$A$13:$D$30,-GX$12,FALSE),"")</f>
        <v>Lainnya 2.3 (3) …….</v>
      </c>
      <c r="GY131" s="301" t="str">
        <f t="shared" si="1942"/>
        <v/>
      </c>
      <c r="GZ131" s="301"/>
      <c r="HA131" s="305"/>
      <c r="HB131" s="294" t="str">
        <f t="shared" si="1721"/>
        <v/>
      </c>
      <c r="HC131" s="294">
        <f t="shared" si="1722"/>
        <v>0</v>
      </c>
      <c r="HD131" s="302"/>
      <c r="HE131" s="294">
        <f t="shared" si="1723"/>
        <v>0</v>
      </c>
      <c r="HF131" s="410"/>
      <c r="HG131" s="96"/>
      <c r="HH131" s="96"/>
      <c r="HI131" s="294">
        <f t="shared" si="1724"/>
        <v>0</v>
      </c>
      <c r="HJ131" s="302">
        <f t="shared" si="1725"/>
        <v>0.4604471269</v>
      </c>
      <c r="HK131" s="303">
        <f t="shared" si="1726"/>
        <v>0</v>
      </c>
      <c r="HL131" s="304">
        <f t="shared" si="1727"/>
        <v>0</v>
      </c>
      <c r="HM131" s="297"/>
      <c r="HN131" s="299">
        <f t="shared" si="1794"/>
        <v>11</v>
      </c>
      <c r="HO131" s="300" t="str">
        <f t="shared" ref="HO131:HQ131" si="1943">IFERROR(VLOOKUP($R131,$A$13:$D$30,-HO$12,FALSE),"")</f>
        <v>Lainnya 2.3 (3) …….</v>
      </c>
      <c r="HP131" s="301" t="str">
        <f t="shared" si="1943"/>
        <v/>
      </c>
      <c r="HQ131" s="301" t="str">
        <f t="shared" si="1943"/>
        <v/>
      </c>
      <c r="HR131" s="294"/>
      <c r="HS131" s="294" t="str">
        <f t="shared" si="1729"/>
        <v/>
      </c>
      <c r="HT131" s="294">
        <f t="shared" si="1730"/>
        <v>0</v>
      </c>
      <c r="HU131" s="302"/>
      <c r="HV131" s="294">
        <f t="shared" si="1731"/>
        <v>0</v>
      </c>
      <c r="HW131" s="410"/>
      <c r="HX131" s="96"/>
      <c r="HY131" s="96"/>
      <c r="HZ131" s="294">
        <f t="shared" si="1732"/>
        <v>0</v>
      </c>
      <c r="IA131" s="302">
        <f t="shared" si="1733"/>
        <v>0.4604471269</v>
      </c>
      <c r="IB131" s="303">
        <f t="shared" si="1734"/>
        <v>0</v>
      </c>
      <c r="IC131" s="304">
        <f t="shared" si="1735"/>
        <v>0</v>
      </c>
      <c r="ID131" s="297"/>
      <c r="IE131" s="299">
        <f t="shared" si="1796"/>
        <v>11</v>
      </c>
      <c r="IF131" s="300" t="str">
        <f t="shared" ref="IF131:IH131" si="1944">IFERROR(VLOOKUP($R131,$A$13:$D$30,-IF$12,FALSE),"")</f>
        <v>Lainnya 2.3 (3) …….</v>
      </c>
      <c r="IG131" s="301" t="str">
        <f t="shared" si="1944"/>
        <v/>
      </c>
      <c r="IH131" s="301" t="str">
        <f t="shared" si="1944"/>
        <v/>
      </c>
      <c r="II131" s="294"/>
      <c r="IJ131" s="294" t="str">
        <f t="shared" si="1737"/>
        <v/>
      </c>
      <c r="IK131" s="294">
        <f t="shared" si="1738"/>
        <v>0</v>
      </c>
      <c r="IL131" s="302"/>
      <c r="IM131" s="294">
        <f t="shared" si="1739"/>
        <v>0</v>
      </c>
      <c r="IN131" s="410"/>
      <c r="IO131" s="96"/>
      <c r="IP131" s="96"/>
      <c r="IQ131" s="294">
        <f t="shared" si="1740"/>
        <v>0</v>
      </c>
      <c r="IR131" s="302">
        <f t="shared" si="1741"/>
        <v>0.4604471269</v>
      </c>
      <c r="IS131" s="303">
        <f t="shared" si="1742"/>
        <v>0</v>
      </c>
      <c r="IT131" s="304">
        <f t="shared" si="1743"/>
        <v>0</v>
      </c>
      <c r="IU131" s="297"/>
      <c r="IV131" s="299">
        <f t="shared" si="1798"/>
        <v>11</v>
      </c>
      <c r="IW131" s="300" t="str">
        <f t="shared" ref="IW131:IY131" si="1945">IFERROR(VLOOKUP($R131,$A$13:$D$30,-IW$12,FALSE),"")</f>
        <v>Lainnya 2.3 (3) …….</v>
      </c>
      <c r="IX131" s="301" t="str">
        <f t="shared" si="1945"/>
        <v/>
      </c>
      <c r="IY131" s="301" t="str">
        <f t="shared" si="1945"/>
        <v/>
      </c>
      <c r="IZ131" s="294"/>
      <c r="JA131" s="294" t="str">
        <f t="shared" si="1745"/>
        <v/>
      </c>
      <c r="JB131" s="294">
        <f t="shared" si="1746"/>
        <v>0</v>
      </c>
      <c r="JC131" s="302"/>
      <c r="JD131" s="294">
        <f t="shared" si="1747"/>
        <v>0</v>
      </c>
      <c r="JE131" s="410"/>
      <c r="JF131" s="96"/>
      <c r="JG131" s="96"/>
      <c r="JH131" s="294">
        <f t="shared" si="1748"/>
        <v>0</v>
      </c>
      <c r="JI131" s="302">
        <f t="shared" si="1749"/>
        <v>0.4604471269</v>
      </c>
      <c r="JJ131" s="303">
        <f t="shared" si="1750"/>
        <v>0</v>
      </c>
      <c r="JK131" s="304">
        <f t="shared" si="1751"/>
        <v>0</v>
      </c>
      <c r="JL131" s="297"/>
      <c r="JM131" s="299">
        <f t="shared" si="1800"/>
        <v>11</v>
      </c>
      <c r="JN131" s="300" t="str">
        <f t="shared" ref="JN131:JP131" si="1946">IFERROR(VLOOKUP($R131,$A$13:$D$30,-JN$12,FALSE),"")</f>
        <v>Lainnya 2.3 (3) …….</v>
      </c>
      <c r="JO131" s="301" t="str">
        <f t="shared" si="1946"/>
        <v/>
      </c>
      <c r="JP131" s="301" t="str">
        <f t="shared" si="1946"/>
        <v/>
      </c>
      <c r="JQ131" s="294"/>
      <c r="JR131" s="294" t="str">
        <f t="shared" si="1753"/>
        <v/>
      </c>
      <c r="JS131" s="294">
        <f t="shared" si="1754"/>
        <v>0</v>
      </c>
      <c r="JT131" s="302"/>
      <c r="JU131" s="294">
        <f t="shared" si="1755"/>
        <v>0</v>
      </c>
      <c r="JV131" s="410"/>
      <c r="JW131" s="96"/>
      <c r="JX131" s="96"/>
      <c r="JY131" s="294">
        <f t="shared" si="1756"/>
        <v>0</v>
      </c>
      <c r="JZ131" s="302">
        <f t="shared" si="1757"/>
        <v>0.4604471269</v>
      </c>
      <c r="KA131" s="303">
        <f t="shared" si="1758"/>
        <v>0</v>
      </c>
      <c r="KB131" s="304">
        <f t="shared" si="1759"/>
        <v>0</v>
      </c>
      <c r="KC131" s="297"/>
      <c r="KD131" s="299">
        <f t="shared" si="1802"/>
        <v>11</v>
      </c>
      <c r="KE131" s="300" t="str">
        <f t="shared" ref="KE131:KG131" si="1947">IFERROR(VLOOKUP($R131,$A$13:$D$30,-KE$12,FALSE),"")</f>
        <v>Lainnya 2.3 (3) …….</v>
      </c>
      <c r="KF131" s="301" t="str">
        <f t="shared" si="1947"/>
        <v/>
      </c>
      <c r="KG131" s="301" t="str">
        <f t="shared" si="1947"/>
        <v/>
      </c>
      <c r="KH131" s="294"/>
      <c r="KI131" s="294" t="str">
        <f t="shared" si="1761"/>
        <v/>
      </c>
      <c r="KJ131" s="294">
        <f t="shared" si="1762"/>
        <v>0</v>
      </c>
      <c r="KK131" s="302"/>
      <c r="KL131" s="294">
        <f t="shared" si="1763"/>
        <v>0</v>
      </c>
      <c r="KM131" s="410"/>
      <c r="KN131" s="96"/>
      <c r="KO131" s="96"/>
      <c r="KP131" s="294">
        <f t="shared" si="1764"/>
        <v>0</v>
      </c>
      <c r="KQ131" s="302">
        <f t="shared" si="1765"/>
        <v>0.4604471269</v>
      </c>
      <c r="KR131" s="303">
        <f t="shared" si="1766"/>
        <v>0</v>
      </c>
      <c r="KS131" s="304">
        <f t="shared" si="1767"/>
        <v>0</v>
      </c>
      <c r="KT131" s="297"/>
      <c r="KU131" s="298"/>
    </row>
    <row r="132" ht="15.75" customHeight="1">
      <c r="A132" s="299">
        <f t="shared" si="1768"/>
        <v>12</v>
      </c>
      <c r="B132" s="300" t="str">
        <f t="shared" ref="B132:D132" si="1948">IFERROR(VLOOKUP($A132,$A$13:$D$30,-B$12,FALSE),"")</f>
        <v>Lainnya 2.3 (4) …….</v>
      </c>
      <c r="C132" s="301" t="str">
        <f t="shared" si="1948"/>
        <v/>
      </c>
      <c r="D132" s="301" t="str">
        <f t="shared" si="1948"/>
        <v/>
      </c>
      <c r="E132" s="294"/>
      <c r="F132" s="294" t="str">
        <f t="shared" si="1625"/>
        <v/>
      </c>
      <c r="G132" s="294">
        <f t="shared" si="1626"/>
        <v>0</v>
      </c>
      <c r="H132" s="302"/>
      <c r="I132" s="294">
        <f t="shared" si="1627"/>
        <v>0</v>
      </c>
      <c r="J132" s="410"/>
      <c r="K132" s="96"/>
      <c r="L132" s="96"/>
      <c r="M132" s="294">
        <f t="shared" si="1628"/>
        <v>0</v>
      </c>
      <c r="N132" s="302">
        <f t="shared" si="1629"/>
        <v>0.4604471269</v>
      </c>
      <c r="O132" s="303">
        <f t="shared" si="1630"/>
        <v>0</v>
      </c>
      <c r="P132" s="304">
        <f t="shared" si="1631"/>
        <v>0</v>
      </c>
      <c r="Q132" s="297"/>
      <c r="R132" s="299">
        <f t="shared" si="1770"/>
        <v>12</v>
      </c>
      <c r="S132" s="300" t="str">
        <f t="shared" ref="S132:U132" si="1949">IFERROR(VLOOKUP($R132,$A$13:$D$30,-S$12,FALSE),"")</f>
        <v>Lainnya 2.3 (4) …….</v>
      </c>
      <c r="T132" s="301" t="str">
        <f t="shared" si="1949"/>
        <v/>
      </c>
      <c r="U132" s="301" t="str">
        <f t="shared" si="1949"/>
        <v/>
      </c>
      <c r="V132" s="294"/>
      <c r="W132" s="294" t="str">
        <f t="shared" si="1633"/>
        <v/>
      </c>
      <c r="X132" s="294">
        <f t="shared" si="1634"/>
        <v>0</v>
      </c>
      <c r="Y132" s="302"/>
      <c r="Z132" s="294">
        <f t="shared" si="1635"/>
        <v>0</v>
      </c>
      <c r="AA132" s="410"/>
      <c r="AB132" s="96"/>
      <c r="AC132" s="96"/>
      <c r="AD132" s="294">
        <f t="shared" si="1636"/>
        <v>0</v>
      </c>
      <c r="AE132" s="302">
        <f t="shared" si="1637"/>
        <v>0.4604471269</v>
      </c>
      <c r="AF132" s="303">
        <f t="shared" si="1638"/>
        <v>0</v>
      </c>
      <c r="AG132" s="304">
        <f t="shared" si="1639"/>
        <v>0</v>
      </c>
      <c r="AH132" s="297"/>
      <c r="AI132" s="299">
        <f t="shared" si="1772"/>
        <v>12</v>
      </c>
      <c r="AJ132" s="300" t="str">
        <f t="shared" ref="AJ132:AL132" si="1950">IFERROR(VLOOKUP($R132,$A$13:$D$30,-AJ$12,FALSE),"")</f>
        <v>Lainnya 2.3 (4) …….</v>
      </c>
      <c r="AK132" s="301" t="str">
        <f t="shared" si="1950"/>
        <v/>
      </c>
      <c r="AL132" s="301" t="str">
        <f t="shared" si="1950"/>
        <v/>
      </c>
      <c r="AM132" s="294"/>
      <c r="AN132" s="294" t="str">
        <f t="shared" si="1641"/>
        <v/>
      </c>
      <c r="AO132" s="294">
        <f t="shared" si="1642"/>
        <v>0</v>
      </c>
      <c r="AP132" s="302"/>
      <c r="AQ132" s="294">
        <f t="shared" si="1643"/>
        <v>0</v>
      </c>
      <c r="AR132" s="410"/>
      <c r="AS132" s="96"/>
      <c r="AT132" s="96"/>
      <c r="AU132" s="294">
        <f t="shared" si="1644"/>
        <v>0</v>
      </c>
      <c r="AV132" s="302">
        <f t="shared" si="1645"/>
        <v>0.4604471269</v>
      </c>
      <c r="AW132" s="303">
        <f t="shared" si="1646"/>
        <v>0</v>
      </c>
      <c r="AX132" s="304">
        <f t="shared" si="1647"/>
        <v>0</v>
      </c>
      <c r="AY132" s="297"/>
      <c r="AZ132" s="299">
        <f t="shared" si="1774"/>
        <v>12</v>
      </c>
      <c r="BA132" s="300" t="str">
        <f t="shared" ref="BA132:BC132" si="1951">IFERROR(VLOOKUP($R132,$A$13:$D$30,-BA$12,FALSE),"")</f>
        <v>Lainnya 2.3 (4) …….</v>
      </c>
      <c r="BB132" s="301" t="str">
        <f t="shared" si="1951"/>
        <v/>
      </c>
      <c r="BC132" s="301" t="str">
        <f t="shared" si="1951"/>
        <v/>
      </c>
      <c r="BD132" s="294"/>
      <c r="BE132" s="294" t="str">
        <f t="shared" si="1649"/>
        <v/>
      </c>
      <c r="BF132" s="294">
        <f t="shared" si="1650"/>
        <v>0</v>
      </c>
      <c r="BG132" s="302"/>
      <c r="BH132" s="294">
        <f t="shared" si="1651"/>
        <v>0</v>
      </c>
      <c r="BI132" s="410"/>
      <c r="BJ132" s="96"/>
      <c r="BK132" s="96"/>
      <c r="BL132" s="294">
        <f t="shared" si="1652"/>
        <v>0</v>
      </c>
      <c r="BM132" s="302">
        <f t="shared" si="1653"/>
        <v>0.4604471269</v>
      </c>
      <c r="BN132" s="303">
        <f t="shared" si="1654"/>
        <v>0</v>
      </c>
      <c r="BO132" s="304">
        <f t="shared" si="1655"/>
        <v>0</v>
      </c>
      <c r="BP132" s="297"/>
      <c r="BQ132" s="299">
        <f t="shared" si="1776"/>
        <v>12</v>
      </c>
      <c r="BR132" s="300" t="str">
        <f t="shared" ref="BR132:BT132" si="1952">IFERROR(VLOOKUP($R132,$A$13:$D$30,-BR$12,FALSE),"")</f>
        <v>Lainnya 2.3 (4) …….</v>
      </c>
      <c r="BS132" s="301" t="str">
        <f t="shared" si="1952"/>
        <v/>
      </c>
      <c r="BT132" s="301" t="str">
        <f t="shared" si="1952"/>
        <v/>
      </c>
      <c r="BU132" s="294"/>
      <c r="BV132" s="294" t="str">
        <f t="shared" si="1657"/>
        <v/>
      </c>
      <c r="BW132" s="294">
        <f t="shared" si="1658"/>
        <v>0</v>
      </c>
      <c r="BX132" s="302"/>
      <c r="BY132" s="294">
        <f t="shared" si="1659"/>
        <v>0</v>
      </c>
      <c r="BZ132" s="410"/>
      <c r="CA132" s="96"/>
      <c r="CB132" s="96"/>
      <c r="CC132" s="294">
        <f t="shared" si="1660"/>
        <v>0</v>
      </c>
      <c r="CD132" s="302">
        <f t="shared" si="1661"/>
        <v>0.4604471269</v>
      </c>
      <c r="CE132" s="303">
        <f t="shared" si="1662"/>
        <v>0</v>
      </c>
      <c r="CF132" s="304">
        <f t="shared" si="1663"/>
        <v>0</v>
      </c>
      <c r="CG132" s="297"/>
      <c r="CH132" s="299">
        <f t="shared" si="1778"/>
        <v>12</v>
      </c>
      <c r="CI132" s="300" t="str">
        <f t="shared" ref="CI132:CK132" si="1953">IFERROR(VLOOKUP($R132,$A$13:$D$30,-CI$12,FALSE),"")</f>
        <v>Lainnya 2.3 (4) …….</v>
      </c>
      <c r="CJ132" s="301" t="str">
        <f t="shared" si="1953"/>
        <v/>
      </c>
      <c r="CK132" s="301" t="str">
        <f t="shared" si="1953"/>
        <v/>
      </c>
      <c r="CL132" s="294"/>
      <c r="CM132" s="294" t="str">
        <f t="shared" si="1665"/>
        <v/>
      </c>
      <c r="CN132" s="294">
        <f t="shared" si="1666"/>
        <v>0</v>
      </c>
      <c r="CO132" s="302"/>
      <c r="CP132" s="294">
        <f t="shared" si="1667"/>
        <v>0</v>
      </c>
      <c r="CQ132" s="410"/>
      <c r="CR132" s="96"/>
      <c r="CS132" s="96"/>
      <c r="CT132" s="294">
        <f t="shared" si="1668"/>
        <v>0</v>
      </c>
      <c r="CU132" s="302">
        <f t="shared" si="1669"/>
        <v>0.4604471269</v>
      </c>
      <c r="CV132" s="303">
        <f t="shared" si="1670"/>
        <v>0</v>
      </c>
      <c r="CW132" s="304">
        <f t="shared" si="1671"/>
        <v>0</v>
      </c>
      <c r="CX132" s="297"/>
      <c r="CY132" s="299">
        <f t="shared" si="1780"/>
        <v>12</v>
      </c>
      <c r="CZ132" s="300" t="str">
        <f t="shared" ref="CZ132:DB132" si="1954">IFERROR(VLOOKUP($R132,$A$13:$D$30,-CZ$12,FALSE),"")</f>
        <v>Lainnya 2.3 (4) …….</v>
      </c>
      <c r="DA132" s="301" t="str">
        <f t="shared" si="1954"/>
        <v/>
      </c>
      <c r="DB132" s="301" t="str">
        <f t="shared" si="1954"/>
        <v/>
      </c>
      <c r="DC132" s="294"/>
      <c r="DD132" s="294" t="str">
        <f t="shared" si="1673"/>
        <v/>
      </c>
      <c r="DE132" s="294">
        <f t="shared" si="1674"/>
        <v>0</v>
      </c>
      <c r="DF132" s="302"/>
      <c r="DG132" s="294">
        <f t="shared" si="1675"/>
        <v>0</v>
      </c>
      <c r="DH132" s="410"/>
      <c r="DI132" s="96"/>
      <c r="DJ132" s="96"/>
      <c r="DK132" s="294">
        <f t="shared" si="1676"/>
        <v>0</v>
      </c>
      <c r="DL132" s="302">
        <f t="shared" si="1677"/>
        <v>0.4604471269</v>
      </c>
      <c r="DM132" s="303">
        <f t="shared" si="1678"/>
        <v>0</v>
      </c>
      <c r="DN132" s="304">
        <f t="shared" si="1679"/>
        <v>0</v>
      </c>
      <c r="DO132" s="297"/>
      <c r="DP132" s="299">
        <f t="shared" si="1782"/>
        <v>12</v>
      </c>
      <c r="DQ132" s="300" t="str">
        <f t="shared" ref="DQ132:DS132" si="1955">IFERROR(VLOOKUP($R132,$A$13:$D$30,-DQ$12,FALSE),"")</f>
        <v>Lainnya 2.3 (4) …….</v>
      </c>
      <c r="DR132" s="301" t="str">
        <f t="shared" si="1955"/>
        <v/>
      </c>
      <c r="DS132" s="301" t="str">
        <f t="shared" si="1955"/>
        <v/>
      </c>
      <c r="DT132" s="294"/>
      <c r="DU132" s="294" t="str">
        <f t="shared" si="1681"/>
        <v/>
      </c>
      <c r="DV132" s="294">
        <f t="shared" si="1682"/>
        <v>0</v>
      </c>
      <c r="DW132" s="302"/>
      <c r="DX132" s="294">
        <f t="shared" si="1683"/>
        <v>0</v>
      </c>
      <c r="DY132" s="410"/>
      <c r="DZ132" s="96"/>
      <c r="EA132" s="96"/>
      <c r="EB132" s="294">
        <f t="shared" si="1684"/>
        <v>0</v>
      </c>
      <c r="EC132" s="302">
        <f t="shared" si="1685"/>
        <v>0.4604471269</v>
      </c>
      <c r="ED132" s="303">
        <f t="shared" si="1686"/>
        <v>0</v>
      </c>
      <c r="EE132" s="304">
        <f t="shared" si="1687"/>
        <v>0</v>
      </c>
      <c r="EF132" s="297"/>
      <c r="EG132" s="299">
        <f t="shared" si="1784"/>
        <v>12</v>
      </c>
      <c r="EH132" s="300" t="str">
        <f t="shared" ref="EH132:EJ132" si="1956">IFERROR(VLOOKUP($R132,$A$13:$D$30,-EH$12,FALSE),"")</f>
        <v>Lainnya 2.3 (4) …….</v>
      </c>
      <c r="EI132" s="301" t="str">
        <f t="shared" si="1956"/>
        <v/>
      </c>
      <c r="EJ132" s="301" t="str">
        <f t="shared" si="1956"/>
        <v/>
      </c>
      <c r="EK132" s="294"/>
      <c r="EL132" s="294" t="str">
        <f t="shared" si="1689"/>
        <v/>
      </c>
      <c r="EM132" s="294">
        <f t="shared" si="1690"/>
        <v>0</v>
      </c>
      <c r="EN132" s="302"/>
      <c r="EO132" s="294">
        <f t="shared" si="1691"/>
        <v>0</v>
      </c>
      <c r="EP132" s="410"/>
      <c r="EQ132" s="96"/>
      <c r="ER132" s="96"/>
      <c r="ES132" s="294">
        <f t="shared" si="1692"/>
        <v>0</v>
      </c>
      <c r="ET132" s="302">
        <f t="shared" si="1693"/>
        <v>0.4604471269</v>
      </c>
      <c r="EU132" s="303">
        <f t="shared" si="1694"/>
        <v>0</v>
      </c>
      <c r="EV132" s="304">
        <f t="shared" si="1695"/>
        <v>0</v>
      </c>
      <c r="EW132" s="297"/>
      <c r="EX132" s="299">
        <f t="shared" si="1786"/>
        <v>12</v>
      </c>
      <c r="EY132" s="300" t="str">
        <f t="shared" ref="EY132:FA132" si="1957">IFERROR(VLOOKUP($R132,$A$13:$D$30,-EY$12,FALSE),"")</f>
        <v>Lainnya 2.3 (4) …….</v>
      </c>
      <c r="EZ132" s="301" t="str">
        <f t="shared" si="1957"/>
        <v/>
      </c>
      <c r="FA132" s="301" t="str">
        <f t="shared" si="1957"/>
        <v/>
      </c>
      <c r="FB132" s="294"/>
      <c r="FC132" s="294" t="str">
        <f t="shared" si="1697"/>
        <v/>
      </c>
      <c r="FD132" s="294">
        <f t="shared" si="1698"/>
        <v>0</v>
      </c>
      <c r="FE132" s="302"/>
      <c r="FF132" s="294">
        <f t="shared" si="1699"/>
        <v>0</v>
      </c>
      <c r="FG132" s="410"/>
      <c r="FH132" s="96"/>
      <c r="FI132" s="96"/>
      <c r="FJ132" s="294">
        <f t="shared" si="1700"/>
        <v>0</v>
      </c>
      <c r="FK132" s="302">
        <f t="shared" si="1701"/>
        <v>0.4604471269</v>
      </c>
      <c r="FL132" s="303">
        <f t="shared" si="1702"/>
        <v>0</v>
      </c>
      <c r="FM132" s="304">
        <f t="shared" si="1703"/>
        <v>0</v>
      </c>
      <c r="FN132" s="297"/>
      <c r="FO132" s="299">
        <f t="shared" si="1788"/>
        <v>12</v>
      </c>
      <c r="FP132" s="300" t="str">
        <f t="shared" ref="FP132:FR132" si="1958">IFERROR(VLOOKUP($R132,$A$13:$D$30,-FP$12,FALSE),"")</f>
        <v>Lainnya 2.3 (4) …….</v>
      </c>
      <c r="FQ132" s="301" t="str">
        <f t="shared" si="1958"/>
        <v/>
      </c>
      <c r="FR132" s="301" t="str">
        <f t="shared" si="1958"/>
        <v/>
      </c>
      <c r="FS132" s="294"/>
      <c r="FT132" s="294" t="str">
        <f t="shared" si="1705"/>
        <v/>
      </c>
      <c r="FU132" s="294">
        <f t="shared" si="1706"/>
        <v>0</v>
      </c>
      <c r="FV132" s="302"/>
      <c r="FW132" s="294">
        <f t="shared" si="1707"/>
        <v>0</v>
      </c>
      <c r="FX132" s="410"/>
      <c r="FY132" s="96"/>
      <c r="FZ132" s="96"/>
      <c r="GA132" s="294">
        <f t="shared" si="1708"/>
        <v>0</v>
      </c>
      <c r="GB132" s="302">
        <f t="shared" si="1709"/>
        <v>0.4604471269</v>
      </c>
      <c r="GC132" s="303">
        <f t="shared" si="1710"/>
        <v>0</v>
      </c>
      <c r="GD132" s="304">
        <f t="shared" si="1711"/>
        <v>0</v>
      </c>
      <c r="GE132" s="297"/>
      <c r="GF132" s="299">
        <f t="shared" si="1790"/>
        <v>12</v>
      </c>
      <c r="GG132" s="300" t="str">
        <f t="shared" ref="GG132:GI132" si="1959">IFERROR(VLOOKUP($R132,$A$13:$D$30,-GG$12,FALSE),"")</f>
        <v>Lainnya 2.3 (4) …….</v>
      </c>
      <c r="GH132" s="301" t="str">
        <f t="shared" si="1959"/>
        <v/>
      </c>
      <c r="GI132" s="301" t="str">
        <f t="shared" si="1959"/>
        <v/>
      </c>
      <c r="GJ132" s="294"/>
      <c r="GK132" s="294" t="str">
        <f t="shared" si="1713"/>
        <v/>
      </c>
      <c r="GL132" s="294">
        <f t="shared" si="1714"/>
        <v>0</v>
      </c>
      <c r="GM132" s="302"/>
      <c r="GN132" s="294">
        <f t="shared" si="1715"/>
        <v>0</v>
      </c>
      <c r="GO132" s="410"/>
      <c r="GP132" s="96"/>
      <c r="GQ132" s="96"/>
      <c r="GR132" s="294">
        <f t="shared" si="1716"/>
        <v>0</v>
      </c>
      <c r="GS132" s="302">
        <f t="shared" si="1717"/>
        <v>0.4604471269</v>
      </c>
      <c r="GT132" s="303">
        <f t="shared" si="1718"/>
        <v>0</v>
      </c>
      <c r="GU132" s="304">
        <f t="shared" si="1719"/>
        <v>0</v>
      </c>
      <c r="GV132" s="297"/>
      <c r="GW132" s="299">
        <f t="shared" si="1792"/>
        <v>12</v>
      </c>
      <c r="GX132" s="300" t="str">
        <f t="shared" ref="GX132:GY132" si="1960">IFERROR(VLOOKUP($R132,$A$13:$D$30,-GX$12,FALSE),"")</f>
        <v>Lainnya 2.3 (4) …….</v>
      </c>
      <c r="GY132" s="301" t="str">
        <f t="shared" si="1960"/>
        <v/>
      </c>
      <c r="GZ132" s="301"/>
      <c r="HA132" s="294"/>
      <c r="HB132" s="294" t="str">
        <f t="shared" si="1721"/>
        <v/>
      </c>
      <c r="HC132" s="294">
        <f t="shared" si="1722"/>
        <v>0</v>
      </c>
      <c r="HD132" s="302"/>
      <c r="HE132" s="294">
        <f t="shared" si="1723"/>
        <v>0</v>
      </c>
      <c r="HF132" s="410"/>
      <c r="HG132" s="96"/>
      <c r="HH132" s="96"/>
      <c r="HI132" s="294">
        <f t="shared" si="1724"/>
        <v>0</v>
      </c>
      <c r="HJ132" s="302">
        <f t="shared" si="1725"/>
        <v>0.4604471269</v>
      </c>
      <c r="HK132" s="303">
        <f t="shared" si="1726"/>
        <v>0</v>
      </c>
      <c r="HL132" s="304">
        <f t="shared" si="1727"/>
        <v>0</v>
      </c>
      <c r="HM132" s="297"/>
      <c r="HN132" s="299">
        <f t="shared" si="1794"/>
        <v>12</v>
      </c>
      <c r="HO132" s="300" t="str">
        <f t="shared" ref="HO132:HQ132" si="1961">IFERROR(VLOOKUP($R132,$A$13:$D$30,-HO$12,FALSE),"")</f>
        <v>Lainnya 2.3 (4) …….</v>
      </c>
      <c r="HP132" s="301" t="str">
        <f t="shared" si="1961"/>
        <v/>
      </c>
      <c r="HQ132" s="301" t="str">
        <f t="shared" si="1961"/>
        <v/>
      </c>
      <c r="HR132" s="294"/>
      <c r="HS132" s="294" t="str">
        <f t="shared" si="1729"/>
        <v/>
      </c>
      <c r="HT132" s="294">
        <f t="shared" si="1730"/>
        <v>0</v>
      </c>
      <c r="HU132" s="302"/>
      <c r="HV132" s="294">
        <f t="shared" si="1731"/>
        <v>0</v>
      </c>
      <c r="HW132" s="410"/>
      <c r="HX132" s="96"/>
      <c r="HY132" s="96"/>
      <c r="HZ132" s="294">
        <f t="shared" si="1732"/>
        <v>0</v>
      </c>
      <c r="IA132" s="302">
        <f t="shared" si="1733"/>
        <v>0.4604471269</v>
      </c>
      <c r="IB132" s="303">
        <f t="shared" si="1734"/>
        <v>0</v>
      </c>
      <c r="IC132" s="304">
        <f t="shared" si="1735"/>
        <v>0</v>
      </c>
      <c r="ID132" s="297"/>
      <c r="IE132" s="299">
        <f t="shared" si="1796"/>
        <v>12</v>
      </c>
      <c r="IF132" s="300" t="str">
        <f t="shared" ref="IF132:IH132" si="1962">IFERROR(VLOOKUP($R132,$A$13:$D$30,-IF$12,FALSE),"")</f>
        <v>Lainnya 2.3 (4) …….</v>
      </c>
      <c r="IG132" s="301" t="str">
        <f t="shared" si="1962"/>
        <v/>
      </c>
      <c r="IH132" s="301" t="str">
        <f t="shared" si="1962"/>
        <v/>
      </c>
      <c r="II132" s="294"/>
      <c r="IJ132" s="294" t="str">
        <f t="shared" si="1737"/>
        <v/>
      </c>
      <c r="IK132" s="294">
        <f t="shared" si="1738"/>
        <v>0</v>
      </c>
      <c r="IL132" s="302"/>
      <c r="IM132" s="294">
        <f t="shared" si="1739"/>
        <v>0</v>
      </c>
      <c r="IN132" s="410"/>
      <c r="IO132" s="96"/>
      <c r="IP132" s="96"/>
      <c r="IQ132" s="294">
        <f t="shared" si="1740"/>
        <v>0</v>
      </c>
      <c r="IR132" s="302">
        <f t="shared" si="1741"/>
        <v>0.4604471269</v>
      </c>
      <c r="IS132" s="303">
        <f t="shared" si="1742"/>
        <v>0</v>
      </c>
      <c r="IT132" s="304">
        <f t="shared" si="1743"/>
        <v>0</v>
      </c>
      <c r="IU132" s="297"/>
      <c r="IV132" s="299">
        <f t="shared" si="1798"/>
        <v>12</v>
      </c>
      <c r="IW132" s="300" t="str">
        <f t="shared" ref="IW132:IY132" si="1963">IFERROR(VLOOKUP($R132,$A$13:$D$30,-IW$12,FALSE),"")</f>
        <v>Lainnya 2.3 (4) …….</v>
      </c>
      <c r="IX132" s="301" t="str">
        <f t="shared" si="1963"/>
        <v/>
      </c>
      <c r="IY132" s="301" t="str">
        <f t="shared" si="1963"/>
        <v/>
      </c>
      <c r="IZ132" s="294"/>
      <c r="JA132" s="294" t="str">
        <f t="shared" si="1745"/>
        <v/>
      </c>
      <c r="JB132" s="294">
        <f t="shared" si="1746"/>
        <v>0</v>
      </c>
      <c r="JC132" s="302"/>
      <c r="JD132" s="294">
        <f t="shared" si="1747"/>
        <v>0</v>
      </c>
      <c r="JE132" s="410"/>
      <c r="JF132" s="96"/>
      <c r="JG132" s="96"/>
      <c r="JH132" s="294">
        <f t="shared" si="1748"/>
        <v>0</v>
      </c>
      <c r="JI132" s="302">
        <f t="shared" si="1749"/>
        <v>0.4604471269</v>
      </c>
      <c r="JJ132" s="303">
        <f t="shared" si="1750"/>
        <v>0</v>
      </c>
      <c r="JK132" s="304">
        <f t="shared" si="1751"/>
        <v>0</v>
      </c>
      <c r="JL132" s="297"/>
      <c r="JM132" s="299">
        <f t="shared" si="1800"/>
        <v>12</v>
      </c>
      <c r="JN132" s="300" t="str">
        <f t="shared" ref="JN132:JP132" si="1964">IFERROR(VLOOKUP($R132,$A$13:$D$30,-JN$12,FALSE),"")</f>
        <v>Lainnya 2.3 (4) …….</v>
      </c>
      <c r="JO132" s="301" t="str">
        <f t="shared" si="1964"/>
        <v/>
      </c>
      <c r="JP132" s="301" t="str">
        <f t="shared" si="1964"/>
        <v/>
      </c>
      <c r="JQ132" s="294"/>
      <c r="JR132" s="294" t="str">
        <f t="shared" si="1753"/>
        <v/>
      </c>
      <c r="JS132" s="294">
        <f t="shared" si="1754"/>
        <v>0</v>
      </c>
      <c r="JT132" s="302"/>
      <c r="JU132" s="294">
        <f t="shared" si="1755"/>
        <v>0</v>
      </c>
      <c r="JV132" s="410"/>
      <c r="JW132" s="96"/>
      <c r="JX132" s="96"/>
      <c r="JY132" s="294">
        <f t="shared" si="1756"/>
        <v>0</v>
      </c>
      <c r="JZ132" s="302">
        <f t="shared" si="1757"/>
        <v>0.4604471269</v>
      </c>
      <c r="KA132" s="303">
        <f t="shared" si="1758"/>
        <v>0</v>
      </c>
      <c r="KB132" s="304">
        <f t="shared" si="1759"/>
        <v>0</v>
      </c>
      <c r="KC132" s="297"/>
      <c r="KD132" s="299">
        <f t="shared" si="1802"/>
        <v>12</v>
      </c>
      <c r="KE132" s="300" t="str">
        <f t="shared" ref="KE132:KG132" si="1965">IFERROR(VLOOKUP($R132,$A$13:$D$30,-KE$12,FALSE),"")</f>
        <v>Lainnya 2.3 (4) …….</v>
      </c>
      <c r="KF132" s="301" t="str">
        <f t="shared" si="1965"/>
        <v/>
      </c>
      <c r="KG132" s="301" t="str">
        <f t="shared" si="1965"/>
        <v/>
      </c>
      <c r="KH132" s="294"/>
      <c r="KI132" s="294" t="str">
        <f t="shared" si="1761"/>
        <v/>
      </c>
      <c r="KJ132" s="294">
        <f t="shared" si="1762"/>
        <v>0</v>
      </c>
      <c r="KK132" s="302"/>
      <c r="KL132" s="294">
        <f t="shared" si="1763"/>
        <v>0</v>
      </c>
      <c r="KM132" s="410"/>
      <c r="KN132" s="96"/>
      <c r="KO132" s="96"/>
      <c r="KP132" s="294">
        <f t="shared" si="1764"/>
        <v>0</v>
      </c>
      <c r="KQ132" s="302">
        <f t="shared" si="1765"/>
        <v>0.4604471269</v>
      </c>
      <c r="KR132" s="303">
        <f t="shared" si="1766"/>
        <v>0</v>
      </c>
      <c r="KS132" s="304">
        <f t="shared" si="1767"/>
        <v>0</v>
      </c>
      <c r="KT132" s="297"/>
      <c r="KU132" s="298"/>
    </row>
    <row r="133" ht="15.75" customHeight="1">
      <c r="A133" s="299">
        <f t="shared" si="1768"/>
        <v>13</v>
      </c>
      <c r="B133" s="300" t="str">
        <f t="shared" ref="B133:D133" si="1966">IFERROR(VLOOKUP($A133,$A$13:$D$30,-B$12,FALSE),"")</f>
        <v>Lainnya 2.3 (5) …….</v>
      </c>
      <c r="C133" s="301" t="str">
        <f t="shared" si="1966"/>
        <v/>
      </c>
      <c r="D133" s="301" t="str">
        <f t="shared" si="1966"/>
        <v/>
      </c>
      <c r="E133" s="294"/>
      <c r="F133" s="294" t="str">
        <f t="shared" si="1625"/>
        <v/>
      </c>
      <c r="G133" s="294">
        <f t="shared" si="1626"/>
        <v>0</v>
      </c>
      <c r="H133" s="302"/>
      <c r="I133" s="294">
        <f t="shared" si="1627"/>
        <v>0</v>
      </c>
      <c r="J133" s="410"/>
      <c r="K133" s="96"/>
      <c r="L133" s="96"/>
      <c r="M133" s="294">
        <f t="shared" si="1628"/>
        <v>0</v>
      </c>
      <c r="N133" s="302">
        <f t="shared" si="1629"/>
        <v>0.4604471269</v>
      </c>
      <c r="O133" s="303">
        <f t="shared" si="1630"/>
        <v>0</v>
      </c>
      <c r="P133" s="304">
        <f t="shared" si="1631"/>
        <v>0</v>
      </c>
      <c r="Q133" s="297"/>
      <c r="R133" s="299">
        <f t="shared" si="1770"/>
        <v>13</v>
      </c>
      <c r="S133" s="300" t="str">
        <f t="shared" ref="S133:U133" si="1967">IFERROR(VLOOKUP($R133,$A$13:$D$30,-S$12,FALSE),"")</f>
        <v>Lainnya 2.3 (5) …….</v>
      </c>
      <c r="T133" s="301" t="str">
        <f t="shared" si="1967"/>
        <v/>
      </c>
      <c r="U133" s="301" t="str">
        <f t="shared" si="1967"/>
        <v/>
      </c>
      <c r="V133" s="294"/>
      <c r="W133" s="294" t="str">
        <f t="shared" si="1633"/>
        <v/>
      </c>
      <c r="X133" s="294">
        <f t="shared" si="1634"/>
        <v>0</v>
      </c>
      <c r="Y133" s="302"/>
      <c r="Z133" s="294">
        <f t="shared" si="1635"/>
        <v>0</v>
      </c>
      <c r="AA133" s="410"/>
      <c r="AB133" s="96"/>
      <c r="AC133" s="96"/>
      <c r="AD133" s="294">
        <f t="shared" si="1636"/>
        <v>0</v>
      </c>
      <c r="AE133" s="302">
        <f t="shared" si="1637"/>
        <v>0.4604471269</v>
      </c>
      <c r="AF133" s="303">
        <f t="shared" si="1638"/>
        <v>0</v>
      </c>
      <c r="AG133" s="304">
        <f t="shared" si="1639"/>
        <v>0</v>
      </c>
      <c r="AH133" s="297"/>
      <c r="AI133" s="299">
        <f t="shared" si="1772"/>
        <v>13</v>
      </c>
      <c r="AJ133" s="300" t="str">
        <f t="shared" ref="AJ133:AL133" si="1968">IFERROR(VLOOKUP($R133,$A$13:$D$30,-AJ$12,FALSE),"")</f>
        <v>Lainnya 2.3 (5) …….</v>
      </c>
      <c r="AK133" s="301" t="str">
        <f t="shared" si="1968"/>
        <v/>
      </c>
      <c r="AL133" s="301" t="str">
        <f t="shared" si="1968"/>
        <v/>
      </c>
      <c r="AM133" s="294"/>
      <c r="AN133" s="294" t="str">
        <f t="shared" si="1641"/>
        <v/>
      </c>
      <c r="AO133" s="294">
        <f t="shared" si="1642"/>
        <v>0</v>
      </c>
      <c r="AP133" s="302"/>
      <c r="AQ133" s="294">
        <f t="shared" si="1643"/>
        <v>0</v>
      </c>
      <c r="AR133" s="410"/>
      <c r="AS133" s="96"/>
      <c r="AT133" s="96"/>
      <c r="AU133" s="294">
        <f t="shared" si="1644"/>
        <v>0</v>
      </c>
      <c r="AV133" s="302">
        <f t="shared" si="1645"/>
        <v>0.4604471269</v>
      </c>
      <c r="AW133" s="303">
        <f t="shared" si="1646"/>
        <v>0</v>
      </c>
      <c r="AX133" s="304">
        <f t="shared" si="1647"/>
        <v>0</v>
      </c>
      <c r="AY133" s="297"/>
      <c r="AZ133" s="299">
        <f t="shared" si="1774"/>
        <v>13</v>
      </c>
      <c r="BA133" s="300" t="str">
        <f t="shared" ref="BA133:BC133" si="1969">IFERROR(VLOOKUP($R133,$A$13:$D$30,-BA$12,FALSE),"")</f>
        <v>Lainnya 2.3 (5) …….</v>
      </c>
      <c r="BB133" s="301" t="str">
        <f t="shared" si="1969"/>
        <v/>
      </c>
      <c r="BC133" s="301" t="str">
        <f t="shared" si="1969"/>
        <v/>
      </c>
      <c r="BD133" s="294"/>
      <c r="BE133" s="294" t="str">
        <f t="shared" si="1649"/>
        <v/>
      </c>
      <c r="BF133" s="294">
        <f t="shared" si="1650"/>
        <v>0</v>
      </c>
      <c r="BG133" s="302"/>
      <c r="BH133" s="294">
        <f t="shared" si="1651"/>
        <v>0</v>
      </c>
      <c r="BI133" s="410"/>
      <c r="BJ133" s="96"/>
      <c r="BK133" s="96"/>
      <c r="BL133" s="294">
        <f t="shared" si="1652"/>
        <v>0</v>
      </c>
      <c r="BM133" s="302">
        <f t="shared" si="1653"/>
        <v>0.4604471269</v>
      </c>
      <c r="BN133" s="303">
        <f t="shared" si="1654"/>
        <v>0</v>
      </c>
      <c r="BO133" s="304">
        <f t="shared" si="1655"/>
        <v>0</v>
      </c>
      <c r="BP133" s="297"/>
      <c r="BQ133" s="299">
        <f t="shared" si="1776"/>
        <v>13</v>
      </c>
      <c r="BR133" s="300" t="str">
        <f t="shared" ref="BR133:BT133" si="1970">IFERROR(VLOOKUP($R133,$A$13:$D$30,-BR$12,FALSE),"")</f>
        <v>Lainnya 2.3 (5) …….</v>
      </c>
      <c r="BS133" s="301" t="str">
        <f t="shared" si="1970"/>
        <v/>
      </c>
      <c r="BT133" s="301" t="str">
        <f t="shared" si="1970"/>
        <v/>
      </c>
      <c r="BU133" s="294"/>
      <c r="BV133" s="294" t="str">
        <f t="shared" si="1657"/>
        <v/>
      </c>
      <c r="BW133" s="294">
        <f t="shared" si="1658"/>
        <v>0</v>
      </c>
      <c r="BX133" s="302"/>
      <c r="BY133" s="294">
        <f t="shared" si="1659"/>
        <v>0</v>
      </c>
      <c r="BZ133" s="410"/>
      <c r="CA133" s="96"/>
      <c r="CB133" s="96"/>
      <c r="CC133" s="294">
        <f t="shared" si="1660"/>
        <v>0</v>
      </c>
      <c r="CD133" s="302">
        <f t="shared" si="1661"/>
        <v>0.4604471269</v>
      </c>
      <c r="CE133" s="303">
        <f t="shared" si="1662"/>
        <v>0</v>
      </c>
      <c r="CF133" s="304">
        <f t="shared" si="1663"/>
        <v>0</v>
      </c>
      <c r="CG133" s="297"/>
      <c r="CH133" s="299">
        <f t="shared" si="1778"/>
        <v>13</v>
      </c>
      <c r="CI133" s="300" t="str">
        <f t="shared" ref="CI133:CK133" si="1971">IFERROR(VLOOKUP($R133,$A$13:$D$30,-CI$12,FALSE),"")</f>
        <v>Lainnya 2.3 (5) …….</v>
      </c>
      <c r="CJ133" s="301" t="str">
        <f t="shared" si="1971"/>
        <v/>
      </c>
      <c r="CK133" s="301" t="str">
        <f t="shared" si="1971"/>
        <v/>
      </c>
      <c r="CL133" s="294"/>
      <c r="CM133" s="294" t="str">
        <f t="shared" si="1665"/>
        <v/>
      </c>
      <c r="CN133" s="294">
        <f t="shared" si="1666"/>
        <v>0</v>
      </c>
      <c r="CO133" s="302"/>
      <c r="CP133" s="294">
        <f t="shared" si="1667"/>
        <v>0</v>
      </c>
      <c r="CQ133" s="410"/>
      <c r="CR133" s="96"/>
      <c r="CS133" s="96"/>
      <c r="CT133" s="294">
        <f t="shared" si="1668"/>
        <v>0</v>
      </c>
      <c r="CU133" s="302">
        <f t="shared" si="1669"/>
        <v>0.4604471269</v>
      </c>
      <c r="CV133" s="303">
        <f t="shared" si="1670"/>
        <v>0</v>
      </c>
      <c r="CW133" s="304">
        <f t="shared" si="1671"/>
        <v>0</v>
      </c>
      <c r="CX133" s="297"/>
      <c r="CY133" s="299">
        <f t="shared" si="1780"/>
        <v>13</v>
      </c>
      <c r="CZ133" s="300" t="str">
        <f t="shared" ref="CZ133:DB133" si="1972">IFERROR(VLOOKUP($R133,$A$13:$D$30,-CZ$12,FALSE),"")</f>
        <v>Lainnya 2.3 (5) …….</v>
      </c>
      <c r="DA133" s="301" t="str">
        <f t="shared" si="1972"/>
        <v/>
      </c>
      <c r="DB133" s="301" t="str">
        <f t="shared" si="1972"/>
        <v/>
      </c>
      <c r="DC133" s="294"/>
      <c r="DD133" s="294" t="str">
        <f t="shared" si="1673"/>
        <v/>
      </c>
      <c r="DE133" s="294">
        <f t="shared" si="1674"/>
        <v>0</v>
      </c>
      <c r="DF133" s="302"/>
      <c r="DG133" s="294">
        <f t="shared" si="1675"/>
        <v>0</v>
      </c>
      <c r="DH133" s="410"/>
      <c r="DI133" s="96"/>
      <c r="DJ133" s="96"/>
      <c r="DK133" s="294">
        <f t="shared" si="1676"/>
        <v>0</v>
      </c>
      <c r="DL133" s="302">
        <f t="shared" si="1677"/>
        <v>0.4604471269</v>
      </c>
      <c r="DM133" s="303">
        <f t="shared" si="1678"/>
        <v>0</v>
      </c>
      <c r="DN133" s="304">
        <f t="shared" si="1679"/>
        <v>0</v>
      </c>
      <c r="DO133" s="297"/>
      <c r="DP133" s="299">
        <f t="shared" si="1782"/>
        <v>13</v>
      </c>
      <c r="DQ133" s="300" t="str">
        <f t="shared" ref="DQ133:DS133" si="1973">IFERROR(VLOOKUP($R133,$A$13:$D$30,-DQ$12,FALSE),"")</f>
        <v>Lainnya 2.3 (5) …….</v>
      </c>
      <c r="DR133" s="301" t="str">
        <f t="shared" si="1973"/>
        <v/>
      </c>
      <c r="DS133" s="301" t="str">
        <f t="shared" si="1973"/>
        <v/>
      </c>
      <c r="DT133" s="294"/>
      <c r="DU133" s="294" t="str">
        <f t="shared" si="1681"/>
        <v/>
      </c>
      <c r="DV133" s="294">
        <f t="shared" si="1682"/>
        <v>0</v>
      </c>
      <c r="DW133" s="302"/>
      <c r="DX133" s="294">
        <f t="shared" si="1683"/>
        <v>0</v>
      </c>
      <c r="DY133" s="410"/>
      <c r="DZ133" s="96"/>
      <c r="EA133" s="96"/>
      <c r="EB133" s="294">
        <f t="shared" si="1684"/>
        <v>0</v>
      </c>
      <c r="EC133" s="302">
        <f t="shared" si="1685"/>
        <v>0.4604471269</v>
      </c>
      <c r="ED133" s="303">
        <f t="shared" si="1686"/>
        <v>0</v>
      </c>
      <c r="EE133" s="304">
        <f t="shared" si="1687"/>
        <v>0</v>
      </c>
      <c r="EF133" s="297"/>
      <c r="EG133" s="299">
        <f t="shared" si="1784"/>
        <v>13</v>
      </c>
      <c r="EH133" s="300" t="str">
        <f t="shared" ref="EH133:EJ133" si="1974">IFERROR(VLOOKUP($R133,$A$13:$D$30,-EH$12,FALSE),"")</f>
        <v>Lainnya 2.3 (5) …….</v>
      </c>
      <c r="EI133" s="301" t="str">
        <f t="shared" si="1974"/>
        <v/>
      </c>
      <c r="EJ133" s="301" t="str">
        <f t="shared" si="1974"/>
        <v/>
      </c>
      <c r="EK133" s="294"/>
      <c r="EL133" s="294" t="str">
        <f t="shared" si="1689"/>
        <v/>
      </c>
      <c r="EM133" s="294">
        <f t="shared" si="1690"/>
        <v>0</v>
      </c>
      <c r="EN133" s="302"/>
      <c r="EO133" s="294">
        <f t="shared" si="1691"/>
        <v>0</v>
      </c>
      <c r="EP133" s="410"/>
      <c r="EQ133" s="96"/>
      <c r="ER133" s="96"/>
      <c r="ES133" s="294">
        <f t="shared" si="1692"/>
        <v>0</v>
      </c>
      <c r="ET133" s="302">
        <f t="shared" si="1693"/>
        <v>0.4604471269</v>
      </c>
      <c r="EU133" s="303">
        <f t="shared" si="1694"/>
        <v>0</v>
      </c>
      <c r="EV133" s="304">
        <f t="shared" si="1695"/>
        <v>0</v>
      </c>
      <c r="EW133" s="297"/>
      <c r="EX133" s="299">
        <f t="shared" si="1786"/>
        <v>13</v>
      </c>
      <c r="EY133" s="300" t="str">
        <f t="shared" ref="EY133:FA133" si="1975">IFERROR(VLOOKUP($R133,$A$13:$D$30,-EY$12,FALSE),"")</f>
        <v>Lainnya 2.3 (5) …….</v>
      </c>
      <c r="EZ133" s="301" t="str">
        <f t="shared" si="1975"/>
        <v/>
      </c>
      <c r="FA133" s="301" t="str">
        <f t="shared" si="1975"/>
        <v/>
      </c>
      <c r="FB133" s="294"/>
      <c r="FC133" s="294" t="str">
        <f t="shared" si="1697"/>
        <v/>
      </c>
      <c r="FD133" s="294">
        <f t="shared" si="1698"/>
        <v>0</v>
      </c>
      <c r="FE133" s="302"/>
      <c r="FF133" s="294">
        <f t="shared" si="1699"/>
        <v>0</v>
      </c>
      <c r="FG133" s="410"/>
      <c r="FH133" s="96"/>
      <c r="FI133" s="96"/>
      <c r="FJ133" s="294">
        <f t="shared" si="1700"/>
        <v>0</v>
      </c>
      <c r="FK133" s="302">
        <f t="shared" si="1701"/>
        <v>0.4604471269</v>
      </c>
      <c r="FL133" s="303">
        <f t="shared" si="1702"/>
        <v>0</v>
      </c>
      <c r="FM133" s="304">
        <f t="shared" si="1703"/>
        <v>0</v>
      </c>
      <c r="FN133" s="297"/>
      <c r="FO133" s="299">
        <f t="shared" si="1788"/>
        <v>13</v>
      </c>
      <c r="FP133" s="300" t="str">
        <f t="shared" ref="FP133:FR133" si="1976">IFERROR(VLOOKUP($R133,$A$13:$D$30,-FP$12,FALSE),"")</f>
        <v>Lainnya 2.3 (5) …….</v>
      </c>
      <c r="FQ133" s="301" t="str">
        <f t="shared" si="1976"/>
        <v/>
      </c>
      <c r="FR133" s="301" t="str">
        <f t="shared" si="1976"/>
        <v/>
      </c>
      <c r="FS133" s="294"/>
      <c r="FT133" s="294" t="str">
        <f t="shared" si="1705"/>
        <v/>
      </c>
      <c r="FU133" s="294">
        <f t="shared" si="1706"/>
        <v>0</v>
      </c>
      <c r="FV133" s="302"/>
      <c r="FW133" s="294">
        <f t="shared" si="1707"/>
        <v>0</v>
      </c>
      <c r="FX133" s="410"/>
      <c r="FY133" s="96"/>
      <c r="FZ133" s="96"/>
      <c r="GA133" s="294">
        <f t="shared" si="1708"/>
        <v>0</v>
      </c>
      <c r="GB133" s="302">
        <f t="shared" si="1709"/>
        <v>0.4604471269</v>
      </c>
      <c r="GC133" s="303">
        <f t="shared" si="1710"/>
        <v>0</v>
      </c>
      <c r="GD133" s="304">
        <f t="shared" si="1711"/>
        <v>0</v>
      </c>
      <c r="GE133" s="297"/>
      <c r="GF133" s="299">
        <f t="shared" si="1790"/>
        <v>13</v>
      </c>
      <c r="GG133" s="300" t="str">
        <f t="shared" ref="GG133:GI133" si="1977">IFERROR(VLOOKUP($R133,$A$13:$D$30,-GG$12,FALSE),"")</f>
        <v>Lainnya 2.3 (5) …….</v>
      </c>
      <c r="GH133" s="301" t="str">
        <f t="shared" si="1977"/>
        <v/>
      </c>
      <c r="GI133" s="301" t="str">
        <f t="shared" si="1977"/>
        <v/>
      </c>
      <c r="GJ133" s="294"/>
      <c r="GK133" s="294" t="str">
        <f t="shared" si="1713"/>
        <v/>
      </c>
      <c r="GL133" s="294">
        <f t="shared" si="1714"/>
        <v>0</v>
      </c>
      <c r="GM133" s="302"/>
      <c r="GN133" s="294">
        <f t="shared" si="1715"/>
        <v>0</v>
      </c>
      <c r="GO133" s="410"/>
      <c r="GP133" s="96"/>
      <c r="GQ133" s="96"/>
      <c r="GR133" s="294">
        <f t="shared" si="1716"/>
        <v>0</v>
      </c>
      <c r="GS133" s="302">
        <f t="shared" si="1717"/>
        <v>0.4604471269</v>
      </c>
      <c r="GT133" s="303">
        <f t="shared" si="1718"/>
        <v>0</v>
      </c>
      <c r="GU133" s="304">
        <f t="shared" si="1719"/>
        <v>0</v>
      </c>
      <c r="GV133" s="297"/>
      <c r="GW133" s="299">
        <f t="shared" si="1792"/>
        <v>13</v>
      </c>
      <c r="GX133" s="300" t="str">
        <f t="shared" ref="GX133:GY133" si="1978">IFERROR(VLOOKUP($R133,$A$13:$D$30,-GX$12,FALSE),"")</f>
        <v>Lainnya 2.3 (5) …….</v>
      </c>
      <c r="GY133" s="301" t="str">
        <f t="shared" si="1978"/>
        <v/>
      </c>
      <c r="GZ133" s="301"/>
      <c r="HA133" s="305"/>
      <c r="HB133" s="294" t="str">
        <f t="shared" si="1721"/>
        <v/>
      </c>
      <c r="HC133" s="294">
        <f t="shared" si="1722"/>
        <v>0</v>
      </c>
      <c r="HD133" s="302"/>
      <c r="HE133" s="294">
        <f t="shared" si="1723"/>
        <v>0</v>
      </c>
      <c r="HF133" s="410"/>
      <c r="HG133" s="96"/>
      <c r="HH133" s="96"/>
      <c r="HI133" s="294">
        <f t="shared" si="1724"/>
        <v>0</v>
      </c>
      <c r="HJ133" s="302">
        <f t="shared" si="1725"/>
        <v>0.4604471269</v>
      </c>
      <c r="HK133" s="303">
        <f t="shared" si="1726"/>
        <v>0</v>
      </c>
      <c r="HL133" s="304">
        <f t="shared" si="1727"/>
        <v>0</v>
      </c>
      <c r="HM133" s="297"/>
      <c r="HN133" s="299">
        <f t="shared" si="1794"/>
        <v>13</v>
      </c>
      <c r="HO133" s="300" t="str">
        <f t="shared" ref="HO133:HQ133" si="1979">IFERROR(VLOOKUP($R133,$A$13:$D$30,-HO$12,FALSE),"")</f>
        <v>Lainnya 2.3 (5) …….</v>
      </c>
      <c r="HP133" s="301" t="str">
        <f t="shared" si="1979"/>
        <v/>
      </c>
      <c r="HQ133" s="301" t="str">
        <f t="shared" si="1979"/>
        <v/>
      </c>
      <c r="HR133" s="294"/>
      <c r="HS133" s="294" t="str">
        <f t="shared" si="1729"/>
        <v/>
      </c>
      <c r="HT133" s="294">
        <f t="shared" si="1730"/>
        <v>0</v>
      </c>
      <c r="HU133" s="302"/>
      <c r="HV133" s="294">
        <f t="shared" si="1731"/>
        <v>0</v>
      </c>
      <c r="HW133" s="410"/>
      <c r="HX133" s="96"/>
      <c r="HY133" s="96"/>
      <c r="HZ133" s="294">
        <f t="shared" si="1732"/>
        <v>0</v>
      </c>
      <c r="IA133" s="302">
        <f t="shared" si="1733"/>
        <v>0.4604471269</v>
      </c>
      <c r="IB133" s="303">
        <f t="shared" si="1734"/>
        <v>0</v>
      </c>
      <c r="IC133" s="304">
        <f t="shared" si="1735"/>
        <v>0</v>
      </c>
      <c r="ID133" s="297"/>
      <c r="IE133" s="299">
        <f t="shared" si="1796"/>
        <v>13</v>
      </c>
      <c r="IF133" s="300" t="str">
        <f t="shared" ref="IF133:IH133" si="1980">IFERROR(VLOOKUP($R133,$A$13:$D$30,-IF$12,FALSE),"")</f>
        <v>Lainnya 2.3 (5) …….</v>
      </c>
      <c r="IG133" s="301" t="str">
        <f t="shared" si="1980"/>
        <v/>
      </c>
      <c r="IH133" s="301" t="str">
        <f t="shared" si="1980"/>
        <v/>
      </c>
      <c r="II133" s="294"/>
      <c r="IJ133" s="294" t="str">
        <f t="shared" si="1737"/>
        <v/>
      </c>
      <c r="IK133" s="294">
        <f t="shared" si="1738"/>
        <v>0</v>
      </c>
      <c r="IL133" s="302"/>
      <c r="IM133" s="294">
        <f t="shared" si="1739"/>
        <v>0</v>
      </c>
      <c r="IN133" s="410"/>
      <c r="IO133" s="96"/>
      <c r="IP133" s="96"/>
      <c r="IQ133" s="294">
        <f t="shared" si="1740"/>
        <v>0</v>
      </c>
      <c r="IR133" s="302">
        <f t="shared" si="1741"/>
        <v>0.4604471269</v>
      </c>
      <c r="IS133" s="303">
        <f t="shared" si="1742"/>
        <v>0</v>
      </c>
      <c r="IT133" s="304">
        <f t="shared" si="1743"/>
        <v>0</v>
      </c>
      <c r="IU133" s="297"/>
      <c r="IV133" s="299">
        <f t="shared" si="1798"/>
        <v>13</v>
      </c>
      <c r="IW133" s="300" t="str">
        <f t="shared" ref="IW133:IY133" si="1981">IFERROR(VLOOKUP($R133,$A$13:$D$30,-IW$12,FALSE),"")</f>
        <v>Lainnya 2.3 (5) …….</v>
      </c>
      <c r="IX133" s="301" t="str">
        <f t="shared" si="1981"/>
        <v/>
      </c>
      <c r="IY133" s="301" t="str">
        <f t="shared" si="1981"/>
        <v/>
      </c>
      <c r="IZ133" s="294"/>
      <c r="JA133" s="294" t="str">
        <f t="shared" si="1745"/>
        <v/>
      </c>
      <c r="JB133" s="294">
        <f t="shared" si="1746"/>
        <v>0</v>
      </c>
      <c r="JC133" s="302"/>
      <c r="JD133" s="294">
        <f t="shared" si="1747"/>
        <v>0</v>
      </c>
      <c r="JE133" s="410"/>
      <c r="JF133" s="96"/>
      <c r="JG133" s="96"/>
      <c r="JH133" s="294">
        <f t="shared" si="1748"/>
        <v>0</v>
      </c>
      <c r="JI133" s="302">
        <f t="shared" si="1749"/>
        <v>0.4604471269</v>
      </c>
      <c r="JJ133" s="303">
        <f t="shared" si="1750"/>
        <v>0</v>
      </c>
      <c r="JK133" s="304">
        <f t="shared" si="1751"/>
        <v>0</v>
      </c>
      <c r="JL133" s="297"/>
      <c r="JM133" s="299">
        <f t="shared" si="1800"/>
        <v>13</v>
      </c>
      <c r="JN133" s="300" t="str">
        <f t="shared" ref="JN133:JP133" si="1982">IFERROR(VLOOKUP($R133,$A$13:$D$30,-JN$12,FALSE),"")</f>
        <v>Lainnya 2.3 (5) …….</v>
      </c>
      <c r="JO133" s="301" t="str">
        <f t="shared" si="1982"/>
        <v/>
      </c>
      <c r="JP133" s="301" t="str">
        <f t="shared" si="1982"/>
        <v/>
      </c>
      <c r="JQ133" s="294"/>
      <c r="JR133" s="294" t="str">
        <f t="shared" si="1753"/>
        <v/>
      </c>
      <c r="JS133" s="294">
        <f t="shared" si="1754"/>
        <v>0</v>
      </c>
      <c r="JT133" s="302"/>
      <c r="JU133" s="294">
        <f t="shared" si="1755"/>
        <v>0</v>
      </c>
      <c r="JV133" s="410"/>
      <c r="JW133" s="96"/>
      <c r="JX133" s="96"/>
      <c r="JY133" s="294">
        <f t="shared" si="1756"/>
        <v>0</v>
      </c>
      <c r="JZ133" s="302">
        <f t="shared" si="1757"/>
        <v>0.4604471269</v>
      </c>
      <c r="KA133" s="303">
        <f t="shared" si="1758"/>
        <v>0</v>
      </c>
      <c r="KB133" s="304">
        <f t="shared" si="1759"/>
        <v>0</v>
      </c>
      <c r="KC133" s="297"/>
      <c r="KD133" s="299">
        <f t="shared" si="1802"/>
        <v>13</v>
      </c>
      <c r="KE133" s="300" t="str">
        <f t="shared" ref="KE133:KG133" si="1983">IFERROR(VLOOKUP($R133,$A$13:$D$30,-KE$12,FALSE),"")</f>
        <v>Lainnya 2.3 (5) …….</v>
      </c>
      <c r="KF133" s="301" t="str">
        <f t="shared" si="1983"/>
        <v/>
      </c>
      <c r="KG133" s="301" t="str">
        <f t="shared" si="1983"/>
        <v/>
      </c>
      <c r="KH133" s="294"/>
      <c r="KI133" s="294" t="str">
        <f t="shared" si="1761"/>
        <v/>
      </c>
      <c r="KJ133" s="294">
        <f t="shared" si="1762"/>
        <v>0</v>
      </c>
      <c r="KK133" s="302"/>
      <c r="KL133" s="294">
        <f t="shared" si="1763"/>
        <v>0</v>
      </c>
      <c r="KM133" s="410"/>
      <c r="KN133" s="96"/>
      <c r="KO133" s="96"/>
      <c r="KP133" s="294">
        <f t="shared" si="1764"/>
        <v>0</v>
      </c>
      <c r="KQ133" s="302">
        <f t="shared" si="1765"/>
        <v>0.4604471269</v>
      </c>
      <c r="KR133" s="303">
        <f t="shared" si="1766"/>
        <v>0</v>
      </c>
      <c r="KS133" s="304">
        <f t="shared" si="1767"/>
        <v>0</v>
      </c>
      <c r="KT133" s="297"/>
      <c r="KU133" s="298"/>
    </row>
    <row r="134" ht="15.75" customHeight="1">
      <c r="A134" s="299">
        <f t="shared" si="1768"/>
        <v>14</v>
      </c>
      <c r="B134" s="300" t="str">
        <f t="shared" ref="B134:D134" si="1984">IFERROR(VLOOKUP($A134,$A$13:$D$30,-B$12,FALSE),"")</f>
        <v>Lainnya 2.3 (6) …….</v>
      </c>
      <c r="C134" s="301" t="str">
        <f t="shared" si="1984"/>
        <v/>
      </c>
      <c r="D134" s="301" t="str">
        <f t="shared" si="1984"/>
        <v/>
      </c>
      <c r="E134" s="294"/>
      <c r="F134" s="294" t="str">
        <f t="shared" si="1625"/>
        <v/>
      </c>
      <c r="G134" s="294">
        <f t="shared" si="1626"/>
        <v>0</v>
      </c>
      <c r="H134" s="302"/>
      <c r="I134" s="294">
        <f t="shared" si="1627"/>
        <v>0</v>
      </c>
      <c r="J134" s="410"/>
      <c r="K134" s="96"/>
      <c r="L134" s="96"/>
      <c r="M134" s="294">
        <f t="shared" si="1628"/>
        <v>0</v>
      </c>
      <c r="N134" s="302">
        <f t="shared" si="1629"/>
        <v>0.4604471269</v>
      </c>
      <c r="O134" s="303">
        <f t="shared" si="1630"/>
        <v>0</v>
      </c>
      <c r="P134" s="304">
        <f t="shared" si="1631"/>
        <v>0</v>
      </c>
      <c r="Q134" s="297"/>
      <c r="R134" s="299">
        <f t="shared" si="1770"/>
        <v>14</v>
      </c>
      <c r="S134" s="300" t="str">
        <f t="shared" ref="S134:U134" si="1985">IFERROR(VLOOKUP($R134,$A$13:$D$30,-S$12,FALSE),"")</f>
        <v>Lainnya 2.3 (6) …….</v>
      </c>
      <c r="T134" s="301" t="str">
        <f t="shared" si="1985"/>
        <v/>
      </c>
      <c r="U134" s="301" t="str">
        <f t="shared" si="1985"/>
        <v/>
      </c>
      <c r="V134" s="294"/>
      <c r="W134" s="294" t="str">
        <f t="shared" si="1633"/>
        <v/>
      </c>
      <c r="X134" s="294">
        <f t="shared" si="1634"/>
        <v>0</v>
      </c>
      <c r="Y134" s="302"/>
      <c r="Z134" s="294">
        <f t="shared" si="1635"/>
        <v>0</v>
      </c>
      <c r="AA134" s="410"/>
      <c r="AB134" s="96"/>
      <c r="AC134" s="96"/>
      <c r="AD134" s="294">
        <f t="shared" si="1636"/>
        <v>0</v>
      </c>
      <c r="AE134" s="302">
        <f t="shared" si="1637"/>
        <v>0.4604471269</v>
      </c>
      <c r="AF134" s="303">
        <f t="shared" si="1638"/>
        <v>0</v>
      </c>
      <c r="AG134" s="304">
        <f t="shared" si="1639"/>
        <v>0</v>
      </c>
      <c r="AH134" s="297"/>
      <c r="AI134" s="299">
        <f t="shared" si="1772"/>
        <v>14</v>
      </c>
      <c r="AJ134" s="300" t="str">
        <f t="shared" ref="AJ134:AL134" si="1986">IFERROR(VLOOKUP($R134,$A$13:$D$30,-AJ$12,FALSE),"")</f>
        <v>Lainnya 2.3 (6) …….</v>
      </c>
      <c r="AK134" s="301" t="str">
        <f t="shared" si="1986"/>
        <v/>
      </c>
      <c r="AL134" s="301" t="str">
        <f t="shared" si="1986"/>
        <v/>
      </c>
      <c r="AM134" s="294"/>
      <c r="AN134" s="294" t="str">
        <f t="shared" si="1641"/>
        <v/>
      </c>
      <c r="AO134" s="294">
        <f t="shared" si="1642"/>
        <v>0</v>
      </c>
      <c r="AP134" s="302"/>
      <c r="AQ134" s="294">
        <f t="shared" si="1643"/>
        <v>0</v>
      </c>
      <c r="AR134" s="410"/>
      <c r="AS134" s="96"/>
      <c r="AT134" s="96"/>
      <c r="AU134" s="294">
        <f t="shared" si="1644"/>
        <v>0</v>
      </c>
      <c r="AV134" s="302">
        <f t="shared" si="1645"/>
        <v>0.4604471269</v>
      </c>
      <c r="AW134" s="303">
        <f t="shared" si="1646"/>
        <v>0</v>
      </c>
      <c r="AX134" s="304">
        <f t="shared" si="1647"/>
        <v>0</v>
      </c>
      <c r="AY134" s="297"/>
      <c r="AZ134" s="299">
        <f t="shared" si="1774"/>
        <v>14</v>
      </c>
      <c r="BA134" s="300" t="str">
        <f t="shared" ref="BA134:BC134" si="1987">IFERROR(VLOOKUP($R134,$A$13:$D$30,-BA$12,FALSE),"")</f>
        <v>Lainnya 2.3 (6) …….</v>
      </c>
      <c r="BB134" s="301" t="str">
        <f t="shared" si="1987"/>
        <v/>
      </c>
      <c r="BC134" s="301" t="str">
        <f t="shared" si="1987"/>
        <v/>
      </c>
      <c r="BD134" s="294"/>
      <c r="BE134" s="294" t="str">
        <f t="shared" si="1649"/>
        <v/>
      </c>
      <c r="BF134" s="294">
        <f t="shared" si="1650"/>
        <v>0</v>
      </c>
      <c r="BG134" s="302"/>
      <c r="BH134" s="294">
        <f t="shared" si="1651"/>
        <v>0</v>
      </c>
      <c r="BI134" s="410"/>
      <c r="BJ134" s="96"/>
      <c r="BK134" s="96"/>
      <c r="BL134" s="294">
        <f t="shared" si="1652"/>
        <v>0</v>
      </c>
      <c r="BM134" s="302">
        <f t="shared" si="1653"/>
        <v>0.4604471269</v>
      </c>
      <c r="BN134" s="303">
        <f t="shared" si="1654"/>
        <v>0</v>
      </c>
      <c r="BO134" s="304">
        <f t="shared" si="1655"/>
        <v>0</v>
      </c>
      <c r="BP134" s="297"/>
      <c r="BQ134" s="299">
        <f t="shared" si="1776"/>
        <v>14</v>
      </c>
      <c r="BR134" s="300" t="str">
        <f t="shared" ref="BR134:BT134" si="1988">IFERROR(VLOOKUP($R134,$A$13:$D$30,-BR$12,FALSE),"")</f>
        <v>Lainnya 2.3 (6) …….</v>
      </c>
      <c r="BS134" s="301" t="str">
        <f t="shared" si="1988"/>
        <v/>
      </c>
      <c r="BT134" s="301" t="str">
        <f t="shared" si="1988"/>
        <v/>
      </c>
      <c r="BU134" s="294"/>
      <c r="BV134" s="294" t="str">
        <f t="shared" si="1657"/>
        <v/>
      </c>
      <c r="BW134" s="294">
        <f t="shared" si="1658"/>
        <v>0</v>
      </c>
      <c r="BX134" s="302"/>
      <c r="BY134" s="294">
        <f t="shared" si="1659"/>
        <v>0</v>
      </c>
      <c r="BZ134" s="410"/>
      <c r="CA134" s="96"/>
      <c r="CB134" s="96"/>
      <c r="CC134" s="294">
        <f t="shared" si="1660"/>
        <v>0</v>
      </c>
      <c r="CD134" s="302">
        <f t="shared" si="1661"/>
        <v>0.4604471269</v>
      </c>
      <c r="CE134" s="303">
        <f t="shared" si="1662"/>
        <v>0</v>
      </c>
      <c r="CF134" s="304">
        <f t="shared" si="1663"/>
        <v>0</v>
      </c>
      <c r="CG134" s="297"/>
      <c r="CH134" s="299">
        <f t="shared" si="1778"/>
        <v>14</v>
      </c>
      <c r="CI134" s="300" t="str">
        <f t="shared" ref="CI134:CK134" si="1989">IFERROR(VLOOKUP($R134,$A$13:$D$30,-CI$12,FALSE),"")</f>
        <v>Lainnya 2.3 (6) …….</v>
      </c>
      <c r="CJ134" s="301" t="str">
        <f t="shared" si="1989"/>
        <v/>
      </c>
      <c r="CK134" s="301" t="str">
        <f t="shared" si="1989"/>
        <v/>
      </c>
      <c r="CL134" s="294"/>
      <c r="CM134" s="294" t="str">
        <f t="shared" si="1665"/>
        <v/>
      </c>
      <c r="CN134" s="294">
        <f t="shared" si="1666"/>
        <v>0</v>
      </c>
      <c r="CO134" s="302"/>
      <c r="CP134" s="294">
        <f t="shared" si="1667"/>
        <v>0</v>
      </c>
      <c r="CQ134" s="410"/>
      <c r="CR134" s="96"/>
      <c r="CS134" s="96"/>
      <c r="CT134" s="294">
        <f t="shared" si="1668"/>
        <v>0</v>
      </c>
      <c r="CU134" s="302">
        <f t="shared" si="1669"/>
        <v>0.4604471269</v>
      </c>
      <c r="CV134" s="303">
        <f t="shared" si="1670"/>
        <v>0</v>
      </c>
      <c r="CW134" s="304">
        <f t="shared" si="1671"/>
        <v>0</v>
      </c>
      <c r="CX134" s="297"/>
      <c r="CY134" s="299">
        <f t="shared" si="1780"/>
        <v>14</v>
      </c>
      <c r="CZ134" s="300" t="str">
        <f t="shared" ref="CZ134:DB134" si="1990">IFERROR(VLOOKUP($R134,$A$13:$D$30,-CZ$12,FALSE),"")</f>
        <v>Lainnya 2.3 (6) …….</v>
      </c>
      <c r="DA134" s="301" t="str">
        <f t="shared" si="1990"/>
        <v/>
      </c>
      <c r="DB134" s="301" t="str">
        <f t="shared" si="1990"/>
        <v/>
      </c>
      <c r="DC134" s="294"/>
      <c r="DD134" s="294" t="str">
        <f t="shared" si="1673"/>
        <v/>
      </c>
      <c r="DE134" s="294">
        <f t="shared" si="1674"/>
        <v>0</v>
      </c>
      <c r="DF134" s="302"/>
      <c r="DG134" s="294">
        <f t="shared" si="1675"/>
        <v>0</v>
      </c>
      <c r="DH134" s="410"/>
      <c r="DI134" s="96"/>
      <c r="DJ134" s="96"/>
      <c r="DK134" s="294">
        <f t="shared" si="1676"/>
        <v>0</v>
      </c>
      <c r="DL134" s="302">
        <f t="shared" si="1677"/>
        <v>0.4604471269</v>
      </c>
      <c r="DM134" s="303">
        <f t="shared" si="1678"/>
        <v>0</v>
      </c>
      <c r="DN134" s="304">
        <f t="shared" si="1679"/>
        <v>0</v>
      </c>
      <c r="DO134" s="297"/>
      <c r="DP134" s="299">
        <f t="shared" si="1782"/>
        <v>14</v>
      </c>
      <c r="DQ134" s="300" t="str">
        <f t="shared" ref="DQ134:DS134" si="1991">IFERROR(VLOOKUP($R134,$A$13:$D$30,-DQ$12,FALSE),"")</f>
        <v>Lainnya 2.3 (6) …….</v>
      </c>
      <c r="DR134" s="301" t="str">
        <f t="shared" si="1991"/>
        <v/>
      </c>
      <c r="DS134" s="301" t="str">
        <f t="shared" si="1991"/>
        <v/>
      </c>
      <c r="DT134" s="294"/>
      <c r="DU134" s="294" t="str">
        <f t="shared" si="1681"/>
        <v/>
      </c>
      <c r="DV134" s="294">
        <f t="shared" si="1682"/>
        <v>0</v>
      </c>
      <c r="DW134" s="302"/>
      <c r="DX134" s="294">
        <f t="shared" si="1683"/>
        <v>0</v>
      </c>
      <c r="DY134" s="410"/>
      <c r="DZ134" s="96"/>
      <c r="EA134" s="96"/>
      <c r="EB134" s="294">
        <f t="shared" si="1684"/>
        <v>0</v>
      </c>
      <c r="EC134" s="302">
        <f t="shared" si="1685"/>
        <v>0.4604471269</v>
      </c>
      <c r="ED134" s="303">
        <f t="shared" si="1686"/>
        <v>0</v>
      </c>
      <c r="EE134" s="304">
        <f t="shared" si="1687"/>
        <v>0</v>
      </c>
      <c r="EF134" s="297"/>
      <c r="EG134" s="299">
        <f t="shared" si="1784"/>
        <v>14</v>
      </c>
      <c r="EH134" s="300" t="str">
        <f t="shared" ref="EH134:EJ134" si="1992">IFERROR(VLOOKUP($R134,$A$13:$D$30,-EH$12,FALSE),"")</f>
        <v>Lainnya 2.3 (6) …….</v>
      </c>
      <c r="EI134" s="301" t="str">
        <f t="shared" si="1992"/>
        <v/>
      </c>
      <c r="EJ134" s="301" t="str">
        <f t="shared" si="1992"/>
        <v/>
      </c>
      <c r="EK134" s="294"/>
      <c r="EL134" s="294" t="str">
        <f t="shared" si="1689"/>
        <v/>
      </c>
      <c r="EM134" s="294">
        <f t="shared" si="1690"/>
        <v>0</v>
      </c>
      <c r="EN134" s="302"/>
      <c r="EO134" s="294">
        <f t="shared" si="1691"/>
        <v>0</v>
      </c>
      <c r="EP134" s="410"/>
      <c r="EQ134" s="96"/>
      <c r="ER134" s="96"/>
      <c r="ES134" s="294">
        <f t="shared" si="1692"/>
        <v>0</v>
      </c>
      <c r="ET134" s="302">
        <f t="shared" si="1693"/>
        <v>0.4604471269</v>
      </c>
      <c r="EU134" s="303">
        <f t="shared" si="1694"/>
        <v>0</v>
      </c>
      <c r="EV134" s="304">
        <f t="shared" si="1695"/>
        <v>0</v>
      </c>
      <c r="EW134" s="297"/>
      <c r="EX134" s="299">
        <f t="shared" si="1786"/>
        <v>14</v>
      </c>
      <c r="EY134" s="300" t="str">
        <f t="shared" ref="EY134:FA134" si="1993">IFERROR(VLOOKUP($R134,$A$13:$D$30,-EY$12,FALSE),"")</f>
        <v>Lainnya 2.3 (6) …….</v>
      </c>
      <c r="EZ134" s="301" t="str">
        <f t="shared" si="1993"/>
        <v/>
      </c>
      <c r="FA134" s="301" t="str">
        <f t="shared" si="1993"/>
        <v/>
      </c>
      <c r="FB134" s="294"/>
      <c r="FC134" s="294" t="str">
        <f t="shared" si="1697"/>
        <v/>
      </c>
      <c r="FD134" s="294">
        <f t="shared" si="1698"/>
        <v>0</v>
      </c>
      <c r="FE134" s="302"/>
      <c r="FF134" s="294">
        <f t="shared" si="1699"/>
        <v>0</v>
      </c>
      <c r="FG134" s="410"/>
      <c r="FH134" s="96"/>
      <c r="FI134" s="96"/>
      <c r="FJ134" s="294">
        <f t="shared" si="1700"/>
        <v>0</v>
      </c>
      <c r="FK134" s="302">
        <f t="shared" si="1701"/>
        <v>0.4604471269</v>
      </c>
      <c r="FL134" s="303">
        <f t="shared" si="1702"/>
        <v>0</v>
      </c>
      <c r="FM134" s="304">
        <f t="shared" si="1703"/>
        <v>0</v>
      </c>
      <c r="FN134" s="297"/>
      <c r="FO134" s="299">
        <f t="shared" si="1788"/>
        <v>14</v>
      </c>
      <c r="FP134" s="300" t="str">
        <f t="shared" ref="FP134:FR134" si="1994">IFERROR(VLOOKUP($R134,$A$13:$D$30,-FP$12,FALSE),"")</f>
        <v>Lainnya 2.3 (6) …….</v>
      </c>
      <c r="FQ134" s="301" t="str">
        <f t="shared" si="1994"/>
        <v/>
      </c>
      <c r="FR134" s="301" t="str">
        <f t="shared" si="1994"/>
        <v/>
      </c>
      <c r="FS134" s="294"/>
      <c r="FT134" s="294" t="str">
        <f t="shared" si="1705"/>
        <v/>
      </c>
      <c r="FU134" s="294">
        <f t="shared" si="1706"/>
        <v>0</v>
      </c>
      <c r="FV134" s="302"/>
      <c r="FW134" s="294">
        <f t="shared" si="1707"/>
        <v>0</v>
      </c>
      <c r="FX134" s="410"/>
      <c r="FY134" s="96"/>
      <c r="FZ134" s="96"/>
      <c r="GA134" s="294">
        <f t="shared" si="1708"/>
        <v>0</v>
      </c>
      <c r="GB134" s="302">
        <f t="shared" si="1709"/>
        <v>0.4604471269</v>
      </c>
      <c r="GC134" s="303">
        <f t="shared" si="1710"/>
        <v>0</v>
      </c>
      <c r="GD134" s="304">
        <f t="shared" si="1711"/>
        <v>0</v>
      </c>
      <c r="GE134" s="297"/>
      <c r="GF134" s="299">
        <f t="shared" si="1790"/>
        <v>14</v>
      </c>
      <c r="GG134" s="300" t="str">
        <f t="shared" ref="GG134:GI134" si="1995">IFERROR(VLOOKUP($R134,$A$13:$D$30,-GG$12,FALSE),"")</f>
        <v>Lainnya 2.3 (6) …….</v>
      </c>
      <c r="GH134" s="301" t="str">
        <f t="shared" si="1995"/>
        <v/>
      </c>
      <c r="GI134" s="301" t="str">
        <f t="shared" si="1995"/>
        <v/>
      </c>
      <c r="GJ134" s="294"/>
      <c r="GK134" s="294" t="str">
        <f t="shared" si="1713"/>
        <v/>
      </c>
      <c r="GL134" s="294">
        <f t="shared" si="1714"/>
        <v>0</v>
      </c>
      <c r="GM134" s="302"/>
      <c r="GN134" s="294">
        <f t="shared" si="1715"/>
        <v>0</v>
      </c>
      <c r="GO134" s="410"/>
      <c r="GP134" s="96"/>
      <c r="GQ134" s="96"/>
      <c r="GR134" s="294">
        <f t="shared" si="1716"/>
        <v>0</v>
      </c>
      <c r="GS134" s="302">
        <f t="shared" si="1717"/>
        <v>0.4604471269</v>
      </c>
      <c r="GT134" s="303">
        <f t="shared" si="1718"/>
        <v>0</v>
      </c>
      <c r="GU134" s="304">
        <f t="shared" si="1719"/>
        <v>0</v>
      </c>
      <c r="GV134" s="297"/>
      <c r="GW134" s="299">
        <f t="shared" si="1792"/>
        <v>14</v>
      </c>
      <c r="GX134" s="300" t="str">
        <f t="shared" ref="GX134:GY134" si="1996">IFERROR(VLOOKUP($R134,$A$13:$D$30,-GX$12,FALSE),"")</f>
        <v>Lainnya 2.3 (6) …….</v>
      </c>
      <c r="GY134" s="301" t="str">
        <f t="shared" si="1996"/>
        <v/>
      </c>
      <c r="GZ134" s="301"/>
      <c r="HA134" s="305"/>
      <c r="HB134" s="294" t="str">
        <f t="shared" si="1721"/>
        <v/>
      </c>
      <c r="HC134" s="294">
        <f t="shared" si="1722"/>
        <v>0</v>
      </c>
      <c r="HD134" s="302"/>
      <c r="HE134" s="294">
        <f t="shared" si="1723"/>
        <v>0</v>
      </c>
      <c r="HF134" s="410"/>
      <c r="HG134" s="96"/>
      <c r="HH134" s="96"/>
      <c r="HI134" s="294">
        <f t="shared" si="1724"/>
        <v>0</v>
      </c>
      <c r="HJ134" s="302">
        <f t="shared" si="1725"/>
        <v>0.4604471269</v>
      </c>
      <c r="HK134" s="303">
        <f t="shared" si="1726"/>
        <v>0</v>
      </c>
      <c r="HL134" s="304">
        <f t="shared" si="1727"/>
        <v>0</v>
      </c>
      <c r="HM134" s="297"/>
      <c r="HN134" s="299">
        <f t="shared" si="1794"/>
        <v>14</v>
      </c>
      <c r="HO134" s="300" t="str">
        <f t="shared" ref="HO134:HQ134" si="1997">IFERROR(VLOOKUP($R134,$A$13:$D$30,-HO$12,FALSE),"")</f>
        <v>Lainnya 2.3 (6) …….</v>
      </c>
      <c r="HP134" s="301" t="str">
        <f t="shared" si="1997"/>
        <v/>
      </c>
      <c r="HQ134" s="301" t="str">
        <f t="shared" si="1997"/>
        <v/>
      </c>
      <c r="HR134" s="294"/>
      <c r="HS134" s="294" t="str">
        <f t="shared" si="1729"/>
        <v/>
      </c>
      <c r="HT134" s="294">
        <f t="shared" si="1730"/>
        <v>0</v>
      </c>
      <c r="HU134" s="302"/>
      <c r="HV134" s="294">
        <f t="shared" si="1731"/>
        <v>0</v>
      </c>
      <c r="HW134" s="410"/>
      <c r="HX134" s="96"/>
      <c r="HY134" s="96"/>
      <c r="HZ134" s="294">
        <f t="shared" si="1732"/>
        <v>0</v>
      </c>
      <c r="IA134" s="302">
        <f t="shared" si="1733"/>
        <v>0.4604471269</v>
      </c>
      <c r="IB134" s="303">
        <f t="shared" si="1734"/>
        <v>0</v>
      </c>
      <c r="IC134" s="304">
        <f t="shared" si="1735"/>
        <v>0</v>
      </c>
      <c r="ID134" s="297"/>
      <c r="IE134" s="299">
        <f t="shared" si="1796"/>
        <v>14</v>
      </c>
      <c r="IF134" s="300" t="str">
        <f t="shared" ref="IF134:IH134" si="1998">IFERROR(VLOOKUP($R134,$A$13:$D$30,-IF$12,FALSE),"")</f>
        <v>Lainnya 2.3 (6) …….</v>
      </c>
      <c r="IG134" s="301" t="str">
        <f t="shared" si="1998"/>
        <v/>
      </c>
      <c r="IH134" s="301" t="str">
        <f t="shared" si="1998"/>
        <v/>
      </c>
      <c r="II134" s="294"/>
      <c r="IJ134" s="294" t="str">
        <f t="shared" si="1737"/>
        <v/>
      </c>
      <c r="IK134" s="294">
        <f t="shared" si="1738"/>
        <v>0</v>
      </c>
      <c r="IL134" s="302"/>
      <c r="IM134" s="294">
        <f t="shared" si="1739"/>
        <v>0</v>
      </c>
      <c r="IN134" s="410"/>
      <c r="IO134" s="96"/>
      <c r="IP134" s="96"/>
      <c r="IQ134" s="294">
        <f t="shared" si="1740"/>
        <v>0</v>
      </c>
      <c r="IR134" s="302">
        <f t="shared" si="1741"/>
        <v>0.4604471269</v>
      </c>
      <c r="IS134" s="303">
        <f t="shared" si="1742"/>
        <v>0</v>
      </c>
      <c r="IT134" s="304">
        <f t="shared" si="1743"/>
        <v>0</v>
      </c>
      <c r="IU134" s="297"/>
      <c r="IV134" s="299">
        <f t="shared" si="1798"/>
        <v>14</v>
      </c>
      <c r="IW134" s="300" t="str">
        <f t="shared" ref="IW134:IY134" si="1999">IFERROR(VLOOKUP($R134,$A$13:$D$30,-IW$12,FALSE),"")</f>
        <v>Lainnya 2.3 (6) …….</v>
      </c>
      <c r="IX134" s="301" t="str">
        <f t="shared" si="1999"/>
        <v/>
      </c>
      <c r="IY134" s="301" t="str">
        <f t="shared" si="1999"/>
        <v/>
      </c>
      <c r="IZ134" s="294"/>
      <c r="JA134" s="294" t="str">
        <f t="shared" si="1745"/>
        <v/>
      </c>
      <c r="JB134" s="294">
        <f t="shared" si="1746"/>
        <v>0</v>
      </c>
      <c r="JC134" s="302"/>
      <c r="JD134" s="294">
        <f t="shared" si="1747"/>
        <v>0</v>
      </c>
      <c r="JE134" s="410"/>
      <c r="JF134" s="96"/>
      <c r="JG134" s="96"/>
      <c r="JH134" s="294">
        <f t="shared" si="1748"/>
        <v>0</v>
      </c>
      <c r="JI134" s="302">
        <f t="shared" si="1749"/>
        <v>0.4604471269</v>
      </c>
      <c r="JJ134" s="303">
        <f t="shared" si="1750"/>
        <v>0</v>
      </c>
      <c r="JK134" s="304">
        <f t="shared" si="1751"/>
        <v>0</v>
      </c>
      <c r="JL134" s="297"/>
      <c r="JM134" s="299">
        <f t="shared" si="1800"/>
        <v>14</v>
      </c>
      <c r="JN134" s="300" t="str">
        <f t="shared" ref="JN134:JP134" si="2000">IFERROR(VLOOKUP($R134,$A$13:$D$30,-JN$12,FALSE),"")</f>
        <v>Lainnya 2.3 (6) …….</v>
      </c>
      <c r="JO134" s="301" t="str">
        <f t="shared" si="2000"/>
        <v/>
      </c>
      <c r="JP134" s="301" t="str">
        <f t="shared" si="2000"/>
        <v/>
      </c>
      <c r="JQ134" s="294"/>
      <c r="JR134" s="294" t="str">
        <f t="shared" si="1753"/>
        <v/>
      </c>
      <c r="JS134" s="294">
        <f t="shared" si="1754"/>
        <v>0</v>
      </c>
      <c r="JT134" s="302"/>
      <c r="JU134" s="294">
        <f t="shared" si="1755"/>
        <v>0</v>
      </c>
      <c r="JV134" s="410"/>
      <c r="JW134" s="96"/>
      <c r="JX134" s="96"/>
      <c r="JY134" s="294">
        <f t="shared" si="1756"/>
        <v>0</v>
      </c>
      <c r="JZ134" s="302">
        <f t="shared" si="1757"/>
        <v>0.4604471269</v>
      </c>
      <c r="KA134" s="303">
        <f t="shared" si="1758"/>
        <v>0</v>
      </c>
      <c r="KB134" s="304">
        <f t="shared" si="1759"/>
        <v>0</v>
      </c>
      <c r="KC134" s="297"/>
      <c r="KD134" s="299">
        <f t="shared" si="1802"/>
        <v>14</v>
      </c>
      <c r="KE134" s="300" t="str">
        <f t="shared" ref="KE134:KG134" si="2001">IFERROR(VLOOKUP($R134,$A$13:$D$30,-KE$12,FALSE),"")</f>
        <v>Lainnya 2.3 (6) …….</v>
      </c>
      <c r="KF134" s="301" t="str">
        <f t="shared" si="2001"/>
        <v/>
      </c>
      <c r="KG134" s="301" t="str">
        <f t="shared" si="2001"/>
        <v/>
      </c>
      <c r="KH134" s="294"/>
      <c r="KI134" s="294" t="str">
        <f t="shared" si="1761"/>
        <v/>
      </c>
      <c r="KJ134" s="294">
        <f t="shared" si="1762"/>
        <v>0</v>
      </c>
      <c r="KK134" s="302"/>
      <c r="KL134" s="294">
        <f t="shared" si="1763"/>
        <v>0</v>
      </c>
      <c r="KM134" s="410"/>
      <c r="KN134" s="96"/>
      <c r="KO134" s="96"/>
      <c r="KP134" s="294">
        <f t="shared" si="1764"/>
        <v>0</v>
      </c>
      <c r="KQ134" s="302">
        <f t="shared" si="1765"/>
        <v>0.4604471269</v>
      </c>
      <c r="KR134" s="303">
        <f t="shared" si="1766"/>
        <v>0</v>
      </c>
      <c r="KS134" s="304">
        <f t="shared" si="1767"/>
        <v>0</v>
      </c>
      <c r="KT134" s="297"/>
      <c r="KU134" s="298"/>
    </row>
    <row r="135" ht="15.75" customHeight="1">
      <c r="A135" s="299">
        <f t="shared" si="1768"/>
        <v>15</v>
      </c>
      <c r="B135" s="300" t="str">
        <f t="shared" ref="B135:D135" si="2002">IFERROR(VLOOKUP($A135,$A$13:$D$30,-B$12,FALSE),"")</f>
        <v>Lainnya 2.3 (7) …….</v>
      </c>
      <c r="C135" s="301" t="str">
        <f t="shared" si="2002"/>
        <v/>
      </c>
      <c r="D135" s="301" t="str">
        <f t="shared" si="2002"/>
        <v/>
      </c>
      <c r="E135" s="294"/>
      <c r="F135" s="294">
        <f t="shared" si="1625"/>
        <v>6500000</v>
      </c>
      <c r="G135" s="294">
        <f t="shared" si="1626"/>
        <v>0</v>
      </c>
      <c r="H135" s="302"/>
      <c r="I135" s="294">
        <f t="shared" si="1627"/>
        <v>0</v>
      </c>
      <c r="J135" s="410"/>
      <c r="K135" s="96"/>
      <c r="L135" s="96"/>
      <c r="M135" s="294">
        <f t="shared" si="1628"/>
        <v>0</v>
      </c>
      <c r="N135" s="302">
        <f t="shared" si="1629"/>
        <v>0.4604471269</v>
      </c>
      <c r="O135" s="303">
        <f t="shared" si="1630"/>
        <v>0</v>
      </c>
      <c r="P135" s="304">
        <f t="shared" si="1631"/>
        <v>0</v>
      </c>
      <c r="Q135" s="297"/>
      <c r="R135" s="299">
        <f t="shared" si="1770"/>
        <v>15</v>
      </c>
      <c r="S135" s="300" t="str">
        <f t="shared" ref="S135:U135" si="2003">IFERROR(VLOOKUP($R135,$A$13:$D$30,-S$12,FALSE),"")</f>
        <v>Lainnya 2.3 (7) …….</v>
      </c>
      <c r="T135" s="301" t="str">
        <f t="shared" si="2003"/>
        <v/>
      </c>
      <c r="U135" s="301" t="str">
        <f t="shared" si="2003"/>
        <v/>
      </c>
      <c r="V135" s="294"/>
      <c r="W135" s="294">
        <f t="shared" si="1633"/>
        <v>6500000</v>
      </c>
      <c r="X135" s="294">
        <f t="shared" si="1634"/>
        <v>0</v>
      </c>
      <c r="Y135" s="302"/>
      <c r="Z135" s="294">
        <f t="shared" si="1635"/>
        <v>0</v>
      </c>
      <c r="AA135" s="410"/>
      <c r="AB135" s="96"/>
      <c r="AC135" s="96"/>
      <c r="AD135" s="294">
        <f t="shared" si="1636"/>
        <v>0</v>
      </c>
      <c r="AE135" s="302">
        <f t="shared" si="1637"/>
        <v>0.4604471269</v>
      </c>
      <c r="AF135" s="303">
        <f t="shared" si="1638"/>
        <v>0</v>
      </c>
      <c r="AG135" s="304">
        <f t="shared" si="1639"/>
        <v>0</v>
      </c>
      <c r="AH135" s="297"/>
      <c r="AI135" s="299">
        <f t="shared" si="1772"/>
        <v>15</v>
      </c>
      <c r="AJ135" s="300" t="str">
        <f t="shared" ref="AJ135:AL135" si="2004">IFERROR(VLOOKUP($R135,$A$13:$D$30,-AJ$12,FALSE),"")</f>
        <v>Lainnya 2.3 (7) …….</v>
      </c>
      <c r="AK135" s="301" t="str">
        <f t="shared" si="2004"/>
        <v/>
      </c>
      <c r="AL135" s="301" t="str">
        <f t="shared" si="2004"/>
        <v/>
      </c>
      <c r="AM135" s="294"/>
      <c r="AN135" s="294">
        <f t="shared" si="1641"/>
        <v>6500000</v>
      </c>
      <c r="AO135" s="294">
        <f t="shared" si="1642"/>
        <v>0</v>
      </c>
      <c r="AP135" s="302"/>
      <c r="AQ135" s="294">
        <f t="shared" si="1643"/>
        <v>0</v>
      </c>
      <c r="AR135" s="410"/>
      <c r="AS135" s="96"/>
      <c r="AT135" s="96"/>
      <c r="AU135" s="294">
        <f t="shared" si="1644"/>
        <v>0</v>
      </c>
      <c r="AV135" s="302">
        <f t="shared" si="1645"/>
        <v>0.4604471269</v>
      </c>
      <c r="AW135" s="303">
        <f t="shared" si="1646"/>
        <v>0</v>
      </c>
      <c r="AX135" s="304">
        <f t="shared" si="1647"/>
        <v>0</v>
      </c>
      <c r="AY135" s="297"/>
      <c r="AZ135" s="299">
        <f t="shared" si="1774"/>
        <v>15</v>
      </c>
      <c r="BA135" s="300" t="str">
        <f t="shared" ref="BA135:BC135" si="2005">IFERROR(VLOOKUP($R135,$A$13:$D$30,-BA$12,FALSE),"")</f>
        <v>Lainnya 2.3 (7) …….</v>
      </c>
      <c r="BB135" s="301" t="str">
        <f t="shared" si="2005"/>
        <v/>
      </c>
      <c r="BC135" s="301" t="str">
        <f t="shared" si="2005"/>
        <v/>
      </c>
      <c r="BD135" s="294"/>
      <c r="BE135" s="294">
        <f t="shared" si="1649"/>
        <v>6500000</v>
      </c>
      <c r="BF135" s="294">
        <f t="shared" si="1650"/>
        <v>0</v>
      </c>
      <c r="BG135" s="302"/>
      <c r="BH135" s="294">
        <f t="shared" si="1651"/>
        <v>0</v>
      </c>
      <c r="BI135" s="410"/>
      <c r="BJ135" s="96"/>
      <c r="BK135" s="96"/>
      <c r="BL135" s="294">
        <f t="shared" si="1652"/>
        <v>0</v>
      </c>
      <c r="BM135" s="302">
        <f t="shared" si="1653"/>
        <v>0.4604471269</v>
      </c>
      <c r="BN135" s="303">
        <f t="shared" si="1654"/>
        <v>0</v>
      </c>
      <c r="BO135" s="304">
        <f t="shared" si="1655"/>
        <v>0</v>
      </c>
      <c r="BP135" s="297"/>
      <c r="BQ135" s="299">
        <f t="shared" si="1776"/>
        <v>15</v>
      </c>
      <c r="BR135" s="300" t="str">
        <f t="shared" ref="BR135:BT135" si="2006">IFERROR(VLOOKUP($R135,$A$13:$D$30,-BR$12,FALSE),"")</f>
        <v>Lainnya 2.3 (7) …….</v>
      </c>
      <c r="BS135" s="301" t="str">
        <f t="shared" si="2006"/>
        <v/>
      </c>
      <c r="BT135" s="301" t="str">
        <f t="shared" si="2006"/>
        <v/>
      </c>
      <c r="BU135" s="294"/>
      <c r="BV135" s="294">
        <f t="shared" si="1657"/>
        <v>6500000</v>
      </c>
      <c r="BW135" s="294">
        <f t="shared" si="1658"/>
        <v>0</v>
      </c>
      <c r="BX135" s="302"/>
      <c r="BY135" s="294">
        <f t="shared" si="1659"/>
        <v>0</v>
      </c>
      <c r="BZ135" s="410"/>
      <c r="CA135" s="96"/>
      <c r="CB135" s="96"/>
      <c r="CC135" s="294">
        <f t="shared" si="1660"/>
        <v>0</v>
      </c>
      <c r="CD135" s="302">
        <f t="shared" si="1661"/>
        <v>0.4604471269</v>
      </c>
      <c r="CE135" s="303">
        <f t="shared" si="1662"/>
        <v>0</v>
      </c>
      <c r="CF135" s="304">
        <f t="shared" si="1663"/>
        <v>0</v>
      </c>
      <c r="CG135" s="297"/>
      <c r="CH135" s="299">
        <f t="shared" si="1778"/>
        <v>15</v>
      </c>
      <c r="CI135" s="300" t="str">
        <f t="shared" ref="CI135:CK135" si="2007">IFERROR(VLOOKUP($R135,$A$13:$D$30,-CI$12,FALSE),"")</f>
        <v>Lainnya 2.3 (7) …….</v>
      </c>
      <c r="CJ135" s="301" t="str">
        <f t="shared" si="2007"/>
        <v/>
      </c>
      <c r="CK135" s="301" t="str">
        <f t="shared" si="2007"/>
        <v/>
      </c>
      <c r="CL135" s="294"/>
      <c r="CM135" s="294">
        <f t="shared" si="1665"/>
        <v>6500000</v>
      </c>
      <c r="CN135" s="294">
        <f t="shared" si="1666"/>
        <v>0</v>
      </c>
      <c r="CO135" s="302"/>
      <c r="CP135" s="294">
        <f t="shared" si="1667"/>
        <v>0</v>
      </c>
      <c r="CQ135" s="410"/>
      <c r="CR135" s="96"/>
      <c r="CS135" s="96"/>
      <c r="CT135" s="294">
        <f t="shared" si="1668"/>
        <v>0</v>
      </c>
      <c r="CU135" s="302">
        <f t="shared" si="1669"/>
        <v>0.4604471269</v>
      </c>
      <c r="CV135" s="303">
        <f t="shared" si="1670"/>
        <v>0</v>
      </c>
      <c r="CW135" s="304">
        <f t="shared" si="1671"/>
        <v>0</v>
      </c>
      <c r="CX135" s="297"/>
      <c r="CY135" s="299">
        <f t="shared" si="1780"/>
        <v>15</v>
      </c>
      <c r="CZ135" s="300" t="str">
        <f t="shared" ref="CZ135:DB135" si="2008">IFERROR(VLOOKUP($R135,$A$13:$D$30,-CZ$12,FALSE),"")</f>
        <v>Lainnya 2.3 (7) …….</v>
      </c>
      <c r="DA135" s="301" t="str">
        <f t="shared" si="2008"/>
        <v/>
      </c>
      <c r="DB135" s="301" t="str">
        <f t="shared" si="2008"/>
        <v/>
      </c>
      <c r="DC135" s="294"/>
      <c r="DD135" s="294">
        <f t="shared" si="1673"/>
        <v>6500000</v>
      </c>
      <c r="DE135" s="294">
        <f t="shared" si="1674"/>
        <v>0</v>
      </c>
      <c r="DF135" s="302"/>
      <c r="DG135" s="294">
        <f t="shared" si="1675"/>
        <v>0</v>
      </c>
      <c r="DH135" s="410"/>
      <c r="DI135" s="96"/>
      <c r="DJ135" s="96"/>
      <c r="DK135" s="294">
        <f t="shared" si="1676"/>
        <v>0</v>
      </c>
      <c r="DL135" s="302">
        <f t="shared" si="1677"/>
        <v>0.4604471269</v>
      </c>
      <c r="DM135" s="303">
        <f t="shared" si="1678"/>
        <v>0</v>
      </c>
      <c r="DN135" s="304">
        <f t="shared" si="1679"/>
        <v>0</v>
      </c>
      <c r="DO135" s="297"/>
      <c r="DP135" s="299">
        <f t="shared" si="1782"/>
        <v>15</v>
      </c>
      <c r="DQ135" s="300" t="str">
        <f t="shared" ref="DQ135:DS135" si="2009">IFERROR(VLOOKUP($R135,$A$13:$D$30,-DQ$12,FALSE),"")</f>
        <v>Lainnya 2.3 (7) …….</v>
      </c>
      <c r="DR135" s="301" t="str">
        <f t="shared" si="2009"/>
        <v/>
      </c>
      <c r="DS135" s="301" t="str">
        <f t="shared" si="2009"/>
        <v/>
      </c>
      <c r="DT135" s="294"/>
      <c r="DU135" s="294">
        <f t="shared" si="1681"/>
        <v>6500000</v>
      </c>
      <c r="DV135" s="294">
        <f t="shared" si="1682"/>
        <v>0</v>
      </c>
      <c r="DW135" s="302"/>
      <c r="DX135" s="294">
        <f t="shared" si="1683"/>
        <v>0</v>
      </c>
      <c r="DY135" s="410"/>
      <c r="DZ135" s="96"/>
      <c r="EA135" s="96"/>
      <c r="EB135" s="294">
        <f t="shared" si="1684"/>
        <v>0</v>
      </c>
      <c r="EC135" s="302">
        <f t="shared" si="1685"/>
        <v>0.4604471269</v>
      </c>
      <c r="ED135" s="303">
        <f t="shared" si="1686"/>
        <v>0</v>
      </c>
      <c r="EE135" s="304">
        <f t="shared" si="1687"/>
        <v>0</v>
      </c>
      <c r="EF135" s="297"/>
      <c r="EG135" s="299">
        <f t="shared" si="1784"/>
        <v>15</v>
      </c>
      <c r="EH135" s="300" t="str">
        <f t="shared" ref="EH135:EJ135" si="2010">IFERROR(VLOOKUP($R135,$A$13:$D$30,-EH$12,FALSE),"")</f>
        <v>Lainnya 2.3 (7) …….</v>
      </c>
      <c r="EI135" s="301" t="str">
        <f t="shared" si="2010"/>
        <v/>
      </c>
      <c r="EJ135" s="301" t="str">
        <f t="shared" si="2010"/>
        <v/>
      </c>
      <c r="EK135" s="294"/>
      <c r="EL135" s="294">
        <f t="shared" si="1689"/>
        <v>6500000</v>
      </c>
      <c r="EM135" s="294">
        <f t="shared" si="1690"/>
        <v>0</v>
      </c>
      <c r="EN135" s="302"/>
      <c r="EO135" s="294">
        <f t="shared" si="1691"/>
        <v>0</v>
      </c>
      <c r="EP135" s="410"/>
      <c r="EQ135" s="96"/>
      <c r="ER135" s="96"/>
      <c r="ES135" s="294">
        <f t="shared" si="1692"/>
        <v>0</v>
      </c>
      <c r="ET135" s="302">
        <f t="shared" si="1693"/>
        <v>0.4604471269</v>
      </c>
      <c r="EU135" s="303">
        <f t="shared" si="1694"/>
        <v>0</v>
      </c>
      <c r="EV135" s="304">
        <f t="shared" si="1695"/>
        <v>0</v>
      </c>
      <c r="EW135" s="297"/>
      <c r="EX135" s="299">
        <f t="shared" si="1786"/>
        <v>15</v>
      </c>
      <c r="EY135" s="300" t="str">
        <f t="shared" ref="EY135:FA135" si="2011">IFERROR(VLOOKUP($R135,$A$13:$D$30,-EY$12,FALSE),"")</f>
        <v>Lainnya 2.3 (7) …….</v>
      </c>
      <c r="EZ135" s="301" t="str">
        <f t="shared" si="2011"/>
        <v/>
      </c>
      <c r="FA135" s="301" t="str">
        <f t="shared" si="2011"/>
        <v/>
      </c>
      <c r="FB135" s="294"/>
      <c r="FC135" s="294">
        <f t="shared" si="1697"/>
        <v>6500000</v>
      </c>
      <c r="FD135" s="294">
        <f t="shared" si="1698"/>
        <v>0</v>
      </c>
      <c r="FE135" s="302"/>
      <c r="FF135" s="294">
        <f t="shared" si="1699"/>
        <v>0</v>
      </c>
      <c r="FG135" s="410"/>
      <c r="FH135" s="96"/>
      <c r="FI135" s="96"/>
      <c r="FJ135" s="294">
        <f t="shared" si="1700"/>
        <v>0</v>
      </c>
      <c r="FK135" s="302">
        <f t="shared" si="1701"/>
        <v>0.4604471269</v>
      </c>
      <c r="FL135" s="303">
        <f t="shared" si="1702"/>
        <v>0</v>
      </c>
      <c r="FM135" s="304">
        <f t="shared" si="1703"/>
        <v>0</v>
      </c>
      <c r="FN135" s="297"/>
      <c r="FO135" s="299">
        <f t="shared" si="1788"/>
        <v>15</v>
      </c>
      <c r="FP135" s="300" t="str">
        <f t="shared" ref="FP135:FR135" si="2012">IFERROR(VLOOKUP($R135,$A$13:$D$30,-FP$12,FALSE),"")</f>
        <v>Lainnya 2.3 (7) …….</v>
      </c>
      <c r="FQ135" s="301" t="str">
        <f t="shared" si="2012"/>
        <v/>
      </c>
      <c r="FR135" s="301" t="str">
        <f t="shared" si="2012"/>
        <v/>
      </c>
      <c r="FS135" s="294"/>
      <c r="FT135" s="294">
        <f t="shared" si="1705"/>
        <v>6500000</v>
      </c>
      <c r="FU135" s="294">
        <f t="shared" si="1706"/>
        <v>0</v>
      </c>
      <c r="FV135" s="302"/>
      <c r="FW135" s="294">
        <f t="shared" si="1707"/>
        <v>0</v>
      </c>
      <c r="FX135" s="410"/>
      <c r="FY135" s="96"/>
      <c r="FZ135" s="96"/>
      <c r="GA135" s="294">
        <f t="shared" si="1708"/>
        <v>0</v>
      </c>
      <c r="GB135" s="302">
        <f t="shared" si="1709"/>
        <v>0.4604471269</v>
      </c>
      <c r="GC135" s="303">
        <f t="shared" si="1710"/>
        <v>0</v>
      </c>
      <c r="GD135" s="304">
        <f t="shared" si="1711"/>
        <v>0</v>
      </c>
      <c r="GE135" s="297"/>
      <c r="GF135" s="299">
        <f t="shared" si="1790"/>
        <v>15</v>
      </c>
      <c r="GG135" s="300" t="str">
        <f t="shared" ref="GG135:GI135" si="2013">IFERROR(VLOOKUP($R135,$A$13:$D$30,-GG$12,FALSE),"")</f>
        <v>Lainnya 2.3 (7) …….</v>
      </c>
      <c r="GH135" s="301" t="str">
        <f t="shared" si="2013"/>
        <v/>
      </c>
      <c r="GI135" s="301" t="str">
        <f t="shared" si="2013"/>
        <v/>
      </c>
      <c r="GJ135" s="294"/>
      <c r="GK135" s="294" t="str">
        <f t="shared" si="1713"/>
        <v/>
      </c>
      <c r="GL135" s="294">
        <f t="shared" si="1714"/>
        <v>0</v>
      </c>
      <c r="GM135" s="302"/>
      <c r="GN135" s="294">
        <f t="shared" si="1715"/>
        <v>0</v>
      </c>
      <c r="GO135" s="410"/>
      <c r="GP135" s="96"/>
      <c r="GQ135" s="96"/>
      <c r="GR135" s="294">
        <f t="shared" si="1716"/>
        <v>0</v>
      </c>
      <c r="GS135" s="302">
        <f t="shared" si="1717"/>
        <v>0.4604471269</v>
      </c>
      <c r="GT135" s="303">
        <f t="shared" si="1718"/>
        <v>0</v>
      </c>
      <c r="GU135" s="304">
        <f t="shared" si="1719"/>
        <v>0</v>
      </c>
      <c r="GV135" s="297"/>
      <c r="GW135" s="299">
        <f t="shared" si="1792"/>
        <v>15</v>
      </c>
      <c r="GX135" s="300" t="str">
        <f t="shared" ref="GX135:GZ135" si="2014">IFERROR(VLOOKUP($R135,$A$13:$D$30,-GX$12,FALSE),"")</f>
        <v>Lainnya 2.3 (7) …….</v>
      </c>
      <c r="GY135" s="301" t="str">
        <f t="shared" si="2014"/>
        <v/>
      </c>
      <c r="GZ135" s="301" t="str">
        <f t="shared" si="2014"/>
        <v/>
      </c>
      <c r="HA135" s="294"/>
      <c r="HB135" s="294" t="str">
        <f t="shared" si="1721"/>
        <v/>
      </c>
      <c r="HC135" s="294">
        <f t="shared" si="1722"/>
        <v>0</v>
      </c>
      <c r="HD135" s="302"/>
      <c r="HE135" s="294">
        <f t="shared" si="1723"/>
        <v>0</v>
      </c>
      <c r="HF135" s="410"/>
      <c r="HG135" s="96"/>
      <c r="HH135" s="96"/>
      <c r="HI135" s="294">
        <f t="shared" si="1724"/>
        <v>0</v>
      </c>
      <c r="HJ135" s="302">
        <f t="shared" si="1725"/>
        <v>0.4604471269</v>
      </c>
      <c r="HK135" s="303">
        <f t="shared" si="1726"/>
        <v>0</v>
      </c>
      <c r="HL135" s="304">
        <f t="shared" si="1727"/>
        <v>0</v>
      </c>
      <c r="HM135" s="297"/>
      <c r="HN135" s="299">
        <f t="shared" si="1794"/>
        <v>15</v>
      </c>
      <c r="HO135" s="300" t="str">
        <f t="shared" ref="HO135:HQ135" si="2015">IFERROR(VLOOKUP($R135,$A$13:$D$30,-HO$12,FALSE),"")</f>
        <v>Lainnya 2.3 (7) …….</v>
      </c>
      <c r="HP135" s="301" t="str">
        <f t="shared" si="2015"/>
        <v/>
      </c>
      <c r="HQ135" s="301" t="str">
        <f t="shared" si="2015"/>
        <v/>
      </c>
      <c r="HR135" s="294"/>
      <c r="HS135" s="294" t="str">
        <f t="shared" si="1729"/>
        <v/>
      </c>
      <c r="HT135" s="294">
        <f t="shared" si="1730"/>
        <v>0</v>
      </c>
      <c r="HU135" s="302"/>
      <c r="HV135" s="294">
        <f t="shared" si="1731"/>
        <v>0</v>
      </c>
      <c r="HW135" s="410"/>
      <c r="HX135" s="96"/>
      <c r="HY135" s="96"/>
      <c r="HZ135" s="294">
        <f t="shared" si="1732"/>
        <v>0</v>
      </c>
      <c r="IA135" s="302">
        <f t="shared" si="1733"/>
        <v>0.4604471269</v>
      </c>
      <c r="IB135" s="303">
        <f t="shared" si="1734"/>
        <v>0</v>
      </c>
      <c r="IC135" s="304">
        <f t="shared" si="1735"/>
        <v>0</v>
      </c>
      <c r="ID135" s="297"/>
      <c r="IE135" s="299">
        <f t="shared" si="1796"/>
        <v>15</v>
      </c>
      <c r="IF135" s="300" t="str">
        <f t="shared" ref="IF135:IH135" si="2016">IFERROR(VLOOKUP($R135,$A$13:$D$30,-IF$12,FALSE),"")</f>
        <v>Lainnya 2.3 (7) …….</v>
      </c>
      <c r="IG135" s="301" t="str">
        <f t="shared" si="2016"/>
        <v/>
      </c>
      <c r="IH135" s="301" t="str">
        <f t="shared" si="2016"/>
        <v/>
      </c>
      <c r="II135" s="294"/>
      <c r="IJ135" s="294" t="str">
        <f t="shared" si="1737"/>
        <v/>
      </c>
      <c r="IK135" s="294">
        <f t="shared" si="1738"/>
        <v>0</v>
      </c>
      <c r="IL135" s="302"/>
      <c r="IM135" s="294">
        <f t="shared" si="1739"/>
        <v>0</v>
      </c>
      <c r="IN135" s="410"/>
      <c r="IO135" s="96"/>
      <c r="IP135" s="96"/>
      <c r="IQ135" s="294">
        <f t="shared" si="1740"/>
        <v>0</v>
      </c>
      <c r="IR135" s="302">
        <f t="shared" si="1741"/>
        <v>0.4604471269</v>
      </c>
      <c r="IS135" s="303">
        <f t="shared" si="1742"/>
        <v>0</v>
      </c>
      <c r="IT135" s="304">
        <f t="shared" si="1743"/>
        <v>0</v>
      </c>
      <c r="IU135" s="297"/>
      <c r="IV135" s="299">
        <f t="shared" si="1798"/>
        <v>15</v>
      </c>
      <c r="IW135" s="300" t="str">
        <f t="shared" ref="IW135:IY135" si="2017">IFERROR(VLOOKUP($R135,$A$13:$D$30,-IW$12,FALSE),"")</f>
        <v>Lainnya 2.3 (7) …….</v>
      </c>
      <c r="IX135" s="301" t="str">
        <f t="shared" si="2017"/>
        <v/>
      </c>
      <c r="IY135" s="301" t="str">
        <f t="shared" si="2017"/>
        <v/>
      </c>
      <c r="IZ135" s="294"/>
      <c r="JA135" s="294" t="str">
        <f t="shared" si="1745"/>
        <v/>
      </c>
      <c r="JB135" s="294">
        <f t="shared" si="1746"/>
        <v>0</v>
      </c>
      <c r="JC135" s="302"/>
      <c r="JD135" s="294">
        <f t="shared" si="1747"/>
        <v>0</v>
      </c>
      <c r="JE135" s="410"/>
      <c r="JF135" s="96"/>
      <c r="JG135" s="96"/>
      <c r="JH135" s="294">
        <f t="shared" si="1748"/>
        <v>0</v>
      </c>
      <c r="JI135" s="302">
        <f t="shared" si="1749"/>
        <v>0.4604471269</v>
      </c>
      <c r="JJ135" s="303">
        <f t="shared" si="1750"/>
        <v>0</v>
      </c>
      <c r="JK135" s="304">
        <f t="shared" si="1751"/>
        <v>0</v>
      </c>
      <c r="JL135" s="297"/>
      <c r="JM135" s="299">
        <f t="shared" si="1800"/>
        <v>15</v>
      </c>
      <c r="JN135" s="300" t="str">
        <f t="shared" ref="JN135:JP135" si="2018">IFERROR(VLOOKUP($R135,$A$13:$D$30,-JN$12,FALSE),"")</f>
        <v>Lainnya 2.3 (7) …….</v>
      </c>
      <c r="JO135" s="301" t="str">
        <f t="shared" si="2018"/>
        <v/>
      </c>
      <c r="JP135" s="301" t="str">
        <f t="shared" si="2018"/>
        <v/>
      </c>
      <c r="JQ135" s="294"/>
      <c r="JR135" s="294" t="str">
        <f t="shared" si="1753"/>
        <v/>
      </c>
      <c r="JS135" s="294">
        <f t="shared" si="1754"/>
        <v>0</v>
      </c>
      <c r="JT135" s="302"/>
      <c r="JU135" s="294">
        <f t="shared" si="1755"/>
        <v>0</v>
      </c>
      <c r="JV135" s="410"/>
      <c r="JW135" s="96"/>
      <c r="JX135" s="96"/>
      <c r="JY135" s="294">
        <f t="shared" si="1756"/>
        <v>0</v>
      </c>
      <c r="JZ135" s="302">
        <f t="shared" si="1757"/>
        <v>0.4604471269</v>
      </c>
      <c r="KA135" s="303">
        <f t="shared" si="1758"/>
        <v>0</v>
      </c>
      <c r="KB135" s="304">
        <f t="shared" si="1759"/>
        <v>0</v>
      </c>
      <c r="KC135" s="297"/>
      <c r="KD135" s="299">
        <f t="shared" si="1802"/>
        <v>15</v>
      </c>
      <c r="KE135" s="300" t="str">
        <f t="shared" ref="KE135:KG135" si="2019">IFERROR(VLOOKUP($R135,$A$13:$D$30,-KE$12,FALSE),"")</f>
        <v>Lainnya 2.3 (7) …….</v>
      </c>
      <c r="KF135" s="301" t="str">
        <f t="shared" si="2019"/>
        <v/>
      </c>
      <c r="KG135" s="301" t="str">
        <f t="shared" si="2019"/>
        <v/>
      </c>
      <c r="KH135" s="294"/>
      <c r="KI135" s="294" t="str">
        <f t="shared" si="1761"/>
        <v/>
      </c>
      <c r="KJ135" s="294">
        <f t="shared" si="1762"/>
        <v>0</v>
      </c>
      <c r="KK135" s="302"/>
      <c r="KL135" s="294">
        <f t="shared" si="1763"/>
        <v>0</v>
      </c>
      <c r="KM135" s="410"/>
      <c r="KN135" s="96"/>
      <c r="KO135" s="96"/>
      <c r="KP135" s="294">
        <f t="shared" si="1764"/>
        <v>0</v>
      </c>
      <c r="KQ135" s="302">
        <f t="shared" si="1765"/>
        <v>0.4604471269</v>
      </c>
      <c r="KR135" s="303">
        <f t="shared" si="1766"/>
        <v>0</v>
      </c>
      <c r="KS135" s="304">
        <f t="shared" si="1767"/>
        <v>0</v>
      </c>
      <c r="KT135" s="297"/>
      <c r="KU135" s="298"/>
    </row>
    <row r="136" ht="15.75" customHeight="1">
      <c r="A136" s="299">
        <f t="shared" si="1768"/>
        <v>16</v>
      </c>
      <c r="B136" s="300" t="str">
        <f t="shared" ref="B136:D136" si="2020">IFERROR(VLOOKUP($A136,$A$13:$D$30,-B$12,FALSE),"")</f>
        <v>Lainnya 2.3 (8) …….</v>
      </c>
      <c r="C136" s="301" t="str">
        <f t="shared" si="2020"/>
        <v/>
      </c>
      <c r="D136" s="301" t="str">
        <f t="shared" si="2020"/>
        <v/>
      </c>
      <c r="E136" s="294"/>
      <c r="F136" s="294" t="str">
        <f t="shared" si="1625"/>
        <v/>
      </c>
      <c r="G136" s="294">
        <f t="shared" si="1626"/>
        <v>0</v>
      </c>
      <c r="H136" s="302"/>
      <c r="I136" s="294">
        <f t="shared" si="1627"/>
        <v>0</v>
      </c>
      <c r="J136" s="410"/>
      <c r="K136" s="96"/>
      <c r="L136" s="96"/>
      <c r="M136" s="294">
        <f t="shared" si="1628"/>
        <v>0</v>
      </c>
      <c r="N136" s="302"/>
      <c r="O136" s="303">
        <f t="shared" si="1630"/>
        <v>0</v>
      </c>
      <c r="P136" s="304">
        <f t="shared" si="1631"/>
        <v>0</v>
      </c>
      <c r="Q136" s="297"/>
      <c r="R136" s="299">
        <f t="shared" si="1770"/>
        <v>16</v>
      </c>
      <c r="S136" s="300" t="str">
        <f t="shared" ref="S136:U136" si="2021">IFERROR(VLOOKUP($R136,$A$13:$D$30,-S$12,FALSE),"")</f>
        <v>Lainnya 2.3 (8) …….</v>
      </c>
      <c r="T136" s="301" t="str">
        <f t="shared" si="2021"/>
        <v/>
      </c>
      <c r="U136" s="301" t="str">
        <f t="shared" si="2021"/>
        <v/>
      </c>
      <c r="V136" s="294"/>
      <c r="W136" s="294" t="str">
        <f t="shared" si="1633"/>
        <v/>
      </c>
      <c r="X136" s="294">
        <f t="shared" si="1634"/>
        <v>0</v>
      </c>
      <c r="Y136" s="302"/>
      <c r="Z136" s="294">
        <f t="shared" si="1635"/>
        <v>0</v>
      </c>
      <c r="AA136" s="410"/>
      <c r="AB136" s="96"/>
      <c r="AC136" s="96"/>
      <c r="AD136" s="294">
        <f t="shared" si="1636"/>
        <v>0</v>
      </c>
      <c r="AE136" s="302"/>
      <c r="AF136" s="303">
        <f t="shared" si="1638"/>
        <v>0</v>
      </c>
      <c r="AG136" s="304">
        <f t="shared" si="1639"/>
        <v>0</v>
      </c>
      <c r="AH136" s="297"/>
      <c r="AI136" s="299">
        <f t="shared" si="1772"/>
        <v>16</v>
      </c>
      <c r="AJ136" s="300" t="str">
        <f t="shared" ref="AJ136:AL136" si="2022">IFERROR(VLOOKUP($R136,$A$13:$D$30,-AJ$12,FALSE),"")</f>
        <v>Lainnya 2.3 (8) …….</v>
      </c>
      <c r="AK136" s="301" t="str">
        <f t="shared" si="2022"/>
        <v/>
      </c>
      <c r="AL136" s="301" t="str">
        <f t="shared" si="2022"/>
        <v/>
      </c>
      <c r="AM136" s="294"/>
      <c r="AN136" s="294" t="str">
        <f t="shared" si="1641"/>
        <v/>
      </c>
      <c r="AO136" s="294">
        <f t="shared" si="1642"/>
        <v>0</v>
      </c>
      <c r="AP136" s="302"/>
      <c r="AQ136" s="294">
        <f t="shared" si="1643"/>
        <v>0</v>
      </c>
      <c r="AR136" s="410"/>
      <c r="AS136" s="96"/>
      <c r="AT136" s="96"/>
      <c r="AU136" s="294">
        <f t="shared" si="1644"/>
        <v>0</v>
      </c>
      <c r="AV136" s="302"/>
      <c r="AW136" s="303">
        <f t="shared" si="1646"/>
        <v>0</v>
      </c>
      <c r="AX136" s="304">
        <f t="shared" si="1647"/>
        <v>0</v>
      </c>
      <c r="AY136" s="297"/>
      <c r="AZ136" s="299">
        <f t="shared" si="1774"/>
        <v>16</v>
      </c>
      <c r="BA136" s="300" t="str">
        <f t="shared" ref="BA136:BC136" si="2023">IFERROR(VLOOKUP($R136,$A$13:$D$30,-BA$12,FALSE),"")</f>
        <v>Lainnya 2.3 (8) …….</v>
      </c>
      <c r="BB136" s="301" t="str">
        <f t="shared" si="2023"/>
        <v/>
      </c>
      <c r="BC136" s="301" t="str">
        <f t="shared" si="2023"/>
        <v/>
      </c>
      <c r="BD136" s="294"/>
      <c r="BE136" s="294" t="str">
        <f t="shared" si="1649"/>
        <v/>
      </c>
      <c r="BF136" s="294">
        <f t="shared" si="1650"/>
        <v>0</v>
      </c>
      <c r="BG136" s="302"/>
      <c r="BH136" s="294">
        <f t="shared" si="1651"/>
        <v>0</v>
      </c>
      <c r="BI136" s="410"/>
      <c r="BJ136" s="96"/>
      <c r="BK136" s="96"/>
      <c r="BL136" s="294">
        <f t="shared" si="1652"/>
        <v>0</v>
      </c>
      <c r="BM136" s="302"/>
      <c r="BN136" s="303">
        <f t="shared" si="1654"/>
        <v>0</v>
      </c>
      <c r="BO136" s="304">
        <f t="shared" si="1655"/>
        <v>0</v>
      </c>
      <c r="BP136" s="297"/>
      <c r="BQ136" s="299">
        <f t="shared" si="1776"/>
        <v>16</v>
      </c>
      <c r="BR136" s="300" t="str">
        <f t="shared" ref="BR136:BT136" si="2024">IFERROR(VLOOKUP($R136,$A$13:$D$30,-BR$12,FALSE),"")</f>
        <v>Lainnya 2.3 (8) …….</v>
      </c>
      <c r="BS136" s="301" t="str">
        <f t="shared" si="2024"/>
        <v/>
      </c>
      <c r="BT136" s="301" t="str">
        <f t="shared" si="2024"/>
        <v/>
      </c>
      <c r="BU136" s="294"/>
      <c r="BV136" s="294" t="str">
        <f t="shared" si="1657"/>
        <v/>
      </c>
      <c r="BW136" s="294">
        <f t="shared" si="1658"/>
        <v>0</v>
      </c>
      <c r="BX136" s="302"/>
      <c r="BY136" s="294">
        <f t="shared" si="1659"/>
        <v>0</v>
      </c>
      <c r="BZ136" s="410"/>
      <c r="CA136" s="96"/>
      <c r="CB136" s="96"/>
      <c r="CC136" s="294">
        <f t="shared" si="1660"/>
        <v>0</v>
      </c>
      <c r="CD136" s="302"/>
      <c r="CE136" s="303">
        <f t="shared" si="1662"/>
        <v>0</v>
      </c>
      <c r="CF136" s="304">
        <f t="shared" si="1663"/>
        <v>0</v>
      </c>
      <c r="CG136" s="297"/>
      <c r="CH136" s="299">
        <f t="shared" si="1778"/>
        <v>16</v>
      </c>
      <c r="CI136" s="300" t="str">
        <f t="shared" ref="CI136:CK136" si="2025">IFERROR(VLOOKUP($R136,$A$13:$D$30,-CI$12,FALSE),"")</f>
        <v>Lainnya 2.3 (8) …….</v>
      </c>
      <c r="CJ136" s="301" t="str">
        <f t="shared" si="2025"/>
        <v/>
      </c>
      <c r="CK136" s="301" t="str">
        <f t="shared" si="2025"/>
        <v/>
      </c>
      <c r="CL136" s="294"/>
      <c r="CM136" s="294" t="str">
        <f t="shared" si="1665"/>
        <v/>
      </c>
      <c r="CN136" s="294">
        <f t="shared" si="1666"/>
        <v>0</v>
      </c>
      <c r="CO136" s="302"/>
      <c r="CP136" s="294">
        <f t="shared" si="1667"/>
        <v>0</v>
      </c>
      <c r="CQ136" s="410"/>
      <c r="CR136" s="96"/>
      <c r="CS136" s="96"/>
      <c r="CT136" s="294">
        <f t="shared" si="1668"/>
        <v>0</v>
      </c>
      <c r="CU136" s="302"/>
      <c r="CV136" s="303">
        <f t="shared" si="1670"/>
        <v>0</v>
      </c>
      <c r="CW136" s="304">
        <f t="shared" si="1671"/>
        <v>0</v>
      </c>
      <c r="CX136" s="297"/>
      <c r="CY136" s="299">
        <f t="shared" si="1780"/>
        <v>16</v>
      </c>
      <c r="CZ136" s="300" t="str">
        <f t="shared" ref="CZ136:DB136" si="2026">IFERROR(VLOOKUP($R136,$A$13:$D$30,-CZ$12,FALSE),"")</f>
        <v>Lainnya 2.3 (8) …….</v>
      </c>
      <c r="DA136" s="301" t="str">
        <f t="shared" si="2026"/>
        <v/>
      </c>
      <c r="DB136" s="301" t="str">
        <f t="shared" si="2026"/>
        <v/>
      </c>
      <c r="DC136" s="294"/>
      <c r="DD136" s="294" t="str">
        <f t="shared" si="1673"/>
        <v/>
      </c>
      <c r="DE136" s="294">
        <f t="shared" si="1674"/>
        <v>0</v>
      </c>
      <c r="DF136" s="302"/>
      <c r="DG136" s="294">
        <f t="shared" si="1675"/>
        <v>0</v>
      </c>
      <c r="DH136" s="410"/>
      <c r="DI136" s="96"/>
      <c r="DJ136" s="96"/>
      <c r="DK136" s="294">
        <f t="shared" si="1676"/>
        <v>0</v>
      </c>
      <c r="DL136" s="302"/>
      <c r="DM136" s="303">
        <f t="shared" si="1678"/>
        <v>0</v>
      </c>
      <c r="DN136" s="304">
        <f t="shared" si="1679"/>
        <v>0</v>
      </c>
      <c r="DO136" s="297"/>
      <c r="DP136" s="299">
        <f t="shared" si="1782"/>
        <v>16</v>
      </c>
      <c r="DQ136" s="300" t="str">
        <f t="shared" ref="DQ136:DS136" si="2027">IFERROR(VLOOKUP($R136,$A$13:$D$30,-DQ$12,FALSE),"")</f>
        <v>Lainnya 2.3 (8) …….</v>
      </c>
      <c r="DR136" s="301" t="str">
        <f t="shared" si="2027"/>
        <v/>
      </c>
      <c r="DS136" s="301" t="str">
        <f t="shared" si="2027"/>
        <v/>
      </c>
      <c r="DT136" s="294"/>
      <c r="DU136" s="294" t="str">
        <f t="shared" si="1681"/>
        <v/>
      </c>
      <c r="DV136" s="294">
        <f t="shared" si="1682"/>
        <v>0</v>
      </c>
      <c r="DW136" s="302"/>
      <c r="DX136" s="294">
        <f t="shared" si="1683"/>
        <v>0</v>
      </c>
      <c r="DY136" s="410"/>
      <c r="DZ136" s="96"/>
      <c r="EA136" s="96"/>
      <c r="EB136" s="294">
        <f t="shared" si="1684"/>
        <v>0</v>
      </c>
      <c r="EC136" s="302"/>
      <c r="ED136" s="303">
        <f t="shared" si="1686"/>
        <v>0</v>
      </c>
      <c r="EE136" s="304">
        <f t="shared" si="1687"/>
        <v>0</v>
      </c>
      <c r="EF136" s="297"/>
      <c r="EG136" s="299">
        <f t="shared" si="1784"/>
        <v>16</v>
      </c>
      <c r="EH136" s="300" t="str">
        <f t="shared" ref="EH136:EJ136" si="2028">IFERROR(VLOOKUP($R136,$A$13:$D$30,-EH$12,FALSE),"")</f>
        <v>Lainnya 2.3 (8) …….</v>
      </c>
      <c r="EI136" s="301" t="str">
        <f t="shared" si="2028"/>
        <v/>
      </c>
      <c r="EJ136" s="301" t="str">
        <f t="shared" si="2028"/>
        <v/>
      </c>
      <c r="EK136" s="294"/>
      <c r="EL136" s="294" t="str">
        <f t="shared" si="1689"/>
        <v/>
      </c>
      <c r="EM136" s="294">
        <f t="shared" si="1690"/>
        <v>0</v>
      </c>
      <c r="EN136" s="302"/>
      <c r="EO136" s="294">
        <f t="shared" si="1691"/>
        <v>0</v>
      </c>
      <c r="EP136" s="410"/>
      <c r="EQ136" s="96"/>
      <c r="ER136" s="96"/>
      <c r="ES136" s="294">
        <f t="shared" si="1692"/>
        <v>0</v>
      </c>
      <c r="ET136" s="302"/>
      <c r="EU136" s="303">
        <f t="shared" si="1694"/>
        <v>0</v>
      </c>
      <c r="EV136" s="304">
        <f t="shared" si="1695"/>
        <v>0</v>
      </c>
      <c r="EW136" s="297"/>
      <c r="EX136" s="299">
        <f t="shared" si="1786"/>
        <v>16</v>
      </c>
      <c r="EY136" s="300" t="str">
        <f t="shared" ref="EY136:FA136" si="2029">IFERROR(VLOOKUP($R136,$A$13:$D$30,-EY$12,FALSE),"")</f>
        <v>Lainnya 2.3 (8) …….</v>
      </c>
      <c r="EZ136" s="301" t="str">
        <f t="shared" si="2029"/>
        <v/>
      </c>
      <c r="FA136" s="301" t="str">
        <f t="shared" si="2029"/>
        <v/>
      </c>
      <c r="FB136" s="294"/>
      <c r="FC136" s="294" t="str">
        <f t="shared" si="1697"/>
        <v/>
      </c>
      <c r="FD136" s="294">
        <f t="shared" si="1698"/>
        <v>0</v>
      </c>
      <c r="FE136" s="302"/>
      <c r="FF136" s="294">
        <f t="shared" si="1699"/>
        <v>0</v>
      </c>
      <c r="FG136" s="410"/>
      <c r="FH136" s="96"/>
      <c r="FI136" s="96"/>
      <c r="FJ136" s="294">
        <f t="shared" si="1700"/>
        <v>0</v>
      </c>
      <c r="FK136" s="302"/>
      <c r="FL136" s="303">
        <f t="shared" si="1702"/>
        <v>0</v>
      </c>
      <c r="FM136" s="304">
        <f t="shared" si="1703"/>
        <v>0</v>
      </c>
      <c r="FN136" s="297"/>
      <c r="FO136" s="299">
        <f t="shared" si="1788"/>
        <v>16</v>
      </c>
      <c r="FP136" s="300" t="str">
        <f t="shared" ref="FP136:FR136" si="2030">IFERROR(VLOOKUP($R136,$A$13:$D$30,-FP$12,FALSE),"")</f>
        <v>Lainnya 2.3 (8) …….</v>
      </c>
      <c r="FQ136" s="301" t="str">
        <f t="shared" si="2030"/>
        <v/>
      </c>
      <c r="FR136" s="301" t="str">
        <f t="shared" si="2030"/>
        <v/>
      </c>
      <c r="FS136" s="294"/>
      <c r="FT136" s="294" t="str">
        <f t="shared" si="1705"/>
        <v/>
      </c>
      <c r="FU136" s="294">
        <f t="shared" si="1706"/>
        <v>0</v>
      </c>
      <c r="FV136" s="302"/>
      <c r="FW136" s="294">
        <f t="shared" si="1707"/>
        <v>0</v>
      </c>
      <c r="FX136" s="410"/>
      <c r="FY136" s="96"/>
      <c r="FZ136" s="96"/>
      <c r="GA136" s="294">
        <f t="shared" si="1708"/>
        <v>0</v>
      </c>
      <c r="GB136" s="302"/>
      <c r="GC136" s="303">
        <f t="shared" si="1710"/>
        <v>0</v>
      </c>
      <c r="GD136" s="304">
        <f t="shared" si="1711"/>
        <v>0</v>
      </c>
      <c r="GE136" s="297"/>
      <c r="GF136" s="299">
        <f t="shared" si="1790"/>
        <v>16</v>
      </c>
      <c r="GG136" s="300" t="str">
        <f t="shared" ref="GG136:GI136" si="2031">IFERROR(VLOOKUP($R136,$A$13:$D$30,-GG$12,FALSE),"")</f>
        <v>Lainnya 2.3 (8) …….</v>
      </c>
      <c r="GH136" s="301" t="str">
        <f t="shared" si="2031"/>
        <v/>
      </c>
      <c r="GI136" s="301" t="str">
        <f t="shared" si="2031"/>
        <v/>
      </c>
      <c r="GJ136" s="294"/>
      <c r="GK136" s="294" t="str">
        <f t="shared" si="1713"/>
        <v/>
      </c>
      <c r="GL136" s="294">
        <f t="shared" si="1714"/>
        <v>0</v>
      </c>
      <c r="GM136" s="302"/>
      <c r="GN136" s="294">
        <f t="shared" si="1715"/>
        <v>0</v>
      </c>
      <c r="GO136" s="410"/>
      <c r="GP136" s="96"/>
      <c r="GQ136" s="96"/>
      <c r="GR136" s="294">
        <f t="shared" si="1716"/>
        <v>0</v>
      </c>
      <c r="GS136" s="302"/>
      <c r="GT136" s="303">
        <f t="shared" si="1718"/>
        <v>0</v>
      </c>
      <c r="GU136" s="304">
        <f t="shared" si="1719"/>
        <v>0</v>
      </c>
      <c r="GV136" s="297"/>
      <c r="GW136" s="299">
        <f t="shared" si="1792"/>
        <v>16</v>
      </c>
      <c r="GX136" s="300" t="str">
        <f t="shared" ref="GX136:GZ136" si="2032">IFERROR(VLOOKUP($R136,$A$13:$D$30,-GX$12,FALSE),"")</f>
        <v>Lainnya 2.3 (8) …….</v>
      </c>
      <c r="GY136" s="301" t="str">
        <f t="shared" si="2032"/>
        <v/>
      </c>
      <c r="GZ136" s="301" t="str">
        <f t="shared" si="2032"/>
        <v/>
      </c>
      <c r="HA136" s="294"/>
      <c r="HB136" s="294" t="str">
        <f t="shared" si="1721"/>
        <v/>
      </c>
      <c r="HC136" s="294">
        <f t="shared" si="1722"/>
        <v>0</v>
      </c>
      <c r="HD136" s="302"/>
      <c r="HE136" s="294">
        <f t="shared" si="1723"/>
        <v>0</v>
      </c>
      <c r="HF136" s="410"/>
      <c r="HG136" s="96"/>
      <c r="HH136" s="96"/>
      <c r="HI136" s="294">
        <f t="shared" si="1724"/>
        <v>0</v>
      </c>
      <c r="HJ136" s="302"/>
      <c r="HK136" s="303">
        <f t="shared" si="1726"/>
        <v>0</v>
      </c>
      <c r="HL136" s="304">
        <f t="shared" si="1727"/>
        <v>0</v>
      </c>
      <c r="HM136" s="297"/>
      <c r="HN136" s="299">
        <f t="shared" si="1794"/>
        <v>16</v>
      </c>
      <c r="HO136" s="300" t="str">
        <f t="shared" ref="HO136:HQ136" si="2033">IFERROR(VLOOKUP($R136,$A$13:$D$30,-HO$12,FALSE),"")</f>
        <v>Lainnya 2.3 (8) …….</v>
      </c>
      <c r="HP136" s="301" t="str">
        <f t="shared" si="2033"/>
        <v/>
      </c>
      <c r="HQ136" s="301" t="str">
        <f t="shared" si="2033"/>
        <v/>
      </c>
      <c r="HR136" s="294"/>
      <c r="HS136" s="294" t="str">
        <f t="shared" si="1729"/>
        <v/>
      </c>
      <c r="HT136" s="294">
        <f t="shared" si="1730"/>
        <v>0</v>
      </c>
      <c r="HU136" s="302"/>
      <c r="HV136" s="294">
        <f t="shared" si="1731"/>
        <v>0</v>
      </c>
      <c r="HW136" s="410"/>
      <c r="HX136" s="96"/>
      <c r="HY136" s="96"/>
      <c r="HZ136" s="294">
        <f t="shared" si="1732"/>
        <v>0</v>
      </c>
      <c r="IA136" s="302"/>
      <c r="IB136" s="303">
        <f t="shared" si="1734"/>
        <v>0</v>
      </c>
      <c r="IC136" s="304">
        <f t="shared" si="1735"/>
        <v>0</v>
      </c>
      <c r="ID136" s="297"/>
      <c r="IE136" s="299">
        <f t="shared" si="1796"/>
        <v>16</v>
      </c>
      <c r="IF136" s="300" t="str">
        <f t="shared" ref="IF136:IH136" si="2034">IFERROR(VLOOKUP($R136,$A$13:$D$30,-IF$12,FALSE),"")</f>
        <v>Lainnya 2.3 (8) …….</v>
      </c>
      <c r="IG136" s="301" t="str">
        <f t="shared" si="2034"/>
        <v/>
      </c>
      <c r="IH136" s="301" t="str">
        <f t="shared" si="2034"/>
        <v/>
      </c>
      <c r="II136" s="294"/>
      <c r="IJ136" s="294" t="str">
        <f t="shared" si="1737"/>
        <v/>
      </c>
      <c r="IK136" s="294">
        <f t="shared" si="1738"/>
        <v>0</v>
      </c>
      <c r="IL136" s="302"/>
      <c r="IM136" s="294">
        <f t="shared" si="1739"/>
        <v>0</v>
      </c>
      <c r="IN136" s="410"/>
      <c r="IO136" s="96"/>
      <c r="IP136" s="96"/>
      <c r="IQ136" s="294">
        <f t="shared" si="1740"/>
        <v>0</v>
      </c>
      <c r="IR136" s="302"/>
      <c r="IS136" s="303">
        <f t="shared" si="1742"/>
        <v>0</v>
      </c>
      <c r="IT136" s="304">
        <f t="shared" si="1743"/>
        <v>0</v>
      </c>
      <c r="IU136" s="297"/>
      <c r="IV136" s="299">
        <f t="shared" si="1798"/>
        <v>16</v>
      </c>
      <c r="IW136" s="300" t="str">
        <f t="shared" ref="IW136:IY136" si="2035">IFERROR(VLOOKUP($R136,$A$13:$D$30,-IW$12,FALSE),"")</f>
        <v>Lainnya 2.3 (8) …….</v>
      </c>
      <c r="IX136" s="301" t="str">
        <f t="shared" si="2035"/>
        <v/>
      </c>
      <c r="IY136" s="301" t="str">
        <f t="shared" si="2035"/>
        <v/>
      </c>
      <c r="IZ136" s="294"/>
      <c r="JA136" s="294" t="str">
        <f t="shared" si="1745"/>
        <v/>
      </c>
      <c r="JB136" s="294">
        <f t="shared" si="1746"/>
        <v>0</v>
      </c>
      <c r="JC136" s="302"/>
      <c r="JD136" s="294">
        <f t="shared" si="1747"/>
        <v>0</v>
      </c>
      <c r="JE136" s="410"/>
      <c r="JF136" s="96"/>
      <c r="JG136" s="96"/>
      <c r="JH136" s="294">
        <f t="shared" si="1748"/>
        <v>0</v>
      </c>
      <c r="JI136" s="302"/>
      <c r="JJ136" s="303">
        <f t="shared" si="1750"/>
        <v>0</v>
      </c>
      <c r="JK136" s="304">
        <f t="shared" si="1751"/>
        <v>0</v>
      </c>
      <c r="JL136" s="297"/>
      <c r="JM136" s="299">
        <f t="shared" si="1800"/>
        <v>16</v>
      </c>
      <c r="JN136" s="300" t="str">
        <f t="shared" ref="JN136:JP136" si="2036">IFERROR(VLOOKUP($R136,$A$13:$D$30,-JN$12,FALSE),"")</f>
        <v>Lainnya 2.3 (8) …….</v>
      </c>
      <c r="JO136" s="301" t="str">
        <f t="shared" si="2036"/>
        <v/>
      </c>
      <c r="JP136" s="301" t="str">
        <f t="shared" si="2036"/>
        <v/>
      </c>
      <c r="JQ136" s="294"/>
      <c r="JR136" s="294" t="str">
        <f t="shared" si="1753"/>
        <v/>
      </c>
      <c r="JS136" s="294">
        <f t="shared" si="1754"/>
        <v>0</v>
      </c>
      <c r="JT136" s="302"/>
      <c r="JU136" s="294">
        <f t="shared" si="1755"/>
        <v>0</v>
      </c>
      <c r="JV136" s="410"/>
      <c r="JW136" s="96"/>
      <c r="JX136" s="96"/>
      <c r="JY136" s="294">
        <f t="shared" si="1756"/>
        <v>0</v>
      </c>
      <c r="JZ136" s="302"/>
      <c r="KA136" s="303">
        <f t="shared" si="1758"/>
        <v>0</v>
      </c>
      <c r="KB136" s="304">
        <f t="shared" si="1759"/>
        <v>0</v>
      </c>
      <c r="KC136" s="297"/>
      <c r="KD136" s="299">
        <f t="shared" si="1802"/>
        <v>16</v>
      </c>
      <c r="KE136" s="300" t="str">
        <f t="shared" ref="KE136:KG136" si="2037">IFERROR(VLOOKUP($R136,$A$13:$D$30,-KE$12,FALSE),"")</f>
        <v>Lainnya 2.3 (8) …….</v>
      </c>
      <c r="KF136" s="301" t="str">
        <f t="shared" si="2037"/>
        <v/>
      </c>
      <c r="KG136" s="301" t="str">
        <f t="shared" si="2037"/>
        <v/>
      </c>
      <c r="KH136" s="294"/>
      <c r="KI136" s="294" t="str">
        <f t="shared" si="1761"/>
        <v/>
      </c>
      <c r="KJ136" s="294">
        <f t="shared" si="1762"/>
        <v>0</v>
      </c>
      <c r="KK136" s="302"/>
      <c r="KL136" s="294">
        <f t="shared" si="1763"/>
        <v>0</v>
      </c>
      <c r="KM136" s="410"/>
      <c r="KN136" s="96"/>
      <c r="KO136" s="96"/>
      <c r="KP136" s="294">
        <f t="shared" si="1764"/>
        <v>0</v>
      </c>
      <c r="KQ136" s="302"/>
      <c r="KR136" s="303">
        <f t="shared" si="1766"/>
        <v>0</v>
      </c>
      <c r="KS136" s="304">
        <f t="shared" si="1767"/>
        <v>0</v>
      </c>
      <c r="KT136" s="297"/>
      <c r="KU136" s="298"/>
    </row>
    <row r="137" ht="15.75" customHeight="1">
      <c r="A137" s="299">
        <f t="shared" si="1768"/>
        <v>17</v>
      </c>
      <c r="B137" s="300" t="str">
        <f t="shared" ref="B137:D137" si="2038">IFERROR(VLOOKUP($A137,$A$13:$D$30,-B$12,FALSE),"")</f>
        <v>Lainnya 2.3 (9) …….</v>
      </c>
      <c r="C137" s="301" t="str">
        <f t="shared" si="2038"/>
        <v/>
      </c>
      <c r="D137" s="301" t="str">
        <f t="shared" si="2038"/>
        <v/>
      </c>
      <c r="E137" s="294"/>
      <c r="F137" s="294" t="str">
        <f t="shared" si="1625"/>
        <v/>
      </c>
      <c r="G137" s="294">
        <f t="shared" si="1626"/>
        <v>0</v>
      </c>
      <c r="H137" s="302"/>
      <c r="I137" s="294">
        <f t="shared" si="1627"/>
        <v>0</v>
      </c>
      <c r="J137" s="410"/>
      <c r="K137" s="96"/>
      <c r="L137" s="96"/>
      <c r="M137" s="294">
        <f t="shared" si="1628"/>
        <v>0</v>
      </c>
      <c r="N137" s="302"/>
      <c r="O137" s="303">
        <f t="shared" si="1630"/>
        <v>0</v>
      </c>
      <c r="P137" s="304">
        <f t="shared" si="1631"/>
        <v>0</v>
      </c>
      <c r="Q137" s="297"/>
      <c r="R137" s="299">
        <f t="shared" si="1770"/>
        <v>17</v>
      </c>
      <c r="S137" s="300" t="str">
        <f t="shared" ref="S137:U137" si="2039">IFERROR(VLOOKUP($R137,$A$13:$D$30,-S$12,FALSE),"")</f>
        <v>Lainnya 2.3 (9) …….</v>
      </c>
      <c r="T137" s="301" t="str">
        <f t="shared" si="2039"/>
        <v/>
      </c>
      <c r="U137" s="301" t="str">
        <f t="shared" si="2039"/>
        <v/>
      </c>
      <c r="V137" s="294"/>
      <c r="W137" s="294" t="str">
        <f t="shared" si="1633"/>
        <v/>
      </c>
      <c r="X137" s="294">
        <f t="shared" si="1634"/>
        <v>0</v>
      </c>
      <c r="Y137" s="302"/>
      <c r="Z137" s="294">
        <f t="shared" si="1635"/>
        <v>0</v>
      </c>
      <c r="AA137" s="410"/>
      <c r="AB137" s="96"/>
      <c r="AC137" s="96"/>
      <c r="AD137" s="294">
        <f t="shared" si="1636"/>
        <v>0</v>
      </c>
      <c r="AE137" s="302"/>
      <c r="AF137" s="303">
        <f t="shared" si="1638"/>
        <v>0</v>
      </c>
      <c r="AG137" s="304">
        <f t="shared" si="1639"/>
        <v>0</v>
      </c>
      <c r="AH137" s="297"/>
      <c r="AI137" s="299">
        <f t="shared" si="1772"/>
        <v>17</v>
      </c>
      <c r="AJ137" s="300" t="str">
        <f t="shared" ref="AJ137:AL137" si="2040">IFERROR(VLOOKUP($R137,$A$13:$D$30,-AJ$12,FALSE),"")</f>
        <v>Lainnya 2.3 (9) …….</v>
      </c>
      <c r="AK137" s="301" t="str">
        <f t="shared" si="2040"/>
        <v/>
      </c>
      <c r="AL137" s="301" t="str">
        <f t="shared" si="2040"/>
        <v/>
      </c>
      <c r="AM137" s="294"/>
      <c r="AN137" s="294" t="str">
        <f t="shared" si="1641"/>
        <v/>
      </c>
      <c r="AO137" s="294">
        <f t="shared" si="1642"/>
        <v>0</v>
      </c>
      <c r="AP137" s="302"/>
      <c r="AQ137" s="294">
        <f t="shared" si="1643"/>
        <v>0</v>
      </c>
      <c r="AR137" s="410"/>
      <c r="AS137" s="96"/>
      <c r="AT137" s="96"/>
      <c r="AU137" s="294">
        <f t="shared" si="1644"/>
        <v>0</v>
      </c>
      <c r="AV137" s="302"/>
      <c r="AW137" s="303">
        <f t="shared" si="1646"/>
        <v>0</v>
      </c>
      <c r="AX137" s="304">
        <f t="shared" si="1647"/>
        <v>0</v>
      </c>
      <c r="AY137" s="297"/>
      <c r="AZ137" s="299">
        <f t="shared" si="1774"/>
        <v>17</v>
      </c>
      <c r="BA137" s="300" t="str">
        <f t="shared" ref="BA137:BC137" si="2041">IFERROR(VLOOKUP($R137,$A$13:$D$30,-BA$12,FALSE),"")</f>
        <v>Lainnya 2.3 (9) …….</v>
      </c>
      <c r="BB137" s="301" t="str">
        <f t="shared" si="2041"/>
        <v/>
      </c>
      <c r="BC137" s="301" t="str">
        <f t="shared" si="2041"/>
        <v/>
      </c>
      <c r="BD137" s="294"/>
      <c r="BE137" s="294" t="str">
        <f t="shared" si="1649"/>
        <v/>
      </c>
      <c r="BF137" s="294">
        <f t="shared" si="1650"/>
        <v>0</v>
      </c>
      <c r="BG137" s="302"/>
      <c r="BH137" s="294">
        <f t="shared" si="1651"/>
        <v>0</v>
      </c>
      <c r="BI137" s="410"/>
      <c r="BJ137" s="96"/>
      <c r="BK137" s="96"/>
      <c r="BL137" s="294">
        <f t="shared" si="1652"/>
        <v>0</v>
      </c>
      <c r="BM137" s="302"/>
      <c r="BN137" s="303">
        <f t="shared" si="1654"/>
        <v>0</v>
      </c>
      <c r="BO137" s="304">
        <f t="shared" si="1655"/>
        <v>0</v>
      </c>
      <c r="BP137" s="297"/>
      <c r="BQ137" s="299">
        <f t="shared" si="1776"/>
        <v>17</v>
      </c>
      <c r="BR137" s="300" t="str">
        <f t="shared" ref="BR137:BT137" si="2042">IFERROR(VLOOKUP($R137,$A$13:$D$30,-BR$12,FALSE),"")</f>
        <v>Lainnya 2.3 (9) …….</v>
      </c>
      <c r="BS137" s="301" t="str">
        <f t="shared" si="2042"/>
        <v/>
      </c>
      <c r="BT137" s="301" t="str">
        <f t="shared" si="2042"/>
        <v/>
      </c>
      <c r="BU137" s="294"/>
      <c r="BV137" s="294" t="str">
        <f t="shared" si="1657"/>
        <v/>
      </c>
      <c r="BW137" s="294">
        <f t="shared" si="1658"/>
        <v>0</v>
      </c>
      <c r="BX137" s="302"/>
      <c r="BY137" s="294">
        <f t="shared" si="1659"/>
        <v>0</v>
      </c>
      <c r="BZ137" s="410"/>
      <c r="CA137" s="96"/>
      <c r="CB137" s="96"/>
      <c r="CC137" s="294">
        <f t="shared" si="1660"/>
        <v>0</v>
      </c>
      <c r="CD137" s="302"/>
      <c r="CE137" s="303">
        <f t="shared" si="1662"/>
        <v>0</v>
      </c>
      <c r="CF137" s="304">
        <f t="shared" si="1663"/>
        <v>0</v>
      </c>
      <c r="CG137" s="297"/>
      <c r="CH137" s="299">
        <f t="shared" si="1778"/>
        <v>17</v>
      </c>
      <c r="CI137" s="300" t="str">
        <f t="shared" ref="CI137:CK137" si="2043">IFERROR(VLOOKUP($R137,$A$13:$D$30,-CI$12,FALSE),"")</f>
        <v>Lainnya 2.3 (9) …….</v>
      </c>
      <c r="CJ137" s="301" t="str">
        <f t="shared" si="2043"/>
        <v/>
      </c>
      <c r="CK137" s="301" t="str">
        <f t="shared" si="2043"/>
        <v/>
      </c>
      <c r="CL137" s="294"/>
      <c r="CM137" s="294" t="str">
        <f t="shared" si="1665"/>
        <v/>
      </c>
      <c r="CN137" s="294">
        <f t="shared" si="1666"/>
        <v>0</v>
      </c>
      <c r="CO137" s="302"/>
      <c r="CP137" s="294">
        <f t="shared" si="1667"/>
        <v>0</v>
      </c>
      <c r="CQ137" s="410"/>
      <c r="CR137" s="96"/>
      <c r="CS137" s="96"/>
      <c r="CT137" s="294">
        <f t="shared" si="1668"/>
        <v>0</v>
      </c>
      <c r="CU137" s="302"/>
      <c r="CV137" s="303">
        <f t="shared" si="1670"/>
        <v>0</v>
      </c>
      <c r="CW137" s="304">
        <f t="shared" si="1671"/>
        <v>0</v>
      </c>
      <c r="CX137" s="297"/>
      <c r="CY137" s="299">
        <f t="shared" si="1780"/>
        <v>17</v>
      </c>
      <c r="CZ137" s="300" t="str">
        <f t="shared" ref="CZ137:DB137" si="2044">IFERROR(VLOOKUP($R137,$A$13:$D$30,-CZ$12,FALSE),"")</f>
        <v>Lainnya 2.3 (9) …….</v>
      </c>
      <c r="DA137" s="301" t="str">
        <f t="shared" si="2044"/>
        <v/>
      </c>
      <c r="DB137" s="301" t="str">
        <f t="shared" si="2044"/>
        <v/>
      </c>
      <c r="DC137" s="294"/>
      <c r="DD137" s="294" t="str">
        <f t="shared" si="1673"/>
        <v/>
      </c>
      <c r="DE137" s="294">
        <f t="shared" si="1674"/>
        <v>0</v>
      </c>
      <c r="DF137" s="302"/>
      <c r="DG137" s="294">
        <f t="shared" si="1675"/>
        <v>0</v>
      </c>
      <c r="DH137" s="410"/>
      <c r="DI137" s="96"/>
      <c r="DJ137" s="96"/>
      <c r="DK137" s="294">
        <f t="shared" si="1676"/>
        <v>0</v>
      </c>
      <c r="DL137" s="302"/>
      <c r="DM137" s="303">
        <f t="shared" si="1678"/>
        <v>0</v>
      </c>
      <c r="DN137" s="304">
        <f t="shared" si="1679"/>
        <v>0</v>
      </c>
      <c r="DO137" s="297"/>
      <c r="DP137" s="299">
        <f t="shared" si="1782"/>
        <v>17</v>
      </c>
      <c r="DQ137" s="300" t="str">
        <f t="shared" ref="DQ137:DS137" si="2045">IFERROR(VLOOKUP($R137,$A$13:$D$30,-DQ$12,FALSE),"")</f>
        <v>Lainnya 2.3 (9) …….</v>
      </c>
      <c r="DR137" s="301" t="str">
        <f t="shared" si="2045"/>
        <v/>
      </c>
      <c r="DS137" s="301" t="str">
        <f t="shared" si="2045"/>
        <v/>
      </c>
      <c r="DT137" s="294"/>
      <c r="DU137" s="294" t="str">
        <f t="shared" si="1681"/>
        <v/>
      </c>
      <c r="DV137" s="294">
        <f t="shared" si="1682"/>
        <v>0</v>
      </c>
      <c r="DW137" s="302"/>
      <c r="DX137" s="294">
        <f t="shared" si="1683"/>
        <v>0</v>
      </c>
      <c r="DY137" s="410"/>
      <c r="DZ137" s="96"/>
      <c r="EA137" s="96"/>
      <c r="EB137" s="294">
        <f t="shared" si="1684"/>
        <v>0</v>
      </c>
      <c r="EC137" s="302"/>
      <c r="ED137" s="303">
        <f t="shared" si="1686"/>
        <v>0</v>
      </c>
      <c r="EE137" s="304">
        <f t="shared" si="1687"/>
        <v>0</v>
      </c>
      <c r="EF137" s="297"/>
      <c r="EG137" s="299">
        <f t="shared" si="1784"/>
        <v>17</v>
      </c>
      <c r="EH137" s="300" t="str">
        <f t="shared" ref="EH137:EJ137" si="2046">IFERROR(VLOOKUP($R137,$A$13:$D$30,-EH$12,FALSE),"")</f>
        <v>Lainnya 2.3 (9) …….</v>
      </c>
      <c r="EI137" s="301" t="str">
        <f t="shared" si="2046"/>
        <v/>
      </c>
      <c r="EJ137" s="301" t="str">
        <f t="shared" si="2046"/>
        <v/>
      </c>
      <c r="EK137" s="294"/>
      <c r="EL137" s="294" t="str">
        <f t="shared" si="1689"/>
        <v/>
      </c>
      <c r="EM137" s="294">
        <f t="shared" si="1690"/>
        <v>0</v>
      </c>
      <c r="EN137" s="302"/>
      <c r="EO137" s="294">
        <f t="shared" si="1691"/>
        <v>0</v>
      </c>
      <c r="EP137" s="410"/>
      <c r="EQ137" s="96"/>
      <c r="ER137" s="96"/>
      <c r="ES137" s="294">
        <f t="shared" si="1692"/>
        <v>0</v>
      </c>
      <c r="ET137" s="302"/>
      <c r="EU137" s="303">
        <f t="shared" si="1694"/>
        <v>0</v>
      </c>
      <c r="EV137" s="304">
        <f t="shared" si="1695"/>
        <v>0</v>
      </c>
      <c r="EW137" s="297"/>
      <c r="EX137" s="299">
        <f t="shared" si="1786"/>
        <v>17</v>
      </c>
      <c r="EY137" s="300" t="str">
        <f t="shared" ref="EY137:FA137" si="2047">IFERROR(VLOOKUP($R137,$A$13:$D$30,-EY$12,FALSE),"")</f>
        <v>Lainnya 2.3 (9) …….</v>
      </c>
      <c r="EZ137" s="301" t="str">
        <f t="shared" si="2047"/>
        <v/>
      </c>
      <c r="FA137" s="301" t="str">
        <f t="shared" si="2047"/>
        <v/>
      </c>
      <c r="FB137" s="294"/>
      <c r="FC137" s="294" t="str">
        <f t="shared" si="1697"/>
        <v/>
      </c>
      <c r="FD137" s="294">
        <f t="shared" si="1698"/>
        <v>0</v>
      </c>
      <c r="FE137" s="302"/>
      <c r="FF137" s="294">
        <f t="shared" si="1699"/>
        <v>0</v>
      </c>
      <c r="FG137" s="410"/>
      <c r="FH137" s="96"/>
      <c r="FI137" s="96"/>
      <c r="FJ137" s="294">
        <f t="shared" si="1700"/>
        <v>0</v>
      </c>
      <c r="FK137" s="302"/>
      <c r="FL137" s="303">
        <f t="shared" si="1702"/>
        <v>0</v>
      </c>
      <c r="FM137" s="304">
        <f t="shared" si="1703"/>
        <v>0</v>
      </c>
      <c r="FN137" s="297"/>
      <c r="FO137" s="299">
        <f t="shared" si="1788"/>
        <v>17</v>
      </c>
      <c r="FP137" s="300" t="str">
        <f t="shared" ref="FP137:FR137" si="2048">IFERROR(VLOOKUP($R137,$A$13:$D$30,-FP$12,FALSE),"")</f>
        <v>Lainnya 2.3 (9) …….</v>
      </c>
      <c r="FQ137" s="301" t="str">
        <f t="shared" si="2048"/>
        <v/>
      </c>
      <c r="FR137" s="301" t="str">
        <f t="shared" si="2048"/>
        <v/>
      </c>
      <c r="FS137" s="294"/>
      <c r="FT137" s="294" t="str">
        <f t="shared" si="1705"/>
        <v/>
      </c>
      <c r="FU137" s="294">
        <f t="shared" si="1706"/>
        <v>0</v>
      </c>
      <c r="FV137" s="302"/>
      <c r="FW137" s="294">
        <f t="shared" si="1707"/>
        <v>0</v>
      </c>
      <c r="FX137" s="410"/>
      <c r="FY137" s="96"/>
      <c r="FZ137" s="96"/>
      <c r="GA137" s="294">
        <f t="shared" si="1708"/>
        <v>0</v>
      </c>
      <c r="GB137" s="302"/>
      <c r="GC137" s="303">
        <f t="shared" si="1710"/>
        <v>0</v>
      </c>
      <c r="GD137" s="304">
        <f t="shared" si="1711"/>
        <v>0</v>
      </c>
      <c r="GE137" s="297"/>
      <c r="GF137" s="299">
        <f t="shared" si="1790"/>
        <v>17</v>
      </c>
      <c r="GG137" s="300" t="str">
        <f t="shared" ref="GG137:GI137" si="2049">IFERROR(VLOOKUP($R137,$A$13:$D$30,-GG$12,FALSE),"")</f>
        <v>Lainnya 2.3 (9) …….</v>
      </c>
      <c r="GH137" s="301" t="str">
        <f t="shared" si="2049"/>
        <v/>
      </c>
      <c r="GI137" s="301" t="str">
        <f t="shared" si="2049"/>
        <v/>
      </c>
      <c r="GJ137" s="294"/>
      <c r="GK137" s="294" t="str">
        <f t="shared" si="1713"/>
        <v/>
      </c>
      <c r="GL137" s="294">
        <f t="shared" si="1714"/>
        <v>0</v>
      </c>
      <c r="GM137" s="302"/>
      <c r="GN137" s="294">
        <f t="shared" si="1715"/>
        <v>0</v>
      </c>
      <c r="GO137" s="410"/>
      <c r="GP137" s="96"/>
      <c r="GQ137" s="96"/>
      <c r="GR137" s="294">
        <f t="shared" si="1716"/>
        <v>0</v>
      </c>
      <c r="GS137" s="302"/>
      <c r="GT137" s="303">
        <f t="shared" si="1718"/>
        <v>0</v>
      </c>
      <c r="GU137" s="304">
        <f t="shared" si="1719"/>
        <v>0</v>
      </c>
      <c r="GV137" s="297"/>
      <c r="GW137" s="299">
        <f t="shared" si="1792"/>
        <v>17</v>
      </c>
      <c r="GX137" s="300" t="str">
        <f t="shared" ref="GX137:GZ137" si="2050">IFERROR(VLOOKUP($R137,$A$13:$D$30,-GX$12,FALSE),"")</f>
        <v>Lainnya 2.3 (9) …….</v>
      </c>
      <c r="GY137" s="301" t="str">
        <f t="shared" si="2050"/>
        <v/>
      </c>
      <c r="GZ137" s="301" t="str">
        <f t="shared" si="2050"/>
        <v/>
      </c>
      <c r="HA137" s="294"/>
      <c r="HB137" s="294" t="str">
        <f t="shared" si="1721"/>
        <v/>
      </c>
      <c r="HC137" s="294">
        <f t="shared" si="1722"/>
        <v>0</v>
      </c>
      <c r="HD137" s="302"/>
      <c r="HE137" s="294">
        <f t="shared" si="1723"/>
        <v>0</v>
      </c>
      <c r="HF137" s="410"/>
      <c r="HG137" s="96"/>
      <c r="HH137" s="96"/>
      <c r="HI137" s="294">
        <f t="shared" si="1724"/>
        <v>0</v>
      </c>
      <c r="HJ137" s="302"/>
      <c r="HK137" s="303">
        <f t="shared" si="1726"/>
        <v>0</v>
      </c>
      <c r="HL137" s="304">
        <f t="shared" si="1727"/>
        <v>0</v>
      </c>
      <c r="HM137" s="297"/>
      <c r="HN137" s="299">
        <f t="shared" si="1794"/>
        <v>17</v>
      </c>
      <c r="HO137" s="300" t="str">
        <f t="shared" ref="HO137:HQ137" si="2051">IFERROR(VLOOKUP($R137,$A$13:$D$30,-HO$12,FALSE),"")</f>
        <v>Lainnya 2.3 (9) …….</v>
      </c>
      <c r="HP137" s="301" t="str">
        <f t="shared" si="2051"/>
        <v/>
      </c>
      <c r="HQ137" s="301" t="str">
        <f t="shared" si="2051"/>
        <v/>
      </c>
      <c r="HR137" s="294"/>
      <c r="HS137" s="294" t="str">
        <f t="shared" si="1729"/>
        <v/>
      </c>
      <c r="HT137" s="294">
        <f t="shared" si="1730"/>
        <v>0</v>
      </c>
      <c r="HU137" s="302"/>
      <c r="HV137" s="294">
        <f t="shared" si="1731"/>
        <v>0</v>
      </c>
      <c r="HW137" s="410"/>
      <c r="HX137" s="96"/>
      <c r="HY137" s="96"/>
      <c r="HZ137" s="294">
        <f t="shared" si="1732"/>
        <v>0</v>
      </c>
      <c r="IA137" s="302"/>
      <c r="IB137" s="303">
        <f t="shared" si="1734"/>
        <v>0</v>
      </c>
      <c r="IC137" s="304">
        <f t="shared" si="1735"/>
        <v>0</v>
      </c>
      <c r="ID137" s="297"/>
      <c r="IE137" s="299">
        <f t="shared" si="1796"/>
        <v>17</v>
      </c>
      <c r="IF137" s="300" t="str">
        <f t="shared" ref="IF137:IH137" si="2052">IFERROR(VLOOKUP($R137,$A$13:$D$30,-IF$12,FALSE),"")</f>
        <v>Lainnya 2.3 (9) …….</v>
      </c>
      <c r="IG137" s="301" t="str">
        <f t="shared" si="2052"/>
        <v/>
      </c>
      <c r="IH137" s="301" t="str">
        <f t="shared" si="2052"/>
        <v/>
      </c>
      <c r="II137" s="294"/>
      <c r="IJ137" s="294" t="str">
        <f t="shared" si="1737"/>
        <v/>
      </c>
      <c r="IK137" s="294">
        <f t="shared" si="1738"/>
        <v>0</v>
      </c>
      <c r="IL137" s="302"/>
      <c r="IM137" s="294">
        <f t="shared" si="1739"/>
        <v>0</v>
      </c>
      <c r="IN137" s="410"/>
      <c r="IO137" s="96"/>
      <c r="IP137" s="96"/>
      <c r="IQ137" s="294">
        <f t="shared" si="1740"/>
        <v>0</v>
      </c>
      <c r="IR137" s="302"/>
      <c r="IS137" s="303">
        <f t="shared" si="1742"/>
        <v>0</v>
      </c>
      <c r="IT137" s="304">
        <f t="shared" si="1743"/>
        <v>0</v>
      </c>
      <c r="IU137" s="297"/>
      <c r="IV137" s="299">
        <f t="shared" si="1798"/>
        <v>17</v>
      </c>
      <c r="IW137" s="300" t="str">
        <f t="shared" ref="IW137:IY137" si="2053">IFERROR(VLOOKUP($R137,$A$13:$D$30,-IW$12,FALSE),"")</f>
        <v>Lainnya 2.3 (9) …….</v>
      </c>
      <c r="IX137" s="301" t="str">
        <f t="shared" si="2053"/>
        <v/>
      </c>
      <c r="IY137" s="301" t="str">
        <f t="shared" si="2053"/>
        <v/>
      </c>
      <c r="IZ137" s="294"/>
      <c r="JA137" s="294" t="str">
        <f t="shared" si="1745"/>
        <v/>
      </c>
      <c r="JB137" s="294">
        <f t="shared" si="1746"/>
        <v>0</v>
      </c>
      <c r="JC137" s="302"/>
      <c r="JD137" s="294">
        <f t="shared" si="1747"/>
        <v>0</v>
      </c>
      <c r="JE137" s="410"/>
      <c r="JF137" s="96"/>
      <c r="JG137" s="96"/>
      <c r="JH137" s="294">
        <f t="shared" si="1748"/>
        <v>0</v>
      </c>
      <c r="JI137" s="302"/>
      <c r="JJ137" s="303">
        <f t="shared" si="1750"/>
        <v>0</v>
      </c>
      <c r="JK137" s="304">
        <f t="shared" si="1751"/>
        <v>0</v>
      </c>
      <c r="JL137" s="297"/>
      <c r="JM137" s="299">
        <f t="shared" si="1800"/>
        <v>17</v>
      </c>
      <c r="JN137" s="300" t="str">
        <f t="shared" ref="JN137:JP137" si="2054">IFERROR(VLOOKUP($R137,$A$13:$D$30,-JN$12,FALSE),"")</f>
        <v>Lainnya 2.3 (9) …….</v>
      </c>
      <c r="JO137" s="301" t="str">
        <f t="shared" si="2054"/>
        <v/>
      </c>
      <c r="JP137" s="301" t="str">
        <f t="shared" si="2054"/>
        <v/>
      </c>
      <c r="JQ137" s="294"/>
      <c r="JR137" s="294" t="str">
        <f t="shared" si="1753"/>
        <v/>
      </c>
      <c r="JS137" s="294">
        <f t="shared" si="1754"/>
        <v>0</v>
      </c>
      <c r="JT137" s="302"/>
      <c r="JU137" s="294">
        <f t="shared" si="1755"/>
        <v>0</v>
      </c>
      <c r="JV137" s="410"/>
      <c r="JW137" s="96"/>
      <c r="JX137" s="96"/>
      <c r="JY137" s="294">
        <f t="shared" si="1756"/>
        <v>0</v>
      </c>
      <c r="JZ137" s="302"/>
      <c r="KA137" s="303">
        <f t="shared" si="1758"/>
        <v>0</v>
      </c>
      <c r="KB137" s="304">
        <f t="shared" si="1759"/>
        <v>0</v>
      </c>
      <c r="KC137" s="297"/>
      <c r="KD137" s="299">
        <f t="shared" si="1802"/>
        <v>17</v>
      </c>
      <c r="KE137" s="300" t="str">
        <f t="shared" ref="KE137:KG137" si="2055">IFERROR(VLOOKUP($R137,$A$13:$D$30,-KE$12,FALSE),"")</f>
        <v>Lainnya 2.3 (9) …….</v>
      </c>
      <c r="KF137" s="301" t="str">
        <f t="shared" si="2055"/>
        <v/>
      </c>
      <c r="KG137" s="301" t="str">
        <f t="shared" si="2055"/>
        <v/>
      </c>
      <c r="KH137" s="294"/>
      <c r="KI137" s="294" t="str">
        <f t="shared" si="1761"/>
        <v/>
      </c>
      <c r="KJ137" s="294">
        <f t="shared" si="1762"/>
        <v>0</v>
      </c>
      <c r="KK137" s="302"/>
      <c r="KL137" s="294">
        <f t="shared" si="1763"/>
        <v>0</v>
      </c>
      <c r="KM137" s="410"/>
      <c r="KN137" s="96"/>
      <c r="KO137" s="96"/>
      <c r="KP137" s="294">
        <f t="shared" si="1764"/>
        <v>0</v>
      </c>
      <c r="KQ137" s="302"/>
      <c r="KR137" s="303">
        <f t="shared" si="1766"/>
        <v>0</v>
      </c>
      <c r="KS137" s="304">
        <f t="shared" si="1767"/>
        <v>0</v>
      </c>
      <c r="KT137" s="297"/>
      <c r="KU137" s="298"/>
    </row>
    <row r="138" ht="15.75" customHeight="1">
      <c r="A138" s="299"/>
      <c r="B138" s="300"/>
      <c r="C138" s="306"/>
      <c r="D138" s="306"/>
      <c r="E138" s="294"/>
      <c r="F138" s="294"/>
      <c r="G138" s="294"/>
      <c r="H138" s="294"/>
      <c r="I138" s="294"/>
      <c r="J138" s="96"/>
      <c r="K138" s="96"/>
      <c r="L138" s="96"/>
      <c r="M138" s="294"/>
      <c r="N138" s="294"/>
      <c r="O138" s="294"/>
      <c r="P138" s="304"/>
      <c r="Q138" s="297"/>
      <c r="R138" s="299"/>
      <c r="S138" s="300"/>
      <c r="T138" s="306"/>
      <c r="U138" s="306"/>
      <c r="V138" s="294"/>
      <c r="W138" s="294"/>
      <c r="X138" s="294"/>
      <c r="Y138" s="294"/>
      <c r="Z138" s="294"/>
      <c r="AA138" s="96"/>
      <c r="AB138" s="96"/>
      <c r="AC138" s="96"/>
      <c r="AD138" s="294"/>
      <c r="AE138" s="294"/>
      <c r="AF138" s="294"/>
      <c r="AG138" s="304"/>
      <c r="AH138" s="297"/>
      <c r="AI138" s="299"/>
      <c r="AJ138" s="300"/>
      <c r="AK138" s="306"/>
      <c r="AL138" s="306"/>
      <c r="AM138" s="294"/>
      <c r="AN138" s="294"/>
      <c r="AO138" s="294"/>
      <c r="AP138" s="294"/>
      <c r="AQ138" s="294"/>
      <c r="AR138" s="96"/>
      <c r="AS138" s="96"/>
      <c r="AT138" s="96"/>
      <c r="AU138" s="294"/>
      <c r="AV138" s="294"/>
      <c r="AW138" s="294"/>
      <c r="AX138" s="304"/>
      <c r="AY138" s="297"/>
      <c r="AZ138" s="299"/>
      <c r="BA138" s="300"/>
      <c r="BB138" s="306"/>
      <c r="BC138" s="306"/>
      <c r="BD138" s="294"/>
      <c r="BE138" s="294"/>
      <c r="BF138" s="294"/>
      <c r="BG138" s="294"/>
      <c r="BH138" s="294"/>
      <c r="BI138" s="96"/>
      <c r="BJ138" s="96"/>
      <c r="BK138" s="96"/>
      <c r="BL138" s="294"/>
      <c r="BM138" s="294"/>
      <c r="BN138" s="294"/>
      <c r="BO138" s="304"/>
      <c r="BP138" s="297"/>
      <c r="BQ138" s="299"/>
      <c r="BR138" s="300"/>
      <c r="BS138" s="306"/>
      <c r="BT138" s="306"/>
      <c r="BU138" s="294"/>
      <c r="BV138" s="294"/>
      <c r="BW138" s="294"/>
      <c r="BX138" s="294"/>
      <c r="BY138" s="294"/>
      <c r="BZ138" s="96"/>
      <c r="CA138" s="96"/>
      <c r="CB138" s="96"/>
      <c r="CC138" s="294"/>
      <c r="CD138" s="294"/>
      <c r="CE138" s="294"/>
      <c r="CF138" s="304"/>
      <c r="CG138" s="297"/>
      <c r="CH138" s="299"/>
      <c r="CI138" s="300"/>
      <c r="CJ138" s="306"/>
      <c r="CK138" s="306"/>
      <c r="CL138" s="294"/>
      <c r="CM138" s="294"/>
      <c r="CN138" s="294"/>
      <c r="CO138" s="294"/>
      <c r="CP138" s="294"/>
      <c r="CQ138" s="96"/>
      <c r="CR138" s="96"/>
      <c r="CS138" s="96"/>
      <c r="CT138" s="294"/>
      <c r="CU138" s="294"/>
      <c r="CV138" s="294"/>
      <c r="CW138" s="304"/>
      <c r="CX138" s="297"/>
      <c r="CY138" s="299"/>
      <c r="CZ138" s="300"/>
      <c r="DA138" s="306"/>
      <c r="DB138" s="306"/>
      <c r="DC138" s="294"/>
      <c r="DD138" s="294"/>
      <c r="DE138" s="294"/>
      <c r="DF138" s="294"/>
      <c r="DG138" s="294"/>
      <c r="DH138" s="96"/>
      <c r="DI138" s="96"/>
      <c r="DJ138" s="96"/>
      <c r="DK138" s="294"/>
      <c r="DL138" s="294"/>
      <c r="DM138" s="294"/>
      <c r="DN138" s="304"/>
      <c r="DO138" s="297"/>
      <c r="DP138" s="299"/>
      <c r="DQ138" s="300"/>
      <c r="DR138" s="306"/>
      <c r="DS138" s="306"/>
      <c r="DT138" s="294"/>
      <c r="DU138" s="294"/>
      <c r="DV138" s="294"/>
      <c r="DW138" s="294"/>
      <c r="DX138" s="294"/>
      <c r="DY138" s="96"/>
      <c r="DZ138" s="96"/>
      <c r="EA138" s="96"/>
      <c r="EB138" s="294"/>
      <c r="EC138" s="294"/>
      <c r="ED138" s="294"/>
      <c r="EE138" s="304"/>
      <c r="EF138" s="297"/>
      <c r="EG138" s="299"/>
      <c r="EH138" s="300"/>
      <c r="EI138" s="306"/>
      <c r="EJ138" s="306"/>
      <c r="EK138" s="294"/>
      <c r="EL138" s="294"/>
      <c r="EM138" s="294"/>
      <c r="EN138" s="294"/>
      <c r="EO138" s="294"/>
      <c r="EP138" s="96"/>
      <c r="EQ138" s="96"/>
      <c r="ER138" s="96"/>
      <c r="ES138" s="294"/>
      <c r="ET138" s="294"/>
      <c r="EU138" s="294"/>
      <c r="EV138" s="304"/>
      <c r="EW138" s="297"/>
      <c r="EX138" s="299"/>
      <c r="EY138" s="300"/>
      <c r="EZ138" s="306"/>
      <c r="FA138" s="306"/>
      <c r="FB138" s="294"/>
      <c r="FC138" s="294"/>
      <c r="FD138" s="294"/>
      <c r="FE138" s="294"/>
      <c r="FF138" s="294"/>
      <c r="FG138" s="96"/>
      <c r="FH138" s="96"/>
      <c r="FI138" s="96"/>
      <c r="FJ138" s="294"/>
      <c r="FK138" s="294"/>
      <c r="FL138" s="294"/>
      <c r="FM138" s="304"/>
      <c r="FN138" s="297"/>
      <c r="FO138" s="299"/>
      <c r="FP138" s="300"/>
      <c r="FQ138" s="306"/>
      <c r="FR138" s="306"/>
      <c r="FS138" s="294"/>
      <c r="FT138" s="294"/>
      <c r="FU138" s="294"/>
      <c r="FV138" s="294"/>
      <c r="FW138" s="294"/>
      <c r="FX138" s="96"/>
      <c r="FY138" s="96"/>
      <c r="FZ138" s="96"/>
      <c r="GA138" s="294"/>
      <c r="GB138" s="294"/>
      <c r="GC138" s="294"/>
      <c r="GD138" s="304"/>
      <c r="GE138" s="297"/>
      <c r="GF138" s="299"/>
      <c r="GG138" s="300"/>
      <c r="GH138" s="306"/>
      <c r="GI138" s="306"/>
      <c r="GJ138" s="294"/>
      <c r="GK138" s="294"/>
      <c r="GL138" s="294"/>
      <c r="GM138" s="294"/>
      <c r="GN138" s="294"/>
      <c r="GO138" s="96"/>
      <c r="GP138" s="96"/>
      <c r="GQ138" s="96"/>
      <c r="GR138" s="294"/>
      <c r="GS138" s="294"/>
      <c r="GT138" s="294"/>
      <c r="GU138" s="304"/>
      <c r="GV138" s="297"/>
      <c r="GW138" s="299"/>
      <c r="GX138" s="300"/>
      <c r="GY138" s="306"/>
      <c r="GZ138" s="306"/>
      <c r="HA138" s="294"/>
      <c r="HB138" s="294"/>
      <c r="HC138" s="294"/>
      <c r="HD138" s="294"/>
      <c r="HE138" s="294"/>
      <c r="HF138" s="96"/>
      <c r="HG138" s="96"/>
      <c r="HH138" s="96"/>
      <c r="HI138" s="294"/>
      <c r="HJ138" s="294"/>
      <c r="HK138" s="294"/>
      <c r="HL138" s="304"/>
      <c r="HM138" s="297"/>
      <c r="HN138" s="299"/>
      <c r="HO138" s="300"/>
      <c r="HP138" s="306"/>
      <c r="HQ138" s="306"/>
      <c r="HR138" s="294"/>
      <c r="HS138" s="294"/>
      <c r="HT138" s="294"/>
      <c r="HU138" s="294"/>
      <c r="HV138" s="294"/>
      <c r="HW138" s="96"/>
      <c r="HX138" s="96"/>
      <c r="HY138" s="96"/>
      <c r="HZ138" s="294"/>
      <c r="IA138" s="294"/>
      <c r="IB138" s="294"/>
      <c r="IC138" s="304"/>
      <c r="ID138" s="297"/>
      <c r="IE138" s="299"/>
      <c r="IF138" s="300"/>
      <c r="IG138" s="306"/>
      <c r="IH138" s="306"/>
      <c r="II138" s="294"/>
      <c r="IJ138" s="294"/>
      <c r="IK138" s="294"/>
      <c r="IL138" s="294"/>
      <c r="IM138" s="294"/>
      <c r="IN138" s="96"/>
      <c r="IO138" s="96"/>
      <c r="IP138" s="96"/>
      <c r="IQ138" s="294"/>
      <c r="IR138" s="294"/>
      <c r="IS138" s="294"/>
      <c r="IT138" s="304"/>
      <c r="IU138" s="297"/>
      <c r="IV138" s="299"/>
      <c r="IW138" s="300"/>
      <c r="IX138" s="306"/>
      <c r="IY138" s="306"/>
      <c r="IZ138" s="294"/>
      <c r="JA138" s="294"/>
      <c r="JB138" s="294"/>
      <c r="JC138" s="294"/>
      <c r="JD138" s="294"/>
      <c r="JE138" s="96"/>
      <c r="JF138" s="96"/>
      <c r="JG138" s="96"/>
      <c r="JH138" s="294"/>
      <c r="JI138" s="294"/>
      <c r="JJ138" s="294"/>
      <c r="JK138" s="304"/>
      <c r="JL138" s="297"/>
      <c r="JM138" s="299"/>
      <c r="JN138" s="300"/>
      <c r="JO138" s="306"/>
      <c r="JP138" s="306"/>
      <c r="JQ138" s="294"/>
      <c r="JR138" s="294"/>
      <c r="JS138" s="294"/>
      <c r="JT138" s="294"/>
      <c r="JU138" s="294"/>
      <c r="JV138" s="96"/>
      <c r="JW138" s="96"/>
      <c r="JX138" s="96"/>
      <c r="JY138" s="294"/>
      <c r="JZ138" s="294"/>
      <c r="KA138" s="294"/>
      <c r="KB138" s="304"/>
      <c r="KC138" s="297"/>
      <c r="KD138" s="299"/>
      <c r="KE138" s="300"/>
      <c r="KF138" s="306"/>
      <c r="KG138" s="306"/>
      <c r="KH138" s="294"/>
      <c r="KI138" s="294"/>
      <c r="KJ138" s="294"/>
      <c r="KK138" s="294"/>
      <c r="KL138" s="294"/>
      <c r="KM138" s="96"/>
      <c r="KN138" s="96"/>
      <c r="KO138" s="96"/>
      <c r="KP138" s="294"/>
      <c r="KQ138" s="294"/>
      <c r="KR138" s="294"/>
      <c r="KS138" s="304"/>
      <c r="KT138" s="297"/>
      <c r="KU138" s="298"/>
    </row>
    <row r="139" ht="15.75" customHeight="1">
      <c r="A139" s="307" t="s">
        <v>51</v>
      </c>
      <c r="B139" s="102"/>
      <c r="C139" s="308"/>
      <c r="D139" s="308"/>
      <c r="E139" s="309"/>
      <c r="F139" s="309"/>
      <c r="G139" s="310">
        <f>SUM(G121:G138)</f>
        <v>0</v>
      </c>
      <c r="H139" s="309"/>
      <c r="I139" s="310">
        <f>SUM(I121:I138)</f>
        <v>0</v>
      </c>
      <c r="J139" s="104"/>
      <c r="K139" s="104"/>
      <c r="L139" s="104"/>
      <c r="M139" s="310">
        <f>SUM(M121:M138)</f>
        <v>0</v>
      </c>
      <c r="N139" s="309"/>
      <c r="O139" s="310">
        <f t="shared" ref="O139:P139" si="2056">SUM(O121:O138)</f>
        <v>0</v>
      </c>
      <c r="P139" s="310">
        <f t="shared" si="2056"/>
        <v>0</v>
      </c>
      <c r="Q139" s="311"/>
      <c r="R139" s="307" t="s">
        <v>51</v>
      </c>
      <c r="S139" s="102"/>
      <c r="T139" s="308"/>
      <c r="U139" s="308"/>
      <c r="V139" s="309"/>
      <c r="W139" s="309"/>
      <c r="X139" s="310">
        <f>SUM(X121:X138)</f>
        <v>0</v>
      </c>
      <c r="Y139" s="309"/>
      <c r="Z139" s="310">
        <f>SUM(Z121:Z138)</f>
        <v>0</v>
      </c>
      <c r="AA139" s="104"/>
      <c r="AB139" s="104"/>
      <c r="AC139" s="104"/>
      <c r="AD139" s="310">
        <f>SUM(AD121:AD138)</f>
        <v>0</v>
      </c>
      <c r="AE139" s="309"/>
      <c r="AF139" s="310">
        <f t="shared" ref="AF139:AG139" si="2057">SUM(AF121:AF138)</f>
        <v>0</v>
      </c>
      <c r="AG139" s="310">
        <f t="shared" si="2057"/>
        <v>0</v>
      </c>
      <c r="AH139" s="311"/>
      <c r="AI139" s="307" t="s">
        <v>51</v>
      </c>
      <c r="AJ139" s="102"/>
      <c r="AK139" s="308"/>
      <c r="AL139" s="308"/>
      <c r="AM139" s="309"/>
      <c r="AN139" s="309"/>
      <c r="AO139" s="310">
        <f>SUM(AO121:AO138)</f>
        <v>0</v>
      </c>
      <c r="AP139" s="309"/>
      <c r="AQ139" s="310">
        <f>SUM(AQ121:AQ138)</f>
        <v>0</v>
      </c>
      <c r="AR139" s="104"/>
      <c r="AS139" s="104"/>
      <c r="AT139" s="104"/>
      <c r="AU139" s="310">
        <f>SUM(AU121:AU138)</f>
        <v>0</v>
      </c>
      <c r="AV139" s="309"/>
      <c r="AW139" s="310">
        <f t="shared" ref="AW139:AX139" si="2058">SUM(AW121:AW138)</f>
        <v>0</v>
      </c>
      <c r="AX139" s="310">
        <f t="shared" si="2058"/>
        <v>0</v>
      </c>
      <c r="AY139" s="311"/>
      <c r="AZ139" s="307" t="s">
        <v>51</v>
      </c>
      <c r="BA139" s="102"/>
      <c r="BB139" s="308"/>
      <c r="BC139" s="308"/>
      <c r="BD139" s="309"/>
      <c r="BE139" s="309"/>
      <c r="BF139" s="310">
        <f>SUM(BF121:BF138)</f>
        <v>0</v>
      </c>
      <c r="BG139" s="309"/>
      <c r="BH139" s="310">
        <f>SUM(BH121:BH138)</f>
        <v>0</v>
      </c>
      <c r="BI139" s="104"/>
      <c r="BJ139" s="104"/>
      <c r="BK139" s="104"/>
      <c r="BL139" s="310">
        <f>SUM(BL121:BL138)</f>
        <v>0</v>
      </c>
      <c r="BM139" s="309"/>
      <c r="BN139" s="310">
        <f t="shared" ref="BN139:BO139" si="2059">SUM(BN121:BN138)</f>
        <v>0</v>
      </c>
      <c r="BO139" s="310">
        <f t="shared" si="2059"/>
        <v>0</v>
      </c>
      <c r="BP139" s="311"/>
      <c r="BQ139" s="307" t="s">
        <v>51</v>
      </c>
      <c r="BR139" s="102"/>
      <c r="BS139" s="308"/>
      <c r="BT139" s="308"/>
      <c r="BU139" s="309"/>
      <c r="BV139" s="309"/>
      <c r="BW139" s="310">
        <f>SUM(BW121:BW138)</f>
        <v>0</v>
      </c>
      <c r="BX139" s="309"/>
      <c r="BY139" s="310">
        <f>SUM(BY121:BY138)</f>
        <v>0</v>
      </c>
      <c r="BZ139" s="104"/>
      <c r="CA139" s="104"/>
      <c r="CB139" s="104"/>
      <c r="CC139" s="310">
        <f>SUM(CC121:CC138)</f>
        <v>0</v>
      </c>
      <c r="CD139" s="309"/>
      <c r="CE139" s="310">
        <f t="shared" ref="CE139:CF139" si="2060">SUM(CE121:CE138)</f>
        <v>0</v>
      </c>
      <c r="CF139" s="310">
        <f t="shared" si="2060"/>
        <v>0</v>
      </c>
      <c r="CG139" s="311"/>
      <c r="CH139" s="307" t="s">
        <v>51</v>
      </c>
      <c r="CI139" s="102"/>
      <c r="CJ139" s="308"/>
      <c r="CK139" s="308"/>
      <c r="CL139" s="309"/>
      <c r="CM139" s="309"/>
      <c r="CN139" s="310">
        <f>SUM(CN121:CN138)</f>
        <v>0</v>
      </c>
      <c r="CO139" s="309"/>
      <c r="CP139" s="310">
        <f>SUM(CP121:CP138)</f>
        <v>0</v>
      </c>
      <c r="CQ139" s="104"/>
      <c r="CR139" s="104"/>
      <c r="CS139" s="104"/>
      <c r="CT139" s="310">
        <f>SUM(CT121:CT138)</f>
        <v>0</v>
      </c>
      <c r="CU139" s="309"/>
      <c r="CV139" s="310">
        <f t="shared" ref="CV139:CW139" si="2061">SUM(CV121:CV138)</f>
        <v>0</v>
      </c>
      <c r="CW139" s="310">
        <f t="shared" si="2061"/>
        <v>0</v>
      </c>
      <c r="CX139" s="311"/>
      <c r="CY139" s="307" t="s">
        <v>51</v>
      </c>
      <c r="CZ139" s="102"/>
      <c r="DA139" s="308"/>
      <c r="DB139" s="308"/>
      <c r="DC139" s="309"/>
      <c r="DD139" s="309"/>
      <c r="DE139" s="310">
        <f>SUM(DE121:DE138)</f>
        <v>0</v>
      </c>
      <c r="DF139" s="309"/>
      <c r="DG139" s="310">
        <f>SUM(DG121:DG138)</f>
        <v>0</v>
      </c>
      <c r="DH139" s="104"/>
      <c r="DI139" s="104"/>
      <c r="DJ139" s="104"/>
      <c r="DK139" s="310">
        <f>SUM(DK121:DK138)</f>
        <v>0</v>
      </c>
      <c r="DL139" s="309"/>
      <c r="DM139" s="310">
        <f t="shared" ref="DM139:DN139" si="2062">SUM(DM121:DM138)</f>
        <v>0</v>
      </c>
      <c r="DN139" s="310">
        <f t="shared" si="2062"/>
        <v>0</v>
      </c>
      <c r="DO139" s="311"/>
      <c r="DP139" s="307" t="s">
        <v>51</v>
      </c>
      <c r="DQ139" s="102"/>
      <c r="DR139" s="308"/>
      <c r="DS139" s="308"/>
      <c r="DT139" s="309"/>
      <c r="DU139" s="309"/>
      <c r="DV139" s="310">
        <f>SUM(DV121:DV138)</f>
        <v>0</v>
      </c>
      <c r="DW139" s="309"/>
      <c r="DX139" s="310">
        <f>SUM(DX121:DX138)</f>
        <v>0</v>
      </c>
      <c r="DY139" s="104"/>
      <c r="DZ139" s="104"/>
      <c r="EA139" s="104"/>
      <c r="EB139" s="310">
        <f>SUM(EB121:EB138)</f>
        <v>0</v>
      </c>
      <c r="EC139" s="309"/>
      <c r="ED139" s="310">
        <f t="shared" ref="ED139:EE139" si="2063">SUM(ED121:ED138)</f>
        <v>0</v>
      </c>
      <c r="EE139" s="310">
        <f t="shared" si="2063"/>
        <v>0</v>
      </c>
      <c r="EF139" s="311"/>
      <c r="EG139" s="307" t="s">
        <v>51</v>
      </c>
      <c r="EH139" s="102"/>
      <c r="EI139" s="308"/>
      <c r="EJ139" s="308"/>
      <c r="EK139" s="309"/>
      <c r="EL139" s="309"/>
      <c r="EM139" s="310">
        <f>SUM(EM121:EM138)</f>
        <v>0</v>
      </c>
      <c r="EN139" s="309"/>
      <c r="EO139" s="310">
        <f>SUM(EO121:EO138)</f>
        <v>0</v>
      </c>
      <c r="EP139" s="104"/>
      <c r="EQ139" s="104"/>
      <c r="ER139" s="104"/>
      <c r="ES139" s="310">
        <f>SUM(ES121:ES138)</f>
        <v>0</v>
      </c>
      <c r="ET139" s="309"/>
      <c r="EU139" s="310">
        <f t="shared" ref="EU139:EV139" si="2064">SUM(EU121:EU138)</f>
        <v>0</v>
      </c>
      <c r="EV139" s="310">
        <f t="shared" si="2064"/>
        <v>0</v>
      </c>
      <c r="EW139" s="311"/>
      <c r="EX139" s="307" t="s">
        <v>51</v>
      </c>
      <c r="EY139" s="102"/>
      <c r="EZ139" s="308"/>
      <c r="FA139" s="308"/>
      <c r="FB139" s="309"/>
      <c r="FC139" s="309"/>
      <c r="FD139" s="310">
        <f>SUM(FD121:FD138)</f>
        <v>0</v>
      </c>
      <c r="FE139" s="309"/>
      <c r="FF139" s="310">
        <f>SUM(FF121:FF138)</f>
        <v>0</v>
      </c>
      <c r="FG139" s="104"/>
      <c r="FH139" s="104"/>
      <c r="FI139" s="104"/>
      <c r="FJ139" s="310">
        <f>SUM(FJ121:FJ138)</f>
        <v>0</v>
      </c>
      <c r="FK139" s="309"/>
      <c r="FL139" s="310">
        <f t="shared" ref="FL139:FM139" si="2065">SUM(FL121:FL138)</f>
        <v>0</v>
      </c>
      <c r="FM139" s="310">
        <f t="shared" si="2065"/>
        <v>0</v>
      </c>
      <c r="FN139" s="311"/>
      <c r="FO139" s="307" t="s">
        <v>51</v>
      </c>
      <c r="FP139" s="102"/>
      <c r="FQ139" s="308"/>
      <c r="FR139" s="308"/>
      <c r="FS139" s="309"/>
      <c r="FT139" s="309"/>
      <c r="FU139" s="310">
        <f>SUM(FU121:FU138)</f>
        <v>970037.6492</v>
      </c>
      <c r="FV139" s="309"/>
      <c r="FW139" s="310">
        <f>SUM(FW121:FW138)</f>
        <v>0</v>
      </c>
      <c r="FX139" s="104"/>
      <c r="FY139" s="104"/>
      <c r="FZ139" s="104"/>
      <c r="GA139" s="310">
        <f>SUM(GA121:GA138)</f>
        <v>970037.6492</v>
      </c>
      <c r="GB139" s="309"/>
      <c r="GC139" s="310">
        <f t="shared" ref="GC139:GD139" si="2066">SUM(GC121:GC138)</f>
        <v>446651.0485</v>
      </c>
      <c r="GD139" s="310">
        <f t="shared" si="2066"/>
        <v>523386.6006</v>
      </c>
      <c r="GE139" s="311"/>
      <c r="GF139" s="307" t="s">
        <v>51</v>
      </c>
      <c r="GG139" s="102"/>
      <c r="GH139" s="308"/>
      <c r="GI139" s="308"/>
      <c r="GJ139" s="309"/>
      <c r="GK139" s="309"/>
      <c r="GL139" s="310">
        <f>SUM(GL121:GL138)</f>
        <v>1079657.254</v>
      </c>
      <c r="GM139" s="309"/>
      <c r="GN139" s="310">
        <f>SUM(GN121:GN138)</f>
        <v>0</v>
      </c>
      <c r="GO139" s="104"/>
      <c r="GP139" s="104"/>
      <c r="GQ139" s="104"/>
      <c r="GR139" s="310">
        <f>SUM(GR121:GR138)</f>
        <v>1079657.254</v>
      </c>
      <c r="GS139" s="309"/>
      <c r="GT139" s="310">
        <f t="shared" ref="GT139:GU139" si="2067">SUM(GT121:GT138)</f>
        <v>497125.0806</v>
      </c>
      <c r="GU139" s="310">
        <f t="shared" si="2067"/>
        <v>582532.1734</v>
      </c>
      <c r="GV139" s="311"/>
      <c r="GW139" s="307" t="s">
        <v>51</v>
      </c>
      <c r="GX139" s="102"/>
      <c r="GY139" s="308"/>
      <c r="GZ139" s="308"/>
      <c r="HA139" s="309"/>
      <c r="HB139" s="309"/>
      <c r="HC139" s="310">
        <f>SUM(HC121:HC138)</f>
        <v>1735340.229</v>
      </c>
      <c r="HD139" s="309"/>
      <c r="HE139" s="310">
        <f>SUM(HE121:HE138)</f>
        <v>1735340.229</v>
      </c>
      <c r="HF139" s="104"/>
      <c r="HG139" s="104"/>
      <c r="HH139" s="104"/>
      <c r="HI139" s="310">
        <f>SUM(HI121:HI138)</f>
        <v>3470680.459</v>
      </c>
      <c r="HJ139" s="309"/>
      <c r="HK139" s="310">
        <f t="shared" ref="HK139:HL139" si="2068">SUM(HK121:HK138)</f>
        <v>1598064.846</v>
      </c>
      <c r="HL139" s="310">
        <f t="shared" si="2068"/>
        <v>1872615.613</v>
      </c>
      <c r="HM139" s="311"/>
      <c r="HN139" s="307" t="s">
        <v>51</v>
      </c>
      <c r="HO139" s="102"/>
      <c r="HP139" s="308"/>
      <c r="HQ139" s="308"/>
      <c r="HR139" s="309"/>
      <c r="HS139" s="309"/>
      <c r="HT139" s="310">
        <f>SUM(HT121:HT138)</f>
        <v>2288806.284</v>
      </c>
      <c r="HU139" s="309"/>
      <c r="HV139" s="310">
        <f>SUM(HV121:HV138)</f>
        <v>0</v>
      </c>
      <c r="HW139" s="104"/>
      <c r="HX139" s="104"/>
      <c r="HY139" s="104"/>
      <c r="HZ139" s="310">
        <f>SUM(HZ121:HZ138)</f>
        <v>2288806.284</v>
      </c>
      <c r="IA139" s="309"/>
      <c r="IB139" s="310">
        <f t="shared" ref="IB139:IC139" si="2069">SUM(IB121:IB138)</f>
        <v>1053874.278</v>
      </c>
      <c r="IC139" s="310">
        <f t="shared" si="2069"/>
        <v>1234932.007</v>
      </c>
      <c r="ID139" s="311"/>
      <c r="IE139" s="307" t="s">
        <v>51</v>
      </c>
      <c r="IF139" s="102"/>
      <c r="IG139" s="308"/>
      <c r="IH139" s="308"/>
      <c r="II139" s="309"/>
      <c r="IJ139" s="309"/>
      <c r="IK139" s="310">
        <f>SUM(IK121:IK138)</f>
        <v>4469527.48</v>
      </c>
      <c r="IL139" s="309"/>
      <c r="IM139" s="310">
        <f>SUM(IM121:IM138)</f>
        <v>0</v>
      </c>
      <c r="IN139" s="104"/>
      <c r="IO139" s="104"/>
      <c r="IP139" s="104"/>
      <c r="IQ139" s="310">
        <f>SUM(IQ121:IQ138)</f>
        <v>4469527.48</v>
      </c>
      <c r="IR139" s="309"/>
      <c r="IS139" s="310">
        <f t="shared" ref="IS139:IT139" si="2070">SUM(IS121:IS138)</f>
        <v>2057981.087</v>
      </c>
      <c r="IT139" s="310">
        <f t="shared" si="2070"/>
        <v>2411546.393</v>
      </c>
      <c r="IU139" s="311"/>
      <c r="IV139" s="307" t="s">
        <v>51</v>
      </c>
      <c r="IW139" s="102"/>
      <c r="IX139" s="308"/>
      <c r="IY139" s="308"/>
      <c r="IZ139" s="309"/>
      <c r="JA139" s="309"/>
      <c r="JB139" s="310">
        <f>SUM(JB121:JB138)</f>
        <v>4569175.535</v>
      </c>
      <c r="JC139" s="309"/>
      <c r="JD139" s="310">
        <f>SUM(JD121:JD138)</f>
        <v>0</v>
      </c>
      <c r="JE139" s="104"/>
      <c r="JF139" s="104"/>
      <c r="JG139" s="104"/>
      <c r="JH139" s="310">
        <f>SUM(JH121:JH138)</f>
        <v>4569175.535</v>
      </c>
      <c r="JI139" s="309"/>
      <c r="JJ139" s="310">
        <f t="shared" ref="JJ139:JK139" si="2071">SUM(JJ121:JJ138)</f>
        <v>2103863.747</v>
      </c>
      <c r="JK139" s="310">
        <f t="shared" si="2071"/>
        <v>2465311.787</v>
      </c>
      <c r="JL139" s="311"/>
      <c r="JM139" s="307" t="s">
        <v>51</v>
      </c>
      <c r="JN139" s="102"/>
      <c r="JO139" s="308"/>
      <c r="JP139" s="308"/>
      <c r="JQ139" s="309"/>
      <c r="JR139" s="309"/>
      <c r="JS139" s="310">
        <f>SUM(JS121:JS138)</f>
        <v>0</v>
      </c>
      <c r="JT139" s="309"/>
      <c r="JU139" s="310">
        <f>SUM(JU121:JU138)</f>
        <v>0</v>
      </c>
      <c r="JV139" s="104"/>
      <c r="JW139" s="104"/>
      <c r="JX139" s="104"/>
      <c r="JY139" s="310">
        <f>SUM(JY121:JY138)</f>
        <v>0</v>
      </c>
      <c r="JZ139" s="309"/>
      <c r="KA139" s="310">
        <f t="shared" ref="KA139:KB139" si="2072">SUM(KA121:KA138)</f>
        <v>0</v>
      </c>
      <c r="KB139" s="310">
        <f t="shared" si="2072"/>
        <v>0</v>
      </c>
      <c r="KC139" s="311"/>
      <c r="KD139" s="307" t="s">
        <v>51</v>
      </c>
      <c r="KE139" s="102"/>
      <c r="KF139" s="308"/>
      <c r="KG139" s="308"/>
      <c r="KH139" s="309"/>
      <c r="KI139" s="309"/>
      <c r="KJ139" s="310">
        <f>SUM(KJ121:KJ138)</f>
        <v>0</v>
      </c>
      <c r="KK139" s="309"/>
      <c r="KL139" s="310">
        <f>SUM(KL121:KL138)</f>
        <v>0</v>
      </c>
      <c r="KM139" s="104"/>
      <c r="KN139" s="104"/>
      <c r="KO139" s="104"/>
      <c r="KP139" s="310">
        <f>SUM(KP121:KP138)</f>
        <v>0</v>
      </c>
      <c r="KQ139" s="309"/>
      <c r="KR139" s="310">
        <f t="shared" ref="KR139:KS139" si="2073">SUM(KR121:KR138)</f>
        <v>0</v>
      </c>
      <c r="KS139" s="310">
        <f t="shared" si="2073"/>
        <v>0</v>
      </c>
      <c r="KT139" s="311"/>
      <c r="KU139" s="312"/>
    </row>
    <row r="140" ht="15.75" customHeight="1">
      <c r="A140" s="299"/>
      <c r="B140" s="306"/>
      <c r="C140" s="306"/>
      <c r="D140" s="306"/>
      <c r="E140" s="294"/>
      <c r="F140" s="294"/>
      <c r="G140" s="294"/>
      <c r="H140" s="294"/>
      <c r="I140" s="294"/>
      <c r="J140" s="87"/>
      <c r="K140" s="87"/>
      <c r="L140" s="87"/>
      <c r="M140" s="294"/>
      <c r="N140" s="294"/>
      <c r="O140" s="303"/>
      <c r="P140" s="304"/>
      <c r="Q140" s="297"/>
      <c r="R140" s="299"/>
      <c r="S140" s="306"/>
      <c r="T140" s="306"/>
      <c r="U140" s="306"/>
      <c r="V140" s="294"/>
      <c r="W140" s="294"/>
      <c r="X140" s="294"/>
      <c r="Y140" s="294"/>
      <c r="Z140" s="294"/>
      <c r="AA140" s="87"/>
      <c r="AB140" s="87"/>
      <c r="AC140" s="87"/>
      <c r="AD140" s="294"/>
      <c r="AE140" s="294"/>
      <c r="AF140" s="303"/>
      <c r="AG140" s="304"/>
      <c r="AH140" s="297"/>
      <c r="AI140" s="299"/>
      <c r="AJ140" s="306"/>
      <c r="AK140" s="306"/>
      <c r="AL140" s="306"/>
      <c r="AM140" s="294"/>
      <c r="AN140" s="294"/>
      <c r="AO140" s="294"/>
      <c r="AP140" s="294"/>
      <c r="AQ140" s="294"/>
      <c r="AR140" s="87"/>
      <c r="AS140" s="87"/>
      <c r="AT140" s="87"/>
      <c r="AU140" s="294"/>
      <c r="AV140" s="294"/>
      <c r="AW140" s="303"/>
      <c r="AX140" s="304"/>
      <c r="AY140" s="297"/>
      <c r="AZ140" s="299"/>
      <c r="BA140" s="306"/>
      <c r="BB140" s="306"/>
      <c r="BC140" s="306"/>
      <c r="BD140" s="294"/>
      <c r="BE140" s="294"/>
      <c r="BF140" s="294"/>
      <c r="BG140" s="294"/>
      <c r="BH140" s="294"/>
      <c r="BI140" s="87"/>
      <c r="BJ140" s="87"/>
      <c r="BK140" s="87"/>
      <c r="BL140" s="294"/>
      <c r="BM140" s="294"/>
      <c r="BN140" s="303"/>
      <c r="BO140" s="304"/>
      <c r="BP140" s="297"/>
      <c r="BQ140" s="299"/>
      <c r="BR140" s="306"/>
      <c r="BS140" s="306"/>
      <c r="BT140" s="306"/>
      <c r="BU140" s="294"/>
      <c r="BV140" s="294"/>
      <c r="BW140" s="294"/>
      <c r="BX140" s="294"/>
      <c r="BY140" s="294"/>
      <c r="BZ140" s="87"/>
      <c r="CA140" s="87"/>
      <c r="CB140" s="87"/>
      <c r="CC140" s="294"/>
      <c r="CD140" s="294"/>
      <c r="CE140" s="303"/>
      <c r="CF140" s="304"/>
      <c r="CG140" s="297"/>
      <c r="CH140" s="299"/>
      <c r="CI140" s="306"/>
      <c r="CJ140" s="306"/>
      <c r="CK140" s="306"/>
      <c r="CL140" s="294"/>
      <c r="CM140" s="294"/>
      <c r="CN140" s="294"/>
      <c r="CO140" s="294"/>
      <c r="CP140" s="294"/>
      <c r="CQ140" s="87"/>
      <c r="CR140" s="87"/>
      <c r="CS140" s="87"/>
      <c r="CT140" s="294"/>
      <c r="CU140" s="294"/>
      <c r="CV140" s="303"/>
      <c r="CW140" s="304"/>
      <c r="CX140" s="297"/>
      <c r="CY140" s="299"/>
      <c r="CZ140" s="306"/>
      <c r="DA140" s="306"/>
      <c r="DB140" s="306"/>
      <c r="DC140" s="294"/>
      <c r="DD140" s="294"/>
      <c r="DE140" s="294"/>
      <c r="DF140" s="294"/>
      <c r="DG140" s="294"/>
      <c r="DH140" s="87"/>
      <c r="DI140" s="87"/>
      <c r="DJ140" s="87"/>
      <c r="DK140" s="294"/>
      <c r="DL140" s="294"/>
      <c r="DM140" s="303"/>
      <c r="DN140" s="304"/>
      <c r="DO140" s="297"/>
      <c r="DP140" s="299"/>
      <c r="DQ140" s="306"/>
      <c r="DR140" s="306"/>
      <c r="DS140" s="306"/>
      <c r="DT140" s="294"/>
      <c r="DU140" s="294"/>
      <c r="DV140" s="294"/>
      <c r="DW140" s="294"/>
      <c r="DX140" s="294"/>
      <c r="DY140" s="87"/>
      <c r="DZ140" s="87"/>
      <c r="EA140" s="87"/>
      <c r="EB140" s="294"/>
      <c r="EC140" s="294"/>
      <c r="ED140" s="303"/>
      <c r="EE140" s="304"/>
      <c r="EF140" s="297"/>
      <c r="EG140" s="299"/>
      <c r="EH140" s="306"/>
      <c r="EI140" s="306"/>
      <c r="EJ140" s="306"/>
      <c r="EK140" s="294"/>
      <c r="EL140" s="294"/>
      <c r="EM140" s="294"/>
      <c r="EN140" s="294"/>
      <c r="EO140" s="294"/>
      <c r="EP140" s="87"/>
      <c r="EQ140" s="87"/>
      <c r="ER140" s="87"/>
      <c r="ES140" s="294"/>
      <c r="ET140" s="294"/>
      <c r="EU140" s="303"/>
      <c r="EV140" s="304"/>
      <c r="EW140" s="297"/>
      <c r="EX140" s="299"/>
      <c r="EY140" s="306"/>
      <c r="EZ140" s="306"/>
      <c r="FA140" s="306"/>
      <c r="FB140" s="294"/>
      <c r="FC140" s="294"/>
      <c r="FD140" s="294"/>
      <c r="FE140" s="294"/>
      <c r="FF140" s="294"/>
      <c r="FG140" s="87"/>
      <c r="FH140" s="87"/>
      <c r="FI140" s="87"/>
      <c r="FJ140" s="294"/>
      <c r="FK140" s="294"/>
      <c r="FL140" s="303"/>
      <c r="FM140" s="304"/>
      <c r="FN140" s="297"/>
      <c r="FO140" s="299"/>
      <c r="FP140" s="306"/>
      <c r="FQ140" s="306"/>
      <c r="FR140" s="306"/>
      <c r="FS140" s="294"/>
      <c r="FT140" s="294"/>
      <c r="FU140" s="294"/>
      <c r="FV140" s="294"/>
      <c r="FW140" s="294"/>
      <c r="FX140" s="87"/>
      <c r="FY140" s="87"/>
      <c r="FZ140" s="87"/>
      <c r="GA140" s="294"/>
      <c r="GB140" s="294"/>
      <c r="GC140" s="303"/>
      <c r="GD140" s="304"/>
      <c r="GE140" s="297"/>
      <c r="GF140" s="299"/>
      <c r="GG140" s="306"/>
      <c r="GH140" s="306"/>
      <c r="GI140" s="306"/>
      <c r="GJ140" s="294"/>
      <c r="GK140" s="294"/>
      <c r="GL140" s="294"/>
      <c r="GM140" s="294"/>
      <c r="GN140" s="294"/>
      <c r="GO140" s="87"/>
      <c r="GP140" s="87"/>
      <c r="GQ140" s="87"/>
      <c r="GR140" s="294"/>
      <c r="GS140" s="294"/>
      <c r="GT140" s="303"/>
      <c r="GU140" s="304"/>
      <c r="GV140" s="297"/>
      <c r="GW140" s="299"/>
      <c r="GX140" s="306"/>
      <c r="GY140" s="306"/>
      <c r="GZ140" s="306"/>
      <c r="HA140" s="294"/>
      <c r="HB140" s="294"/>
      <c r="HC140" s="294"/>
      <c r="HD140" s="294"/>
      <c r="HE140" s="294"/>
      <c r="HF140" s="87"/>
      <c r="HG140" s="87"/>
      <c r="HH140" s="87"/>
      <c r="HI140" s="294"/>
      <c r="HJ140" s="294"/>
      <c r="HK140" s="303"/>
      <c r="HL140" s="304"/>
      <c r="HM140" s="297"/>
      <c r="HN140" s="299"/>
      <c r="HO140" s="306"/>
      <c r="HP140" s="306"/>
      <c r="HQ140" s="306"/>
      <c r="HR140" s="294"/>
      <c r="HS140" s="294"/>
      <c r="HT140" s="294"/>
      <c r="HU140" s="294"/>
      <c r="HV140" s="294"/>
      <c r="HW140" s="87"/>
      <c r="HX140" s="87"/>
      <c r="HY140" s="87"/>
      <c r="HZ140" s="294"/>
      <c r="IA140" s="294"/>
      <c r="IB140" s="303"/>
      <c r="IC140" s="304"/>
      <c r="ID140" s="297"/>
      <c r="IE140" s="299"/>
      <c r="IF140" s="306"/>
      <c r="IG140" s="306"/>
      <c r="IH140" s="306"/>
      <c r="II140" s="294"/>
      <c r="IJ140" s="294"/>
      <c r="IK140" s="294"/>
      <c r="IL140" s="294"/>
      <c r="IM140" s="294"/>
      <c r="IN140" s="87"/>
      <c r="IO140" s="87"/>
      <c r="IP140" s="87"/>
      <c r="IQ140" s="294"/>
      <c r="IR140" s="294"/>
      <c r="IS140" s="303"/>
      <c r="IT140" s="304"/>
      <c r="IU140" s="297"/>
      <c r="IV140" s="299"/>
      <c r="IW140" s="306"/>
      <c r="IX140" s="306"/>
      <c r="IY140" s="306"/>
      <c r="IZ140" s="294"/>
      <c r="JA140" s="294"/>
      <c r="JB140" s="294"/>
      <c r="JC140" s="294"/>
      <c r="JD140" s="294"/>
      <c r="JE140" s="87"/>
      <c r="JF140" s="87"/>
      <c r="JG140" s="87"/>
      <c r="JH140" s="294"/>
      <c r="JI140" s="294"/>
      <c r="JJ140" s="303"/>
      <c r="JK140" s="304"/>
      <c r="JL140" s="297"/>
      <c r="JM140" s="299"/>
      <c r="JN140" s="306"/>
      <c r="JO140" s="306"/>
      <c r="JP140" s="306"/>
      <c r="JQ140" s="294"/>
      <c r="JR140" s="294"/>
      <c r="JS140" s="294"/>
      <c r="JT140" s="294"/>
      <c r="JU140" s="294"/>
      <c r="JV140" s="87"/>
      <c r="JW140" s="87"/>
      <c r="JX140" s="87"/>
      <c r="JY140" s="294"/>
      <c r="JZ140" s="294"/>
      <c r="KA140" s="303"/>
      <c r="KB140" s="304"/>
      <c r="KC140" s="297"/>
      <c r="KD140" s="299"/>
      <c r="KE140" s="306"/>
      <c r="KF140" s="306"/>
      <c r="KG140" s="306"/>
      <c r="KH140" s="294"/>
      <c r="KI140" s="294"/>
      <c r="KJ140" s="294"/>
      <c r="KK140" s="294"/>
      <c r="KL140" s="294"/>
      <c r="KM140" s="87"/>
      <c r="KN140" s="87"/>
      <c r="KO140" s="87"/>
      <c r="KP140" s="294"/>
      <c r="KQ140" s="294"/>
      <c r="KR140" s="303"/>
      <c r="KS140" s="304"/>
      <c r="KT140" s="297"/>
      <c r="KU140" s="298"/>
    </row>
    <row r="141" ht="15.75" customHeight="1">
      <c r="A141" s="299"/>
      <c r="B141" s="313" t="str">
        <f>"Output Sekunder "&amp;" %"</f>
        <v>Output Sekunder  %</v>
      </c>
      <c r="C141" s="314"/>
      <c r="D141" s="314"/>
      <c r="E141" s="294"/>
      <c r="F141" s="315"/>
      <c r="G141" s="315"/>
      <c r="H141" s="315"/>
      <c r="I141" s="315"/>
      <c r="J141" s="110"/>
      <c r="K141" s="110"/>
      <c r="L141" s="110"/>
      <c r="M141" s="316">
        <f>E141/100*M139</f>
        <v>0</v>
      </c>
      <c r="N141" s="315"/>
      <c r="O141" s="315"/>
      <c r="P141" s="317">
        <f t="shared" ref="P141:P142" si="2074">M141</f>
        <v>0</v>
      </c>
      <c r="Q141" s="297"/>
      <c r="R141" s="299"/>
      <c r="S141" s="313" t="str">
        <f>"Output Sekunder "&amp;" %"</f>
        <v>Output Sekunder  %</v>
      </c>
      <c r="T141" s="314"/>
      <c r="U141" s="314"/>
      <c r="V141" s="294"/>
      <c r="W141" s="315"/>
      <c r="X141" s="315"/>
      <c r="Y141" s="315"/>
      <c r="Z141" s="315"/>
      <c r="AA141" s="110"/>
      <c r="AB141" s="110"/>
      <c r="AC141" s="110"/>
      <c r="AD141" s="316">
        <f>V141/100*AD139</f>
        <v>0</v>
      </c>
      <c r="AE141" s="315"/>
      <c r="AF141" s="315"/>
      <c r="AG141" s="317">
        <f t="shared" ref="AG141:AG142" si="2075">AD141</f>
        <v>0</v>
      </c>
      <c r="AH141" s="297"/>
      <c r="AI141" s="299"/>
      <c r="AJ141" s="313" t="str">
        <f>"Output Sekunder "&amp;" %"</f>
        <v>Output Sekunder  %</v>
      </c>
      <c r="AK141" s="314"/>
      <c r="AL141" s="314"/>
      <c r="AM141" s="294"/>
      <c r="AN141" s="315"/>
      <c r="AO141" s="315"/>
      <c r="AP141" s="315"/>
      <c r="AQ141" s="315"/>
      <c r="AR141" s="110"/>
      <c r="AS141" s="110"/>
      <c r="AT141" s="110"/>
      <c r="AU141" s="316">
        <f>AM141/100*AU139</f>
        <v>0</v>
      </c>
      <c r="AV141" s="315"/>
      <c r="AW141" s="315"/>
      <c r="AX141" s="317">
        <f t="shared" ref="AX141:AX142" si="2076">AU141</f>
        <v>0</v>
      </c>
      <c r="AY141" s="297"/>
      <c r="AZ141" s="299"/>
      <c r="BA141" s="313" t="str">
        <f>"Output Sekunder "&amp;" %"</f>
        <v>Output Sekunder  %</v>
      </c>
      <c r="BB141" s="314"/>
      <c r="BC141" s="314"/>
      <c r="BD141" s="294"/>
      <c r="BE141" s="315"/>
      <c r="BF141" s="315"/>
      <c r="BG141" s="315"/>
      <c r="BH141" s="315"/>
      <c r="BI141" s="110"/>
      <c r="BJ141" s="110"/>
      <c r="BK141" s="110"/>
      <c r="BL141" s="316">
        <f>BD141/100*BL139</f>
        <v>0</v>
      </c>
      <c r="BM141" s="315"/>
      <c r="BN141" s="315"/>
      <c r="BO141" s="317">
        <f t="shared" ref="BO141:BO142" si="2077">BL141</f>
        <v>0</v>
      </c>
      <c r="BP141" s="297"/>
      <c r="BQ141" s="299"/>
      <c r="BR141" s="313" t="str">
        <f>"Output Sekunder "&amp;" %"</f>
        <v>Output Sekunder  %</v>
      </c>
      <c r="BS141" s="314"/>
      <c r="BT141" s="314"/>
      <c r="BU141" s="294"/>
      <c r="BV141" s="315"/>
      <c r="BW141" s="315"/>
      <c r="BX141" s="315"/>
      <c r="BY141" s="315"/>
      <c r="BZ141" s="110"/>
      <c r="CA141" s="110"/>
      <c r="CB141" s="110"/>
      <c r="CC141" s="316">
        <f>BU141/100*CC139</f>
        <v>0</v>
      </c>
      <c r="CD141" s="315"/>
      <c r="CE141" s="315"/>
      <c r="CF141" s="317">
        <f t="shared" ref="CF141:CF142" si="2078">CC141</f>
        <v>0</v>
      </c>
      <c r="CG141" s="297"/>
      <c r="CH141" s="299"/>
      <c r="CI141" s="313" t="str">
        <f>"Output Sekunder "&amp;" %"</f>
        <v>Output Sekunder  %</v>
      </c>
      <c r="CJ141" s="314"/>
      <c r="CK141" s="314"/>
      <c r="CL141" s="294"/>
      <c r="CM141" s="315"/>
      <c r="CN141" s="315"/>
      <c r="CO141" s="315"/>
      <c r="CP141" s="315"/>
      <c r="CQ141" s="110"/>
      <c r="CR141" s="110"/>
      <c r="CS141" s="110"/>
      <c r="CT141" s="316">
        <f>CL141/100*CT139</f>
        <v>0</v>
      </c>
      <c r="CU141" s="315"/>
      <c r="CV141" s="315"/>
      <c r="CW141" s="317">
        <f t="shared" ref="CW141:CW142" si="2079">CT141</f>
        <v>0</v>
      </c>
      <c r="CX141" s="297"/>
      <c r="CY141" s="299"/>
      <c r="CZ141" s="313" t="str">
        <f>"Output Sekunder "&amp;" %"</f>
        <v>Output Sekunder  %</v>
      </c>
      <c r="DA141" s="314"/>
      <c r="DB141" s="314"/>
      <c r="DC141" s="294"/>
      <c r="DD141" s="315"/>
      <c r="DE141" s="315"/>
      <c r="DF141" s="315"/>
      <c r="DG141" s="315"/>
      <c r="DH141" s="110"/>
      <c r="DI141" s="110"/>
      <c r="DJ141" s="110"/>
      <c r="DK141" s="316">
        <f>DC141/100*DK139</f>
        <v>0</v>
      </c>
      <c r="DL141" s="315"/>
      <c r="DM141" s="315"/>
      <c r="DN141" s="317">
        <f t="shared" ref="DN141:DN142" si="2080">DK141</f>
        <v>0</v>
      </c>
      <c r="DO141" s="297"/>
      <c r="DP141" s="299"/>
      <c r="DQ141" s="313" t="str">
        <f>"Output Sekunder "&amp;" %"</f>
        <v>Output Sekunder  %</v>
      </c>
      <c r="DR141" s="314"/>
      <c r="DS141" s="314"/>
      <c r="DT141" s="294"/>
      <c r="DU141" s="315"/>
      <c r="DV141" s="315"/>
      <c r="DW141" s="315"/>
      <c r="DX141" s="315"/>
      <c r="DY141" s="110"/>
      <c r="DZ141" s="110"/>
      <c r="EA141" s="110"/>
      <c r="EB141" s="316">
        <f>DT141/100*EB139</f>
        <v>0</v>
      </c>
      <c r="EC141" s="315"/>
      <c r="ED141" s="315"/>
      <c r="EE141" s="317">
        <f t="shared" ref="EE141:EE142" si="2081">EB141</f>
        <v>0</v>
      </c>
      <c r="EF141" s="297"/>
      <c r="EG141" s="299"/>
      <c r="EH141" s="313" t="str">
        <f>"Output Sekunder "&amp;" %"</f>
        <v>Output Sekunder  %</v>
      </c>
      <c r="EI141" s="314"/>
      <c r="EJ141" s="314"/>
      <c r="EK141" s="294"/>
      <c r="EL141" s="315"/>
      <c r="EM141" s="315"/>
      <c r="EN141" s="315"/>
      <c r="EO141" s="315"/>
      <c r="EP141" s="110"/>
      <c r="EQ141" s="110"/>
      <c r="ER141" s="110"/>
      <c r="ES141" s="316">
        <f>EK141/100*ES139</f>
        <v>0</v>
      </c>
      <c r="ET141" s="315"/>
      <c r="EU141" s="315"/>
      <c r="EV141" s="317">
        <f t="shared" ref="EV141:EV142" si="2082">ES141</f>
        <v>0</v>
      </c>
      <c r="EW141" s="297"/>
      <c r="EX141" s="299"/>
      <c r="EY141" s="313" t="str">
        <f>"Output Sekunder "&amp;" %"</f>
        <v>Output Sekunder  %</v>
      </c>
      <c r="EZ141" s="314"/>
      <c r="FA141" s="314"/>
      <c r="FB141" s="294"/>
      <c r="FC141" s="315"/>
      <c r="FD141" s="315"/>
      <c r="FE141" s="315"/>
      <c r="FF141" s="315"/>
      <c r="FG141" s="110"/>
      <c r="FH141" s="110"/>
      <c r="FI141" s="110"/>
      <c r="FJ141" s="316">
        <f>FB141/100*FJ139</f>
        <v>0</v>
      </c>
      <c r="FK141" s="315"/>
      <c r="FL141" s="315"/>
      <c r="FM141" s="317">
        <f t="shared" ref="FM141:FM142" si="2083">FJ141</f>
        <v>0</v>
      </c>
      <c r="FN141" s="297"/>
      <c r="FO141" s="299"/>
      <c r="FP141" s="313" t="str">
        <f>"Output Sekunder "&amp;" %"</f>
        <v>Output Sekunder  %</v>
      </c>
      <c r="FQ141" s="314"/>
      <c r="FR141" s="314"/>
      <c r="FS141" s="294"/>
      <c r="FT141" s="315"/>
      <c r="FU141" s="315"/>
      <c r="FV141" s="315"/>
      <c r="FW141" s="315"/>
      <c r="FX141" s="110"/>
      <c r="FY141" s="110"/>
      <c r="FZ141" s="110"/>
      <c r="GA141" s="316">
        <f>FS141/100*GA139</f>
        <v>0</v>
      </c>
      <c r="GB141" s="315"/>
      <c r="GC141" s="315"/>
      <c r="GD141" s="317">
        <f t="shared" ref="GD141:GD142" si="2084">GA141</f>
        <v>0</v>
      </c>
      <c r="GE141" s="297"/>
      <c r="GF141" s="299"/>
      <c r="GG141" s="313" t="str">
        <f>"Output Sekunder "&amp;" %"</f>
        <v>Output Sekunder  %</v>
      </c>
      <c r="GH141" s="314"/>
      <c r="GI141" s="314"/>
      <c r="GJ141" s="294"/>
      <c r="GK141" s="315"/>
      <c r="GL141" s="315"/>
      <c r="GM141" s="315"/>
      <c r="GN141" s="315"/>
      <c r="GO141" s="110"/>
      <c r="GP141" s="110"/>
      <c r="GQ141" s="110"/>
      <c r="GR141" s="316">
        <f>GJ141/100*GR139</f>
        <v>0</v>
      </c>
      <c r="GS141" s="315"/>
      <c r="GT141" s="315"/>
      <c r="GU141" s="317">
        <f t="shared" ref="GU141:GU142" si="2085">GR141</f>
        <v>0</v>
      </c>
      <c r="GV141" s="297"/>
      <c r="GW141" s="299"/>
      <c r="GX141" s="313" t="str">
        <f>"Output Sekunder "&amp;" %"</f>
        <v>Output Sekunder  %</v>
      </c>
      <c r="GY141" s="314"/>
      <c r="GZ141" s="314"/>
      <c r="HA141" s="294"/>
      <c r="HB141" s="315"/>
      <c r="HC141" s="315"/>
      <c r="HD141" s="315"/>
      <c r="HE141" s="315"/>
      <c r="HF141" s="110"/>
      <c r="HG141" s="110"/>
      <c r="HH141" s="110"/>
      <c r="HI141" s="316">
        <f>HA141/100*HI139</f>
        <v>0</v>
      </c>
      <c r="HJ141" s="315"/>
      <c r="HK141" s="315"/>
      <c r="HL141" s="317">
        <f t="shared" ref="HL141:HL142" si="2086">HI141</f>
        <v>0</v>
      </c>
      <c r="HM141" s="297"/>
      <c r="HN141" s="299"/>
      <c r="HO141" s="313" t="str">
        <f>"Output Sekunder "&amp;" %"</f>
        <v>Output Sekunder  %</v>
      </c>
      <c r="HP141" s="314"/>
      <c r="HQ141" s="314"/>
      <c r="HR141" s="294"/>
      <c r="HS141" s="315"/>
      <c r="HT141" s="315"/>
      <c r="HU141" s="315"/>
      <c r="HV141" s="315"/>
      <c r="HW141" s="110"/>
      <c r="HX141" s="110"/>
      <c r="HY141" s="110"/>
      <c r="HZ141" s="316">
        <f>HR141/100*HZ139</f>
        <v>0</v>
      </c>
      <c r="IA141" s="315"/>
      <c r="IB141" s="315"/>
      <c r="IC141" s="317">
        <f t="shared" ref="IC141:IC142" si="2087">HZ141</f>
        <v>0</v>
      </c>
      <c r="ID141" s="297"/>
      <c r="IE141" s="299"/>
      <c r="IF141" s="313" t="str">
        <f>"Output Sekunder "&amp;" %"</f>
        <v>Output Sekunder  %</v>
      </c>
      <c r="IG141" s="314"/>
      <c r="IH141" s="314"/>
      <c r="II141" s="294"/>
      <c r="IJ141" s="315"/>
      <c r="IK141" s="315"/>
      <c r="IL141" s="315"/>
      <c r="IM141" s="315"/>
      <c r="IN141" s="110"/>
      <c r="IO141" s="110"/>
      <c r="IP141" s="110"/>
      <c r="IQ141" s="316">
        <f>II141/100*IQ139</f>
        <v>0</v>
      </c>
      <c r="IR141" s="315"/>
      <c r="IS141" s="315"/>
      <c r="IT141" s="317">
        <f t="shared" ref="IT141:IT142" si="2088">IQ141</f>
        <v>0</v>
      </c>
      <c r="IU141" s="297"/>
      <c r="IV141" s="299"/>
      <c r="IW141" s="313" t="str">
        <f>"Output Sekunder "&amp;" %"</f>
        <v>Output Sekunder  %</v>
      </c>
      <c r="IX141" s="314"/>
      <c r="IY141" s="314"/>
      <c r="IZ141" s="294"/>
      <c r="JA141" s="315"/>
      <c r="JB141" s="315"/>
      <c r="JC141" s="315"/>
      <c r="JD141" s="315"/>
      <c r="JE141" s="110"/>
      <c r="JF141" s="110"/>
      <c r="JG141" s="110"/>
      <c r="JH141" s="316">
        <f>IZ141/100*JH139</f>
        <v>0</v>
      </c>
      <c r="JI141" s="315"/>
      <c r="JJ141" s="315"/>
      <c r="JK141" s="317">
        <f t="shared" ref="JK141:JK142" si="2089">JH141</f>
        <v>0</v>
      </c>
      <c r="JL141" s="297"/>
      <c r="JM141" s="299"/>
      <c r="JN141" s="313" t="str">
        <f>"Output Sekunder "&amp;" %"</f>
        <v>Output Sekunder  %</v>
      </c>
      <c r="JO141" s="314"/>
      <c r="JP141" s="314"/>
      <c r="JQ141" s="294"/>
      <c r="JR141" s="315"/>
      <c r="JS141" s="315"/>
      <c r="JT141" s="315"/>
      <c r="JU141" s="315"/>
      <c r="JV141" s="110"/>
      <c r="JW141" s="110"/>
      <c r="JX141" s="110"/>
      <c r="JY141" s="316">
        <f>JQ141/100*JY139</f>
        <v>0</v>
      </c>
      <c r="JZ141" s="315"/>
      <c r="KA141" s="315"/>
      <c r="KB141" s="317">
        <f t="shared" ref="KB141:KB142" si="2090">JY141</f>
        <v>0</v>
      </c>
      <c r="KC141" s="297"/>
      <c r="KD141" s="299"/>
      <c r="KE141" s="313" t="str">
        <f>"Output Sekunder "&amp;" %"</f>
        <v>Output Sekunder  %</v>
      </c>
      <c r="KF141" s="314"/>
      <c r="KG141" s="314"/>
      <c r="KH141" s="294"/>
      <c r="KI141" s="315"/>
      <c r="KJ141" s="315"/>
      <c r="KK141" s="315"/>
      <c r="KL141" s="315"/>
      <c r="KM141" s="110"/>
      <c r="KN141" s="110"/>
      <c r="KO141" s="110"/>
      <c r="KP141" s="316">
        <f>KH141/100*KP139</f>
        <v>0</v>
      </c>
      <c r="KQ141" s="315"/>
      <c r="KR141" s="315"/>
      <c r="KS141" s="317">
        <f t="shared" ref="KS141:KS142" si="2091">KP141</f>
        <v>0</v>
      </c>
      <c r="KT141" s="297"/>
      <c r="KU141" s="298"/>
    </row>
    <row r="142" ht="15.75" customHeight="1">
      <c r="A142" s="299"/>
      <c r="B142" s="318" t="str">
        <f>"Adjusment "&amp;" %"</f>
        <v>Adjusment  %</v>
      </c>
      <c r="C142" s="319"/>
      <c r="D142" s="319"/>
      <c r="E142" s="294"/>
      <c r="F142" s="315"/>
      <c r="G142" s="315"/>
      <c r="H142" s="315"/>
      <c r="I142" s="315"/>
      <c r="J142" s="110"/>
      <c r="K142" s="110"/>
      <c r="L142" s="110"/>
      <c r="M142" s="320">
        <f>E142/100*(M139+M141)</f>
        <v>0</v>
      </c>
      <c r="N142" s="315"/>
      <c r="O142" s="315"/>
      <c r="P142" s="321">
        <f t="shared" si="2074"/>
        <v>0</v>
      </c>
      <c r="Q142" s="297"/>
      <c r="R142" s="299"/>
      <c r="S142" s="318" t="str">
        <f>"Adjusment "&amp;" %"</f>
        <v>Adjusment  %</v>
      </c>
      <c r="T142" s="319"/>
      <c r="U142" s="319"/>
      <c r="V142" s="294"/>
      <c r="W142" s="315"/>
      <c r="X142" s="315"/>
      <c r="Y142" s="315"/>
      <c r="Z142" s="315"/>
      <c r="AA142" s="110"/>
      <c r="AB142" s="110"/>
      <c r="AC142" s="110"/>
      <c r="AD142" s="320">
        <f>V142/100*(AD139+AD141)</f>
        <v>0</v>
      </c>
      <c r="AE142" s="315"/>
      <c r="AF142" s="315"/>
      <c r="AG142" s="321">
        <f t="shared" si="2075"/>
        <v>0</v>
      </c>
      <c r="AH142" s="297"/>
      <c r="AI142" s="299"/>
      <c r="AJ142" s="318" t="str">
        <f>"Adjusment "&amp;" %"</f>
        <v>Adjusment  %</v>
      </c>
      <c r="AK142" s="319"/>
      <c r="AL142" s="319"/>
      <c r="AM142" s="294"/>
      <c r="AN142" s="315"/>
      <c r="AO142" s="315"/>
      <c r="AP142" s="315"/>
      <c r="AQ142" s="315"/>
      <c r="AR142" s="110"/>
      <c r="AS142" s="110"/>
      <c r="AT142" s="110"/>
      <c r="AU142" s="320">
        <f>AM142/100*(AU139+AU141)</f>
        <v>0</v>
      </c>
      <c r="AV142" s="315"/>
      <c r="AW142" s="315"/>
      <c r="AX142" s="321">
        <f t="shared" si="2076"/>
        <v>0</v>
      </c>
      <c r="AY142" s="297"/>
      <c r="AZ142" s="299"/>
      <c r="BA142" s="318" t="str">
        <f>"Adjusment "&amp;" %"</f>
        <v>Adjusment  %</v>
      </c>
      <c r="BB142" s="319"/>
      <c r="BC142" s="319"/>
      <c r="BD142" s="294"/>
      <c r="BE142" s="315"/>
      <c r="BF142" s="315"/>
      <c r="BG142" s="315"/>
      <c r="BH142" s="315"/>
      <c r="BI142" s="110"/>
      <c r="BJ142" s="110"/>
      <c r="BK142" s="110"/>
      <c r="BL142" s="320">
        <f>BD142/100*(BL139+BL141)</f>
        <v>0</v>
      </c>
      <c r="BM142" s="315"/>
      <c r="BN142" s="315"/>
      <c r="BO142" s="321">
        <f t="shared" si="2077"/>
        <v>0</v>
      </c>
      <c r="BP142" s="297"/>
      <c r="BQ142" s="299"/>
      <c r="BR142" s="318" t="str">
        <f>"Adjusment "&amp;" %"</f>
        <v>Adjusment  %</v>
      </c>
      <c r="BS142" s="319"/>
      <c r="BT142" s="319"/>
      <c r="BU142" s="294"/>
      <c r="BV142" s="315"/>
      <c r="BW142" s="315"/>
      <c r="BX142" s="315"/>
      <c r="BY142" s="315"/>
      <c r="BZ142" s="110"/>
      <c r="CA142" s="110"/>
      <c r="CB142" s="110"/>
      <c r="CC142" s="320">
        <f>BU142/100*(CC139+CC141)</f>
        <v>0</v>
      </c>
      <c r="CD142" s="315"/>
      <c r="CE142" s="315"/>
      <c r="CF142" s="321">
        <f t="shared" si="2078"/>
        <v>0</v>
      </c>
      <c r="CG142" s="297"/>
      <c r="CH142" s="299"/>
      <c r="CI142" s="318" t="str">
        <f>"Adjusment "&amp;" %"</f>
        <v>Adjusment  %</v>
      </c>
      <c r="CJ142" s="319"/>
      <c r="CK142" s="319"/>
      <c r="CL142" s="294"/>
      <c r="CM142" s="315"/>
      <c r="CN142" s="315"/>
      <c r="CO142" s="315"/>
      <c r="CP142" s="315"/>
      <c r="CQ142" s="110"/>
      <c r="CR142" s="110"/>
      <c r="CS142" s="110"/>
      <c r="CT142" s="320">
        <f>CL142/100*(CT139+CT141)</f>
        <v>0</v>
      </c>
      <c r="CU142" s="315"/>
      <c r="CV142" s="315"/>
      <c r="CW142" s="321">
        <f t="shared" si="2079"/>
        <v>0</v>
      </c>
      <c r="CX142" s="297"/>
      <c r="CY142" s="299"/>
      <c r="CZ142" s="318" t="str">
        <f>"Adjusment "&amp;" %"</f>
        <v>Adjusment  %</v>
      </c>
      <c r="DA142" s="319"/>
      <c r="DB142" s="319"/>
      <c r="DC142" s="294"/>
      <c r="DD142" s="315"/>
      <c r="DE142" s="315"/>
      <c r="DF142" s="315"/>
      <c r="DG142" s="315"/>
      <c r="DH142" s="110"/>
      <c r="DI142" s="110"/>
      <c r="DJ142" s="110"/>
      <c r="DK142" s="320">
        <f>DC142/100*(DK139+DK141)</f>
        <v>0</v>
      </c>
      <c r="DL142" s="315"/>
      <c r="DM142" s="315"/>
      <c r="DN142" s="321">
        <f t="shared" si="2080"/>
        <v>0</v>
      </c>
      <c r="DO142" s="297"/>
      <c r="DP142" s="299"/>
      <c r="DQ142" s="318" t="str">
        <f>"Adjusment "&amp;" %"</f>
        <v>Adjusment  %</v>
      </c>
      <c r="DR142" s="319"/>
      <c r="DS142" s="319"/>
      <c r="DT142" s="294"/>
      <c r="DU142" s="315"/>
      <c r="DV142" s="315"/>
      <c r="DW142" s="315"/>
      <c r="DX142" s="315"/>
      <c r="DY142" s="110"/>
      <c r="DZ142" s="110"/>
      <c r="EA142" s="110"/>
      <c r="EB142" s="320">
        <f>DT142/100*(EB139+EB141)</f>
        <v>0</v>
      </c>
      <c r="EC142" s="315"/>
      <c r="ED142" s="315"/>
      <c r="EE142" s="321">
        <f t="shared" si="2081"/>
        <v>0</v>
      </c>
      <c r="EF142" s="297"/>
      <c r="EG142" s="299"/>
      <c r="EH142" s="318" t="str">
        <f>"Adjusment "&amp;" %"</f>
        <v>Adjusment  %</v>
      </c>
      <c r="EI142" s="319"/>
      <c r="EJ142" s="319"/>
      <c r="EK142" s="294"/>
      <c r="EL142" s="315"/>
      <c r="EM142" s="315"/>
      <c r="EN142" s="315"/>
      <c r="EO142" s="315"/>
      <c r="EP142" s="110"/>
      <c r="EQ142" s="110"/>
      <c r="ER142" s="110"/>
      <c r="ES142" s="320">
        <f>EK142/100*(ES139+ES141)</f>
        <v>0</v>
      </c>
      <c r="ET142" s="315"/>
      <c r="EU142" s="315"/>
      <c r="EV142" s="321">
        <f t="shared" si="2082"/>
        <v>0</v>
      </c>
      <c r="EW142" s="297"/>
      <c r="EX142" s="299"/>
      <c r="EY142" s="318" t="str">
        <f>"Adjusment "&amp;" %"</f>
        <v>Adjusment  %</v>
      </c>
      <c r="EZ142" s="319"/>
      <c r="FA142" s="319"/>
      <c r="FB142" s="294"/>
      <c r="FC142" s="315"/>
      <c r="FD142" s="315"/>
      <c r="FE142" s="315"/>
      <c r="FF142" s="315"/>
      <c r="FG142" s="110"/>
      <c r="FH142" s="110"/>
      <c r="FI142" s="110"/>
      <c r="FJ142" s="320">
        <f>FB142/100*(FJ139+FJ141)</f>
        <v>0</v>
      </c>
      <c r="FK142" s="315"/>
      <c r="FL142" s="315"/>
      <c r="FM142" s="321">
        <f t="shared" si="2083"/>
        <v>0</v>
      </c>
      <c r="FN142" s="297"/>
      <c r="FO142" s="299"/>
      <c r="FP142" s="318" t="str">
        <f>"Adjusment "&amp;" %"</f>
        <v>Adjusment  %</v>
      </c>
      <c r="FQ142" s="319"/>
      <c r="FR142" s="319"/>
      <c r="FS142" s="294"/>
      <c r="FT142" s="315"/>
      <c r="FU142" s="315"/>
      <c r="FV142" s="315"/>
      <c r="FW142" s="315"/>
      <c r="FX142" s="110"/>
      <c r="FY142" s="110"/>
      <c r="FZ142" s="110"/>
      <c r="GA142" s="320">
        <f>FS142/100*(GA139+GA141)</f>
        <v>0</v>
      </c>
      <c r="GB142" s="315"/>
      <c r="GC142" s="315"/>
      <c r="GD142" s="321">
        <f t="shared" si="2084"/>
        <v>0</v>
      </c>
      <c r="GE142" s="297"/>
      <c r="GF142" s="299"/>
      <c r="GG142" s="318" t="str">
        <f>"Adjusment "&amp;" %"</f>
        <v>Adjusment  %</v>
      </c>
      <c r="GH142" s="319"/>
      <c r="GI142" s="319"/>
      <c r="GJ142" s="294"/>
      <c r="GK142" s="315"/>
      <c r="GL142" s="315"/>
      <c r="GM142" s="315"/>
      <c r="GN142" s="315"/>
      <c r="GO142" s="110"/>
      <c r="GP142" s="110"/>
      <c r="GQ142" s="110"/>
      <c r="GR142" s="320">
        <f>GJ142/100*(GR139+GR141)</f>
        <v>0</v>
      </c>
      <c r="GS142" s="315"/>
      <c r="GT142" s="315"/>
      <c r="GU142" s="321">
        <f t="shared" si="2085"/>
        <v>0</v>
      </c>
      <c r="GV142" s="297"/>
      <c r="GW142" s="299"/>
      <c r="GX142" s="318" t="str">
        <f>"Adjusment "&amp;" %"</f>
        <v>Adjusment  %</v>
      </c>
      <c r="GY142" s="319"/>
      <c r="GZ142" s="319"/>
      <c r="HA142" s="294"/>
      <c r="HB142" s="315"/>
      <c r="HC142" s="315"/>
      <c r="HD142" s="315"/>
      <c r="HE142" s="315"/>
      <c r="HF142" s="110"/>
      <c r="HG142" s="110"/>
      <c r="HH142" s="110"/>
      <c r="HI142" s="320">
        <f>HA142/100*(HI139+HI141)</f>
        <v>0</v>
      </c>
      <c r="HJ142" s="315"/>
      <c r="HK142" s="315"/>
      <c r="HL142" s="321">
        <f t="shared" si="2086"/>
        <v>0</v>
      </c>
      <c r="HM142" s="297"/>
      <c r="HN142" s="299"/>
      <c r="HO142" s="318" t="str">
        <f>"Adjusment "&amp;" %"</f>
        <v>Adjusment  %</v>
      </c>
      <c r="HP142" s="319"/>
      <c r="HQ142" s="319"/>
      <c r="HR142" s="294"/>
      <c r="HS142" s="315"/>
      <c r="HT142" s="315"/>
      <c r="HU142" s="315"/>
      <c r="HV142" s="315"/>
      <c r="HW142" s="110"/>
      <c r="HX142" s="110"/>
      <c r="HY142" s="110"/>
      <c r="HZ142" s="320">
        <f>HR142/100*(HZ139+HZ141)</f>
        <v>0</v>
      </c>
      <c r="IA142" s="315"/>
      <c r="IB142" s="315"/>
      <c r="IC142" s="321">
        <f t="shared" si="2087"/>
        <v>0</v>
      </c>
      <c r="ID142" s="297"/>
      <c r="IE142" s="299"/>
      <c r="IF142" s="318" t="str">
        <f>"Adjusment "&amp;" %"</f>
        <v>Adjusment  %</v>
      </c>
      <c r="IG142" s="319"/>
      <c r="IH142" s="319"/>
      <c r="II142" s="294"/>
      <c r="IJ142" s="315"/>
      <c r="IK142" s="315"/>
      <c r="IL142" s="315"/>
      <c r="IM142" s="315"/>
      <c r="IN142" s="110"/>
      <c r="IO142" s="110"/>
      <c r="IP142" s="110"/>
      <c r="IQ142" s="320">
        <f>II142/100*(IQ139+IQ141)</f>
        <v>0</v>
      </c>
      <c r="IR142" s="315"/>
      <c r="IS142" s="315"/>
      <c r="IT142" s="321">
        <f t="shared" si="2088"/>
        <v>0</v>
      </c>
      <c r="IU142" s="297"/>
      <c r="IV142" s="299"/>
      <c r="IW142" s="318" t="str">
        <f>"Adjusment "&amp;" %"</f>
        <v>Adjusment  %</v>
      </c>
      <c r="IX142" s="319"/>
      <c r="IY142" s="319"/>
      <c r="IZ142" s="294"/>
      <c r="JA142" s="315"/>
      <c r="JB142" s="315"/>
      <c r="JC142" s="315"/>
      <c r="JD142" s="315"/>
      <c r="JE142" s="110"/>
      <c r="JF142" s="110"/>
      <c r="JG142" s="110"/>
      <c r="JH142" s="320">
        <f>IZ142/100*(JH139+JH141)</f>
        <v>0</v>
      </c>
      <c r="JI142" s="315"/>
      <c r="JJ142" s="315"/>
      <c r="JK142" s="321">
        <f t="shared" si="2089"/>
        <v>0</v>
      </c>
      <c r="JL142" s="297"/>
      <c r="JM142" s="299"/>
      <c r="JN142" s="318" t="str">
        <f>"Adjusment "&amp;" %"</f>
        <v>Adjusment  %</v>
      </c>
      <c r="JO142" s="319"/>
      <c r="JP142" s="319"/>
      <c r="JQ142" s="294"/>
      <c r="JR142" s="315"/>
      <c r="JS142" s="315"/>
      <c r="JT142" s="315"/>
      <c r="JU142" s="315"/>
      <c r="JV142" s="110"/>
      <c r="JW142" s="110"/>
      <c r="JX142" s="110"/>
      <c r="JY142" s="320">
        <f>JQ142/100*(JY139+JY141)</f>
        <v>0</v>
      </c>
      <c r="JZ142" s="315"/>
      <c r="KA142" s="315"/>
      <c r="KB142" s="321">
        <f t="shared" si="2090"/>
        <v>0</v>
      </c>
      <c r="KC142" s="297"/>
      <c r="KD142" s="299"/>
      <c r="KE142" s="318" t="str">
        <f>"Adjusment "&amp;" %"</f>
        <v>Adjusment  %</v>
      </c>
      <c r="KF142" s="319"/>
      <c r="KG142" s="319"/>
      <c r="KH142" s="294"/>
      <c r="KI142" s="315"/>
      <c r="KJ142" s="315"/>
      <c r="KK142" s="315"/>
      <c r="KL142" s="315"/>
      <c r="KM142" s="110"/>
      <c r="KN142" s="110"/>
      <c r="KO142" s="110"/>
      <c r="KP142" s="320">
        <f>KH142/100*(KP139+KP141)</f>
        <v>0</v>
      </c>
      <c r="KQ142" s="315"/>
      <c r="KR142" s="315"/>
      <c r="KS142" s="321">
        <f t="shared" si="2091"/>
        <v>0</v>
      </c>
      <c r="KT142" s="297"/>
      <c r="KU142" s="298"/>
    </row>
    <row r="143" ht="15.75" customHeight="1">
      <c r="A143" s="299"/>
      <c r="B143" s="300"/>
      <c r="C143" s="301"/>
      <c r="D143" s="301"/>
      <c r="E143" s="294"/>
      <c r="F143" s="294"/>
      <c r="G143" s="294"/>
      <c r="H143" s="294"/>
      <c r="I143" s="294"/>
      <c r="J143" s="87"/>
      <c r="K143" s="87"/>
      <c r="L143" s="87"/>
      <c r="M143" s="294"/>
      <c r="N143" s="294"/>
      <c r="O143" s="294"/>
      <c r="P143" s="304"/>
      <c r="Q143" s="297"/>
      <c r="R143" s="299"/>
      <c r="S143" s="300"/>
      <c r="T143" s="301"/>
      <c r="U143" s="301"/>
      <c r="V143" s="294"/>
      <c r="W143" s="294"/>
      <c r="X143" s="294"/>
      <c r="Y143" s="294"/>
      <c r="Z143" s="294"/>
      <c r="AA143" s="87"/>
      <c r="AB143" s="87"/>
      <c r="AC143" s="87"/>
      <c r="AD143" s="294"/>
      <c r="AE143" s="294"/>
      <c r="AF143" s="294"/>
      <c r="AG143" s="304"/>
      <c r="AH143" s="297"/>
      <c r="AI143" s="299"/>
      <c r="AJ143" s="300"/>
      <c r="AK143" s="301"/>
      <c r="AL143" s="301"/>
      <c r="AM143" s="294"/>
      <c r="AN143" s="294"/>
      <c r="AO143" s="294"/>
      <c r="AP143" s="294"/>
      <c r="AQ143" s="294"/>
      <c r="AR143" s="87"/>
      <c r="AS143" s="87"/>
      <c r="AT143" s="87"/>
      <c r="AU143" s="294"/>
      <c r="AV143" s="294"/>
      <c r="AW143" s="294"/>
      <c r="AX143" s="304"/>
      <c r="AY143" s="297"/>
      <c r="AZ143" s="299"/>
      <c r="BA143" s="300"/>
      <c r="BB143" s="301"/>
      <c r="BC143" s="301"/>
      <c r="BD143" s="294"/>
      <c r="BE143" s="294"/>
      <c r="BF143" s="294"/>
      <c r="BG143" s="294"/>
      <c r="BH143" s="294"/>
      <c r="BI143" s="87"/>
      <c r="BJ143" s="87"/>
      <c r="BK143" s="87"/>
      <c r="BL143" s="294"/>
      <c r="BM143" s="294"/>
      <c r="BN143" s="294"/>
      <c r="BO143" s="304"/>
      <c r="BP143" s="297"/>
      <c r="BQ143" s="299"/>
      <c r="BR143" s="300"/>
      <c r="BS143" s="301"/>
      <c r="BT143" s="301"/>
      <c r="BU143" s="294"/>
      <c r="BV143" s="294"/>
      <c r="BW143" s="294"/>
      <c r="BX143" s="294"/>
      <c r="BY143" s="294"/>
      <c r="BZ143" s="87"/>
      <c r="CA143" s="87"/>
      <c r="CB143" s="87"/>
      <c r="CC143" s="294"/>
      <c r="CD143" s="294"/>
      <c r="CE143" s="294"/>
      <c r="CF143" s="304"/>
      <c r="CG143" s="297"/>
      <c r="CH143" s="299"/>
      <c r="CI143" s="300"/>
      <c r="CJ143" s="301"/>
      <c r="CK143" s="301"/>
      <c r="CL143" s="294"/>
      <c r="CM143" s="294"/>
      <c r="CN143" s="294"/>
      <c r="CO143" s="294"/>
      <c r="CP143" s="294"/>
      <c r="CQ143" s="87"/>
      <c r="CR143" s="87"/>
      <c r="CS143" s="87"/>
      <c r="CT143" s="294"/>
      <c r="CU143" s="294"/>
      <c r="CV143" s="294"/>
      <c r="CW143" s="304"/>
      <c r="CX143" s="297"/>
      <c r="CY143" s="299"/>
      <c r="CZ143" s="300"/>
      <c r="DA143" s="301"/>
      <c r="DB143" s="301"/>
      <c r="DC143" s="294"/>
      <c r="DD143" s="294"/>
      <c r="DE143" s="294"/>
      <c r="DF143" s="294"/>
      <c r="DG143" s="294"/>
      <c r="DH143" s="87"/>
      <c r="DI143" s="87"/>
      <c r="DJ143" s="87"/>
      <c r="DK143" s="294"/>
      <c r="DL143" s="294"/>
      <c r="DM143" s="294"/>
      <c r="DN143" s="304"/>
      <c r="DO143" s="297"/>
      <c r="DP143" s="299"/>
      <c r="DQ143" s="300"/>
      <c r="DR143" s="301"/>
      <c r="DS143" s="301"/>
      <c r="DT143" s="294"/>
      <c r="DU143" s="294"/>
      <c r="DV143" s="294"/>
      <c r="DW143" s="294"/>
      <c r="DX143" s="294"/>
      <c r="DY143" s="87"/>
      <c r="DZ143" s="87"/>
      <c r="EA143" s="87"/>
      <c r="EB143" s="294"/>
      <c r="EC143" s="294"/>
      <c r="ED143" s="294"/>
      <c r="EE143" s="304"/>
      <c r="EF143" s="297"/>
      <c r="EG143" s="299"/>
      <c r="EH143" s="300"/>
      <c r="EI143" s="301"/>
      <c r="EJ143" s="301"/>
      <c r="EK143" s="294"/>
      <c r="EL143" s="294"/>
      <c r="EM143" s="294"/>
      <c r="EN143" s="294"/>
      <c r="EO143" s="294"/>
      <c r="EP143" s="87"/>
      <c r="EQ143" s="87"/>
      <c r="ER143" s="87"/>
      <c r="ES143" s="294"/>
      <c r="ET143" s="294"/>
      <c r="EU143" s="294"/>
      <c r="EV143" s="304"/>
      <c r="EW143" s="297"/>
      <c r="EX143" s="299"/>
      <c r="EY143" s="300"/>
      <c r="EZ143" s="301"/>
      <c r="FA143" s="301"/>
      <c r="FB143" s="294"/>
      <c r="FC143" s="294"/>
      <c r="FD143" s="294"/>
      <c r="FE143" s="294"/>
      <c r="FF143" s="294"/>
      <c r="FG143" s="87"/>
      <c r="FH143" s="87"/>
      <c r="FI143" s="87"/>
      <c r="FJ143" s="294"/>
      <c r="FK143" s="294"/>
      <c r="FL143" s="294"/>
      <c r="FM143" s="304"/>
      <c r="FN143" s="297"/>
      <c r="FO143" s="299"/>
      <c r="FP143" s="300"/>
      <c r="FQ143" s="301"/>
      <c r="FR143" s="301"/>
      <c r="FS143" s="294"/>
      <c r="FT143" s="294"/>
      <c r="FU143" s="294"/>
      <c r="FV143" s="294"/>
      <c r="FW143" s="294"/>
      <c r="FX143" s="87"/>
      <c r="FY143" s="87"/>
      <c r="FZ143" s="87"/>
      <c r="GA143" s="294"/>
      <c r="GB143" s="294"/>
      <c r="GC143" s="294"/>
      <c r="GD143" s="304"/>
      <c r="GE143" s="297"/>
      <c r="GF143" s="299"/>
      <c r="GG143" s="300"/>
      <c r="GH143" s="301"/>
      <c r="GI143" s="301"/>
      <c r="GJ143" s="294"/>
      <c r="GK143" s="294"/>
      <c r="GL143" s="294"/>
      <c r="GM143" s="294"/>
      <c r="GN143" s="294"/>
      <c r="GO143" s="87"/>
      <c r="GP143" s="87"/>
      <c r="GQ143" s="87"/>
      <c r="GR143" s="294"/>
      <c r="GS143" s="294"/>
      <c r="GT143" s="294"/>
      <c r="GU143" s="304"/>
      <c r="GV143" s="297"/>
      <c r="GW143" s="299"/>
      <c r="GX143" s="300"/>
      <c r="GY143" s="301"/>
      <c r="GZ143" s="301"/>
      <c r="HA143" s="294"/>
      <c r="HB143" s="294"/>
      <c r="HC143" s="294"/>
      <c r="HD143" s="294"/>
      <c r="HE143" s="294"/>
      <c r="HF143" s="87"/>
      <c r="HG143" s="87"/>
      <c r="HH143" s="87"/>
      <c r="HI143" s="294"/>
      <c r="HJ143" s="294"/>
      <c r="HK143" s="294"/>
      <c r="HL143" s="304"/>
      <c r="HM143" s="297"/>
      <c r="HN143" s="299"/>
      <c r="HO143" s="300"/>
      <c r="HP143" s="301"/>
      <c r="HQ143" s="301"/>
      <c r="HR143" s="294"/>
      <c r="HS143" s="294"/>
      <c r="HT143" s="294"/>
      <c r="HU143" s="294"/>
      <c r="HV143" s="294"/>
      <c r="HW143" s="87"/>
      <c r="HX143" s="87"/>
      <c r="HY143" s="87"/>
      <c r="HZ143" s="294"/>
      <c r="IA143" s="294"/>
      <c r="IB143" s="294"/>
      <c r="IC143" s="304"/>
      <c r="ID143" s="297"/>
      <c r="IE143" s="299"/>
      <c r="IF143" s="300"/>
      <c r="IG143" s="301"/>
      <c r="IH143" s="301"/>
      <c r="II143" s="294"/>
      <c r="IJ143" s="294"/>
      <c r="IK143" s="294"/>
      <c r="IL143" s="294"/>
      <c r="IM143" s="294"/>
      <c r="IN143" s="87"/>
      <c r="IO143" s="87"/>
      <c r="IP143" s="87"/>
      <c r="IQ143" s="294"/>
      <c r="IR143" s="294"/>
      <c r="IS143" s="294"/>
      <c r="IT143" s="304"/>
      <c r="IU143" s="297"/>
      <c r="IV143" s="299"/>
      <c r="IW143" s="300"/>
      <c r="IX143" s="301"/>
      <c r="IY143" s="301"/>
      <c r="IZ143" s="294"/>
      <c r="JA143" s="294"/>
      <c r="JB143" s="294"/>
      <c r="JC143" s="294"/>
      <c r="JD143" s="294"/>
      <c r="JE143" s="87"/>
      <c r="JF143" s="87"/>
      <c r="JG143" s="87"/>
      <c r="JH143" s="294"/>
      <c r="JI143" s="294"/>
      <c r="JJ143" s="294"/>
      <c r="JK143" s="304"/>
      <c r="JL143" s="297"/>
      <c r="JM143" s="299"/>
      <c r="JN143" s="300"/>
      <c r="JO143" s="301"/>
      <c r="JP143" s="301"/>
      <c r="JQ143" s="294"/>
      <c r="JR143" s="294"/>
      <c r="JS143" s="294"/>
      <c r="JT143" s="294"/>
      <c r="JU143" s="294"/>
      <c r="JV143" s="87"/>
      <c r="JW143" s="87"/>
      <c r="JX143" s="87"/>
      <c r="JY143" s="294"/>
      <c r="JZ143" s="294"/>
      <c r="KA143" s="294"/>
      <c r="KB143" s="304"/>
      <c r="KC143" s="297"/>
      <c r="KD143" s="299"/>
      <c r="KE143" s="300"/>
      <c r="KF143" s="301"/>
      <c r="KG143" s="301"/>
      <c r="KH143" s="294"/>
      <c r="KI143" s="294"/>
      <c r="KJ143" s="294"/>
      <c r="KK143" s="294"/>
      <c r="KL143" s="294"/>
      <c r="KM143" s="87"/>
      <c r="KN143" s="87"/>
      <c r="KO143" s="87"/>
      <c r="KP143" s="294"/>
      <c r="KQ143" s="294"/>
      <c r="KR143" s="294"/>
      <c r="KS143" s="304"/>
      <c r="KT143" s="297"/>
      <c r="KU143" s="298"/>
    </row>
    <row r="144" ht="24.0" customHeight="1">
      <c r="A144" s="322" t="s">
        <v>52</v>
      </c>
      <c r="B144" s="118"/>
      <c r="C144" s="323"/>
      <c r="D144" s="323"/>
      <c r="E144" s="324"/>
      <c r="F144" s="324"/>
      <c r="G144" s="325">
        <f>SUM(G139:G143)</f>
        <v>0</v>
      </c>
      <c r="H144" s="324"/>
      <c r="I144" s="325">
        <f>SUM(I139:I143)</f>
        <v>0</v>
      </c>
      <c r="J144" s="120"/>
      <c r="K144" s="120"/>
      <c r="L144" s="120"/>
      <c r="M144" s="325">
        <f>SUM(M139:M143)</f>
        <v>0</v>
      </c>
      <c r="N144" s="324"/>
      <c r="O144" s="325">
        <f t="shared" ref="O144:P144" si="2092">SUM(O139:O143)</f>
        <v>0</v>
      </c>
      <c r="P144" s="325">
        <f t="shared" si="2092"/>
        <v>0</v>
      </c>
      <c r="Q144" s="311"/>
      <c r="R144" s="322" t="s">
        <v>52</v>
      </c>
      <c r="S144" s="118"/>
      <c r="T144" s="323"/>
      <c r="U144" s="323"/>
      <c r="V144" s="324"/>
      <c r="W144" s="324"/>
      <c r="X144" s="325">
        <f>SUM(X139:X143)</f>
        <v>0</v>
      </c>
      <c r="Y144" s="324"/>
      <c r="Z144" s="325">
        <f>SUM(Z139:Z143)</f>
        <v>0</v>
      </c>
      <c r="AA144" s="120"/>
      <c r="AB144" s="120"/>
      <c r="AC144" s="120"/>
      <c r="AD144" s="325">
        <f>SUM(AD139:AD143)</f>
        <v>0</v>
      </c>
      <c r="AE144" s="324"/>
      <c r="AF144" s="325">
        <f t="shared" ref="AF144:AG144" si="2093">SUM(AF139:AF143)</f>
        <v>0</v>
      </c>
      <c r="AG144" s="325">
        <f t="shared" si="2093"/>
        <v>0</v>
      </c>
      <c r="AH144" s="311"/>
      <c r="AI144" s="322" t="s">
        <v>52</v>
      </c>
      <c r="AJ144" s="118"/>
      <c r="AK144" s="323"/>
      <c r="AL144" s="323"/>
      <c r="AM144" s="324"/>
      <c r="AN144" s="324"/>
      <c r="AO144" s="325">
        <f>SUM(AO139:AO143)</f>
        <v>0</v>
      </c>
      <c r="AP144" s="324"/>
      <c r="AQ144" s="325">
        <f>SUM(AQ139:AQ143)</f>
        <v>0</v>
      </c>
      <c r="AR144" s="120"/>
      <c r="AS144" s="120"/>
      <c r="AT144" s="120"/>
      <c r="AU144" s="325">
        <f>SUM(AU139:AU143)</f>
        <v>0</v>
      </c>
      <c r="AV144" s="324"/>
      <c r="AW144" s="325">
        <f t="shared" ref="AW144:AX144" si="2094">SUM(AW139:AW143)</f>
        <v>0</v>
      </c>
      <c r="AX144" s="325">
        <f t="shared" si="2094"/>
        <v>0</v>
      </c>
      <c r="AY144" s="311"/>
      <c r="AZ144" s="322" t="s">
        <v>52</v>
      </c>
      <c r="BA144" s="118"/>
      <c r="BB144" s="323"/>
      <c r="BC144" s="323"/>
      <c r="BD144" s="324"/>
      <c r="BE144" s="324"/>
      <c r="BF144" s="325">
        <f>SUM(BF139:BF143)</f>
        <v>0</v>
      </c>
      <c r="BG144" s="324"/>
      <c r="BH144" s="325">
        <f>SUM(BH139:BH143)</f>
        <v>0</v>
      </c>
      <c r="BI144" s="120"/>
      <c r="BJ144" s="120"/>
      <c r="BK144" s="120"/>
      <c r="BL144" s="325">
        <f>SUM(BL139:BL143)</f>
        <v>0</v>
      </c>
      <c r="BM144" s="324"/>
      <c r="BN144" s="325">
        <f t="shared" ref="BN144:BO144" si="2095">SUM(BN139:BN143)</f>
        <v>0</v>
      </c>
      <c r="BO144" s="325">
        <f t="shared" si="2095"/>
        <v>0</v>
      </c>
      <c r="BP144" s="311"/>
      <c r="BQ144" s="322" t="s">
        <v>52</v>
      </c>
      <c r="BR144" s="118"/>
      <c r="BS144" s="323"/>
      <c r="BT144" s="323"/>
      <c r="BU144" s="324"/>
      <c r="BV144" s="324"/>
      <c r="BW144" s="325">
        <f>SUM(BW139:BW143)</f>
        <v>0</v>
      </c>
      <c r="BX144" s="324"/>
      <c r="BY144" s="325">
        <f>SUM(BY139:BY143)</f>
        <v>0</v>
      </c>
      <c r="BZ144" s="120"/>
      <c r="CA144" s="120"/>
      <c r="CB144" s="120"/>
      <c r="CC144" s="325">
        <f>SUM(CC139:CC143)</f>
        <v>0</v>
      </c>
      <c r="CD144" s="324"/>
      <c r="CE144" s="325">
        <f t="shared" ref="CE144:CF144" si="2096">SUM(CE139:CE143)</f>
        <v>0</v>
      </c>
      <c r="CF144" s="325">
        <f t="shared" si="2096"/>
        <v>0</v>
      </c>
      <c r="CG144" s="311"/>
      <c r="CH144" s="322" t="s">
        <v>52</v>
      </c>
      <c r="CI144" s="118"/>
      <c r="CJ144" s="323"/>
      <c r="CK144" s="323"/>
      <c r="CL144" s="324"/>
      <c r="CM144" s="324"/>
      <c r="CN144" s="325">
        <f>SUM(CN139:CN143)</f>
        <v>0</v>
      </c>
      <c r="CO144" s="324"/>
      <c r="CP144" s="325">
        <f>SUM(CP139:CP143)</f>
        <v>0</v>
      </c>
      <c r="CQ144" s="120"/>
      <c r="CR144" s="120"/>
      <c r="CS144" s="120"/>
      <c r="CT144" s="325">
        <f>SUM(CT139:CT143)</f>
        <v>0</v>
      </c>
      <c r="CU144" s="324"/>
      <c r="CV144" s="325">
        <f t="shared" ref="CV144:CW144" si="2097">SUM(CV139:CV143)</f>
        <v>0</v>
      </c>
      <c r="CW144" s="325">
        <f t="shared" si="2097"/>
        <v>0</v>
      </c>
      <c r="CX144" s="311"/>
      <c r="CY144" s="322" t="s">
        <v>52</v>
      </c>
      <c r="CZ144" s="118"/>
      <c r="DA144" s="323"/>
      <c r="DB144" s="323"/>
      <c r="DC144" s="324"/>
      <c r="DD144" s="324"/>
      <c r="DE144" s="325">
        <f>SUM(DE139:DE143)</f>
        <v>0</v>
      </c>
      <c r="DF144" s="324"/>
      <c r="DG144" s="325">
        <f>SUM(DG139:DG143)</f>
        <v>0</v>
      </c>
      <c r="DH144" s="120"/>
      <c r="DI144" s="120"/>
      <c r="DJ144" s="120"/>
      <c r="DK144" s="325">
        <f>SUM(DK139:DK143)</f>
        <v>0</v>
      </c>
      <c r="DL144" s="324"/>
      <c r="DM144" s="325">
        <f t="shared" ref="DM144:DN144" si="2098">SUM(DM139:DM143)</f>
        <v>0</v>
      </c>
      <c r="DN144" s="325">
        <f t="shared" si="2098"/>
        <v>0</v>
      </c>
      <c r="DO144" s="311"/>
      <c r="DP144" s="322" t="s">
        <v>52</v>
      </c>
      <c r="DQ144" s="118"/>
      <c r="DR144" s="323"/>
      <c r="DS144" s="323"/>
      <c r="DT144" s="324"/>
      <c r="DU144" s="324"/>
      <c r="DV144" s="325">
        <f>SUM(DV139:DV143)</f>
        <v>0</v>
      </c>
      <c r="DW144" s="324"/>
      <c r="DX144" s="325">
        <f>SUM(DX139:DX143)</f>
        <v>0</v>
      </c>
      <c r="DY144" s="120"/>
      <c r="DZ144" s="120"/>
      <c r="EA144" s="120"/>
      <c r="EB144" s="325">
        <f>SUM(EB139:EB143)</f>
        <v>0</v>
      </c>
      <c r="EC144" s="324"/>
      <c r="ED144" s="325">
        <f t="shared" ref="ED144:EE144" si="2099">SUM(ED139:ED143)</f>
        <v>0</v>
      </c>
      <c r="EE144" s="325">
        <f t="shared" si="2099"/>
        <v>0</v>
      </c>
      <c r="EF144" s="311"/>
      <c r="EG144" s="322" t="s">
        <v>52</v>
      </c>
      <c r="EH144" s="118"/>
      <c r="EI144" s="323"/>
      <c r="EJ144" s="323"/>
      <c r="EK144" s="324"/>
      <c r="EL144" s="324"/>
      <c r="EM144" s="325">
        <f>SUM(EM139:EM143)</f>
        <v>0</v>
      </c>
      <c r="EN144" s="324"/>
      <c r="EO144" s="325">
        <f>SUM(EO139:EO143)</f>
        <v>0</v>
      </c>
      <c r="EP144" s="120"/>
      <c r="EQ144" s="120"/>
      <c r="ER144" s="120"/>
      <c r="ES144" s="325">
        <f>SUM(ES139:ES143)</f>
        <v>0</v>
      </c>
      <c r="ET144" s="324"/>
      <c r="EU144" s="325">
        <f t="shared" ref="EU144:EV144" si="2100">SUM(EU139:EU143)</f>
        <v>0</v>
      </c>
      <c r="EV144" s="325">
        <f t="shared" si="2100"/>
        <v>0</v>
      </c>
      <c r="EW144" s="311"/>
      <c r="EX144" s="322" t="s">
        <v>52</v>
      </c>
      <c r="EY144" s="118"/>
      <c r="EZ144" s="323"/>
      <c r="FA144" s="323"/>
      <c r="FB144" s="324"/>
      <c r="FC144" s="324"/>
      <c r="FD144" s="325">
        <f>SUM(FD139:FD143)</f>
        <v>0</v>
      </c>
      <c r="FE144" s="324"/>
      <c r="FF144" s="325">
        <f>SUM(FF139:FF143)</f>
        <v>0</v>
      </c>
      <c r="FG144" s="120"/>
      <c r="FH144" s="120"/>
      <c r="FI144" s="120"/>
      <c r="FJ144" s="325">
        <f>SUM(FJ139:FJ143)</f>
        <v>0</v>
      </c>
      <c r="FK144" s="324"/>
      <c r="FL144" s="325">
        <f t="shared" ref="FL144:FM144" si="2101">SUM(FL139:FL143)</f>
        <v>0</v>
      </c>
      <c r="FM144" s="325">
        <f t="shared" si="2101"/>
        <v>0</v>
      </c>
      <c r="FN144" s="311"/>
      <c r="FO144" s="322" t="s">
        <v>52</v>
      </c>
      <c r="FP144" s="118"/>
      <c r="FQ144" s="323"/>
      <c r="FR144" s="323"/>
      <c r="FS144" s="324"/>
      <c r="FT144" s="324"/>
      <c r="FU144" s="325">
        <f>SUM(FU139:FU143)</f>
        <v>970037.6492</v>
      </c>
      <c r="FV144" s="324"/>
      <c r="FW144" s="325">
        <f>SUM(FW139:FW143)</f>
        <v>0</v>
      </c>
      <c r="FX144" s="120"/>
      <c r="FY144" s="120"/>
      <c r="FZ144" s="120"/>
      <c r="GA144" s="325">
        <f>SUM(GA139:GA143)</f>
        <v>970037.6492</v>
      </c>
      <c r="GB144" s="324"/>
      <c r="GC144" s="325">
        <f t="shared" ref="GC144:GD144" si="2102">SUM(GC139:GC143)</f>
        <v>446651.0485</v>
      </c>
      <c r="GD144" s="325">
        <f t="shared" si="2102"/>
        <v>523386.6006</v>
      </c>
      <c r="GE144" s="311"/>
      <c r="GF144" s="322" t="s">
        <v>52</v>
      </c>
      <c r="GG144" s="118"/>
      <c r="GH144" s="323"/>
      <c r="GI144" s="323"/>
      <c r="GJ144" s="324"/>
      <c r="GK144" s="324"/>
      <c r="GL144" s="325">
        <f>SUM(GL139:GL143)</f>
        <v>1079657.254</v>
      </c>
      <c r="GM144" s="324"/>
      <c r="GN144" s="325">
        <f>SUM(GN139:GN143)</f>
        <v>0</v>
      </c>
      <c r="GO144" s="120"/>
      <c r="GP144" s="120"/>
      <c r="GQ144" s="120"/>
      <c r="GR144" s="325">
        <f>SUM(GR139:GR143)</f>
        <v>1079657.254</v>
      </c>
      <c r="GS144" s="324"/>
      <c r="GT144" s="325">
        <f t="shared" ref="GT144:GU144" si="2103">SUM(GT139:GT143)</f>
        <v>497125.0806</v>
      </c>
      <c r="GU144" s="325">
        <f t="shared" si="2103"/>
        <v>582532.1734</v>
      </c>
      <c r="GV144" s="311"/>
      <c r="GW144" s="322" t="s">
        <v>52</v>
      </c>
      <c r="GX144" s="118"/>
      <c r="GY144" s="323"/>
      <c r="GZ144" s="323"/>
      <c r="HA144" s="324"/>
      <c r="HB144" s="324"/>
      <c r="HC144" s="325">
        <f>SUM(HC139:HC143)</f>
        <v>1735340.229</v>
      </c>
      <c r="HD144" s="324"/>
      <c r="HE144" s="325">
        <f>SUM(HE139:HE143)</f>
        <v>1735340.229</v>
      </c>
      <c r="HF144" s="120"/>
      <c r="HG144" s="120"/>
      <c r="HH144" s="120"/>
      <c r="HI144" s="325">
        <f>SUM(HI139:HI143)</f>
        <v>3470680.459</v>
      </c>
      <c r="HJ144" s="324"/>
      <c r="HK144" s="325">
        <f t="shared" ref="HK144:HL144" si="2104">SUM(HK139:HK143)</f>
        <v>1598064.846</v>
      </c>
      <c r="HL144" s="325">
        <f t="shared" si="2104"/>
        <v>1872615.613</v>
      </c>
      <c r="HM144" s="311"/>
      <c r="HN144" s="322" t="s">
        <v>52</v>
      </c>
      <c r="HO144" s="118"/>
      <c r="HP144" s="323"/>
      <c r="HQ144" s="323"/>
      <c r="HR144" s="324"/>
      <c r="HS144" s="324"/>
      <c r="HT144" s="325">
        <f>SUM(HT139:HT143)</f>
        <v>2288806.284</v>
      </c>
      <c r="HU144" s="324"/>
      <c r="HV144" s="325">
        <f>SUM(HV139:HV143)</f>
        <v>0</v>
      </c>
      <c r="HW144" s="120"/>
      <c r="HX144" s="120"/>
      <c r="HY144" s="120"/>
      <c r="HZ144" s="325">
        <f>SUM(HZ139:HZ143)</f>
        <v>2288806.284</v>
      </c>
      <c r="IA144" s="324"/>
      <c r="IB144" s="325">
        <f t="shared" ref="IB144:IC144" si="2105">SUM(IB139:IB143)</f>
        <v>1053874.278</v>
      </c>
      <c r="IC144" s="325">
        <f t="shared" si="2105"/>
        <v>1234932.007</v>
      </c>
      <c r="ID144" s="311"/>
      <c r="IE144" s="322" t="s">
        <v>52</v>
      </c>
      <c r="IF144" s="118"/>
      <c r="IG144" s="323"/>
      <c r="IH144" s="323"/>
      <c r="II144" s="324"/>
      <c r="IJ144" s="324"/>
      <c r="IK144" s="325">
        <f>SUM(IK139:IK143)</f>
        <v>4469527.48</v>
      </c>
      <c r="IL144" s="324"/>
      <c r="IM144" s="325">
        <f>SUM(IM139:IM143)</f>
        <v>0</v>
      </c>
      <c r="IN144" s="120"/>
      <c r="IO144" s="120"/>
      <c r="IP144" s="120"/>
      <c r="IQ144" s="325">
        <f>SUM(IQ139:IQ143)</f>
        <v>4469527.48</v>
      </c>
      <c r="IR144" s="324"/>
      <c r="IS144" s="325">
        <f t="shared" ref="IS144:IT144" si="2106">SUM(IS139:IS143)</f>
        <v>2057981.087</v>
      </c>
      <c r="IT144" s="325">
        <f t="shared" si="2106"/>
        <v>2411546.393</v>
      </c>
      <c r="IU144" s="311"/>
      <c r="IV144" s="322" t="s">
        <v>52</v>
      </c>
      <c r="IW144" s="118"/>
      <c r="IX144" s="323"/>
      <c r="IY144" s="323"/>
      <c r="IZ144" s="324"/>
      <c r="JA144" s="324"/>
      <c r="JB144" s="325">
        <f>SUM(JB139:JB143)</f>
        <v>4569175.535</v>
      </c>
      <c r="JC144" s="324"/>
      <c r="JD144" s="325">
        <f>SUM(JD139:JD143)</f>
        <v>0</v>
      </c>
      <c r="JE144" s="120"/>
      <c r="JF144" s="120"/>
      <c r="JG144" s="120"/>
      <c r="JH144" s="325">
        <f>SUM(JH139:JH143)</f>
        <v>4569175.535</v>
      </c>
      <c r="JI144" s="324"/>
      <c r="JJ144" s="325">
        <f t="shared" ref="JJ144:JK144" si="2107">SUM(JJ139:JJ143)</f>
        <v>2103863.747</v>
      </c>
      <c r="JK144" s="325">
        <f t="shared" si="2107"/>
        <v>2465311.787</v>
      </c>
      <c r="JL144" s="311"/>
      <c r="JM144" s="322" t="s">
        <v>52</v>
      </c>
      <c r="JN144" s="118"/>
      <c r="JO144" s="323"/>
      <c r="JP144" s="323"/>
      <c r="JQ144" s="324"/>
      <c r="JR144" s="324"/>
      <c r="JS144" s="325">
        <f>SUM(JS139:JS143)</f>
        <v>0</v>
      </c>
      <c r="JT144" s="324"/>
      <c r="JU144" s="325">
        <f>SUM(JU139:JU143)</f>
        <v>0</v>
      </c>
      <c r="JV144" s="120"/>
      <c r="JW144" s="120"/>
      <c r="JX144" s="120"/>
      <c r="JY144" s="325">
        <f>SUM(JY139:JY143)</f>
        <v>0</v>
      </c>
      <c r="JZ144" s="324"/>
      <c r="KA144" s="325">
        <f t="shared" ref="KA144:KB144" si="2108">SUM(KA139:KA143)</f>
        <v>0</v>
      </c>
      <c r="KB144" s="325">
        <f t="shared" si="2108"/>
        <v>0</v>
      </c>
      <c r="KC144" s="311"/>
      <c r="KD144" s="322" t="s">
        <v>52</v>
      </c>
      <c r="KE144" s="118"/>
      <c r="KF144" s="323"/>
      <c r="KG144" s="323"/>
      <c r="KH144" s="324"/>
      <c r="KI144" s="324"/>
      <c r="KJ144" s="325">
        <f>SUM(KJ139:KJ143)</f>
        <v>0</v>
      </c>
      <c r="KK144" s="324"/>
      <c r="KL144" s="325">
        <f>SUM(KL139:KL143)</f>
        <v>0</v>
      </c>
      <c r="KM144" s="120"/>
      <c r="KN144" s="120"/>
      <c r="KO144" s="120"/>
      <c r="KP144" s="325">
        <f>SUM(KP139:KP143)</f>
        <v>0</v>
      </c>
      <c r="KQ144" s="324"/>
      <c r="KR144" s="325">
        <f t="shared" ref="KR144:KS144" si="2109">SUM(KR139:KR143)</f>
        <v>0</v>
      </c>
      <c r="KS144" s="325">
        <f t="shared" si="2109"/>
        <v>0</v>
      </c>
      <c r="KT144" s="311"/>
      <c r="KU144" s="312"/>
    </row>
    <row r="145" ht="15.0" customHeight="1">
      <c r="A145" s="273"/>
      <c r="B145" s="274"/>
      <c r="C145" s="274"/>
      <c r="D145" s="274"/>
      <c r="E145" s="274"/>
      <c r="F145" s="274"/>
      <c r="G145" s="274"/>
      <c r="H145" s="274"/>
      <c r="I145" s="274"/>
      <c r="J145" s="274"/>
      <c r="K145" s="274"/>
      <c r="L145" s="274"/>
      <c r="M145" s="274"/>
      <c r="N145" s="274"/>
      <c r="O145" s="274"/>
      <c r="P145" s="274"/>
      <c r="Q145" s="275"/>
      <c r="R145" s="273"/>
      <c r="S145" s="274"/>
      <c r="T145" s="274"/>
      <c r="U145" s="274"/>
      <c r="V145" s="274"/>
      <c r="W145" s="274"/>
      <c r="X145" s="274"/>
      <c r="Y145" s="274"/>
      <c r="Z145" s="274"/>
      <c r="AA145" s="274"/>
      <c r="AB145" s="274"/>
      <c r="AC145" s="274"/>
      <c r="AD145" s="274"/>
      <c r="AE145" s="274"/>
      <c r="AF145" s="274"/>
      <c r="AG145" s="274"/>
      <c r="AH145" s="275"/>
      <c r="AI145" s="273"/>
      <c r="AJ145" s="274"/>
      <c r="AK145" s="274"/>
      <c r="AL145" s="274"/>
      <c r="AM145" s="274"/>
      <c r="AN145" s="274"/>
      <c r="AO145" s="274"/>
      <c r="AP145" s="274"/>
      <c r="AQ145" s="274"/>
      <c r="AR145" s="274"/>
      <c r="AS145" s="274"/>
      <c r="AT145" s="274"/>
      <c r="AU145" s="274"/>
      <c r="AV145" s="274"/>
      <c r="AW145" s="274"/>
      <c r="AX145" s="274"/>
      <c r="AY145" s="275"/>
      <c r="AZ145" s="273"/>
      <c r="BA145" s="274"/>
      <c r="BB145" s="274"/>
      <c r="BC145" s="274"/>
      <c r="BD145" s="274"/>
      <c r="BE145" s="274"/>
      <c r="BF145" s="274"/>
      <c r="BG145" s="274"/>
      <c r="BH145" s="274"/>
      <c r="BI145" s="274"/>
      <c r="BJ145" s="274"/>
      <c r="BK145" s="274"/>
      <c r="BL145" s="274"/>
      <c r="BM145" s="274"/>
      <c r="BN145" s="274"/>
      <c r="BO145" s="274"/>
      <c r="BP145" s="275"/>
      <c r="BQ145" s="273"/>
      <c r="BR145" s="274"/>
      <c r="BS145" s="274"/>
      <c r="BT145" s="274"/>
      <c r="BU145" s="274"/>
      <c r="BV145" s="274"/>
      <c r="BW145" s="274"/>
      <c r="BX145" s="274"/>
      <c r="BY145" s="274"/>
      <c r="BZ145" s="274"/>
      <c r="CA145" s="274"/>
      <c r="CB145" s="274"/>
      <c r="CC145" s="274"/>
      <c r="CD145" s="274"/>
      <c r="CE145" s="274"/>
      <c r="CF145" s="274"/>
      <c r="CG145" s="275"/>
      <c r="CH145" s="273"/>
      <c r="CI145" s="274"/>
      <c r="CJ145" s="274"/>
      <c r="CK145" s="274"/>
      <c r="CL145" s="274"/>
      <c r="CM145" s="274"/>
      <c r="CN145" s="274"/>
      <c r="CO145" s="274"/>
      <c r="CP145" s="274"/>
      <c r="CQ145" s="274"/>
      <c r="CR145" s="274"/>
      <c r="CS145" s="274"/>
      <c r="CT145" s="274"/>
      <c r="CU145" s="274"/>
      <c r="CV145" s="274"/>
      <c r="CW145" s="274"/>
      <c r="CX145" s="275"/>
      <c r="CY145" s="273"/>
      <c r="CZ145" s="274"/>
      <c r="DA145" s="274"/>
      <c r="DB145" s="274"/>
      <c r="DC145" s="274"/>
      <c r="DD145" s="274"/>
      <c r="DE145" s="274"/>
      <c r="DF145" s="274"/>
      <c r="DG145" s="274"/>
      <c r="DH145" s="274"/>
      <c r="DI145" s="274"/>
      <c r="DJ145" s="274"/>
      <c r="DK145" s="274"/>
      <c r="DL145" s="274"/>
      <c r="DM145" s="274"/>
      <c r="DN145" s="274"/>
      <c r="DO145" s="275"/>
      <c r="DP145" s="273"/>
      <c r="DQ145" s="274"/>
      <c r="DR145" s="274"/>
      <c r="DS145" s="274"/>
      <c r="DT145" s="274"/>
      <c r="DU145" s="274"/>
      <c r="DV145" s="274"/>
      <c r="DW145" s="274"/>
      <c r="DX145" s="274"/>
      <c r="DY145" s="274"/>
      <c r="DZ145" s="274"/>
      <c r="EA145" s="274"/>
      <c r="EB145" s="274"/>
      <c r="EC145" s="274"/>
      <c r="ED145" s="274"/>
      <c r="EE145" s="274"/>
      <c r="EF145" s="275"/>
      <c r="EG145" s="273"/>
      <c r="EH145" s="274"/>
      <c r="EI145" s="274"/>
      <c r="EJ145" s="274"/>
      <c r="EK145" s="274"/>
      <c r="EL145" s="274"/>
      <c r="EM145" s="274"/>
      <c r="EN145" s="274"/>
      <c r="EO145" s="274"/>
      <c r="EP145" s="274"/>
      <c r="EQ145" s="274"/>
      <c r="ER145" s="274"/>
      <c r="ES145" s="274"/>
      <c r="ET145" s="274"/>
      <c r="EU145" s="274"/>
      <c r="EV145" s="274"/>
      <c r="EW145" s="275"/>
      <c r="EX145" s="273"/>
      <c r="EY145" s="274"/>
      <c r="EZ145" s="274"/>
      <c r="FA145" s="274"/>
      <c r="FB145" s="274"/>
      <c r="FC145" s="274"/>
      <c r="FD145" s="274"/>
      <c r="FE145" s="274"/>
      <c r="FF145" s="274"/>
      <c r="FG145" s="274"/>
      <c r="FH145" s="274"/>
      <c r="FI145" s="274"/>
      <c r="FJ145" s="274"/>
      <c r="FK145" s="274"/>
      <c r="FL145" s="274"/>
      <c r="FM145" s="274"/>
      <c r="FN145" s="275"/>
      <c r="FO145" s="273"/>
      <c r="FP145" s="274"/>
      <c r="FQ145" s="274"/>
      <c r="FR145" s="274"/>
      <c r="FS145" s="274"/>
      <c r="FT145" s="274"/>
      <c r="FU145" s="274"/>
      <c r="FV145" s="274"/>
      <c r="FW145" s="274"/>
      <c r="FX145" s="274"/>
      <c r="FY145" s="274"/>
      <c r="FZ145" s="274"/>
      <c r="GA145" s="274"/>
      <c r="GB145" s="274"/>
      <c r="GC145" s="274"/>
      <c r="GD145" s="274"/>
      <c r="GE145" s="275"/>
      <c r="GF145" s="273"/>
      <c r="GG145" s="274"/>
      <c r="GH145" s="274"/>
      <c r="GI145" s="274"/>
      <c r="GJ145" s="274"/>
      <c r="GK145" s="274"/>
      <c r="GL145" s="274"/>
      <c r="GM145" s="274"/>
      <c r="GN145" s="274"/>
      <c r="GO145" s="274"/>
      <c r="GP145" s="274"/>
      <c r="GQ145" s="274"/>
      <c r="GR145" s="274"/>
      <c r="GS145" s="274"/>
      <c r="GT145" s="274"/>
      <c r="GU145" s="274"/>
      <c r="GV145" s="275"/>
      <c r="GW145" s="273"/>
      <c r="GX145" s="274"/>
      <c r="GY145" s="274"/>
      <c r="GZ145" s="274"/>
      <c r="HA145" s="274"/>
      <c r="HB145" s="274"/>
      <c r="HC145" s="274"/>
      <c r="HD145" s="274"/>
      <c r="HE145" s="274"/>
      <c r="HF145" s="274"/>
      <c r="HG145" s="274"/>
      <c r="HH145" s="274"/>
      <c r="HI145" s="274"/>
      <c r="HJ145" s="274"/>
      <c r="HK145" s="274"/>
      <c r="HL145" s="274"/>
      <c r="HM145" s="275"/>
      <c r="HN145" s="273"/>
      <c r="HO145" s="274"/>
      <c r="HP145" s="274"/>
      <c r="HQ145" s="274"/>
      <c r="HR145" s="274"/>
      <c r="HS145" s="274"/>
      <c r="HT145" s="274"/>
      <c r="HU145" s="274"/>
      <c r="HV145" s="274"/>
      <c r="HW145" s="274"/>
      <c r="HX145" s="274"/>
      <c r="HY145" s="274"/>
      <c r="HZ145" s="274"/>
      <c r="IA145" s="274"/>
      <c r="IB145" s="274"/>
      <c r="IC145" s="274"/>
      <c r="ID145" s="275"/>
      <c r="IE145" s="273"/>
      <c r="IF145" s="274"/>
      <c r="IG145" s="274"/>
      <c r="IH145" s="274"/>
      <c r="II145" s="274"/>
      <c r="IJ145" s="274"/>
      <c r="IK145" s="274"/>
      <c r="IL145" s="274"/>
      <c r="IM145" s="274"/>
      <c r="IN145" s="274"/>
      <c r="IO145" s="274"/>
      <c r="IP145" s="274"/>
      <c r="IQ145" s="274"/>
      <c r="IR145" s="274"/>
      <c r="IS145" s="274"/>
      <c r="IT145" s="274"/>
      <c r="IU145" s="275"/>
      <c r="IV145" s="273"/>
      <c r="IW145" s="274"/>
      <c r="IX145" s="274"/>
      <c r="IY145" s="274"/>
      <c r="IZ145" s="274"/>
      <c r="JA145" s="274"/>
      <c r="JB145" s="274"/>
      <c r="JC145" s="274"/>
      <c r="JD145" s="274"/>
      <c r="JE145" s="274"/>
      <c r="JF145" s="274"/>
      <c r="JG145" s="274"/>
      <c r="JH145" s="274"/>
      <c r="JI145" s="274"/>
      <c r="JJ145" s="274"/>
      <c r="JK145" s="274"/>
      <c r="JL145" s="275"/>
      <c r="JM145" s="273"/>
      <c r="JN145" s="274"/>
      <c r="JO145" s="274"/>
      <c r="JP145" s="274"/>
      <c r="JQ145" s="274"/>
      <c r="JR145" s="274"/>
      <c r="JS145" s="274"/>
      <c r="JT145" s="274"/>
      <c r="JU145" s="274"/>
      <c r="JV145" s="274"/>
      <c r="JW145" s="274"/>
      <c r="JX145" s="274"/>
      <c r="JY145" s="274"/>
      <c r="JZ145" s="274"/>
      <c r="KA145" s="274"/>
      <c r="KB145" s="274"/>
      <c r="KC145" s="275"/>
      <c r="KD145" s="273"/>
      <c r="KE145" s="274"/>
      <c r="KF145" s="274"/>
      <c r="KG145" s="274"/>
      <c r="KH145" s="274"/>
      <c r="KI145" s="274"/>
      <c r="KJ145" s="274"/>
      <c r="KK145" s="274"/>
      <c r="KL145" s="274"/>
      <c r="KM145" s="274"/>
      <c r="KN145" s="274"/>
      <c r="KO145" s="274"/>
      <c r="KP145" s="274"/>
      <c r="KQ145" s="274"/>
      <c r="KR145" s="274"/>
      <c r="KS145" s="274"/>
      <c r="KT145" s="275"/>
      <c r="KU145" s="274"/>
    </row>
    <row r="146" ht="15.0" customHeight="1">
      <c r="A146" s="44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7"/>
      <c r="R146" s="44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7"/>
      <c r="AI146" s="44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  <c r="AV146" s="36"/>
      <c r="AW146" s="36"/>
      <c r="AX146" s="36"/>
      <c r="AY146" s="37"/>
      <c r="AZ146" s="44"/>
      <c r="BA146" s="36"/>
      <c r="BB146" s="36"/>
      <c r="BC146" s="36"/>
      <c r="BD146" s="36"/>
      <c r="BE146" s="36"/>
      <c r="BF146" s="36"/>
      <c r="BG146" s="36"/>
      <c r="BH146" s="36"/>
      <c r="BI146" s="36"/>
      <c r="BJ146" s="36"/>
      <c r="BK146" s="36"/>
      <c r="BL146" s="36"/>
      <c r="BM146" s="36"/>
      <c r="BN146" s="36"/>
      <c r="BO146" s="36"/>
      <c r="BP146" s="37"/>
      <c r="BQ146" s="44"/>
      <c r="BR146" s="36"/>
      <c r="BS146" s="36"/>
      <c r="BT146" s="36"/>
      <c r="BU146" s="36"/>
      <c r="BV146" s="36"/>
      <c r="BW146" s="36"/>
      <c r="BX146" s="36"/>
      <c r="BY146" s="36"/>
      <c r="BZ146" s="36"/>
      <c r="CA146" s="36"/>
      <c r="CB146" s="36"/>
      <c r="CC146" s="36"/>
      <c r="CD146" s="36"/>
      <c r="CE146" s="36"/>
      <c r="CF146" s="36"/>
      <c r="CG146" s="37"/>
      <c r="CH146" s="44"/>
      <c r="CI146" s="36"/>
      <c r="CJ146" s="36"/>
      <c r="CK146" s="36"/>
      <c r="CL146" s="36"/>
      <c r="CM146" s="36"/>
      <c r="CN146" s="36"/>
      <c r="CO146" s="36"/>
      <c r="CP146" s="36"/>
      <c r="CQ146" s="36"/>
      <c r="CR146" s="36"/>
      <c r="CS146" s="36"/>
      <c r="CT146" s="36"/>
      <c r="CU146" s="36"/>
      <c r="CV146" s="36"/>
      <c r="CW146" s="36"/>
      <c r="CX146" s="37"/>
      <c r="CY146" s="44"/>
      <c r="CZ146" s="36"/>
      <c r="DA146" s="36"/>
      <c r="DB146" s="36"/>
      <c r="DC146" s="36"/>
      <c r="DD146" s="36"/>
      <c r="DE146" s="36"/>
      <c r="DF146" s="36"/>
      <c r="DG146" s="36"/>
      <c r="DH146" s="36"/>
      <c r="DI146" s="36"/>
      <c r="DJ146" s="36"/>
      <c r="DK146" s="36"/>
      <c r="DL146" s="36"/>
      <c r="DM146" s="36"/>
      <c r="DN146" s="36"/>
      <c r="DO146" s="37"/>
      <c r="DP146" s="44"/>
      <c r="DQ146" s="36"/>
      <c r="DR146" s="36"/>
      <c r="DS146" s="36"/>
      <c r="DT146" s="36"/>
      <c r="DU146" s="36"/>
      <c r="DV146" s="36"/>
      <c r="DW146" s="36"/>
      <c r="DX146" s="36"/>
      <c r="DY146" s="36"/>
      <c r="DZ146" s="36"/>
      <c r="EA146" s="36"/>
      <c r="EB146" s="36"/>
      <c r="EC146" s="36"/>
      <c r="ED146" s="36"/>
      <c r="EE146" s="36"/>
      <c r="EF146" s="37"/>
      <c r="EG146" s="44"/>
      <c r="EH146" s="36"/>
      <c r="EI146" s="36"/>
      <c r="EJ146" s="36"/>
      <c r="EK146" s="36"/>
      <c r="EL146" s="36"/>
      <c r="EM146" s="36"/>
      <c r="EN146" s="36"/>
      <c r="EO146" s="36"/>
      <c r="EP146" s="36"/>
      <c r="EQ146" s="36"/>
      <c r="ER146" s="36"/>
      <c r="ES146" s="36"/>
      <c r="ET146" s="36"/>
      <c r="EU146" s="36"/>
      <c r="EV146" s="36"/>
      <c r="EW146" s="37"/>
      <c r="EX146" s="44"/>
      <c r="EY146" s="36"/>
      <c r="EZ146" s="36"/>
      <c r="FA146" s="36"/>
      <c r="FB146" s="36"/>
      <c r="FC146" s="36"/>
      <c r="FD146" s="36"/>
      <c r="FE146" s="36"/>
      <c r="FF146" s="36"/>
      <c r="FG146" s="36"/>
      <c r="FH146" s="36"/>
      <c r="FI146" s="36"/>
      <c r="FJ146" s="36"/>
      <c r="FK146" s="36"/>
      <c r="FL146" s="36"/>
      <c r="FM146" s="36"/>
      <c r="FN146" s="37"/>
      <c r="FO146" s="44"/>
      <c r="FP146" s="36"/>
      <c r="FQ146" s="36"/>
      <c r="FR146" s="36"/>
      <c r="FS146" s="36"/>
      <c r="FT146" s="36"/>
      <c r="FU146" s="36"/>
      <c r="FV146" s="36"/>
      <c r="FW146" s="36"/>
      <c r="FX146" s="36"/>
      <c r="FY146" s="36"/>
      <c r="FZ146" s="36"/>
      <c r="GA146" s="36"/>
      <c r="GB146" s="36"/>
      <c r="GC146" s="36"/>
      <c r="GD146" s="36"/>
      <c r="GE146" s="37"/>
      <c r="GF146" s="44"/>
      <c r="GG146" s="36"/>
      <c r="GH146" s="36"/>
      <c r="GI146" s="36"/>
      <c r="GJ146" s="36"/>
      <c r="GK146" s="36"/>
      <c r="GL146" s="36"/>
      <c r="GM146" s="36"/>
      <c r="GN146" s="36"/>
      <c r="GO146" s="36"/>
      <c r="GP146" s="36"/>
      <c r="GQ146" s="36"/>
      <c r="GR146" s="36"/>
      <c r="GS146" s="36"/>
      <c r="GT146" s="36"/>
      <c r="GU146" s="36"/>
      <c r="GV146" s="37"/>
      <c r="GW146" s="44"/>
      <c r="GX146" s="36"/>
      <c r="GY146" s="36"/>
      <c r="GZ146" s="36"/>
      <c r="HA146" s="36"/>
      <c r="HB146" s="36"/>
      <c r="HC146" s="36"/>
      <c r="HD146" s="36"/>
      <c r="HE146" s="36"/>
      <c r="HF146" s="36"/>
      <c r="HG146" s="36"/>
      <c r="HH146" s="36"/>
      <c r="HI146" s="36"/>
      <c r="HJ146" s="36"/>
      <c r="HK146" s="36"/>
      <c r="HL146" s="36"/>
      <c r="HM146" s="37"/>
      <c r="HN146" s="44"/>
      <c r="HO146" s="36"/>
      <c r="HP146" s="36"/>
      <c r="HQ146" s="36"/>
      <c r="HR146" s="36"/>
      <c r="HS146" s="36"/>
      <c r="HT146" s="36"/>
      <c r="HU146" s="36"/>
      <c r="HV146" s="36"/>
      <c r="HW146" s="36"/>
      <c r="HX146" s="36"/>
      <c r="HY146" s="36"/>
      <c r="HZ146" s="36"/>
      <c r="IA146" s="36"/>
      <c r="IB146" s="36"/>
      <c r="IC146" s="36"/>
      <c r="ID146" s="37"/>
      <c r="IE146" s="44"/>
      <c r="IF146" s="36"/>
      <c r="IG146" s="36"/>
      <c r="IH146" s="36"/>
      <c r="II146" s="36"/>
      <c r="IJ146" s="36"/>
      <c r="IK146" s="36"/>
      <c r="IL146" s="36"/>
      <c r="IM146" s="36"/>
      <c r="IN146" s="36"/>
      <c r="IO146" s="36"/>
      <c r="IP146" s="36"/>
      <c r="IQ146" s="36"/>
      <c r="IR146" s="36"/>
      <c r="IS146" s="36"/>
      <c r="IT146" s="36"/>
      <c r="IU146" s="37"/>
      <c r="IV146" s="44"/>
      <c r="IW146" s="36"/>
      <c r="IX146" s="36"/>
      <c r="IY146" s="36"/>
      <c r="IZ146" s="36"/>
      <c r="JA146" s="36"/>
      <c r="JB146" s="36"/>
      <c r="JC146" s="36"/>
      <c r="JD146" s="36"/>
      <c r="JE146" s="36"/>
      <c r="JF146" s="36"/>
      <c r="JG146" s="36"/>
      <c r="JH146" s="36"/>
      <c r="JI146" s="36"/>
      <c r="JJ146" s="36"/>
      <c r="JK146" s="36"/>
      <c r="JL146" s="37"/>
      <c r="JM146" s="44"/>
      <c r="JN146" s="36"/>
      <c r="JO146" s="36"/>
      <c r="JP146" s="36"/>
      <c r="JQ146" s="36"/>
      <c r="JR146" s="36"/>
      <c r="JS146" s="36"/>
      <c r="JT146" s="36"/>
      <c r="JU146" s="36"/>
      <c r="JV146" s="36"/>
      <c r="JW146" s="36"/>
      <c r="JX146" s="36"/>
      <c r="JY146" s="36"/>
      <c r="JZ146" s="36"/>
      <c r="KA146" s="36"/>
      <c r="KB146" s="36"/>
      <c r="KC146" s="37"/>
      <c r="KD146" s="44"/>
      <c r="KE146" s="36"/>
      <c r="KF146" s="36"/>
      <c r="KG146" s="36"/>
      <c r="KH146" s="36"/>
      <c r="KI146" s="36"/>
      <c r="KJ146" s="36"/>
      <c r="KK146" s="36"/>
      <c r="KL146" s="36"/>
      <c r="KM146" s="36"/>
      <c r="KN146" s="36"/>
      <c r="KO146" s="36"/>
      <c r="KP146" s="36"/>
      <c r="KQ146" s="36"/>
      <c r="KR146" s="36"/>
      <c r="KS146" s="36"/>
      <c r="KT146" s="37"/>
      <c r="KU146" s="36"/>
    </row>
    <row r="147" ht="15.0" customHeight="1">
      <c r="A147" s="44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7"/>
      <c r="R147" s="44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7"/>
      <c r="AI147" s="44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  <c r="AU147" s="36"/>
      <c r="AV147" s="36"/>
      <c r="AW147" s="36"/>
      <c r="AX147" s="36"/>
      <c r="AY147" s="37"/>
      <c r="AZ147" s="44"/>
      <c r="BA147" s="36"/>
      <c r="BB147" s="36"/>
      <c r="BC147" s="36"/>
      <c r="BD147" s="36"/>
      <c r="BE147" s="36"/>
      <c r="BF147" s="36"/>
      <c r="BG147" s="36"/>
      <c r="BH147" s="36"/>
      <c r="BI147" s="36"/>
      <c r="BJ147" s="36"/>
      <c r="BK147" s="36"/>
      <c r="BL147" s="36"/>
      <c r="BM147" s="36"/>
      <c r="BN147" s="36"/>
      <c r="BO147" s="36"/>
      <c r="BP147" s="37"/>
      <c r="BQ147" s="44"/>
      <c r="BR147" s="36"/>
      <c r="BS147" s="36"/>
      <c r="BT147" s="36"/>
      <c r="BU147" s="36"/>
      <c r="BV147" s="36"/>
      <c r="BW147" s="36"/>
      <c r="BX147" s="36"/>
      <c r="BY147" s="36"/>
      <c r="BZ147" s="36"/>
      <c r="CA147" s="36"/>
      <c r="CB147" s="36"/>
      <c r="CC147" s="36"/>
      <c r="CD147" s="36"/>
      <c r="CE147" s="36"/>
      <c r="CF147" s="36"/>
      <c r="CG147" s="37"/>
      <c r="CH147" s="44"/>
      <c r="CI147" s="36"/>
      <c r="CJ147" s="36"/>
      <c r="CK147" s="36"/>
      <c r="CL147" s="36"/>
      <c r="CM147" s="36"/>
      <c r="CN147" s="36"/>
      <c r="CO147" s="36"/>
      <c r="CP147" s="36"/>
      <c r="CQ147" s="36"/>
      <c r="CR147" s="36"/>
      <c r="CS147" s="36"/>
      <c r="CT147" s="36"/>
      <c r="CU147" s="36"/>
      <c r="CV147" s="36"/>
      <c r="CW147" s="36"/>
      <c r="CX147" s="37"/>
      <c r="CY147" s="44"/>
      <c r="CZ147" s="36"/>
      <c r="DA147" s="36"/>
      <c r="DB147" s="36"/>
      <c r="DC147" s="36"/>
      <c r="DD147" s="36"/>
      <c r="DE147" s="36"/>
      <c r="DF147" s="36"/>
      <c r="DG147" s="36"/>
      <c r="DH147" s="36"/>
      <c r="DI147" s="36"/>
      <c r="DJ147" s="36"/>
      <c r="DK147" s="36"/>
      <c r="DL147" s="36"/>
      <c r="DM147" s="36"/>
      <c r="DN147" s="36"/>
      <c r="DO147" s="37"/>
      <c r="DP147" s="44"/>
      <c r="DQ147" s="36"/>
      <c r="DR147" s="36"/>
      <c r="DS147" s="36"/>
      <c r="DT147" s="36"/>
      <c r="DU147" s="36"/>
      <c r="DV147" s="36"/>
      <c r="DW147" s="36"/>
      <c r="DX147" s="36"/>
      <c r="DY147" s="36"/>
      <c r="DZ147" s="36"/>
      <c r="EA147" s="36"/>
      <c r="EB147" s="36"/>
      <c r="EC147" s="36"/>
      <c r="ED147" s="36"/>
      <c r="EE147" s="36"/>
      <c r="EF147" s="37"/>
      <c r="EG147" s="44"/>
      <c r="EH147" s="36"/>
      <c r="EI147" s="36"/>
      <c r="EJ147" s="36"/>
      <c r="EK147" s="36"/>
      <c r="EL147" s="36"/>
      <c r="EM147" s="36"/>
      <c r="EN147" s="36"/>
      <c r="EO147" s="36"/>
      <c r="EP147" s="36"/>
      <c r="EQ147" s="36"/>
      <c r="ER147" s="36"/>
      <c r="ES147" s="36"/>
      <c r="ET147" s="36"/>
      <c r="EU147" s="36"/>
      <c r="EV147" s="36"/>
      <c r="EW147" s="37"/>
      <c r="EX147" s="44"/>
      <c r="EY147" s="36"/>
      <c r="EZ147" s="36"/>
      <c r="FA147" s="36"/>
      <c r="FB147" s="36"/>
      <c r="FC147" s="36"/>
      <c r="FD147" s="36"/>
      <c r="FE147" s="36"/>
      <c r="FF147" s="36"/>
      <c r="FG147" s="36"/>
      <c r="FH147" s="36"/>
      <c r="FI147" s="36"/>
      <c r="FJ147" s="36"/>
      <c r="FK147" s="36"/>
      <c r="FL147" s="36"/>
      <c r="FM147" s="36"/>
      <c r="FN147" s="37"/>
      <c r="FO147" s="44"/>
      <c r="FP147" s="36"/>
      <c r="FQ147" s="36"/>
      <c r="FR147" s="36"/>
      <c r="FS147" s="36"/>
      <c r="FT147" s="36"/>
      <c r="FU147" s="36"/>
      <c r="FV147" s="36"/>
      <c r="FW147" s="36"/>
      <c r="FX147" s="36"/>
      <c r="FY147" s="36"/>
      <c r="FZ147" s="36"/>
      <c r="GA147" s="36"/>
      <c r="GB147" s="36"/>
      <c r="GC147" s="36"/>
      <c r="GD147" s="36"/>
      <c r="GE147" s="37"/>
      <c r="GF147" s="44"/>
      <c r="GG147" s="36"/>
      <c r="GH147" s="36"/>
      <c r="GI147" s="36"/>
      <c r="GJ147" s="36"/>
      <c r="GK147" s="36"/>
      <c r="GL147" s="36"/>
      <c r="GM147" s="36"/>
      <c r="GN147" s="36"/>
      <c r="GO147" s="36"/>
      <c r="GP147" s="36"/>
      <c r="GQ147" s="36"/>
      <c r="GR147" s="36"/>
      <c r="GS147" s="36"/>
      <c r="GT147" s="36"/>
      <c r="GU147" s="36"/>
      <c r="GV147" s="37"/>
      <c r="GW147" s="44"/>
      <c r="GX147" s="36"/>
      <c r="GY147" s="36"/>
      <c r="GZ147" s="36"/>
      <c r="HA147" s="36"/>
      <c r="HB147" s="36"/>
      <c r="HC147" s="36"/>
      <c r="HD147" s="36"/>
      <c r="HE147" s="36"/>
      <c r="HF147" s="36"/>
      <c r="HG147" s="36"/>
      <c r="HH147" s="36"/>
      <c r="HI147" s="36"/>
      <c r="HJ147" s="36"/>
      <c r="HK147" s="36"/>
      <c r="HL147" s="36"/>
      <c r="HM147" s="37"/>
      <c r="HN147" s="44"/>
      <c r="HO147" s="36"/>
      <c r="HP147" s="36"/>
      <c r="HQ147" s="36"/>
      <c r="HR147" s="36"/>
      <c r="HS147" s="36"/>
      <c r="HT147" s="36"/>
      <c r="HU147" s="36"/>
      <c r="HV147" s="36"/>
      <c r="HW147" s="36"/>
      <c r="HX147" s="36"/>
      <c r="HY147" s="36"/>
      <c r="HZ147" s="36"/>
      <c r="IA147" s="36"/>
      <c r="IB147" s="36"/>
      <c r="IC147" s="36"/>
      <c r="ID147" s="37"/>
      <c r="IE147" s="44"/>
      <c r="IF147" s="36"/>
      <c r="IG147" s="36"/>
      <c r="IH147" s="36"/>
      <c r="II147" s="36"/>
      <c r="IJ147" s="36"/>
      <c r="IK147" s="36"/>
      <c r="IL147" s="36"/>
      <c r="IM147" s="36"/>
      <c r="IN147" s="36"/>
      <c r="IO147" s="36"/>
      <c r="IP147" s="36"/>
      <c r="IQ147" s="36"/>
      <c r="IR147" s="36"/>
      <c r="IS147" s="36"/>
      <c r="IT147" s="36"/>
      <c r="IU147" s="37"/>
      <c r="IV147" s="44"/>
      <c r="IW147" s="36"/>
      <c r="IX147" s="36"/>
      <c r="IY147" s="36"/>
      <c r="IZ147" s="36"/>
      <c r="JA147" s="36"/>
      <c r="JB147" s="36"/>
      <c r="JC147" s="36"/>
      <c r="JD147" s="36"/>
      <c r="JE147" s="36"/>
      <c r="JF147" s="36"/>
      <c r="JG147" s="36"/>
      <c r="JH147" s="36"/>
      <c r="JI147" s="36"/>
      <c r="JJ147" s="36"/>
      <c r="JK147" s="36"/>
      <c r="JL147" s="37"/>
      <c r="JM147" s="44"/>
      <c r="JN147" s="36"/>
      <c r="JO147" s="36"/>
      <c r="JP147" s="36"/>
      <c r="JQ147" s="36"/>
      <c r="JR147" s="36"/>
      <c r="JS147" s="36"/>
      <c r="JT147" s="36"/>
      <c r="JU147" s="36"/>
      <c r="JV147" s="36"/>
      <c r="JW147" s="36"/>
      <c r="JX147" s="36"/>
      <c r="JY147" s="36"/>
      <c r="JZ147" s="36"/>
      <c r="KA147" s="36"/>
      <c r="KB147" s="36"/>
      <c r="KC147" s="37"/>
      <c r="KD147" s="44"/>
      <c r="KE147" s="36"/>
      <c r="KF147" s="36"/>
      <c r="KG147" s="36"/>
      <c r="KH147" s="36"/>
      <c r="KI147" s="36"/>
      <c r="KJ147" s="36"/>
      <c r="KK147" s="36"/>
      <c r="KL147" s="36"/>
      <c r="KM147" s="36"/>
      <c r="KN147" s="36"/>
      <c r="KO147" s="36"/>
      <c r="KP147" s="36"/>
      <c r="KQ147" s="36"/>
      <c r="KR147" s="36"/>
      <c r="KS147" s="36"/>
      <c r="KT147" s="37"/>
      <c r="KU147" s="36"/>
    </row>
    <row r="148" ht="15.0" customHeight="1">
      <c r="A148" s="326"/>
      <c r="B148" s="327" t="s">
        <v>24</v>
      </c>
      <c r="C148" s="327" t="str">
        <f t="shared" ref="C148:C152" si="2110">C112</f>
        <v>: Provinsi Sulawesi Tenggara</v>
      </c>
      <c r="D148" s="327"/>
      <c r="E148" s="327"/>
      <c r="F148" s="327"/>
      <c r="G148" s="327" t="s">
        <v>25</v>
      </c>
      <c r="H148" s="327"/>
      <c r="I148" s="328"/>
      <c r="J148" s="329"/>
      <c r="K148" s="329"/>
      <c r="L148" s="329"/>
      <c r="M148" s="329"/>
      <c r="N148" s="329"/>
      <c r="O148" s="329"/>
      <c r="P148" s="49" t="s">
        <v>60</v>
      </c>
      <c r="Q148" s="330"/>
      <c r="R148" s="326"/>
      <c r="S148" s="327" t="s">
        <v>24</v>
      </c>
      <c r="T148" s="327" t="str">
        <f t="shared" ref="T148:T151" si="2111">C148</f>
        <v>: Provinsi Sulawesi Tenggara</v>
      </c>
      <c r="U148" s="327"/>
      <c r="V148" s="327"/>
      <c r="W148" s="327"/>
      <c r="X148" s="327" t="s">
        <v>25</v>
      </c>
      <c r="Y148" s="327"/>
      <c r="Z148" s="328"/>
      <c r="AA148" s="329"/>
      <c r="AB148" s="329"/>
      <c r="AC148" s="329"/>
      <c r="AD148" s="329"/>
      <c r="AE148" s="329"/>
      <c r="AF148" s="329"/>
      <c r="AG148" s="49" t="s">
        <v>60</v>
      </c>
      <c r="AH148" s="330"/>
      <c r="AI148" s="326"/>
      <c r="AJ148" s="327" t="s">
        <v>24</v>
      </c>
      <c r="AK148" s="327" t="str">
        <f t="shared" ref="AK148:AK151" si="2112">T148</f>
        <v>: Provinsi Sulawesi Tenggara</v>
      </c>
      <c r="AL148" s="327"/>
      <c r="AM148" s="327"/>
      <c r="AN148" s="327"/>
      <c r="AO148" s="327" t="s">
        <v>25</v>
      </c>
      <c r="AP148" s="327"/>
      <c r="AQ148" s="328"/>
      <c r="AR148" s="329"/>
      <c r="AS148" s="329"/>
      <c r="AT148" s="329"/>
      <c r="AU148" s="329"/>
      <c r="AV148" s="329"/>
      <c r="AW148" s="329"/>
      <c r="AX148" s="49" t="s">
        <v>60</v>
      </c>
      <c r="AY148" s="330"/>
      <c r="AZ148" s="326"/>
      <c r="BA148" s="327" t="s">
        <v>24</v>
      </c>
      <c r="BB148" s="327" t="str">
        <f t="shared" ref="BB148:BB151" si="2113">AK148</f>
        <v>: Provinsi Sulawesi Tenggara</v>
      </c>
      <c r="BC148" s="327"/>
      <c r="BD148" s="327"/>
      <c r="BE148" s="327"/>
      <c r="BF148" s="327" t="s">
        <v>25</v>
      </c>
      <c r="BG148" s="327"/>
      <c r="BH148" s="328"/>
      <c r="BI148" s="329"/>
      <c r="BJ148" s="329"/>
      <c r="BK148" s="329"/>
      <c r="BL148" s="329"/>
      <c r="BM148" s="329"/>
      <c r="BN148" s="329"/>
      <c r="BO148" s="49" t="s">
        <v>60</v>
      </c>
      <c r="BP148" s="330"/>
      <c r="BQ148" s="326"/>
      <c r="BR148" s="327" t="s">
        <v>24</v>
      </c>
      <c r="BS148" s="327" t="str">
        <f t="shared" ref="BS148:BS151" si="2114">BB148</f>
        <v>: Provinsi Sulawesi Tenggara</v>
      </c>
      <c r="BT148" s="327"/>
      <c r="BU148" s="327"/>
      <c r="BV148" s="327"/>
      <c r="BW148" s="327" t="s">
        <v>25</v>
      </c>
      <c r="BX148" s="327"/>
      <c r="BY148" s="328"/>
      <c r="BZ148" s="329"/>
      <c r="CA148" s="329"/>
      <c r="CB148" s="329"/>
      <c r="CC148" s="329"/>
      <c r="CD148" s="329"/>
      <c r="CE148" s="329"/>
      <c r="CF148" s="49" t="s">
        <v>60</v>
      </c>
      <c r="CG148" s="330"/>
      <c r="CH148" s="326"/>
      <c r="CI148" s="327" t="s">
        <v>24</v>
      </c>
      <c r="CJ148" s="327" t="str">
        <f t="shared" ref="CJ148:CJ151" si="2115">BS148</f>
        <v>: Provinsi Sulawesi Tenggara</v>
      </c>
      <c r="CK148" s="327"/>
      <c r="CL148" s="327"/>
      <c r="CM148" s="327"/>
      <c r="CN148" s="327" t="s">
        <v>25</v>
      </c>
      <c r="CO148" s="327"/>
      <c r="CP148" s="328"/>
      <c r="CQ148" s="329"/>
      <c r="CR148" s="329"/>
      <c r="CS148" s="329"/>
      <c r="CT148" s="329"/>
      <c r="CU148" s="329"/>
      <c r="CV148" s="329"/>
      <c r="CW148" s="49" t="s">
        <v>60</v>
      </c>
      <c r="CX148" s="330"/>
      <c r="CY148" s="326"/>
      <c r="CZ148" s="327" t="s">
        <v>24</v>
      </c>
      <c r="DA148" s="327" t="str">
        <f t="shared" ref="DA148:DA151" si="2116">CJ148</f>
        <v>: Provinsi Sulawesi Tenggara</v>
      </c>
      <c r="DB148" s="327"/>
      <c r="DC148" s="327"/>
      <c r="DD148" s="327"/>
      <c r="DE148" s="327" t="s">
        <v>25</v>
      </c>
      <c r="DF148" s="327"/>
      <c r="DG148" s="328"/>
      <c r="DH148" s="329"/>
      <c r="DI148" s="329"/>
      <c r="DJ148" s="329"/>
      <c r="DK148" s="329"/>
      <c r="DL148" s="329"/>
      <c r="DM148" s="329"/>
      <c r="DN148" s="49" t="s">
        <v>60</v>
      </c>
      <c r="DO148" s="330"/>
      <c r="DP148" s="326"/>
      <c r="DQ148" s="327" t="s">
        <v>24</v>
      </c>
      <c r="DR148" s="327" t="str">
        <f t="shared" ref="DR148:DR151" si="2117">DA148</f>
        <v>: Provinsi Sulawesi Tenggara</v>
      </c>
      <c r="DS148" s="327"/>
      <c r="DT148" s="327"/>
      <c r="DU148" s="327"/>
      <c r="DV148" s="327" t="s">
        <v>25</v>
      </c>
      <c r="DW148" s="327"/>
      <c r="DX148" s="328"/>
      <c r="DY148" s="329"/>
      <c r="DZ148" s="329"/>
      <c r="EA148" s="329"/>
      <c r="EB148" s="329"/>
      <c r="EC148" s="329"/>
      <c r="ED148" s="329"/>
      <c r="EE148" s="49" t="s">
        <v>60</v>
      </c>
      <c r="EF148" s="330"/>
      <c r="EG148" s="326"/>
      <c r="EH148" s="327" t="s">
        <v>24</v>
      </c>
      <c r="EI148" s="327" t="str">
        <f t="shared" ref="EI148:EI151" si="2118">DR148</f>
        <v>: Provinsi Sulawesi Tenggara</v>
      </c>
      <c r="EJ148" s="327"/>
      <c r="EK148" s="327"/>
      <c r="EL148" s="327"/>
      <c r="EM148" s="327" t="s">
        <v>25</v>
      </c>
      <c r="EN148" s="327"/>
      <c r="EO148" s="328"/>
      <c r="EP148" s="329"/>
      <c r="EQ148" s="329"/>
      <c r="ER148" s="329"/>
      <c r="ES148" s="329"/>
      <c r="ET148" s="329"/>
      <c r="EU148" s="329"/>
      <c r="EV148" s="49" t="s">
        <v>60</v>
      </c>
      <c r="EW148" s="330"/>
      <c r="EX148" s="326"/>
      <c r="EY148" s="327" t="s">
        <v>24</v>
      </c>
      <c r="EZ148" s="327" t="str">
        <f t="shared" ref="EZ148:EZ151" si="2119">EI148</f>
        <v>: Provinsi Sulawesi Tenggara</v>
      </c>
      <c r="FA148" s="327"/>
      <c r="FB148" s="327"/>
      <c r="FC148" s="327"/>
      <c r="FD148" s="327" t="s">
        <v>25</v>
      </c>
      <c r="FE148" s="327"/>
      <c r="FF148" s="328"/>
      <c r="FG148" s="329"/>
      <c r="FH148" s="329"/>
      <c r="FI148" s="329"/>
      <c r="FJ148" s="329"/>
      <c r="FK148" s="329"/>
      <c r="FL148" s="329"/>
      <c r="FM148" s="49" t="s">
        <v>60</v>
      </c>
      <c r="FN148" s="330"/>
      <c r="FO148" s="326"/>
      <c r="FP148" s="327" t="s">
        <v>24</v>
      </c>
      <c r="FQ148" s="327" t="str">
        <f t="shared" ref="FQ148:FQ151" si="2120">EZ148</f>
        <v>: Provinsi Sulawesi Tenggara</v>
      </c>
      <c r="FR148" s="327"/>
      <c r="FS148" s="327"/>
      <c r="FT148" s="327"/>
      <c r="FU148" s="327" t="s">
        <v>25</v>
      </c>
      <c r="FV148" s="327"/>
      <c r="FW148" s="328"/>
      <c r="FX148" s="329"/>
      <c r="FY148" s="329"/>
      <c r="FZ148" s="329"/>
      <c r="GA148" s="329"/>
      <c r="GB148" s="329"/>
      <c r="GC148" s="329"/>
      <c r="GD148" s="49" t="s">
        <v>60</v>
      </c>
      <c r="GE148" s="330"/>
      <c r="GF148" s="326"/>
      <c r="GG148" s="327" t="s">
        <v>24</v>
      </c>
      <c r="GH148" s="327" t="str">
        <f t="shared" ref="GH148:GH151" si="2121">FQ148</f>
        <v>: Provinsi Sulawesi Tenggara</v>
      </c>
      <c r="GI148" s="327"/>
      <c r="GJ148" s="327"/>
      <c r="GK148" s="327"/>
      <c r="GL148" s="327" t="s">
        <v>25</v>
      </c>
      <c r="GM148" s="327"/>
      <c r="GN148" s="328"/>
      <c r="GO148" s="329"/>
      <c r="GP148" s="329"/>
      <c r="GQ148" s="329"/>
      <c r="GR148" s="329"/>
      <c r="GS148" s="329"/>
      <c r="GT148" s="329"/>
      <c r="GU148" s="49" t="s">
        <v>60</v>
      </c>
      <c r="GV148" s="330"/>
      <c r="GW148" s="326"/>
      <c r="GX148" s="327" t="s">
        <v>24</v>
      </c>
      <c r="GY148" s="327" t="str">
        <f t="shared" ref="GY148:GY151" si="2122">GH148</f>
        <v>: Provinsi Sulawesi Tenggara</v>
      </c>
      <c r="GZ148" s="327"/>
      <c r="HA148" s="327"/>
      <c r="HB148" s="327"/>
      <c r="HC148" s="327" t="s">
        <v>25</v>
      </c>
      <c r="HD148" s="327"/>
      <c r="HE148" s="328"/>
      <c r="HF148" s="329"/>
      <c r="HG148" s="329"/>
      <c r="HH148" s="329"/>
      <c r="HI148" s="329"/>
      <c r="HJ148" s="329"/>
      <c r="HK148" s="329"/>
      <c r="HL148" s="49" t="s">
        <v>60</v>
      </c>
      <c r="HM148" s="330"/>
      <c r="HN148" s="326"/>
      <c r="HO148" s="327" t="s">
        <v>24</v>
      </c>
      <c r="HP148" s="327" t="str">
        <f t="shared" ref="HP148:HP151" si="2123">GY148</f>
        <v>: Provinsi Sulawesi Tenggara</v>
      </c>
      <c r="HQ148" s="327"/>
      <c r="HR148" s="327"/>
      <c r="HS148" s="327"/>
      <c r="HT148" s="327" t="s">
        <v>25</v>
      </c>
      <c r="HU148" s="327"/>
      <c r="HV148" s="328"/>
      <c r="HW148" s="329"/>
      <c r="HX148" s="329"/>
      <c r="HY148" s="329"/>
      <c r="HZ148" s="329"/>
      <c r="IA148" s="329"/>
      <c r="IB148" s="329"/>
      <c r="IC148" s="49" t="s">
        <v>60</v>
      </c>
      <c r="ID148" s="330"/>
      <c r="IE148" s="326"/>
      <c r="IF148" s="327" t="s">
        <v>24</v>
      </c>
      <c r="IG148" s="327" t="str">
        <f t="shared" ref="IG148:IG151" si="2124">HP148</f>
        <v>: Provinsi Sulawesi Tenggara</v>
      </c>
      <c r="IH148" s="327"/>
      <c r="II148" s="327"/>
      <c r="IJ148" s="327"/>
      <c r="IK148" s="327" t="s">
        <v>25</v>
      </c>
      <c r="IL148" s="327"/>
      <c r="IM148" s="328"/>
      <c r="IN148" s="329"/>
      <c r="IO148" s="329"/>
      <c r="IP148" s="329"/>
      <c r="IQ148" s="329"/>
      <c r="IR148" s="329"/>
      <c r="IS148" s="329"/>
      <c r="IT148" s="49" t="s">
        <v>60</v>
      </c>
      <c r="IU148" s="330"/>
      <c r="IV148" s="326"/>
      <c r="IW148" s="327" t="s">
        <v>24</v>
      </c>
      <c r="IX148" s="327" t="str">
        <f t="shared" ref="IX148:IX151" si="2125">IG148</f>
        <v>: Provinsi Sulawesi Tenggara</v>
      </c>
      <c r="IY148" s="327"/>
      <c r="IZ148" s="327"/>
      <c r="JA148" s="327"/>
      <c r="JB148" s="327" t="s">
        <v>25</v>
      </c>
      <c r="JC148" s="327"/>
      <c r="JD148" s="328"/>
      <c r="JE148" s="329"/>
      <c r="JF148" s="329"/>
      <c r="JG148" s="329"/>
      <c r="JH148" s="329"/>
      <c r="JI148" s="329"/>
      <c r="JJ148" s="329"/>
      <c r="JK148" s="49" t="s">
        <v>60</v>
      </c>
      <c r="JL148" s="331"/>
      <c r="JM148" s="326"/>
      <c r="JN148" s="327" t="s">
        <v>24</v>
      </c>
      <c r="JO148" s="327" t="str">
        <f t="shared" ref="JO148:JO151" si="2126">IX148</f>
        <v>: Provinsi Sulawesi Tenggara</v>
      </c>
      <c r="JP148" s="327"/>
      <c r="JQ148" s="327"/>
      <c r="JR148" s="327"/>
      <c r="JS148" s="327" t="s">
        <v>25</v>
      </c>
      <c r="JT148" s="327"/>
      <c r="JU148" s="328"/>
      <c r="JV148" s="329"/>
      <c r="JW148" s="329"/>
      <c r="JX148" s="329"/>
      <c r="JY148" s="329"/>
      <c r="JZ148" s="329"/>
      <c r="KA148" s="329"/>
      <c r="KB148" s="49" t="s">
        <v>60</v>
      </c>
      <c r="KC148" s="331"/>
      <c r="KD148" s="326"/>
      <c r="KE148" s="327" t="s">
        <v>24</v>
      </c>
      <c r="KF148" s="327" t="str">
        <f t="shared" ref="KF148:KF151" si="2127">JO148</f>
        <v>: Provinsi Sulawesi Tenggara</v>
      </c>
      <c r="KG148" s="327"/>
      <c r="KH148" s="327"/>
      <c r="KI148" s="327"/>
      <c r="KJ148" s="327" t="s">
        <v>25</v>
      </c>
      <c r="KK148" s="327"/>
      <c r="KL148" s="328"/>
      <c r="KM148" s="329"/>
      <c r="KN148" s="329"/>
      <c r="KO148" s="329"/>
      <c r="KP148" s="329"/>
      <c r="KQ148" s="329"/>
      <c r="KR148" s="329"/>
      <c r="KS148" s="49" t="s">
        <v>60</v>
      </c>
      <c r="KT148" s="331"/>
      <c r="KU148" s="329"/>
    </row>
    <row r="149" ht="15.0" customHeight="1">
      <c r="A149" s="332"/>
      <c r="B149" s="333" t="s">
        <v>27</v>
      </c>
      <c r="C149" s="333" t="str">
        <f t="shared" si="2110"/>
        <v>: Pertambangan dan Penggalian    </v>
      </c>
      <c r="D149" s="333"/>
      <c r="E149" s="333"/>
      <c r="F149" s="333"/>
      <c r="G149" s="333" t="s">
        <v>28</v>
      </c>
      <c r="H149" s="333"/>
      <c r="I149" s="334"/>
      <c r="J149" s="329"/>
      <c r="K149" s="329"/>
      <c r="L149" s="329"/>
      <c r="M149" s="329"/>
      <c r="N149" s="329"/>
      <c r="O149" s="329"/>
      <c r="P149" s="55"/>
      <c r="Q149" s="330"/>
      <c r="R149" s="332"/>
      <c r="S149" s="333" t="s">
        <v>27</v>
      </c>
      <c r="T149" s="333" t="str">
        <f t="shared" si="2111"/>
        <v>: Pertambangan dan Penggalian    </v>
      </c>
      <c r="U149" s="333"/>
      <c r="V149" s="333"/>
      <c r="W149" s="333"/>
      <c r="X149" s="333" t="s">
        <v>28</v>
      </c>
      <c r="Y149" s="333"/>
      <c r="Z149" s="334"/>
      <c r="AA149" s="329"/>
      <c r="AB149" s="329"/>
      <c r="AC149" s="329"/>
      <c r="AD149" s="329"/>
      <c r="AE149" s="329"/>
      <c r="AF149" s="329"/>
      <c r="AG149" s="55"/>
      <c r="AH149" s="330"/>
      <c r="AI149" s="332"/>
      <c r="AJ149" s="333" t="s">
        <v>27</v>
      </c>
      <c r="AK149" s="333" t="str">
        <f t="shared" si="2112"/>
        <v>: Pertambangan dan Penggalian    </v>
      </c>
      <c r="AL149" s="333"/>
      <c r="AM149" s="333"/>
      <c r="AN149" s="333"/>
      <c r="AO149" s="333" t="s">
        <v>28</v>
      </c>
      <c r="AP149" s="333"/>
      <c r="AQ149" s="334"/>
      <c r="AR149" s="329"/>
      <c r="AS149" s="329"/>
      <c r="AT149" s="329"/>
      <c r="AU149" s="329"/>
      <c r="AV149" s="329"/>
      <c r="AW149" s="329"/>
      <c r="AX149" s="55"/>
      <c r="AY149" s="330"/>
      <c r="AZ149" s="332"/>
      <c r="BA149" s="333" t="s">
        <v>27</v>
      </c>
      <c r="BB149" s="333" t="str">
        <f t="shared" si="2113"/>
        <v>: Pertambangan dan Penggalian    </v>
      </c>
      <c r="BC149" s="333"/>
      <c r="BD149" s="333"/>
      <c r="BE149" s="333"/>
      <c r="BF149" s="333" t="s">
        <v>28</v>
      </c>
      <c r="BG149" s="333"/>
      <c r="BH149" s="334"/>
      <c r="BI149" s="329"/>
      <c r="BJ149" s="329"/>
      <c r="BK149" s="329"/>
      <c r="BL149" s="329"/>
      <c r="BM149" s="329"/>
      <c r="BN149" s="329"/>
      <c r="BO149" s="55"/>
      <c r="BP149" s="330"/>
      <c r="BQ149" s="332"/>
      <c r="BR149" s="333" t="s">
        <v>27</v>
      </c>
      <c r="BS149" s="333" t="str">
        <f t="shared" si="2114"/>
        <v>: Pertambangan dan Penggalian    </v>
      </c>
      <c r="BT149" s="333"/>
      <c r="BU149" s="333"/>
      <c r="BV149" s="333"/>
      <c r="BW149" s="333" t="s">
        <v>28</v>
      </c>
      <c r="BX149" s="333"/>
      <c r="BY149" s="334"/>
      <c r="BZ149" s="329"/>
      <c r="CA149" s="329"/>
      <c r="CB149" s="329"/>
      <c r="CC149" s="329"/>
      <c r="CD149" s="329"/>
      <c r="CE149" s="329"/>
      <c r="CF149" s="55"/>
      <c r="CG149" s="330"/>
      <c r="CH149" s="332"/>
      <c r="CI149" s="333" t="s">
        <v>27</v>
      </c>
      <c r="CJ149" s="333" t="str">
        <f t="shared" si="2115"/>
        <v>: Pertambangan dan Penggalian    </v>
      </c>
      <c r="CK149" s="333"/>
      <c r="CL149" s="333"/>
      <c r="CM149" s="333"/>
      <c r="CN149" s="333" t="s">
        <v>28</v>
      </c>
      <c r="CO149" s="333"/>
      <c r="CP149" s="334"/>
      <c r="CQ149" s="329"/>
      <c r="CR149" s="329"/>
      <c r="CS149" s="329"/>
      <c r="CT149" s="329"/>
      <c r="CU149" s="329"/>
      <c r="CV149" s="329"/>
      <c r="CW149" s="55"/>
      <c r="CX149" s="330"/>
      <c r="CY149" s="332"/>
      <c r="CZ149" s="333" t="s">
        <v>27</v>
      </c>
      <c r="DA149" s="333" t="str">
        <f t="shared" si="2116"/>
        <v>: Pertambangan dan Penggalian    </v>
      </c>
      <c r="DB149" s="333"/>
      <c r="DC149" s="333"/>
      <c r="DD149" s="333"/>
      <c r="DE149" s="333" t="s">
        <v>28</v>
      </c>
      <c r="DF149" s="333"/>
      <c r="DG149" s="334"/>
      <c r="DH149" s="329"/>
      <c r="DI149" s="329"/>
      <c r="DJ149" s="329"/>
      <c r="DK149" s="329"/>
      <c r="DL149" s="329"/>
      <c r="DM149" s="329"/>
      <c r="DN149" s="55"/>
      <c r="DO149" s="330"/>
      <c r="DP149" s="332"/>
      <c r="DQ149" s="333" t="s">
        <v>27</v>
      </c>
      <c r="DR149" s="333" t="str">
        <f t="shared" si="2117"/>
        <v>: Pertambangan dan Penggalian    </v>
      </c>
      <c r="DS149" s="333"/>
      <c r="DT149" s="333"/>
      <c r="DU149" s="333"/>
      <c r="DV149" s="333" t="s">
        <v>28</v>
      </c>
      <c r="DW149" s="333"/>
      <c r="DX149" s="334"/>
      <c r="DY149" s="329"/>
      <c r="DZ149" s="329"/>
      <c r="EA149" s="329"/>
      <c r="EB149" s="329"/>
      <c r="EC149" s="329"/>
      <c r="ED149" s="329"/>
      <c r="EE149" s="55"/>
      <c r="EF149" s="330"/>
      <c r="EG149" s="332"/>
      <c r="EH149" s="333" t="s">
        <v>27</v>
      </c>
      <c r="EI149" s="333" t="str">
        <f t="shared" si="2118"/>
        <v>: Pertambangan dan Penggalian    </v>
      </c>
      <c r="EJ149" s="333"/>
      <c r="EK149" s="333"/>
      <c r="EL149" s="333"/>
      <c r="EM149" s="333" t="s">
        <v>28</v>
      </c>
      <c r="EN149" s="333"/>
      <c r="EO149" s="334"/>
      <c r="EP149" s="329"/>
      <c r="EQ149" s="329"/>
      <c r="ER149" s="329"/>
      <c r="ES149" s="329"/>
      <c r="ET149" s="329"/>
      <c r="EU149" s="329"/>
      <c r="EV149" s="55"/>
      <c r="EW149" s="330"/>
      <c r="EX149" s="332"/>
      <c r="EY149" s="333" t="s">
        <v>27</v>
      </c>
      <c r="EZ149" s="333" t="str">
        <f t="shared" si="2119"/>
        <v>: Pertambangan dan Penggalian    </v>
      </c>
      <c r="FA149" s="333"/>
      <c r="FB149" s="333"/>
      <c r="FC149" s="333"/>
      <c r="FD149" s="333" t="s">
        <v>28</v>
      </c>
      <c r="FE149" s="333"/>
      <c r="FF149" s="334"/>
      <c r="FG149" s="329"/>
      <c r="FH149" s="329"/>
      <c r="FI149" s="329"/>
      <c r="FJ149" s="329"/>
      <c r="FK149" s="329"/>
      <c r="FL149" s="329"/>
      <c r="FM149" s="55"/>
      <c r="FN149" s="330"/>
      <c r="FO149" s="332"/>
      <c r="FP149" s="333" t="s">
        <v>27</v>
      </c>
      <c r="FQ149" s="333" t="str">
        <f t="shared" si="2120"/>
        <v>: Pertambangan dan Penggalian    </v>
      </c>
      <c r="FR149" s="333"/>
      <c r="FS149" s="333"/>
      <c r="FT149" s="333"/>
      <c r="FU149" s="333" t="s">
        <v>28</v>
      </c>
      <c r="FV149" s="333"/>
      <c r="FW149" s="334"/>
      <c r="FX149" s="329"/>
      <c r="FY149" s="329"/>
      <c r="FZ149" s="329"/>
      <c r="GA149" s="329"/>
      <c r="GB149" s="329"/>
      <c r="GC149" s="329"/>
      <c r="GD149" s="55"/>
      <c r="GE149" s="330"/>
      <c r="GF149" s="332"/>
      <c r="GG149" s="333" t="s">
        <v>27</v>
      </c>
      <c r="GH149" s="333" t="str">
        <f t="shared" si="2121"/>
        <v>: Pertambangan dan Penggalian    </v>
      </c>
      <c r="GI149" s="333"/>
      <c r="GJ149" s="333"/>
      <c r="GK149" s="333"/>
      <c r="GL149" s="333" t="s">
        <v>28</v>
      </c>
      <c r="GM149" s="333"/>
      <c r="GN149" s="334"/>
      <c r="GO149" s="329"/>
      <c r="GP149" s="329"/>
      <c r="GQ149" s="329"/>
      <c r="GR149" s="329"/>
      <c r="GS149" s="329"/>
      <c r="GT149" s="329"/>
      <c r="GU149" s="55"/>
      <c r="GV149" s="330"/>
      <c r="GW149" s="332"/>
      <c r="GX149" s="333" t="s">
        <v>27</v>
      </c>
      <c r="GY149" s="333" t="str">
        <f t="shared" si="2122"/>
        <v>: Pertambangan dan Penggalian    </v>
      </c>
      <c r="GZ149" s="333"/>
      <c r="HA149" s="333"/>
      <c r="HB149" s="333"/>
      <c r="HC149" s="333" t="s">
        <v>28</v>
      </c>
      <c r="HD149" s="333"/>
      <c r="HE149" s="334"/>
      <c r="HF149" s="329"/>
      <c r="HG149" s="329"/>
      <c r="HH149" s="329"/>
      <c r="HI149" s="329"/>
      <c r="HJ149" s="329"/>
      <c r="HK149" s="329"/>
      <c r="HL149" s="55"/>
      <c r="HM149" s="330"/>
      <c r="HN149" s="332"/>
      <c r="HO149" s="333" t="s">
        <v>27</v>
      </c>
      <c r="HP149" s="333" t="str">
        <f t="shared" si="2123"/>
        <v>: Pertambangan dan Penggalian    </v>
      </c>
      <c r="HQ149" s="333"/>
      <c r="HR149" s="333"/>
      <c r="HS149" s="333"/>
      <c r="HT149" s="333" t="s">
        <v>28</v>
      </c>
      <c r="HU149" s="333"/>
      <c r="HV149" s="334"/>
      <c r="HW149" s="329"/>
      <c r="HX149" s="329"/>
      <c r="HY149" s="329"/>
      <c r="HZ149" s="329"/>
      <c r="IA149" s="329"/>
      <c r="IB149" s="329"/>
      <c r="IC149" s="55"/>
      <c r="ID149" s="330"/>
      <c r="IE149" s="332"/>
      <c r="IF149" s="333" t="s">
        <v>27</v>
      </c>
      <c r="IG149" s="333" t="str">
        <f t="shared" si="2124"/>
        <v>: Pertambangan dan Penggalian    </v>
      </c>
      <c r="IH149" s="333"/>
      <c r="II149" s="333"/>
      <c r="IJ149" s="333"/>
      <c r="IK149" s="333" t="s">
        <v>28</v>
      </c>
      <c r="IL149" s="333"/>
      <c r="IM149" s="334"/>
      <c r="IN149" s="329"/>
      <c r="IO149" s="329"/>
      <c r="IP149" s="329"/>
      <c r="IQ149" s="329"/>
      <c r="IR149" s="329"/>
      <c r="IS149" s="329"/>
      <c r="IT149" s="55"/>
      <c r="IU149" s="330"/>
      <c r="IV149" s="332"/>
      <c r="IW149" s="333" t="s">
        <v>27</v>
      </c>
      <c r="IX149" s="333" t="str">
        <f t="shared" si="2125"/>
        <v>: Pertambangan dan Penggalian    </v>
      </c>
      <c r="IY149" s="333"/>
      <c r="IZ149" s="333"/>
      <c r="JA149" s="333"/>
      <c r="JB149" s="333" t="s">
        <v>28</v>
      </c>
      <c r="JC149" s="333"/>
      <c r="JD149" s="334"/>
      <c r="JE149" s="329"/>
      <c r="JF149" s="329"/>
      <c r="JG149" s="329"/>
      <c r="JH149" s="329"/>
      <c r="JI149" s="329"/>
      <c r="JJ149" s="329"/>
      <c r="JK149" s="55"/>
      <c r="JL149" s="331"/>
      <c r="JM149" s="332"/>
      <c r="JN149" s="333" t="s">
        <v>27</v>
      </c>
      <c r="JO149" s="333" t="str">
        <f t="shared" si="2126"/>
        <v>: Pertambangan dan Penggalian    </v>
      </c>
      <c r="JP149" s="333"/>
      <c r="JQ149" s="333"/>
      <c r="JR149" s="333"/>
      <c r="JS149" s="333" t="s">
        <v>28</v>
      </c>
      <c r="JT149" s="333"/>
      <c r="JU149" s="334"/>
      <c r="JV149" s="329"/>
      <c r="JW149" s="329"/>
      <c r="JX149" s="329"/>
      <c r="JY149" s="329"/>
      <c r="JZ149" s="329"/>
      <c r="KA149" s="329"/>
      <c r="KB149" s="55"/>
      <c r="KC149" s="331"/>
      <c r="KD149" s="332"/>
      <c r="KE149" s="333" t="s">
        <v>27</v>
      </c>
      <c r="KF149" s="333" t="str">
        <f t="shared" si="2127"/>
        <v>: Pertambangan dan Penggalian    </v>
      </c>
      <c r="KG149" s="333"/>
      <c r="KH149" s="333"/>
      <c r="KI149" s="333"/>
      <c r="KJ149" s="333" t="s">
        <v>28</v>
      </c>
      <c r="KK149" s="333"/>
      <c r="KL149" s="334"/>
      <c r="KM149" s="329"/>
      <c r="KN149" s="329"/>
      <c r="KO149" s="329"/>
      <c r="KP149" s="329"/>
      <c r="KQ149" s="329"/>
      <c r="KR149" s="329"/>
      <c r="KS149" s="55"/>
      <c r="KT149" s="331"/>
      <c r="KU149" s="329"/>
    </row>
    <row r="150" ht="15.0" customHeight="1">
      <c r="A150" s="332"/>
      <c r="B150" s="333" t="s">
        <v>29</v>
      </c>
      <c r="C150" s="333" t="str">
        <f t="shared" si="2110"/>
        <v>: Pertambangan Bijih Logam</v>
      </c>
      <c r="D150" s="333"/>
      <c r="E150" s="333"/>
      <c r="F150" s="333"/>
      <c r="G150" s="335" t="s">
        <v>61</v>
      </c>
      <c r="H150" s="333"/>
      <c r="I150" s="334"/>
      <c r="J150" s="329"/>
      <c r="K150" s="329"/>
      <c r="L150" s="329"/>
      <c r="M150" s="329"/>
      <c r="N150" s="329"/>
      <c r="O150" s="329"/>
      <c r="P150" s="57" t="str">
        <f>"IV/"&amp;P$6</f>
        <v>IV/2010</v>
      </c>
      <c r="Q150" s="330"/>
      <c r="R150" s="332"/>
      <c r="S150" s="333" t="s">
        <v>29</v>
      </c>
      <c r="T150" s="333" t="str">
        <f t="shared" si="2111"/>
        <v>: Pertambangan Bijih Logam</v>
      </c>
      <c r="U150" s="333"/>
      <c r="V150" s="333"/>
      <c r="W150" s="333"/>
      <c r="X150" s="335" t="s">
        <v>61</v>
      </c>
      <c r="Y150" s="333"/>
      <c r="Z150" s="334"/>
      <c r="AA150" s="329"/>
      <c r="AB150" s="329"/>
      <c r="AC150" s="329"/>
      <c r="AD150" s="329"/>
      <c r="AE150" s="329"/>
      <c r="AF150" s="329"/>
      <c r="AG150" s="57" t="str">
        <f>"IV/"&amp;AG$6</f>
        <v>IV/2011</v>
      </c>
      <c r="AH150" s="330"/>
      <c r="AI150" s="332"/>
      <c r="AJ150" s="333" t="s">
        <v>29</v>
      </c>
      <c r="AK150" s="333" t="str">
        <f t="shared" si="2112"/>
        <v>: Pertambangan Bijih Logam</v>
      </c>
      <c r="AL150" s="333"/>
      <c r="AM150" s="333"/>
      <c r="AN150" s="333"/>
      <c r="AO150" s="335" t="s">
        <v>61</v>
      </c>
      <c r="AP150" s="333"/>
      <c r="AQ150" s="334"/>
      <c r="AR150" s="329"/>
      <c r="AS150" s="329"/>
      <c r="AT150" s="329"/>
      <c r="AU150" s="329"/>
      <c r="AV150" s="329"/>
      <c r="AW150" s="329"/>
      <c r="AX150" s="57" t="str">
        <f>"IV/"&amp;AX$6</f>
        <v>IV/2012</v>
      </c>
      <c r="AY150" s="330"/>
      <c r="AZ150" s="332"/>
      <c r="BA150" s="333" t="s">
        <v>29</v>
      </c>
      <c r="BB150" s="333" t="str">
        <f t="shared" si="2113"/>
        <v>: Pertambangan Bijih Logam</v>
      </c>
      <c r="BC150" s="333"/>
      <c r="BD150" s="333"/>
      <c r="BE150" s="333"/>
      <c r="BF150" s="335" t="s">
        <v>61</v>
      </c>
      <c r="BG150" s="333"/>
      <c r="BH150" s="334"/>
      <c r="BI150" s="329"/>
      <c r="BJ150" s="329"/>
      <c r="BK150" s="329"/>
      <c r="BL150" s="329"/>
      <c r="BM150" s="329"/>
      <c r="BN150" s="329"/>
      <c r="BO150" s="57" t="str">
        <f>"IV/"&amp;BO$6</f>
        <v>IV/2013</v>
      </c>
      <c r="BP150" s="330"/>
      <c r="BQ150" s="332"/>
      <c r="BR150" s="333" t="s">
        <v>29</v>
      </c>
      <c r="BS150" s="333" t="str">
        <f t="shared" si="2114"/>
        <v>: Pertambangan Bijih Logam</v>
      </c>
      <c r="BT150" s="333"/>
      <c r="BU150" s="333"/>
      <c r="BV150" s="333"/>
      <c r="BW150" s="335" t="s">
        <v>61</v>
      </c>
      <c r="BX150" s="333"/>
      <c r="BY150" s="334"/>
      <c r="BZ150" s="329"/>
      <c r="CA150" s="329"/>
      <c r="CB150" s="329"/>
      <c r="CC150" s="329"/>
      <c r="CD150" s="329"/>
      <c r="CE150" s="329"/>
      <c r="CF150" s="57" t="str">
        <f>"IV/"&amp;CF$6</f>
        <v>IV/2014</v>
      </c>
      <c r="CG150" s="330"/>
      <c r="CH150" s="332"/>
      <c r="CI150" s="333" t="s">
        <v>29</v>
      </c>
      <c r="CJ150" s="333" t="str">
        <f t="shared" si="2115"/>
        <v>: Pertambangan Bijih Logam</v>
      </c>
      <c r="CK150" s="333"/>
      <c r="CL150" s="333"/>
      <c r="CM150" s="333"/>
      <c r="CN150" s="335" t="s">
        <v>61</v>
      </c>
      <c r="CO150" s="333"/>
      <c r="CP150" s="334"/>
      <c r="CQ150" s="329"/>
      <c r="CR150" s="329"/>
      <c r="CS150" s="329"/>
      <c r="CT150" s="329"/>
      <c r="CU150" s="329"/>
      <c r="CV150" s="329"/>
      <c r="CW150" s="57" t="str">
        <f>"IV/"&amp;CW$6</f>
        <v>IV/2015</v>
      </c>
      <c r="CX150" s="330"/>
      <c r="CY150" s="332"/>
      <c r="CZ150" s="333" t="s">
        <v>29</v>
      </c>
      <c r="DA150" s="333" t="str">
        <f t="shared" si="2116"/>
        <v>: Pertambangan Bijih Logam</v>
      </c>
      <c r="DB150" s="333"/>
      <c r="DC150" s="333"/>
      <c r="DD150" s="333"/>
      <c r="DE150" s="335" t="s">
        <v>61</v>
      </c>
      <c r="DF150" s="333"/>
      <c r="DG150" s="334"/>
      <c r="DH150" s="329"/>
      <c r="DI150" s="329"/>
      <c r="DJ150" s="329"/>
      <c r="DK150" s="329"/>
      <c r="DL150" s="329"/>
      <c r="DM150" s="329"/>
      <c r="DN150" s="57" t="str">
        <f>"IV/"&amp;DN$6</f>
        <v>IV/2016</v>
      </c>
      <c r="DO150" s="330"/>
      <c r="DP150" s="332"/>
      <c r="DQ150" s="333" t="s">
        <v>29</v>
      </c>
      <c r="DR150" s="333" t="str">
        <f t="shared" si="2117"/>
        <v>: Pertambangan Bijih Logam</v>
      </c>
      <c r="DS150" s="333"/>
      <c r="DT150" s="333"/>
      <c r="DU150" s="333"/>
      <c r="DV150" s="335" t="s">
        <v>61</v>
      </c>
      <c r="DW150" s="333"/>
      <c r="DX150" s="334"/>
      <c r="DY150" s="329"/>
      <c r="DZ150" s="329"/>
      <c r="EA150" s="329"/>
      <c r="EB150" s="329"/>
      <c r="EC150" s="329"/>
      <c r="ED150" s="329"/>
      <c r="EE150" s="57" t="str">
        <f>"IV/"&amp;EE$6</f>
        <v>IV/2017</v>
      </c>
      <c r="EF150" s="330"/>
      <c r="EG150" s="332"/>
      <c r="EH150" s="333" t="s">
        <v>29</v>
      </c>
      <c r="EI150" s="333" t="str">
        <f t="shared" si="2118"/>
        <v>: Pertambangan Bijih Logam</v>
      </c>
      <c r="EJ150" s="333"/>
      <c r="EK150" s="333"/>
      <c r="EL150" s="333"/>
      <c r="EM150" s="335" t="s">
        <v>61</v>
      </c>
      <c r="EN150" s="333"/>
      <c r="EO150" s="334"/>
      <c r="EP150" s="329"/>
      <c r="EQ150" s="329"/>
      <c r="ER150" s="329"/>
      <c r="ES150" s="329"/>
      <c r="ET150" s="329"/>
      <c r="EU150" s="329"/>
      <c r="EV150" s="57" t="str">
        <f>"IV/"&amp;EV$6</f>
        <v>IV/2018</v>
      </c>
      <c r="EW150" s="330"/>
      <c r="EX150" s="332"/>
      <c r="EY150" s="333" t="s">
        <v>29</v>
      </c>
      <c r="EZ150" s="333" t="str">
        <f t="shared" si="2119"/>
        <v>: Pertambangan Bijih Logam</v>
      </c>
      <c r="FA150" s="333"/>
      <c r="FB150" s="333"/>
      <c r="FC150" s="333"/>
      <c r="FD150" s="335" t="s">
        <v>61</v>
      </c>
      <c r="FE150" s="333"/>
      <c r="FF150" s="334"/>
      <c r="FG150" s="329"/>
      <c r="FH150" s="329"/>
      <c r="FI150" s="329"/>
      <c r="FJ150" s="329"/>
      <c r="FK150" s="329"/>
      <c r="FL150" s="329"/>
      <c r="FM150" s="57" t="str">
        <f>"IV/"&amp;FM$6</f>
        <v>IV/2019</v>
      </c>
      <c r="FN150" s="330"/>
      <c r="FO150" s="332"/>
      <c r="FP150" s="333" t="s">
        <v>29</v>
      </c>
      <c r="FQ150" s="333" t="str">
        <f t="shared" si="2120"/>
        <v>: Pertambangan Bijih Logam</v>
      </c>
      <c r="FR150" s="333"/>
      <c r="FS150" s="333"/>
      <c r="FT150" s="333"/>
      <c r="FU150" s="335" t="s">
        <v>61</v>
      </c>
      <c r="FV150" s="333"/>
      <c r="FW150" s="334"/>
      <c r="FX150" s="329"/>
      <c r="FY150" s="329"/>
      <c r="FZ150" s="329"/>
      <c r="GA150" s="329"/>
      <c r="GB150" s="329"/>
      <c r="GC150" s="329"/>
      <c r="GD150" s="57" t="str">
        <f>"IV/"&amp;GD$6</f>
        <v>IV/2020</v>
      </c>
      <c r="GE150" s="330"/>
      <c r="GF150" s="332"/>
      <c r="GG150" s="333" t="s">
        <v>29</v>
      </c>
      <c r="GH150" s="333" t="str">
        <f t="shared" si="2121"/>
        <v>: Pertambangan Bijih Logam</v>
      </c>
      <c r="GI150" s="333"/>
      <c r="GJ150" s="333"/>
      <c r="GK150" s="333"/>
      <c r="GL150" s="335" t="s">
        <v>61</v>
      </c>
      <c r="GM150" s="333"/>
      <c r="GN150" s="334"/>
      <c r="GO150" s="329"/>
      <c r="GP150" s="329"/>
      <c r="GQ150" s="329"/>
      <c r="GR150" s="329"/>
      <c r="GS150" s="329"/>
      <c r="GT150" s="329"/>
      <c r="GU150" s="57" t="str">
        <f>"IV/"&amp;GU$6</f>
        <v>IV/2021</v>
      </c>
      <c r="GV150" s="330"/>
      <c r="GW150" s="332"/>
      <c r="GX150" s="333" t="s">
        <v>29</v>
      </c>
      <c r="GY150" s="333" t="str">
        <f t="shared" si="2122"/>
        <v>: Pertambangan Bijih Logam</v>
      </c>
      <c r="GZ150" s="333"/>
      <c r="HA150" s="333"/>
      <c r="HB150" s="333"/>
      <c r="HC150" s="335" t="s">
        <v>61</v>
      </c>
      <c r="HD150" s="333"/>
      <c r="HE150" s="334"/>
      <c r="HF150" s="329"/>
      <c r="HG150" s="329"/>
      <c r="HH150" s="329"/>
      <c r="HI150" s="329"/>
      <c r="HJ150" s="329"/>
      <c r="HK150" s="329"/>
      <c r="HL150" s="57" t="str">
        <f>"IV/"&amp;HL$6</f>
        <v>IV/2022</v>
      </c>
      <c r="HM150" s="330"/>
      <c r="HN150" s="332"/>
      <c r="HO150" s="333" t="s">
        <v>29</v>
      </c>
      <c r="HP150" s="333" t="str">
        <f t="shared" si="2123"/>
        <v>: Pertambangan Bijih Logam</v>
      </c>
      <c r="HQ150" s="333"/>
      <c r="HR150" s="333"/>
      <c r="HS150" s="333"/>
      <c r="HT150" s="335" t="s">
        <v>61</v>
      </c>
      <c r="HU150" s="333"/>
      <c r="HV150" s="334"/>
      <c r="HW150" s="329"/>
      <c r="HX150" s="329"/>
      <c r="HY150" s="329"/>
      <c r="HZ150" s="329"/>
      <c r="IA150" s="329"/>
      <c r="IB150" s="329"/>
      <c r="IC150" s="57" t="str">
        <f>"IV/"&amp;IC$6</f>
        <v>IV/2023</v>
      </c>
      <c r="ID150" s="330"/>
      <c r="IE150" s="332"/>
      <c r="IF150" s="333" t="s">
        <v>29</v>
      </c>
      <c r="IG150" s="333" t="str">
        <f t="shared" si="2124"/>
        <v>: Pertambangan Bijih Logam</v>
      </c>
      <c r="IH150" s="333"/>
      <c r="II150" s="333"/>
      <c r="IJ150" s="333"/>
      <c r="IK150" s="335" t="s">
        <v>61</v>
      </c>
      <c r="IL150" s="333"/>
      <c r="IM150" s="334"/>
      <c r="IN150" s="329"/>
      <c r="IO150" s="329"/>
      <c r="IP150" s="329"/>
      <c r="IQ150" s="329"/>
      <c r="IR150" s="329"/>
      <c r="IS150" s="329"/>
      <c r="IT150" s="57" t="str">
        <f>"IV/"&amp;IT$6</f>
        <v>IV/2024</v>
      </c>
      <c r="IU150" s="330"/>
      <c r="IV150" s="332"/>
      <c r="IW150" s="333" t="s">
        <v>29</v>
      </c>
      <c r="IX150" s="333" t="str">
        <f t="shared" si="2125"/>
        <v>: Pertambangan Bijih Logam</v>
      </c>
      <c r="IY150" s="333"/>
      <c r="IZ150" s="333"/>
      <c r="JA150" s="333"/>
      <c r="JB150" s="335" t="s">
        <v>61</v>
      </c>
      <c r="JC150" s="333"/>
      <c r="JD150" s="334"/>
      <c r="JE150" s="329"/>
      <c r="JF150" s="329"/>
      <c r="JG150" s="329"/>
      <c r="JH150" s="329"/>
      <c r="JI150" s="329"/>
      <c r="JJ150" s="329"/>
      <c r="JK150" s="57" t="str">
        <f>"IV/"&amp;JK$6</f>
        <v>IV/2025</v>
      </c>
      <c r="JL150" s="331"/>
      <c r="JM150" s="332"/>
      <c r="JN150" s="333" t="s">
        <v>29</v>
      </c>
      <c r="JO150" s="333" t="str">
        <f t="shared" si="2126"/>
        <v>: Pertambangan Bijih Logam</v>
      </c>
      <c r="JP150" s="333"/>
      <c r="JQ150" s="333"/>
      <c r="JR150" s="333"/>
      <c r="JS150" s="335" t="s">
        <v>61</v>
      </c>
      <c r="JT150" s="333"/>
      <c r="JU150" s="334"/>
      <c r="JV150" s="329"/>
      <c r="JW150" s="329"/>
      <c r="JX150" s="329"/>
      <c r="JY150" s="329"/>
      <c r="JZ150" s="329"/>
      <c r="KA150" s="329"/>
      <c r="KB150" s="57" t="str">
        <f>"IV/"&amp;KB$6</f>
        <v>IV/2026</v>
      </c>
      <c r="KC150" s="331"/>
      <c r="KD150" s="332"/>
      <c r="KE150" s="333" t="s">
        <v>29</v>
      </c>
      <c r="KF150" s="333" t="str">
        <f t="shared" si="2127"/>
        <v>: Pertambangan Bijih Logam</v>
      </c>
      <c r="KG150" s="333"/>
      <c r="KH150" s="333"/>
      <c r="KI150" s="333"/>
      <c r="KJ150" s="335" t="s">
        <v>61</v>
      </c>
      <c r="KK150" s="333"/>
      <c r="KL150" s="334"/>
      <c r="KM150" s="329"/>
      <c r="KN150" s="329"/>
      <c r="KO150" s="329"/>
      <c r="KP150" s="329"/>
      <c r="KQ150" s="329"/>
      <c r="KR150" s="329"/>
      <c r="KS150" s="57" t="str">
        <f>"IV/"&amp;KS$6</f>
        <v>IV/2027</v>
      </c>
      <c r="KT150" s="331"/>
      <c r="KU150" s="329"/>
    </row>
    <row r="151" ht="15.0" customHeight="1">
      <c r="A151" s="332"/>
      <c r="B151" s="333" t="s">
        <v>31</v>
      </c>
      <c r="C151" s="333" t="str">
        <f t="shared" si="2110"/>
        <v>: Pertambangan Bijih Logam</v>
      </c>
      <c r="D151" s="333"/>
      <c r="E151" s="333"/>
      <c r="F151" s="333"/>
      <c r="G151" s="336" t="s">
        <v>59</v>
      </c>
      <c r="H151" s="333"/>
      <c r="I151" s="334"/>
      <c r="J151" s="329"/>
      <c r="K151" s="329"/>
      <c r="L151" s="329"/>
      <c r="M151" s="329"/>
      <c r="N151" s="329"/>
      <c r="O151" s="329"/>
      <c r="P151" s="55"/>
      <c r="Q151" s="330"/>
      <c r="R151" s="332"/>
      <c r="S151" s="333" t="s">
        <v>31</v>
      </c>
      <c r="T151" s="333" t="str">
        <f t="shared" si="2111"/>
        <v>: Pertambangan Bijih Logam</v>
      </c>
      <c r="U151" s="333"/>
      <c r="V151" s="333"/>
      <c r="W151" s="333"/>
      <c r="X151" s="336" t="s">
        <v>59</v>
      </c>
      <c r="Y151" s="333"/>
      <c r="Z151" s="334"/>
      <c r="AA151" s="329"/>
      <c r="AB151" s="329"/>
      <c r="AC151" s="329"/>
      <c r="AD151" s="329"/>
      <c r="AE151" s="329"/>
      <c r="AF151" s="329"/>
      <c r="AG151" s="55"/>
      <c r="AH151" s="330"/>
      <c r="AI151" s="332"/>
      <c r="AJ151" s="333" t="s">
        <v>31</v>
      </c>
      <c r="AK151" s="333" t="str">
        <f t="shared" si="2112"/>
        <v>: Pertambangan Bijih Logam</v>
      </c>
      <c r="AL151" s="333"/>
      <c r="AM151" s="333"/>
      <c r="AN151" s="333"/>
      <c r="AO151" s="336" t="s">
        <v>59</v>
      </c>
      <c r="AP151" s="333"/>
      <c r="AQ151" s="334"/>
      <c r="AR151" s="329"/>
      <c r="AS151" s="329"/>
      <c r="AT151" s="329"/>
      <c r="AU151" s="329"/>
      <c r="AV151" s="329"/>
      <c r="AW151" s="329"/>
      <c r="AX151" s="55"/>
      <c r="AY151" s="330"/>
      <c r="AZ151" s="332"/>
      <c r="BA151" s="333" t="s">
        <v>31</v>
      </c>
      <c r="BB151" s="333" t="str">
        <f t="shared" si="2113"/>
        <v>: Pertambangan Bijih Logam</v>
      </c>
      <c r="BC151" s="333"/>
      <c r="BD151" s="333"/>
      <c r="BE151" s="333"/>
      <c r="BF151" s="336" t="s">
        <v>59</v>
      </c>
      <c r="BG151" s="333"/>
      <c r="BH151" s="334"/>
      <c r="BI151" s="329"/>
      <c r="BJ151" s="329"/>
      <c r="BK151" s="329"/>
      <c r="BL151" s="329"/>
      <c r="BM151" s="329"/>
      <c r="BN151" s="329"/>
      <c r="BO151" s="55"/>
      <c r="BP151" s="330"/>
      <c r="BQ151" s="332"/>
      <c r="BR151" s="333" t="s">
        <v>31</v>
      </c>
      <c r="BS151" s="333" t="str">
        <f t="shared" si="2114"/>
        <v>: Pertambangan Bijih Logam</v>
      </c>
      <c r="BT151" s="333"/>
      <c r="BU151" s="333"/>
      <c r="BV151" s="333"/>
      <c r="BW151" s="336" t="s">
        <v>59</v>
      </c>
      <c r="BX151" s="333"/>
      <c r="BY151" s="334"/>
      <c r="BZ151" s="329"/>
      <c r="CA151" s="329"/>
      <c r="CB151" s="329"/>
      <c r="CC151" s="329"/>
      <c r="CD151" s="329"/>
      <c r="CE151" s="329"/>
      <c r="CF151" s="55"/>
      <c r="CG151" s="330"/>
      <c r="CH151" s="332"/>
      <c r="CI151" s="333" t="s">
        <v>31</v>
      </c>
      <c r="CJ151" s="333" t="str">
        <f t="shared" si="2115"/>
        <v>: Pertambangan Bijih Logam</v>
      </c>
      <c r="CK151" s="333"/>
      <c r="CL151" s="333"/>
      <c r="CM151" s="333"/>
      <c r="CN151" s="336" t="s">
        <v>59</v>
      </c>
      <c r="CO151" s="333"/>
      <c r="CP151" s="334"/>
      <c r="CQ151" s="329"/>
      <c r="CR151" s="329"/>
      <c r="CS151" s="329"/>
      <c r="CT151" s="329"/>
      <c r="CU151" s="329"/>
      <c r="CV151" s="329"/>
      <c r="CW151" s="55"/>
      <c r="CX151" s="330"/>
      <c r="CY151" s="332"/>
      <c r="CZ151" s="333" t="s">
        <v>31</v>
      </c>
      <c r="DA151" s="333" t="str">
        <f t="shared" si="2116"/>
        <v>: Pertambangan Bijih Logam</v>
      </c>
      <c r="DB151" s="333"/>
      <c r="DC151" s="333"/>
      <c r="DD151" s="333"/>
      <c r="DE151" s="336" t="s">
        <v>59</v>
      </c>
      <c r="DF151" s="333"/>
      <c r="DG151" s="334"/>
      <c r="DH151" s="329"/>
      <c r="DI151" s="329"/>
      <c r="DJ151" s="329"/>
      <c r="DK151" s="329"/>
      <c r="DL151" s="329"/>
      <c r="DM151" s="329"/>
      <c r="DN151" s="55"/>
      <c r="DO151" s="330"/>
      <c r="DP151" s="332"/>
      <c r="DQ151" s="333" t="s">
        <v>31</v>
      </c>
      <c r="DR151" s="333" t="str">
        <f t="shared" si="2117"/>
        <v>: Pertambangan Bijih Logam</v>
      </c>
      <c r="DS151" s="333"/>
      <c r="DT151" s="333"/>
      <c r="DU151" s="333"/>
      <c r="DV151" s="336" t="s">
        <v>59</v>
      </c>
      <c r="DW151" s="333"/>
      <c r="DX151" s="334"/>
      <c r="DY151" s="329"/>
      <c r="DZ151" s="329"/>
      <c r="EA151" s="329"/>
      <c r="EB151" s="329"/>
      <c r="EC151" s="329"/>
      <c r="ED151" s="329"/>
      <c r="EE151" s="55"/>
      <c r="EF151" s="330"/>
      <c r="EG151" s="332"/>
      <c r="EH151" s="333" t="s">
        <v>31</v>
      </c>
      <c r="EI151" s="333" t="str">
        <f t="shared" si="2118"/>
        <v>: Pertambangan Bijih Logam</v>
      </c>
      <c r="EJ151" s="333"/>
      <c r="EK151" s="333"/>
      <c r="EL151" s="333"/>
      <c r="EM151" s="336" t="s">
        <v>59</v>
      </c>
      <c r="EN151" s="333"/>
      <c r="EO151" s="334"/>
      <c r="EP151" s="329"/>
      <c r="EQ151" s="329"/>
      <c r="ER151" s="329"/>
      <c r="ES151" s="329"/>
      <c r="ET151" s="329"/>
      <c r="EU151" s="329"/>
      <c r="EV151" s="55"/>
      <c r="EW151" s="330"/>
      <c r="EX151" s="332"/>
      <c r="EY151" s="333" t="s">
        <v>31</v>
      </c>
      <c r="EZ151" s="333" t="str">
        <f t="shared" si="2119"/>
        <v>: Pertambangan Bijih Logam</v>
      </c>
      <c r="FA151" s="333"/>
      <c r="FB151" s="333"/>
      <c r="FC151" s="333"/>
      <c r="FD151" s="336" t="s">
        <v>59</v>
      </c>
      <c r="FE151" s="333"/>
      <c r="FF151" s="334"/>
      <c r="FG151" s="329"/>
      <c r="FH151" s="329"/>
      <c r="FI151" s="329"/>
      <c r="FJ151" s="329"/>
      <c r="FK151" s="329"/>
      <c r="FL151" s="329"/>
      <c r="FM151" s="55"/>
      <c r="FN151" s="330"/>
      <c r="FO151" s="332"/>
      <c r="FP151" s="333" t="s">
        <v>31</v>
      </c>
      <c r="FQ151" s="333" t="str">
        <f t="shared" si="2120"/>
        <v>: Pertambangan Bijih Logam</v>
      </c>
      <c r="FR151" s="333"/>
      <c r="FS151" s="333"/>
      <c r="FT151" s="333"/>
      <c r="FU151" s="336" t="s">
        <v>59</v>
      </c>
      <c r="FV151" s="333"/>
      <c r="FW151" s="334"/>
      <c r="FX151" s="329"/>
      <c r="FY151" s="329"/>
      <c r="FZ151" s="329"/>
      <c r="GA151" s="329"/>
      <c r="GB151" s="329"/>
      <c r="GC151" s="329"/>
      <c r="GD151" s="55"/>
      <c r="GE151" s="330"/>
      <c r="GF151" s="332"/>
      <c r="GG151" s="333" t="s">
        <v>31</v>
      </c>
      <c r="GH151" s="333" t="str">
        <f t="shared" si="2121"/>
        <v>: Pertambangan Bijih Logam</v>
      </c>
      <c r="GI151" s="333"/>
      <c r="GJ151" s="333"/>
      <c r="GK151" s="333"/>
      <c r="GL151" s="336" t="s">
        <v>59</v>
      </c>
      <c r="GM151" s="333"/>
      <c r="GN151" s="334"/>
      <c r="GO151" s="329"/>
      <c r="GP151" s="329"/>
      <c r="GQ151" s="329"/>
      <c r="GR151" s="329"/>
      <c r="GS151" s="329"/>
      <c r="GT151" s="329"/>
      <c r="GU151" s="55"/>
      <c r="GV151" s="330"/>
      <c r="GW151" s="332"/>
      <c r="GX151" s="333" t="s">
        <v>31</v>
      </c>
      <c r="GY151" s="333" t="str">
        <f t="shared" si="2122"/>
        <v>: Pertambangan Bijih Logam</v>
      </c>
      <c r="GZ151" s="333"/>
      <c r="HA151" s="333"/>
      <c r="HB151" s="333"/>
      <c r="HC151" s="336" t="s">
        <v>59</v>
      </c>
      <c r="HD151" s="333"/>
      <c r="HE151" s="334"/>
      <c r="HF151" s="329"/>
      <c r="HG151" s="329"/>
      <c r="HH151" s="329"/>
      <c r="HI151" s="329"/>
      <c r="HJ151" s="329"/>
      <c r="HK151" s="329"/>
      <c r="HL151" s="55"/>
      <c r="HM151" s="330"/>
      <c r="HN151" s="332"/>
      <c r="HO151" s="333" t="s">
        <v>31</v>
      </c>
      <c r="HP151" s="333" t="str">
        <f t="shared" si="2123"/>
        <v>: Pertambangan Bijih Logam</v>
      </c>
      <c r="HQ151" s="333"/>
      <c r="HR151" s="333"/>
      <c r="HS151" s="333"/>
      <c r="HT151" s="336" t="s">
        <v>59</v>
      </c>
      <c r="HU151" s="333"/>
      <c r="HV151" s="334"/>
      <c r="HW151" s="329"/>
      <c r="HX151" s="329"/>
      <c r="HY151" s="329"/>
      <c r="HZ151" s="329"/>
      <c r="IA151" s="329"/>
      <c r="IB151" s="329"/>
      <c r="IC151" s="55"/>
      <c r="ID151" s="330"/>
      <c r="IE151" s="332"/>
      <c r="IF151" s="333" t="s">
        <v>31</v>
      </c>
      <c r="IG151" s="333" t="str">
        <f t="shared" si="2124"/>
        <v>: Pertambangan Bijih Logam</v>
      </c>
      <c r="IH151" s="333"/>
      <c r="II151" s="333"/>
      <c r="IJ151" s="333"/>
      <c r="IK151" s="336" t="s">
        <v>59</v>
      </c>
      <c r="IL151" s="333"/>
      <c r="IM151" s="334"/>
      <c r="IN151" s="329"/>
      <c r="IO151" s="329"/>
      <c r="IP151" s="329"/>
      <c r="IQ151" s="329"/>
      <c r="IR151" s="329"/>
      <c r="IS151" s="329"/>
      <c r="IT151" s="55"/>
      <c r="IU151" s="330"/>
      <c r="IV151" s="332"/>
      <c r="IW151" s="333" t="s">
        <v>31</v>
      </c>
      <c r="IX151" s="333" t="str">
        <f t="shared" si="2125"/>
        <v>: Pertambangan Bijih Logam</v>
      </c>
      <c r="IY151" s="333"/>
      <c r="IZ151" s="333"/>
      <c r="JA151" s="333"/>
      <c r="JB151" s="336" t="s">
        <v>59</v>
      </c>
      <c r="JC151" s="333"/>
      <c r="JD151" s="334"/>
      <c r="JE151" s="329"/>
      <c r="JF151" s="329"/>
      <c r="JG151" s="329"/>
      <c r="JH151" s="329"/>
      <c r="JI151" s="329"/>
      <c r="JJ151" s="329"/>
      <c r="JK151" s="55"/>
      <c r="JL151" s="331"/>
      <c r="JM151" s="332"/>
      <c r="JN151" s="333" t="s">
        <v>31</v>
      </c>
      <c r="JO151" s="333" t="str">
        <f t="shared" si="2126"/>
        <v>: Pertambangan Bijih Logam</v>
      </c>
      <c r="JP151" s="333"/>
      <c r="JQ151" s="333"/>
      <c r="JR151" s="333"/>
      <c r="JS151" s="336" t="s">
        <v>59</v>
      </c>
      <c r="JT151" s="333"/>
      <c r="JU151" s="334"/>
      <c r="JV151" s="329"/>
      <c r="JW151" s="329"/>
      <c r="JX151" s="329"/>
      <c r="JY151" s="329"/>
      <c r="JZ151" s="329"/>
      <c r="KA151" s="329"/>
      <c r="KB151" s="55"/>
      <c r="KC151" s="331"/>
      <c r="KD151" s="332"/>
      <c r="KE151" s="333" t="s">
        <v>31</v>
      </c>
      <c r="KF151" s="333" t="str">
        <f t="shared" si="2127"/>
        <v>: Pertambangan Bijih Logam</v>
      </c>
      <c r="KG151" s="333"/>
      <c r="KH151" s="333"/>
      <c r="KI151" s="333"/>
      <c r="KJ151" s="336" t="s">
        <v>59</v>
      </c>
      <c r="KK151" s="333"/>
      <c r="KL151" s="334"/>
      <c r="KM151" s="329"/>
      <c r="KN151" s="329"/>
      <c r="KO151" s="329"/>
      <c r="KP151" s="329"/>
      <c r="KQ151" s="329"/>
      <c r="KR151" s="329"/>
      <c r="KS151" s="55"/>
      <c r="KT151" s="331"/>
      <c r="KU151" s="329"/>
    </row>
    <row r="152" ht="15.75" customHeight="1">
      <c r="A152" s="337"/>
      <c r="B152" s="338" t="s">
        <v>32</v>
      </c>
      <c r="C152" s="338" t="str">
        <f t="shared" si="2110"/>
        <v>: Revaluasi </v>
      </c>
      <c r="D152" s="338"/>
      <c r="E152" s="338"/>
      <c r="F152" s="338"/>
      <c r="G152" s="338" t="str">
        <f>"Tahun "&amp;P$6</f>
        <v>Tahun 2010</v>
      </c>
      <c r="H152" s="338"/>
      <c r="I152" s="339"/>
      <c r="J152" s="329"/>
      <c r="K152" s="329"/>
      <c r="L152" s="329"/>
      <c r="M152" s="329"/>
      <c r="N152" s="329"/>
      <c r="O152" s="329"/>
      <c r="P152" s="329"/>
      <c r="Q152" s="330"/>
      <c r="R152" s="337"/>
      <c r="S152" s="338" t="s">
        <v>32</v>
      </c>
      <c r="T152" s="338" t="s">
        <v>33</v>
      </c>
      <c r="U152" s="338"/>
      <c r="V152" s="338"/>
      <c r="W152" s="338"/>
      <c r="X152" s="338" t="str">
        <f>"Tahun "&amp;AG$6</f>
        <v>Tahun 2011</v>
      </c>
      <c r="Y152" s="338"/>
      <c r="Z152" s="339"/>
      <c r="AA152" s="329"/>
      <c r="AB152" s="329"/>
      <c r="AC152" s="329"/>
      <c r="AD152" s="329"/>
      <c r="AE152" s="329"/>
      <c r="AF152" s="329"/>
      <c r="AG152" s="329"/>
      <c r="AH152" s="330"/>
      <c r="AI152" s="337"/>
      <c r="AJ152" s="338" t="s">
        <v>32</v>
      </c>
      <c r="AK152" s="338" t="s">
        <v>33</v>
      </c>
      <c r="AL152" s="338"/>
      <c r="AM152" s="338"/>
      <c r="AN152" s="338"/>
      <c r="AO152" s="338" t="str">
        <f>"Tahun "&amp;AX$6</f>
        <v>Tahun 2012</v>
      </c>
      <c r="AP152" s="338"/>
      <c r="AQ152" s="339"/>
      <c r="AR152" s="329"/>
      <c r="AS152" s="329"/>
      <c r="AT152" s="329"/>
      <c r="AU152" s="329"/>
      <c r="AV152" s="329"/>
      <c r="AW152" s="329"/>
      <c r="AX152" s="329"/>
      <c r="AY152" s="330"/>
      <c r="AZ152" s="337"/>
      <c r="BA152" s="338" t="s">
        <v>32</v>
      </c>
      <c r="BB152" s="338" t="s">
        <v>33</v>
      </c>
      <c r="BC152" s="338"/>
      <c r="BD152" s="338"/>
      <c r="BE152" s="338"/>
      <c r="BF152" s="338" t="str">
        <f>"Tahun "&amp;BO$6</f>
        <v>Tahun 2013</v>
      </c>
      <c r="BG152" s="338"/>
      <c r="BH152" s="339"/>
      <c r="BI152" s="329"/>
      <c r="BJ152" s="329"/>
      <c r="BK152" s="329"/>
      <c r="BL152" s="329"/>
      <c r="BM152" s="329"/>
      <c r="BN152" s="329"/>
      <c r="BO152" s="329"/>
      <c r="BP152" s="330"/>
      <c r="BQ152" s="337"/>
      <c r="BR152" s="338" t="s">
        <v>32</v>
      </c>
      <c r="BS152" s="338" t="s">
        <v>33</v>
      </c>
      <c r="BT152" s="338"/>
      <c r="BU152" s="338"/>
      <c r="BV152" s="338"/>
      <c r="BW152" s="338" t="str">
        <f>"Tahun "&amp;CF$6</f>
        <v>Tahun 2014</v>
      </c>
      <c r="BX152" s="338"/>
      <c r="BY152" s="339"/>
      <c r="BZ152" s="329"/>
      <c r="CA152" s="329"/>
      <c r="CB152" s="329"/>
      <c r="CC152" s="329"/>
      <c r="CD152" s="329"/>
      <c r="CE152" s="329"/>
      <c r="CF152" s="329"/>
      <c r="CG152" s="330"/>
      <c r="CH152" s="337"/>
      <c r="CI152" s="338" t="s">
        <v>32</v>
      </c>
      <c r="CJ152" s="338" t="s">
        <v>33</v>
      </c>
      <c r="CK152" s="338"/>
      <c r="CL152" s="338"/>
      <c r="CM152" s="338"/>
      <c r="CN152" s="338" t="str">
        <f>"Tahun "&amp;CW$6</f>
        <v>Tahun 2015</v>
      </c>
      <c r="CO152" s="338"/>
      <c r="CP152" s="339"/>
      <c r="CQ152" s="329"/>
      <c r="CR152" s="329"/>
      <c r="CS152" s="329"/>
      <c r="CT152" s="329"/>
      <c r="CU152" s="329"/>
      <c r="CV152" s="329"/>
      <c r="CW152" s="329"/>
      <c r="CX152" s="330"/>
      <c r="CY152" s="337"/>
      <c r="CZ152" s="338" t="s">
        <v>32</v>
      </c>
      <c r="DA152" s="338" t="s">
        <v>33</v>
      </c>
      <c r="DB152" s="338"/>
      <c r="DC152" s="338"/>
      <c r="DD152" s="338"/>
      <c r="DE152" s="338" t="str">
        <f>"Tahun "&amp;DN$6</f>
        <v>Tahun 2016</v>
      </c>
      <c r="DF152" s="338"/>
      <c r="DG152" s="339"/>
      <c r="DH152" s="329"/>
      <c r="DI152" s="329"/>
      <c r="DJ152" s="329"/>
      <c r="DK152" s="329"/>
      <c r="DL152" s="329"/>
      <c r="DM152" s="329"/>
      <c r="DN152" s="329"/>
      <c r="DO152" s="330"/>
      <c r="DP152" s="337"/>
      <c r="DQ152" s="338" t="s">
        <v>32</v>
      </c>
      <c r="DR152" s="338" t="s">
        <v>33</v>
      </c>
      <c r="DS152" s="338"/>
      <c r="DT152" s="338"/>
      <c r="DU152" s="338"/>
      <c r="DV152" s="338" t="str">
        <f>"Tahun "&amp;EE$6</f>
        <v>Tahun 2017</v>
      </c>
      <c r="DW152" s="338"/>
      <c r="DX152" s="339"/>
      <c r="DY152" s="329"/>
      <c r="DZ152" s="329"/>
      <c r="EA152" s="329"/>
      <c r="EB152" s="329"/>
      <c r="EC152" s="329"/>
      <c r="ED152" s="329"/>
      <c r="EE152" s="329"/>
      <c r="EF152" s="330"/>
      <c r="EG152" s="337"/>
      <c r="EH152" s="338" t="s">
        <v>32</v>
      </c>
      <c r="EI152" s="338" t="s">
        <v>33</v>
      </c>
      <c r="EJ152" s="338"/>
      <c r="EK152" s="338"/>
      <c r="EL152" s="338"/>
      <c r="EM152" s="338" t="str">
        <f>"Tahun "&amp;EV$6</f>
        <v>Tahun 2018</v>
      </c>
      <c r="EN152" s="338"/>
      <c r="EO152" s="339"/>
      <c r="EP152" s="329"/>
      <c r="EQ152" s="329"/>
      <c r="ER152" s="329"/>
      <c r="ES152" s="329"/>
      <c r="ET152" s="329"/>
      <c r="EU152" s="329"/>
      <c r="EV152" s="329"/>
      <c r="EW152" s="330"/>
      <c r="EX152" s="337"/>
      <c r="EY152" s="338" t="s">
        <v>32</v>
      </c>
      <c r="EZ152" s="338" t="s">
        <v>33</v>
      </c>
      <c r="FA152" s="338"/>
      <c r="FB152" s="338"/>
      <c r="FC152" s="338"/>
      <c r="FD152" s="338" t="str">
        <f>"Tahun "&amp;FM$6</f>
        <v>Tahun 2019</v>
      </c>
      <c r="FE152" s="338"/>
      <c r="FF152" s="339"/>
      <c r="FG152" s="329"/>
      <c r="FH152" s="329"/>
      <c r="FI152" s="329"/>
      <c r="FJ152" s="329"/>
      <c r="FK152" s="329"/>
      <c r="FL152" s="329"/>
      <c r="FM152" s="329"/>
      <c r="FN152" s="330"/>
      <c r="FO152" s="337"/>
      <c r="FP152" s="338" t="s">
        <v>32</v>
      </c>
      <c r="FQ152" s="338" t="s">
        <v>33</v>
      </c>
      <c r="FR152" s="338"/>
      <c r="FS152" s="338"/>
      <c r="FT152" s="338"/>
      <c r="FU152" s="338" t="str">
        <f>"Tahun "&amp;GD$6</f>
        <v>Tahun 2020</v>
      </c>
      <c r="FV152" s="338"/>
      <c r="FW152" s="339"/>
      <c r="FX152" s="329"/>
      <c r="FY152" s="329"/>
      <c r="FZ152" s="329"/>
      <c r="GA152" s="329"/>
      <c r="GB152" s="329"/>
      <c r="GC152" s="329"/>
      <c r="GD152" s="329"/>
      <c r="GE152" s="330"/>
      <c r="GF152" s="337"/>
      <c r="GG152" s="338" t="s">
        <v>32</v>
      </c>
      <c r="GH152" s="338" t="s">
        <v>33</v>
      </c>
      <c r="GI152" s="338"/>
      <c r="GJ152" s="338"/>
      <c r="GK152" s="338"/>
      <c r="GL152" s="338" t="str">
        <f>"Tahun "&amp;GU$6</f>
        <v>Tahun 2021</v>
      </c>
      <c r="GM152" s="338"/>
      <c r="GN152" s="339"/>
      <c r="GO152" s="329"/>
      <c r="GP152" s="329"/>
      <c r="GQ152" s="329"/>
      <c r="GR152" s="329"/>
      <c r="GS152" s="329"/>
      <c r="GT152" s="329"/>
      <c r="GU152" s="329"/>
      <c r="GV152" s="330"/>
      <c r="GW152" s="337"/>
      <c r="GX152" s="338" t="s">
        <v>32</v>
      </c>
      <c r="GY152" s="338" t="s">
        <v>33</v>
      </c>
      <c r="GZ152" s="338"/>
      <c r="HA152" s="338"/>
      <c r="HB152" s="338"/>
      <c r="HC152" s="338" t="str">
        <f>"Tahun "&amp;HL$6</f>
        <v>Tahun 2022</v>
      </c>
      <c r="HD152" s="338"/>
      <c r="HE152" s="339"/>
      <c r="HF152" s="329"/>
      <c r="HG152" s="329"/>
      <c r="HH152" s="329"/>
      <c r="HI152" s="329"/>
      <c r="HJ152" s="329"/>
      <c r="HK152" s="329"/>
      <c r="HL152" s="329"/>
      <c r="HM152" s="330"/>
      <c r="HN152" s="337"/>
      <c r="HO152" s="338" t="s">
        <v>32</v>
      </c>
      <c r="HP152" s="338" t="s">
        <v>33</v>
      </c>
      <c r="HQ152" s="338"/>
      <c r="HR152" s="338"/>
      <c r="HS152" s="338"/>
      <c r="HT152" s="338" t="str">
        <f>"Tahun "&amp;IC$6</f>
        <v>Tahun 2023</v>
      </c>
      <c r="HU152" s="338"/>
      <c r="HV152" s="339"/>
      <c r="HW152" s="329"/>
      <c r="HX152" s="329"/>
      <c r="HY152" s="329"/>
      <c r="HZ152" s="329"/>
      <c r="IA152" s="329"/>
      <c r="IB152" s="329"/>
      <c r="IC152" s="329"/>
      <c r="ID152" s="330"/>
      <c r="IE152" s="337"/>
      <c r="IF152" s="338" t="s">
        <v>32</v>
      </c>
      <c r="IG152" s="338" t="s">
        <v>33</v>
      </c>
      <c r="IH152" s="338"/>
      <c r="II152" s="338"/>
      <c r="IJ152" s="338"/>
      <c r="IK152" s="338" t="str">
        <f>"Tahun "&amp;IT$6</f>
        <v>Tahun 2024</v>
      </c>
      <c r="IL152" s="338"/>
      <c r="IM152" s="339"/>
      <c r="IN152" s="329"/>
      <c r="IO152" s="329"/>
      <c r="IP152" s="329"/>
      <c r="IQ152" s="329"/>
      <c r="IR152" s="329"/>
      <c r="IS152" s="329"/>
      <c r="IT152" s="329"/>
      <c r="IU152" s="330"/>
      <c r="IV152" s="337"/>
      <c r="IW152" s="338" t="s">
        <v>32</v>
      </c>
      <c r="IX152" s="338" t="s">
        <v>33</v>
      </c>
      <c r="IY152" s="338"/>
      <c r="IZ152" s="338"/>
      <c r="JA152" s="338"/>
      <c r="JB152" s="338" t="str">
        <f>"Tahun "&amp;JK$6</f>
        <v>Tahun 2025</v>
      </c>
      <c r="JC152" s="338"/>
      <c r="JD152" s="339"/>
      <c r="JE152" s="329"/>
      <c r="JF152" s="329"/>
      <c r="JG152" s="329"/>
      <c r="JH152" s="329"/>
      <c r="JI152" s="329"/>
      <c r="JJ152" s="329"/>
      <c r="JK152" s="329"/>
      <c r="JL152" s="330"/>
      <c r="JM152" s="337"/>
      <c r="JN152" s="338" t="s">
        <v>32</v>
      </c>
      <c r="JO152" s="338" t="s">
        <v>33</v>
      </c>
      <c r="JP152" s="338"/>
      <c r="JQ152" s="338"/>
      <c r="JR152" s="338"/>
      <c r="JS152" s="338" t="str">
        <f>"Tahun "&amp;KB$6</f>
        <v>Tahun 2026</v>
      </c>
      <c r="JT152" s="338"/>
      <c r="JU152" s="339"/>
      <c r="JV152" s="329"/>
      <c r="JW152" s="329"/>
      <c r="JX152" s="329"/>
      <c r="JY152" s="329"/>
      <c r="JZ152" s="329"/>
      <c r="KA152" s="329"/>
      <c r="KB152" s="329"/>
      <c r="KC152" s="330"/>
      <c r="KD152" s="337"/>
      <c r="KE152" s="338" t="s">
        <v>32</v>
      </c>
      <c r="KF152" s="338" t="s">
        <v>33</v>
      </c>
      <c r="KG152" s="338"/>
      <c r="KH152" s="338"/>
      <c r="KI152" s="338"/>
      <c r="KJ152" s="338" t="str">
        <f>"Tahun "&amp;KS$6</f>
        <v>Tahun 2027</v>
      </c>
      <c r="KK152" s="338"/>
      <c r="KL152" s="339"/>
      <c r="KM152" s="329"/>
      <c r="KN152" s="329"/>
      <c r="KO152" s="329"/>
      <c r="KP152" s="329"/>
      <c r="KQ152" s="329"/>
      <c r="KR152" s="329"/>
      <c r="KS152" s="329"/>
      <c r="KT152" s="330"/>
      <c r="KU152" s="329"/>
    </row>
    <row r="153" ht="15.75" customHeight="1">
      <c r="A153" s="340"/>
      <c r="B153" s="341"/>
      <c r="C153" s="341"/>
      <c r="D153" s="341"/>
      <c r="E153" s="341"/>
      <c r="F153" s="341"/>
      <c r="G153" s="341"/>
      <c r="H153" s="341"/>
      <c r="I153" s="341"/>
      <c r="J153" s="341"/>
      <c r="K153" s="341"/>
      <c r="L153" s="341"/>
      <c r="M153" s="341"/>
      <c r="N153" s="341"/>
      <c r="O153" s="341"/>
      <c r="P153" s="341"/>
      <c r="Q153" s="342"/>
      <c r="R153" s="340"/>
      <c r="S153" s="341"/>
      <c r="T153" s="341"/>
      <c r="U153" s="341"/>
      <c r="V153" s="341"/>
      <c r="W153" s="341"/>
      <c r="X153" s="341"/>
      <c r="Y153" s="341"/>
      <c r="Z153" s="341"/>
      <c r="AA153" s="341"/>
      <c r="AB153" s="341"/>
      <c r="AC153" s="341"/>
      <c r="AD153" s="341"/>
      <c r="AE153" s="341"/>
      <c r="AF153" s="341"/>
      <c r="AG153" s="341"/>
      <c r="AH153" s="342"/>
      <c r="AI153" s="340"/>
      <c r="AJ153" s="341"/>
      <c r="AK153" s="341"/>
      <c r="AL153" s="341"/>
      <c r="AM153" s="341"/>
      <c r="AN153" s="341"/>
      <c r="AO153" s="341"/>
      <c r="AP153" s="341"/>
      <c r="AQ153" s="341"/>
      <c r="AR153" s="341"/>
      <c r="AS153" s="341"/>
      <c r="AT153" s="341"/>
      <c r="AU153" s="341"/>
      <c r="AV153" s="341"/>
      <c r="AW153" s="341"/>
      <c r="AX153" s="341"/>
      <c r="AY153" s="342"/>
      <c r="AZ153" s="340"/>
      <c r="BA153" s="341"/>
      <c r="BB153" s="341"/>
      <c r="BC153" s="341"/>
      <c r="BD153" s="341"/>
      <c r="BE153" s="341"/>
      <c r="BF153" s="341"/>
      <c r="BG153" s="341"/>
      <c r="BH153" s="341"/>
      <c r="BI153" s="341"/>
      <c r="BJ153" s="341"/>
      <c r="BK153" s="341"/>
      <c r="BL153" s="341"/>
      <c r="BM153" s="341"/>
      <c r="BN153" s="341"/>
      <c r="BO153" s="341"/>
      <c r="BP153" s="342"/>
      <c r="BQ153" s="340"/>
      <c r="BR153" s="341"/>
      <c r="BS153" s="341"/>
      <c r="BT153" s="341"/>
      <c r="BU153" s="341"/>
      <c r="BV153" s="341"/>
      <c r="BW153" s="341"/>
      <c r="BX153" s="341"/>
      <c r="BY153" s="341"/>
      <c r="BZ153" s="341"/>
      <c r="CA153" s="341"/>
      <c r="CB153" s="341"/>
      <c r="CC153" s="341"/>
      <c r="CD153" s="341"/>
      <c r="CE153" s="341"/>
      <c r="CF153" s="341"/>
      <c r="CG153" s="342"/>
      <c r="CH153" s="340"/>
      <c r="CI153" s="341"/>
      <c r="CJ153" s="341"/>
      <c r="CK153" s="341"/>
      <c r="CL153" s="341"/>
      <c r="CM153" s="341"/>
      <c r="CN153" s="341"/>
      <c r="CO153" s="341"/>
      <c r="CP153" s="341"/>
      <c r="CQ153" s="341"/>
      <c r="CR153" s="341"/>
      <c r="CS153" s="341"/>
      <c r="CT153" s="341"/>
      <c r="CU153" s="341"/>
      <c r="CV153" s="341"/>
      <c r="CW153" s="341"/>
      <c r="CX153" s="342"/>
      <c r="CY153" s="340"/>
      <c r="CZ153" s="341"/>
      <c r="DA153" s="341"/>
      <c r="DB153" s="341"/>
      <c r="DC153" s="341"/>
      <c r="DD153" s="341"/>
      <c r="DE153" s="341"/>
      <c r="DF153" s="341"/>
      <c r="DG153" s="341"/>
      <c r="DH153" s="341"/>
      <c r="DI153" s="341"/>
      <c r="DJ153" s="341"/>
      <c r="DK153" s="341"/>
      <c r="DL153" s="341"/>
      <c r="DM153" s="341"/>
      <c r="DN153" s="341"/>
      <c r="DO153" s="342"/>
      <c r="DP153" s="340"/>
      <c r="DQ153" s="341"/>
      <c r="DR153" s="341"/>
      <c r="DS153" s="341"/>
      <c r="DT153" s="341"/>
      <c r="DU153" s="341"/>
      <c r="DV153" s="341"/>
      <c r="DW153" s="341"/>
      <c r="DX153" s="341"/>
      <c r="DY153" s="341"/>
      <c r="DZ153" s="341"/>
      <c r="EA153" s="341"/>
      <c r="EB153" s="341"/>
      <c r="EC153" s="341"/>
      <c r="ED153" s="341"/>
      <c r="EE153" s="341"/>
      <c r="EF153" s="342"/>
      <c r="EG153" s="340"/>
      <c r="EH153" s="341"/>
      <c r="EI153" s="341"/>
      <c r="EJ153" s="341"/>
      <c r="EK153" s="341"/>
      <c r="EL153" s="341"/>
      <c r="EM153" s="341"/>
      <c r="EN153" s="341"/>
      <c r="EO153" s="341"/>
      <c r="EP153" s="341"/>
      <c r="EQ153" s="341"/>
      <c r="ER153" s="341"/>
      <c r="ES153" s="341"/>
      <c r="ET153" s="341"/>
      <c r="EU153" s="341"/>
      <c r="EV153" s="341"/>
      <c r="EW153" s="342"/>
      <c r="EX153" s="340"/>
      <c r="EY153" s="341"/>
      <c r="EZ153" s="341"/>
      <c r="FA153" s="341"/>
      <c r="FB153" s="341"/>
      <c r="FC153" s="341"/>
      <c r="FD153" s="341"/>
      <c r="FE153" s="341"/>
      <c r="FF153" s="341"/>
      <c r="FG153" s="341"/>
      <c r="FH153" s="341"/>
      <c r="FI153" s="341"/>
      <c r="FJ153" s="341"/>
      <c r="FK153" s="341"/>
      <c r="FL153" s="341"/>
      <c r="FM153" s="341"/>
      <c r="FN153" s="342"/>
      <c r="FO153" s="340"/>
      <c r="FP153" s="341"/>
      <c r="FQ153" s="341"/>
      <c r="FR153" s="341"/>
      <c r="FS153" s="341"/>
      <c r="FT153" s="341"/>
      <c r="FU153" s="341"/>
      <c r="FV153" s="341"/>
      <c r="FW153" s="341"/>
      <c r="FX153" s="341"/>
      <c r="FY153" s="341"/>
      <c r="FZ153" s="341"/>
      <c r="GA153" s="341"/>
      <c r="GB153" s="341"/>
      <c r="GC153" s="341"/>
      <c r="GD153" s="341"/>
      <c r="GE153" s="342"/>
      <c r="GF153" s="340"/>
      <c r="GG153" s="341"/>
      <c r="GH153" s="341"/>
      <c r="GI153" s="341"/>
      <c r="GJ153" s="341"/>
      <c r="GK153" s="341"/>
      <c r="GL153" s="341"/>
      <c r="GM153" s="341"/>
      <c r="GN153" s="341"/>
      <c r="GO153" s="341"/>
      <c r="GP153" s="341"/>
      <c r="GQ153" s="341"/>
      <c r="GR153" s="341"/>
      <c r="GS153" s="341"/>
      <c r="GT153" s="341"/>
      <c r="GU153" s="341"/>
      <c r="GV153" s="342"/>
      <c r="GW153" s="340"/>
      <c r="GX153" s="341"/>
      <c r="GY153" s="341"/>
      <c r="GZ153" s="341"/>
      <c r="HA153" s="341"/>
      <c r="HB153" s="341"/>
      <c r="HC153" s="341"/>
      <c r="HD153" s="341"/>
      <c r="HE153" s="341"/>
      <c r="HF153" s="341"/>
      <c r="HG153" s="341"/>
      <c r="HH153" s="341"/>
      <c r="HI153" s="341"/>
      <c r="HJ153" s="341"/>
      <c r="HK153" s="341"/>
      <c r="HL153" s="341"/>
      <c r="HM153" s="342"/>
      <c r="HN153" s="340"/>
      <c r="HO153" s="341"/>
      <c r="HP153" s="341"/>
      <c r="HQ153" s="341"/>
      <c r="HR153" s="341"/>
      <c r="HS153" s="341"/>
      <c r="HT153" s="341"/>
      <c r="HU153" s="341"/>
      <c r="HV153" s="341"/>
      <c r="HW153" s="341"/>
      <c r="HX153" s="341"/>
      <c r="HY153" s="341"/>
      <c r="HZ153" s="341"/>
      <c r="IA153" s="341"/>
      <c r="IB153" s="341"/>
      <c r="IC153" s="341"/>
      <c r="ID153" s="342"/>
      <c r="IE153" s="340"/>
      <c r="IF153" s="341"/>
      <c r="IG153" s="341"/>
      <c r="IH153" s="341"/>
      <c r="II153" s="341"/>
      <c r="IJ153" s="341"/>
      <c r="IK153" s="341"/>
      <c r="IL153" s="341"/>
      <c r="IM153" s="341"/>
      <c r="IN153" s="341"/>
      <c r="IO153" s="341"/>
      <c r="IP153" s="341"/>
      <c r="IQ153" s="341"/>
      <c r="IR153" s="341"/>
      <c r="IS153" s="341"/>
      <c r="IT153" s="341"/>
      <c r="IU153" s="342"/>
      <c r="IV153" s="340"/>
      <c r="IW153" s="341"/>
      <c r="IX153" s="341"/>
      <c r="IY153" s="341"/>
      <c r="IZ153" s="341"/>
      <c r="JA153" s="341"/>
      <c r="JB153" s="341"/>
      <c r="JC153" s="341"/>
      <c r="JD153" s="341"/>
      <c r="JE153" s="341"/>
      <c r="JF153" s="341"/>
      <c r="JG153" s="341"/>
      <c r="JH153" s="341"/>
      <c r="JI153" s="341"/>
      <c r="JJ153" s="341"/>
      <c r="JK153" s="341"/>
      <c r="JL153" s="342"/>
      <c r="JM153" s="340"/>
      <c r="JN153" s="341"/>
      <c r="JO153" s="341"/>
      <c r="JP153" s="341"/>
      <c r="JQ153" s="341"/>
      <c r="JR153" s="341"/>
      <c r="JS153" s="341"/>
      <c r="JT153" s="341"/>
      <c r="JU153" s="341"/>
      <c r="JV153" s="341"/>
      <c r="JW153" s="341"/>
      <c r="JX153" s="341"/>
      <c r="JY153" s="341"/>
      <c r="JZ153" s="341"/>
      <c r="KA153" s="341"/>
      <c r="KB153" s="341"/>
      <c r="KC153" s="342"/>
      <c r="KD153" s="340"/>
      <c r="KE153" s="341"/>
      <c r="KF153" s="341"/>
      <c r="KG153" s="341"/>
      <c r="KH153" s="341"/>
      <c r="KI153" s="341"/>
      <c r="KJ153" s="341"/>
      <c r="KK153" s="341"/>
      <c r="KL153" s="341"/>
      <c r="KM153" s="341"/>
      <c r="KN153" s="341"/>
      <c r="KO153" s="341"/>
      <c r="KP153" s="341"/>
      <c r="KQ153" s="341"/>
      <c r="KR153" s="341"/>
      <c r="KS153" s="341"/>
      <c r="KT153" s="342"/>
      <c r="KU153" s="341"/>
    </row>
    <row r="154" ht="33.75" customHeight="1">
      <c r="A154" s="343" t="s">
        <v>34</v>
      </c>
      <c r="B154" s="344" t="s">
        <v>35</v>
      </c>
      <c r="C154" s="345" t="s">
        <v>36</v>
      </c>
      <c r="D154" s="66"/>
      <c r="E154" s="66"/>
      <c r="F154" s="66"/>
      <c r="G154" s="67"/>
      <c r="H154" s="345" t="s">
        <v>37</v>
      </c>
      <c r="I154" s="67"/>
      <c r="J154" s="345" t="s">
        <v>38</v>
      </c>
      <c r="K154" s="66"/>
      <c r="L154" s="67"/>
      <c r="M154" s="344" t="s">
        <v>39</v>
      </c>
      <c r="N154" s="345" t="s">
        <v>40</v>
      </c>
      <c r="O154" s="67"/>
      <c r="P154" s="346" t="s">
        <v>41</v>
      </c>
      <c r="Q154" s="347"/>
      <c r="R154" s="343" t="s">
        <v>34</v>
      </c>
      <c r="S154" s="344" t="s">
        <v>35</v>
      </c>
      <c r="T154" s="345" t="s">
        <v>36</v>
      </c>
      <c r="U154" s="66"/>
      <c r="V154" s="66"/>
      <c r="W154" s="66"/>
      <c r="X154" s="67"/>
      <c r="Y154" s="345" t="s">
        <v>37</v>
      </c>
      <c r="Z154" s="67"/>
      <c r="AA154" s="345" t="s">
        <v>38</v>
      </c>
      <c r="AB154" s="66"/>
      <c r="AC154" s="67"/>
      <c r="AD154" s="344" t="s">
        <v>39</v>
      </c>
      <c r="AE154" s="345" t="s">
        <v>40</v>
      </c>
      <c r="AF154" s="67"/>
      <c r="AG154" s="346" t="s">
        <v>41</v>
      </c>
      <c r="AH154" s="347"/>
      <c r="AI154" s="343" t="s">
        <v>34</v>
      </c>
      <c r="AJ154" s="344" t="s">
        <v>35</v>
      </c>
      <c r="AK154" s="345" t="s">
        <v>36</v>
      </c>
      <c r="AL154" s="66"/>
      <c r="AM154" s="66"/>
      <c r="AN154" s="66"/>
      <c r="AO154" s="67"/>
      <c r="AP154" s="345" t="s">
        <v>37</v>
      </c>
      <c r="AQ154" s="67"/>
      <c r="AR154" s="345" t="s">
        <v>38</v>
      </c>
      <c r="AS154" s="66"/>
      <c r="AT154" s="67"/>
      <c r="AU154" s="344" t="s">
        <v>39</v>
      </c>
      <c r="AV154" s="345" t="s">
        <v>40</v>
      </c>
      <c r="AW154" s="67"/>
      <c r="AX154" s="346" t="s">
        <v>41</v>
      </c>
      <c r="AY154" s="347"/>
      <c r="AZ154" s="343" t="s">
        <v>34</v>
      </c>
      <c r="BA154" s="344" t="s">
        <v>35</v>
      </c>
      <c r="BB154" s="345" t="s">
        <v>36</v>
      </c>
      <c r="BC154" s="66"/>
      <c r="BD154" s="66"/>
      <c r="BE154" s="66"/>
      <c r="BF154" s="67"/>
      <c r="BG154" s="345" t="s">
        <v>37</v>
      </c>
      <c r="BH154" s="67"/>
      <c r="BI154" s="345" t="s">
        <v>38</v>
      </c>
      <c r="BJ154" s="66"/>
      <c r="BK154" s="67"/>
      <c r="BL154" s="344" t="s">
        <v>39</v>
      </c>
      <c r="BM154" s="345" t="s">
        <v>40</v>
      </c>
      <c r="BN154" s="67"/>
      <c r="BO154" s="346" t="s">
        <v>41</v>
      </c>
      <c r="BP154" s="347"/>
      <c r="BQ154" s="343" t="s">
        <v>34</v>
      </c>
      <c r="BR154" s="344" t="s">
        <v>35</v>
      </c>
      <c r="BS154" s="345" t="s">
        <v>36</v>
      </c>
      <c r="BT154" s="66"/>
      <c r="BU154" s="66"/>
      <c r="BV154" s="66"/>
      <c r="BW154" s="67"/>
      <c r="BX154" s="345" t="s">
        <v>37</v>
      </c>
      <c r="BY154" s="67"/>
      <c r="BZ154" s="345" t="s">
        <v>38</v>
      </c>
      <c r="CA154" s="66"/>
      <c r="CB154" s="67"/>
      <c r="CC154" s="344" t="s">
        <v>39</v>
      </c>
      <c r="CD154" s="345" t="s">
        <v>40</v>
      </c>
      <c r="CE154" s="67"/>
      <c r="CF154" s="346" t="s">
        <v>41</v>
      </c>
      <c r="CG154" s="347"/>
      <c r="CH154" s="343" t="s">
        <v>34</v>
      </c>
      <c r="CI154" s="344" t="s">
        <v>35</v>
      </c>
      <c r="CJ154" s="345" t="s">
        <v>36</v>
      </c>
      <c r="CK154" s="66"/>
      <c r="CL154" s="66"/>
      <c r="CM154" s="66"/>
      <c r="CN154" s="67"/>
      <c r="CO154" s="345" t="s">
        <v>37</v>
      </c>
      <c r="CP154" s="67"/>
      <c r="CQ154" s="345" t="s">
        <v>38</v>
      </c>
      <c r="CR154" s="66"/>
      <c r="CS154" s="67"/>
      <c r="CT154" s="344" t="s">
        <v>39</v>
      </c>
      <c r="CU154" s="345" t="s">
        <v>40</v>
      </c>
      <c r="CV154" s="67"/>
      <c r="CW154" s="346" t="s">
        <v>41</v>
      </c>
      <c r="CX154" s="347"/>
      <c r="CY154" s="343" t="s">
        <v>34</v>
      </c>
      <c r="CZ154" s="344" t="s">
        <v>35</v>
      </c>
      <c r="DA154" s="345" t="s">
        <v>36</v>
      </c>
      <c r="DB154" s="66"/>
      <c r="DC154" s="66"/>
      <c r="DD154" s="66"/>
      <c r="DE154" s="67"/>
      <c r="DF154" s="345" t="s">
        <v>37</v>
      </c>
      <c r="DG154" s="67"/>
      <c r="DH154" s="345" t="s">
        <v>38</v>
      </c>
      <c r="DI154" s="66"/>
      <c r="DJ154" s="67"/>
      <c r="DK154" s="344" t="s">
        <v>39</v>
      </c>
      <c r="DL154" s="345" t="s">
        <v>40</v>
      </c>
      <c r="DM154" s="67"/>
      <c r="DN154" s="346" t="s">
        <v>41</v>
      </c>
      <c r="DO154" s="347"/>
      <c r="DP154" s="343" t="s">
        <v>34</v>
      </c>
      <c r="DQ154" s="344" t="s">
        <v>35</v>
      </c>
      <c r="DR154" s="345" t="s">
        <v>36</v>
      </c>
      <c r="DS154" s="66"/>
      <c r="DT154" s="66"/>
      <c r="DU154" s="66"/>
      <c r="DV154" s="67"/>
      <c r="DW154" s="345" t="s">
        <v>37</v>
      </c>
      <c r="DX154" s="67"/>
      <c r="DY154" s="345" t="s">
        <v>38</v>
      </c>
      <c r="DZ154" s="66"/>
      <c r="EA154" s="67"/>
      <c r="EB154" s="344" t="s">
        <v>39</v>
      </c>
      <c r="EC154" s="345" t="s">
        <v>40</v>
      </c>
      <c r="ED154" s="67"/>
      <c r="EE154" s="346" t="s">
        <v>41</v>
      </c>
      <c r="EF154" s="347"/>
      <c r="EG154" s="343" t="s">
        <v>34</v>
      </c>
      <c r="EH154" s="344" t="s">
        <v>35</v>
      </c>
      <c r="EI154" s="345" t="s">
        <v>36</v>
      </c>
      <c r="EJ154" s="66"/>
      <c r="EK154" s="66"/>
      <c r="EL154" s="66"/>
      <c r="EM154" s="67"/>
      <c r="EN154" s="345" t="s">
        <v>37</v>
      </c>
      <c r="EO154" s="67"/>
      <c r="EP154" s="345" t="s">
        <v>38</v>
      </c>
      <c r="EQ154" s="66"/>
      <c r="ER154" s="67"/>
      <c r="ES154" s="344" t="s">
        <v>39</v>
      </c>
      <c r="ET154" s="345" t="s">
        <v>40</v>
      </c>
      <c r="EU154" s="67"/>
      <c r="EV154" s="346" t="s">
        <v>41</v>
      </c>
      <c r="EW154" s="347"/>
      <c r="EX154" s="343" t="s">
        <v>34</v>
      </c>
      <c r="EY154" s="344" t="s">
        <v>35</v>
      </c>
      <c r="EZ154" s="345" t="s">
        <v>36</v>
      </c>
      <c r="FA154" s="66"/>
      <c r="FB154" s="66"/>
      <c r="FC154" s="66"/>
      <c r="FD154" s="67"/>
      <c r="FE154" s="345" t="s">
        <v>37</v>
      </c>
      <c r="FF154" s="67"/>
      <c r="FG154" s="345" t="s">
        <v>38</v>
      </c>
      <c r="FH154" s="66"/>
      <c r="FI154" s="67"/>
      <c r="FJ154" s="344" t="s">
        <v>39</v>
      </c>
      <c r="FK154" s="345" t="s">
        <v>40</v>
      </c>
      <c r="FL154" s="67"/>
      <c r="FM154" s="346" t="s">
        <v>41</v>
      </c>
      <c r="FN154" s="347"/>
      <c r="FO154" s="343" t="s">
        <v>34</v>
      </c>
      <c r="FP154" s="344" t="s">
        <v>35</v>
      </c>
      <c r="FQ154" s="345" t="s">
        <v>36</v>
      </c>
      <c r="FR154" s="66"/>
      <c r="FS154" s="66"/>
      <c r="FT154" s="66"/>
      <c r="FU154" s="67"/>
      <c r="FV154" s="345" t="s">
        <v>37</v>
      </c>
      <c r="FW154" s="67"/>
      <c r="FX154" s="345" t="s">
        <v>38</v>
      </c>
      <c r="FY154" s="66"/>
      <c r="FZ154" s="67"/>
      <c r="GA154" s="344" t="s">
        <v>39</v>
      </c>
      <c r="GB154" s="345" t="s">
        <v>40</v>
      </c>
      <c r="GC154" s="67"/>
      <c r="GD154" s="346" t="s">
        <v>41</v>
      </c>
      <c r="GE154" s="347"/>
      <c r="GF154" s="343" t="s">
        <v>34</v>
      </c>
      <c r="GG154" s="344" t="s">
        <v>35</v>
      </c>
      <c r="GH154" s="345" t="s">
        <v>36</v>
      </c>
      <c r="GI154" s="66"/>
      <c r="GJ154" s="66"/>
      <c r="GK154" s="66"/>
      <c r="GL154" s="67"/>
      <c r="GM154" s="345" t="s">
        <v>37</v>
      </c>
      <c r="GN154" s="67"/>
      <c r="GO154" s="345" t="s">
        <v>38</v>
      </c>
      <c r="GP154" s="66"/>
      <c r="GQ154" s="67"/>
      <c r="GR154" s="344" t="s">
        <v>39</v>
      </c>
      <c r="GS154" s="345" t="s">
        <v>40</v>
      </c>
      <c r="GT154" s="67"/>
      <c r="GU154" s="346" t="s">
        <v>41</v>
      </c>
      <c r="GV154" s="347"/>
      <c r="GW154" s="343" t="s">
        <v>34</v>
      </c>
      <c r="GX154" s="344" t="s">
        <v>35</v>
      </c>
      <c r="GY154" s="345" t="s">
        <v>36</v>
      </c>
      <c r="GZ154" s="66"/>
      <c r="HA154" s="66"/>
      <c r="HB154" s="66"/>
      <c r="HC154" s="67"/>
      <c r="HD154" s="345" t="s">
        <v>37</v>
      </c>
      <c r="HE154" s="67"/>
      <c r="HF154" s="345" t="s">
        <v>38</v>
      </c>
      <c r="HG154" s="66"/>
      <c r="HH154" s="67"/>
      <c r="HI154" s="344" t="s">
        <v>39</v>
      </c>
      <c r="HJ154" s="345" t="s">
        <v>40</v>
      </c>
      <c r="HK154" s="67"/>
      <c r="HL154" s="346" t="s">
        <v>41</v>
      </c>
      <c r="HM154" s="347"/>
      <c r="HN154" s="343" t="s">
        <v>34</v>
      </c>
      <c r="HO154" s="344" t="s">
        <v>35</v>
      </c>
      <c r="HP154" s="345" t="s">
        <v>36</v>
      </c>
      <c r="HQ154" s="66"/>
      <c r="HR154" s="66"/>
      <c r="HS154" s="66"/>
      <c r="HT154" s="67"/>
      <c r="HU154" s="345" t="s">
        <v>37</v>
      </c>
      <c r="HV154" s="67"/>
      <c r="HW154" s="345" t="s">
        <v>38</v>
      </c>
      <c r="HX154" s="66"/>
      <c r="HY154" s="67"/>
      <c r="HZ154" s="344" t="s">
        <v>39</v>
      </c>
      <c r="IA154" s="345" t="s">
        <v>40</v>
      </c>
      <c r="IB154" s="67"/>
      <c r="IC154" s="346" t="s">
        <v>41</v>
      </c>
      <c r="ID154" s="347"/>
      <c r="IE154" s="343" t="s">
        <v>34</v>
      </c>
      <c r="IF154" s="344" t="s">
        <v>35</v>
      </c>
      <c r="IG154" s="345" t="s">
        <v>36</v>
      </c>
      <c r="IH154" s="66"/>
      <c r="II154" s="66"/>
      <c r="IJ154" s="66"/>
      <c r="IK154" s="67"/>
      <c r="IL154" s="345" t="s">
        <v>37</v>
      </c>
      <c r="IM154" s="67"/>
      <c r="IN154" s="345" t="s">
        <v>38</v>
      </c>
      <c r="IO154" s="66"/>
      <c r="IP154" s="67"/>
      <c r="IQ154" s="344" t="s">
        <v>39</v>
      </c>
      <c r="IR154" s="345" t="s">
        <v>40</v>
      </c>
      <c r="IS154" s="67"/>
      <c r="IT154" s="346" t="s">
        <v>41</v>
      </c>
      <c r="IU154" s="347"/>
      <c r="IV154" s="343" t="s">
        <v>34</v>
      </c>
      <c r="IW154" s="344" t="s">
        <v>35</v>
      </c>
      <c r="IX154" s="345" t="s">
        <v>36</v>
      </c>
      <c r="IY154" s="66"/>
      <c r="IZ154" s="66"/>
      <c r="JA154" s="66"/>
      <c r="JB154" s="67"/>
      <c r="JC154" s="345" t="s">
        <v>37</v>
      </c>
      <c r="JD154" s="67"/>
      <c r="JE154" s="345" t="s">
        <v>38</v>
      </c>
      <c r="JF154" s="66"/>
      <c r="JG154" s="67"/>
      <c r="JH154" s="344" t="s">
        <v>39</v>
      </c>
      <c r="JI154" s="345" t="s">
        <v>40</v>
      </c>
      <c r="JJ154" s="67"/>
      <c r="JK154" s="346" t="s">
        <v>41</v>
      </c>
      <c r="JL154" s="348"/>
      <c r="JM154" s="343" t="s">
        <v>34</v>
      </c>
      <c r="JN154" s="344" t="s">
        <v>35</v>
      </c>
      <c r="JO154" s="345" t="s">
        <v>36</v>
      </c>
      <c r="JP154" s="66"/>
      <c r="JQ154" s="66"/>
      <c r="JR154" s="66"/>
      <c r="JS154" s="67"/>
      <c r="JT154" s="345" t="s">
        <v>37</v>
      </c>
      <c r="JU154" s="67"/>
      <c r="JV154" s="345" t="s">
        <v>38</v>
      </c>
      <c r="JW154" s="66"/>
      <c r="JX154" s="67"/>
      <c r="JY154" s="344" t="s">
        <v>39</v>
      </c>
      <c r="JZ154" s="345" t="s">
        <v>40</v>
      </c>
      <c r="KA154" s="67"/>
      <c r="KB154" s="346" t="s">
        <v>41</v>
      </c>
      <c r="KC154" s="348"/>
      <c r="KD154" s="343" t="s">
        <v>34</v>
      </c>
      <c r="KE154" s="344" t="s">
        <v>35</v>
      </c>
      <c r="KF154" s="345" t="s">
        <v>36</v>
      </c>
      <c r="KG154" s="66"/>
      <c r="KH154" s="66"/>
      <c r="KI154" s="66"/>
      <c r="KJ154" s="67"/>
      <c r="KK154" s="345" t="s">
        <v>37</v>
      </c>
      <c r="KL154" s="67"/>
      <c r="KM154" s="345" t="s">
        <v>38</v>
      </c>
      <c r="KN154" s="66"/>
      <c r="KO154" s="67"/>
      <c r="KP154" s="344" t="s">
        <v>39</v>
      </c>
      <c r="KQ154" s="345" t="s">
        <v>40</v>
      </c>
      <c r="KR154" s="67"/>
      <c r="KS154" s="346" t="s">
        <v>41</v>
      </c>
      <c r="KT154" s="348"/>
      <c r="KU154" s="349"/>
    </row>
    <row r="155" ht="66.0" customHeight="1">
      <c r="A155" s="72"/>
      <c r="B155" s="55"/>
      <c r="C155" s="350" t="s">
        <v>42</v>
      </c>
      <c r="D155" s="350" t="s">
        <v>43</v>
      </c>
      <c r="E155" s="350" t="s">
        <v>44</v>
      </c>
      <c r="F155" s="350" t="s">
        <v>63</v>
      </c>
      <c r="G155" s="350" t="s">
        <v>46</v>
      </c>
      <c r="H155" s="351" t="s">
        <v>64</v>
      </c>
      <c r="I155" s="350" t="s">
        <v>48</v>
      </c>
      <c r="J155" s="351" t="s">
        <v>65</v>
      </c>
      <c r="K155" s="350" t="s">
        <v>66</v>
      </c>
      <c r="L155" s="350" t="s">
        <v>67</v>
      </c>
      <c r="M155" s="55"/>
      <c r="N155" s="351" t="s">
        <v>64</v>
      </c>
      <c r="O155" s="351" t="s">
        <v>50</v>
      </c>
      <c r="P155" s="75"/>
      <c r="Q155" s="347"/>
      <c r="R155" s="72"/>
      <c r="S155" s="55"/>
      <c r="T155" s="350" t="s">
        <v>42</v>
      </c>
      <c r="U155" s="350" t="s">
        <v>43</v>
      </c>
      <c r="V155" s="350" t="s">
        <v>44</v>
      </c>
      <c r="W155" s="350" t="s">
        <v>63</v>
      </c>
      <c r="X155" s="350" t="s">
        <v>46</v>
      </c>
      <c r="Y155" s="351" t="s">
        <v>64</v>
      </c>
      <c r="Z155" s="350" t="s">
        <v>48</v>
      </c>
      <c r="AA155" s="351" t="s">
        <v>65</v>
      </c>
      <c r="AB155" s="350" t="s">
        <v>66</v>
      </c>
      <c r="AC155" s="350" t="s">
        <v>67</v>
      </c>
      <c r="AD155" s="55"/>
      <c r="AE155" s="351" t="s">
        <v>64</v>
      </c>
      <c r="AF155" s="351" t="s">
        <v>50</v>
      </c>
      <c r="AG155" s="75"/>
      <c r="AH155" s="347"/>
      <c r="AI155" s="72"/>
      <c r="AJ155" s="55"/>
      <c r="AK155" s="350" t="s">
        <v>42</v>
      </c>
      <c r="AL155" s="350" t="s">
        <v>43</v>
      </c>
      <c r="AM155" s="350" t="s">
        <v>44</v>
      </c>
      <c r="AN155" s="350" t="s">
        <v>63</v>
      </c>
      <c r="AO155" s="350" t="s">
        <v>46</v>
      </c>
      <c r="AP155" s="351" t="s">
        <v>64</v>
      </c>
      <c r="AQ155" s="350" t="s">
        <v>48</v>
      </c>
      <c r="AR155" s="351" t="s">
        <v>65</v>
      </c>
      <c r="AS155" s="350" t="s">
        <v>66</v>
      </c>
      <c r="AT155" s="350" t="s">
        <v>67</v>
      </c>
      <c r="AU155" s="55"/>
      <c r="AV155" s="351" t="s">
        <v>64</v>
      </c>
      <c r="AW155" s="351" t="s">
        <v>50</v>
      </c>
      <c r="AX155" s="75"/>
      <c r="AY155" s="347"/>
      <c r="AZ155" s="72"/>
      <c r="BA155" s="55"/>
      <c r="BB155" s="350" t="s">
        <v>42</v>
      </c>
      <c r="BC155" s="350" t="s">
        <v>43</v>
      </c>
      <c r="BD155" s="350" t="s">
        <v>44</v>
      </c>
      <c r="BE155" s="350" t="s">
        <v>63</v>
      </c>
      <c r="BF155" s="350" t="s">
        <v>46</v>
      </c>
      <c r="BG155" s="351" t="s">
        <v>64</v>
      </c>
      <c r="BH155" s="350" t="s">
        <v>48</v>
      </c>
      <c r="BI155" s="351" t="s">
        <v>65</v>
      </c>
      <c r="BJ155" s="350" t="s">
        <v>66</v>
      </c>
      <c r="BK155" s="350" t="s">
        <v>67</v>
      </c>
      <c r="BL155" s="55"/>
      <c r="BM155" s="351" t="s">
        <v>64</v>
      </c>
      <c r="BN155" s="351" t="s">
        <v>50</v>
      </c>
      <c r="BO155" s="75"/>
      <c r="BP155" s="347"/>
      <c r="BQ155" s="72"/>
      <c r="BR155" s="55"/>
      <c r="BS155" s="350" t="s">
        <v>42</v>
      </c>
      <c r="BT155" s="350" t="s">
        <v>43</v>
      </c>
      <c r="BU155" s="350" t="s">
        <v>44</v>
      </c>
      <c r="BV155" s="350" t="s">
        <v>63</v>
      </c>
      <c r="BW155" s="350" t="s">
        <v>46</v>
      </c>
      <c r="BX155" s="351" t="s">
        <v>64</v>
      </c>
      <c r="BY155" s="350" t="s">
        <v>48</v>
      </c>
      <c r="BZ155" s="351" t="s">
        <v>65</v>
      </c>
      <c r="CA155" s="350" t="s">
        <v>66</v>
      </c>
      <c r="CB155" s="350" t="s">
        <v>67</v>
      </c>
      <c r="CC155" s="55"/>
      <c r="CD155" s="351" t="s">
        <v>64</v>
      </c>
      <c r="CE155" s="351" t="s">
        <v>50</v>
      </c>
      <c r="CF155" s="75"/>
      <c r="CG155" s="347"/>
      <c r="CH155" s="72"/>
      <c r="CI155" s="55"/>
      <c r="CJ155" s="350" t="s">
        <v>42</v>
      </c>
      <c r="CK155" s="350" t="s">
        <v>43</v>
      </c>
      <c r="CL155" s="350" t="s">
        <v>44</v>
      </c>
      <c r="CM155" s="350" t="s">
        <v>63</v>
      </c>
      <c r="CN155" s="350" t="s">
        <v>46</v>
      </c>
      <c r="CO155" s="351" t="s">
        <v>64</v>
      </c>
      <c r="CP155" s="350" t="s">
        <v>48</v>
      </c>
      <c r="CQ155" s="351" t="s">
        <v>65</v>
      </c>
      <c r="CR155" s="350" t="s">
        <v>66</v>
      </c>
      <c r="CS155" s="350" t="s">
        <v>67</v>
      </c>
      <c r="CT155" s="55"/>
      <c r="CU155" s="351" t="s">
        <v>64</v>
      </c>
      <c r="CV155" s="351" t="s">
        <v>50</v>
      </c>
      <c r="CW155" s="75"/>
      <c r="CX155" s="347"/>
      <c r="CY155" s="72"/>
      <c r="CZ155" s="55"/>
      <c r="DA155" s="350" t="s">
        <v>42</v>
      </c>
      <c r="DB155" s="350" t="s">
        <v>43</v>
      </c>
      <c r="DC155" s="350" t="s">
        <v>44</v>
      </c>
      <c r="DD155" s="350" t="s">
        <v>63</v>
      </c>
      <c r="DE155" s="350" t="s">
        <v>46</v>
      </c>
      <c r="DF155" s="351" t="s">
        <v>64</v>
      </c>
      <c r="DG155" s="350" t="s">
        <v>48</v>
      </c>
      <c r="DH155" s="351" t="s">
        <v>65</v>
      </c>
      <c r="DI155" s="350" t="s">
        <v>66</v>
      </c>
      <c r="DJ155" s="350" t="s">
        <v>67</v>
      </c>
      <c r="DK155" s="55"/>
      <c r="DL155" s="351" t="s">
        <v>64</v>
      </c>
      <c r="DM155" s="351" t="s">
        <v>50</v>
      </c>
      <c r="DN155" s="75"/>
      <c r="DO155" s="347"/>
      <c r="DP155" s="72"/>
      <c r="DQ155" s="55"/>
      <c r="DR155" s="350" t="s">
        <v>42</v>
      </c>
      <c r="DS155" s="350" t="s">
        <v>43</v>
      </c>
      <c r="DT155" s="350" t="s">
        <v>44</v>
      </c>
      <c r="DU155" s="350" t="s">
        <v>63</v>
      </c>
      <c r="DV155" s="350" t="s">
        <v>46</v>
      </c>
      <c r="DW155" s="351" t="s">
        <v>64</v>
      </c>
      <c r="DX155" s="350" t="s">
        <v>48</v>
      </c>
      <c r="DY155" s="351" t="s">
        <v>65</v>
      </c>
      <c r="DZ155" s="350" t="s">
        <v>66</v>
      </c>
      <c r="EA155" s="350" t="s">
        <v>67</v>
      </c>
      <c r="EB155" s="55"/>
      <c r="EC155" s="351" t="s">
        <v>64</v>
      </c>
      <c r="ED155" s="351" t="s">
        <v>50</v>
      </c>
      <c r="EE155" s="75"/>
      <c r="EF155" s="347"/>
      <c r="EG155" s="72"/>
      <c r="EH155" s="55"/>
      <c r="EI155" s="350" t="s">
        <v>42</v>
      </c>
      <c r="EJ155" s="350" t="s">
        <v>43</v>
      </c>
      <c r="EK155" s="350" t="s">
        <v>44</v>
      </c>
      <c r="EL155" s="350" t="s">
        <v>63</v>
      </c>
      <c r="EM155" s="350" t="s">
        <v>46</v>
      </c>
      <c r="EN155" s="351" t="s">
        <v>64</v>
      </c>
      <c r="EO155" s="350" t="s">
        <v>48</v>
      </c>
      <c r="EP155" s="351" t="s">
        <v>65</v>
      </c>
      <c r="EQ155" s="350" t="s">
        <v>66</v>
      </c>
      <c r="ER155" s="350" t="s">
        <v>67</v>
      </c>
      <c r="ES155" s="55"/>
      <c r="ET155" s="351" t="s">
        <v>64</v>
      </c>
      <c r="EU155" s="351" t="s">
        <v>50</v>
      </c>
      <c r="EV155" s="75"/>
      <c r="EW155" s="347"/>
      <c r="EX155" s="72"/>
      <c r="EY155" s="55"/>
      <c r="EZ155" s="350" t="s">
        <v>42</v>
      </c>
      <c r="FA155" s="350" t="s">
        <v>43</v>
      </c>
      <c r="FB155" s="350" t="s">
        <v>44</v>
      </c>
      <c r="FC155" s="350" t="s">
        <v>63</v>
      </c>
      <c r="FD155" s="350" t="s">
        <v>46</v>
      </c>
      <c r="FE155" s="351" t="s">
        <v>64</v>
      </c>
      <c r="FF155" s="350" t="s">
        <v>48</v>
      </c>
      <c r="FG155" s="351" t="s">
        <v>65</v>
      </c>
      <c r="FH155" s="350" t="s">
        <v>66</v>
      </c>
      <c r="FI155" s="350" t="s">
        <v>67</v>
      </c>
      <c r="FJ155" s="55"/>
      <c r="FK155" s="351" t="s">
        <v>64</v>
      </c>
      <c r="FL155" s="351" t="s">
        <v>50</v>
      </c>
      <c r="FM155" s="75"/>
      <c r="FN155" s="347"/>
      <c r="FO155" s="72"/>
      <c r="FP155" s="55"/>
      <c r="FQ155" s="350" t="s">
        <v>42</v>
      </c>
      <c r="FR155" s="350" t="s">
        <v>43</v>
      </c>
      <c r="FS155" s="350" t="s">
        <v>44</v>
      </c>
      <c r="FT155" s="350" t="s">
        <v>63</v>
      </c>
      <c r="FU155" s="350" t="s">
        <v>46</v>
      </c>
      <c r="FV155" s="351" t="s">
        <v>64</v>
      </c>
      <c r="FW155" s="350" t="s">
        <v>48</v>
      </c>
      <c r="FX155" s="351" t="s">
        <v>65</v>
      </c>
      <c r="FY155" s="350" t="s">
        <v>66</v>
      </c>
      <c r="FZ155" s="350" t="s">
        <v>67</v>
      </c>
      <c r="GA155" s="55"/>
      <c r="GB155" s="351" t="s">
        <v>64</v>
      </c>
      <c r="GC155" s="351" t="s">
        <v>50</v>
      </c>
      <c r="GD155" s="75"/>
      <c r="GE155" s="347"/>
      <c r="GF155" s="72"/>
      <c r="GG155" s="55"/>
      <c r="GH155" s="350" t="s">
        <v>42</v>
      </c>
      <c r="GI155" s="350" t="s">
        <v>43</v>
      </c>
      <c r="GJ155" s="350" t="s">
        <v>44</v>
      </c>
      <c r="GK155" s="350" t="s">
        <v>63</v>
      </c>
      <c r="GL155" s="350" t="s">
        <v>46</v>
      </c>
      <c r="GM155" s="351" t="s">
        <v>64</v>
      </c>
      <c r="GN155" s="350" t="s">
        <v>48</v>
      </c>
      <c r="GO155" s="351" t="s">
        <v>65</v>
      </c>
      <c r="GP155" s="350" t="s">
        <v>66</v>
      </c>
      <c r="GQ155" s="350" t="s">
        <v>67</v>
      </c>
      <c r="GR155" s="55"/>
      <c r="GS155" s="351" t="s">
        <v>64</v>
      </c>
      <c r="GT155" s="351" t="s">
        <v>50</v>
      </c>
      <c r="GU155" s="75"/>
      <c r="GV155" s="347"/>
      <c r="GW155" s="72"/>
      <c r="GX155" s="55"/>
      <c r="GY155" s="350" t="s">
        <v>42</v>
      </c>
      <c r="GZ155" s="350" t="s">
        <v>43</v>
      </c>
      <c r="HA155" s="350" t="s">
        <v>44</v>
      </c>
      <c r="HB155" s="350" t="s">
        <v>63</v>
      </c>
      <c r="HC155" s="350" t="s">
        <v>46</v>
      </c>
      <c r="HD155" s="351" t="s">
        <v>64</v>
      </c>
      <c r="HE155" s="350" t="s">
        <v>48</v>
      </c>
      <c r="HF155" s="351" t="s">
        <v>65</v>
      </c>
      <c r="HG155" s="350" t="s">
        <v>66</v>
      </c>
      <c r="HH155" s="350" t="s">
        <v>67</v>
      </c>
      <c r="HI155" s="55"/>
      <c r="HJ155" s="351" t="s">
        <v>64</v>
      </c>
      <c r="HK155" s="351" t="s">
        <v>50</v>
      </c>
      <c r="HL155" s="75"/>
      <c r="HM155" s="347"/>
      <c r="HN155" s="72"/>
      <c r="HO155" s="55"/>
      <c r="HP155" s="350" t="s">
        <v>42</v>
      </c>
      <c r="HQ155" s="350" t="s">
        <v>43</v>
      </c>
      <c r="HR155" s="350" t="s">
        <v>44</v>
      </c>
      <c r="HS155" s="350" t="s">
        <v>63</v>
      </c>
      <c r="HT155" s="350" t="s">
        <v>46</v>
      </c>
      <c r="HU155" s="351" t="s">
        <v>64</v>
      </c>
      <c r="HV155" s="350" t="s">
        <v>48</v>
      </c>
      <c r="HW155" s="351" t="s">
        <v>65</v>
      </c>
      <c r="HX155" s="350" t="s">
        <v>66</v>
      </c>
      <c r="HY155" s="350" t="s">
        <v>67</v>
      </c>
      <c r="HZ155" s="55"/>
      <c r="IA155" s="351" t="s">
        <v>64</v>
      </c>
      <c r="IB155" s="351" t="s">
        <v>50</v>
      </c>
      <c r="IC155" s="75"/>
      <c r="ID155" s="347"/>
      <c r="IE155" s="72"/>
      <c r="IF155" s="55"/>
      <c r="IG155" s="350" t="s">
        <v>42</v>
      </c>
      <c r="IH155" s="350" t="s">
        <v>43</v>
      </c>
      <c r="II155" s="350" t="s">
        <v>44</v>
      </c>
      <c r="IJ155" s="350" t="s">
        <v>63</v>
      </c>
      <c r="IK155" s="350" t="s">
        <v>46</v>
      </c>
      <c r="IL155" s="351" t="s">
        <v>64</v>
      </c>
      <c r="IM155" s="350" t="s">
        <v>48</v>
      </c>
      <c r="IN155" s="351" t="s">
        <v>65</v>
      </c>
      <c r="IO155" s="350" t="s">
        <v>66</v>
      </c>
      <c r="IP155" s="350" t="s">
        <v>67</v>
      </c>
      <c r="IQ155" s="55"/>
      <c r="IR155" s="351" t="s">
        <v>64</v>
      </c>
      <c r="IS155" s="351" t="s">
        <v>50</v>
      </c>
      <c r="IT155" s="75"/>
      <c r="IU155" s="347"/>
      <c r="IV155" s="72"/>
      <c r="IW155" s="55"/>
      <c r="IX155" s="350" t="s">
        <v>42</v>
      </c>
      <c r="IY155" s="350" t="s">
        <v>43</v>
      </c>
      <c r="IZ155" s="350" t="s">
        <v>44</v>
      </c>
      <c r="JA155" s="350" t="s">
        <v>63</v>
      </c>
      <c r="JB155" s="350" t="s">
        <v>46</v>
      </c>
      <c r="JC155" s="351" t="s">
        <v>64</v>
      </c>
      <c r="JD155" s="350" t="s">
        <v>48</v>
      </c>
      <c r="JE155" s="351" t="s">
        <v>65</v>
      </c>
      <c r="JF155" s="350" t="s">
        <v>66</v>
      </c>
      <c r="JG155" s="350" t="s">
        <v>67</v>
      </c>
      <c r="JH155" s="55"/>
      <c r="JI155" s="351" t="s">
        <v>64</v>
      </c>
      <c r="JJ155" s="351" t="s">
        <v>50</v>
      </c>
      <c r="JK155" s="75"/>
      <c r="JL155" s="348"/>
      <c r="JM155" s="72"/>
      <c r="JN155" s="55"/>
      <c r="JO155" s="350" t="s">
        <v>42</v>
      </c>
      <c r="JP155" s="350" t="s">
        <v>43</v>
      </c>
      <c r="JQ155" s="350" t="s">
        <v>44</v>
      </c>
      <c r="JR155" s="350" t="s">
        <v>63</v>
      </c>
      <c r="JS155" s="350" t="s">
        <v>46</v>
      </c>
      <c r="JT155" s="351" t="s">
        <v>64</v>
      </c>
      <c r="JU155" s="350" t="s">
        <v>48</v>
      </c>
      <c r="JV155" s="351" t="s">
        <v>65</v>
      </c>
      <c r="JW155" s="350" t="s">
        <v>66</v>
      </c>
      <c r="JX155" s="350" t="s">
        <v>67</v>
      </c>
      <c r="JY155" s="55"/>
      <c r="JZ155" s="351" t="s">
        <v>64</v>
      </c>
      <c r="KA155" s="351" t="s">
        <v>50</v>
      </c>
      <c r="KB155" s="75"/>
      <c r="KC155" s="348"/>
      <c r="KD155" s="72"/>
      <c r="KE155" s="55"/>
      <c r="KF155" s="350" t="s">
        <v>42</v>
      </c>
      <c r="KG155" s="350" t="s">
        <v>43</v>
      </c>
      <c r="KH155" s="350" t="s">
        <v>44</v>
      </c>
      <c r="KI155" s="350" t="s">
        <v>63</v>
      </c>
      <c r="KJ155" s="350" t="s">
        <v>46</v>
      </c>
      <c r="KK155" s="351" t="s">
        <v>64</v>
      </c>
      <c r="KL155" s="350" t="s">
        <v>48</v>
      </c>
      <c r="KM155" s="351" t="s">
        <v>65</v>
      </c>
      <c r="KN155" s="350" t="s">
        <v>66</v>
      </c>
      <c r="KO155" s="350" t="s">
        <v>67</v>
      </c>
      <c r="KP155" s="55"/>
      <c r="KQ155" s="351" t="s">
        <v>64</v>
      </c>
      <c r="KR155" s="351" t="s">
        <v>50</v>
      </c>
      <c r="KS155" s="75"/>
      <c r="KT155" s="348"/>
      <c r="KU155" s="349"/>
    </row>
    <row r="156" ht="15.75" customHeight="1">
      <c r="A156" s="352">
        <v>-1.0</v>
      </c>
      <c r="B156" s="353">
        <v>-2.0</v>
      </c>
      <c r="C156" s="353">
        <v>-3.0</v>
      </c>
      <c r="D156" s="353">
        <v>-4.0</v>
      </c>
      <c r="E156" s="353">
        <v>-5.0</v>
      </c>
      <c r="F156" s="353">
        <v>-6.0</v>
      </c>
      <c r="G156" s="353">
        <v>-7.0</v>
      </c>
      <c r="H156" s="353">
        <v>-8.0</v>
      </c>
      <c r="I156" s="353">
        <v>-9.0</v>
      </c>
      <c r="J156" s="353">
        <v>-10.0</v>
      </c>
      <c r="K156" s="353">
        <v>-11.0</v>
      </c>
      <c r="L156" s="353">
        <v>-12.0</v>
      </c>
      <c r="M156" s="353">
        <v>-13.0</v>
      </c>
      <c r="N156" s="353">
        <v>-14.0</v>
      </c>
      <c r="O156" s="353">
        <v>-15.0</v>
      </c>
      <c r="P156" s="353">
        <v>-16.0</v>
      </c>
      <c r="Q156" s="354"/>
      <c r="R156" s="352">
        <v>-1.0</v>
      </c>
      <c r="S156" s="353">
        <v>-2.0</v>
      </c>
      <c r="T156" s="353">
        <v>-3.0</v>
      </c>
      <c r="U156" s="353">
        <v>-4.0</v>
      </c>
      <c r="V156" s="353">
        <v>-5.0</v>
      </c>
      <c r="W156" s="353">
        <v>-6.0</v>
      </c>
      <c r="X156" s="353">
        <v>-7.0</v>
      </c>
      <c r="Y156" s="353">
        <v>-8.0</v>
      </c>
      <c r="Z156" s="353">
        <v>-9.0</v>
      </c>
      <c r="AA156" s="353">
        <v>-10.0</v>
      </c>
      <c r="AB156" s="353">
        <v>-11.0</v>
      </c>
      <c r="AC156" s="353">
        <v>-12.0</v>
      </c>
      <c r="AD156" s="353">
        <v>-13.0</v>
      </c>
      <c r="AE156" s="353">
        <v>-14.0</v>
      </c>
      <c r="AF156" s="353">
        <v>-15.0</v>
      </c>
      <c r="AG156" s="353">
        <v>-16.0</v>
      </c>
      <c r="AH156" s="354"/>
      <c r="AI156" s="352">
        <v>-1.0</v>
      </c>
      <c r="AJ156" s="353">
        <v>-2.0</v>
      </c>
      <c r="AK156" s="353">
        <v>-3.0</v>
      </c>
      <c r="AL156" s="353">
        <v>-4.0</v>
      </c>
      <c r="AM156" s="353">
        <v>-5.0</v>
      </c>
      <c r="AN156" s="353">
        <v>-6.0</v>
      </c>
      <c r="AO156" s="353">
        <v>-7.0</v>
      </c>
      <c r="AP156" s="353">
        <v>-8.0</v>
      </c>
      <c r="AQ156" s="353">
        <v>-9.0</v>
      </c>
      <c r="AR156" s="353">
        <v>-10.0</v>
      </c>
      <c r="AS156" s="353">
        <v>-11.0</v>
      </c>
      <c r="AT156" s="353">
        <v>-12.0</v>
      </c>
      <c r="AU156" s="353">
        <v>-13.0</v>
      </c>
      <c r="AV156" s="353">
        <v>-14.0</v>
      </c>
      <c r="AW156" s="353">
        <v>-15.0</v>
      </c>
      <c r="AX156" s="353">
        <v>-16.0</v>
      </c>
      <c r="AY156" s="354"/>
      <c r="AZ156" s="352">
        <v>-1.0</v>
      </c>
      <c r="BA156" s="353">
        <v>-2.0</v>
      </c>
      <c r="BB156" s="353">
        <v>-3.0</v>
      </c>
      <c r="BC156" s="353">
        <v>-4.0</v>
      </c>
      <c r="BD156" s="353">
        <v>-5.0</v>
      </c>
      <c r="BE156" s="353">
        <v>-6.0</v>
      </c>
      <c r="BF156" s="353">
        <v>-7.0</v>
      </c>
      <c r="BG156" s="353">
        <v>-8.0</v>
      </c>
      <c r="BH156" s="353">
        <v>-9.0</v>
      </c>
      <c r="BI156" s="353">
        <v>-10.0</v>
      </c>
      <c r="BJ156" s="353">
        <v>-11.0</v>
      </c>
      <c r="BK156" s="353">
        <v>-12.0</v>
      </c>
      <c r="BL156" s="353">
        <v>-13.0</v>
      </c>
      <c r="BM156" s="353">
        <v>-14.0</v>
      </c>
      <c r="BN156" s="353">
        <v>-15.0</v>
      </c>
      <c r="BO156" s="353">
        <v>-16.0</v>
      </c>
      <c r="BP156" s="354"/>
      <c r="BQ156" s="352">
        <v>-1.0</v>
      </c>
      <c r="BR156" s="353">
        <v>-2.0</v>
      </c>
      <c r="BS156" s="353">
        <v>-3.0</v>
      </c>
      <c r="BT156" s="353">
        <v>-4.0</v>
      </c>
      <c r="BU156" s="353">
        <v>-5.0</v>
      </c>
      <c r="BV156" s="353">
        <v>-6.0</v>
      </c>
      <c r="BW156" s="353">
        <v>-7.0</v>
      </c>
      <c r="BX156" s="353">
        <v>-8.0</v>
      </c>
      <c r="BY156" s="353">
        <v>-9.0</v>
      </c>
      <c r="BZ156" s="353">
        <v>-10.0</v>
      </c>
      <c r="CA156" s="353">
        <v>-11.0</v>
      </c>
      <c r="CB156" s="353">
        <v>-12.0</v>
      </c>
      <c r="CC156" s="353">
        <v>-13.0</v>
      </c>
      <c r="CD156" s="353">
        <v>-14.0</v>
      </c>
      <c r="CE156" s="353">
        <v>-15.0</v>
      </c>
      <c r="CF156" s="353">
        <v>-16.0</v>
      </c>
      <c r="CG156" s="354"/>
      <c r="CH156" s="352">
        <v>-1.0</v>
      </c>
      <c r="CI156" s="353">
        <v>-2.0</v>
      </c>
      <c r="CJ156" s="353">
        <v>-3.0</v>
      </c>
      <c r="CK156" s="353">
        <v>-4.0</v>
      </c>
      <c r="CL156" s="353">
        <v>-5.0</v>
      </c>
      <c r="CM156" s="353">
        <v>-6.0</v>
      </c>
      <c r="CN156" s="353">
        <v>-7.0</v>
      </c>
      <c r="CO156" s="353">
        <v>-8.0</v>
      </c>
      <c r="CP156" s="353">
        <v>-9.0</v>
      </c>
      <c r="CQ156" s="353">
        <v>-10.0</v>
      </c>
      <c r="CR156" s="353">
        <v>-11.0</v>
      </c>
      <c r="CS156" s="353">
        <v>-12.0</v>
      </c>
      <c r="CT156" s="353">
        <v>-13.0</v>
      </c>
      <c r="CU156" s="353">
        <v>-14.0</v>
      </c>
      <c r="CV156" s="353">
        <v>-15.0</v>
      </c>
      <c r="CW156" s="353">
        <v>-16.0</v>
      </c>
      <c r="CX156" s="354"/>
      <c r="CY156" s="352">
        <v>-1.0</v>
      </c>
      <c r="CZ156" s="353">
        <v>-2.0</v>
      </c>
      <c r="DA156" s="353">
        <v>-3.0</v>
      </c>
      <c r="DB156" s="353">
        <v>-4.0</v>
      </c>
      <c r="DC156" s="353">
        <v>-5.0</v>
      </c>
      <c r="DD156" s="353">
        <v>-6.0</v>
      </c>
      <c r="DE156" s="353">
        <v>-7.0</v>
      </c>
      <c r="DF156" s="353">
        <v>-8.0</v>
      </c>
      <c r="DG156" s="353">
        <v>-9.0</v>
      </c>
      <c r="DH156" s="353">
        <v>-10.0</v>
      </c>
      <c r="DI156" s="353">
        <v>-11.0</v>
      </c>
      <c r="DJ156" s="353">
        <v>-12.0</v>
      </c>
      <c r="DK156" s="353">
        <v>-13.0</v>
      </c>
      <c r="DL156" s="353">
        <v>-14.0</v>
      </c>
      <c r="DM156" s="353">
        <v>-15.0</v>
      </c>
      <c r="DN156" s="353">
        <v>-16.0</v>
      </c>
      <c r="DO156" s="354"/>
      <c r="DP156" s="352">
        <v>-1.0</v>
      </c>
      <c r="DQ156" s="353">
        <v>-2.0</v>
      </c>
      <c r="DR156" s="353">
        <v>-3.0</v>
      </c>
      <c r="DS156" s="353">
        <v>-4.0</v>
      </c>
      <c r="DT156" s="353">
        <v>-5.0</v>
      </c>
      <c r="DU156" s="353">
        <v>-6.0</v>
      </c>
      <c r="DV156" s="353">
        <v>-7.0</v>
      </c>
      <c r="DW156" s="353">
        <v>-8.0</v>
      </c>
      <c r="DX156" s="353">
        <v>-9.0</v>
      </c>
      <c r="DY156" s="353">
        <v>-10.0</v>
      </c>
      <c r="DZ156" s="353">
        <v>-11.0</v>
      </c>
      <c r="EA156" s="353">
        <v>-12.0</v>
      </c>
      <c r="EB156" s="353">
        <v>-13.0</v>
      </c>
      <c r="EC156" s="353">
        <v>-14.0</v>
      </c>
      <c r="ED156" s="353">
        <v>-15.0</v>
      </c>
      <c r="EE156" s="353">
        <v>-16.0</v>
      </c>
      <c r="EF156" s="354"/>
      <c r="EG156" s="352">
        <v>-1.0</v>
      </c>
      <c r="EH156" s="353">
        <v>-2.0</v>
      </c>
      <c r="EI156" s="353">
        <v>-3.0</v>
      </c>
      <c r="EJ156" s="353">
        <v>-4.0</v>
      </c>
      <c r="EK156" s="353">
        <v>-5.0</v>
      </c>
      <c r="EL156" s="353">
        <v>-6.0</v>
      </c>
      <c r="EM156" s="353">
        <v>-7.0</v>
      </c>
      <c r="EN156" s="353">
        <v>-8.0</v>
      </c>
      <c r="EO156" s="353">
        <v>-9.0</v>
      </c>
      <c r="EP156" s="353">
        <v>-10.0</v>
      </c>
      <c r="EQ156" s="353">
        <v>-11.0</v>
      </c>
      <c r="ER156" s="353">
        <v>-12.0</v>
      </c>
      <c r="ES156" s="353">
        <v>-13.0</v>
      </c>
      <c r="ET156" s="353">
        <v>-14.0</v>
      </c>
      <c r="EU156" s="353">
        <v>-15.0</v>
      </c>
      <c r="EV156" s="353">
        <v>-16.0</v>
      </c>
      <c r="EW156" s="354"/>
      <c r="EX156" s="352">
        <v>-1.0</v>
      </c>
      <c r="EY156" s="353">
        <v>-2.0</v>
      </c>
      <c r="EZ156" s="353">
        <v>-3.0</v>
      </c>
      <c r="FA156" s="353">
        <v>-4.0</v>
      </c>
      <c r="FB156" s="353">
        <v>-5.0</v>
      </c>
      <c r="FC156" s="353">
        <v>-6.0</v>
      </c>
      <c r="FD156" s="353">
        <v>-7.0</v>
      </c>
      <c r="FE156" s="353">
        <v>-8.0</v>
      </c>
      <c r="FF156" s="353">
        <v>-9.0</v>
      </c>
      <c r="FG156" s="353">
        <v>-10.0</v>
      </c>
      <c r="FH156" s="353">
        <v>-11.0</v>
      </c>
      <c r="FI156" s="353">
        <v>-12.0</v>
      </c>
      <c r="FJ156" s="353">
        <v>-13.0</v>
      </c>
      <c r="FK156" s="353">
        <v>-14.0</v>
      </c>
      <c r="FL156" s="353">
        <v>-15.0</v>
      </c>
      <c r="FM156" s="353">
        <v>-16.0</v>
      </c>
      <c r="FN156" s="354"/>
      <c r="FO156" s="352">
        <v>-1.0</v>
      </c>
      <c r="FP156" s="353">
        <v>-2.0</v>
      </c>
      <c r="FQ156" s="353">
        <v>-3.0</v>
      </c>
      <c r="FR156" s="353">
        <v>-4.0</v>
      </c>
      <c r="FS156" s="353">
        <v>-5.0</v>
      </c>
      <c r="FT156" s="353">
        <v>-6.0</v>
      </c>
      <c r="FU156" s="353">
        <v>-7.0</v>
      </c>
      <c r="FV156" s="353">
        <v>-8.0</v>
      </c>
      <c r="FW156" s="353">
        <v>-9.0</v>
      </c>
      <c r="FX156" s="353">
        <v>-10.0</v>
      </c>
      <c r="FY156" s="353">
        <v>-11.0</v>
      </c>
      <c r="FZ156" s="353">
        <v>-12.0</v>
      </c>
      <c r="GA156" s="353">
        <v>-13.0</v>
      </c>
      <c r="GB156" s="353">
        <v>-14.0</v>
      </c>
      <c r="GC156" s="353">
        <v>-15.0</v>
      </c>
      <c r="GD156" s="353">
        <v>-16.0</v>
      </c>
      <c r="GE156" s="354"/>
      <c r="GF156" s="352">
        <v>-1.0</v>
      </c>
      <c r="GG156" s="353">
        <v>-2.0</v>
      </c>
      <c r="GH156" s="353">
        <v>-3.0</v>
      </c>
      <c r="GI156" s="353">
        <v>-4.0</v>
      </c>
      <c r="GJ156" s="353">
        <v>-5.0</v>
      </c>
      <c r="GK156" s="353">
        <v>-6.0</v>
      </c>
      <c r="GL156" s="353">
        <v>-7.0</v>
      </c>
      <c r="GM156" s="353">
        <v>-8.0</v>
      </c>
      <c r="GN156" s="353">
        <v>-9.0</v>
      </c>
      <c r="GO156" s="353">
        <v>-10.0</v>
      </c>
      <c r="GP156" s="353">
        <v>-11.0</v>
      </c>
      <c r="GQ156" s="353">
        <v>-12.0</v>
      </c>
      <c r="GR156" s="353">
        <v>-13.0</v>
      </c>
      <c r="GS156" s="353">
        <v>-14.0</v>
      </c>
      <c r="GT156" s="353">
        <v>-15.0</v>
      </c>
      <c r="GU156" s="353">
        <v>-16.0</v>
      </c>
      <c r="GV156" s="354"/>
      <c r="GW156" s="352">
        <v>-1.0</v>
      </c>
      <c r="GX156" s="353">
        <v>-2.0</v>
      </c>
      <c r="GY156" s="353">
        <v>-3.0</v>
      </c>
      <c r="GZ156" s="353">
        <v>-4.0</v>
      </c>
      <c r="HA156" s="353">
        <v>-5.0</v>
      </c>
      <c r="HB156" s="353">
        <v>-6.0</v>
      </c>
      <c r="HC156" s="353">
        <v>-7.0</v>
      </c>
      <c r="HD156" s="353">
        <v>-8.0</v>
      </c>
      <c r="HE156" s="353">
        <v>-9.0</v>
      </c>
      <c r="HF156" s="353">
        <v>-10.0</v>
      </c>
      <c r="HG156" s="353">
        <v>-11.0</v>
      </c>
      <c r="HH156" s="353">
        <v>-12.0</v>
      </c>
      <c r="HI156" s="353">
        <v>-13.0</v>
      </c>
      <c r="HJ156" s="353">
        <v>-14.0</v>
      </c>
      <c r="HK156" s="353">
        <v>-15.0</v>
      </c>
      <c r="HL156" s="353">
        <v>-16.0</v>
      </c>
      <c r="HM156" s="354"/>
      <c r="HN156" s="352">
        <v>-1.0</v>
      </c>
      <c r="HO156" s="353">
        <v>-2.0</v>
      </c>
      <c r="HP156" s="353">
        <v>-3.0</v>
      </c>
      <c r="HQ156" s="353">
        <v>-4.0</v>
      </c>
      <c r="HR156" s="353">
        <v>-5.0</v>
      </c>
      <c r="HS156" s="353">
        <v>-6.0</v>
      </c>
      <c r="HT156" s="353">
        <v>-7.0</v>
      </c>
      <c r="HU156" s="353">
        <v>-8.0</v>
      </c>
      <c r="HV156" s="353">
        <v>-9.0</v>
      </c>
      <c r="HW156" s="353">
        <v>-10.0</v>
      </c>
      <c r="HX156" s="353">
        <v>-11.0</v>
      </c>
      <c r="HY156" s="353">
        <v>-12.0</v>
      </c>
      <c r="HZ156" s="353">
        <v>-13.0</v>
      </c>
      <c r="IA156" s="353">
        <v>-14.0</v>
      </c>
      <c r="IB156" s="353">
        <v>-15.0</v>
      </c>
      <c r="IC156" s="353">
        <v>-16.0</v>
      </c>
      <c r="ID156" s="354"/>
      <c r="IE156" s="352">
        <v>-1.0</v>
      </c>
      <c r="IF156" s="353">
        <v>-2.0</v>
      </c>
      <c r="IG156" s="353">
        <v>-3.0</v>
      </c>
      <c r="IH156" s="353">
        <v>-4.0</v>
      </c>
      <c r="II156" s="353">
        <v>-5.0</v>
      </c>
      <c r="IJ156" s="353">
        <v>-6.0</v>
      </c>
      <c r="IK156" s="353">
        <v>-7.0</v>
      </c>
      <c r="IL156" s="353">
        <v>-8.0</v>
      </c>
      <c r="IM156" s="353">
        <v>-9.0</v>
      </c>
      <c r="IN156" s="353">
        <v>-10.0</v>
      </c>
      <c r="IO156" s="353">
        <v>-11.0</v>
      </c>
      <c r="IP156" s="353">
        <v>-12.0</v>
      </c>
      <c r="IQ156" s="353">
        <v>-13.0</v>
      </c>
      <c r="IR156" s="353">
        <v>-14.0</v>
      </c>
      <c r="IS156" s="353">
        <v>-15.0</v>
      </c>
      <c r="IT156" s="353">
        <v>-16.0</v>
      </c>
      <c r="IU156" s="354"/>
      <c r="IV156" s="352">
        <v>-1.0</v>
      </c>
      <c r="IW156" s="353">
        <v>-2.0</v>
      </c>
      <c r="IX156" s="353">
        <v>-3.0</v>
      </c>
      <c r="IY156" s="353">
        <v>-4.0</v>
      </c>
      <c r="IZ156" s="353">
        <v>-5.0</v>
      </c>
      <c r="JA156" s="353">
        <v>-6.0</v>
      </c>
      <c r="JB156" s="353">
        <v>-7.0</v>
      </c>
      <c r="JC156" s="353">
        <v>-8.0</v>
      </c>
      <c r="JD156" s="353">
        <v>-9.0</v>
      </c>
      <c r="JE156" s="353">
        <v>-10.0</v>
      </c>
      <c r="JF156" s="353">
        <v>-11.0</v>
      </c>
      <c r="JG156" s="353">
        <v>-12.0</v>
      </c>
      <c r="JH156" s="353">
        <v>-13.0</v>
      </c>
      <c r="JI156" s="353">
        <v>-14.0</v>
      </c>
      <c r="JJ156" s="353">
        <v>-15.0</v>
      </c>
      <c r="JK156" s="353">
        <v>-16.0</v>
      </c>
      <c r="JL156" s="354"/>
      <c r="JM156" s="352">
        <v>-1.0</v>
      </c>
      <c r="JN156" s="353">
        <v>-2.0</v>
      </c>
      <c r="JO156" s="353">
        <v>-3.0</v>
      </c>
      <c r="JP156" s="353">
        <v>-4.0</v>
      </c>
      <c r="JQ156" s="353">
        <v>-5.0</v>
      </c>
      <c r="JR156" s="353">
        <v>-6.0</v>
      </c>
      <c r="JS156" s="353">
        <v>-7.0</v>
      </c>
      <c r="JT156" s="353">
        <v>-8.0</v>
      </c>
      <c r="JU156" s="353">
        <v>-9.0</v>
      </c>
      <c r="JV156" s="353">
        <v>-10.0</v>
      </c>
      <c r="JW156" s="353">
        <v>-11.0</v>
      </c>
      <c r="JX156" s="353">
        <v>-12.0</v>
      </c>
      <c r="JY156" s="353">
        <v>-13.0</v>
      </c>
      <c r="JZ156" s="353">
        <v>-14.0</v>
      </c>
      <c r="KA156" s="353">
        <v>-15.0</v>
      </c>
      <c r="KB156" s="353">
        <v>-16.0</v>
      </c>
      <c r="KC156" s="354"/>
      <c r="KD156" s="352">
        <v>-1.0</v>
      </c>
      <c r="KE156" s="353">
        <v>-2.0</v>
      </c>
      <c r="KF156" s="353">
        <v>-3.0</v>
      </c>
      <c r="KG156" s="353">
        <v>-4.0</v>
      </c>
      <c r="KH156" s="353">
        <v>-5.0</v>
      </c>
      <c r="KI156" s="353">
        <v>-6.0</v>
      </c>
      <c r="KJ156" s="353">
        <v>-7.0</v>
      </c>
      <c r="KK156" s="353">
        <v>-8.0</v>
      </c>
      <c r="KL156" s="353">
        <v>-9.0</v>
      </c>
      <c r="KM156" s="353">
        <v>-10.0</v>
      </c>
      <c r="KN156" s="353">
        <v>-11.0</v>
      </c>
      <c r="KO156" s="353">
        <v>-12.0</v>
      </c>
      <c r="KP156" s="353">
        <v>-13.0</v>
      </c>
      <c r="KQ156" s="353">
        <v>-14.0</v>
      </c>
      <c r="KR156" s="353">
        <v>-15.0</v>
      </c>
      <c r="KS156" s="353">
        <v>-16.0</v>
      </c>
      <c r="KT156" s="354"/>
      <c r="KU156" s="355"/>
    </row>
    <row r="157" ht="15.75" customHeight="1">
      <c r="A157" s="356">
        <v>1.0</v>
      </c>
      <c r="B157" s="357" t="str">
        <f t="shared" ref="B157:D157" si="2128">IFERROR(VLOOKUP($A157,$A$13:$D$30,-B$12,FALSE),"")</f>
        <v>Bijih  Emas</v>
      </c>
      <c r="C157" s="358" t="str">
        <f t="shared" si="2128"/>
        <v>Bijih </v>
      </c>
      <c r="D157" s="358" t="str">
        <f t="shared" si="2128"/>
        <v>Kg</v>
      </c>
      <c r="E157" s="359"/>
      <c r="F157" s="359" t="str">
        <f t="shared" ref="F157:F173" si="2147">F121</f>
        <v/>
      </c>
      <c r="G157" s="359">
        <f t="shared" ref="G157:G173" si="2148">IFERROR(+E157*F157/1000000,"")</f>
        <v>0</v>
      </c>
      <c r="H157" s="360"/>
      <c r="I157" s="359">
        <f t="shared" ref="I157:I173" si="2149">IFERROR(+G157*H157,"")</f>
        <v>0</v>
      </c>
      <c r="J157" s="409"/>
      <c r="K157" s="85"/>
      <c r="L157" s="85"/>
      <c r="M157" s="361">
        <f t="shared" ref="M157:M173" si="2150">IFERROR(+(IF(G157="","0",G157))+(IF(I157="","0",I157))+(IF(L157="","0",L157)),"")</f>
        <v>0</v>
      </c>
      <c r="N157" s="360">
        <f t="shared" ref="N157:N171" si="2151">N121</f>
        <v>0.4604471269</v>
      </c>
      <c r="O157" s="362">
        <f t="shared" ref="O157:O173" si="2152">IFERROR(+N157*(M157-L157),"")</f>
        <v>0</v>
      </c>
      <c r="P157" s="363">
        <f t="shared" ref="P157:P173" si="2153">IFERROR(+(IF(M157="","0",M157))-(IF(O157="","0",O157)),"")</f>
        <v>0</v>
      </c>
      <c r="Q157" s="364"/>
      <c r="R157" s="356">
        <v>1.0</v>
      </c>
      <c r="S157" s="357" t="str">
        <f t="shared" ref="S157:U157" si="2129">IFERROR(VLOOKUP($R157,$A$13:$D$30,-S$12,FALSE),"")</f>
        <v>Bijih  Emas</v>
      </c>
      <c r="T157" s="358" t="str">
        <f t="shared" si="2129"/>
        <v>Bijih </v>
      </c>
      <c r="U157" s="358" t="str">
        <f t="shared" si="2129"/>
        <v>Kg</v>
      </c>
      <c r="V157" s="359"/>
      <c r="W157" s="359" t="str">
        <f t="shared" ref="W157:W173" si="2155">W121</f>
        <v/>
      </c>
      <c r="X157" s="359">
        <f t="shared" ref="X157:X173" si="2156">IFERROR(+V157*W157/1000000,"")</f>
        <v>0</v>
      </c>
      <c r="Y157" s="360"/>
      <c r="Z157" s="359">
        <f t="shared" ref="Z157:Z173" si="2157">IFERROR(+X157*Y157,"")</f>
        <v>0</v>
      </c>
      <c r="AA157" s="409"/>
      <c r="AB157" s="85"/>
      <c r="AC157" s="85"/>
      <c r="AD157" s="361">
        <f t="shared" ref="AD157:AD173" si="2158">IFERROR(+(IF(X157="","0",X157))+(IF(Z157="","0",Z157))+(IF(AC157="","0",AC157)),"")</f>
        <v>0</v>
      </c>
      <c r="AE157" s="360">
        <f t="shared" ref="AE157:AE171" si="2159">N157</f>
        <v>0.4604471269</v>
      </c>
      <c r="AF157" s="362">
        <f t="shared" ref="AF157:AF173" si="2160">IFERROR(+AE157*(AD157-AC157),"")</f>
        <v>0</v>
      </c>
      <c r="AG157" s="363">
        <f t="shared" ref="AG157:AG173" si="2161">IFERROR(+(IF(AD157="","0",AD157))-(IF(AF157="","0",AF157)),"")</f>
        <v>0</v>
      </c>
      <c r="AH157" s="364"/>
      <c r="AI157" s="356">
        <v>1.0</v>
      </c>
      <c r="AJ157" s="357" t="str">
        <f t="shared" ref="AJ157:AL157" si="2130">IFERROR(VLOOKUP($R157,$A$13:$D$30,-AJ$12,FALSE),"")</f>
        <v>Bijih  Emas</v>
      </c>
      <c r="AK157" s="358" t="str">
        <f t="shared" si="2130"/>
        <v>Bijih </v>
      </c>
      <c r="AL157" s="358" t="str">
        <f t="shared" si="2130"/>
        <v>Kg</v>
      </c>
      <c r="AM157" s="359"/>
      <c r="AN157" s="359" t="str">
        <f t="shared" ref="AN157:AN173" si="2163">AN121</f>
        <v/>
      </c>
      <c r="AO157" s="359">
        <f t="shared" ref="AO157:AO173" si="2164">IFERROR(+AM157*AN157/1000000,"")</f>
        <v>0</v>
      </c>
      <c r="AP157" s="360"/>
      <c r="AQ157" s="359">
        <f t="shared" ref="AQ157:AQ173" si="2165">IFERROR(+AO157*AP157,"")</f>
        <v>0</v>
      </c>
      <c r="AR157" s="409"/>
      <c r="AS157" s="85"/>
      <c r="AT157" s="85"/>
      <c r="AU157" s="361">
        <f t="shared" ref="AU157:AU173" si="2166">IFERROR(+(IF(AO157="","0",AO157))+(IF(AQ157="","0",AQ157))+(IF(AT157="","0",AT157)),"")</f>
        <v>0</v>
      </c>
      <c r="AV157" s="360">
        <f t="shared" ref="AV157:AV171" si="2167">AE157</f>
        <v>0.4604471269</v>
      </c>
      <c r="AW157" s="362">
        <f t="shared" ref="AW157:AW173" si="2168">IFERROR(+AV157*(AU157-AT157),"")</f>
        <v>0</v>
      </c>
      <c r="AX157" s="363">
        <f t="shared" ref="AX157:AX173" si="2169">IFERROR(+(IF(AU157="","0",AU157))-(IF(AW157="","0",AW157)),"")</f>
        <v>0</v>
      </c>
      <c r="AY157" s="364"/>
      <c r="AZ157" s="356">
        <v>1.0</v>
      </c>
      <c r="BA157" s="357" t="str">
        <f t="shared" ref="BA157:BC157" si="2131">IFERROR(VLOOKUP($R157,$A$13:$D$30,-BA$12,FALSE),"")</f>
        <v>Bijih  Emas</v>
      </c>
      <c r="BB157" s="358" t="str">
        <f t="shared" si="2131"/>
        <v>Bijih </v>
      </c>
      <c r="BC157" s="358" t="str">
        <f t="shared" si="2131"/>
        <v>Kg</v>
      </c>
      <c r="BD157" s="359"/>
      <c r="BE157" s="359" t="str">
        <f t="shared" ref="BE157:BE173" si="2171">BE121</f>
        <v/>
      </c>
      <c r="BF157" s="359">
        <f t="shared" ref="BF157:BF173" si="2172">IFERROR(+BD157*BE157/1000000,"")</f>
        <v>0</v>
      </c>
      <c r="BG157" s="360"/>
      <c r="BH157" s="359">
        <f t="shared" ref="BH157:BH173" si="2173">IFERROR(+BF157*BG157,"")</f>
        <v>0</v>
      </c>
      <c r="BI157" s="409"/>
      <c r="BJ157" s="85"/>
      <c r="BK157" s="85"/>
      <c r="BL157" s="361">
        <f t="shared" ref="BL157:BL173" si="2174">IFERROR(+(IF(BF157="","0",BF157))+(IF(BH157="","0",BH157))+(IF(BK157="","0",BK157)),"")</f>
        <v>0</v>
      </c>
      <c r="BM157" s="360">
        <f t="shared" ref="BM157:BM171" si="2175">AV157</f>
        <v>0.4604471269</v>
      </c>
      <c r="BN157" s="362">
        <f t="shared" ref="BN157:BN173" si="2176">IFERROR(+BM157*(BL157-BK157),"")</f>
        <v>0</v>
      </c>
      <c r="BO157" s="363">
        <f t="shared" ref="BO157:BO173" si="2177">IFERROR(+(IF(BL157="","0",BL157))-(IF(BN157="","0",BN157)),"")</f>
        <v>0</v>
      </c>
      <c r="BP157" s="364"/>
      <c r="BQ157" s="356">
        <v>1.0</v>
      </c>
      <c r="BR157" s="357" t="str">
        <f t="shared" ref="BR157:BT157" si="2132">IFERROR(VLOOKUP($R157,$A$13:$D$30,-BR$12,FALSE),"")</f>
        <v>Bijih  Emas</v>
      </c>
      <c r="BS157" s="358" t="str">
        <f t="shared" si="2132"/>
        <v>Bijih </v>
      </c>
      <c r="BT157" s="358" t="str">
        <f t="shared" si="2132"/>
        <v>Kg</v>
      </c>
      <c r="BU157" s="359"/>
      <c r="BV157" s="359" t="str">
        <f t="shared" ref="BV157:BV173" si="2179">BV121</f>
        <v/>
      </c>
      <c r="BW157" s="359">
        <f t="shared" ref="BW157:BW173" si="2180">IFERROR(+BU157*BV157/1000000,"")</f>
        <v>0</v>
      </c>
      <c r="BX157" s="360"/>
      <c r="BY157" s="359">
        <f t="shared" ref="BY157:BY173" si="2181">IFERROR(+BW157*BX157,"")</f>
        <v>0</v>
      </c>
      <c r="BZ157" s="409"/>
      <c r="CA157" s="85"/>
      <c r="CB157" s="85"/>
      <c r="CC157" s="361">
        <f t="shared" ref="CC157:CC173" si="2182">IFERROR(+(IF(BW157="","0",BW157))+(IF(BY157="","0",BY157))+(IF(CB157="","0",CB157)),"")</f>
        <v>0</v>
      </c>
      <c r="CD157" s="360">
        <f t="shared" ref="CD157:CD171" si="2183">BM157</f>
        <v>0.4604471269</v>
      </c>
      <c r="CE157" s="362">
        <f t="shared" ref="CE157:CE173" si="2184">IFERROR(+CD157*(CC157-CB157),"")</f>
        <v>0</v>
      </c>
      <c r="CF157" s="363">
        <f t="shared" ref="CF157:CF173" si="2185">IFERROR(+(IF(CC157="","0",CC157))-(IF(CE157="","0",CE157)),"")</f>
        <v>0</v>
      </c>
      <c r="CG157" s="364"/>
      <c r="CH157" s="356">
        <v>1.0</v>
      </c>
      <c r="CI157" s="357" t="str">
        <f t="shared" ref="CI157:CK157" si="2133">IFERROR(VLOOKUP($R157,$A$13:$D$30,-CI$12,FALSE),"")</f>
        <v>Bijih  Emas</v>
      </c>
      <c r="CJ157" s="358" t="str">
        <f t="shared" si="2133"/>
        <v>Bijih </v>
      </c>
      <c r="CK157" s="358" t="str">
        <f t="shared" si="2133"/>
        <v>Kg</v>
      </c>
      <c r="CL157" s="359"/>
      <c r="CM157" s="359" t="str">
        <f t="shared" ref="CM157:CM173" si="2187">CM121</f>
        <v/>
      </c>
      <c r="CN157" s="359">
        <f t="shared" ref="CN157:CN173" si="2188">IFERROR(+CL157*CM157/1000000,"")</f>
        <v>0</v>
      </c>
      <c r="CO157" s="360"/>
      <c r="CP157" s="359">
        <f t="shared" ref="CP157:CP173" si="2189">IFERROR(+CN157*CO157,"")</f>
        <v>0</v>
      </c>
      <c r="CQ157" s="409"/>
      <c r="CR157" s="85"/>
      <c r="CS157" s="85"/>
      <c r="CT157" s="361">
        <f t="shared" ref="CT157:CT173" si="2190">IFERROR(+(IF(CN157="","0",CN157))+(IF(CP157="","0",CP157))+(IF(CS157="","0",CS157)),"")</f>
        <v>0</v>
      </c>
      <c r="CU157" s="360">
        <f t="shared" ref="CU157:CU171" si="2191">CD157</f>
        <v>0.4604471269</v>
      </c>
      <c r="CV157" s="362">
        <f t="shared" ref="CV157:CV173" si="2192">IFERROR(+CU157*(CT157-CS157),"")</f>
        <v>0</v>
      </c>
      <c r="CW157" s="363">
        <f t="shared" ref="CW157:CW173" si="2193">IFERROR(+(IF(CT157="","0",CT157))-(IF(CV157="","0",CV157)),"")</f>
        <v>0</v>
      </c>
      <c r="CX157" s="364"/>
      <c r="CY157" s="356">
        <v>1.0</v>
      </c>
      <c r="CZ157" s="357" t="str">
        <f t="shared" ref="CZ157:DB157" si="2134">IFERROR(VLOOKUP($R157,$A$13:$D$30,-CZ$12,FALSE),"")</f>
        <v>Bijih  Emas</v>
      </c>
      <c r="DA157" s="358" t="str">
        <f t="shared" si="2134"/>
        <v>Bijih </v>
      </c>
      <c r="DB157" s="358" t="str">
        <f t="shared" si="2134"/>
        <v>Kg</v>
      </c>
      <c r="DC157" s="359"/>
      <c r="DD157" s="359" t="str">
        <f t="shared" ref="DD157:DD173" si="2195">DD121</f>
        <v/>
      </c>
      <c r="DE157" s="359">
        <f t="shared" ref="DE157:DE173" si="2196">IFERROR(+DC157*DD157/1000000,"")</f>
        <v>0</v>
      </c>
      <c r="DF157" s="360"/>
      <c r="DG157" s="359">
        <f t="shared" ref="DG157:DG173" si="2197">IFERROR(+DE157*DF157,"")</f>
        <v>0</v>
      </c>
      <c r="DH157" s="409"/>
      <c r="DI157" s="85"/>
      <c r="DJ157" s="85"/>
      <c r="DK157" s="361">
        <f t="shared" ref="DK157:DK173" si="2198">IFERROR(+(IF(DE157="","0",DE157))+(IF(DG157="","0",DG157))+(IF(DJ157="","0",DJ157)),"")</f>
        <v>0</v>
      </c>
      <c r="DL157" s="360">
        <f t="shared" ref="DL157:DL171" si="2199">CU157</f>
        <v>0.4604471269</v>
      </c>
      <c r="DM157" s="362">
        <f t="shared" ref="DM157:DM173" si="2200">IFERROR(+DL157*(DK157-DJ157),"")</f>
        <v>0</v>
      </c>
      <c r="DN157" s="363">
        <f t="shared" ref="DN157:DN173" si="2201">IFERROR(+(IF(DK157="","0",DK157))-(IF(DM157="","0",DM157)),"")</f>
        <v>0</v>
      </c>
      <c r="DO157" s="364"/>
      <c r="DP157" s="356">
        <v>1.0</v>
      </c>
      <c r="DQ157" s="357" t="str">
        <f t="shared" ref="DQ157:DS157" si="2135">IFERROR(VLOOKUP($R157,$A$13:$D$30,-DQ$12,FALSE),"")</f>
        <v>Bijih  Emas</v>
      </c>
      <c r="DR157" s="358" t="str">
        <f t="shared" si="2135"/>
        <v>Bijih </v>
      </c>
      <c r="DS157" s="358" t="str">
        <f t="shared" si="2135"/>
        <v>Kg</v>
      </c>
      <c r="DT157" s="359"/>
      <c r="DU157" s="359" t="str">
        <f t="shared" ref="DU157:DU173" si="2203">DU121</f>
        <v/>
      </c>
      <c r="DV157" s="359">
        <f t="shared" ref="DV157:DV173" si="2204">IFERROR(+DT157*DU157/1000000,"")</f>
        <v>0</v>
      </c>
      <c r="DW157" s="360"/>
      <c r="DX157" s="359">
        <f t="shared" ref="DX157:DX173" si="2205">IFERROR(+DV157*DW157,"")</f>
        <v>0</v>
      </c>
      <c r="DY157" s="409"/>
      <c r="DZ157" s="85"/>
      <c r="EA157" s="85"/>
      <c r="EB157" s="361">
        <f t="shared" ref="EB157:EB173" si="2206">IFERROR(+(IF(DV157="","0",DV157))+(IF(DX157="","0",DX157))+(IF(EA157="","0",EA157)),"")</f>
        <v>0</v>
      </c>
      <c r="EC157" s="360">
        <f t="shared" ref="EC157:EC171" si="2207">DL157</f>
        <v>0.4604471269</v>
      </c>
      <c r="ED157" s="362">
        <f t="shared" ref="ED157:ED173" si="2208">IFERROR(+EC157*(EB157-EA157),"")</f>
        <v>0</v>
      </c>
      <c r="EE157" s="363">
        <f t="shared" ref="EE157:EE173" si="2209">IFERROR(+(IF(EB157="","0",EB157))-(IF(ED157="","0",ED157)),"")</f>
        <v>0</v>
      </c>
      <c r="EF157" s="364"/>
      <c r="EG157" s="356">
        <v>1.0</v>
      </c>
      <c r="EH157" s="357" t="str">
        <f t="shared" ref="EH157:EJ157" si="2136">IFERROR(VLOOKUP($R157,$A$13:$D$30,-EH$12,FALSE),"")</f>
        <v>Bijih  Emas</v>
      </c>
      <c r="EI157" s="358" t="str">
        <f t="shared" si="2136"/>
        <v>Bijih </v>
      </c>
      <c r="EJ157" s="358" t="str">
        <f t="shared" si="2136"/>
        <v>Kg</v>
      </c>
      <c r="EK157" s="359"/>
      <c r="EL157" s="359" t="str">
        <f t="shared" ref="EL157:EL173" si="2211">EL121</f>
        <v/>
      </c>
      <c r="EM157" s="359">
        <f t="shared" ref="EM157:EM173" si="2212">IFERROR(+EK157*EL157/1000000,"")</f>
        <v>0</v>
      </c>
      <c r="EN157" s="360"/>
      <c r="EO157" s="359">
        <f t="shared" ref="EO157:EO173" si="2213">IFERROR(+EM157*EN157,"")</f>
        <v>0</v>
      </c>
      <c r="EP157" s="409"/>
      <c r="EQ157" s="85"/>
      <c r="ER157" s="85"/>
      <c r="ES157" s="361">
        <f t="shared" ref="ES157:ES173" si="2214">IFERROR(+(IF(EM157="","0",EM157))+(IF(EO157="","0",EO157))+(IF(ER157="","0",ER157)),"")</f>
        <v>0</v>
      </c>
      <c r="ET157" s="360">
        <f t="shared" ref="ET157:ET171" si="2215">EC157</f>
        <v>0.4604471269</v>
      </c>
      <c r="EU157" s="362">
        <f t="shared" ref="EU157:EU173" si="2216">IFERROR(+ET157*(ES157-ER157),"")</f>
        <v>0</v>
      </c>
      <c r="EV157" s="363">
        <f t="shared" ref="EV157:EV173" si="2217">IFERROR(+(IF(ES157="","0",ES157))-(IF(EU157="","0",EU157)),"")</f>
        <v>0</v>
      </c>
      <c r="EW157" s="364"/>
      <c r="EX157" s="356">
        <v>1.0</v>
      </c>
      <c r="EY157" s="357" t="str">
        <f t="shared" ref="EY157:FA157" si="2137">IFERROR(VLOOKUP($R157,$A$13:$D$30,-EY$12,FALSE),"")</f>
        <v>Bijih  Emas</v>
      </c>
      <c r="EZ157" s="358" t="str">
        <f t="shared" si="2137"/>
        <v>Bijih </v>
      </c>
      <c r="FA157" s="358" t="str">
        <f t="shared" si="2137"/>
        <v>Kg</v>
      </c>
      <c r="FB157" s="359"/>
      <c r="FC157" s="359" t="str">
        <f t="shared" ref="FC157:FC173" si="2219">FC121</f>
        <v/>
      </c>
      <c r="FD157" s="359">
        <f t="shared" ref="FD157:FD173" si="2220">IFERROR(+FB157*FC157/1000000,"")</f>
        <v>0</v>
      </c>
      <c r="FE157" s="360"/>
      <c r="FF157" s="359">
        <f t="shared" ref="FF157:FF173" si="2221">IFERROR(+FD157*FE157,"")</f>
        <v>0</v>
      </c>
      <c r="FG157" s="409"/>
      <c r="FH157" s="85"/>
      <c r="FI157" s="85"/>
      <c r="FJ157" s="361">
        <f t="shared" ref="FJ157:FJ173" si="2222">IFERROR(+(IF(FD157="","0",FD157))+(IF(FF157="","0",FF157))+(IF(FI157="","0",FI157)),"")</f>
        <v>0</v>
      </c>
      <c r="FK157" s="360">
        <f t="shared" ref="FK157:FK171" si="2223">ET157</f>
        <v>0.4604471269</v>
      </c>
      <c r="FL157" s="362">
        <f t="shared" ref="FL157:FL173" si="2224">IFERROR(+FK157*(FJ157-FI157),"")</f>
        <v>0</v>
      </c>
      <c r="FM157" s="363">
        <f t="shared" ref="FM157:FM173" si="2225">IFERROR(+(IF(FJ157="","0",FJ157))-(IF(FL157="","0",FL157)),"")</f>
        <v>0</v>
      </c>
      <c r="FN157" s="364"/>
      <c r="FO157" s="356">
        <v>1.0</v>
      </c>
      <c r="FP157" s="357" t="str">
        <f t="shared" ref="FP157:FR157" si="2138">IFERROR(VLOOKUP($R157,$A$13:$D$30,-FP$12,FALSE),"")</f>
        <v>Bijih  Emas</v>
      </c>
      <c r="FQ157" s="358" t="str">
        <f t="shared" si="2138"/>
        <v>Bijih </v>
      </c>
      <c r="FR157" s="358" t="str">
        <f t="shared" si="2138"/>
        <v>Kg</v>
      </c>
      <c r="FS157" s="359"/>
      <c r="FT157" s="359" t="str">
        <f t="shared" ref="FT157:FT173" si="2227">FT121</f>
        <v/>
      </c>
      <c r="FU157" s="359">
        <f t="shared" ref="FU157:FU173" si="2228">IFERROR(+FS157*FT157/1000000,"")</f>
        <v>0</v>
      </c>
      <c r="FV157" s="360"/>
      <c r="FW157" s="359">
        <f t="shared" ref="FW157:FW173" si="2229">IFERROR(+FU157*FV157,"")</f>
        <v>0</v>
      </c>
      <c r="FX157" s="409"/>
      <c r="FY157" s="85"/>
      <c r="FZ157" s="85"/>
      <c r="GA157" s="361">
        <f t="shared" ref="GA157:GA173" si="2230">IFERROR(+(IF(FU157="","0",FU157))+(IF(FW157="","0",FW157))+(IF(FZ157="","0",FZ157)),"")</f>
        <v>0</v>
      </c>
      <c r="GB157" s="360">
        <f t="shared" ref="GB157:GB171" si="2231">FK157</f>
        <v>0.4604471269</v>
      </c>
      <c r="GC157" s="362">
        <f t="shared" ref="GC157:GC173" si="2232">IFERROR(+GB157*(GA157-FZ157),"")</f>
        <v>0</v>
      </c>
      <c r="GD157" s="363">
        <f t="shared" ref="GD157:GD173" si="2233">IFERROR(+(IF(GA157="","0",GA157))-(IF(GC157="","0",GC157)),"")</f>
        <v>0</v>
      </c>
      <c r="GE157" s="364"/>
      <c r="GF157" s="356">
        <v>1.0</v>
      </c>
      <c r="GG157" s="357" t="str">
        <f t="shared" ref="GG157:GI157" si="2139">IFERROR(VLOOKUP($R157,$A$13:$D$30,-GG$12,FALSE),"")</f>
        <v>Bijih  Emas</v>
      </c>
      <c r="GH157" s="358" t="str">
        <f t="shared" si="2139"/>
        <v>Bijih </v>
      </c>
      <c r="GI157" s="358" t="str">
        <f t="shared" si="2139"/>
        <v>Kg</v>
      </c>
      <c r="GJ157" s="359"/>
      <c r="GK157" s="359" t="str">
        <f t="shared" ref="GK157:GK173" si="2235">GK121</f>
        <v/>
      </c>
      <c r="GL157" s="359">
        <f t="shared" ref="GL157:GL173" si="2236">IFERROR(+GJ157*GK157/1000000,"")</f>
        <v>0</v>
      </c>
      <c r="GM157" s="360"/>
      <c r="GN157" s="359">
        <f t="shared" ref="GN157:GN173" si="2237">IFERROR(+GL157*GM157,"")</f>
        <v>0</v>
      </c>
      <c r="GO157" s="409"/>
      <c r="GP157" s="85"/>
      <c r="GQ157" s="85"/>
      <c r="GR157" s="361">
        <f t="shared" ref="GR157:GR173" si="2238">IFERROR(+(IF(GL157="","0",GL157))+(IF(GN157="","0",GN157))+(IF(GQ157="","0",GQ157)),"")</f>
        <v>0</v>
      </c>
      <c r="GS157" s="360">
        <f t="shared" ref="GS157:GS171" si="2239">GB157</f>
        <v>0.4604471269</v>
      </c>
      <c r="GT157" s="362">
        <f t="shared" ref="GT157:GT173" si="2240">IFERROR(+GS157*(GR157-GQ157),"")</f>
        <v>0</v>
      </c>
      <c r="GU157" s="363">
        <f t="shared" ref="GU157:GU173" si="2241">IFERROR(+(IF(GR157="","0",GR157))-(IF(GT157="","0",GT157)),"")</f>
        <v>0</v>
      </c>
      <c r="GV157" s="364"/>
      <c r="GW157" s="356">
        <v>1.0</v>
      </c>
      <c r="GX157" s="357" t="str">
        <f t="shared" ref="GX157:GZ157" si="2140">IFERROR(VLOOKUP($R157,$A$13:$D$30,-GX$12,FALSE),"")</f>
        <v>Bijih  Emas</v>
      </c>
      <c r="GY157" s="358" t="str">
        <f t="shared" si="2140"/>
        <v>Bijih </v>
      </c>
      <c r="GZ157" s="358" t="str">
        <f t="shared" si="2140"/>
        <v>Kg</v>
      </c>
      <c r="HA157" s="359"/>
      <c r="HB157" s="359" t="str">
        <f t="shared" ref="HB157:HB173" si="2243">HB121</f>
        <v/>
      </c>
      <c r="HC157" s="359">
        <f t="shared" ref="HC157:HC173" si="2244">IFERROR(+HA157*HB157/1000000,"")</f>
        <v>0</v>
      </c>
      <c r="HD157" s="360"/>
      <c r="HE157" s="359">
        <f t="shared" ref="HE157:HE173" si="2245">IFERROR(+HC157*HD157,"")</f>
        <v>0</v>
      </c>
      <c r="HF157" s="409"/>
      <c r="HG157" s="85"/>
      <c r="HH157" s="85"/>
      <c r="HI157" s="361">
        <f t="shared" ref="HI157:HI173" si="2246">IFERROR(+(IF(HC157="","0",HC157))+(IF(HE157="","0",HE157))+(IF(HH157="","0",HH157)),"")</f>
        <v>0</v>
      </c>
      <c r="HJ157" s="360">
        <f t="shared" ref="HJ157:HJ171" si="2247">GS157</f>
        <v>0.4604471269</v>
      </c>
      <c r="HK157" s="362">
        <f t="shared" ref="HK157:HK173" si="2248">IFERROR(+HJ157*(HI157-HH157),"")</f>
        <v>0</v>
      </c>
      <c r="HL157" s="363">
        <f t="shared" ref="HL157:HL173" si="2249">IFERROR(+(IF(HI157="","0",HI157))-(IF(HK157="","0",HK157)),"")</f>
        <v>0</v>
      </c>
      <c r="HM157" s="364"/>
      <c r="HN157" s="356">
        <v>1.0</v>
      </c>
      <c r="HO157" s="357" t="str">
        <f t="shared" ref="HO157:HQ157" si="2141">IFERROR(VLOOKUP($R157,$A$13:$D$30,-HO$12,FALSE),"")</f>
        <v>Bijih  Emas</v>
      </c>
      <c r="HP157" s="358" t="str">
        <f t="shared" si="2141"/>
        <v>Bijih </v>
      </c>
      <c r="HQ157" s="358" t="str">
        <f t="shared" si="2141"/>
        <v>Kg</v>
      </c>
      <c r="HR157" s="359"/>
      <c r="HS157" s="359" t="str">
        <f t="shared" ref="HS157:HS173" si="2251">HS121</f>
        <v/>
      </c>
      <c r="HT157" s="359">
        <f t="shared" ref="HT157:HT173" si="2252">IFERROR(+HR157*HS157/1000000,"")</f>
        <v>0</v>
      </c>
      <c r="HU157" s="360"/>
      <c r="HV157" s="359">
        <f t="shared" ref="HV157:HV173" si="2253">IFERROR(+HT157*HU157,"")</f>
        <v>0</v>
      </c>
      <c r="HW157" s="409"/>
      <c r="HX157" s="85"/>
      <c r="HY157" s="85"/>
      <c r="HZ157" s="361">
        <f t="shared" ref="HZ157:HZ173" si="2254">IFERROR(+(IF(HT157="","0",HT157))+(IF(HV157="","0",HV157))+(IF(HY157="","0",HY157)),"")</f>
        <v>0</v>
      </c>
      <c r="IA157" s="360">
        <f t="shared" ref="IA157:IA171" si="2255">HJ157</f>
        <v>0.4604471269</v>
      </c>
      <c r="IB157" s="362">
        <f t="shared" ref="IB157:IB173" si="2256">IFERROR(+IA157*(HZ157-HY157),"")</f>
        <v>0</v>
      </c>
      <c r="IC157" s="363">
        <f t="shared" ref="IC157:IC173" si="2257">IFERROR(+(IF(HZ157="","0",HZ157))-(IF(IB157="","0",IB157)),"")</f>
        <v>0</v>
      </c>
      <c r="ID157" s="364"/>
      <c r="IE157" s="356">
        <v>1.0</v>
      </c>
      <c r="IF157" s="357" t="str">
        <f t="shared" ref="IF157:IH157" si="2142">IFERROR(VLOOKUP($R157,$A$13:$D$30,-IF$12,FALSE),"")</f>
        <v>Bijih  Emas</v>
      </c>
      <c r="IG157" s="358" t="str">
        <f t="shared" si="2142"/>
        <v>Bijih </v>
      </c>
      <c r="IH157" s="358" t="str">
        <f t="shared" si="2142"/>
        <v>Kg</v>
      </c>
      <c r="II157" s="359"/>
      <c r="IJ157" s="359" t="str">
        <f t="shared" ref="IJ157:IJ173" si="2259">IJ121</f>
        <v/>
      </c>
      <c r="IK157" s="359">
        <f t="shared" ref="IK157:IK173" si="2260">IFERROR(+II157*IJ157/1000000,"")</f>
        <v>0</v>
      </c>
      <c r="IL157" s="360"/>
      <c r="IM157" s="359">
        <f t="shared" ref="IM157:IM173" si="2261">IFERROR(+IK157*IL157,"")</f>
        <v>0</v>
      </c>
      <c r="IN157" s="409"/>
      <c r="IO157" s="85"/>
      <c r="IP157" s="85"/>
      <c r="IQ157" s="361">
        <f t="shared" ref="IQ157:IQ173" si="2262">IFERROR(+(IF(IK157="","0",IK157))+(IF(IM157="","0",IM157))+(IF(IP157="","0",IP157)),"")</f>
        <v>0</v>
      </c>
      <c r="IR157" s="360">
        <f t="shared" ref="IR157:IR171" si="2263">IA157</f>
        <v>0.4604471269</v>
      </c>
      <c r="IS157" s="362">
        <f t="shared" ref="IS157:IS173" si="2264">IFERROR(+IR157*(IQ157-IP157),"")</f>
        <v>0</v>
      </c>
      <c r="IT157" s="363">
        <f t="shared" ref="IT157:IT173" si="2265">IFERROR(+(IF(IQ157="","0",IQ157))-(IF(IS157="","0",IS157)),"")</f>
        <v>0</v>
      </c>
      <c r="IU157" s="364"/>
      <c r="IV157" s="356">
        <v>1.0</v>
      </c>
      <c r="IW157" s="357" t="str">
        <f t="shared" ref="IW157:IY157" si="2143">IFERROR(VLOOKUP($R157,$A$13:$D$30,-IW$12,FALSE),"")</f>
        <v>Bijih  Emas</v>
      </c>
      <c r="IX157" s="358" t="str">
        <f t="shared" si="2143"/>
        <v>Bijih </v>
      </c>
      <c r="IY157" s="358" t="str">
        <f t="shared" si="2143"/>
        <v>Kg</v>
      </c>
      <c r="IZ157" s="359"/>
      <c r="JA157" s="359" t="str">
        <f t="shared" ref="JA157:JA173" si="2267">JA121</f>
        <v/>
      </c>
      <c r="JB157" s="359">
        <f t="shared" ref="JB157:JB173" si="2268">IFERROR(+IZ157*JA157/1000000,"")</f>
        <v>0</v>
      </c>
      <c r="JC157" s="360"/>
      <c r="JD157" s="359">
        <f t="shared" ref="JD157:JD173" si="2269">IFERROR(+JB157*JC157,"")</f>
        <v>0</v>
      </c>
      <c r="JE157" s="409"/>
      <c r="JF157" s="85"/>
      <c r="JG157" s="85"/>
      <c r="JH157" s="361">
        <f t="shared" ref="JH157:JH173" si="2270">IFERROR(+(IF(JB157="","0",JB157))+(IF(JD157="","0",JD157))+(IF(JG157="","0",JG157)),"")</f>
        <v>0</v>
      </c>
      <c r="JI157" s="360">
        <f t="shared" ref="JI157:JI171" si="2271">IR157</f>
        <v>0.4604471269</v>
      </c>
      <c r="JJ157" s="362">
        <f t="shared" ref="JJ157:JJ173" si="2272">IFERROR(+JI157*(JH157-JG157),"")</f>
        <v>0</v>
      </c>
      <c r="JK157" s="363">
        <f t="shared" ref="JK157:JK173" si="2273">IFERROR(+(IF(JH157="","0",JH157))-(IF(JJ157="","0",JJ157)),"")</f>
        <v>0</v>
      </c>
      <c r="JL157" s="364"/>
      <c r="JM157" s="356">
        <v>1.0</v>
      </c>
      <c r="JN157" s="357" t="str">
        <f t="shared" ref="JN157:JP157" si="2144">IFERROR(VLOOKUP($R157,$A$13:$D$30,-JN$12,FALSE),"")</f>
        <v>Bijih  Emas</v>
      </c>
      <c r="JO157" s="358" t="str">
        <f t="shared" si="2144"/>
        <v>Bijih </v>
      </c>
      <c r="JP157" s="358" t="str">
        <f t="shared" si="2144"/>
        <v>Kg</v>
      </c>
      <c r="JQ157" s="359"/>
      <c r="JR157" s="359" t="str">
        <f t="shared" ref="JR157:JR173" si="2275">JR121</f>
        <v/>
      </c>
      <c r="JS157" s="359">
        <f t="shared" ref="JS157:JS173" si="2276">IFERROR(+JQ157*JR157/1000000,"")</f>
        <v>0</v>
      </c>
      <c r="JT157" s="360"/>
      <c r="JU157" s="359">
        <f t="shared" ref="JU157:JU173" si="2277">IFERROR(+JS157*JT157,"")</f>
        <v>0</v>
      </c>
      <c r="JV157" s="409"/>
      <c r="JW157" s="85"/>
      <c r="JX157" s="85"/>
      <c r="JY157" s="361">
        <f t="shared" ref="JY157:JY173" si="2278">IFERROR(+(IF(JS157="","0",JS157))+(IF(JU157="","0",JU157))+(IF(JX157="","0",JX157)),"")</f>
        <v>0</v>
      </c>
      <c r="JZ157" s="360">
        <f t="shared" ref="JZ157:JZ171" si="2279">JI157</f>
        <v>0.4604471269</v>
      </c>
      <c r="KA157" s="362">
        <f t="shared" ref="KA157:KA173" si="2280">IFERROR(+JZ157*(JY157-JX157),"")</f>
        <v>0</v>
      </c>
      <c r="KB157" s="363">
        <f t="shared" ref="KB157:KB173" si="2281">IFERROR(+(IF(JY157="","0",JY157))-(IF(KA157="","0",KA157)),"")</f>
        <v>0</v>
      </c>
      <c r="KC157" s="364"/>
      <c r="KD157" s="356">
        <v>1.0</v>
      </c>
      <c r="KE157" s="357" t="str">
        <f t="shared" ref="KE157:KG157" si="2145">IFERROR(VLOOKUP($R157,$A$13:$D$30,-KE$12,FALSE),"")</f>
        <v>Bijih  Emas</v>
      </c>
      <c r="KF157" s="358" t="str">
        <f t="shared" si="2145"/>
        <v>Bijih </v>
      </c>
      <c r="KG157" s="358" t="str">
        <f t="shared" si="2145"/>
        <v>Kg</v>
      </c>
      <c r="KH157" s="359"/>
      <c r="KI157" s="359" t="str">
        <f t="shared" ref="KI157:KI173" si="2283">KI121</f>
        <v/>
      </c>
      <c r="KJ157" s="359">
        <f t="shared" ref="KJ157:KJ173" si="2284">IFERROR(+KH157*KI157/1000000,"")</f>
        <v>0</v>
      </c>
      <c r="KK157" s="360"/>
      <c r="KL157" s="359">
        <f t="shared" ref="KL157:KL173" si="2285">IFERROR(+KJ157*KK157,"")</f>
        <v>0</v>
      </c>
      <c r="KM157" s="409"/>
      <c r="KN157" s="85"/>
      <c r="KO157" s="85"/>
      <c r="KP157" s="361">
        <f t="shared" ref="KP157:KP173" si="2286">IFERROR(+(IF(KJ157="","0",KJ157))+(IF(KL157="","0",KL157))+(IF(KO157="","0",KO157)),"")</f>
        <v>0</v>
      </c>
      <c r="KQ157" s="360">
        <f t="shared" ref="KQ157:KQ171" si="2287">JZ157</f>
        <v>0.4604471269</v>
      </c>
      <c r="KR157" s="362">
        <f t="shared" ref="KR157:KR173" si="2288">IFERROR(+KQ157*(KP157-KO157),"")</f>
        <v>0</v>
      </c>
      <c r="KS157" s="363">
        <f t="shared" ref="KS157:KS173" si="2289">IFERROR(+(IF(KP157="","0",KP157))-(IF(KR157="","0",KR157)),"")</f>
        <v>0</v>
      </c>
      <c r="KT157" s="364"/>
      <c r="KU157" s="365"/>
    </row>
    <row r="158" ht="15.75" customHeight="1">
      <c r="A158" s="366">
        <f t="shared" ref="A158:A173" si="2290">A157+1</f>
        <v>2</v>
      </c>
      <c r="B158" s="367" t="str">
        <f t="shared" ref="B158:D158" si="2146">IFERROR(VLOOKUP($A158,$A$13:$D$30,-B$12,FALSE),"")</f>
        <v>Bijih  Perak</v>
      </c>
      <c r="C158" s="368" t="str">
        <f t="shared" si="2146"/>
        <v>Bijih </v>
      </c>
      <c r="D158" s="368" t="str">
        <f t="shared" si="2146"/>
        <v>Kg</v>
      </c>
      <c r="E158" s="361"/>
      <c r="F158" s="361" t="str">
        <f t="shared" si="2147"/>
        <v/>
      </c>
      <c r="G158" s="361">
        <f t="shared" si="2148"/>
        <v>0</v>
      </c>
      <c r="H158" s="369"/>
      <c r="I158" s="361">
        <f t="shared" si="2149"/>
        <v>0</v>
      </c>
      <c r="J158" s="410"/>
      <c r="K158" s="96"/>
      <c r="L158" s="96"/>
      <c r="M158" s="361">
        <f t="shared" si="2150"/>
        <v>0</v>
      </c>
      <c r="N158" s="369">
        <f t="shared" si="2151"/>
        <v>0.4604471269</v>
      </c>
      <c r="O158" s="370">
        <f t="shared" si="2152"/>
        <v>0</v>
      </c>
      <c r="P158" s="371">
        <f t="shared" si="2153"/>
        <v>0</v>
      </c>
      <c r="Q158" s="364"/>
      <c r="R158" s="366">
        <f t="shared" ref="R158:R173" si="2292">R157+1</f>
        <v>2</v>
      </c>
      <c r="S158" s="367" t="str">
        <f t="shared" ref="S158:U158" si="2154">IFERROR(VLOOKUP($R158,$A$13:$D$30,-S$12,FALSE),"")</f>
        <v>Bijih  Perak</v>
      </c>
      <c r="T158" s="368" t="str">
        <f t="shared" si="2154"/>
        <v>Bijih </v>
      </c>
      <c r="U158" s="368" t="str">
        <f t="shared" si="2154"/>
        <v>Kg</v>
      </c>
      <c r="V158" s="361"/>
      <c r="W158" s="361" t="str">
        <f t="shared" si="2155"/>
        <v/>
      </c>
      <c r="X158" s="361">
        <f t="shared" si="2156"/>
        <v>0</v>
      </c>
      <c r="Y158" s="369"/>
      <c r="Z158" s="361">
        <f t="shared" si="2157"/>
        <v>0</v>
      </c>
      <c r="AA158" s="410"/>
      <c r="AB158" s="96"/>
      <c r="AC158" s="96"/>
      <c r="AD158" s="361">
        <f t="shared" si="2158"/>
        <v>0</v>
      </c>
      <c r="AE158" s="369">
        <f t="shared" si="2159"/>
        <v>0.4604471269</v>
      </c>
      <c r="AF158" s="370">
        <f t="shared" si="2160"/>
        <v>0</v>
      </c>
      <c r="AG158" s="371">
        <f t="shared" si="2161"/>
        <v>0</v>
      </c>
      <c r="AH158" s="364"/>
      <c r="AI158" s="366">
        <f t="shared" ref="AI158:AI173" si="2294">AI157+1</f>
        <v>2</v>
      </c>
      <c r="AJ158" s="367" t="str">
        <f t="shared" ref="AJ158:AL158" si="2162">IFERROR(VLOOKUP($R158,$A$13:$D$30,-AJ$12,FALSE),"")</f>
        <v>Bijih  Perak</v>
      </c>
      <c r="AK158" s="368" t="str">
        <f t="shared" si="2162"/>
        <v>Bijih </v>
      </c>
      <c r="AL158" s="368" t="str">
        <f t="shared" si="2162"/>
        <v>Kg</v>
      </c>
      <c r="AM158" s="361"/>
      <c r="AN158" s="361" t="str">
        <f t="shared" si="2163"/>
        <v/>
      </c>
      <c r="AO158" s="361">
        <f t="shared" si="2164"/>
        <v>0</v>
      </c>
      <c r="AP158" s="369"/>
      <c r="AQ158" s="361">
        <f t="shared" si="2165"/>
        <v>0</v>
      </c>
      <c r="AR158" s="410"/>
      <c r="AS158" s="96"/>
      <c r="AT158" s="96"/>
      <c r="AU158" s="361">
        <f t="shared" si="2166"/>
        <v>0</v>
      </c>
      <c r="AV158" s="369">
        <f t="shared" si="2167"/>
        <v>0.4604471269</v>
      </c>
      <c r="AW158" s="370">
        <f t="shared" si="2168"/>
        <v>0</v>
      </c>
      <c r="AX158" s="371">
        <f t="shared" si="2169"/>
        <v>0</v>
      </c>
      <c r="AY158" s="364"/>
      <c r="AZ158" s="366">
        <f t="shared" ref="AZ158:AZ173" si="2296">AZ157+1</f>
        <v>2</v>
      </c>
      <c r="BA158" s="367" t="str">
        <f t="shared" ref="BA158:BC158" si="2170">IFERROR(VLOOKUP($R158,$A$13:$D$30,-BA$12,FALSE),"")</f>
        <v>Bijih  Perak</v>
      </c>
      <c r="BB158" s="368" t="str">
        <f t="shared" si="2170"/>
        <v>Bijih </v>
      </c>
      <c r="BC158" s="368" t="str">
        <f t="shared" si="2170"/>
        <v>Kg</v>
      </c>
      <c r="BD158" s="361"/>
      <c r="BE158" s="361" t="str">
        <f t="shared" si="2171"/>
        <v/>
      </c>
      <c r="BF158" s="361">
        <f t="shared" si="2172"/>
        <v>0</v>
      </c>
      <c r="BG158" s="369"/>
      <c r="BH158" s="361">
        <f t="shared" si="2173"/>
        <v>0</v>
      </c>
      <c r="BI158" s="410"/>
      <c r="BJ158" s="96"/>
      <c r="BK158" s="96"/>
      <c r="BL158" s="361">
        <f t="shared" si="2174"/>
        <v>0</v>
      </c>
      <c r="BM158" s="369">
        <f t="shared" si="2175"/>
        <v>0.4604471269</v>
      </c>
      <c r="BN158" s="370">
        <f t="shared" si="2176"/>
        <v>0</v>
      </c>
      <c r="BO158" s="371">
        <f t="shared" si="2177"/>
        <v>0</v>
      </c>
      <c r="BP158" s="364"/>
      <c r="BQ158" s="366">
        <f t="shared" ref="BQ158:BQ173" si="2298">BQ157+1</f>
        <v>2</v>
      </c>
      <c r="BR158" s="367" t="str">
        <f t="shared" ref="BR158:BT158" si="2178">IFERROR(VLOOKUP($R158,$A$13:$D$30,-BR$12,FALSE),"")</f>
        <v>Bijih  Perak</v>
      </c>
      <c r="BS158" s="368" t="str">
        <f t="shared" si="2178"/>
        <v>Bijih </v>
      </c>
      <c r="BT158" s="368" t="str">
        <f t="shared" si="2178"/>
        <v>Kg</v>
      </c>
      <c r="BU158" s="361"/>
      <c r="BV158" s="361" t="str">
        <f t="shared" si="2179"/>
        <v/>
      </c>
      <c r="BW158" s="361">
        <f t="shared" si="2180"/>
        <v>0</v>
      </c>
      <c r="BX158" s="369"/>
      <c r="BY158" s="361">
        <f t="shared" si="2181"/>
        <v>0</v>
      </c>
      <c r="BZ158" s="410"/>
      <c r="CA158" s="96"/>
      <c r="CB158" s="96"/>
      <c r="CC158" s="361">
        <f t="shared" si="2182"/>
        <v>0</v>
      </c>
      <c r="CD158" s="369">
        <f t="shared" si="2183"/>
        <v>0.4604471269</v>
      </c>
      <c r="CE158" s="370">
        <f t="shared" si="2184"/>
        <v>0</v>
      </c>
      <c r="CF158" s="371">
        <f t="shared" si="2185"/>
        <v>0</v>
      </c>
      <c r="CG158" s="364"/>
      <c r="CH158" s="366">
        <f t="shared" ref="CH158:CH173" si="2300">CH157+1</f>
        <v>2</v>
      </c>
      <c r="CI158" s="367" t="str">
        <f t="shared" ref="CI158:CK158" si="2186">IFERROR(VLOOKUP($R158,$A$13:$D$30,-CI$12,FALSE),"")</f>
        <v>Bijih  Perak</v>
      </c>
      <c r="CJ158" s="368" t="str">
        <f t="shared" si="2186"/>
        <v>Bijih </v>
      </c>
      <c r="CK158" s="368" t="str">
        <f t="shared" si="2186"/>
        <v>Kg</v>
      </c>
      <c r="CL158" s="361"/>
      <c r="CM158" s="361" t="str">
        <f t="shared" si="2187"/>
        <v/>
      </c>
      <c r="CN158" s="361">
        <f t="shared" si="2188"/>
        <v>0</v>
      </c>
      <c r="CO158" s="369"/>
      <c r="CP158" s="361">
        <f t="shared" si="2189"/>
        <v>0</v>
      </c>
      <c r="CQ158" s="410"/>
      <c r="CR158" s="96"/>
      <c r="CS158" s="96"/>
      <c r="CT158" s="361">
        <f t="shared" si="2190"/>
        <v>0</v>
      </c>
      <c r="CU158" s="369">
        <f t="shared" si="2191"/>
        <v>0.4604471269</v>
      </c>
      <c r="CV158" s="370">
        <f t="shared" si="2192"/>
        <v>0</v>
      </c>
      <c r="CW158" s="371">
        <f t="shared" si="2193"/>
        <v>0</v>
      </c>
      <c r="CX158" s="364"/>
      <c r="CY158" s="366">
        <f t="shared" ref="CY158:CY173" si="2302">CY157+1</f>
        <v>2</v>
      </c>
      <c r="CZ158" s="367" t="str">
        <f t="shared" ref="CZ158:DB158" si="2194">IFERROR(VLOOKUP($R158,$A$13:$D$30,-CZ$12,FALSE),"")</f>
        <v>Bijih  Perak</v>
      </c>
      <c r="DA158" s="368" t="str">
        <f t="shared" si="2194"/>
        <v>Bijih </v>
      </c>
      <c r="DB158" s="368" t="str">
        <f t="shared" si="2194"/>
        <v>Kg</v>
      </c>
      <c r="DC158" s="361"/>
      <c r="DD158" s="361" t="str">
        <f t="shared" si="2195"/>
        <v/>
      </c>
      <c r="DE158" s="361">
        <f t="shared" si="2196"/>
        <v>0</v>
      </c>
      <c r="DF158" s="369"/>
      <c r="DG158" s="361">
        <f t="shared" si="2197"/>
        <v>0</v>
      </c>
      <c r="DH158" s="410"/>
      <c r="DI158" s="96"/>
      <c r="DJ158" s="96"/>
      <c r="DK158" s="361">
        <f t="shared" si="2198"/>
        <v>0</v>
      </c>
      <c r="DL158" s="369">
        <f t="shared" si="2199"/>
        <v>0.4604471269</v>
      </c>
      <c r="DM158" s="370">
        <f t="shared" si="2200"/>
        <v>0</v>
      </c>
      <c r="DN158" s="371">
        <f t="shared" si="2201"/>
        <v>0</v>
      </c>
      <c r="DO158" s="364"/>
      <c r="DP158" s="366">
        <f t="shared" ref="DP158:DP173" si="2304">DP157+1</f>
        <v>2</v>
      </c>
      <c r="DQ158" s="367" t="str">
        <f t="shared" ref="DQ158:DS158" si="2202">IFERROR(VLOOKUP($R158,$A$13:$D$30,-DQ$12,FALSE),"")</f>
        <v>Bijih  Perak</v>
      </c>
      <c r="DR158" s="368" t="str">
        <f t="shared" si="2202"/>
        <v>Bijih </v>
      </c>
      <c r="DS158" s="368" t="str">
        <f t="shared" si="2202"/>
        <v>Kg</v>
      </c>
      <c r="DT158" s="361"/>
      <c r="DU158" s="361" t="str">
        <f t="shared" si="2203"/>
        <v/>
      </c>
      <c r="DV158" s="361">
        <f t="shared" si="2204"/>
        <v>0</v>
      </c>
      <c r="DW158" s="369"/>
      <c r="DX158" s="361">
        <f t="shared" si="2205"/>
        <v>0</v>
      </c>
      <c r="DY158" s="410"/>
      <c r="DZ158" s="96"/>
      <c r="EA158" s="96"/>
      <c r="EB158" s="361">
        <f t="shared" si="2206"/>
        <v>0</v>
      </c>
      <c r="EC158" s="369">
        <f t="shared" si="2207"/>
        <v>0.4604471269</v>
      </c>
      <c r="ED158" s="370">
        <f t="shared" si="2208"/>
        <v>0</v>
      </c>
      <c r="EE158" s="371">
        <f t="shared" si="2209"/>
        <v>0</v>
      </c>
      <c r="EF158" s="364"/>
      <c r="EG158" s="366">
        <f t="shared" ref="EG158:EG173" si="2306">EG157+1</f>
        <v>2</v>
      </c>
      <c r="EH158" s="367" t="str">
        <f t="shared" ref="EH158:EJ158" si="2210">IFERROR(VLOOKUP($R158,$A$13:$D$30,-EH$12,FALSE),"")</f>
        <v>Bijih  Perak</v>
      </c>
      <c r="EI158" s="368" t="str">
        <f t="shared" si="2210"/>
        <v>Bijih </v>
      </c>
      <c r="EJ158" s="368" t="str">
        <f t="shared" si="2210"/>
        <v>Kg</v>
      </c>
      <c r="EK158" s="361"/>
      <c r="EL158" s="361" t="str">
        <f t="shared" si="2211"/>
        <v/>
      </c>
      <c r="EM158" s="361">
        <f t="shared" si="2212"/>
        <v>0</v>
      </c>
      <c r="EN158" s="369"/>
      <c r="EO158" s="361">
        <f t="shared" si="2213"/>
        <v>0</v>
      </c>
      <c r="EP158" s="410"/>
      <c r="EQ158" s="96"/>
      <c r="ER158" s="96"/>
      <c r="ES158" s="361">
        <f t="shared" si="2214"/>
        <v>0</v>
      </c>
      <c r="ET158" s="369">
        <f t="shared" si="2215"/>
        <v>0.4604471269</v>
      </c>
      <c r="EU158" s="370">
        <f t="shared" si="2216"/>
        <v>0</v>
      </c>
      <c r="EV158" s="371">
        <f t="shared" si="2217"/>
        <v>0</v>
      </c>
      <c r="EW158" s="364"/>
      <c r="EX158" s="366">
        <f t="shared" ref="EX158:EX173" si="2308">EX157+1</f>
        <v>2</v>
      </c>
      <c r="EY158" s="367" t="str">
        <f t="shared" ref="EY158:FA158" si="2218">IFERROR(VLOOKUP($R158,$A$13:$D$30,-EY$12,FALSE),"")</f>
        <v>Bijih  Perak</v>
      </c>
      <c r="EZ158" s="368" t="str">
        <f t="shared" si="2218"/>
        <v>Bijih </v>
      </c>
      <c r="FA158" s="368" t="str">
        <f t="shared" si="2218"/>
        <v>Kg</v>
      </c>
      <c r="FB158" s="361"/>
      <c r="FC158" s="361" t="str">
        <f t="shared" si="2219"/>
        <v/>
      </c>
      <c r="FD158" s="361">
        <f t="shared" si="2220"/>
        <v>0</v>
      </c>
      <c r="FE158" s="369"/>
      <c r="FF158" s="361">
        <f t="shared" si="2221"/>
        <v>0</v>
      </c>
      <c r="FG158" s="410"/>
      <c r="FH158" s="96"/>
      <c r="FI158" s="96"/>
      <c r="FJ158" s="361">
        <f t="shared" si="2222"/>
        <v>0</v>
      </c>
      <c r="FK158" s="369">
        <f t="shared" si="2223"/>
        <v>0.4604471269</v>
      </c>
      <c r="FL158" s="370">
        <f t="shared" si="2224"/>
        <v>0</v>
      </c>
      <c r="FM158" s="371">
        <f t="shared" si="2225"/>
        <v>0</v>
      </c>
      <c r="FN158" s="364"/>
      <c r="FO158" s="366">
        <f t="shared" ref="FO158:FO173" si="2310">FO157+1</f>
        <v>2</v>
      </c>
      <c r="FP158" s="367" t="str">
        <f t="shared" ref="FP158:FR158" si="2226">IFERROR(VLOOKUP($R158,$A$13:$D$30,-FP$12,FALSE),"")</f>
        <v>Bijih  Perak</v>
      </c>
      <c r="FQ158" s="368" t="str">
        <f t="shared" si="2226"/>
        <v>Bijih </v>
      </c>
      <c r="FR158" s="368" t="str">
        <f t="shared" si="2226"/>
        <v>Kg</v>
      </c>
      <c r="FS158" s="361"/>
      <c r="FT158" s="361" t="str">
        <f t="shared" si="2227"/>
        <v/>
      </c>
      <c r="FU158" s="361">
        <f t="shared" si="2228"/>
        <v>0</v>
      </c>
      <c r="FV158" s="369"/>
      <c r="FW158" s="361">
        <f t="shared" si="2229"/>
        <v>0</v>
      </c>
      <c r="FX158" s="410"/>
      <c r="FY158" s="96"/>
      <c r="FZ158" s="96"/>
      <c r="GA158" s="361">
        <f t="shared" si="2230"/>
        <v>0</v>
      </c>
      <c r="GB158" s="369">
        <f t="shared" si="2231"/>
        <v>0.4604471269</v>
      </c>
      <c r="GC158" s="370">
        <f t="shared" si="2232"/>
        <v>0</v>
      </c>
      <c r="GD158" s="371">
        <f t="shared" si="2233"/>
        <v>0</v>
      </c>
      <c r="GE158" s="364"/>
      <c r="GF158" s="366">
        <f t="shared" ref="GF158:GF173" si="2312">GF157+1</f>
        <v>2</v>
      </c>
      <c r="GG158" s="367" t="str">
        <f t="shared" ref="GG158:GI158" si="2234">IFERROR(VLOOKUP($R158,$A$13:$D$30,-GG$12,FALSE),"")</f>
        <v>Bijih  Perak</v>
      </c>
      <c r="GH158" s="368" t="str">
        <f t="shared" si="2234"/>
        <v>Bijih </v>
      </c>
      <c r="GI158" s="368" t="str">
        <f t="shared" si="2234"/>
        <v>Kg</v>
      </c>
      <c r="GJ158" s="361"/>
      <c r="GK158" s="361" t="str">
        <f t="shared" si="2235"/>
        <v/>
      </c>
      <c r="GL158" s="361">
        <f t="shared" si="2236"/>
        <v>0</v>
      </c>
      <c r="GM158" s="369"/>
      <c r="GN158" s="361">
        <f t="shared" si="2237"/>
        <v>0</v>
      </c>
      <c r="GO158" s="410"/>
      <c r="GP158" s="96"/>
      <c r="GQ158" s="96"/>
      <c r="GR158" s="361">
        <f t="shared" si="2238"/>
        <v>0</v>
      </c>
      <c r="GS158" s="369">
        <f t="shared" si="2239"/>
        <v>0.4604471269</v>
      </c>
      <c r="GT158" s="370">
        <f t="shared" si="2240"/>
        <v>0</v>
      </c>
      <c r="GU158" s="371">
        <f t="shared" si="2241"/>
        <v>0</v>
      </c>
      <c r="GV158" s="364"/>
      <c r="GW158" s="366">
        <f t="shared" ref="GW158:GW173" si="2314">GW157+1</f>
        <v>2</v>
      </c>
      <c r="GX158" s="367" t="str">
        <f t="shared" ref="GX158:GZ158" si="2242">IFERROR(VLOOKUP($R158,$A$13:$D$30,-GX$12,FALSE),"")</f>
        <v>Bijih  Perak</v>
      </c>
      <c r="GY158" s="368" t="str">
        <f t="shared" si="2242"/>
        <v>Bijih </v>
      </c>
      <c r="GZ158" s="368" t="str">
        <f t="shared" si="2242"/>
        <v>Kg</v>
      </c>
      <c r="HA158" s="361"/>
      <c r="HB158" s="361" t="str">
        <f t="shared" si="2243"/>
        <v/>
      </c>
      <c r="HC158" s="361">
        <f t="shared" si="2244"/>
        <v>0</v>
      </c>
      <c r="HD158" s="369"/>
      <c r="HE158" s="361">
        <f t="shared" si="2245"/>
        <v>0</v>
      </c>
      <c r="HF158" s="410"/>
      <c r="HG158" s="96"/>
      <c r="HH158" s="96"/>
      <c r="HI158" s="361">
        <f t="shared" si="2246"/>
        <v>0</v>
      </c>
      <c r="HJ158" s="369">
        <f t="shared" si="2247"/>
        <v>0.4604471269</v>
      </c>
      <c r="HK158" s="370">
        <f t="shared" si="2248"/>
        <v>0</v>
      </c>
      <c r="HL158" s="371">
        <f t="shared" si="2249"/>
        <v>0</v>
      </c>
      <c r="HM158" s="364"/>
      <c r="HN158" s="366">
        <f t="shared" ref="HN158:HN173" si="2316">HN157+1</f>
        <v>2</v>
      </c>
      <c r="HO158" s="367" t="str">
        <f t="shared" ref="HO158:HQ158" si="2250">IFERROR(VLOOKUP($R158,$A$13:$D$30,-HO$12,FALSE),"")</f>
        <v>Bijih  Perak</v>
      </c>
      <c r="HP158" s="368" t="str">
        <f t="shared" si="2250"/>
        <v>Bijih </v>
      </c>
      <c r="HQ158" s="368" t="str">
        <f t="shared" si="2250"/>
        <v>Kg</v>
      </c>
      <c r="HR158" s="361"/>
      <c r="HS158" s="361" t="str">
        <f t="shared" si="2251"/>
        <v/>
      </c>
      <c r="HT158" s="361">
        <f t="shared" si="2252"/>
        <v>0</v>
      </c>
      <c r="HU158" s="369"/>
      <c r="HV158" s="361">
        <f t="shared" si="2253"/>
        <v>0</v>
      </c>
      <c r="HW158" s="410"/>
      <c r="HX158" s="96"/>
      <c r="HY158" s="96"/>
      <c r="HZ158" s="361">
        <f t="shared" si="2254"/>
        <v>0</v>
      </c>
      <c r="IA158" s="369">
        <f t="shared" si="2255"/>
        <v>0.4604471269</v>
      </c>
      <c r="IB158" s="370">
        <f t="shared" si="2256"/>
        <v>0</v>
      </c>
      <c r="IC158" s="371">
        <f t="shared" si="2257"/>
        <v>0</v>
      </c>
      <c r="ID158" s="364"/>
      <c r="IE158" s="366">
        <f t="shared" ref="IE158:IE173" si="2318">IE157+1</f>
        <v>2</v>
      </c>
      <c r="IF158" s="367" t="str">
        <f t="shared" ref="IF158:IH158" si="2258">IFERROR(VLOOKUP($R158,$A$13:$D$30,-IF$12,FALSE),"")</f>
        <v>Bijih  Perak</v>
      </c>
      <c r="IG158" s="368" t="str">
        <f t="shared" si="2258"/>
        <v>Bijih </v>
      </c>
      <c r="IH158" s="368" t="str">
        <f t="shared" si="2258"/>
        <v>Kg</v>
      </c>
      <c r="II158" s="361"/>
      <c r="IJ158" s="361" t="str">
        <f t="shared" si="2259"/>
        <v/>
      </c>
      <c r="IK158" s="361">
        <f t="shared" si="2260"/>
        <v>0</v>
      </c>
      <c r="IL158" s="369"/>
      <c r="IM158" s="361">
        <f t="shared" si="2261"/>
        <v>0</v>
      </c>
      <c r="IN158" s="410"/>
      <c r="IO158" s="96"/>
      <c r="IP158" s="96"/>
      <c r="IQ158" s="361">
        <f t="shared" si="2262"/>
        <v>0</v>
      </c>
      <c r="IR158" s="369">
        <f t="shared" si="2263"/>
        <v>0.4604471269</v>
      </c>
      <c r="IS158" s="370">
        <f t="shared" si="2264"/>
        <v>0</v>
      </c>
      <c r="IT158" s="371">
        <f t="shared" si="2265"/>
        <v>0</v>
      </c>
      <c r="IU158" s="364"/>
      <c r="IV158" s="366">
        <f t="shared" ref="IV158:IV173" si="2320">IV157+1</f>
        <v>2</v>
      </c>
      <c r="IW158" s="367" t="str">
        <f t="shared" ref="IW158:IY158" si="2266">IFERROR(VLOOKUP($R158,$A$13:$D$30,-IW$12,FALSE),"")</f>
        <v>Bijih  Perak</v>
      </c>
      <c r="IX158" s="368" t="str">
        <f t="shared" si="2266"/>
        <v>Bijih </v>
      </c>
      <c r="IY158" s="368" t="str">
        <f t="shared" si="2266"/>
        <v>Kg</v>
      </c>
      <c r="IZ158" s="361"/>
      <c r="JA158" s="361" t="str">
        <f t="shared" si="2267"/>
        <v/>
      </c>
      <c r="JB158" s="361">
        <f t="shared" si="2268"/>
        <v>0</v>
      </c>
      <c r="JC158" s="369"/>
      <c r="JD158" s="361">
        <f t="shared" si="2269"/>
        <v>0</v>
      </c>
      <c r="JE158" s="410"/>
      <c r="JF158" s="96"/>
      <c r="JG158" s="96"/>
      <c r="JH158" s="361">
        <f t="shared" si="2270"/>
        <v>0</v>
      </c>
      <c r="JI158" s="369">
        <f t="shared" si="2271"/>
        <v>0.4604471269</v>
      </c>
      <c r="JJ158" s="370">
        <f t="shared" si="2272"/>
        <v>0</v>
      </c>
      <c r="JK158" s="371">
        <f t="shared" si="2273"/>
        <v>0</v>
      </c>
      <c r="JL158" s="364"/>
      <c r="JM158" s="366">
        <f t="shared" ref="JM158:JM173" si="2322">JM157+1</f>
        <v>2</v>
      </c>
      <c r="JN158" s="367" t="str">
        <f t="shared" ref="JN158:JP158" si="2274">IFERROR(VLOOKUP($R158,$A$13:$D$30,-JN$12,FALSE),"")</f>
        <v>Bijih  Perak</v>
      </c>
      <c r="JO158" s="368" t="str">
        <f t="shared" si="2274"/>
        <v>Bijih </v>
      </c>
      <c r="JP158" s="368" t="str">
        <f t="shared" si="2274"/>
        <v>Kg</v>
      </c>
      <c r="JQ158" s="361"/>
      <c r="JR158" s="361" t="str">
        <f t="shared" si="2275"/>
        <v/>
      </c>
      <c r="JS158" s="361">
        <f t="shared" si="2276"/>
        <v>0</v>
      </c>
      <c r="JT158" s="369"/>
      <c r="JU158" s="361">
        <f t="shared" si="2277"/>
        <v>0</v>
      </c>
      <c r="JV158" s="410"/>
      <c r="JW158" s="96"/>
      <c r="JX158" s="96"/>
      <c r="JY158" s="361">
        <f t="shared" si="2278"/>
        <v>0</v>
      </c>
      <c r="JZ158" s="369">
        <f t="shared" si="2279"/>
        <v>0.4604471269</v>
      </c>
      <c r="KA158" s="370">
        <f t="shared" si="2280"/>
        <v>0</v>
      </c>
      <c r="KB158" s="371">
        <f t="shared" si="2281"/>
        <v>0</v>
      </c>
      <c r="KC158" s="364"/>
      <c r="KD158" s="366">
        <f t="shared" ref="KD158:KD173" si="2324">KD157+1</f>
        <v>2</v>
      </c>
      <c r="KE158" s="367" t="str">
        <f t="shared" ref="KE158:KG158" si="2282">IFERROR(VLOOKUP($R158,$A$13:$D$30,-KE$12,FALSE),"")</f>
        <v>Bijih  Perak</v>
      </c>
      <c r="KF158" s="368" t="str">
        <f t="shared" si="2282"/>
        <v>Bijih </v>
      </c>
      <c r="KG158" s="368" t="str">
        <f t="shared" si="2282"/>
        <v>Kg</v>
      </c>
      <c r="KH158" s="361"/>
      <c r="KI158" s="361" t="str">
        <f t="shared" si="2283"/>
        <v/>
      </c>
      <c r="KJ158" s="361">
        <f t="shared" si="2284"/>
        <v>0</v>
      </c>
      <c r="KK158" s="369"/>
      <c r="KL158" s="361">
        <f t="shared" si="2285"/>
        <v>0</v>
      </c>
      <c r="KM158" s="410"/>
      <c r="KN158" s="96"/>
      <c r="KO158" s="96"/>
      <c r="KP158" s="361">
        <f t="shared" si="2286"/>
        <v>0</v>
      </c>
      <c r="KQ158" s="369">
        <f t="shared" si="2287"/>
        <v>0.4604471269</v>
      </c>
      <c r="KR158" s="370">
        <f t="shared" si="2288"/>
        <v>0</v>
      </c>
      <c r="KS158" s="371">
        <f t="shared" si="2289"/>
        <v>0</v>
      </c>
      <c r="KT158" s="364"/>
      <c r="KU158" s="365"/>
    </row>
    <row r="159" ht="15.75" customHeight="1">
      <c r="A159" s="366">
        <f t="shared" si="2290"/>
        <v>3</v>
      </c>
      <c r="B159" s="367" t="str">
        <f t="shared" ref="B159:D159" si="2291">IFERROR(VLOOKUP($A159,$A$13:$D$30,-B$12,FALSE),"")</f>
        <v>Tembaga</v>
      </c>
      <c r="C159" s="368" t="str">
        <f t="shared" si="2291"/>
        <v>Bijih </v>
      </c>
      <c r="D159" s="368" t="str">
        <f t="shared" si="2291"/>
        <v>Ton </v>
      </c>
      <c r="E159" s="361"/>
      <c r="F159" s="361" t="str">
        <f t="shared" si="2147"/>
        <v/>
      </c>
      <c r="G159" s="361">
        <f t="shared" si="2148"/>
        <v>0</v>
      </c>
      <c r="H159" s="369"/>
      <c r="I159" s="361">
        <f t="shared" si="2149"/>
        <v>0</v>
      </c>
      <c r="J159" s="410"/>
      <c r="K159" s="96"/>
      <c r="L159" s="96"/>
      <c r="M159" s="361">
        <f t="shared" si="2150"/>
        <v>0</v>
      </c>
      <c r="N159" s="369">
        <f t="shared" si="2151"/>
        <v>0.4604471269</v>
      </c>
      <c r="O159" s="370">
        <f t="shared" si="2152"/>
        <v>0</v>
      </c>
      <c r="P159" s="371">
        <f t="shared" si="2153"/>
        <v>0</v>
      </c>
      <c r="Q159" s="364"/>
      <c r="R159" s="366">
        <f t="shared" si="2292"/>
        <v>3</v>
      </c>
      <c r="S159" s="367" t="str">
        <f t="shared" ref="S159:U159" si="2293">IFERROR(VLOOKUP($R159,$A$13:$D$30,-S$12,FALSE),"")</f>
        <v>Tembaga</v>
      </c>
      <c r="T159" s="368" t="str">
        <f t="shared" si="2293"/>
        <v>Bijih </v>
      </c>
      <c r="U159" s="368" t="str">
        <f t="shared" si="2293"/>
        <v>Ton </v>
      </c>
      <c r="V159" s="361"/>
      <c r="W159" s="361" t="str">
        <f t="shared" si="2155"/>
        <v/>
      </c>
      <c r="X159" s="361">
        <f t="shared" si="2156"/>
        <v>0</v>
      </c>
      <c r="Y159" s="369"/>
      <c r="Z159" s="361">
        <f t="shared" si="2157"/>
        <v>0</v>
      </c>
      <c r="AA159" s="410"/>
      <c r="AB159" s="96"/>
      <c r="AC159" s="96"/>
      <c r="AD159" s="361">
        <f t="shared" si="2158"/>
        <v>0</v>
      </c>
      <c r="AE159" s="369">
        <f t="shared" si="2159"/>
        <v>0.4604471269</v>
      </c>
      <c r="AF159" s="370">
        <f t="shared" si="2160"/>
        <v>0</v>
      </c>
      <c r="AG159" s="371">
        <f t="shared" si="2161"/>
        <v>0</v>
      </c>
      <c r="AH159" s="364"/>
      <c r="AI159" s="366">
        <f t="shared" si="2294"/>
        <v>3</v>
      </c>
      <c r="AJ159" s="367" t="str">
        <f t="shared" ref="AJ159:AL159" si="2295">IFERROR(VLOOKUP($R159,$A$13:$D$30,-AJ$12,FALSE),"")</f>
        <v>Tembaga</v>
      </c>
      <c r="AK159" s="368" t="str">
        <f t="shared" si="2295"/>
        <v>Bijih </v>
      </c>
      <c r="AL159" s="368" t="str">
        <f t="shared" si="2295"/>
        <v>Ton </v>
      </c>
      <c r="AM159" s="361"/>
      <c r="AN159" s="361" t="str">
        <f t="shared" si="2163"/>
        <v/>
      </c>
      <c r="AO159" s="361">
        <f t="shared" si="2164"/>
        <v>0</v>
      </c>
      <c r="AP159" s="369"/>
      <c r="AQ159" s="361">
        <f t="shared" si="2165"/>
        <v>0</v>
      </c>
      <c r="AR159" s="410"/>
      <c r="AS159" s="96"/>
      <c r="AT159" s="96"/>
      <c r="AU159" s="361">
        <f t="shared" si="2166"/>
        <v>0</v>
      </c>
      <c r="AV159" s="369">
        <f t="shared" si="2167"/>
        <v>0.4604471269</v>
      </c>
      <c r="AW159" s="370">
        <f t="shared" si="2168"/>
        <v>0</v>
      </c>
      <c r="AX159" s="371">
        <f t="shared" si="2169"/>
        <v>0</v>
      </c>
      <c r="AY159" s="364"/>
      <c r="AZ159" s="366">
        <f t="shared" si="2296"/>
        <v>3</v>
      </c>
      <c r="BA159" s="367" t="str">
        <f t="shared" ref="BA159:BC159" si="2297">IFERROR(VLOOKUP($R159,$A$13:$D$30,-BA$12,FALSE),"")</f>
        <v>Tembaga</v>
      </c>
      <c r="BB159" s="368" t="str">
        <f t="shared" si="2297"/>
        <v>Bijih </v>
      </c>
      <c r="BC159" s="368" t="str">
        <f t="shared" si="2297"/>
        <v>Ton </v>
      </c>
      <c r="BD159" s="361"/>
      <c r="BE159" s="361" t="str">
        <f t="shared" si="2171"/>
        <v/>
      </c>
      <c r="BF159" s="361">
        <f t="shared" si="2172"/>
        <v>0</v>
      </c>
      <c r="BG159" s="369"/>
      <c r="BH159" s="361">
        <f t="shared" si="2173"/>
        <v>0</v>
      </c>
      <c r="BI159" s="410"/>
      <c r="BJ159" s="96"/>
      <c r="BK159" s="96"/>
      <c r="BL159" s="361">
        <f t="shared" si="2174"/>
        <v>0</v>
      </c>
      <c r="BM159" s="369">
        <f t="shared" si="2175"/>
        <v>0.4604471269</v>
      </c>
      <c r="BN159" s="370">
        <f t="shared" si="2176"/>
        <v>0</v>
      </c>
      <c r="BO159" s="371">
        <f t="shared" si="2177"/>
        <v>0</v>
      </c>
      <c r="BP159" s="364"/>
      <c r="BQ159" s="366">
        <f t="shared" si="2298"/>
        <v>3</v>
      </c>
      <c r="BR159" s="367" t="str">
        <f t="shared" ref="BR159:BT159" si="2299">IFERROR(VLOOKUP($R159,$A$13:$D$30,-BR$12,FALSE),"")</f>
        <v>Tembaga</v>
      </c>
      <c r="BS159" s="368" t="str">
        <f t="shared" si="2299"/>
        <v>Bijih </v>
      </c>
      <c r="BT159" s="368" t="str">
        <f t="shared" si="2299"/>
        <v>Ton </v>
      </c>
      <c r="BU159" s="361"/>
      <c r="BV159" s="361" t="str">
        <f t="shared" si="2179"/>
        <v/>
      </c>
      <c r="BW159" s="361">
        <f t="shared" si="2180"/>
        <v>0</v>
      </c>
      <c r="BX159" s="369"/>
      <c r="BY159" s="361">
        <f t="shared" si="2181"/>
        <v>0</v>
      </c>
      <c r="BZ159" s="410"/>
      <c r="CA159" s="96"/>
      <c r="CB159" s="96"/>
      <c r="CC159" s="361">
        <f t="shared" si="2182"/>
        <v>0</v>
      </c>
      <c r="CD159" s="369">
        <f t="shared" si="2183"/>
        <v>0.4604471269</v>
      </c>
      <c r="CE159" s="370">
        <f t="shared" si="2184"/>
        <v>0</v>
      </c>
      <c r="CF159" s="371">
        <f t="shared" si="2185"/>
        <v>0</v>
      </c>
      <c r="CG159" s="364"/>
      <c r="CH159" s="366">
        <f t="shared" si="2300"/>
        <v>3</v>
      </c>
      <c r="CI159" s="367" t="str">
        <f t="shared" ref="CI159:CK159" si="2301">IFERROR(VLOOKUP($R159,$A$13:$D$30,-CI$12,FALSE),"")</f>
        <v>Tembaga</v>
      </c>
      <c r="CJ159" s="368" t="str">
        <f t="shared" si="2301"/>
        <v>Bijih </v>
      </c>
      <c r="CK159" s="368" t="str">
        <f t="shared" si="2301"/>
        <v>Ton </v>
      </c>
      <c r="CL159" s="361"/>
      <c r="CM159" s="361" t="str">
        <f t="shared" si="2187"/>
        <v/>
      </c>
      <c r="CN159" s="361">
        <f t="shared" si="2188"/>
        <v>0</v>
      </c>
      <c r="CO159" s="369"/>
      <c r="CP159" s="361">
        <f t="shared" si="2189"/>
        <v>0</v>
      </c>
      <c r="CQ159" s="410"/>
      <c r="CR159" s="96"/>
      <c r="CS159" s="96"/>
      <c r="CT159" s="361">
        <f t="shared" si="2190"/>
        <v>0</v>
      </c>
      <c r="CU159" s="369">
        <f t="shared" si="2191"/>
        <v>0.4604471269</v>
      </c>
      <c r="CV159" s="370">
        <f t="shared" si="2192"/>
        <v>0</v>
      </c>
      <c r="CW159" s="371">
        <f t="shared" si="2193"/>
        <v>0</v>
      </c>
      <c r="CX159" s="364"/>
      <c r="CY159" s="366">
        <f t="shared" si="2302"/>
        <v>3</v>
      </c>
      <c r="CZ159" s="367" t="str">
        <f t="shared" ref="CZ159:DB159" si="2303">IFERROR(VLOOKUP($R159,$A$13:$D$30,-CZ$12,FALSE),"")</f>
        <v>Tembaga</v>
      </c>
      <c r="DA159" s="368" t="str">
        <f t="shared" si="2303"/>
        <v>Bijih </v>
      </c>
      <c r="DB159" s="368" t="str">
        <f t="shared" si="2303"/>
        <v>Ton </v>
      </c>
      <c r="DC159" s="361"/>
      <c r="DD159" s="361" t="str">
        <f t="shared" si="2195"/>
        <v/>
      </c>
      <c r="DE159" s="361">
        <f t="shared" si="2196"/>
        <v>0</v>
      </c>
      <c r="DF159" s="369"/>
      <c r="DG159" s="361">
        <f t="shared" si="2197"/>
        <v>0</v>
      </c>
      <c r="DH159" s="410"/>
      <c r="DI159" s="96"/>
      <c r="DJ159" s="96"/>
      <c r="DK159" s="361">
        <f t="shared" si="2198"/>
        <v>0</v>
      </c>
      <c r="DL159" s="369">
        <f t="shared" si="2199"/>
        <v>0.4604471269</v>
      </c>
      <c r="DM159" s="370">
        <f t="shared" si="2200"/>
        <v>0</v>
      </c>
      <c r="DN159" s="371">
        <f t="shared" si="2201"/>
        <v>0</v>
      </c>
      <c r="DO159" s="364"/>
      <c r="DP159" s="366">
        <f t="shared" si="2304"/>
        <v>3</v>
      </c>
      <c r="DQ159" s="367" t="str">
        <f t="shared" ref="DQ159:DS159" si="2305">IFERROR(VLOOKUP($R159,$A$13:$D$30,-DQ$12,FALSE),"")</f>
        <v>Tembaga</v>
      </c>
      <c r="DR159" s="368" t="str">
        <f t="shared" si="2305"/>
        <v>Bijih </v>
      </c>
      <c r="DS159" s="368" t="str">
        <f t="shared" si="2305"/>
        <v>Ton </v>
      </c>
      <c r="DT159" s="361"/>
      <c r="DU159" s="361" t="str">
        <f t="shared" si="2203"/>
        <v/>
      </c>
      <c r="DV159" s="361">
        <f t="shared" si="2204"/>
        <v>0</v>
      </c>
      <c r="DW159" s="369"/>
      <c r="DX159" s="361">
        <f t="shared" si="2205"/>
        <v>0</v>
      </c>
      <c r="DY159" s="410"/>
      <c r="DZ159" s="96"/>
      <c r="EA159" s="96"/>
      <c r="EB159" s="361">
        <f t="shared" si="2206"/>
        <v>0</v>
      </c>
      <c r="EC159" s="369">
        <f t="shared" si="2207"/>
        <v>0.4604471269</v>
      </c>
      <c r="ED159" s="370">
        <f t="shared" si="2208"/>
        <v>0</v>
      </c>
      <c r="EE159" s="371">
        <f t="shared" si="2209"/>
        <v>0</v>
      </c>
      <c r="EF159" s="364"/>
      <c r="EG159" s="366">
        <f t="shared" si="2306"/>
        <v>3</v>
      </c>
      <c r="EH159" s="367" t="str">
        <f t="shared" ref="EH159:EJ159" si="2307">IFERROR(VLOOKUP($R159,$A$13:$D$30,-EH$12,FALSE),"")</f>
        <v>Tembaga</v>
      </c>
      <c r="EI159" s="368" t="str">
        <f t="shared" si="2307"/>
        <v>Bijih </v>
      </c>
      <c r="EJ159" s="368" t="str">
        <f t="shared" si="2307"/>
        <v>Ton </v>
      </c>
      <c r="EK159" s="361"/>
      <c r="EL159" s="361" t="str">
        <f t="shared" si="2211"/>
        <v/>
      </c>
      <c r="EM159" s="361">
        <f t="shared" si="2212"/>
        <v>0</v>
      </c>
      <c r="EN159" s="369"/>
      <c r="EO159" s="361">
        <f t="shared" si="2213"/>
        <v>0</v>
      </c>
      <c r="EP159" s="410"/>
      <c r="EQ159" s="96"/>
      <c r="ER159" s="96"/>
      <c r="ES159" s="361">
        <f t="shared" si="2214"/>
        <v>0</v>
      </c>
      <c r="ET159" s="369">
        <f t="shared" si="2215"/>
        <v>0.4604471269</v>
      </c>
      <c r="EU159" s="370">
        <f t="shared" si="2216"/>
        <v>0</v>
      </c>
      <c r="EV159" s="371">
        <f t="shared" si="2217"/>
        <v>0</v>
      </c>
      <c r="EW159" s="364"/>
      <c r="EX159" s="366">
        <f t="shared" si="2308"/>
        <v>3</v>
      </c>
      <c r="EY159" s="367" t="str">
        <f t="shared" ref="EY159:FA159" si="2309">IFERROR(VLOOKUP($R159,$A$13:$D$30,-EY$12,FALSE),"")</f>
        <v>Tembaga</v>
      </c>
      <c r="EZ159" s="368" t="str">
        <f t="shared" si="2309"/>
        <v>Bijih </v>
      </c>
      <c r="FA159" s="368" t="str">
        <f t="shared" si="2309"/>
        <v>Ton </v>
      </c>
      <c r="FB159" s="361"/>
      <c r="FC159" s="361" t="str">
        <f t="shared" si="2219"/>
        <v/>
      </c>
      <c r="FD159" s="361">
        <f t="shared" si="2220"/>
        <v>0</v>
      </c>
      <c r="FE159" s="369"/>
      <c r="FF159" s="361">
        <f t="shared" si="2221"/>
        <v>0</v>
      </c>
      <c r="FG159" s="410"/>
      <c r="FH159" s="96"/>
      <c r="FI159" s="96"/>
      <c r="FJ159" s="361">
        <f t="shared" si="2222"/>
        <v>0</v>
      </c>
      <c r="FK159" s="369">
        <f t="shared" si="2223"/>
        <v>0.4604471269</v>
      </c>
      <c r="FL159" s="370">
        <f t="shared" si="2224"/>
        <v>0</v>
      </c>
      <c r="FM159" s="371">
        <f t="shared" si="2225"/>
        <v>0</v>
      </c>
      <c r="FN159" s="364"/>
      <c r="FO159" s="366">
        <f t="shared" si="2310"/>
        <v>3</v>
      </c>
      <c r="FP159" s="367" t="str">
        <f t="shared" ref="FP159:FR159" si="2311">IFERROR(VLOOKUP($R159,$A$13:$D$30,-FP$12,FALSE),"")</f>
        <v>Tembaga</v>
      </c>
      <c r="FQ159" s="368" t="str">
        <f t="shared" si="2311"/>
        <v>Bijih </v>
      </c>
      <c r="FR159" s="368" t="str">
        <f t="shared" si="2311"/>
        <v>Ton </v>
      </c>
      <c r="FS159" s="361"/>
      <c r="FT159" s="361" t="str">
        <f t="shared" si="2227"/>
        <v/>
      </c>
      <c r="FU159" s="361">
        <f t="shared" si="2228"/>
        <v>0</v>
      </c>
      <c r="FV159" s="369"/>
      <c r="FW159" s="361">
        <f t="shared" si="2229"/>
        <v>0</v>
      </c>
      <c r="FX159" s="410"/>
      <c r="FY159" s="96"/>
      <c r="FZ159" s="96"/>
      <c r="GA159" s="361">
        <f t="shared" si="2230"/>
        <v>0</v>
      </c>
      <c r="GB159" s="369">
        <f t="shared" si="2231"/>
        <v>0.4604471269</v>
      </c>
      <c r="GC159" s="370">
        <f t="shared" si="2232"/>
        <v>0</v>
      </c>
      <c r="GD159" s="371">
        <f t="shared" si="2233"/>
        <v>0</v>
      </c>
      <c r="GE159" s="364"/>
      <c r="GF159" s="366">
        <f t="shared" si="2312"/>
        <v>3</v>
      </c>
      <c r="GG159" s="367" t="str">
        <f t="shared" ref="GG159:GI159" si="2313">IFERROR(VLOOKUP($R159,$A$13:$D$30,-GG$12,FALSE),"")</f>
        <v>Tembaga</v>
      </c>
      <c r="GH159" s="368" t="str">
        <f t="shared" si="2313"/>
        <v>Bijih </v>
      </c>
      <c r="GI159" s="368" t="str">
        <f t="shared" si="2313"/>
        <v>Ton </v>
      </c>
      <c r="GJ159" s="361"/>
      <c r="GK159" s="361" t="str">
        <f t="shared" si="2235"/>
        <v/>
      </c>
      <c r="GL159" s="361">
        <f t="shared" si="2236"/>
        <v>0</v>
      </c>
      <c r="GM159" s="369"/>
      <c r="GN159" s="361">
        <f t="shared" si="2237"/>
        <v>0</v>
      </c>
      <c r="GO159" s="410"/>
      <c r="GP159" s="96"/>
      <c r="GQ159" s="96"/>
      <c r="GR159" s="361">
        <f t="shared" si="2238"/>
        <v>0</v>
      </c>
      <c r="GS159" s="369">
        <f t="shared" si="2239"/>
        <v>0.4604471269</v>
      </c>
      <c r="GT159" s="370">
        <f t="shared" si="2240"/>
        <v>0</v>
      </c>
      <c r="GU159" s="371">
        <f t="shared" si="2241"/>
        <v>0</v>
      </c>
      <c r="GV159" s="364"/>
      <c r="GW159" s="366">
        <f t="shared" si="2314"/>
        <v>3</v>
      </c>
      <c r="GX159" s="367" t="str">
        <f t="shared" ref="GX159:GZ159" si="2315">IFERROR(VLOOKUP($R159,$A$13:$D$30,-GX$12,FALSE),"")</f>
        <v>Tembaga</v>
      </c>
      <c r="GY159" s="368" t="str">
        <f t="shared" si="2315"/>
        <v>Bijih </v>
      </c>
      <c r="GZ159" s="368" t="str">
        <f t="shared" si="2315"/>
        <v>Ton </v>
      </c>
      <c r="HA159" s="361"/>
      <c r="HB159" s="361" t="str">
        <f t="shared" si="2243"/>
        <v/>
      </c>
      <c r="HC159" s="361">
        <f t="shared" si="2244"/>
        <v>0</v>
      </c>
      <c r="HD159" s="369"/>
      <c r="HE159" s="361">
        <f t="shared" si="2245"/>
        <v>0</v>
      </c>
      <c r="HF159" s="410"/>
      <c r="HG159" s="96"/>
      <c r="HH159" s="96"/>
      <c r="HI159" s="361">
        <f t="shared" si="2246"/>
        <v>0</v>
      </c>
      <c r="HJ159" s="369">
        <f t="shared" si="2247"/>
        <v>0.4604471269</v>
      </c>
      <c r="HK159" s="370">
        <f t="shared" si="2248"/>
        <v>0</v>
      </c>
      <c r="HL159" s="371">
        <f t="shared" si="2249"/>
        <v>0</v>
      </c>
      <c r="HM159" s="364"/>
      <c r="HN159" s="366">
        <f t="shared" si="2316"/>
        <v>3</v>
      </c>
      <c r="HO159" s="367" t="str">
        <f t="shared" ref="HO159:HQ159" si="2317">IFERROR(VLOOKUP($R159,$A$13:$D$30,-HO$12,FALSE),"")</f>
        <v>Tembaga</v>
      </c>
      <c r="HP159" s="368" t="str">
        <f t="shared" si="2317"/>
        <v>Bijih </v>
      </c>
      <c r="HQ159" s="368" t="str">
        <f t="shared" si="2317"/>
        <v>Ton </v>
      </c>
      <c r="HR159" s="361"/>
      <c r="HS159" s="361" t="str">
        <f t="shared" si="2251"/>
        <v/>
      </c>
      <c r="HT159" s="361">
        <f t="shared" si="2252"/>
        <v>0</v>
      </c>
      <c r="HU159" s="369"/>
      <c r="HV159" s="361">
        <f t="shared" si="2253"/>
        <v>0</v>
      </c>
      <c r="HW159" s="410"/>
      <c r="HX159" s="96"/>
      <c r="HY159" s="96"/>
      <c r="HZ159" s="361">
        <f t="shared" si="2254"/>
        <v>0</v>
      </c>
      <c r="IA159" s="369">
        <f t="shared" si="2255"/>
        <v>0.4604471269</v>
      </c>
      <c r="IB159" s="370">
        <f t="shared" si="2256"/>
        <v>0</v>
      </c>
      <c r="IC159" s="371">
        <f t="shared" si="2257"/>
        <v>0</v>
      </c>
      <c r="ID159" s="364"/>
      <c r="IE159" s="366">
        <f t="shared" si="2318"/>
        <v>3</v>
      </c>
      <c r="IF159" s="367" t="str">
        <f t="shared" ref="IF159:IH159" si="2319">IFERROR(VLOOKUP($R159,$A$13:$D$30,-IF$12,FALSE),"")</f>
        <v>Tembaga</v>
      </c>
      <c r="IG159" s="368" t="str">
        <f t="shared" si="2319"/>
        <v>Bijih </v>
      </c>
      <c r="IH159" s="368" t="str">
        <f t="shared" si="2319"/>
        <v>Ton </v>
      </c>
      <c r="II159" s="361"/>
      <c r="IJ159" s="361" t="str">
        <f t="shared" si="2259"/>
        <v/>
      </c>
      <c r="IK159" s="361">
        <f t="shared" si="2260"/>
        <v>0</v>
      </c>
      <c r="IL159" s="369"/>
      <c r="IM159" s="361">
        <f t="shared" si="2261"/>
        <v>0</v>
      </c>
      <c r="IN159" s="410"/>
      <c r="IO159" s="96"/>
      <c r="IP159" s="96"/>
      <c r="IQ159" s="361">
        <f t="shared" si="2262"/>
        <v>0</v>
      </c>
      <c r="IR159" s="369">
        <f t="shared" si="2263"/>
        <v>0.4604471269</v>
      </c>
      <c r="IS159" s="370">
        <f t="shared" si="2264"/>
        <v>0</v>
      </c>
      <c r="IT159" s="371">
        <f t="shared" si="2265"/>
        <v>0</v>
      </c>
      <c r="IU159" s="364"/>
      <c r="IV159" s="366">
        <f t="shared" si="2320"/>
        <v>3</v>
      </c>
      <c r="IW159" s="367" t="str">
        <f t="shared" ref="IW159:IY159" si="2321">IFERROR(VLOOKUP($R159,$A$13:$D$30,-IW$12,FALSE),"")</f>
        <v>Tembaga</v>
      </c>
      <c r="IX159" s="368" t="str">
        <f t="shared" si="2321"/>
        <v>Bijih </v>
      </c>
      <c r="IY159" s="368" t="str">
        <f t="shared" si="2321"/>
        <v>Ton </v>
      </c>
      <c r="IZ159" s="361"/>
      <c r="JA159" s="361" t="str">
        <f t="shared" si="2267"/>
        <v/>
      </c>
      <c r="JB159" s="361">
        <f t="shared" si="2268"/>
        <v>0</v>
      </c>
      <c r="JC159" s="369"/>
      <c r="JD159" s="361">
        <f t="shared" si="2269"/>
        <v>0</v>
      </c>
      <c r="JE159" s="410"/>
      <c r="JF159" s="96"/>
      <c r="JG159" s="96"/>
      <c r="JH159" s="361">
        <f t="shared" si="2270"/>
        <v>0</v>
      </c>
      <c r="JI159" s="369">
        <f t="shared" si="2271"/>
        <v>0.4604471269</v>
      </c>
      <c r="JJ159" s="370">
        <f t="shared" si="2272"/>
        <v>0</v>
      </c>
      <c r="JK159" s="371">
        <f t="shared" si="2273"/>
        <v>0</v>
      </c>
      <c r="JL159" s="364"/>
      <c r="JM159" s="366">
        <f t="shared" si="2322"/>
        <v>3</v>
      </c>
      <c r="JN159" s="367" t="str">
        <f t="shared" ref="JN159:JP159" si="2323">IFERROR(VLOOKUP($R159,$A$13:$D$30,-JN$12,FALSE),"")</f>
        <v>Tembaga</v>
      </c>
      <c r="JO159" s="368" t="str">
        <f t="shared" si="2323"/>
        <v>Bijih </v>
      </c>
      <c r="JP159" s="368" t="str">
        <f t="shared" si="2323"/>
        <v>Ton </v>
      </c>
      <c r="JQ159" s="361"/>
      <c r="JR159" s="361" t="str">
        <f t="shared" si="2275"/>
        <v/>
      </c>
      <c r="JS159" s="361">
        <f t="shared" si="2276"/>
        <v>0</v>
      </c>
      <c r="JT159" s="369"/>
      <c r="JU159" s="361">
        <f t="shared" si="2277"/>
        <v>0</v>
      </c>
      <c r="JV159" s="410"/>
      <c r="JW159" s="96"/>
      <c r="JX159" s="96"/>
      <c r="JY159" s="361">
        <f t="shared" si="2278"/>
        <v>0</v>
      </c>
      <c r="JZ159" s="369">
        <f t="shared" si="2279"/>
        <v>0.4604471269</v>
      </c>
      <c r="KA159" s="370">
        <f t="shared" si="2280"/>
        <v>0</v>
      </c>
      <c r="KB159" s="371">
        <f t="shared" si="2281"/>
        <v>0</v>
      </c>
      <c r="KC159" s="364"/>
      <c r="KD159" s="366">
        <f t="shared" si="2324"/>
        <v>3</v>
      </c>
      <c r="KE159" s="367" t="str">
        <f t="shared" ref="KE159:KG159" si="2325">IFERROR(VLOOKUP($R159,$A$13:$D$30,-KE$12,FALSE),"")</f>
        <v>Tembaga</v>
      </c>
      <c r="KF159" s="368" t="str">
        <f t="shared" si="2325"/>
        <v>Bijih </v>
      </c>
      <c r="KG159" s="368" t="str">
        <f t="shared" si="2325"/>
        <v>Ton </v>
      </c>
      <c r="KH159" s="361"/>
      <c r="KI159" s="361" t="str">
        <f t="shared" si="2283"/>
        <v/>
      </c>
      <c r="KJ159" s="361">
        <f t="shared" si="2284"/>
        <v>0</v>
      </c>
      <c r="KK159" s="369"/>
      <c r="KL159" s="361">
        <f t="shared" si="2285"/>
        <v>0</v>
      </c>
      <c r="KM159" s="410"/>
      <c r="KN159" s="96"/>
      <c r="KO159" s="96"/>
      <c r="KP159" s="361">
        <f t="shared" si="2286"/>
        <v>0</v>
      </c>
      <c r="KQ159" s="369">
        <f t="shared" si="2287"/>
        <v>0.4604471269</v>
      </c>
      <c r="KR159" s="370">
        <f t="shared" si="2288"/>
        <v>0</v>
      </c>
      <c r="KS159" s="371">
        <f t="shared" si="2289"/>
        <v>0</v>
      </c>
      <c r="KT159" s="364"/>
      <c r="KU159" s="365"/>
    </row>
    <row r="160" ht="15.75" customHeight="1">
      <c r="A160" s="366">
        <f t="shared" si="2290"/>
        <v>4</v>
      </c>
      <c r="B160" s="367" t="str">
        <f t="shared" ref="B160:D160" si="2326">IFERROR(VLOOKUP($A160,$A$13:$D$30,-B$12,FALSE),"")</f>
        <v>Bauksit </v>
      </c>
      <c r="C160" s="368" t="str">
        <f t="shared" si="2326"/>
        <v>Bijih </v>
      </c>
      <c r="D160" s="368" t="str">
        <f t="shared" si="2326"/>
        <v>Ton </v>
      </c>
      <c r="E160" s="361"/>
      <c r="F160" s="361" t="str">
        <f t="shared" si="2147"/>
        <v/>
      </c>
      <c r="G160" s="361">
        <f t="shared" si="2148"/>
        <v>0</v>
      </c>
      <c r="H160" s="369"/>
      <c r="I160" s="361">
        <f t="shared" si="2149"/>
        <v>0</v>
      </c>
      <c r="J160" s="410"/>
      <c r="K160" s="96"/>
      <c r="L160" s="96"/>
      <c r="M160" s="361">
        <f t="shared" si="2150"/>
        <v>0</v>
      </c>
      <c r="N160" s="369">
        <f t="shared" si="2151"/>
        <v>0.4604471269</v>
      </c>
      <c r="O160" s="370">
        <f t="shared" si="2152"/>
        <v>0</v>
      </c>
      <c r="P160" s="371">
        <f t="shared" si="2153"/>
        <v>0</v>
      </c>
      <c r="Q160" s="364"/>
      <c r="R160" s="366">
        <f t="shared" si="2292"/>
        <v>4</v>
      </c>
      <c r="S160" s="367" t="str">
        <f t="shared" ref="S160:U160" si="2327">IFERROR(VLOOKUP($R160,$A$13:$D$30,-S$12,FALSE),"")</f>
        <v>Bauksit </v>
      </c>
      <c r="T160" s="368" t="str">
        <f t="shared" si="2327"/>
        <v>Bijih </v>
      </c>
      <c r="U160" s="368" t="str">
        <f t="shared" si="2327"/>
        <v>Ton </v>
      </c>
      <c r="V160" s="361"/>
      <c r="W160" s="361" t="str">
        <f t="shared" si="2155"/>
        <v/>
      </c>
      <c r="X160" s="361">
        <f t="shared" si="2156"/>
        <v>0</v>
      </c>
      <c r="Y160" s="369"/>
      <c r="Z160" s="361">
        <f t="shared" si="2157"/>
        <v>0</v>
      </c>
      <c r="AA160" s="410"/>
      <c r="AB160" s="96"/>
      <c r="AC160" s="96"/>
      <c r="AD160" s="361">
        <f t="shared" si="2158"/>
        <v>0</v>
      </c>
      <c r="AE160" s="369">
        <f t="shared" si="2159"/>
        <v>0.4604471269</v>
      </c>
      <c r="AF160" s="370">
        <f t="shared" si="2160"/>
        <v>0</v>
      </c>
      <c r="AG160" s="371">
        <f t="shared" si="2161"/>
        <v>0</v>
      </c>
      <c r="AH160" s="364"/>
      <c r="AI160" s="366">
        <f t="shared" si="2294"/>
        <v>4</v>
      </c>
      <c r="AJ160" s="367" t="str">
        <f t="shared" ref="AJ160:AL160" si="2328">IFERROR(VLOOKUP($R160,$A$13:$D$30,-AJ$12,FALSE),"")</f>
        <v>Bauksit </v>
      </c>
      <c r="AK160" s="368" t="str">
        <f t="shared" si="2328"/>
        <v>Bijih </v>
      </c>
      <c r="AL160" s="368" t="str">
        <f t="shared" si="2328"/>
        <v>Ton </v>
      </c>
      <c r="AM160" s="361"/>
      <c r="AN160" s="361" t="str">
        <f t="shared" si="2163"/>
        <v/>
      </c>
      <c r="AO160" s="361">
        <f t="shared" si="2164"/>
        <v>0</v>
      </c>
      <c r="AP160" s="369"/>
      <c r="AQ160" s="361">
        <f t="shared" si="2165"/>
        <v>0</v>
      </c>
      <c r="AR160" s="410"/>
      <c r="AS160" s="96"/>
      <c r="AT160" s="96"/>
      <c r="AU160" s="361">
        <f t="shared" si="2166"/>
        <v>0</v>
      </c>
      <c r="AV160" s="369">
        <f t="shared" si="2167"/>
        <v>0.4604471269</v>
      </c>
      <c r="AW160" s="370">
        <f t="shared" si="2168"/>
        <v>0</v>
      </c>
      <c r="AX160" s="371">
        <f t="shared" si="2169"/>
        <v>0</v>
      </c>
      <c r="AY160" s="364"/>
      <c r="AZ160" s="366">
        <f t="shared" si="2296"/>
        <v>4</v>
      </c>
      <c r="BA160" s="367" t="str">
        <f t="shared" ref="BA160:BC160" si="2329">IFERROR(VLOOKUP($R160,$A$13:$D$30,-BA$12,FALSE),"")</f>
        <v>Bauksit </v>
      </c>
      <c r="BB160" s="368" t="str">
        <f t="shared" si="2329"/>
        <v>Bijih </v>
      </c>
      <c r="BC160" s="368" t="str">
        <f t="shared" si="2329"/>
        <v>Ton </v>
      </c>
      <c r="BD160" s="361"/>
      <c r="BE160" s="361" t="str">
        <f t="shared" si="2171"/>
        <v/>
      </c>
      <c r="BF160" s="361">
        <f t="shared" si="2172"/>
        <v>0</v>
      </c>
      <c r="BG160" s="369"/>
      <c r="BH160" s="361">
        <f t="shared" si="2173"/>
        <v>0</v>
      </c>
      <c r="BI160" s="410"/>
      <c r="BJ160" s="96"/>
      <c r="BK160" s="96"/>
      <c r="BL160" s="361">
        <f t="shared" si="2174"/>
        <v>0</v>
      </c>
      <c r="BM160" s="369">
        <f t="shared" si="2175"/>
        <v>0.4604471269</v>
      </c>
      <c r="BN160" s="370">
        <f t="shared" si="2176"/>
        <v>0</v>
      </c>
      <c r="BO160" s="371">
        <f t="shared" si="2177"/>
        <v>0</v>
      </c>
      <c r="BP160" s="364"/>
      <c r="BQ160" s="366">
        <f t="shared" si="2298"/>
        <v>4</v>
      </c>
      <c r="BR160" s="367" t="str">
        <f t="shared" ref="BR160:BT160" si="2330">IFERROR(VLOOKUP($R160,$A$13:$D$30,-BR$12,FALSE),"")</f>
        <v>Bauksit </v>
      </c>
      <c r="BS160" s="368" t="str">
        <f t="shared" si="2330"/>
        <v>Bijih </v>
      </c>
      <c r="BT160" s="368" t="str">
        <f t="shared" si="2330"/>
        <v>Ton </v>
      </c>
      <c r="BU160" s="361"/>
      <c r="BV160" s="361" t="str">
        <f t="shared" si="2179"/>
        <v/>
      </c>
      <c r="BW160" s="361">
        <f t="shared" si="2180"/>
        <v>0</v>
      </c>
      <c r="BX160" s="369"/>
      <c r="BY160" s="361">
        <f t="shared" si="2181"/>
        <v>0</v>
      </c>
      <c r="BZ160" s="410"/>
      <c r="CA160" s="96"/>
      <c r="CB160" s="96"/>
      <c r="CC160" s="361">
        <f t="shared" si="2182"/>
        <v>0</v>
      </c>
      <c r="CD160" s="369">
        <f t="shared" si="2183"/>
        <v>0.4604471269</v>
      </c>
      <c r="CE160" s="370">
        <f t="shared" si="2184"/>
        <v>0</v>
      </c>
      <c r="CF160" s="371">
        <f t="shared" si="2185"/>
        <v>0</v>
      </c>
      <c r="CG160" s="364"/>
      <c r="CH160" s="366">
        <f t="shared" si="2300"/>
        <v>4</v>
      </c>
      <c r="CI160" s="367" t="str">
        <f t="shared" ref="CI160:CK160" si="2331">IFERROR(VLOOKUP($R160,$A$13:$D$30,-CI$12,FALSE),"")</f>
        <v>Bauksit </v>
      </c>
      <c r="CJ160" s="368" t="str">
        <f t="shared" si="2331"/>
        <v>Bijih </v>
      </c>
      <c r="CK160" s="368" t="str">
        <f t="shared" si="2331"/>
        <v>Ton </v>
      </c>
      <c r="CL160" s="361"/>
      <c r="CM160" s="361" t="str">
        <f t="shared" si="2187"/>
        <v/>
      </c>
      <c r="CN160" s="361">
        <f t="shared" si="2188"/>
        <v>0</v>
      </c>
      <c r="CO160" s="369"/>
      <c r="CP160" s="361">
        <f t="shared" si="2189"/>
        <v>0</v>
      </c>
      <c r="CQ160" s="410"/>
      <c r="CR160" s="96"/>
      <c r="CS160" s="96"/>
      <c r="CT160" s="361">
        <f t="shared" si="2190"/>
        <v>0</v>
      </c>
      <c r="CU160" s="369">
        <f t="shared" si="2191"/>
        <v>0.4604471269</v>
      </c>
      <c r="CV160" s="370">
        <f t="shared" si="2192"/>
        <v>0</v>
      </c>
      <c r="CW160" s="371">
        <f t="shared" si="2193"/>
        <v>0</v>
      </c>
      <c r="CX160" s="364"/>
      <c r="CY160" s="366">
        <f t="shared" si="2302"/>
        <v>4</v>
      </c>
      <c r="CZ160" s="367" t="str">
        <f t="shared" ref="CZ160:DB160" si="2332">IFERROR(VLOOKUP($R160,$A$13:$D$30,-CZ$12,FALSE),"")</f>
        <v>Bauksit </v>
      </c>
      <c r="DA160" s="368" t="str">
        <f t="shared" si="2332"/>
        <v>Bijih </v>
      </c>
      <c r="DB160" s="368" t="str">
        <f t="shared" si="2332"/>
        <v>Ton </v>
      </c>
      <c r="DC160" s="361"/>
      <c r="DD160" s="361" t="str">
        <f t="shared" si="2195"/>
        <v/>
      </c>
      <c r="DE160" s="361">
        <f t="shared" si="2196"/>
        <v>0</v>
      </c>
      <c r="DF160" s="369"/>
      <c r="DG160" s="361">
        <f t="shared" si="2197"/>
        <v>0</v>
      </c>
      <c r="DH160" s="410"/>
      <c r="DI160" s="96"/>
      <c r="DJ160" s="96"/>
      <c r="DK160" s="361">
        <f t="shared" si="2198"/>
        <v>0</v>
      </c>
      <c r="DL160" s="369">
        <f t="shared" si="2199"/>
        <v>0.4604471269</v>
      </c>
      <c r="DM160" s="370">
        <f t="shared" si="2200"/>
        <v>0</v>
      </c>
      <c r="DN160" s="371">
        <f t="shared" si="2201"/>
        <v>0</v>
      </c>
      <c r="DO160" s="364"/>
      <c r="DP160" s="366">
        <f t="shared" si="2304"/>
        <v>4</v>
      </c>
      <c r="DQ160" s="367" t="str">
        <f t="shared" ref="DQ160:DS160" si="2333">IFERROR(VLOOKUP($R160,$A$13:$D$30,-DQ$12,FALSE),"")</f>
        <v>Bauksit </v>
      </c>
      <c r="DR160" s="368" t="str">
        <f t="shared" si="2333"/>
        <v>Bijih </v>
      </c>
      <c r="DS160" s="368" t="str">
        <f t="shared" si="2333"/>
        <v>Ton </v>
      </c>
      <c r="DT160" s="361"/>
      <c r="DU160" s="361" t="str">
        <f t="shared" si="2203"/>
        <v/>
      </c>
      <c r="DV160" s="361">
        <f t="shared" si="2204"/>
        <v>0</v>
      </c>
      <c r="DW160" s="369"/>
      <c r="DX160" s="361">
        <f t="shared" si="2205"/>
        <v>0</v>
      </c>
      <c r="DY160" s="410"/>
      <c r="DZ160" s="96"/>
      <c r="EA160" s="96"/>
      <c r="EB160" s="361">
        <f t="shared" si="2206"/>
        <v>0</v>
      </c>
      <c r="EC160" s="369">
        <f t="shared" si="2207"/>
        <v>0.4604471269</v>
      </c>
      <c r="ED160" s="370">
        <f t="shared" si="2208"/>
        <v>0</v>
      </c>
      <c r="EE160" s="371">
        <f t="shared" si="2209"/>
        <v>0</v>
      </c>
      <c r="EF160" s="364"/>
      <c r="EG160" s="366">
        <f t="shared" si="2306"/>
        <v>4</v>
      </c>
      <c r="EH160" s="367" t="str">
        <f t="shared" ref="EH160:EJ160" si="2334">IFERROR(VLOOKUP($R160,$A$13:$D$30,-EH$12,FALSE),"")</f>
        <v>Bauksit </v>
      </c>
      <c r="EI160" s="368" t="str">
        <f t="shared" si="2334"/>
        <v>Bijih </v>
      </c>
      <c r="EJ160" s="368" t="str">
        <f t="shared" si="2334"/>
        <v>Ton </v>
      </c>
      <c r="EK160" s="361"/>
      <c r="EL160" s="361" t="str">
        <f t="shared" si="2211"/>
        <v/>
      </c>
      <c r="EM160" s="361">
        <f t="shared" si="2212"/>
        <v>0</v>
      </c>
      <c r="EN160" s="369"/>
      <c r="EO160" s="361">
        <f t="shared" si="2213"/>
        <v>0</v>
      </c>
      <c r="EP160" s="410"/>
      <c r="EQ160" s="96"/>
      <c r="ER160" s="96"/>
      <c r="ES160" s="361">
        <f t="shared" si="2214"/>
        <v>0</v>
      </c>
      <c r="ET160" s="369">
        <f t="shared" si="2215"/>
        <v>0.4604471269</v>
      </c>
      <c r="EU160" s="370">
        <f t="shared" si="2216"/>
        <v>0</v>
      </c>
      <c r="EV160" s="371">
        <f t="shared" si="2217"/>
        <v>0</v>
      </c>
      <c r="EW160" s="364"/>
      <c r="EX160" s="366">
        <f t="shared" si="2308"/>
        <v>4</v>
      </c>
      <c r="EY160" s="367" t="str">
        <f t="shared" ref="EY160:FA160" si="2335">IFERROR(VLOOKUP($R160,$A$13:$D$30,-EY$12,FALSE),"")</f>
        <v>Bauksit </v>
      </c>
      <c r="EZ160" s="368" t="str">
        <f t="shared" si="2335"/>
        <v>Bijih </v>
      </c>
      <c r="FA160" s="368" t="str">
        <f t="shared" si="2335"/>
        <v>Ton </v>
      </c>
      <c r="FB160" s="361"/>
      <c r="FC160" s="361" t="str">
        <f t="shared" si="2219"/>
        <v/>
      </c>
      <c r="FD160" s="361">
        <f t="shared" si="2220"/>
        <v>0</v>
      </c>
      <c r="FE160" s="369"/>
      <c r="FF160" s="361">
        <f t="shared" si="2221"/>
        <v>0</v>
      </c>
      <c r="FG160" s="410"/>
      <c r="FH160" s="96"/>
      <c r="FI160" s="96"/>
      <c r="FJ160" s="361">
        <f t="shared" si="2222"/>
        <v>0</v>
      </c>
      <c r="FK160" s="369">
        <f t="shared" si="2223"/>
        <v>0.4604471269</v>
      </c>
      <c r="FL160" s="370">
        <f t="shared" si="2224"/>
        <v>0</v>
      </c>
      <c r="FM160" s="371">
        <f t="shared" si="2225"/>
        <v>0</v>
      </c>
      <c r="FN160" s="364"/>
      <c r="FO160" s="366">
        <f t="shared" si="2310"/>
        <v>4</v>
      </c>
      <c r="FP160" s="367" t="str">
        <f t="shared" ref="FP160:FR160" si="2336">IFERROR(VLOOKUP($R160,$A$13:$D$30,-FP$12,FALSE),"")</f>
        <v>Bauksit </v>
      </c>
      <c r="FQ160" s="368" t="str">
        <f t="shared" si="2336"/>
        <v>Bijih </v>
      </c>
      <c r="FR160" s="368" t="str">
        <f t="shared" si="2336"/>
        <v>Ton </v>
      </c>
      <c r="FS160" s="361"/>
      <c r="FT160" s="361" t="str">
        <f t="shared" si="2227"/>
        <v/>
      </c>
      <c r="FU160" s="361">
        <f t="shared" si="2228"/>
        <v>0</v>
      </c>
      <c r="FV160" s="369"/>
      <c r="FW160" s="361">
        <f t="shared" si="2229"/>
        <v>0</v>
      </c>
      <c r="FX160" s="410"/>
      <c r="FY160" s="96"/>
      <c r="FZ160" s="96"/>
      <c r="GA160" s="361">
        <f t="shared" si="2230"/>
        <v>0</v>
      </c>
      <c r="GB160" s="369">
        <f t="shared" si="2231"/>
        <v>0.4604471269</v>
      </c>
      <c r="GC160" s="370">
        <f t="shared" si="2232"/>
        <v>0</v>
      </c>
      <c r="GD160" s="371">
        <f t="shared" si="2233"/>
        <v>0</v>
      </c>
      <c r="GE160" s="364"/>
      <c r="GF160" s="366">
        <f t="shared" si="2312"/>
        <v>4</v>
      </c>
      <c r="GG160" s="367" t="str">
        <f t="shared" ref="GG160:GI160" si="2337">IFERROR(VLOOKUP($R160,$A$13:$D$30,-GG$12,FALSE),"")</f>
        <v>Bauksit </v>
      </c>
      <c r="GH160" s="368" t="str">
        <f t="shared" si="2337"/>
        <v>Bijih </v>
      </c>
      <c r="GI160" s="368" t="str">
        <f t="shared" si="2337"/>
        <v>Ton </v>
      </c>
      <c r="GJ160" s="361"/>
      <c r="GK160" s="361" t="str">
        <f t="shared" si="2235"/>
        <v/>
      </c>
      <c r="GL160" s="361">
        <f t="shared" si="2236"/>
        <v>0</v>
      </c>
      <c r="GM160" s="369"/>
      <c r="GN160" s="361">
        <f t="shared" si="2237"/>
        <v>0</v>
      </c>
      <c r="GO160" s="410"/>
      <c r="GP160" s="96"/>
      <c r="GQ160" s="96"/>
      <c r="GR160" s="361">
        <f t="shared" si="2238"/>
        <v>0</v>
      </c>
      <c r="GS160" s="369">
        <f t="shared" si="2239"/>
        <v>0.4604471269</v>
      </c>
      <c r="GT160" s="370">
        <f t="shared" si="2240"/>
        <v>0</v>
      </c>
      <c r="GU160" s="371">
        <f t="shared" si="2241"/>
        <v>0</v>
      </c>
      <c r="GV160" s="364"/>
      <c r="GW160" s="366">
        <f t="shared" si="2314"/>
        <v>4</v>
      </c>
      <c r="GX160" s="367" t="str">
        <f t="shared" ref="GX160:GZ160" si="2338">IFERROR(VLOOKUP($R160,$A$13:$D$30,-GX$12,FALSE),"")</f>
        <v>Bauksit </v>
      </c>
      <c r="GY160" s="368" t="str">
        <f t="shared" si="2338"/>
        <v>Bijih </v>
      </c>
      <c r="GZ160" s="368" t="str">
        <f t="shared" si="2338"/>
        <v>Ton </v>
      </c>
      <c r="HA160" s="361"/>
      <c r="HB160" s="361" t="str">
        <f t="shared" si="2243"/>
        <v/>
      </c>
      <c r="HC160" s="361">
        <f t="shared" si="2244"/>
        <v>0</v>
      </c>
      <c r="HD160" s="369"/>
      <c r="HE160" s="361">
        <f t="shared" si="2245"/>
        <v>0</v>
      </c>
      <c r="HF160" s="410"/>
      <c r="HG160" s="96"/>
      <c r="HH160" s="96"/>
      <c r="HI160" s="361">
        <f t="shared" si="2246"/>
        <v>0</v>
      </c>
      <c r="HJ160" s="369">
        <f t="shared" si="2247"/>
        <v>0.4604471269</v>
      </c>
      <c r="HK160" s="370">
        <f t="shared" si="2248"/>
        <v>0</v>
      </c>
      <c r="HL160" s="371">
        <f t="shared" si="2249"/>
        <v>0</v>
      </c>
      <c r="HM160" s="364"/>
      <c r="HN160" s="366">
        <f t="shared" si="2316"/>
        <v>4</v>
      </c>
      <c r="HO160" s="367" t="str">
        <f t="shared" ref="HO160:HQ160" si="2339">IFERROR(VLOOKUP($R160,$A$13:$D$30,-HO$12,FALSE),"")</f>
        <v>Bauksit </v>
      </c>
      <c r="HP160" s="368" t="str">
        <f t="shared" si="2339"/>
        <v>Bijih </v>
      </c>
      <c r="HQ160" s="368" t="str">
        <f t="shared" si="2339"/>
        <v>Ton </v>
      </c>
      <c r="HR160" s="361"/>
      <c r="HS160" s="361" t="str">
        <f t="shared" si="2251"/>
        <v/>
      </c>
      <c r="HT160" s="361">
        <f t="shared" si="2252"/>
        <v>0</v>
      </c>
      <c r="HU160" s="369"/>
      <c r="HV160" s="361">
        <f t="shared" si="2253"/>
        <v>0</v>
      </c>
      <c r="HW160" s="410"/>
      <c r="HX160" s="96"/>
      <c r="HY160" s="96"/>
      <c r="HZ160" s="361">
        <f t="shared" si="2254"/>
        <v>0</v>
      </c>
      <c r="IA160" s="369">
        <f t="shared" si="2255"/>
        <v>0.4604471269</v>
      </c>
      <c r="IB160" s="370">
        <f t="shared" si="2256"/>
        <v>0</v>
      </c>
      <c r="IC160" s="371">
        <f t="shared" si="2257"/>
        <v>0</v>
      </c>
      <c r="ID160" s="364"/>
      <c r="IE160" s="366">
        <f t="shared" si="2318"/>
        <v>4</v>
      </c>
      <c r="IF160" s="367" t="str">
        <f t="shared" ref="IF160:IH160" si="2340">IFERROR(VLOOKUP($R160,$A$13:$D$30,-IF$12,FALSE),"")</f>
        <v>Bauksit </v>
      </c>
      <c r="IG160" s="368" t="str">
        <f t="shared" si="2340"/>
        <v>Bijih </v>
      </c>
      <c r="IH160" s="368" t="str">
        <f t="shared" si="2340"/>
        <v>Ton </v>
      </c>
      <c r="II160" s="361"/>
      <c r="IJ160" s="361" t="str">
        <f t="shared" si="2259"/>
        <v/>
      </c>
      <c r="IK160" s="361">
        <f t="shared" si="2260"/>
        <v>0</v>
      </c>
      <c r="IL160" s="369"/>
      <c r="IM160" s="361">
        <f t="shared" si="2261"/>
        <v>0</v>
      </c>
      <c r="IN160" s="410"/>
      <c r="IO160" s="96"/>
      <c r="IP160" s="96"/>
      <c r="IQ160" s="361">
        <f t="shared" si="2262"/>
        <v>0</v>
      </c>
      <c r="IR160" s="369">
        <f t="shared" si="2263"/>
        <v>0.4604471269</v>
      </c>
      <c r="IS160" s="370">
        <f t="shared" si="2264"/>
        <v>0</v>
      </c>
      <c r="IT160" s="371">
        <f t="shared" si="2265"/>
        <v>0</v>
      </c>
      <c r="IU160" s="364"/>
      <c r="IV160" s="366">
        <f t="shared" si="2320"/>
        <v>4</v>
      </c>
      <c r="IW160" s="367" t="str">
        <f t="shared" ref="IW160:IY160" si="2341">IFERROR(VLOOKUP($R160,$A$13:$D$30,-IW$12,FALSE),"")</f>
        <v>Bauksit </v>
      </c>
      <c r="IX160" s="368" t="str">
        <f t="shared" si="2341"/>
        <v>Bijih </v>
      </c>
      <c r="IY160" s="368" t="str">
        <f t="shared" si="2341"/>
        <v>Ton </v>
      </c>
      <c r="IZ160" s="361"/>
      <c r="JA160" s="361" t="str">
        <f t="shared" si="2267"/>
        <v/>
      </c>
      <c r="JB160" s="361">
        <f t="shared" si="2268"/>
        <v>0</v>
      </c>
      <c r="JC160" s="369"/>
      <c r="JD160" s="361">
        <f t="shared" si="2269"/>
        <v>0</v>
      </c>
      <c r="JE160" s="410"/>
      <c r="JF160" s="96"/>
      <c r="JG160" s="96"/>
      <c r="JH160" s="361">
        <f t="shared" si="2270"/>
        <v>0</v>
      </c>
      <c r="JI160" s="369">
        <f t="shared" si="2271"/>
        <v>0.4604471269</v>
      </c>
      <c r="JJ160" s="370">
        <f t="shared" si="2272"/>
        <v>0</v>
      </c>
      <c r="JK160" s="371">
        <f t="shared" si="2273"/>
        <v>0</v>
      </c>
      <c r="JL160" s="364"/>
      <c r="JM160" s="366">
        <f t="shared" si="2322"/>
        <v>4</v>
      </c>
      <c r="JN160" s="367" t="str">
        <f t="shared" ref="JN160:JP160" si="2342">IFERROR(VLOOKUP($R160,$A$13:$D$30,-JN$12,FALSE),"")</f>
        <v>Bauksit </v>
      </c>
      <c r="JO160" s="368" t="str">
        <f t="shared" si="2342"/>
        <v>Bijih </v>
      </c>
      <c r="JP160" s="368" t="str">
        <f t="shared" si="2342"/>
        <v>Ton </v>
      </c>
      <c r="JQ160" s="361"/>
      <c r="JR160" s="361" t="str">
        <f t="shared" si="2275"/>
        <v/>
      </c>
      <c r="JS160" s="361">
        <f t="shared" si="2276"/>
        <v>0</v>
      </c>
      <c r="JT160" s="369"/>
      <c r="JU160" s="361">
        <f t="shared" si="2277"/>
        <v>0</v>
      </c>
      <c r="JV160" s="410"/>
      <c r="JW160" s="96"/>
      <c r="JX160" s="96"/>
      <c r="JY160" s="361">
        <f t="shared" si="2278"/>
        <v>0</v>
      </c>
      <c r="JZ160" s="369">
        <f t="shared" si="2279"/>
        <v>0.4604471269</v>
      </c>
      <c r="KA160" s="370">
        <f t="shared" si="2280"/>
        <v>0</v>
      </c>
      <c r="KB160" s="371">
        <f t="shared" si="2281"/>
        <v>0</v>
      </c>
      <c r="KC160" s="364"/>
      <c r="KD160" s="366">
        <f t="shared" si="2324"/>
        <v>4</v>
      </c>
      <c r="KE160" s="367" t="str">
        <f t="shared" ref="KE160:KG160" si="2343">IFERROR(VLOOKUP($R160,$A$13:$D$30,-KE$12,FALSE),"")</f>
        <v>Bauksit </v>
      </c>
      <c r="KF160" s="368" t="str">
        <f t="shared" si="2343"/>
        <v>Bijih </v>
      </c>
      <c r="KG160" s="368" t="str">
        <f t="shared" si="2343"/>
        <v>Ton </v>
      </c>
      <c r="KH160" s="361"/>
      <c r="KI160" s="361" t="str">
        <f t="shared" si="2283"/>
        <v/>
      </c>
      <c r="KJ160" s="361">
        <f t="shared" si="2284"/>
        <v>0</v>
      </c>
      <c r="KK160" s="369"/>
      <c r="KL160" s="361">
        <f t="shared" si="2285"/>
        <v>0</v>
      </c>
      <c r="KM160" s="410"/>
      <c r="KN160" s="96"/>
      <c r="KO160" s="96"/>
      <c r="KP160" s="361">
        <f t="shared" si="2286"/>
        <v>0</v>
      </c>
      <c r="KQ160" s="369">
        <f t="shared" si="2287"/>
        <v>0.4604471269</v>
      </c>
      <c r="KR160" s="370">
        <f t="shared" si="2288"/>
        <v>0</v>
      </c>
      <c r="KS160" s="371">
        <f t="shared" si="2289"/>
        <v>0</v>
      </c>
      <c r="KT160" s="364"/>
      <c r="KU160" s="365"/>
    </row>
    <row r="161" ht="15.75" customHeight="1">
      <c r="A161" s="366">
        <f t="shared" si="2290"/>
        <v>5</v>
      </c>
      <c r="B161" s="367" t="str">
        <f t="shared" ref="B161:D161" si="2344">IFERROR(VLOOKUP($A161,$A$13:$D$30,-B$12,FALSE),"")</f>
        <v>Bijih Nikel </v>
      </c>
      <c r="C161" s="368" t="str">
        <f t="shared" si="2344"/>
        <v>Bijih </v>
      </c>
      <c r="D161" s="368" t="str">
        <f t="shared" si="2344"/>
        <v>WMT</v>
      </c>
      <c r="E161" s="361"/>
      <c r="F161" s="361" t="str">
        <f t="shared" si="2147"/>
        <v/>
      </c>
      <c r="G161" s="361">
        <f t="shared" si="2148"/>
        <v>0</v>
      </c>
      <c r="H161" s="369"/>
      <c r="I161" s="361">
        <f t="shared" si="2149"/>
        <v>0</v>
      </c>
      <c r="J161" s="410"/>
      <c r="K161" s="96"/>
      <c r="L161" s="96"/>
      <c r="M161" s="361">
        <f t="shared" si="2150"/>
        <v>0</v>
      </c>
      <c r="N161" s="369">
        <f t="shared" si="2151"/>
        <v>0.4604471269</v>
      </c>
      <c r="O161" s="370">
        <f t="shared" si="2152"/>
        <v>0</v>
      </c>
      <c r="P161" s="371">
        <f t="shared" si="2153"/>
        <v>0</v>
      </c>
      <c r="Q161" s="364"/>
      <c r="R161" s="366">
        <f t="shared" si="2292"/>
        <v>5</v>
      </c>
      <c r="S161" s="367" t="str">
        <f t="shared" ref="S161:U161" si="2345">IFERROR(VLOOKUP($R161,$A$13:$D$30,-S$12,FALSE),"")</f>
        <v>Bijih Nikel </v>
      </c>
      <c r="T161" s="368" t="str">
        <f t="shared" si="2345"/>
        <v>Bijih </v>
      </c>
      <c r="U161" s="368" t="str">
        <f t="shared" si="2345"/>
        <v>WMT</v>
      </c>
      <c r="V161" s="361"/>
      <c r="W161" s="361" t="str">
        <f t="shared" si="2155"/>
        <v/>
      </c>
      <c r="X161" s="361">
        <f t="shared" si="2156"/>
        <v>0</v>
      </c>
      <c r="Y161" s="369"/>
      <c r="Z161" s="361">
        <f t="shared" si="2157"/>
        <v>0</v>
      </c>
      <c r="AA161" s="410"/>
      <c r="AB161" s="96"/>
      <c r="AC161" s="96"/>
      <c r="AD161" s="361">
        <f t="shared" si="2158"/>
        <v>0</v>
      </c>
      <c r="AE161" s="369">
        <f t="shared" si="2159"/>
        <v>0.4604471269</v>
      </c>
      <c r="AF161" s="370">
        <f t="shared" si="2160"/>
        <v>0</v>
      </c>
      <c r="AG161" s="371">
        <f t="shared" si="2161"/>
        <v>0</v>
      </c>
      <c r="AH161" s="364"/>
      <c r="AI161" s="366">
        <f t="shared" si="2294"/>
        <v>5</v>
      </c>
      <c r="AJ161" s="367" t="str">
        <f t="shared" ref="AJ161:AL161" si="2346">IFERROR(VLOOKUP($R161,$A$13:$D$30,-AJ$12,FALSE),"")</f>
        <v>Bijih Nikel </v>
      </c>
      <c r="AK161" s="368" t="str">
        <f t="shared" si="2346"/>
        <v>Bijih </v>
      </c>
      <c r="AL161" s="368" t="str">
        <f t="shared" si="2346"/>
        <v>WMT</v>
      </c>
      <c r="AM161" s="361"/>
      <c r="AN161" s="361" t="str">
        <f t="shared" si="2163"/>
        <v/>
      </c>
      <c r="AO161" s="361">
        <f t="shared" si="2164"/>
        <v>0</v>
      </c>
      <c r="AP161" s="369"/>
      <c r="AQ161" s="361">
        <f t="shared" si="2165"/>
        <v>0</v>
      </c>
      <c r="AR161" s="410"/>
      <c r="AS161" s="96"/>
      <c r="AT161" s="96"/>
      <c r="AU161" s="361">
        <f t="shared" si="2166"/>
        <v>0</v>
      </c>
      <c r="AV161" s="369">
        <f t="shared" si="2167"/>
        <v>0.4604471269</v>
      </c>
      <c r="AW161" s="370">
        <f t="shared" si="2168"/>
        <v>0</v>
      </c>
      <c r="AX161" s="371">
        <f t="shared" si="2169"/>
        <v>0</v>
      </c>
      <c r="AY161" s="364"/>
      <c r="AZ161" s="366">
        <f t="shared" si="2296"/>
        <v>5</v>
      </c>
      <c r="BA161" s="367" t="str">
        <f t="shared" ref="BA161:BC161" si="2347">IFERROR(VLOOKUP($R161,$A$13:$D$30,-BA$12,FALSE),"")</f>
        <v>Bijih Nikel </v>
      </c>
      <c r="BB161" s="368" t="str">
        <f t="shared" si="2347"/>
        <v>Bijih </v>
      </c>
      <c r="BC161" s="368" t="str">
        <f t="shared" si="2347"/>
        <v>WMT</v>
      </c>
      <c r="BD161" s="361"/>
      <c r="BE161" s="361" t="str">
        <f t="shared" si="2171"/>
        <v/>
      </c>
      <c r="BF161" s="361">
        <f t="shared" si="2172"/>
        <v>0</v>
      </c>
      <c r="BG161" s="369"/>
      <c r="BH161" s="361">
        <f t="shared" si="2173"/>
        <v>0</v>
      </c>
      <c r="BI161" s="410"/>
      <c r="BJ161" s="96"/>
      <c r="BK161" s="96"/>
      <c r="BL161" s="361">
        <f t="shared" si="2174"/>
        <v>0</v>
      </c>
      <c r="BM161" s="369">
        <f t="shared" si="2175"/>
        <v>0.4604471269</v>
      </c>
      <c r="BN161" s="370">
        <f t="shared" si="2176"/>
        <v>0</v>
      </c>
      <c r="BO161" s="371">
        <f t="shared" si="2177"/>
        <v>0</v>
      </c>
      <c r="BP161" s="364"/>
      <c r="BQ161" s="366">
        <f t="shared" si="2298"/>
        <v>5</v>
      </c>
      <c r="BR161" s="367" t="str">
        <f t="shared" ref="BR161:BT161" si="2348">IFERROR(VLOOKUP($R161,$A$13:$D$30,-BR$12,FALSE),"")</f>
        <v>Bijih Nikel </v>
      </c>
      <c r="BS161" s="368" t="str">
        <f t="shared" si="2348"/>
        <v>Bijih </v>
      </c>
      <c r="BT161" s="368" t="str">
        <f t="shared" si="2348"/>
        <v>WMT</v>
      </c>
      <c r="BU161" s="361"/>
      <c r="BV161" s="361" t="str">
        <f t="shared" si="2179"/>
        <v/>
      </c>
      <c r="BW161" s="361">
        <f t="shared" si="2180"/>
        <v>0</v>
      </c>
      <c r="BX161" s="369"/>
      <c r="BY161" s="361">
        <f t="shared" si="2181"/>
        <v>0</v>
      </c>
      <c r="BZ161" s="410"/>
      <c r="CA161" s="96"/>
      <c r="CB161" s="96"/>
      <c r="CC161" s="361">
        <f t="shared" si="2182"/>
        <v>0</v>
      </c>
      <c r="CD161" s="369">
        <f t="shared" si="2183"/>
        <v>0.4604471269</v>
      </c>
      <c r="CE161" s="370">
        <f t="shared" si="2184"/>
        <v>0</v>
      </c>
      <c r="CF161" s="371">
        <f t="shared" si="2185"/>
        <v>0</v>
      </c>
      <c r="CG161" s="364"/>
      <c r="CH161" s="366">
        <f t="shared" si="2300"/>
        <v>5</v>
      </c>
      <c r="CI161" s="367" t="str">
        <f t="shared" ref="CI161:CK161" si="2349">IFERROR(VLOOKUP($R161,$A$13:$D$30,-CI$12,FALSE),"")</f>
        <v>Bijih Nikel </v>
      </c>
      <c r="CJ161" s="368" t="str">
        <f t="shared" si="2349"/>
        <v>Bijih </v>
      </c>
      <c r="CK161" s="368" t="str">
        <f t="shared" si="2349"/>
        <v>WMT</v>
      </c>
      <c r="CL161" s="361"/>
      <c r="CM161" s="361" t="str">
        <f t="shared" si="2187"/>
        <v/>
      </c>
      <c r="CN161" s="361">
        <f t="shared" si="2188"/>
        <v>0</v>
      </c>
      <c r="CO161" s="369"/>
      <c r="CP161" s="361">
        <f t="shared" si="2189"/>
        <v>0</v>
      </c>
      <c r="CQ161" s="410"/>
      <c r="CR161" s="96"/>
      <c r="CS161" s="96"/>
      <c r="CT161" s="361">
        <f t="shared" si="2190"/>
        <v>0</v>
      </c>
      <c r="CU161" s="369">
        <f t="shared" si="2191"/>
        <v>0.4604471269</v>
      </c>
      <c r="CV161" s="370">
        <f t="shared" si="2192"/>
        <v>0</v>
      </c>
      <c r="CW161" s="371">
        <f t="shared" si="2193"/>
        <v>0</v>
      </c>
      <c r="CX161" s="364"/>
      <c r="CY161" s="366">
        <f t="shared" si="2302"/>
        <v>5</v>
      </c>
      <c r="CZ161" s="367" t="str">
        <f t="shared" ref="CZ161:DB161" si="2350">IFERROR(VLOOKUP($R161,$A$13:$D$30,-CZ$12,FALSE),"")</f>
        <v>Bijih Nikel </v>
      </c>
      <c r="DA161" s="368" t="str">
        <f t="shared" si="2350"/>
        <v>Bijih </v>
      </c>
      <c r="DB161" s="368" t="str">
        <f t="shared" si="2350"/>
        <v>WMT</v>
      </c>
      <c r="DC161" s="361"/>
      <c r="DD161" s="361" t="str">
        <f t="shared" si="2195"/>
        <v/>
      </c>
      <c r="DE161" s="361">
        <f t="shared" si="2196"/>
        <v>0</v>
      </c>
      <c r="DF161" s="369"/>
      <c r="DG161" s="361">
        <f t="shared" si="2197"/>
        <v>0</v>
      </c>
      <c r="DH161" s="410"/>
      <c r="DI161" s="96"/>
      <c r="DJ161" s="96"/>
      <c r="DK161" s="361">
        <f t="shared" si="2198"/>
        <v>0</v>
      </c>
      <c r="DL161" s="369">
        <f t="shared" si="2199"/>
        <v>0.4604471269</v>
      </c>
      <c r="DM161" s="370">
        <f t="shared" si="2200"/>
        <v>0</v>
      </c>
      <c r="DN161" s="371">
        <f t="shared" si="2201"/>
        <v>0</v>
      </c>
      <c r="DO161" s="364"/>
      <c r="DP161" s="366">
        <f t="shared" si="2304"/>
        <v>5</v>
      </c>
      <c r="DQ161" s="367" t="str">
        <f t="shared" ref="DQ161:DS161" si="2351">IFERROR(VLOOKUP($R161,$A$13:$D$30,-DQ$12,FALSE),"")</f>
        <v>Bijih Nikel </v>
      </c>
      <c r="DR161" s="368" t="str">
        <f t="shared" si="2351"/>
        <v>Bijih </v>
      </c>
      <c r="DS161" s="368" t="str">
        <f t="shared" si="2351"/>
        <v>WMT</v>
      </c>
      <c r="DT161" s="361"/>
      <c r="DU161" s="361" t="str">
        <f t="shared" si="2203"/>
        <v/>
      </c>
      <c r="DV161" s="361">
        <f t="shared" si="2204"/>
        <v>0</v>
      </c>
      <c r="DW161" s="369"/>
      <c r="DX161" s="361">
        <f t="shared" si="2205"/>
        <v>0</v>
      </c>
      <c r="DY161" s="410"/>
      <c r="DZ161" s="96"/>
      <c r="EA161" s="96"/>
      <c r="EB161" s="361">
        <f t="shared" si="2206"/>
        <v>0</v>
      </c>
      <c r="EC161" s="369">
        <f t="shared" si="2207"/>
        <v>0.4604471269</v>
      </c>
      <c r="ED161" s="370">
        <f t="shared" si="2208"/>
        <v>0</v>
      </c>
      <c r="EE161" s="371">
        <f t="shared" si="2209"/>
        <v>0</v>
      </c>
      <c r="EF161" s="364"/>
      <c r="EG161" s="366">
        <f t="shared" si="2306"/>
        <v>5</v>
      </c>
      <c r="EH161" s="367" t="str">
        <f t="shared" ref="EH161:EJ161" si="2352">IFERROR(VLOOKUP($R161,$A$13:$D$30,-EH$12,FALSE),"")</f>
        <v>Bijih Nikel </v>
      </c>
      <c r="EI161" s="368" t="str">
        <f t="shared" si="2352"/>
        <v>Bijih </v>
      </c>
      <c r="EJ161" s="368" t="str">
        <f t="shared" si="2352"/>
        <v>WMT</v>
      </c>
      <c r="EK161" s="361"/>
      <c r="EL161" s="361" t="str">
        <f t="shared" si="2211"/>
        <v/>
      </c>
      <c r="EM161" s="361">
        <f t="shared" si="2212"/>
        <v>0</v>
      </c>
      <c r="EN161" s="369"/>
      <c r="EO161" s="361">
        <f t="shared" si="2213"/>
        <v>0</v>
      </c>
      <c r="EP161" s="410"/>
      <c r="EQ161" s="96"/>
      <c r="ER161" s="96"/>
      <c r="ES161" s="361">
        <f t="shared" si="2214"/>
        <v>0</v>
      </c>
      <c r="ET161" s="369">
        <f t="shared" si="2215"/>
        <v>0.4604471269</v>
      </c>
      <c r="EU161" s="370">
        <f t="shared" si="2216"/>
        <v>0</v>
      </c>
      <c r="EV161" s="371">
        <f t="shared" si="2217"/>
        <v>0</v>
      </c>
      <c r="EW161" s="364"/>
      <c r="EX161" s="366">
        <f t="shared" si="2308"/>
        <v>5</v>
      </c>
      <c r="EY161" s="367" t="str">
        <f t="shared" ref="EY161:FA161" si="2353">IFERROR(VLOOKUP($R161,$A$13:$D$30,-EY$12,FALSE),"")</f>
        <v>Bijih Nikel </v>
      </c>
      <c r="EZ161" s="368" t="str">
        <f t="shared" si="2353"/>
        <v>Bijih </v>
      </c>
      <c r="FA161" s="368" t="str">
        <f t="shared" si="2353"/>
        <v>WMT</v>
      </c>
      <c r="FB161" s="361"/>
      <c r="FC161" s="361" t="str">
        <f t="shared" si="2219"/>
        <v/>
      </c>
      <c r="FD161" s="361">
        <f t="shared" si="2220"/>
        <v>0</v>
      </c>
      <c r="FE161" s="369"/>
      <c r="FF161" s="361">
        <f t="shared" si="2221"/>
        <v>0</v>
      </c>
      <c r="FG161" s="410"/>
      <c r="FH161" s="96"/>
      <c r="FI161" s="96"/>
      <c r="FJ161" s="361">
        <f t="shared" si="2222"/>
        <v>0</v>
      </c>
      <c r="FK161" s="369">
        <f t="shared" si="2223"/>
        <v>0.4604471269</v>
      </c>
      <c r="FL161" s="370">
        <f t="shared" si="2224"/>
        <v>0</v>
      </c>
      <c r="FM161" s="371">
        <f t="shared" si="2225"/>
        <v>0</v>
      </c>
      <c r="FN161" s="364"/>
      <c r="FO161" s="366">
        <f t="shared" si="2310"/>
        <v>5</v>
      </c>
      <c r="FP161" s="367" t="str">
        <f t="shared" ref="FP161:FR161" si="2354">IFERROR(VLOOKUP($R161,$A$13:$D$30,-FP$12,FALSE),"")</f>
        <v>Bijih Nikel </v>
      </c>
      <c r="FQ161" s="368" t="str">
        <f t="shared" si="2354"/>
        <v>Bijih </v>
      </c>
      <c r="FR161" s="368" t="str">
        <f t="shared" si="2354"/>
        <v>WMT</v>
      </c>
      <c r="FS161" s="372">
        <f>ADHB!FS161</f>
        <v>7966398.34</v>
      </c>
      <c r="FT161" s="361">
        <f t="shared" si="2227"/>
        <v>192960.46</v>
      </c>
      <c r="FU161" s="361">
        <f t="shared" si="2228"/>
        <v>1537199.888</v>
      </c>
      <c r="FV161" s="369"/>
      <c r="FW161" s="361">
        <f t="shared" si="2229"/>
        <v>0</v>
      </c>
      <c r="FX161" s="410"/>
      <c r="FY161" s="96"/>
      <c r="FZ161" s="96"/>
      <c r="GA161" s="361">
        <f t="shared" si="2230"/>
        <v>1537199.888</v>
      </c>
      <c r="GB161" s="369">
        <f t="shared" si="2231"/>
        <v>0.4604471269</v>
      </c>
      <c r="GC161" s="370">
        <f t="shared" si="2232"/>
        <v>707799.272</v>
      </c>
      <c r="GD161" s="371">
        <f t="shared" si="2233"/>
        <v>829400.6162</v>
      </c>
      <c r="GE161" s="364"/>
      <c r="GF161" s="366">
        <f t="shared" si="2312"/>
        <v>5</v>
      </c>
      <c r="GG161" s="367" t="str">
        <f t="shared" ref="GG161:GI161" si="2355">IFERROR(VLOOKUP($R161,$A$13:$D$30,-GG$12,FALSE),"")</f>
        <v>Bijih Nikel </v>
      </c>
      <c r="GH161" s="368" t="str">
        <f t="shared" si="2355"/>
        <v>Bijih </v>
      </c>
      <c r="GI161" s="368" t="str">
        <f t="shared" si="2355"/>
        <v>WMT</v>
      </c>
      <c r="GJ161" s="372">
        <f>ADHB!GJ161</f>
        <v>5026056</v>
      </c>
      <c r="GK161" s="361">
        <f t="shared" si="2235"/>
        <v>192960.46</v>
      </c>
      <c r="GL161" s="361">
        <f t="shared" si="2236"/>
        <v>969830.0777</v>
      </c>
      <c r="GM161" s="369"/>
      <c r="GN161" s="361">
        <f t="shared" si="2237"/>
        <v>0</v>
      </c>
      <c r="GO161" s="410"/>
      <c r="GP161" s="96"/>
      <c r="GQ161" s="96"/>
      <c r="GR161" s="361">
        <f t="shared" si="2238"/>
        <v>969830.0777</v>
      </c>
      <c r="GS161" s="369">
        <f t="shared" si="2239"/>
        <v>0.4604471269</v>
      </c>
      <c r="GT161" s="370">
        <f t="shared" si="2240"/>
        <v>446555.4729</v>
      </c>
      <c r="GU161" s="371">
        <f t="shared" si="2241"/>
        <v>523274.6049</v>
      </c>
      <c r="GV161" s="364"/>
      <c r="GW161" s="366">
        <f t="shared" si="2314"/>
        <v>5</v>
      </c>
      <c r="GX161" s="367" t="str">
        <f t="shared" ref="GX161:GZ161" si="2356">IFERROR(VLOOKUP($R161,$A$13:$D$30,-GX$12,FALSE),"")</f>
        <v>Bijih Nikel </v>
      </c>
      <c r="GY161" s="368" t="str">
        <f t="shared" si="2356"/>
        <v>Bijih </v>
      </c>
      <c r="GZ161" s="368" t="str">
        <f t="shared" si="2356"/>
        <v>WMT</v>
      </c>
      <c r="HA161" s="372">
        <f>ADHB!HA161</f>
        <v>7513184.654</v>
      </c>
      <c r="HB161" s="361">
        <f t="shared" si="2243"/>
        <v>192960.46</v>
      </c>
      <c r="HC161" s="361">
        <f t="shared" si="2244"/>
        <v>1449747.567</v>
      </c>
      <c r="HD161" s="417">
        <v>1.0</v>
      </c>
      <c r="HE161" s="361">
        <f t="shared" si="2245"/>
        <v>1449747.567</v>
      </c>
      <c r="HF161" s="410"/>
      <c r="HG161" s="96"/>
      <c r="HH161" s="96"/>
      <c r="HI161" s="361">
        <f t="shared" si="2246"/>
        <v>2899495.134</v>
      </c>
      <c r="HJ161" s="369">
        <f t="shared" si="2247"/>
        <v>0.4604471269</v>
      </c>
      <c r="HK161" s="370">
        <f t="shared" si="2248"/>
        <v>1335064.204</v>
      </c>
      <c r="HL161" s="371">
        <f t="shared" si="2249"/>
        <v>1564430.93</v>
      </c>
      <c r="HM161" s="364"/>
      <c r="HN161" s="366">
        <f t="shared" si="2316"/>
        <v>5</v>
      </c>
      <c r="HO161" s="367" t="str">
        <f t="shared" ref="HO161:HQ161" si="2357">IFERROR(VLOOKUP($R161,$A$13:$D$30,-HO$12,FALSE),"")</f>
        <v>Bijih Nikel </v>
      </c>
      <c r="HP161" s="368" t="str">
        <f t="shared" si="2357"/>
        <v>Bijih </v>
      </c>
      <c r="HQ161" s="368" t="str">
        <f t="shared" si="2357"/>
        <v>WMT</v>
      </c>
      <c r="HR161" s="361">
        <f>ADHB!HR161</f>
        <v>11621249.22</v>
      </c>
      <c r="HS161" s="361">
        <f t="shared" si="2251"/>
        <v>192960.46</v>
      </c>
      <c r="HT161" s="361">
        <f t="shared" si="2252"/>
        <v>2242441.595</v>
      </c>
      <c r="HU161" s="369"/>
      <c r="HV161" s="361">
        <f t="shared" si="2253"/>
        <v>0</v>
      </c>
      <c r="HW161" s="410"/>
      <c r="HX161" s="96"/>
      <c r="HY161" s="96"/>
      <c r="HZ161" s="361">
        <f t="shared" si="2254"/>
        <v>2242441.595</v>
      </c>
      <c r="IA161" s="369">
        <f t="shared" si="2255"/>
        <v>0.4604471269</v>
      </c>
      <c r="IB161" s="370">
        <f t="shared" si="2256"/>
        <v>1032525.79</v>
      </c>
      <c r="IC161" s="371">
        <f t="shared" si="2257"/>
        <v>1209915.805</v>
      </c>
      <c r="ID161" s="364"/>
      <c r="IE161" s="366">
        <f t="shared" si="2318"/>
        <v>5</v>
      </c>
      <c r="IF161" s="367" t="str">
        <f t="shared" ref="IF161:IH161" si="2358">IFERROR(VLOOKUP($R161,$A$13:$D$30,-IF$12,FALSE),"")</f>
        <v>Bijih Nikel </v>
      </c>
      <c r="IG161" s="368" t="str">
        <f t="shared" si="2358"/>
        <v>Bijih </v>
      </c>
      <c r="IH161" s="368" t="str">
        <f t="shared" si="2358"/>
        <v>WMT</v>
      </c>
      <c r="II161" s="361">
        <f>ADHB!II161</f>
        <v>20383368.61</v>
      </c>
      <c r="IJ161" s="361">
        <f t="shared" si="2259"/>
        <v>192960.46</v>
      </c>
      <c r="IK161" s="361">
        <f t="shared" si="2260"/>
        <v>3933184.183</v>
      </c>
      <c r="IL161" s="369"/>
      <c r="IM161" s="361">
        <f t="shared" si="2261"/>
        <v>0</v>
      </c>
      <c r="IN161" s="410"/>
      <c r="IO161" s="96"/>
      <c r="IP161" s="96"/>
      <c r="IQ161" s="361">
        <f t="shared" si="2262"/>
        <v>3933184.183</v>
      </c>
      <c r="IR161" s="369">
        <f t="shared" si="2263"/>
        <v>0.4604471269</v>
      </c>
      <c r="IS161" s="370">
        <f t="shared" si="2264"/>
        <v>1811023.356</v>
      </c>
      <c r="IT161" s="371">
        <f t="shared" si="2265"/>
        <v>2122160.826</v>
      </c>
      <c r="IU161" s="364"/>
      <c r="IV161" s="366">
        <f t="shared" si="2320"/>
        <v>5</v>
      </c>
      <c r="IW161" s="367" t="str">
        <f t="shared" ref="IW161:IY161" si="2359">IFERROR(VLOOKUP($R161,$A$13:$D$30,-IW$12,FALSE),"")</f>
        <v>Bijih Nikel </v>
      </c>
      <c r="IX161" s="368" t="str">
        <f t="shared" si="2359"/>
        <v>Bijih </v>
      </c>
      <c r="IY161" s="368" t="str">
        <f t="shared" si="2359"/>
        <v>WMT</v>
      </c>
      <c r="IZ161" s="361">
        <f>ADHB!IZ161</f>
        <v>25166398.12</v>
      </c>
      <c r="JA161" s="361">
        <f t="shared" si="2267"/>
        <v>192960.46</v>
      </c>
      <c r="JB161" s="361">
        <f t="shared" si="2268"/>
        <v>4856119.758</v>
      </c>
      <c r="JC161" s="369"/>
      <c r="JD161" s="361">
        <f t="shared" si="2269"/>
        <v>0</v>
      </c>
      <c r="JE161" s="410"/>
      <c r="JF161" s="96"/>
      <c r="JG161" s="96"/>
      <c r="JH161" s="361">
        <f t="shared" si="2270"/>
        <v>4856119.758</v>
      </c>
      <c r="JI161" s="369">
        <f t="shared" si="2271"/>
        <v>0.4604471269</v>
      </c>
      <c r="JJ161" s="370">
        <f t="shared" si="2272"/>
        <v>2235986.39</v>
      </c>
      <c r="JK161" s="371">
        <f t="shared" si="2273"/>
        <v>2620133.368</v>
      </c>
      <c r="JL161" s="364"/>
      <c r="JM161" s="366">
        <f t="shared" si="2322"/>
        <v>5</v>
      </c>
      <c r="JN161" s="367" t="str">
        <f t="shared" ref="JN161:JP161" si="2360">IFERROR(VLOOKUP($R161,$A$13:$D$30,-JN$12,FALSE),"")</f>
        <v>Bijih Nikel </v>
      </c>
      <c r="JO161" s="368" t="str">
        <f t="shared" si="2360"/>
        <v>Bijih </v>
      </c>
      <c r="JP161" s="368" t="str">
        <f t="shared" si="2360"/>
        <v>WMT</v>
      </c>
      <c r="JQ161" s="361" t="str">
        <f>ADHB!JQ161</f>
        <v/>
      </c>
      <c r="JR161" s="361">
        <f t="shared" si="2275"/>
        <v>192960.46</v>
      </c>
      <c r="JS161" s="361">
        <f t="shared" si="2276"/>
        <v>0</v>
      </c>
      <c r="JT161" s="369"/>
      <c r="JU161" s="361">
        <f t="shared" si="2277"/>
        <v>0</v>
      </c>
      <c r="JV161" s="410"/>
      <c r="JW161" s="96"/>
      <c r="JX161" s="96"/>
      <c r="JY161" s="361">
        <f t="shared" si="2278"/>
        <v>0</v>
      </c>
      <c r="JZ161" s="369">
        <f t="shared" si="2279"/>
        <v>0.4604471269</v>
      </c>
      <c r="KA161" s="370">
        <f t="shared" si="2280"/>
        <v>0</v>
      </c>
      <c r="KB161" s="371">
        <f t="shared" si="2281"/>
        <v>0</v>
      </c>
      <c r="KC161" s="364"/>
      <c r="KD161" s="366">
        <f t="shared" si="2324"/>
        <v>5</v>
      </c>
      <c r="KE161" s="367" t="str">
        <f t="shared" ref="KE161:KG161" si="2361">IFERROR(VLOOKUP($R161,$A$13:$D$30,-KE$12,FALSE),"")</f>
        <v>Bijih Nikel </v>
      </c>
      <c r="KF161" s="368" t="str">
        <f t="shared" si="2361"/>
        <v>Bijih </v>
      </c>
      <c r="KG161" s="368" t="str">
        <f t="shared" si="2361"/>
        <v>WMT</v>
      </c>
      <c r="KH161" s="361" t="str">
        <f>ADHB!KH161</f>
        <v/>
      </c>
      <c r="KI161" s="361" t="str">
        <f t="shared" si="2283"/>
        <v/>
      </c>
      <c r="KJ161" s="361">
        <f t="shared" si="2284"/>
        <v>0</v>
      </c>
      <c r="KK161" s="369"/>
      <c r="KL161" s="361">
        <f t="shared" si="2285"/>
        <v>0</v>
      </c>
      <c r="KM161" s="410"/>
      <c r="KN161" s="96"/>
      <c r="KO161" s="96"/>
      <c r="KP161" s="361">
        <f t="shared" si="2286"/>
        <v>0</v>
      </c>
      <c r="KQ161" s="369">
        <f t="shared" si="2287"/>
        <v>0.4604471269</v>
      </c>
      <c r="KR161" s="370">
        <f t="shared" si="2288"/>
        <v>0</v>
      </c>
      <c r="KS161" s="371">
        <f t="shared" si="2289"/>
        <v>0</v>
      </c>
      <c r="KT161" s="364"/>
      <c r="KU161" s="365"/>
    </row>
    <row r="162" ht="15.75" customHeight="1">
      <c r="A162" s="366">
        <f t="shared" si="2290"/>
        <v>6</v>
      </c>
      <c r="B162" s="367" t="str">
        <f t="shared" ref="B162:D162" si="2362">IFERROR(VLOOKUP($A162,$A$13:$D$30,-B$12,FALSE),"")</f>
        <v>Pasir Besi </v>
      </c>
      <c r="C162" s="368" t="str">
        <f t="shared" si="2362"/>
        <v>Bijih </v>
      </c>
      <c r="D162" s="368" t="str">
        <f t="shared" si="2362"/>
        <v>Ton </v>
      </c>
      <c r="E162" s="361"/>
      <c r="F162" s="361" t="str">
        <f t="shared" si="2147"/>
        <v/>
      </c>
      <c r="G162" s="361">
        <f t="shared" si="2148"/>
        <v>0</v>
      </c>
      <c r="H162" s="369"/>
      <c r="I162" s="361">
        <f t="shared" si="2149"/>
        <v>0</v>
      </c>
      <c r="J162" s="410"/>
      <c r="K162" s="96"/>
      <c r="L162" s="96"/>
      <c r="M162" s="361">
        <f t="shared" si="2150"/>
        <v>0</v>
      </c>
      <c r="N162" s="369">
        <f t="shared" si="2151"/>
        <v>0.4604471269</v>
      </c>
      <c r="O162" s="370">
        <f t="shared" si="2152"/>
        <v>0</v>
      </c>
      <c r="P162" s="371">
        <f t="shared" si="2153"/>
        <v>0</v>
      </c>
      <c r="Q162" s="364"/>
      <c r="R162" s="366">
        <f t="shared" si="2292"/>
        <v>6</v>
      </c>
      <c r="S162" s="367" t="str">
        <f t="shared" ref="S162:U162" si="2363">IFERROR(VLOOKUP($R162,$A$13:$D$30,-S$12,FALSE),"")</f>
        <v>Pasir Besi </v>
      </c>
      <c r="T162" s="368" t="str">
        <f t="shared" si="2363"/>
        <v>Bijih </v>
      </c>
      <c r="U162" s="368" t="str">
        <f t="shared" si="2363"/>
        <v>Ton </v>
      </c>
      <c r="V162" s="361"/>
      <c r="W162" s="361" t="str">
        <f t="shared" si="2155"/>
        <v/>
      </c>
      <c r="X162" s="361">
        <f t="shared" si="2156"/>
        <v>0</v>
      </c>
      <c r="Y162" s="369"/>
      <c r="Z162" s="361">
        <f t="shared" si="2157"/>
        <v>0</v>
      </c>
      <c r="AA162" s="410"/>
      <c r="AB162" s="96"/>
      <c r="AC162" s="96"/>
      <c r="AD162" s="361">
        <f t="shared" si="2158"/>
        <v>0</v>
      </c>
      <c r="AE162" s="369">
        <f t="shared" si="2159"/>
        <v>0.4604471269</v>
      </c>
      <c r="AF162" s="370">
        <f t="shared" si="2160"/>
        <v>0</v>
      </c>
      <c r="AG162" s="371">
        <f t="shared" si="2161"/>
        <v>0</v>
      </c>
      <c r="AH162" s="364"/>
      <c r="AI162" s="366">
        <f t="shared" si="2294"/>
        <v>6</v>
      </c>
      <c r="AJ162" s="367" t="str">
        <f t="shared" ref="AJ162:AL162" si="2364">IFERROR(VLOOKUP($R162,$A$13:$D$30,-AJ$12,FALSE),"")</f>
        <v>Pasir Besi </v>
      </c>
      <c r="AK162" s="368" t="str">
        <f t="shared" si="2364"/>
        <v>Bijih </v>
      </c>
      <c r="AL162" s="368" t="str">
        <f t="shared" si="2364"/>
        <v>Ton </v>
      </c>
      <c r="AM162" s="361"/>
      <c r="AN162" s="361" t="str">
        <f t="shared" si="2163"/>
        <v/>
      </c>
      <c r="AO162" s="361">
        <f t="shared" si="2164"/>
        <v>0</v>
      </c>
      <c r="AP162" s="369"/>
      <c r="AQ162" s="361">
        <f t="shared" si="2165"/>
        <v>0</v>
      </c>
      <c r="AR162" s="410"/>
      <c r="AS162" s="96"/>
      <c r="AT162" s="96"/>
      <c r="AU162" s="361">
        <f t="shared" si="2166"/>
        <v>0</v>
      </c>
      <c r="AV162" s="369">
        <f t="shared" si="2167"/>
        <v>0.4604471269</v>
      </c>
      <c r="AW162" s="370">
        <f t="shared" si="2168"/>
        <v>0</v>
      </c>
      <c r="AX162" s="371">
        <f t="shared" si="2169"/>
        <v>0</v>
      </c>
      <c r="AY162" s="364"/>
      <c r="AZ162" s="366">
        <f t="shared" si="2296"/>
        <v>6</v>
      </c>
      <c r="BA162" s="367" t="str">
        <f t="shared" ref="BA162:BC162" si="2365">IFERROR(VLOOKUP($R162,$A$13:$D$30,-BA$12,FALSE),"")</f>
        <v>Pasir Besi </v>
      </c>
      <c r="BB162" s="368" t="str">
        <f t="shared" si="2365"/>
        <v>Bijih </v>
      </c>
      <c r="BC162" s="368" t="str">
        <f t="shared" si="2365"/>
        <v>Ton </v>
      </c>
      <c r="BD162" s="361"/>
      <c r="BE162" s="361" t="str">
        <f t="shared" si="2171"/>
        <v/>
      </c>
      <c r="BF162" s="361">
        <f t="shared" si="2172"/>
        <v>0</v>
      </c>
      <c r="BG162" s="369"/>
      <c r="BH162" s="361">
        <f t="shared" si="2173"/>
        <v>0</v>
      </c>
      <c r="BI162" s="410"/>
      <c r="BJ162" s="96"/>
      <c r="BK162" s="96"/>
      <c r="BL162" s="361">
        <f t="shared" si="2174"/>
        <v>0</v>
      </c>
      <c r="BM162" s="369">
        <f t="shared" si="2175"/>
        <v>0.4604471269</v>
      </c>
      <c r="BN162" s="370">
        <f t="shared" si="2176"/>
        <v>0</v>
      </c>
      <c r="BO162" s="371">
        <f t="shared" si="2177"/>
        <v>0</v>
      </c>
      <c r="BP162" s="364"/>
      <c r="BQ162" s="366">
        <f t="shared" si="2298"/>
        <v>6</v>
      </c>
      <c r="BR162" s="367" t="str">
        <f t="shared" ref="BR162:BT162" si="2366">IFERROR(VLOOKUP($R162,$A$13:$D$30,-BR$12,FALSE),"")</f>
        <v>Pasir Besi </v>
      </c>
      <c r="BS162" s="368" t="str">
        <f t="shared" si="2366"/>
        <v>Bijih </v>
      </c>
      <c r="BT162" s="368" t="str">
        <f t="shared" si="2366"/>
        <v>Ton </v>
      </c>
      <c r="BU162" s="361"/>
      <c r="BV162" s="361" t="str">
        <f t="shared" si="2179"/>
        <v/>
      </c>
      <c r="BW162" s="361">
        <f t="shared" si="2180"/>
        <v>0</v>
      </c>
      <c r="BX162" s="369"/>
      <c r="BY162" s="361">
        <f t="shared" si="2181"/>
        <v>0</v>
      </c>
      <c r="BZ162" s="410"/>
      <c r="CA162" s="96"/>
      <c r="CB162" s="96"/>
      <c r="CC162" s="361">
        <f t="shared" si="2182"/>
        <v>0</v>
      </c>
      <c r="CD162" s="369">
        <f t="shared" si="2183"/>
        <v>0.4604471269</v>
      </c>
      <c r="CE162" s="370">
        <f t="shared" si="2184"/>
        <v>0</v>
      </c>
      <c r="CF162" s="371">
        <f t="shared" si="2185"/>
        <v>0</v>
      </c>
      <c r="CG162" s="364"/>
      <c r="CH162" s="366">
        <f t="shared" si="2300"/>
        <v>6</v>
      </c>
      <c r="CI162" s="367" t="str">
        <f t="shared" ref="CI162:CK162" si="2367">IFERROR(VLOOKUP($R162,$A$13:$D$30,-CI$12,FALSE),"")</f>
        <v>Pasir Besi </v>
      </c>
      <c r="CJ162" s="368" t="str">
        <f t="shared" si="2367"/>
        <v>Bijih </v>
      </c>
      <c r="CK162" s="368" t="str">
        <f t="shared" si="2367"/>
        <v>Ton </v>
      </c>
      <c r="CL162" s="361"/>
      <c r="CM162" s="361" t="str">
        <f t="shared" si="2187"/>
        <v/>
      </c>
      <c r="CN162" s="361">
        <f t="shared" si="2188"/>
        <v>0</v>
      </c>
      <c r="CO162" s="369"/>
      <c r="CP162" s="361">
        <f t="shared" si="2189"/>
        <v>0</v>
      </c>
      <c r="CQ162" s="410"/>
      <c r="CR162" s="96"/>
      <c r="CS162" s="96"/>
      <c r="CT162" s="361">
        <f t="shared" si="2190"/>
        <v>0</v>
      </c>
      <c r="CU162" s="369">
        <f t="shared" si="2191"/>
        <v>0.4604471269</v>
      </c>
      <c r="CV162" s="370">
        <f t="shared" si="2192"/>
        <v>0</v>
      </c>
      <c r="CW162" s="371">
        <f t="shared" si="2193"/>
        <v>0</v>
      </c>
      <c r="CX162" s="364"/>
      <c r="CY162" s="366">
        <f t="shared" si="2302"/>
        <v>6</v>
      </c>
      <c r="CZ162" s="367" t="str">
        <f t="shared" ref="CZ162:DB162" si="2368">IFERROR(VLOOKUP($R162,$A$13:$D$30,-CZ$12,FALSE),"")</f>
        <v>Pasir Besi </v>
      </c>
      <c r="DA162" s="368" t="str">
        <f t="shared" si="2368"/>
        <v>Bijih </v>
      </c>
      <c r="DB162" s="368" t="str">
        <f t="shared" si="2368"/>
        <v>Ton </v>
      </c>
      <c r="DC162" s="361"/>
      <c r="DD162" s="361" t="str">
        <f t="shared" si="2195"/>
        <v/>
      </c>
      <c r="DE162" s="361">
        <f t="shared" si="2196"/>
        <v>0</v>
      </c>
      <c r="DF162" s="369"/>
      <c r="DG162" s="361">
        <f t="shared" si="2197"/>
        <v>0</v>
      </c>
      <c r="DH162" s="410"/>
      <c r="DI162" s="96"/>
      <c r="DJ162" s="96"/>
      <c r="DK162" s="361">
        <f t="shared" si="2198"/>
        <v>0</v>
      </c>
      <c r="DL162" s="369">
        <f t="shared" si="2199"/>
        <v>0.4604471269</v>
      </c>
      <c r="DM162" s="370">
        <f t="shared" si="2200"/>
        <v>0</v>
      </c>
      <c r="DN162" s="371">
        <f t="shared" si="2201"/>
        <v>0</v>
      </c>
      <c r="DO162" s="364"/>
      <c r="DP162" s="366">
        <f t="shared" si="2304"/>
        <v>6</v>
      </c>
      <c r="DQ162" s="367" t="str">
        <f t="shared" ref="DQ162:DS162" si="2369">IFERROR(VLOOKUP($R162,$A$13:$D$30,-DQ$12,FALSE),"")</f>
        <v>Pasir Besi </v>
      </c>
      <c r="DR162" s="368" t="str">
        <f t="shared" si="2369"/>
        <v>Bijih </v>
      </c>
      <c r="DS162" s="368" t="str">
        <f t="shared" si="2369"/>
        <v>Ton </v>
      </c>
      <c r="DT162" s="361"/>
      <c r="DU162" s="361" t="str">
        <f t="shared" si="2203"/>
        <v/>
      </c>
      <c r="DV162" s="361">
        <f t="shared" si="2204"/>
        <v>0</v>
      </c>
      <c r="DW162" s="369"/>
      <c r="DX162" s="361">
        <f t="shared" si="2205"/>
        <v>0</v>
      </c>
      <c r="DY162" s="410"/>
      <c r="DZ162" s="96"/>
      <c r="EA162" s="96"/>
      <c r="EB162" s="361">
        <f t="shared" si="2206"/>
        <v>0</v>
      </c>
      <c r="EC162" s="369">
        <f t="shared" si="2207"/>
        <v>0.4604471269</v>
      </c>
      <c r="ED162" s="370">
        <f t="shared" si="2208"/>
        <v>0</v>
      </c>
      <c r="EE162" s="371">
        <f t="shared" si="2209"/>
        <v>0</v>
      </c>
      <c r="EF162" s="364"/>
      <c r="EG162" s="366">
        <f t="shared" si="2306"/>
        <v>6</v>
      </c>
      <c r="EH162" s="367" t="str">
        <f t="shared" ref="EH162:EJ162" si="2370">IFERROR(VLOOKUP($R162,$A$13:$D$30,-EH$12,FALSE),"")</f>
        <v>Pasir Besi </v>
      </c>
      <c r="EI162" s="368" t="str">
        <f t="shared" si="2370"/>
        <v>Bijih </v>
      </c>
      <c r="EJ162" s="368" t="str">
        <f t="shared" si="2370"/>
        <v>Ton </v>
      </c>
      <c r="EK162" s="361"/>
      <c r="EL162" s="361" t="str">
        <f t="shared" si="2211"/>
        <v/>
      </c>
      <c r="EM162" s="361">
        <f t="shared" si="2212"/>
        <v>0</v>
      </c>
      <c r="EN162" s="369"/>
      <c r="EO162" s="361">
        <f t="shared" si="2213"/>
        <v>0</v>
      </c>
      <c r="EP162" s="410"/>
      <c r="EQ162" s="96"/>
      <c r="ER162" s="96"/>
      <c r="ES162" s="361">
        <f t="shared" si="2214"/>
        <v>0</v>
      </c>
      <c r="ET162" s="369">
        <f t="shared" si="2215"/>
        <v>0.4604471269</v>
      </c>
      <c r="EU162" s="370">
        <f t="shared" si="2216"/>
        <v>0</v>
      </c>
      <c r="EV162" s="371">
        <f t="shared" si="2217"/>
        <v>0</v>
      </c>
      <c r="EW162" s="364"/>
      <c r="EX162" s="366">
        <f t="shared" si="2308"/>
        <v>6</v>
      </c>
      <c r="EY162" s="367" t="str">
        <f t="shared" ref="EY162:FA162" si="2371">IFERROR(VLOOKUP($R162,$A$13:$D$30,-EY$12,FALSE),"")</f>
        <v>Pasir Besi </v>
      </c>
      <c r="EZ162" s="368" t="str">
        <f t="shared" si="2371"/>
        <v>Bijih </v>
      </c>
      <c r="FA162" s="368" t="str">
        <f t="shared" si="2371"/>
        <v>Ton </v>
      </c>
      <c r="FB162" s="361"/>
      <c r="FC162" s="361" t="str">
        <f t="shared" si="2219"/>
        <v/>
      </c>
      <c r="FD162" s="361">
        <f t="shared" si="2220"/>
        <v>0</v>
      </c>
      <c r="FE162" s="369"/>
      <c r="FF162" s="361">
        <f t="shared" si="2221"/>
        <v>0</v>
      </c>
      <c r="FG162" s="410"/>
      <c r="FH162" s="96"/>
      <c r="FI162" s="96"/>
      <c r="FJ162" s="361">
        <f t="shared" si="2222"/>
        <v>0</v>
      </c>
      <c r="FK162" s="369">
        <f t="shared" si="2223"/>
        <v>0.4604471269</v>
      </c>
      <c r="FL162" s="370">
        <f t="shared" si="2224"/>
        <v>0</v>
      </c>
      <c r="FM162" s="371">
        <f t="shared" si="2225"/>
        <v>0</v>
      </c>
      <c r="FN162" s="364"/>
      <c r="FO162" s="366">
        <f t="shared" si="2310"/>
        <v>6</v>
      </c>
      <c r="FP162" s="367" t="str">
        <f t="shared" ref="FP162:FR162" si="2372">IFERROR(VLOOKUP($R162,$A$13:$D$30,-FP$12,FALSE),"")</f>
        <v>Pasir Besi </v>
      </c>
      <c r="FQ162" s="368" t="str">
        <f t="shared" si="2372"/>
        <v>Bijih </v>
      </c>
      <c r="FR162" s="368" t="str">
        <f t="shared" si="2372"/>
        <v>Ton </v>
      </c>
      <c r="FS162" s="361"/>
      <c r="FT162" s="361" t="str">
        <f t="shared" si="2227"/>
        <v/>
      </c>
      <c r="FU162" s="361">
        <f t="shared" si="2228"/>
        <v>0</v>
      </c>
      <c r="FV162" s="369"/>
      <c r="FW162" s="361">
        <f t="shared" si="2229"/>
        <v>0</v>
      </c>
      <c r="FX162" s="410"/>
      <c r="FY162" s="96"/>
      <c r="FZ162" s="96"/>
      <c r="GA162" s="361">
        <f t="shared" si="2230"/>
        <v>0</v>
      </c>
      <c r="GB162" s="369">
        <f t="shared" si="2231"/>
        <v>0.4604471269</v>
      </c>
      <c r="GC162" s="370">
        <f t="shared" si="2232"/>
        <v>0</v>
      </c>
      <c r="GD162" s="371">
        <f t="shared" si="2233"/>
        <v>0</v>
      </c>
      <c r="GE162" s="364"/>
      <c r="GF162" s="366">
        <f t="shared" si="2312"/>
        <v>6</v>
      </c>
      <c r="GG162" s="367" t="str">
        <f t="shared" ref="GG162:GI162" si="2373">IFERROR(VLOOKUP($R162,$A$13:$D$30,-GG$12,FALSE),"")</f>
        <v>Pasir Besi </v>
      </c>
      <c r="GH162" s="368" t="str">
        <f t="shared" si="2373"/>
        <v>Bijih </v>
      </c>
      <c r="GI162" s="368" t="str">
        <f t="shared" si="2373"/>
        <v>Ton </v>
      </c>
      <c r="GJ162" s="361"/>
      <c r="GK162" s="361" t="str">
        <f t="shared" si="2235"/>
        <v/>
      </c>
      <c r="GL162" s="361">
        <f t="shared" si="2236"/>
        <v>0</v>
      </c>
      <c r="GM162" s="369"/>
      <c r="GN162" s="361">
        <f t="shared" si="2237"/>
        <v>0</v>
      </c>
      <c r="GO162" s="410"/>
      <c r="GP162" s="96"/>
      <c r="GQ162" s="96"/>
      <c r="GR162" s="361">
        <f t="shared" si="2238"/>
        <v>0</v>
      </c>
      <c r="GS162" s="369">
        <f t="shared" si="2239"/>
        <v>0.4604471269</v>
      </c>
      <c r="GT162" s="370">
        <f t="shared" si="2240"/>
        <v>0</v>
      </c>
      <c r="GU162" s="371">
        <f t="shared" si="2241"/>
        <v>0</v>
      </c>
      <c r="GV162" s="364"/>
      <c r="GW162" s="366">
        <f t="shared" si="2314"/>
        <v>6</v>
      </c>
      <c r="GX162" s="367" t="str">
        <f t="shared" ref="GX162:GZ162" si="2374">IFERROR(VLOOKUP($R162,$A$13:$D$30,-GX$12,FALSE),"")</f>
        <v>Pasir Besi </v>
      </c>
      <c r="GY162" s="368" t="str">
        <f t="shared" si="2374"/>
        <v>Bijih </v>
      </c>
      <c r="GZ162" s="368" t="str">
        <f t="shared" si="2374"/>
        <v>Ton </v>
      </c>
      <c r="HA162" s="372"/>
      <c r="HB162" s="361" t="str">
        <f t="shared" si="2243"/>
        <v/>
      </c>
      <c r="HC162" s="361">
        <f t="shared" si="2244"/>
        <v>0</v>
      </c>
      <c r="HD162" s="369"/>
      <c r="HE162" s="361">
        <f t="shared" si="2245"/>
        <v>0</v>
      </c>
      <c r="HF162" s="410"/>
      <c r="HG162" s="96"/>
      <c r="HH162" s="96"/>
      <c r="HI162" s="361">
        <f t="shared" si="2246"/>
        <v>0</v>
      </c>
      <c r="HJ162" s="369">
        <f t="shared" si="2247"/>
        <v>0.4604471269</v>
      </c>
      <c r="HK162" s="370">
        <f t="shared" si="2248"/>
        <v>0</v>
      </c>
      <c r="HL162" s="371">
        <f t="shared" si="2249"/>
        <v>0</v>
      </c>
      <c r="HM162" s="364"/>
      <c r="HN162" s="366">
        <f t="shared" si="2316"/>
        <v>6</v>
      </c>
      <c r="HO162" s="367" t="str">
        <f t="shared" ref="HO162:HQ162" si="2375">IFERROR(VLOOKUP($R162,$A$13:$D$30,-HO$12,FALSE),"")</f>
        <v>Pasir Besi </v>
      </c>
      <c r="HP162" s="368" t="str">
        <f t="shared" si="2375"/>
        <v>Bijih </v>
      </c>
      <c r="HQ162" s="368" t="str">
        <f t="shared" si="2375"/>
        <v>Ton </v>
      </c>
      <c r="HR162" s="361"/>
      <c r="HS162" s="361" t="str">
        <f t="shared" si="2251"/>
        <v/>
      </c>
      <c r="HT162" s="361">
        <f t="shared" si="2252"/>
        <v>0</v>
      </c>
      <c r="HU162" s="369"/>
      <c r="HV162" s="361">
        <f t="shared" si="2253"/>
        <v>0</v>
      </c>
      <c r="HW162" s="410"/>
      <c r="HX162" s="96"/>
      <c r="HY162" s="96"/>
      <c r="HZ162" s="361">
        <f t="shared" si="2254"/>
        <v>0</v>
      </c>
      <c r="IA162" s="369">
        <f t="shared" si="2255"/>
        <v>0.4604471269</v>
      </c>
      <c r="IB162" s="370">
        <f t="shared" si="2256"/>
        <v>0</v>
      </c>
      <c r="IC162" s="371">
        <f t="shared" si="2257"/>
        <v>0</v>
      </c>
      <c r="ID162" s="364"/>
      <c r="IE162" s="366">
        <f t="shared" si="2318"/>
        <v>6</v>
      </c>
      <c r="IF162" s="367" t="str">
        <f t="shared" ref="IF162:IH162" si="2376">IFERROR(VLOOKUP($R162,$A$13:$D$30,-IF$12,FALSE),"")</f>
        <v>Pasir Besi </v>
      </c>
      <c r="IG162" s="368" t="str">
        <f t="shared" si="2376"/>
        <v>Bijih </v>
      </c>
      <c r="IH162" s="368" t="str">
        <f t="shared" si="2376"/>
        <v>Ton </v>
      </c>
      <c r="II162" s="361"/>
      <c r="IJ162" s="361" t="str">
        <f t="shared" si="2259"/>
        <v/>
      </c>
      <c r="IK162" s="361">
        <f t="shared" si="2260"/>
        <v>0</v>
      </c>
      <c r="IL162" s="369"/>
      <c r="IM162" s="361">
        <f t="shared" si="2261"/>
        <v>0</v>
      </c>
      <c r="IN162" s="410"/>
      <c r="IO162" s="96"/>
      <c r="IP162" s="96"/>
      <c r="IQ162" s="361">
        <f t="shared" si="2262"/>
        <v>0</v>
      </c>
      <c r="IR162" s="369">
        <f t="shared" si="2263"/>
        <v>0.4604471269</v>
      </c>
      <c r="IS162" s="370">
        <f t="shared" si="2264"/>
        <v>0</v>
      </c>
      <c r="IT162" s="371">
        <f t="shared" si="2265"/>
        <v>0</v>
      </c>
      <c r="IU162" s="364"/>
      <c r="IV162" s="366">
        <f t="shared" si="2320"/>
        <v>6</v>
      </c>
      <c r="IW162" s="367" t="str">
        <f t="shared" ref="IW162:IY162" si="2377">IFERROR(VLOOKUP($R162,$A$13:$D$30,-IW$12,FALSE),"")</f>
        <v>Pasir Besi </v>
      </c>
      <c r="IX162" s="368" t="str">
        <f t="shared" si="2377"/>
        <v>Bijih </v>
      </c>
      <c r="IY162" s="368" t="str">
        <f t="shared" si="2377"/>
        <v>Ton </v>
      </c>
      <c r="IZ162" s="361"/>
      <c r="JA162" s="361" t="str">
        <f t="shared" si="2267"/>
        <v/>
      </c>
      <c r="JB162" s="361">
        <f t="shared" si="2268"/>
        <v>0</v>
      </c>
      <c r="JC162" s="369"/>
      <c r="JD162" s="361">
        <f t="shared" si="2269"/>
        <v>0</v>
      </c>
      <c r="JE162" s="410"/>
      <c r="JF162" s="96"/>
      <c r="JG162" s="96"/>
      <c r="JH162" s="361">
        <f t="shared" si="2270"/>
        <v>0</v>
      </c>
      <c r="JI162" s="369">
        <f t="shared" si="2271"/>
        <v>0.4604471269</v>
      </c>
      <c r="JJ162" s="370">
        <f t="shared" si="2272"/>
        <v>0</v>
      </c>
      <c r="JK162" s="371">
        <f t="shared" si="2273"/>
        <v>0</v>
      </c>
      <c r="JL162" s="364"/>
      <c r="JM162" s="366">
        <f t="shared" si="2322"/>
        <v>6</v>
      </c>
      <c r="JN162" s="367" t="str">
        <f t="shared" ref="JN162:JP162" si="2378">IFERROR(VLOOKUP($R162,$A$13:$D$30,-JN$12,FALSE),"")</f>
        <v>Pasir Besi </v>
      </c>
      <c r="JO162" s="368" t="str">
        <f t="shared" si="2378"/>
        <v>Bijih </v>
      </c>
      <c r="JP162" s="368" t="str">
        <f t="shared" si="2378"/>
        <v>Ton </v>
      </c>
      <c r="JQ162" s="361"/>
      <c r="JR162" s="361" t="str">
        <f t="shared" si="2275"/>
        <v/>
      </c>
      <c r="JS162" s="361">
        <f t="shared" si="2276"/>
        <v>0</v>
      </c>
      <c r="JT162" s="369"/>
      <c r="JU162" s="361">
        <f t="shared" si="2277"/>
        <v>0</v>
      </c>
      <c r="JV162" s="410"/>
      <c r="JW162" s="96"/>
      <c r="JX162" s="96"/>
      <c r="JY162" s="361">
        <f t="shared" si="2278"/>
        <v>0</v>
      </c>
      <c r="JZ162" s="369">
        <f t="shared" si="2279"/>
        <v>0.4604471269</v>
      </c>
      <c r="KA162" s="370">
        <f t="shared" si="2280"/>
        <v>0</v>
      </c>
      <c r="KB162" s="371">
        <f t="shared" si="2281"/>
        <v>0</v>
      </c>
      <c r="KC162" s="364"/>
      <c r="KD162" s="366">
        <f t="shared" si="2324"/>
        <v>6</v>
      </c>
      <c r="KE162" s="367" t="str">
        <f t="shared" ref="KE162:KG162" si="2379">IFERROR(VLOOKUP($R162,$A$13:$D$30,-KE$12,FALSE),"")</f>
        <v>Pasir Besi </v>
      </c>
      <c r="KF162" s="368" t="str">
        <f t="shared" si="2379"/>
        <v>Bijih </v>
      </c>
      <c r="KG162" s="368" t="str">
        <f t="shared" si="2379"/>
        <v>Ton </v>
      </c>
      <c r="KH162" s="361"/>
      <c r="KI162" s="361" t="str">
        <f t="shared" si="2283"/>
        <v/>
      </c>
      <c r="KJ162" s="361">
        <f t="shared" si="2284"/>
        <v>0</v>
      </c>
      <c r="KK162" s="369"/>
      <c r="KL162" s="361">
        <f t="shared" si="2285"/>
        <v>0</v>
      </c>
      <c r="KM162" s="410"/>
      <c r="KN162" s="96"/>
      <c r="KO162" s="96"/>
      <c r="KP162" s="361">
        <f t="shared" si="2286"/>
        <v>0</v>
      </c>
      <c r="KQ162" s="369">
        <f t="shared" si="2287"/>
        <v>0.4604471269</v>
      </c>
      <c r="KR162" s="370">
        <f t="shared" si="2288"/>
        <v>0</v>
      </c>
      <c r="KS162" s="371">
        <f t="shared" si="2289"/>
        <v>0</v>
      </c>
      <c r="KT162" s="364"/>
      <c r="KU162" s="365"/>
    </row>
    <row r="163" ht="15.75" customHeight="1">
      <c r="A163" s="366">
        <f t="shared" si="2290"/>
        <v>7</v>
      </c>
      <c r="B163" s="367" t="str">
        <f t="shared" ref="B163:D163" si="2380">IFERROR(VLOOKUP($A163,$A$13:$D$30,-B$12,FALSE),"")</f>
        <v>Timah</v>
      </c>
      <c r="C163" s="368" t="str">
        <f t="shared" si="2380"/>
        <v>Bijih </v>
      </c>
      <c r="D163" s="368" t="str">
        <f t="shared" si="2380"/>
        <v>Ton </v>
      </c>
      <c r="E163" s="361"/>
      <c r="F163" s="361" t="str">
        <f t="shared" si="2147"/>
        <v/>
      </c>
      <c r="G163" s="361">
        <f t="shared" si="2148"/>
        <v>0</v>
      </c>
      <c r="H163" s="369"/>
      <c r="I163" s="361">
        <f t="shared" si="2149"/>
        <v>0</v>
      </c>
      <c r="J163" s="410"/>
      <c r="K163" s="96"/>
      <c r="L163" s="96"/>
      <c r="M163" s="361">
        <f t="shared" si="2150"/>
        <v>0</v>
      </c>
      <c r="N163" s="369">
        <f t="shared" si="2151"/>
        <v>0.4604471269</v>
      </c>
      <c r="O163" s="370">
        <f t="shared" si="2152"/>
        <v>0</v>
      </c>
      <c r="P163" s="371">
        <f t="shared" si="2153"/>
        <v>0</v>
      </c>
      <c r="Q163" s="364"/>
      <c r="R163" s="366">
        <f t="shared" si="2292"/>
        <v>7</v>
      </c>
      <c r="S163" s="367" t="str">
        <f t="shared" ref="S163:U163" si="2381">IFERROR(VLOOKUP($R163,$A$13:$D$30,-S$12,FALSE),"")</f>
        <v>Timah</v>
      </c>
      <c r="T163" s="368" t="str">
        <f t="shared" si="2381"/>
        <v>Bijih </v>
      </c>
      <c r="U163" s="368" t="str">
        <f t="shared" si="2381"/>
        <v>Ton </v>
      </c>
      <c r="V163" s="361"/>
      <c r="W163" s="361" t="str">
        <f t="shared" si="2155"/>
        <v/>
      </c>
      <c r="X163" s="361">
        <f t="shared" si="2156"/>
        <v>0</v>
      </c>
      <c r="Y163" s="369"/>
      <c r="Z163" s="361">
        <f t="shared" si="2157"/>
        <v>0</v>
      </c>
      <c r="AA163" s="410"/>
      <c r="AB163" s="96"/>
      <c r="AC163" s="96"/>
      <c r="AD163" s="361">
        <f t="shared" si="2158"/>
        <v>0</v>
      </c>
      <c r="AE163" s="369">
        <f t="shared" si="2159"/>
        <v>0.4604471269</v>
      </c>
      <c r="AF163" s="370">
        <f t="shared" si="2160"/>
        <v>0</v>
      </c>
      <c r="AG163" s="371">
        <f t="shared" si="2161"/>
        <v>0</v>
      </c>
      <c r="AH163" s="364"/>
      <c r="AI163" s="366">
        <f t="shared" si="2294"/>
        <v>7</v>
      </c>
      <c r="AJ163" s="367" t="str">
        <f t="shared" ref="AJ163:AL163" si="2382">IFERROR(VLOOKUP($R163,$A$13:$D$30,-AJ$12,FALSE),"")</f>
        <v>Timah</v>
      </c>
      <c r="AK163" s="368" t="str">
        <f t="shared" si="2382"/>
        <v>Bijih </v>
      </c>
      <c r="AL163" s="368" t="str">
        <f t="shared" si="2382"/>
        <v>Ton </v>
      </c>
      <c r="AM163" s="361"/>
      <c r="AN163" s="361" t="str">
        <f t="shared" si="2163"/>
        <v/>
      </c>
      <c r="AO163" s="361">
        <f t="shared" si="2164"/>
        <v>0</v>
      </c>
      <c r="AP163" s="369"/>
      <c r="AQ163" s="361">
        <f t="shared" si="2165"/>
        <v>0</v>
      </c>
      <c r="AR163" s="410"/>
      <c r="AS163" s="96"/>
      <c r="AT163" s="96"/>
      <c r="AU163" s="361">
        <f t="shared" si="2166"/>
        <v>0</v>
      </c>
      <c r="AV163" s="369">
        <f t="shared" si="2167"/>
        <v>0.4604471269</v>
      </c>
      <c r="AW163" s="370">
        <f t="shared" si="2168"/>
        <v>0</v>
      </c>
      <c r="AX163" s="371">
        <f t="shared" si="2169"/>
        <v>0</v>
      </c>
      <c r="AY163" s="364"/>
      <c r="AZ163" s="366">
        <f t="shared" si="2296"/>
        <v>7</v>
      </c>
      <c r="BA163" s="367" t="str">
        <f t="shared" ref="BA163:BC163" si="2383">IFERROR(VLOOKUP($R163,$A$13:$D$30,-BA$12,FALSE),"")</f>
        <v>Timah</v>
      </c>
      <c r="BB163" s="368" t="str">
        <f t="shared" si="2383"/>
        <v>Bijih </v>
      </c>
      <c r="BC163" s="368" t="str">
        <f t="shared" si="2383"/>
        <v>Ton </v>
      </c>
      <c r="BD163" s="361"/>
      <c r="BE163" s="361" t="str">
        <f t="shared" si="2171"/>
        <v/>
      </c>
      <c r="BF163" s="361">
        <f t="shared" si="2172"/>
        <v>0</v>
      </c>
      <c r="BG163" s="369"/>
      <c r="BH163" s="361">
        <f t="shared" si="2173"/>
        <v>0</v>
      </c>
      <c r="BI163" s="410"/>
      <c r="BJ163" s="96"/>
      <c r="BK163" s="96"/>
      <c r="BL163" s="361">
        <f t="shared" si="2174"/>
        <v>0</v>
      </c>
      <c r="BM163" s="369">
        <f t="shared" si="2175"/>
        <v>0.4604471269</v>
      </c>
      <c r="BN163" s="370">
        <f t="shared" si="2176"/>
        <v>0</v>
      </c>
      <c r="BO163" s="371">
        <f t="shared" si="2177"/>
        <v>0</v>
      </c>
      <c r="BP163" s="364"/>
      <c r="BQ163" s="366">
        <f t="shared" si="2298"/>
        <v>7</v>
      </c>
      <c r="BR163" s="367" t="str">
        <f t="shared" ref="BR163:BT163" si="2384">IFERROR(VLOOKUP($R163,$A$13:$D$30,-BR$12,FALSE),"")</f>
        <v>Timah</v>
      </c>
      <c r="BS163" s="368" t="str">
        <f t="shared" si="2384"/>
        <v>Bijih </v>
      </c>
      <c r="BT163" s="368" t="str">
        <f t="shared" si="2384"/>
        <v>Ton </v>
      </c>
      <c r="BU163" s="361"/>
      <c r="BV163" s="361" t="str">
        <f t="shared" si="2179"/>
        <v/>
      </c>
      <c r="BW163" s="361">
        <f t="shared" si="2180"/>
        <v>0</v>
      </c>
      <c r="BX163" s="369"/>
      <c r="BY163" s="361">
        <f t="shared" si="2181"/>
        <v>0</v>
      </c>
      <c r="BZ163" s="410"/>
      <c r="CA163" s="96"/>
      <c r="CB163" s="96"/>
      <c r="CC163" s="361">
        <f t="shared" si="2182"/>
        <v>0</v>
      </c>
      <c r="CD163" s="369">
        <f t="shared" si="2183"/>
        <v>0.4604471269</v>
      </c>
      <c r="CE163" s="370">
        <f t="shared" si="2184"/>
        <v>0</v>
      </c>
      <c r="CF163" s="371">
        <f t="shared" si="2185"/>
        <v>0</v>
      </c>
      <c r="CG163" s="364"/>
      <c r="CH163" s="366">
        <f t="shared" si="2300"/>
        <v>7</v>
      </c>
      <c r="CI163" s="367" t="str">
        <f t="shared" ref="CI163:CK163" si="2385">IFERROR(VLOOKUP($R163,$A$13:$D$30,-CI$12,FALSE),"")</f>
        <v>Timah</v>
      </c>
      <c r="CJ163" s="368" t="str">
        <f t="shared" si="2385"/>
        <v>Bijih </v>
      </c>
      <c r="CK163" s="368" t="str">
        <f t="shared" si="2385"/>
        <v>Ton </v>
      </c>
      <c r="CL163" s="361"/>
      <c r="CM163" s="361" t="str">
        <f t="shared" si="2187"/>
        <v/>
      </c>
      <c r="CN163" s="361">
        <f t="shared" si="2188"/>
        <v>0</v>
      </c>
      <c r="CO163" s="369"/>
      <c r="CP163" s="361">
        <f t="shared" si="2189"/>
        <v>0</v>
      </c>
      <c r="CQ163" s="410"/>
      <c r="CR163" s="96"/>
      <c r="CS163" s="96"/>
      <c r="CT163" s="361">
        <f t="shared" si="2190"/>
        <v>0</v>
      </c>
      <c r="CU163" s="369">
        <f t="shared" si="2191"/>
        <v>0.4604471269</v>
      </c>
      <c r="CV163" s="370">
        <f t="shared" si="2192"/>
        <v>0</v>
      </c>
      <c r="CW163" s="371">
        <f t="shared" si="2193"/>
        <v>0</v>
      </c>
      <c r="CX163" s="364"/>
      <c r="CY163" s="366">
        <f t="shared" si="2302"/>
        <v>7</v>
      </c>
      <c r="CZ163" s="367" t="str">
        <f t="shared" ref="CZ163:DB163" si="2386">IFERROR(VLOOKUP($R163,$A$13:$D$30,-CZ$12,FALSE),"")</f>
        <v>Timah</v>
      </c>
      <c r="DA163" s="368" t="str">
        <f t="shared" si="2386"/>
        <v>Bijih </v>
      </c>
      <c r="DB163" s="368" t="str">
        <f t="shared" si="2386"/>
        <v>Ton </v>
      </c>
      <c r="DC163" s="361"/>
      <c r="DD163" s="361" t="str">
        <f t="shared" si="2195"/>
        <v/>
      </c>
      <c r="DE163" s="361">
        <f t="shared" si="2196"/>
        <v>0</v>
      </c>
      <c r="DF163" s="369"/>
      <c r="DG163" s="361">
        <f t="shared" si="2197"/>
        <v>0</v>
      </c>
      <c r="DH163" s="410"/>
      <c r="DI163" s="96"/>
      <c r="DJ163" s="96"/>
      <c r="DK163" s="361">
        <f t="shared" si="2198"/>
        <v>0</v>
      </c>
      <c r="DL163" s="369">
        <f t="shared" si="2199"/>
        <v>0.4604471269</v>
      </c>
      <c r="DM163" s="370">
        <f t="shared" si="2200"/>
        <v>0</v>
      </c>
      <c r="DN163" s="371">
        <f t="shared" si="2201"/>
        <v>0</v>
      </c>
      <c r="DO163" s="364"/>
      <c r="DP163" s="366">
        <f t="shared" si="2304"/>
        <v>7</v>
      </c>
      <c r="DQ163" s="367" t="str">
        <f t="shared" ref="DQ163:DS163" si="2387">IFERROR(VLOOKUP($R163,$A$13:$D$30,-DQ$12,FALSE),"")</f>
        <v>Timah</v>
      </c>
      <c r="DR163" s="368" t="str">
        <f t="shared" si="2387"/>
        <v>Bijih </v>
      </c>
      <c r="DS163" s="368" t="str">
        <f t="shared" si="2387"/>
        <v>Ton </v>
      </c>
      <c r="DT163" s="361"/>
      <c r="DU163" s="361" t="str">
        <f t="shared" si="2203"/>
        <v/>
      </c>
      <c r="DV163" s="361">
        <f t="shared" si="2204"/>
        <v>0</v>
      </c>
      <c r="DW163" s="369"/>
      <c r="DX163" s="361">
        <f t="shared" si="2205"/>
        <v>0</v>
      </c>
      <c r="DY163" s="410"/>
      <c r="DZ163" s="96"/>
      <c r="EA163" s="96"/>
      <c r="EB163" s="361">
        <f t="shared" si="2206"/>
        <v>0</v>
      </c>
      <c r="EC163" s="369">
        <f t="shared" si="2207"/>
        <v>0.4604471269</v>
      </c>
      <c r="ED163" s="370">
        <f t="shared" si="2208"/>
        <v>0</v>
      </c>
      <c r="EE163" s="371">
        <f t="shared" si="2209"/>
        <v>0</v>
      </c>
      <c r="EF163" s="364"/>
      <c r="EG163" s="366">
        <f t="shared" si="2306"/>
        <v>7</v>
      </c>
      <c r="EH163" s="367" t="str">
        <f t="shared" ref="EH163:EJ163" si="2388">IFERROR(VLOOKUP($R163,$A$13:$D$30,-EH$12,FALSE),"")</f>
        <v>Timah</v>
      </c>
      <c r="EI163" s="368" t="str">
        <f t="shared" si="2388"/>
        <v>Bijih </v>
      </c>
      <c r="EJ163" s="368" t="str">
        <f t="shared" si="2388"/>
        <v>Ton </v>
      </c>
      <c r="EK163" s="361"/>
      <c r="EL163" s="361" t="str">
        <f t="shared" si="2211"/>
        <v/>
      </c>
      <c r="EM163" s="361">
        <f t="shared" si="2212"/>
        <v>0</v>
      </c>
      <c r="EN163" s="369"/>
      <c r="EO163" s="361">
        <f t="shared" si="2213"/>
        <v>0</v>
      </c>
      <c r="EP163" s="410"/>
      <c r="EQ163" s="96"/>
      <c r="ER163" s="96"/>
      <c r="ES163" s="361">
        <f t="shared" si="2214"/>
        <v>0</v>
      </c>
      <c r="ET163" s="369">
        <f t="shared" si="2215"/>
        <v>0.4604471269</v>
      </c>
      <c r="EU163" s="370">
        <f t="shared" si="2216"/>
        <v>0</v>
      </c>
      <c r="EV163" s="371">
        <f t="shared" si="2217"/>
        <v>0</v>
      </c>
      <c r="EW163" s="364"/>
      <c r="EX163" s="366">
        <f t="shared" si="2308"/>
        <v>7</v>
      </c>
      <c r="EY163" s="367" t="str">
        <f t="shared" ref="EY163:FA163" si="2389">IFERROR(VLOOKUP($R163,$A$13:$D$30,-EY$12,FALSE),"")</f>
        <v>Timah</v>
      </c>
      <c r="EZ163" s="368" t="str">
        <f t="shared" si="2389"/>
        <v>Bijih </v>
      </c>
      <c r="FA163" s="368" t="str">
        <f t="shared" si="2389"/>
        <v>Ton </v>
      </c>
      <c r="FB163" s="361"/>
      <c r="FC163" s="361" t="str">
        <f t="shared" si="2219"/>
        <v/>
      </c>
      <c r="FD163" s="361">
        <f t="shared" si="2220"/>
        <v>0</v>
      </c>
      <c r="FE163" s="369"/>
      <c r="FF163" s="361">
        <f t="shared" si="2221"/>
        <v>0</v>
      </c>
      <c r="FG163" s="410"/>
      <c r="FH163" s="96"/>
      <c r="FI163" s="96"/>
      <c r="FJ163" s="361">
        <f t="shared" si="2222"/>
        <v>0</v>
      </c>
      <c r="FK163" s="369">
        <f t="shared" si="2223"/>
        <v>0.4604471269</v>
      </c>
      <c r="FL163" s="370">
        <f t="shared" si="2224"/>
        <v>0</v>
      </c>
      <c r="FM163" s="371">
        <f t="shared" si="2225"/>
        <v>0</v>
      </c>
      <c r="FN163" s="364"/>
      <c r="FO163" s="366">
        <f t="shared" si="2310"/>
        <v>7</v>
      </c>
      <c r="FP163" s="367" t="str">
        <f t="shared" ref="FP163:FR163" si="2390">IFERROR(VLOOKUP($R163,$A$13:$D$30,-FP$12,FALSE),"")</f>
        <v>Timah</v>
      </c>
      <c r="FQ163" s="368" t="str">
        <f t="shared" si="2390"/>
        <v>Bijih </v>
      </c>
      <c r="FR163" s="368" t="str">
        <f t="shared" si="2390"/>
        <v>Ton </v>
      </c>
      <c r="FS163" s="361"/>
      <c r="FT163" s="361" t="str">
        <f t="shared" si="2227"/>
        <v/>
      </c>
      <c r="FU163" s="361">
        <f t="shared" si="2228"/>
        <v>0</v>
      </c>
      <c r="FV163" s="369"/>
      <c r="FW163" s="361">
        <f t="shared" si="2229"/>
        <v>0</v>
      </c>
      <c r="FX163" s="410"/>
      <c r="FY163" s="96"/>
      <c r="FZ163" s="96"/>
      <c r="GA163" s="361">
        <f t="shared" si="2230"/>
        <v>0</v>
      </c>
      <c r="GB163" s="369">
        <f t="shared" si="2231"/>
        <v>0.4604471269</v>
      </c>
      <c r="GC163" s="370">
        <f t="shared" si="2232"/>
        <v>0</v>
      </c>
      <c r="GD163" s="371">
        <f t="shared" si="2233"/>
        <v>0</v>
      </c>
      <c r="GE163" s="364"/>
      <c r="GF163" s="366">
        <f t="shared" si="2312"/>
        <v>7</v>
      </c>
      <c r="GG163" s="367" t="str">
        <f t="shared" ref="GG163:GI163" si="2391">IFERROR(VLOOKUP($R163,$A$13:$D$30,-GG$12,FALSE),"")</f>
        <v>Timah</v>
      </c>
      <c r="GH163" s="368" t="str">
        <f t="shared" si="2391"/>
        <v>Bijih </v>
      </c>
      <c r="GI163" s="368" t="str">
        <f t="shared" si="2391"/>
        <v>Ton </v>
      </c>
      <c r="GJ163" s="361"/>
      <c r="GK163" s="361" t="str">
        <f t="shared" si="2235"/>
        <v/>
      </c>
      <c r="GL163" s="361">
        <f t="shared" si="2236"/>
        <v>0</v>
      </c>
      <c r="GM163" s="369"/>
      <c r="GN163" s="361">
        <f t="shared" si="2237"/>
        <v>0</v>
      </c>
      <c r="GO163" s="410"/>
      <c r="GP163" s="96"/>
      <c r="GQ163" s="96"/>
      <c r="GR163" s="361">
        <f t="shared" si="2238"/>
        <v>0</v>
      </c>
      <c r="GS163" s="369">
        <f t="shared" si="2239"/>
        <v>0.4604471269</v>
      </c>
      <c r="GT163" s="370">
        <f t="shared" si="2240"/>
        <v>0</v>
      </c>
      <c r="GU163" s="371">
        <f t="shared" si="2241"/>
        <v>0</v>
      </c>
      <c r="GV163" s="364"/>
      <c r="GW163" s="366">
        <f t="shared" si="2314"/>
        <v>7</v>
      </c>
      <c r="GX163" s="367" t="str">
        <f t="shared" ref="GX163:GZ163" si="2392">IFERROR(VLOOKUP($R163,$A$13:$D$30,-GX$12,FALSE),"")</f>
        <v>Timah</v>
      </c>
      <c r="GY163" s="368" t="str">
        <f t="shared" si="2392"/>
        <v>Bijih </v>
      </c>
      <c r="GZ163" s="368" t="str">
        <f t="shared" si="2392"/>
        <v>Ton </v>
      </c>
      <c r="HA163" s="372"/>
      <c r="HB163" s="361" t="str">
        <f t="shared" si="2243"/>
        <v/>
      </c>
      <c r="HC163" s="361">
        <f t="shared" si="2244"/>
        <v>0</v>
      </c>
      <c r="HD163" s="369"/>
      <c r="HE163" s="361">
        <f t="shared" si="2245"/>
        <v>0</v>
      </c>
      <c r="HF163" s="410"/>
      <c r="HG163" s="96"/>
      <c r="HH163" s="96"/>
      <c r="HI163" s="361">
        <f t="shared" si="2246"/>
        <v>0</v>
      </c>
      <c r="HJ163" s="369">
        <f t="shared" si="2247"/>
        <v>0.4604471269</v>
      </c>
      <c r="HK163" s="370">
        <f t="shared" si="2248"/>
        <v>0</v>
      </c>
      <c r="HL163" s="371">
        <f t="shared" si="2249"/>
        <v>0</v>
      </c>
      <c r="HM163" s="364"/>
      <c r="HN163" s="366">
        <f t="shared" si="2316"/>
        <v>7</v>
      </c>
      <c r="HO163" s="367" t="str">
        <f t="shared" ref="HO163:HQ163" si="2393">IFERROR(VLOOKUP($R163,$A$13:$D$30,-HO$12,FALSE),"")</f>
        <v>Timah</v>
      </c>
      <c r="HP163" s="368" t="str">
        <f t="shared" si="2393"/>
        <v>Bijih </v>
      </c>
      <c r="HQ163" s="368" t="str">
        <f t="shared" si="2393"/>
        <v>Ton </v>
      </c>
      <c r="HR163" s="361"/>
      <c r="HS163" s="361" t="str">
        <f t="shared" si="2251"/>
        <v/>
      </c>
      <c r="HT163" s="361">
        <f t="shared" si="2252"/>
        <v>0</v>
      </c>
      <c r="HU163" s="369"/>
      <c r="HV163" s="361">
        <f t="shared" si="2253"/>
        <v>0</v>
      </c>
      <c r="HW163" s="410"/>
      <c r="HX163" s="96"/>
      <c r="HY163" s="96"/>
      <c r="HZ163" s="361">
        <f t="shared" si="2254"/>
        <v>0</v>
      </c>
      <c r="IA163" s="369">
        <f t="shared" si="2255"/>
        <v>0.4604471269</v>
      </c>
      <c r="IB163" s="370">
        <f t="shared" si="2256"/>
        <v>0</v>
      </c>
      <c r="IC163" s="371">
        <f t="shared" si="2257"/>
        <v>0</v>
      </c>
      <c r="ID163" s="364"/>
      <c r="IE163" s="366">
        <f t="shared" si="2318"/>
        <v>7</v>
      </c>
      <c r="IF163" s="367" t="str">
        <f t="shared" ref="IF163:IH163" si="2394">IFERROR(VLOOKUP($R163,$A$13:$D$30,-IF$12,FALSE),"")</f>
        <v>Timah</v>
      </c>
      <c r="IG163" s="368" t="str">
        <f t="shared" si="2394"/>
        <v>Bijih </v>
      </c>
      <c r="IH163" s="368" t="str">
        <f t="shared" si="2394"/>
        <v>Ton </v>
      </c>
      <c r="II163" s="361"/>
      <c r="IJ163" s="361" t="str">
        <f t="shared" si="2259"/>
        <v/>
      </c>
      <c r="IK163" s="361">
        <f t="shared" si="2260"/>
        <v>0</v>
      </c>
      <c r="IL163" s="369"/>
      <c r="IM163" s="361">
        <f t="shared" si="2261"/>
        <v>0</v>
      </c>
      <c r="IN163" s="410"/>
      <c r="IO163" s="96"/>
      <c r="IP163" s="96"/>
      <c r="IQ163" s="361">
        <f t="shared" si="2262"/>
        <v>0</v>
      </c>
      <c r="IR163" s="369">
        <f t="shared" si="2263"/>
        <v>0.4604471269</v>
      </c>
      <c r="IS163" s="370">
        <f t="shared" si="2264"/>
        <v>0</v>
      </c>
      <c r="IT163" s="371">
        <f t="shared" si="2265"/>
        <v>0</v>
      </c>
      <c r="IU163" s="364"/>
      <c r="IV163" s="366">
        <f t="shared" si="2320"/>
        <v>7</v>
      </c>
      <c r="IW163" s="367" t="str">
        <f t="shared" ref="IW163:IY163" si="2395">IFERROR(VLOOKUP($R163,$A$13:$D$30,-IW$12,FALSE),"")</f>
        <v>Timah</v>
      </c>
      <c r="IX163" s="368" t="str">
        <f t="shared" si="2395"/>
        <v>Bijih </v>
      </c>
      <c r="IY163" s="368" t="str">
        <f t="shared" si="2395"/>
        <v>Ton </v>
      </c>
      <c r="IZ163" s="361"/>
      <c r="JA163" s="361" t="str">
        <f t="shared" si="2267"/>
        <v/>
      </c>
      <c r="JB163" s="361">
        <f t="shared" si="2268"/>
        <v>0</v>
      </c>
      <c r="JC163" s="369"/>
      <c r="JD163" s="361">
        <f t="shared" si="2269"/>
        <v>0</v>
      </c>
      <c r="JE163" s="410"/>
      <c r="JF163" s="96"/>
      <c r="JG163" s="96"/>
      <c r="JH163" s="361">
        <f t="shared" si="2270"/>
        <v>0</v>
      </c>
      <c r="JI163" s="369">
        <f t="shared" si="2271"/>
        <v>0.4604471269</v>
      </c>
      <c r="JJ163" s="370">
        <f t="shared" si="2272"/>
        <v>0</v>
      </c>
      <c r="JK163" s="371">
        <f t="shared" si="2273"/>
        <v>0</v>
      </c>
      <c r="JL163" s="364"/>
      <c r="JM163" s="366">
        <f t="shared" si="2322"/>
        <v>7</v>
      </c>
      <c r="JN163" s="367" t="str">
        <f t="shared" ref="JN163:JP163" si="2396">IFERROR(VLOOKUP($R163,$A$13:$D$30,-JN$12,FALSE),"")</f>
        <v>Timah</v>
      </c>
      <c r="JO163" s="368" t="str">
        <f t="shared" si="2396"/>
        <v>Bijih </v>
      </c>
      <c r="JP163" s="368" t="str">
        <f t="shared" si="2396"/>
        <v>Ton </v>
      </c>
      <c r="JQ163" s="361"/>
      <c r="JR163" s="361" t="str">
        <f t="shared" si="2275"/>
        <v/>
      </c>
      <c r="JS163" s="361">
        <f t="shared" si="2276"/>
        <v>0</v>
      </c>
      <c r="JT163" s="369"/>
      <c r="JU163" s="361">
        <f t="shared" si="2277"/>
        <v>0</v>
      </c>
      <c r="JV163" s="410"/>
      <c r="JW163" s="96"/>
      <c r="JX163" s="96"/>
      <c r="JY163" s="361">
        <f t="shared" si="2278"/>
        <v>0</v>
      </c>
      <c r="JZ163" s="369">
        <f t="shared" si="2279"/>
        <v>0.4604471269</v>
      </c>
      <c r="KA163" s="370">
        <f t="shared" si="2280"/>
        <v>0</v>
      </c>
      <c r="KB163" s="371">
        <f t="shared" si="2281"/>
        <v>0</v>
      </c>
      <c r="KC163" s="364"/>
      <c r="KD163" s="366">
        <f t="shared" si="2324"/>
        <v>7</v>
      </c>
      <c r="KE163" s="367" t="str">
        <f t="shared" ref="KE163:KG163" si="2397">IFERROR(VLOOKUP($R163,$A$13:$D$30,-KE$12,FALSE),"")</f>
        <v>Timah</v>
      </c>
      <c r="KF163" s="368" t="str">
        <f t="shared" si="2397"/>
        <v>Bijih </v>
      </c>
      <c r="KG163" s="368" t="str">
        <f t="shared" si="2397"/>
        <v>Ton </v>
      </c>
      <c r="KH163" s="361"/>
      <c r="KI163" s="361" t="str">
        <f t="shared" si="2283"/>
        <v/>
      </c>
      <c r="KJ163" s="361">
        <f t="shared" si="2284"/>
        <v>0</v>
      </c>
      <c r="KK163" s="369"/>
      <c r="KL163" s="361">
        <f t="shared" si="2285"/>
        <v>0</v>
      </c>
      <c r="KM163" s="410"/>
      <c r="KN163" s="96"/>
      <c r="KO163" s="96"/>
      <c r="KP163" s="361">
        <f t="shared" si="2286"/>
        <v>0</v>
      </c>
      <c r="KQ163" s="369">
        <f t="shared" si="2287"/>
        <v>0.4604471269</v>
      </c>
      <c r="KR163" s="370">
        <f t="shared" si="2288"/>
        <v>0</v>
      </c>
      <c r="KS163" s="371">
        <f t="shared" si="2289"/>
        <v>0</v>
      </c>
      <c r="KT163" s="364"/>
      <c r="KU163" s="365"/>
    </row>
    <row r="164" ht="15.75" customHeight="1">
      <c r="A164" s="366">
        <f t="shared" si="2290"/>
        <v>8</v>
      </c>
      <c r="B164" s="367" t="str">
        <f t="shared" ref="B164:D164" si="2398">IFERROR(VLOOKUP($A164,$A$13:$D$30,-B$12,FALSE),"")</f>
        <v>Mangan</v>
      </c>
      <c r="C164" s="368" t="str">
        <f t="shared" si="2398"/>
        <v>Bijih </v>
      </c>
      <c r="D164" s="368" t="str">
        <f t="shared" si="2398"/>
        <v>Ton </v>
      </c>
      <c r="E164" s="361"/>
      <c r="F164" s="361" t="str">
        <f t="shared" si="2147"/>
        <v/>
      </c>
      <c r="G164" s="361">
        <f t="shared" si="2148"/>
        <v>0</v>
      </c>
      <c r="H164" s="369"/>
      <c r="I164" s="361">
        <f t="shared" si="2149"/>
        <v>0</v>
      </c>
      <c r="J164" s="410"/>
      <c r="K164" s="96"/>
      <c r="L164" s="96"/>
      <c r="M164" s="361">
        <f t="shared" si="2150"/>
        <v>0</v>
      </c>
      <c r="N164" s="369">
        <f t="shared" si="2151"/>
        <v>0.4604471269</v>
      </c>
      <c r="O164" s="370">
        <f t="shared" si="2152"/>
        <v>0</v>
      </c>
      <c r="P164" s="371">
        <f t="shared" si="2153"/>
        <v>0</v>
      </c>
      <c r="Q164" s="364"/>
      <c r="R164" s="366">
        <f t="shared" si="2292"/>
        <v>8</v>
      </c>
      <c r="S164" s="367" t="str">
        <f t="shared" ref="S164:U164" si="2399">IFERROR(VLOOKUP($R164,$A$13:$D$30,-S$12,FALSE),"")</f>
        <v>Mangan</v>
      </c>
      <c r="T164" s="368" t="str">
        <f t="shared" si="2399"/>
        <v>Bijih </v>
      </c>
      <c r="U164" s="368" t="str">
        <f t="shared" si="2399"/>
        <v>Ton </v>
      </c>
      <c r="V164" s="361"/>
      <c r="W164" s="361" t="str">
        <f t="shared" si="2155"/>
        <v/>
      </c>
      <c r="X164" s="361">
        <f t="shared" si="2156"/>
        <v>0</v>
      </c>
      <c r="Y164" s="369"/>
      <c r="Z164" s="361">
        <f t="shared" si="2157"/>
        <v>0</v>
      </c>
      <c r="AA164" s="410"/>
      <c r="AB164" s="96"/>
      <c r="AC164" s="96"/>
      <c r="AD164" s="361">
        <f t="shared" si="2158"/>
        <v>0</v>
      </c>
      <c r="AE164" s="369">
        <f t="shared" si="2159"/>
        <v>0.4604471269</v>
      </c>
      <c r="AF164" s="370">
        <f t="shared" si="2160"/>
        <v>0</v>
      </c>
      <c r="AG164" s="371">
        <f t="shared" si="2161"/>
        <v>0</v>
      </c>
      <c r="AH164" s="364"/>
      <c r="AI164" s="366">
        <f t="shared" si="2294"/>
        <v>8</v>
      </c>
      <c r="AJ164" s="367" t="str">
        <f t="shared" ref="AJ164:AL164" si="2400">IFERROR(VLOOKUP($R164,$A$13:$D$30,-AJ$12,FALSE),"")</f>
        <v>Mangan</v>
      </c>
      <c r="AK164" s="368" t="str">
        <f t="shared" si="2400"/>
        <v>Bijih </v>
      </c>
      <c r="AL164" s="368" t="str">
        <f t="shared" si="2400"/>
        <v>Ton </v>
      </c>
      <c r="AM164" s="361"/>
      <c r="AN164" s="361" t="str">
        <f t="shared" si="2163"/>
        <v/>
      </c>
      <c r="AO164" s="361">
        <f t="shared" si="2164"/>
        <v>0</v>
      </c>
      <c r="AP164" s="369"/>
      <c r="AQ164" s="361">
        <f t="shared" si="2165"/>
        <v>0</v>
      </c>
      <c r="AR164" s="410"/>
      <c r="AS164" s="96"/>
      <c r="AT164" s="96"/>
      <c r="AU164" s="361">
        <f t="shared" si="2166"/>
        <v>0</v>
      </c>
      <c r="AV164" s="369">
        <f t="shared" si="2167"/>
        <v>0.4604471269</v>
      </c>
      <c r="AW164" s="370">
        <f t="shared" si="2168"/>
        <v>0</v>
      </c>
      <c r="AX164" s="371">
        <f t="shared" si="2169"/>
        <v>0</v>
      </c>
      <c r="AY164" s="364"/>
      <c r="AZ164" s="366">
        <f t="shared" si="2296"/>
        <v>8</v>
      </c>
      <c r="BA164" s="367" t="str">
        <f t="shared" ref="BA164:BC164" si="2401">IFERROR(VLOOKUP($R164,$A$13:$D$30,-BA$12,FALSE),"")</f>
        <v>Mangan</v>
      </c>
      <c r="BB164" s="368" t="str">
        <f t="shared" si="2401"/>
        <v>Bijih </v>
      </c>
      <c r="BC164" s="368" t="str">
        <f t="shared" si="2401"/>
        <v>Ton </v>
      </c>
      <c r="BD164" s="361"/>
      <c r="BE164" s="361" t="str">
        <f t="shared" si="2171"/>
        <v/>
      </c>
      <c r="BF164" s="361">
        <f t="shared" si="2172"/>
        <v>0</v>
      </c>
      <c r="BG164" s="369"/>
      <c r="BH164" s="361">
        <f t="shared" si="2173"/>
        <v>0</v>
      </c>
      <c r="BI164" s="410"/>
      <c r="BJ164" s="96"/>
      <c r="BK164" s="96"/>
      <c r="BL164" s="361">
        <f t="shared" si="2174"/>
        <v>0</v>
      </c>
      <c r="BM164" s="369">
        <f t="shared" si="2175"/>
        <v>0.4604471269</v>
      </c>
      <c r="BN164" s="370">
        <f t="shared" si="2176"/>
        <v>0</v>
      </c>
      <c r="BO164" s="371">
        <f t="shared" si="2177"/>
        <v>0</v>
      </c>
      <c r="BP164" s="364"/>
      <c r="BQ164" s="366">
        <f t="shared" si="2298"/>
        <v>8</v>
      </c>
      <c r="BR164" s="367" t="str">
        <f t="shared" ref="BR164:BT164" si="2402">IFERROR(VLOOKUP($R164,$A$13:$D$30,-BR$12,FALSE),"")</f>
        <v>Mangan</v>
      </c>
      <c r="BS164" s="368" t="str">
        <f t="shared" si="2402"/>
        <v>Bijih </v>
      </c>
      <c r="BT164" s="368" t="str">
        <f t="shared" si="2402"/>
        <v>Ton </v>
      </c>
      <c r="BU164" s="361"/>
      <c r="BV164" s="361" t="str">
        <f t="shared" si="2179"/>
        <v/>
      </c>
      <c r="BW164" s="361">
        <f t="shared" si="2180"/>
        <v>0</v>
      </c>
      <c r="BX164" s="369"/>
      <c r="BY164" s="361">
        <f t="shared" si="2181"/>
        <v>0</v>
      </c>
      <c r="BZ164" s="410"/>
      <c r="CA164" s="96"/>
      <c r="CB164" s="96"/>
      <c r="CC164" s="361">
        <f t="shared" si="2182"/>
        <v>0</v>
      </c>
      <c r="CD164" s="369">
        <f t="shared" si="2183"/>
        <v>0.4604471269</v>
      </c>
      <c r="CE164" s="370">
        <f t="shared" si="2184"/>
        <v>0</v>
      </c>
      <c r="CF164" s="371">
        <f t="shared" si="2185"/>
        <v>0</v>
      </c>
      <c r="CG164" s="364"/>
      <c r="CH164" s="366">
        <f t="shared" si="2300"/>
        <v>8</v>
      </c>
      <c r="CI164" s="367" t="str">
        <f t="shared" ref="CI164:CK164" si="2403">IFERROR(VLOOKUP($R164,$A$13:$D$30,-CI$12,FALSE),"")</f>
        <v>Mangan</v>
      </c>
      <c r="CJ164" s="368" t="str">
        <f t="shared" si="2403"/>
        <v>Bijih </v>
      </c>
      <c r="CK164" s="368" t="str">
        <f t="shared" si="2403"/>
        <v>Ton </v>
      </c>
      <c r="CL164" s="361"/>
      <c r="CM164" s="361" t="str">
        <f t="shared" si="2187"/>
        <v/>
      </c>
      <c r="CN164" s="361">
        <f t="shared" si="2188"/>
        <v>0</v>
      </c>
      <c r="CO164" s="369"/>
      <c r="CP164" s="361">
        <f t="shared" si="2189"/>
        <v>0</v>
      </c>
      <c r="CQ164" s="410"/>
      <c r="CR164" s="96"/>
      <c r="CS164" s="96"/>
      <c r="CT164" s="361">
        <f t="shared" si="2190"/>
        <v>0</v>
      </c>
      <c r="CU164" s="369">
        <f t="shared" si="2191"/>
        <v>0.4604471269</v>
      </c>
      <c r="CV164" s="370">
        <f t="shared" si="2192"/>
        <v>0</v>
      </c>
      <c r="CW164" s="371">
        <f t="shared" si="2193"/>
        <v>0</v>
      </c>
      <c r="CX164" s="364"/>
      <c r="CY164" s="366">
        <f t="shared" si="2302"/>
        <v>8</v>
      </c>
      <c r="CZ164" s="367" t="str">
        <f t="shared" ref="CZ164:DB164" si="2404">IFERROR(VLOOKUP($R164,$A$13:$D$30,-CZ$12,FALSE),"")</f>
        <v>Mangan</v>
      </c>
      <c r="DA164" s="368" t="str">
        <f t="shared" si="2404"/>
        <v>Bijih </v>
      </c>
      <c r="DB164" s="368" t="str">
        <f t="shared" si="2404"/>
        <v>Ton </v>
      </c>
      <c r="DC164" s="361"/>
      <c r="DD164" s="361" t="str">
        <f t="shared" si="2195"/>
        <v/>
      </c>
      <c r="DE164" s="361">
        <f t="shared" si="2196"/>
        <v>0</v>
      </c>
      <c r="DF164" s="369"/>
      <c r="DG164" s="361">
        <f t="shared" si="2197"/>
        <v>0</v>
      </c>
      <c r="DH164" s="410"/>
      <c r="DI164" s="96"/>
      <c r="DJ164" s="96"/>
      <c r="DK164" s="361">
        <f t="shared" si="2198"/>
        <v>0</v>
      </c>
      <c r="DL164" s="369">
        <f t="shared" si="2199"/>
        <v>0.4604471269</v>
      </c>
      <c r="DM164" s="370">
        <f t="shared" si="2200"/>
        <v>0</v>
      </c>
      <c r="DN164" s="371">
        <f t="shared" si="2201"/>
        <v>0</v>
      </c>
      <c r="DO164" s="364"/>
      <c r="DP164" s="366">
        <f t="shared" si="2304"/>
        <v>8</v>
      </c>
      <c r="DQ164" s="367" t="str">
        <f t="shared" ref="DQ164:DS164" si="2405">IFERROR(VLOOKUP($R164,$A$13:$D$30,-DQ$12,FALSE),"")</f>
        <v>Mangan</v>
      </c>
      <c r="DR164" s="368" t="str">
        <f t="shared" si="2405"/>
        <v>Bijih </v>
      </c>
      <c r="DS164" s="368" t="str">
        <f t="shared" si="2405"/>
        <v>Ton </v>
      </c>
      <c r="DT164" s="361"/>
      <c r="DU164" s="361" t="str">
        <f t="shared" si="2203"/>
        <v/>
      </c>
      <c r="DV164" s="361">
        <f t="shared" si="2204"/>
        <v>0</v>
      </c>
      <c r="DW164" s="369"/>
      <c r="DX164" s="361">
        <f t="shared" si="2205"/>
        <v>0</v>
      </c>
      <c r="DY164" s="410"/>
      <c r="DZ164" s="96"/>
      <c r="EA164" s="96"/>
      <c r="EB164" s="361">
        <f t="shared" si="2206"/>
        <v>0</v>
      </c>
      <c r="EC164" s="369">
        <f t="shared" si="2207"/>
        <v>0.4604471269</v>
      </c>
      <c r="ED164" s="370">
        <f t="shared" si="2208"/>
        <v>0</v>
      </c>
      <c r="EE164" s="371">
        <f t="shared" si="2209"/>
        <v>0</v>
      </c>
      <c r="EF164" s="364"/>
      <c r="EG164" s="366">
        <f t="shared" si="2306"/>
        <v>8</v>
      </c>
      <c r="EH164" s="367" t="str">
        <f t="shared" ref="EH164:EJ164" si="2406">IFERROR(VLOOKUP($R164,$A$13:$D$30,-EH$12,FALSE),"")</f>
        <v>Mangan</v>
      </c>
      <c r="EI164" s="368" t="str">
        <f t="shared" si="2406"/>
        <v>Bijih </v>
      </c>
      <c r="EJ164" s="368" t="str">
        <f t="shared" si="2406"/>
        <v>Ton </v>
      </c>
      <c r="EK164" s="361"/>
      <c r="EL164" s="361" t="str">
        <f t="shared" si="2211"/>
        <v/>
      </c>
      <c r="EM164" s="361">
        <f t="shared" si="2212"/>
        <v>0</v>
      </c>
      <c r="EN164" s="369"/>
      <c r="EO164" s="361">
        <f t="shared" si="2213"/>
        <v>0</v>
      </c>
      <c r="EP164" s="410"/>
      <c r="EQ164" s="96"/>
      <c r="ER164" s="96"/>
      <c r="ES164" s="361">
        <f t="shared" si="2214"/>
        <v>0</v>
      </c>
      <c r="ET164" s="369">
        <f t="shared" si="2215"/>
        <v>0.4604471269</v>
      </c>
      <c r="EU164" s="370">
        <f t="shared" si="2216"/>
        <v>0</v>
      </c>
      <c r="EV164" s="371">
        <f t="shared" si="2217"/>
        <v>0</v>
      </c>
      <c r="EW164" s="364"/>
      <c r="EX164" s="366">
        <f t="shared" si="2308"/>
        <v>8</v>
      </c>
      <c r="EY164" s="367" t="str">
        <f t="shared" ref="EY164:FA164" si="2407">IFERROR(VLOOKUP($R164,$A$13:$D$30,-EY$12,FALSE),"")</f>
        <v>Mangan</v>
      </c>
      <c r="EZ164" s="368" t="str">
        <f t="shared" si="2407"/>
        <v>Bijih </v>
      </c>
      <c r="FA164" s="368" t="str">
        <f t="shared" si="2407"/>
        <v>Ton </v>
      </c>
      <c r="FB164" s="361"/>
      <c r="FC164" s="361" t="str">
        <f t="shared" si="2219"/>
        <v/>
      </c>
      <c r="FD164" s="361">
        <f t="shared" si="2220"/>
        <v>0</v>
      </c>
      <c r="FE164" s="369"/>
      <c r="FF164" s="361">
        <f t="shared" si="2221"/>
        <v>0</v>
      </c>
      <c r="FG164" s="410"/>
      <c r="FH164" s="96"/>
      <c r="FI164" s="96"/>
      <c r="FJ164" s="361">
        <f t="shared" si="2222"/>
        <v>0</v>
      </c>
      <c r="FK164" s="369">
        <f t="shared" si="2223"/>
        <v>0.4604471269</v>
      </c>
      <c r="FL164" s="370">
        <f t="shared" si="2224"/>
        <v>0</v>
      </c>
      <c r="FM164" s="371">
        <f t="shared" si="2225"/>
        <v>0</v>
      </c>
      <c r="FN164" s="364"/>
      <c r="FO164" s="366">
        <f t="shared" si="2310"/>
        <v>8</v>
      </c>
      <c r="FP164" s="367" t="str">
        <f t="shared" ref="FP164:FR164" si="2408">IFERROR(VLOOKUP($R164,$A$13:$D$30,-FP$12,FALSE),"")</f>
        <v>Mangan</v>
      </c>
      <c r="FQ164" s="368" t="str">
        <f t="shared" si="2408"/>
        <v>Bijih </v>
      </c>
      <c r="FR164" s="368" t="str">
        <f t="shared" si="2408"/>
        <v>Ton </v>
      </c>
      <c r="FS164" s="361"/>
      <c r="FT164" s="361" t="str">
        <f t="shared" si="2227"/>
        <v/>
      </c>
      <c r="FU164" s="361">
        <f t="shared" si="2228"/>
        <v>0</v>
      </c>
      <c r="FV164" s="369"/>
      <c r="FW164" s="361">
        <f t="shared" si="2229"/>
        <v>0</v>
      </c>
      <c r="FX164" s="410"/>
      <c r="FY164" s="96"/>
      <c r="FZ164" s="96"/>
      <c r="GA164" s="361">
        <f t="shared" si="2230"/>
        <v>0</v>
      </c>
      <c r="GB164" s="369">
        <f t="shared" si="2231"/>
        <v>0.4604471269</v>
      </c>
      <c r="GC164" s="370">
        <f t="shared" si="2232"/>
        <v>0</v>
      </c>
      <c r="GD164" s="371">
        <f t="shared" si="2233"/>
        <v>0</v>
      </c>
      <c r="GE164" s="364"/>
      <c r="GF164" s="366">
        <f t="shared" si="2312"/>
        <v>8</v>
      </c>
      <c r="GG164" s="367" t="str">
        <f t="shared" ref="GG164:GI164" si="2409">IFERROR(VLOOKUP($R164,$A$13:$D$30,-GG$12,FALSE),"")</f>
        <v>Mangan</v>
      </c>
      <c r="GH164" s="368" t="str">
        <f t="shared" si="2409"/>
        <v>Bijih </v>
      </c>
      <c r="GI164" s="368" t="str">
        <f t="shared" si="2409"/>
        <v>Ton </v>
      </c>
      <c r="GJ164" s="361"/>
      <c r="GK164" s="361" t="str">
        <f t="shared" si="2235"/>
        <v/>
      </c>
      <c r="GL164" s="361">
        <f t="shared" si="2236"/>
        <v>0</v>
      </c>
      <c r="GM164" s="369"/>
      <c r="GN164" s="361">
        <f t="shared" si="2237"/>
        <v>0</v>
      </c>
      <c r="GO164" s="410"/>
      <c r="GP164" s="96"/>
      <c r="GQ164" s="96"/>
      <c r="GR164" s="361">
        <f t="shared" si="2238"/>
        <v>0</v>
      </c>
      <c r="GS164" s="369">
        <f t="shared" si="2239"/>
        <v>0.4604471269</v>
      </c>
      <c r="GT164" s="370">
        <f t="shared" si="2240"/>
        <v>0</v>
      </c>
      <c r="GU164" s="371">
        <f t="shared" si="2241"/>
        <v>0</v>
      </c>
      <c r="GV164" s="364"/>
      <c r="GW164" s="366">
        <f t="shared" si="2314"/>
        <v>8</v>
      </c>
      <c r="GX164" s="367" t="str">
        <f t="shared" ref="GX164:GZ164" si="2410">IFERROR(VLOOKUP($R164,$A$13:$D$30,-GX$12,FALSE),"")</f>
        <v>Mangan</v>
      </c>
      <c r="GY164" s="368" t="str">
        <f t="shared" si="2410"/>
        <v>Bijih </v>
      </c>
      <c r="GZ164" s="368" t="str">
        <f t="shared" si="2410"/>
        <v>Ton </v>
      </c>
      <c r="HA164" s="372"/>
      <c r="HB164" s="361" t="str">
        <f t="shared" si="2243"/>
        <v/>
      </c>
      <c r="HC164" s="361">
        <f t="shared" si="2244"/>
        <v>0</v>
      </c>
      <c r="HD164" s="369"/>
      <c r="HE164" s="361">
        <f t="shared" si="2245"/>
        <v>0</v>
      </c>
      <c r="HF164" s="410"/>
      <c r="HG164" s="96"/>
      <c r="HH164" s="96"/>
      <c r="HI164" s="361">
        <f t="shared" si="2246"/>
        <v>0</v>
      </c>
      <c r="HJ164" s="369">
        <f t="shared" si="2247"/>
        <v>0.4604471269</v>
      </c>
      <c r="HK164" s="370">
        <f t="shared" si="2248"/>
        <v>0</v>
      </c>
      <c r="HL164" s="371">
        <f t="shared" si="2249"/>
        <v>0</v>
      </c>
      <c r="HM164" s="364"/>
      <c r="HN164" s="366">
        <f t="shared" si="2316"/>
        <v>8</v>
      </c>
      <c r="HO164" s="367" t="str">
        <f t="shared" ref="HO164:HQ164" si="2411">IFERROR(VLOOKUP($R164,$A$13:$D$30,-HO$12,FALSE),"")</f>
        <v>Mangan</v>
      </c>
      <c r="HP164" s="368" t="str">
        <f t="shared" si="2411"/>
        <v>Bijih </v>
      </c>
      <c r="HQ164" s="368" t="str">
        <f t="shared" si="2411"/>
        <v>Ton </v>
      </c>
      <c r="HR164" s="361"/>
      <c r="HS164" s="361" t="str">
        <f t="shared" si="2251"/>
        <v/>
      </c>
      <c r="HT164" s="361">
        <f t="shared" si="2252"/>
        <v>0</v>
      </c>
      <c r="HU164" s="369"/>
      <c r="HV164" s="361">
        <f t="shared" si="2253"/>
        <v>0</v>
      </c>
      <c r="HW164" s="410"/>
      <c r="HX164" s="96"/>
      <c r="HY164" s="96"/>
      <c r="HZ164" s="361">
        <f t="shared" si="2254"/>
        <v>0</v>
      </c>
      <c r="IA164" s="369">
        <f t="shared" si="2255"/>
        <v>0.4604471269</v>
      </c>
      <c r="IB164" s="370">
        <f t="shared" si="2256"/>
        <v>0</v>
      </c>
      <c r="IC164" s="371">
        <f t="shared" si="2257"/>
        <v>0</v>
      </c>
      <c r="ID164" s="364"/>
      <c r="IE164" s="366">
        <f t="shared" si="2318"/>
        <v>8</v>
      </c>
      <c r="IF164" s="367" t="str">
        <f t="shared" ref="IF164:IH164" si="2412">IFERROR(VLOOKUP($R164,$A$13:$D$30,-IF$12,FALSE),"")</f>
        <v>Mangan</v>
      </c>
      <c r="IG164" s="368" t="str">
        <f t="shared" si="2412"/>
        <v>Bijih </v>
      </c>
      <c r="IH164" s="368" t="str">
        <f t="shared" si="2412"/>
        <v>Ton </v>
      </c>
      <c r="II164" s="361"/>
      <c r="IJ164" s="361" t="str">
        <f t="shared" si="2259"/>
        <v/>
      </c>
      <c r="IK164" s="361">
        <f t="shared" si="2260"/>
        <v>0</v>
      </c>
      <c r="IL164" s="369"/>
      <c r="IM164" s="361">
        <f t="shared" si="2261"/>
        <v>0</v>
      </c>
      <c r="IN164" s="410"/>
      <c r="IO164" s="96"/>
      <c r="IP164" s="96"/>
      <c r="IQ164" s="361">
        <f t="shared" si="2262"/>
        <v>0</v>
      </c>
      <c r="IR164" s="369">
        <f t="shared" si="2263"/>
        <v>0.4604471269</v>
      </c>
      <c r="IS164" s="370">
        <f t="shared" si="2264"/>
        <v>0</v>
      </c>
      <c r="IT164" s="371">
        <f t="shared" si="2265"/>
        <v>0</v>
      </c>
      <c r="IU164" s="364"/>
      <c r="IV164" s="366">
        <f t="shared" si="2320"/>
        <v>8</v>
      </c>
      <c r="IW164" s="367" t="str">
        <f t="shared" ref="IW164:IY164" si="2413">IFERROR(VLOOKUP($R164,$A$13:$D$30,-IW$12,FALSE),"")</f>
        <v>Mangan</v>
      </c>
      <c r="IX164" s="368" t="str">
        <f t="shared" si="2413"/>
        <v>Bijih </v>
      </c>
      <c r="IY164" s="368" t="str">
        <f t="shared" si="2413"/>
        <v>Ton </v>
      </c>
      <c r="IZ164" s="361"/>
      <c r="JA164" s="361" t="str">
        <f t="shared" si="2267"/>
        <v/>
      </c>
      <c r="JB164" s="361">
        <f t="shared" si="2268"/>
        <v>0</v>
      </c>
      <c r="JC164" s="369"/>
      <c r="JD164" s="361">
        <f t="shared" si="2269"/>
        <v>0</v>
      </c>
      <c r="JE164" s="410"/>
      <c r="JF164" s="96"/>
      <c r="JG164" s="96"/>
      <c r="JH164" s="361">
        <f t="shared" si="2270"/>
        <v>0</v>
      </c>
      <c r="JI164" s="369">
        <f t="shared" si="2271"/>
        <v>0.4604471269</v>
      </c>
      <c r="JJ164" s="370">
        <f t="shared" si="2272"/>
        <v>0</v>
      </c>
      <c r="JK164" s="371">
        <f t="shared" si="2273"/>
        <v>0</v>
      </c>
      <c r="JL164" s="364"/>
      <c r="JM164" s="366">
        <f t="shared" si="2322"/>
        <v>8</v>
      </c>
      <c r="JN164" s="367" t="str">
        <f t="shared" ref="JN164:JP164" si="2414">IFERROR(VLOOKUP($R164,$A$13:$D$30,-JN$12,FALSE),"")</f>
        <v>Mangan</v>
      </c>
      <c r="JO164" s="368" t="str">
        <f t="shared" si="2414"/>
        <v>Bijih </v>
      </c>
      <c r="JP164" s="368" t="str">
        <f t="shared" si="2414"/>
        <v>Ton </v>
      </c>
      <c r="JQ164" s="361"/>
      <c r="JR164" s="361" t="str">
        <f t="shared" si="2275"/>
        <v/>
      </c>
      <c r="JS164" s="361">
        <f t="shared" si="2276"/>
        <v>0</v>
      </c>
      <c r="JT164" s="369"/>
      <c r="JU164" s="361">
        <f t="shared" si="2277"/>
        <v>0</v>
      </c>
      <c r="JV164" s="410"/>
      <c r="JW164" s="96"/>
      <c r="JX164" s="96"/>
      <c r="JY164" s="361">
        <f t="shared" si="2278"/>
        <v>0</v>
      </c>
      <c r="JZ164" s="369">
        <f t="shared" si="2279"/>
        <v>0.4604471269</v>
      </c>
      <c r="KA164" s="370">
        <f t="shared" si="2280"/>
        <v>0</v>
      </c>
      <c r="KB164" s="371">
        <f t="shared" si="2281"/>
        <v>0</v>
      </c>
      <c r="KC164" s="364"/>
      <c r="KD164" s="366">
        <f t="shared" si="2324"/>
        <v>8</v>
      </c>
      <c r="KE164" s="367" t="str">
        <f t="shared" ref="KE164:KG164" si="2415">IFERROR(VLOOKUP($R164,$A$13:$D$30,-KE$12,FALSE),"")</f>
        <v>Mangan</v>
      </c>
      <c r="KF164" s="368" t="str">
        <f t="shared" si="2415"/>
        <v>Bijih </v>
      </c>
      <c r="KG164" s="368" t="str">
        <f t="shared" si="2415"/>
        <v>Ton </v>
      </c>
      <c r="KH164" s="361"/>
      <c r="KI164" s="361" t="str">
        <f t="shared" si="2283"/>
        <v/>
      </c>
      <c r="KJ164" s="361">
        <f t="shared" si="2284"/>
        <v>0</v>
      </c>
      <c r="KK164" s="369"/>
      <c r="KL164" s="361">
        <f t="shared" si="2285"/>
        <v>0</v>
      </c>
      <c r="KM164" s="410"/>
      <c r="KN164" s="96"/>
      <c r="KO164" s="96"/>
      <c r="KP164" s="361">
        <f t="shared" si="2286"/>
        <v>0</v>
      </c>
      <c r="KQ164" s="369">
        <f t="shared" si="2287"/>
        <v>0.4604471269</v>
      </c>
      <c r="KR164" s="370">
        <f t="shared" si="2288"/>
        <v>0</v>
      </c>
      <c r="KS164" s="371">
        <f t="shared" si="2289"/>
        <v>0</v>
      </c>
      <c r="KT164" s="364"/>
      <c r="KU164" s="365"/>
    </row>
    <row r="165" ht="15.75" customHeight="1">
      <c r="A165" s="366">
        <f t="shared" si="2290"/>
        <v>9</v>
      </c>
      <c r="B165" s="367" t="str">
        <f t="shared" ref="B165:D165" si="2416">IFERROR(VLOOKUP($A165,$A$13:$D$30,-B$12,FALSE),"")</f>
        <v>Lainnya 2.3 (1) ……..</v>
      </c>
      <c r="C165" s="368" t="str">
        <f t="shared" si="2416"/>
        <v>Bijih </v>
      </c>
      <c r="D165" s="368" t="str">
        <f t="shared" si="2416"/>
        <v>Ton </v>
      </c>
      <c r="E165" s="361"/>
      <c r="F165" s="361" t="str">
        <f t="shared" si="2147"/>
        <v/>
      </c>
      <c r="G165" s="361">
        <f t="shared" si="2148"/>
        <v>0</v>
      </c>
      <c r="H165" s="369"/>
      <c r="I165" s="361">
        <f t="shared" si="2149"/>
        <v>0</v>
      </c>
      <c r="J165" s="410"/>
      <c r="K165" s="96"/>
      <c r="L165" s="96"/>
      <c r="M165" s="361">
        <f t="shared" si="2150"/>
        <v>0</v>
      </c>
      <c r="N165" s="369">
        <f t="shared" si="2151"/>
        <v>0.4604471269</v>
      </c>
      <c r="O165" s="370">
        <f t="shared" si="2152"/>
        <v>0</v>
      </c>
      <c r="P165" s="371">
        <f t="shared" si="2153"/>
        <v>0</v>
      </c>
      <c r="Q165" s="364"/>
      <c r="R165" s="366">
        <f t="shared" si="2292"/>
        <v>9</v>
      </c>
      <c r="S165" s="367" t="str">
        <f t="shared" ref="S165:U165" si="2417">IFERROR(VLOOKUP($R165,$A$13:$D$30,-S$12,FALSE),"")</f>
        <v>Lainnya 2.3 (1) ……..</v>
      </c>
      <c r="T165" s="368" t="str">
        <f t="shared" si="2417"/>
        <v>Bijih </v>
      </c>
      <c r="U165" s="368" t="str">
        <f t="shared" si="2417"/>
        <v>Ton </v>
      </c>
      <c r="V165" s="361"/>
      <c r="W165" s="361" t="str">
        <f t="shared" si="2155"/>
        <v/>
      </c>
      <c r="X165" s="361">
        <f t="shared" si="2156"/>
        <v>0</v>
      </c>
      <c r="Y165" s="369"/>
      <c r="Z165" s="361">
        <f t="shared" si="2157"/>
        <v>0</v>
      </c>
      <c r="AA165" s="410"/>
      <c r="AB165" s="96"/>
      <c r="AC165" s="96"/>
      <c r="AD165" s="361">
        <f t="shared" si="2158"/>
        <v>0</v>
      </c>
      <c r="AE165" s="369">
        <f t="shared" si="2159"/>
        <v>0.4604471269</v>
      </c>
      <c r="AF165" s="370">
        <f t="shared" si="2160"/>
        <v>0</v>
      </c>
      <c r="AG165" s="371">
        <f t="shared" si="2161"/>
        <v>0</v>
      </c>
      <c r="AH165" s="364"/>
      <c r="AI165" s="366">
        <f t="shared" si="2294"/>
        <v>9</v>
      </c>
      <c r="AJ165" s="367" t="str">
        <f t="shared" ref="AJ165:AL165" si="2418">IFERROR(VLOOKUP($R165,$A$13:$D$30,-AJ$12,FALSE),"")</f>
        <v>Lainnya 2.3 (1) ……..</v>
      </c>
      <c r="AK165" s="368" t="str">
        <f t="shared" si="2418"/>
        <v>Bijih </v>
      </c>
      <c r="AL165" s="368" t="str">
        <f t="shared" si="2418"/>
        <v>Ton </v>
      </c>
      <c r="AM165" s="361"/>
      <c r="AN165" s="361" t="str">
        <f t="shared" si="2163"/>
        <v/>
      </c>
      <c r="AO165" s="361">
        <f t="shared" si="2164"/>
        <v>0</v>
      </c>
      <c r="AP165" s="369"/>
      <c r="AQ165" s="361">
        <f t="shared" si="2165"/>
        <v>0</v>
      </c>
      <c r="AR165" s="410"/>
      <c r="AS165" s="96"/>
      <c r="AT165" s="96"/>
      <c r="AU165" s="361">
        <f t="shared" si="2166"/>
        <v>0</v>
      </c>
      <c r="AV165" s="369">
        <f t="shared" si="2167"/>
        <v>0.4604471269</v>
      </c>
      <c r="AW165" s="370">
        <f t="shared" si="2168"/>
        <v>0</v>
      </c>
      <c r="AX165" s="371">
        <f t="shared" si="2169"/>
        <v>0</v>
      </c>
      <c r="AY165" s="364"/>
      <c r="AZ165" s="366">
        <f t="shared" si="2296"/>
        <v>9</v>
      </c>
      <c r="BA165" s="367" t="str">
        <f t="shared" ref="BA165:BC165" si="2419">IFERROR(VLOOKUP($R165,$A$13:$D$30,-BA$12,FALSE),"")</f>
        <v>Lainnya 2.3 (1) ……..</v>
      </c>
      <c r="BB165" s="368" t="str">
        <f t="shared" si="2419"/>
        <v>Bijih </v>
      </c>
      <c r="BC165" s="368" t="str">
        <f t="shared" si="2419"/>
        <v>Ton </v>
      </c>
      <c r="BD165" s="361"/>
      <c r="BE165" s="361" t="str">
        <f t="shared" si="2171"/>
        <v/>
      </c>
      <c r="BF165" s="361">
        <f t="shared" si="2172"/>
        <v>0</v>
      </c>
      <c r="BG165" s="369"/>
      <c r="BH165" s="361">
        <f t="shared" si="2173"/>
        <v>0</v>
      </c>
      <c r="BI165" s="410"/>
      <c r="BJ165" s="96"/>
      <c r="BK165" s="96"/>
      <c r="BL165" s="361">
        <f t="shared" si="2174"/>
        <v>0</v>
      </c>
      <c r="BM165" s="369">
        <f t="shared" si="2175"/>
        <v>0.4604471269</v>
      </c>
      <c r="BN165" s="370">
        <f t="shared" si="2176"/>
        <v>0</v>
      </c>
      <c r="BO165" s="371">
        <f t="shared" si="2177"/>
        <v>0</v>
      </c>
      <c r="BP165" s="364"/>
      <c r="BQ165" s="366">
        <f t="shared" si="2298"/>
        <v>9</v>
      </c>
      <c r="BR165" s="367" t="str">
        <f t="shared" ref="BR165:BT165" si="2420">IFERROR(VLOOKUP($R165,$A$13:$D$30,-BR$12,FALSE),"")</f>
        <v>Lainnya 2.3 (1) ……..</v>
      </c>
      <c r="BS165" s="368" t="str">
        <f t="shared" si="2420"/>
        <v>Bijih </v>
      </c>
      <c r="BT165" s="368" t="str">
        <f t="shared" si="2420"/>
        <v>Ton </v>
      </c>
      <c r="BU165" s="361"/>
      <c r="BV165" s="361" t="str">
        <f t="shared" si="2179"/>
        <v/>
      </c>
      <c r="BW165" s="361">
        <f t="shared" si="2180"/>
        <v>0</v>
      </c>
      <c r="BX165" s="369"/>
      <c r="BY165" s="361">
        <f t="shared" si="2181"/>
        <v>0</v>
      </c>
      <c r="BZ165" s="410"/>
      <c r="CA165" s="96"/>
      <c r="CB165" s="96"/>
      <c r="CC165" s="361">
        <f t="shared" si="2182"/>
        <v>0</v>
      </c>
      <c r="CD165" s="369">
        <f t="shared" si="2183"/>
        <v>0.4604471269</v>
      </c>
      <c r="CE165" s="370">
        <f t="shared" si="2184"/>
        <v>0</v>
      </c>
      <c r="CF165" s="371">
        <f t="shared" si="2185"/>
        <v>0</v>
      </c>
      <c r="CG165" s="364"/>
      <c r="CH165" s="366">
        <f t="shared" si="2300"/>
        <v>9</v>
      </c>
      <c r="CI165" s="367" t="str">
        <f t="shared" ref="CI165:CK165" si="2421">IFERROR(VLOOKUP($R165,$A$13:$D$30,-CI$12,FALSE),"")</f>
        <v>Lainnya 2.3 (1) ……..</v>
      </c>
      <c r="CJ165" s="368" t="str">
        <f t="shared" si="2421"/>
        <v>Bijih </v>
      </c>
      <c r="CK165" s="368" t="str">
        <f t="shared" si="2421"/>
        <v>Ton </v>
      </c>
      <c r="CL165" s="361"/>
      <c r="CM165" s="361" t="str">
        <f t="shared" si="2187"/>
        <v/>
      </c>
      <c r="CN165" s="361">
        <f t="shared" si="2188"/>
        <v>0</v>
      </c>
      <c r="CO165" s="369"/>
      <c r="CP165" s="361">
        <f t="shared" si="2189"/>
        <v>0</v>
      </c>
      <c r="CQ165" s="410"/>
      <c r="CR165" s="96"/>
      <c r="CS165" s="96"/>
      <c r="CT165" s="361">
        <f t="shared" si="2190"/>
        <v>0</v>
      </c>
      <c r="CU165" s="369">
        <f t="shared" si="2191"/>
        <v>0.4604471269</v>
      </c>
      <c r="CV165" s="370">
        <f t="shared" si="2192"/>
        <v>0</v>
      </c>
      <c r="CW165" s="371">
        <f t="shared" si="2193"/>
        <v>0</v>
      </c>
      <c r="CX165" s="364"/>
      <c r="CY165" s="366">
        <f t="shared" si="2302"/>
        <v>9</v>
      </c>
      <c r="CZ165" s="367" t="str">
        <f t="shared" ref="CZ165:DB165" si="2422">IFERROR(VLOOKUP($R165,$A$13:$D$30,-CZ$12,FALSE),"")</f>
        <v>Lainnya 2.3 (1) ……..</v>
      </c>
      <c r="DA165" s="368" t="str">
        <f t="shared" si="2422"/>
        <v>Bijih </v>
      </c>
      <c r="DB165" s="368" t="str">
        <f t="shared" si="2422"/>
        <v>Ton </v>
      </c>
      <c r="DC165" s="361"/>
      <c r="DD165" s="361" t="str">
        <f t="shared" si="2195"/>
        <v/>
      </c>
      <c r="DE165" s="361">
        <f t="shared" si="2196"/>
        <v>0</v>
      </c>
      <c r="DF165" s="369"/>
      <c r="DG165" s="361">
        <f t="shared" si="2197"/>
        <v>0</v>
      </c>
      <c r="DH165" s="410"/>
      <c r="DI165" s="96"/>
      <c r="DJ165" s="96"/>
      <c r="DK165" s="361">
        <f t="shared" si="2198"/>
        <v>0</v>
      </c>
      <c r="DL165" s="369">
        <f t="shared" si="2199"/>
        <v>0.4604471269</v>
      </c>
      <c r="DM165" s="370">
        <f t="shared" si="2200"/>
        <v>0</v>
      </c>
      <c r="DN165" s="371">
        <f t="shared" si="2201"/>
        <v>0</v>
      </c>
      <c r="DO165" s="364"/>
      <c r="DP165" s="366">
        <f t="shared" si="2304"/>
        <v>9</v>
      </c>
      <c r="DQ165" s="367" t="str">
        <f t="shared" ref="DQ165:DS165" si="2423">IFERROR(VLOOKUP($R165,$A$13:$D$30,-DQ$12,FALSE),"")</f>
        <v>Lainnya 2.3 (1) ……..</v>
      </c>
      <c r="DR165" s="368" t="str">
        <f t="shared" si="2423"/>
        <v>Bijih </v>
      </c>
      <c r="DS165" s="368" t="str">
        <f t="shared" si="2423"/>
        <v>Ton </v>
      </c>
      <c r="DT165" s="361"/>
      <c r="DU165" s="361" t="str">
        <f t="shared" si="2203"/>
        <v/>
      </c>
      <c r="DV165" s="361">
        <f t="shared" si="2204"/>
        <v>0</v>
      </c>
      <c r="DW165" s="369"/>
      <c r="DX165" s="361">
        <f t="shared" si="2205"/>
        <v>0</v>
      </c>
      <c r="DY165" s="410"/>
      <c r="DZ165" s="96"/>
      <c r="EA165" s="96"/>
      <c r="EB165" s="361">
        <f t="shared" si="2206"/>
        <v>0</v>
      </c>
      <c r="EC165" s="369">
        <f t="shared" si="2207"/>
        <v>0.4604471269</v>
      </c>
      <c r="ED165" s="370">
        <f t="shared" si="2208"/>
        <v>0</v>
      </c>
      <c r="EE165" s="371">
        <f t="shared" si="2209"/>
        <v>0</v>
      </c>
      <c r="EF165" s="364"/>
      <c r="EG165" s="366">
        <f t="shared" si="2306"/>
        <v>9</v>
      </c>
      <c r="EH165" s="367" t="str">
        <f t="shared" ref="EH165:EJ165" si="2424">IFERROR(VLOOKUP($R165,$A$13:$D$30,-EH$12,FALSE),"")</f>
        <v>Lainnya 2.3 (1) ……..</v>
      </c>
      <c r="EI165" s="368" t="str">
        <f t="shared" si="2424"/>
        <v>Bijih </v>
      </c>
      <c r="EJ165" s="368" t="str">
        <f t="shared" si="2424"/>
        <v>Ton </v>
      </c>
      <c r="EK165" s="361"/>
      <c r="EL165" s="361" t="str">
        <f t="shared" si="2211"/>
        <v/>
      </c>
      <c r="EM165" s="361">
        <f t="shared" si="2212"/>
        <v>0</v>
      </c>
      <c r="EN165" s="369"/>
      <c r="EO165" s="361">
        <f t="shared" si="2213"/>
        <v>0</v>
      </c>
      <c r="EP165" s="410"/>
      <c r="EQ165" s="96"/>
      <c r="ER165" s="96"/>
      <c r="ES165" s="361">
        <f t="shared" si="2214"/>
        <v>0</v>
      </c>
      <c r="ET165" s="369">
        <f t="shared" si="2215"/>
        <v>0.4604471269</v>
      </c>
      <c r="EU165" s="370">
        <f t="shared" si="2216"/>
        <v>0</v>
      </c>
      <c r="EV165" s="371">
        <f t="shared" si="2217"/>
        <v>0</v>
      </c>
      <c r="EW165" s="364"/>
      <c r="EX165" s="366">
        <f t="shared" si="2308"/>
        <v>9</v>
      </c>
      <c r="EY165" s="367" t="str">
        <f t="shared" ref="EY165:FA165" si="2425">IFERROR(VLOOKUP($R165,$A$13:$D$30,-EY$12,FALSE),"")</f>
        <v>Lainnya 2.3 (1) ……..</v>
      </c>
      <c r="EZ165" s="368" t="str">
        <f t="shared" si="2425"/>
        <v>Bijih </v>
      </c>
      <c r="FA165" s="368" t="str">
        <f t="shared" si="2425"/>
        <v>Ton </v>
      </c>
      <c r="FB165" s="361"/>
      <c r="FC165" s="361" t="str">
        <f t="shared" si="2219"/>
        <v/>
      </c>
      <c r="FD165" s="361">
        <f t="shared" si="2220"/>
        <v>0</v>
      </c>
      <c r="FE165" s="369"/>
      <c r="FF165" s="361">
        <f t="shared" si="2221"/>
        <v>0</v>
      </c>
      <c r="FG165" s="410"/>
      <c r="FH165" s="96"/>
      <c r="FI165" s="96"/>
      <c r="FJ165" s="361">
        <f t="shared" si="2222"/>
        <v>0</v>
      </c>
      <c r="FK165" s="369">
        <f t="shared" si="2223"/>
        <v>0.4604471269</v>
      </c>
      <c r="FL165" s="370">
        <f t="shared" si="2224"/>
        <v>0</v>
      </c>
      <c r="FM165" s="371">
        <f t="shared" si="2225"/>
        <v>0</v>
      </c>
      <c r="FN165" s="364"/>
      <c r="FO165" s="366">
        <f t="shared" si="2310"/>
        <v>9</v>
      </c>
      <c r="FP165" s="367" t="str">
        <f t="shared" ref="FP165:FR165" si="2426">IFERROR(VLOOKUP($R165,$A$13:$D$30,-FP$12,FALSE),"")</f>
        <v>Lainnya 2.3 (1) ……..</v>
      </c>
      <c r="FQ165" s="368" t="str">
        <f t="shared" si="2426"/>
        <v>Bijih </v>
      </c>
      <c r="FR165" s="368" t="str">
        <f t="shared" si="2426"/>
        <v>Ton </v>
      </c>
      <c r="FS165" s="361"/>
      <c r="FT165" s="361" t="str">
        <f t="shared" si="2227"/>
        <v/>
      </c>
      <c r="FU165" s="361">
        <f t="shared" si="2228"/>
        <v>0</v>
      </c>
      <c r="FV165" s="369"/>
      <c r="FW165" s="361">
        <f t="shared" si="2229"/>
        <v>0</v>
      </c>
      <c r="FX165" s="410"/>
      <c r="FY165" s="96"/>
      <c r="FZ165" s="96"/>
      <c r="GA165" s="361">
        <f t="shared" si="2230"/>
        <v>0</v>
      </c>
      <c r="GB165" s="369">
        <f t="shared" si="2231"/>
        <v>0.4604471269</v>
      </c>
      <c r="GC165" s="370">
        <f t="shared" si="2232"/>
        <v>0</v>
      </c>
      <c r="GD165" s="371">
        <f t="shared" si="2233"/>
        <v>0</v>
      </c>
      <c r="GE165" s="364"/>
      <c r="GF165" s="366">
        <f t="shared" si="2312"/>
        <v>9</v>
      </c>
      <c r="GG165" s="367" t="str">
        <f t="shared" ref="GG165:GI165" si="2427">IFERROR(VLOOKUP($R165,$A$13:$D$30,-GG$12,FALSE),"")</f>
        <v>Lainnya 2.3 (1) ……..</v>
      </c>
      <c r="GH165" s="368" t="str">
        <f t="shared" si="2427"/>
        <v>Bijih </v>
      </c>
      <c r="GI165" s="368" t="str">
        <f t="shared" si="2427"/>
        <v>Ton </v>
      </c>
      <c r="GJ165" s="372">
        <f>ADHB!GJ165</f>
        <v>248847</v>
      </c>
      <c r="GK165" s="361">
        <f t="shared" si="2235"/>
        <v>166269.8</v>
      </c>
      <c r="GL165" s="361">
        <f t="shared" si="2236"/>
        <v>41375.74092</v>
      </c>
      <c r="GM165" s="369"/>
      <c r="GN165" s="361">
        <f t="shared" si="2237"/>
        <v>0</v>
      </c>
      <c r="GO165" s="410"/>
      <c r="GP165" s="96"/>
      <c r="GQ165" s="96"/>
      <c r="GR165" s="361">
        <f t="shared" si="2238"/>
        <v>41375.74092</v>
      </c>
      <c r="GS165" s="369">
        <f t="shared" si="2239"/>
        <v>0.4604471269</v>
      </c>
      <c r="GT165" s="370">
        <f t="shared" si="2240"/>
        <v>19051.34103</v>
      </c>
      <c r="GU165" s="371">
        <f t="shared" si="2241"/>
        <v>22324.39989</v>
      </c>
      <c r="GV165" s="364"/>
      <c r="GW165" s="366">
        <f t="shared" si="2314"/>
        <v>9</v>
      </c>
      <c r="GX165" s="367" t="str">
        <f t="shared" ref="GX165:GZ165" si="2428">IFERROR(VLOOKUP($R165,$A$13:$D$30,-GX$12,FALSE),"")</f>
        <v>Lainnya 2.3 (1) ……..</v>
      </c>
      <c r="GY165" s="368" t="str">
        <f t="shared" si="2428"/>
        <v>Bijih </v>
      </c>
      <c r="GZ165" s="368" t="str">
        <f t="shared" si="2428"/>
        <v>Ton </v>
      </c>
      <c r="HA165" s="372" t="str">
        <f>ADHB!HA165</f>
        <v/>
      </c>
      <c r="HB165" s="361">
        <f t="shared" si="2243"/>
        <v>166269.8</v>
      </c>
      <c r="HC165" s="361">
        <f t="shared" si="2244"/>
        <v>0</v>
      </c>
      <c r="HD165" s="417">
        <v>1.0</v>
      </c>
      <c r="HE165" s="361">
        <f t="shared" si="2245"/>
        <v>0</v>
      </c>
      <c r="HF165" s="410"/>
      <c r="HG165" s="96"/>
      <c r="HH165" s="96"/>
      <c r="HI165" s="361">
        <f t="shared" si="2246"/>
        <v>0</v>
      </c>
      <c r="HJ165" s="369">
        <f t="shared" si="2247"/>
        <v>0.4604471269</v>
      </c>
      <c r="HK165" s="370">
        <f t="shared" si="2248"/>
        <v>0</v>
      </c>
      <c r="HL165" s="371">
        <f t="shared" si="2249"/>
        <v>0</v>
      </c>
      <c r="HM165" s="364"/>
      <c r="HN165" s="366">
        <f t="shared" si="2316"/>
        <v>9</v>
      </c>
      <c r="HO165" s="367" t="str">
        <f t="shared" ref="HO165:HQ165" si="2429">IFERROR(VLOOKUP($R165,$A$13:$D$30,-HO$12,FALSE),"")</f>
        <v>Lainnya 2.3 (1) ……..</v>
      </c>
      <c r="HP165" s="368" t="str">
        <f t="shared" si="2429"/>
        <v>Bijih </v>
      </c>
      <c r="HQ165" s="368" t="str">
        <f t="shared" si="2429"/>
        <v>Ton </v>
      </c>
      <c r="HR165" s="361">
        <f>ADHB!HR165</f>
        <v>276447.9874</v>
      </c>
      <c r="HS165" s="361">
        <f t="shared" si="2251"/>
        <v>166269.8</v>
      </c>
      <c r="HT165" s="361">
        <f t="shared" si="2252"/>
        <v>45964.95158</v>
      </c>
      <c r="HU165" s="369"/>
      <c r="HV165" s="361">
        <f t="shared" si="2253"/>
        <v>0</v>
      </c>
      <c r="HW165" s="410"/>
      <c r="HX165" s="96"/>
      <c r="HY165" s="96"/>
      <c r="HZ165" s="361">
        <f t="shared" si="2254"/>
        <v>45964.95158</v>
      </c>
      <c r="IA165" s="369">
        <f t="shared" si="2255"/>
        <v>0.4604471269</v>
      </c>
      <c r="IB165" s="370">
        <f t="shared" si="2256"/>
        <v>21164.42989</v>
      </c>
      <c r="IC165" s="371">
        <f t="shared" si="2257"/>
        <v>24800.52169</v>
      </c>
      <c r="ID165" s="364"/>
      <c r="IE165" s="366">
        <f t="shared" si="2318"/>
        <v>9</v>
      </c>
      <c r="IF165" s="367" t="str">
        <f t="shared" ref="IF165:IH165" si="2430">IFERROR(VLOOKUP($R165,$A$13:$D$30,-IF$12,FALSE),"")</f>
        <v>Lainnya 2.3 (1) ……..</v>
      </c>
      <c r="IG165" s="368" t="str">
        <f t="shared" si="2430"/>
        <v>Bijih </v>
      </c>
      <c r="IH165" s="368" t="str">
        <f t="shared" si="2430"/>
        <v>Ton </v>
      </c>
      <c r="II165" s="361" t="str">
        <f>ADHB!II165</f>
        <v/>
      </c>
      <c r="IJ165" s="361">
        <f t="shared" si="2259"/>
        <v>166269.8</v>
      </c>
      <c r="IK165" s="361">
        <f t="shared" si="2260"/>
        <v>0</v>
      </c>
      <c r="IL165" s="369"/>
      <c r="IM165" s="361">
        <f t="shared" si="2261"/>
        <v>0</v>
      </c>
      <c r="IN165" s="410"/>
      <c r="IO165" s="96"/>
      <c r="IP165" s="96"/>
      <c r="IQ165" s="361">
        <f t="shared" si="2262"/>
        <v>0</v>
      </c>
      <c r="IR165" s="369">
        <f t="shared" si="2263"/>
        <v>0.4604471269</v>
      </c>
      <c r="IS165" s="370">
        <f t="shared" si="2264"/>
        <v>0</v>
      </c>
      <c r="IT165" s="371">
        <f t="shared" si="2265"/>
        <v>0</v>
      </c>
      <c r="IU165" s="364"/>
      <c r="IV165" s="366">
        <f t="shared" si="2320"/>
        <v>9</v>
      </c>
      <c r="IW165" s="367" t="str">
        <f t="shared" ref="IW165:IY165" si="2431">IFERROR(VLOOKUP($R165,$A$13:$D$30,-IW$12,FALSE),"")</f>
        <v>Lainnya 2.3 (1) ……..</v>
      </c>
      <c r="IX165" s="368" t="str">
        <f t="shared" si="2431"/>
        <v>Bijih </v>
      </c>
      <c r="IY165" s="368" t="str">
        <f t="shared" si="2431"/>
        <v>Ton </v>
      </c>
      <c r="IZ165" s="361"/>
      <c r="JA165" s="361">
        <f t="shared" si="2267"/>
        <v>166269.8</v>
      </c>
      <c r="JB165" s="361">
        <f t="shared" si="2268"/>
        <v>0</v>
      </c>
      <c r="JC165" s="369"/>
      <c r="JD165" s="361">
        <f t="shared" si="2269"/>
        <v>0</v>
      </c>
      <c r="JE165" s="410"/>
      <c r="JF165" s="96"/>
      <c r="JG165" s="96"/>
      <c r="JH165" s="361">
        <f t="shared" si="2270"/>
        <v>0</v>
      </c>
      <c r="JI165" s="369">
        <f t="shared" si="2271"/>
        <v>0.4604471269</v>
      </c>
      <c r="JJ165" s="370">
        <f t="shared" si="2272"/>
        <v>0</v>
      </c>
      <c r="JK165" s="371">
        <f t="shared" si="2273"/>
        <v>0</v>
      </c>
      <c r="JL165" s="364"/>
      <c r="JM165" s="366">
        <f t="shared" si="2322"/>
        <v>9</v>
      </c>
      <c r="JN165" s="367" t="str">
        <f t="shared" ref="JN165:JP165" si="2432">IFERROR(VLOOKUP($R165,$A$13:$D$30,-JN$12,FALSE),"")</f>
        <v>Lainnya 2.3 (1) ……..</v>
      </c>
      <c r="JO165" s="368" t="str">
        <f t="shared" si="2432"/>
        <v>Bijih </v>
      </c>
      <c r="JP165" s="368" t="str">
        <f t="shared" si="2432"/>
        <v>Ton </v>
      </c>
      <c r="JQ165" s="361"/>
      <c r="JR165" s="361" t="str">
        <f t="shared" si="2275"/>
        <v/>
      </c>
      <c r="JS165" s="361">
        <f t="shared" si="2276"/>
        <v>0</v>
      </c>
      <c r="JT165" s="369"/>
      <c r="JU165" s="361">
        <f t="shared" si="2277"/>
        <v>0</v>
      </c>
      <c r="JV165" s="410"/>
      <c r="JW165" s="96"/>
      <c r="JX165" s="96"/>
      <c r="JY165" s="361">
        <f t="shared" si="2278"/>
        <v>0</v>
      </c>
      <c r="JZ165" s="369">
        <f t="shared" si="2279"/>
        <v>0.4604471269</v>
      </c>
      <c r="KA165" s="370">
        <f t="shared" si="2280"/>
        <v>0</v>
      </c>
      <c r="KB165" s="371">
        <f t="shared" si="2281"/>
        <v>0</v>
      </c>
      <c r="KC165" s="364"/>
      <c r="KD165" s="366">
        <f t="shared" si="2324"/>
        <v>9</v>
      </c>
      <c r="KE165" s="367" t="str">
        <f t="shared" ref="KE165:KG165" si="2433">IFERROR(VLOOKUP($R165,$A$13:$D$30,-KE$12,FALSE),"")</f>
        <v>Lainnya 2.3 (1) ……..</v>
      </c>
      <c r="KF165" s="368" t="str">
        <f t="shared" si="2433"/>
        <v>Bijih </v>
      </c>
      <c r="KG165" s="368" t="str">
        <f t="shared" si="2433"/>
        <v>Ton </v>
      </c>
      <c r="KH165" s="361"/>
      <c r="KI165" s="361" t="str">
        <f t="shared" si="2283"/>
        <v/>
      </c>
      <c r="KJ165" s="361">
        <f t="shared" si="2284"/>
        <v>0</v>
      </c>
      <c r="KK165" s="369"/>
      <c r="KL165" s="361">
        <f t="shared" si="2285"/>
        <v>0</v>
      </c>
      <c r="KM165" s="410"/>
      <c r="KN165" s="96"/>
      <c r="KO165" s="96"/>
      <c r="KP165" s="361">
        <f t="shared" si="2286"/>
        <v>0</v>
      </c>
      <c r="KQ165" s="369">
        <f t="shared" si="2287"/>
        <v>0.4604471269</v>
      </c>
      <c r="KR165" s="370">
        <f t="shared" si="2288"/>
        <v>0</v>
      </c>
      <c r="KS165" s="371">
        <f t="shared" si="2289"/>
        <v>0</v>
      </c>
      <c r="KT165" s="364"/>
      <c r="KU165" s="365"/>
    </row>
    <row r="166" ht="15.75" customHeight="1">
      <c r="A166" s="366">
        <f t="shared" si="2290"/>
        <v>10</v>
      </c>
      <c r="B166" s="367" t="str">
        <f t="shared" ref="B166:D166" si="2434">IFERROR(VLOOKUP($A166,$A$13:$D$30,-B$12,FALSE),"")</f>
        <v>Lainnya 2.3 (2) ………</v>
      </c>
      <c r="C166" s="368" t="str">
        <f t="shared" si="2434"/>
        <v>Bijih </v>
      </c>
      <c r="D166" s="368" t="str">
        <f t="shared" si="2434"/>
        <v>Ton </v>
      </c>
      <c r="E166" s="361"/>
      <c r="F166" s="361" t="str">
        <f t="shared" si="2147"/>
        <v/>
      </c>
      <c r="G166" s="361">
        <f t="shared" si="2148"/>
        <v>0</v>
      </c>
      <c r="H166" s="369"/>
      <c r="I166" s="361">
        <f t="shared" si="2149"/>
        <v>0</v>
      </c>
      <c r="J166" s="410"/>
      <c r="K166" s="96"/>
      <c r="L166" s="96"/>
      <c r="M166" s="361">
        <f t="shared" si="2150"/>
        <v>0</v>
      </c>
      <c r="N166" s="369">
        <f t="shared" si="2151"/>
        <v>0.4604471269</v>
      </c>
      <c r="O166" s="370">
        <f t="shared" si="2152"/>
        <v>0</v>
      </c>
      <c r="P166" s="371">
        <f t="shared" si="2153"/>
        <v>0</v>
      </c>
      <c r="Q166" s="364"/>
      <c r="R166" s="366">
        <f t="shared" si="2292"/>
        <v>10</v>
      </c>
      <c r="S166" s="367" t="str">
        <f t="shared" ref="S166:U166" si="2435">IFERROR(VLOOKUP($R166,$A$13:$D$30,-S$12,FALSE),"")</f>
        <v>Lainnya 2.3 (2) ………</v>
      </c>
      <c r="T166" s="368" t="str">
        <f t="shared" si="2435"/>
        <v>Bijih </v>
      </c>
      <c r="U166" s="368" t="str">
        <f t="shared" si="2435"/>
        <v>Ton </v>
      </c>
      <c r="V166" s="361"/>
      <c r="W166" s="361" t="str">
        <f t="shared" si="2155"/>
        <v/>
      </c>
      <c r="X166" s="361">
        <f t="shared" si="2156"/>
        <v>0</v>
      </c>
      <c r="Y166" s="369"/>
      <c r="Z166" s="361">
        <f t="shared" si="2157"/>
        <v>0</v>
      </c>
      <c r="AA166" s="410"/>
      <c r="AB166" s="96"/>
      <c r="AC166" s="96"/>
      <c r="AD166" s="361">
        <f t="shared" si="2158"/>
        <v>0</v>
      </c>
      <c r="AE166" s="369">
        <f t="shared" si="2159"/>
        <v>0.4604471269</v>
      </c>
      <c r="AF166" s="370">
        <f t="shared" si="2160"/>
        <v>0</v>
      </c>
      <c r="AG166" s="371">
        <f t="shared" si="2161"/>
        <v>0</v>
      </c>
      <c r="AH166" s="364"/>
      <c r="AI166" s="366">
        <f t="shared" si="2294"/>
        <v>10</v>
      </c>
      <c r="AJ166" s="367" t="str">
        <f t="shared" ref="AJ166:AL166" si="2436">IFERROR(VLOOKUP($R166,$A$13:$D$30,-AJ$12,FALSE),"")</f>
        <v>Lainnya 2.3 (2) ………</v>
      </c>
      <c r="AK166" s="368" t="str">
        <f t="shared" si="2436"/>
        <v>Bijih </v>
      </c>
      <c r="AL166" s="368" t="str">
        <f t="shared" si="2436"/>
        <v>Ton </v>
      </c>
      <c r="AM166" s="361"/>
      <c r="AN166" s="361" t="str">
        <f t="shared" si="2163"/>
        <v/>
      </c>
      <c r="AO166" s="361">
        <f t="shared" si="2164"/>
        <v>0</v>
      </c>
      <c r="AP166" s="369"/>
      <c r="AQ166" s="361">
        <f t="shared" si="2165"/>
        <v>0</v>
      </c>
      <c r="AR166" s="410"/>
      <c r="AS166" s="96"/>
      <c r="AT166" s="96"/>
      <c r="AU166" s="361">
        <f t="shared" si="2166"/>
        <v>0</v>
      </c>
      <c r="AV166" s="369">
        <f t="shared" si="2167"/>
        <v>0.4604471269</v>
      </c>
      <c r="AW166" s="370">
        <f t="shared" si="2168"/>
        <v>0</v>
      </c>
      <c r="AX166" s="371">
        <f t="shared" si="2169"/>
        <v>0</v>
      </c>
      <c r="AY166" s="364"/>
      <c r="AZ166" s="366">
        <f t="shared" si="2296"/>
        <v>10</v>
      </c>
      <c r="BA166" s="367" t="str">
        <f t="shared" ref="BA166:BC166" si="2437">IFERROR(VLOOKUP($R166,$A$13:$D$30,-BA$12,FALSE),"")</f>
        <v>Lainnya 2.3 (2) ………</v>
      </c>
      <c r="BB166" s="368" t="str">
        <f t="shared" si="2437"/>
        <v>Bijih </v>
      </c>
      <c r="BC166" s="368" t="str">
        <f t="shared" si="2437"/>
        <v>Ton </v>
      </c>
      <c r="BD166" s="361"/>
      <c r="BE166" s="361" t="str">
        <f t="shared" si="2171"/>
        <v/>
      </c>
      <c r="BF166" s="361">
        <f t="shared" si="2172"/>
        <v>0</v>
      </c>
      <c r="BG166" s="369"/>
      <c r="BH166" s="361">
        <f t="shared" si="2173"/>
        <v>0</v>
      </c>
      <c r="BI166" s="410"/>
      <c r="BJ166" s="96"/>
      <c r="BK166" s="96"/>
      <c r="BL166" s="361">
        <f t="shared" si="2174"/>
        <v>0</v>
      </c>
      <c r="BM166" s="369">
        <f t="shared" si="2175"/>
        <v>0.4604471269</v>
      </c>
      <c r="BN166" s="370">
        <f t="shared" si="2176"/>
        <v>0</v>
      </c>
      <c r="BO166" s="371">
        <f t="shared" si="2177"/>
        <v>0</v>
      </c>
      <c r="BP166" s="364"/>
      <c r="BQ166" s="366">
        <f t="shared" si="2298"/>
        <v>10</v>
      </c>
      <c r="BR166" s="367" t="str">
        <f t="shared" ref="BR166:BT166" si="2438">IFERROR(VLOOKUP($R166,$A$13:$D$30,-BR$12,FALSE),"")</f>
        <v>Lainnya 2.3 (2) ………</v>
      </c>
      <c r="BS166" s="368" t="str">
        <f t="shared" si="2438"/>
        <v>Bijih </v>
      </c>
      <c r="BT166" s="368" t="str">
        <f t="shared" si="2438"/>
        <v>Ton </v>
      </c>
      <c r="BU166" s="361"/>
      <c r="BV166" s="361" t="str">
        <f t="shared" si="2179"/>
        <v/>
      </c>
      <c r="BW166" s="361">
        <f t="shared" si="2180"/>
        <v>0</v>
      </c>
      <c r="BX166" s="369"/>
      <c r="BY166" s="361">
        <f t="shared" si="2181"/>
        <v>0</v>
      </c>
      <c r="BZ166" s="410"/>
      <c r="CA166" s="96"/>
      <c r="CB166" s="96"/>
      <c r="CC166" s="361">
        <f t="shared" si="2182"/>
        <v>0</v>
      </c>
      <c r="CD166" s="369">
        <f t="shared" si="2183"/>
        <v>0.4604471269</v>
      </c>
      <c r="CE166" s="370">
        <f t="shared" si="2184"/>
        <v>0</v>
      </c>
      <c r="CF166" s="371">
        <f t="shared" si="2185"/>
        <v>0</v>
      </c>
      <c r="CG166" s="364"/>
      <c r="CH166" s="366">
        <f t="shared" si="2300"/>
        <v>10</v>
      </c>
      <c r="CI166" s="367" t="str">
        <f t="shared" ref="CI166:CK166" si="2439">IFERROR(VLOOKUP($R166,$A$13:$D$30,-CI$12,FALSE),"")</f>
        <v>Lainnya 2.3 (2) ………</v>
      </c>
      <c r="CJ166" s="368" t="str">
        <f t="shared" si="2439"/>
        <v>Bijih </v>
      </c>
      <c r="CK166" s="368" t="str">
        <f t="shared" si="2439"/>
        <v>Ton </v>
      </c>
      <c r="CL166" s="361"/>
      <c r="CM166" s="361" t="str">
        <f t="shared" si="2187"/>
        <v/>
      </c>
      <c r="CN166" s="361">
        <f t="shared" si="2188"/>
        <v>0</v>
      </c>
      <c r="CO166" s="369"/>
      <c r="CP166" s="361">
        <f t="shared" si="2189"/>
        <v>0</v>
      </c>
      <c r="CQ166" s="410"/>
      <c r="CR166" s="96"/>
      <c r="CS166" s="96"/>
      <c r="CT166" s="361">
        <f t="shared" si="2190"/>
        <v>0</v>
      </c>
      <c r="CU166" s="369">
        <f t="shared" si="2191"/>
        <v>0.4604471269</v>
      </c>
      <c r="CV166" s="370">
        <f t="shared" si="2192"/>
        <v>0</v>
      </c>
      <c r="CW166" s="371">
        <f t="shared" si="2193"/>
        <v>0</v>
      </c>
      <c r="CX166" s="364"/>
      <c r="CY166" s="366">
        <f t="shared" si="2302"/>
        <v>10</v>
      </c>
      <c r="CZ166" s="367" t="str">
        <f t="shared" ref="CZ166:DB166" si="2440">IFERROR(VLOOKUP($R166,$A$13:$D$30,-CZ$12,FALSE),"")</f>
        <v>Lainnya 2.3 (2) ………</v>
      </c>
      <c r="DA166" s="368" t="str">
        <f t="shared" si="2440"/>
        <v>Bijih </v>
      </c>
      <c r="DB166" s="368" t="str">
        <f t="shared" si="2440"/>
        <v>Ton </v>
      </c>
      <c r="DC166" s="361"/>
      <c r="DD166" s="361" t="str">
        <f t="shared" si="2195"/>
        <v/>
      </c>
      <c r="DE166" s="361">
        <f t="shared" si="2196"/>
        <v>0</v>
      </c>
      <c r="DF166" s="369"/>
      <c r="DG166" s="361">
        <f t="shared" si="2197"/>
        <v>0</v>
      </c>
      <c r="DH166" s="410"/>
      <c r="DI166" s="96"/>
      <c r="DJ166" s="96"/>
      <c r="DK166" s="361">
        <f t="shared" si="2198"/>
        <v>0</v>
      </c>
      <c r="DL166" s="369">
        <f t="shared" si="2199"/>
        <v>0.4604471269</v>
      </c>
      <c r="DM166" s="370">
        <f t="shared" si="2200"/>
        <v>0</v>
      </c>
      <c r="DN166" s="371">
        <f t="shared" si="2201"/>
        <v>0</v>
      </c>
      <c r="DO166" s="364"/>
      <c r="DP166" s="366">
        <f t="shared" si="2304"/>
        <v>10</v>
      </c>
      <c r="DQ166" s="367" t="str">
        <f t="shared" ref="DQ166:DS166" si="2441">IFERROR(VLOOKUP($R166,$A$13:$D$30,-DQ$12,FALSE),"")</f>
        <v>Lainnya 2.3 (2) ………</v>
      </c>
      <c r="DR166" s="368" t="str">
        <f t="shared" si="2441"/>
        <v>Bijih </v>
      </c>
      <c r="DS166" s="368" t="str">
        <f t="shared" si="2441"/>
        <v>Ton </v>
      </c>
      <c r="DT166" s="361"/>
      <c r="DU166" s="361" t="str">
        <f t="shared" si="2203"/>
        <v/>
      </c>
      <c r="DV166" s="361">
        <f t="shared" si="2204"/>
        <v>0</v>
      </c>
      <c r="DW166" s="369"/>
      <c r="DX166" s="361">
        <f t="shared" si="2205"/>
        <v>0</v>
      </c>
      <c r="DY166" s="410"/>
      <c r="DZ166" s="96"/>
      <c r="EA166" s="96"/>
      <c r="EB166" s="361">
        <f t="shared" si="2206"/>
        <v>0</v>
      </c>
      <c r="EC166" s="369">
        <f t="shared" si="2207"/>
        <v>0.4604471269</v>
      </c>
      <c r="ED166" s="370">
        <f t="shared" si="2208"/>
        <v>0</v>
      </c>
      <c r="EE166" s="371">
        <f t="shared" si="2209"/>
        <v>0</v>
      </c>
      <c r="EF166" s="364"/>
      <c r="EG166" s="366">
        <f t="shared" si="2306"/>
        <v>10</v>
      </c>
      <c r="EH166" s="367" t="str">
        <f t="shared" ref="EH166:EJ166" si="2442">IFERROR(VLOOKUP($R166,$A$13:$D$30,-EH$12,FALSE),"")</f>
        <v>Lainnya 2.3 (2) ………</v>
      </c>
      <c r="EI166" s="368" t="str">
        <f t="shared" si="2442"/>
        <v>Bijih </v>
      </c>
      <c r="EJ166" s="368" t="str">
        <f t="shared" si="2442"/>
        <v>Ton </v>
      </c>
      <c r="EK166" s="361"/>
      <c r="EL166" s="361" t="str">
        <f t="shared" si="2211"/>
        <v/>
      </c>
      <c r="EM166" s="361">
        <f t="shared" si="2212"/>
        <v>0</v>
      </c>
      <c r="EN166" s="369"/>
      <c r="EO166" s="361">
        <f t="shared" si="2213"/>
        <v>0</v>
      </c>
      <c r="EP166" s="410"/>
      <c r="EQ166" s="96"/>
      <c r="ER166" s="96"/>
      <c r="ES166" s="361">
        <f t="shared" si="2214"/>
        <v>0</v>
      </c>
      <c r="ET166" s="369">
        <f t="shared" si="2215"/>
        <v>0.4604471269</v>
      </c>
      <c r="EU166" s="370">
        <f t="shared" si="2216"/>
        <v>0</v>
      </c>
      <c r="EV166" s="371">
        <f t="shared" si="2217"/>
        <v>0</v>
      </c>
      <c r="EW166" s="364"/>
      <c r="EX166" s="366">
        <f t="shared" si="2308"/>
        <v>10</v>
      </c>
      <c r="EY166" s="367" t="str">
        <f t="shared" ref="EY166:FA166" si="2443">IFERROR(VLOOKUP($R166,$A$13:$D$30,-EY$12,FALSE),"")</f>
        <v>Lainnya 2.3 (2) ………</v>
      </c>
      <c r="EZ166" s="368" t="str">
        <f t="shared" si="2443"/>
        <v>Bijih </v>
      </c>
      <c r="FA166" s="368" t="str">
        <f t="shared" si="2443"/>
        <v>Ton </v>
      </c>
      <c r="FB166" s="361"/>
      <c r="FC166" s="361" t="str">
        <f t="shared" si="2219"/>
        <v/>
      </c>
      <c r="FD166" s="361">
        <f t="shared" si="2220"/>
        <v>0</v>
      </c>
      <c r="FE166" s="369"/>
      <c r="FF166" s="361">
        <f t="shared" si="2221"/>
        <v>0</v>
      </c>
      <c r="FG166" s="410"/>
      <c r="FH166" s="96"/>
      <c r="FI166" s="96"/>
      <c r="FJ166" s="361">
        <f t="shared" si="2222"/>
        <v>0</v>
      </c>
      <c r="FK166" s="369">
        <f t="shared" si="2223"/>
        <v>0.4604471269</v>
      </c>
      <c r="FL166" s="370">
        <f t="shared" si="2224"/>
        <v>0</v>
      </c>
      <c r="FM166" s="371">
        <f t="shared" si="2225"/>
        <v>0</v>
      </c>
      <c r="FN166" s="364"/>
      <c r="FO166" s="366">
        <f t="shared" si="2310"/>
        <v>10</v>
      </c>
      <c r="FP166" s="367" t="str">
        <f t="shared" ref="FP166:FR166" si="2444">IFERROR(VLOOKUP($R166,$A$13:$D$30,-FP$12,FALSE),"")</f>
        <v>Lainnya 2.3 (2) ………</v>
      </c>
      <c r="FQ166" s="368" t="str">
        <f t="shared" si="2444"/>
        <v>Bijih </v>
      </c>
      <c r="FR166" s="368" t="str">
        <f t="shared" si="2444"/>
        <v>Ton </v>
      </c>
      <c r="FS166" s="361"/>
      <c r="FT166" s="361" t="str">
        <f t="shared" si="2227"/>
        <v/>
      </c>
      <c r="FU166" s="361">
        <f t="shared" si="2228"/>
        <v>0</v>
      </c>
      <c r="FV166" s="369"/>
      <c r="FW166" s="361">
        <f t="shared" si="2229"/>
        <v>0</v>
      </c>
      <c r="FX166" s="410"/>
      <c r="FY166" s="96"/>
      <c r="FZ166" s="96"/>
      <c r="GA166" s="361">
        <f t="shared" si="2230"/>
        <v>0</v>
      </c>
      <c r="GB166" s="369">
        <f t="shared" si="2231"/>
        <v>0.4604471269</v>
      </c>
      <c r="GC166" s="370">
        <f t="shared" si="2232"/>
        <v>0</v>
      </c>
      <c r="GD166" s="371">
        <f t="shared" si="2233"/>
        <v>0</v>
      </c>
      <c r="GE166" s="364"/>
      <c r="GF166" s="366">
        <f t="shared" si="2312"/>
        <v>10</v>
      </c>
      <c r="GG166" s="367" t="str">
        <f t="shared" ref="GG166:GI166" si="2445">IFERROR(VLOOKUP($R166,$A$13:$D$30,-GG$12,FALSE),"")</f>
        <v>Lainnya 2.3 (2) ………</v>
      </c>
      <c r="GH166" s="368" t="str">
        <f t="shared" si="2445"/>
        <v>Bijih </v>
      </c>
      <c r="GI166" s="368" t="str">
        <f t="shared" si="2445"/>
        <v>Ton </v>
      </c>
      <c r="GJ166" s="361"/>
      <c r="GK166" s="361" t="str">
        <f t="shared" si="2235"/>
        <v/>
      </c>
      <c r="GL166" s="361">
        <f t="shared" si="2236"/>
        <v>0</v>
      </c>
      <c r="GM166" s="369"/>
      <c r="GN166" s="361">
        <f t="shared" si="2237"/>
        <v>0</v>
      </c>
      <c r="GO166" s="410"/>
      <c r="GP166" s="96"/>
      <c r="GQ166" s="96"/>
      <c r="GR166" s="361">
        <f t="shared" si="2238"/>
        <v>0</v>
      </c>
      <c r="GS166" s="369">
        <f t="shared" si="2239"/>
        <v>0.4604471269</v>
      </c>
      <c r="GT166" s="370">
        <f t="shared" si="2240"/>
        <v>0</v>
      </c>
      <c r="GU166" s="371">
        <f t="shared" si="2241"/>
        <v>0</v>
      </c>
      <c r="GV166" s="364"/>
      <c r="GW166" s="366">
        <f t="shared" si="2314"/>
        <v>10</v>
      </c>
      <c r="GX166" s="367" t="str">
        <f t="shared" ref="GX166:GZ166" si="2446">IFERROR(VLOOKUP($R166,$A$13:$D$30,-GX$12,FALSE),"")</f>
        <v>Lainnya 2.3 (2) ………</v>
      </c>
      <c r="GY166" s="368" t="str">
        <f t="shared" si="2446"/>
        <v>Bijih </v>
      </c>
      <c r="GZ166" s="368" t="str">
        <f t="shared" si="2446"/>
        <v>Ton </v>
      </c>
      <c r="HA166" s="361"/>
      <c r="HB166" s="361" t="str">
        <f t="shared" si="2243"/>
        <v/>
      </c>
      <c r="HC166" s="361">
        <f t="shared" si="2244"/>
        <v>0</v>
      </c>
      <c r="HD166" s="369"/>
      <c r="HE166" s="361">
        <f t="shared" si="2245"/>
        <v>0</v>
      </c>
      <c r="HF166" s="410"/>
      <c r="HG166" s="96"/>
      <c r="HH166" s="96"/>
      <c r="HI166" s="361">
        <f t="shared" si="2246"/>
        <v>0</v>
      </c>
      <c r="HJ166" s="369">
        <f t="shared" si="2247"/>
        <v>0.4604471269</v>
      </c>
      <c r="HK166" s="370">
        <f t="shared" si="2248"/>
        <v>0</v>
      </c>
      <c r="HL166" s="371">
        <f t="shared" si="2249"/>
        <v>0</v>
      </c>
      <c r="HM166" s="364"/>
      <c r="HN166" s="366">
        <f t="shared" si="2316"/>
        <v>10</v>
      </c>
      <c r="HO166" s="367" t="str">
        <f t="shared" ref="HO166:HQ166" si="2447">IFERROR(VLOOKUP($R166,$A$13:$D$30,-HO$12,FALSE),"")</f>
        <v>Lainnya 2.3 (2) ………</v>
      </c>
      <c r="HP166" s="368" t="str">
        <f t="shared" si="2447"/>
        <v>Bijih </v>
      </c>
      <c r="HQ166" s="368" t="str">
        <f t="shared" si="2447"/>
        <v>Ton </v>
      </c>
      <c r="HR166" s="361"/>
      <c r="HS166" s="361" t="str">
        <f t="shared" si="2251"/>
        <v/>
      </c>
      <c r="HT166" s="361">
        <f t="shared" si="2252"/>
        <v>0</v>
      </c>
      <c r="HU166" s="369"/>
      <c r="HV166" s="361">
        <f t="shared" si="2253"/>
        <v>0</v>
      </c>
      <c r="HW166" s="410"/>
      <c r="HX166" s="96"/>
      <c r="HY166" s="96"/>
      <c r="HZ166" s="361">
        <f t="shared" si="2254"/>
        <v>0</v>
      </c>
      <c r="IA166" s="369">
        <f t="shared" si="2255"/>
        <v>0.4604471269</v>
      </c>
      <c r="IB166" s="370">
        <f t="shared" si="2256"/>
        <v>0</v>
      </c>
      <c r="IC166" s="371">
        <f t="shared" si="2257"/>
        <v>0</v>
      </c>
      <c r="ID166" s="364"/>
      <c r="IE166" s="366">
        <f t="shared" si="2318"/>
        <v>10</v>
      </c>
      <c r="IF166" s="367" t="str">
        <f t="shared" ref="IF166:IH166" si="2448">IFERROR(VLOOKUP($R166,$A$13:$D$30,-IF$12,FALSE),"")</f>
        <v>Lainnya 2.3 (2) ………</v>
      </c>
      <c r="IG166" s="368" t="str">
        <f t="shared" si="2448"/>
        <v>Bijih </v>
      </c>
      <c r="IH166" s="368" t="str">
        <f t="shared" si="2448"/>
        <v>Ton </v>
      </c>
      <c r="II166" s="361"/>
      <c r="IJ166" s="361" t="str">
        <f t="shared" si="2259"/>
        <v/>
      </c>
      <c r="IK166" s="361">
        <f t="shared" si="2260"/>
        <v>0</v>
      </c>
      <c r="IL166" s="369"/>
      <c r="IM166" s="361">
        <f t="shared" si="2261"/>
        <v>0</v>
      </c>
      <c r="IN166" s="410"/>
      <c r="IO166" s="96"/>
      <c r="IP166" s="96"/>
      <c r="IQ166" s="361">
        <f t="shared" si="2262"/>
        <v>0</v>
      </c>
      <c r="IR166" s="369">
        <f t="shared" si="2263"/>
        <v>0.4604471269</v>
      </c>
      <c r="IS166" s="370">
        <f t="shared" si="2264"/>
        <v>0</v>
      </c>
      <c r="IT166" s="371">
        <f t="shared" si="2265"/>
        <v>0</v>
      </c>
      <c r="IU166" s="364"/>
      <c r="IV166" s="366">
        <f t="shared" si="2320"/>
        <v>10</v>
      </c>
      <c r="IW166" s="367" t="str">
        <f t="shared" ref="IW166:IY166" si="2449">IFERROR(VLOOKUP($R166,$A$13:$D$30,-IW$12,FALSE),"")</f>
        <v>Lainnya 2.3 (2) ………</v>
      </c>
      <c r="IX166" s="368" t="str">
        <f t="shared" si="2449"/>
        <v>Bijih </v>
      </c>
      <c r="IY166" s="368" t="str">
        <f t="shared" si="2449"/>
        <v>Ton </v>
      </c>
      <c r="IZ166" s="361"/>
      <c r="JA166" s="361" t="str">
        <f t="shared" si="2267"/>
        <v/>
      </c>
      <c r="JB166" s="361">
        <f t="shared" si="2268"/>
        <v>0</v>
      </c>
      <c r="JC166" s="369"/>
      <c r="JD166" s="361">
        <f t="shared" si="2269"/>
        <v>0</v>
      </c>
      <c r="JE166" s="410"/>
      <c r="JF166" s="96"/>
      <c r="JG166" s="96"/>
      <c r="JH166" s="361">
        <f t="shared" si="2270"/>
        <v>0</v>
      </c>
      <c r="JI166" s="369">
        <f t="shared" si="2271"/>
        <v>0.4604471269</v>
      </c>
      <c r="JJ166" s="370">
        <f t="shared" si="2272"/>
        <v>0</v>
      </c>
      <c r="JK166" s="371">
        <f t="shared" si="2273"/>
        <v>0</v>
      </c>
      <c r="JL166" s="364"/>
      <c r="JM166" s="366">
        <f t="shared" si="2322"/>
        <v>10</v>
      </c>
      <c r="JN166" s="367" t="str">
        <f t="shared" ref="JN166:JP166" si="2450">IFERROR(VLOOKUP($R166,$A$13:$D$30,-JN$12,FALSE),"")</f>
        <v>Lainnya 2.3 (2) ………</v>
      </c>
      <c r="JO166" s="368" t="str">
        <f t="shared" si="2450"/>
        <v>Bijih </v>
      </c>
      <c r="JP166" s="368" t="str">
        <f t="shared" si="2450"/>
        <v>Ton </v>
      </c>
      <c r="JQ166" s="361"/>
      <c r="JR166" s="361" t="str">
        <f t="shared" si="2275"/>
        <v/>
      </c>
      <c r="JS166" s="361">
        <f t="shared" si="2276"/>
        <v>0</v>
      </c>
      <c r="JT166" s="369"/>
      <c r="JU166" s="361">
        <f t="shared" si="2277"/>
        <v>0</v>
      </c>
      <c r="JV166" s="410"/>
      <c r="JW166" s="96"/>
      <c r="JX166" s="96"/>
      <c r="JY166" s="361">
        <f t="shared" si="2278"/>
        <v>0</v>
      </c>
      <c r="JZ166" s="369">
        <f t="shared" si="2279"/>
        <v>0.4604471269</v>
      </c>
      <c r="KA166" s="370">
        <f t="shared" si="2280"/>
        <v>0</v>
      </c>
      <c r="KB166" s="371">
        <f t="shared" si="2281"/>
        <v>0</v>
      </c>
      <c r="KC166" s="364"/>
      <c r="KD166" s="366">
        <f t="shared" si="2324"/>
        <v>10</v>
      </c>
      <c r="KE166" s="367" t="str">
        <f t="shared" ref="KE166:KG166" si="2451">IFERROR(VLOOKUP($R166,$A$13:$D$30,-KE$12,FALSE),"")</f>
        <v>Lainnya 2.3 (2) ………</v>
      </c>
      <c r="KF166" s="368" t="str">
        <f t="shared" si="2451"/>
        <v>Bijih </v>
      </c>
      <c r="KG166" s="368" t="str">
        <f t="shared" si="2451"/>
        <v>Ton </v>
      </c>
      <c r="KH166" s="361"/>
      <c r="KI166" s="361" t="str">
        <f t="shared" si="2283"/>
        <v/>
      </c>
      <c r="KJ166" s="361">
        <f t="shared" si="2284"/>
        <v>0</v>
      </c>
      <c r="KK166" s="369"/>
      <c r="KL166" s="361">
        <f t="shared" si="2285"/>
        <v>0</v>
      </c>
      <c r="KM166" s="410"/>
      <c r="KN166" s="96"/>
      <c r="KO166" s="96"/>
      <c r="KP166" s="361">
        <f t="shared" si="2286"/>
        <v>0</v>
      </c>
      <c r="KQ166" s="369">
        <f t="shared" si="2287"/>
        <v>0.4604471269</v>
      </c>
      <c r="KR166" s="370">
        <f t="shared" si="2288"/>
        <v>0</v>
      </c>
      <c r="KS166" s="371">
        <f t="shared" si="2289"/>
        <v>0</v>
      </c>
      <c r="KT166" s="364"/>
      <c r="KU166" s="365"/>
    </row>
    <row r="167" ht="15.75" customHeight="1">
      <c r="A167" s="366">
        <f t="shared" si="2290"/>
        <v>11</v>
      </c>
      <c r="B167" s="367" t="str">
        <f t="shared" ref="B167:D167" si="2452">IFERROR(VLOOKUP($A167,$A$13:$D$30,-B$12,FALSE),"")</f>
        <v>Lainnya 2.3 (3) …….</v>
      </c>
      <c r="C167" s="368" t="str">
        <f t="shared" si="2452"/>
        <v/>
      </c>
      <c r="D167" s="368" t="str">
        <f t="shared" si="2452"/>
        <v/>
      </c>
      <c r="E167" s="361"/>
      <c r="F167" s="361" t="str">
        <f t="shared" si="2147"/>
        <v/>
      </c>
      <c r="G167" s="361">
        <f t="shared" si="2148"/>
        <v>0</v>
      </c>
      <c r="H167" s="369"/>
      <c r="I167" s="361">
        <f t="shared" si="2149"/>
        <v>0</v>
      </c>
      <c r="J167" s="410"/>
      <c r="K167" s="96"/>
      <c r="L167" s="96"/>
      <c r="M167" s="361">
        <f t="shared" si="2150"/>
        <v>0</v>
      </c>
      <c r="N167" s="369">
        <f t="shared" si="2151"/>
        <v>0.4604471269</v>
      </c>
      <c r="O167" s="370">
        <f t="shared" si="2152"/>
        <v>0</v>
      </c>
      <c r="P167" s="371">
        <f t="shared" si="2153"/>
        <v>0</v>
      </c>
      <c r="Q167" s="364"/>
      <c r="R167" s="366">
        <f t="shared" si="2292"/>
        <v>11</v>
      </c>
      <c r="S167" s="367" t="str">
        <f t="shared" ref="S167:U167" si="2453">IFERROR(VLOOKUP($R167,$A$13:$D$30,-S$12,FALSE),"")</f>
        <v>Lainnya 2.3 (3) …….</v>
      </c>
      <c r="T167" s="368" t="str">
        <f t="shared" si="2453"/>
        <v/>
      </c>
      <c r="U167" s="368" t="str">
        <f t="shared" si="2453"/>
        <v/>
      </c>
      <c r="V167" s="361"/>
      <c r="W167" s="361" t="str">
        <f t="shared" si="2155"/>
        <v/>
      </c>
      <c r="X167" s="361">
        <f t="shared" si="2156"/>
        <v>0</v>
      </c>
      <c r="Y167" s="369"/>
      <c r="Z167" s="361">
        <f t="shared" si="2157"/>
        <v>0</v>
      </c>
      <c r="AA167" s="410"/>
      <c r="AB167" s="96"/>
      <c r="AC167" s="96"/>
      <c r="AD167" s="361">
        <f t="shared" si="2158"/>
        <v>0</v>
      </c>
      <c r="AE167" s="369">
        <f t="shared" si="2159"/>
        <v>0.4604471269</v>
      </c>
      <c r="AF167" s="370">
        <f t="shared" si="2160"/>
        <v>0</v>
      </c>
      <c r="AG167" s="371">
        <f t="shared" si="2161"/>
        <v>0</v>
      </c>
      <c r="AH167" s="364"/>
      <c r="AI167" s="366">
        <f t="shared" si="2294"/>
        <v>11</v>
      </c>
      <c r="AJ167" s="367" t="str">
        <f t="shared" ref="AJ167:AL167" si="2454">IFERROR(VLOOKUP($R167,$A$13:$D$30,-AJ$12,FALSE),"")</f>
        <v>Lainnya 2.3 (3) …….</v>
      </c>
      <c r="AK167" s="368" t="str">
        <f t="shared" si="2454"/>
        <v/>
      </c>
      <c r="AL167" s="368" t="str">
        <f t="shared" si="2454"/>
        <v/>
      </c>
      <c r="AM167" s="361"/>
      <c r="AN167" s="361" t="str">
        <f t="shared" si="2163"/>
        <v/>
      </c>
      <c r="AO167" s="361">
        <f t="shared" si="2164"/>
        <v>0</v>
      </c>
      <c r="AP167" s="369"/>
      <c r="AQ167" s="361">
        <f t="shared" si="2165"/>
        <v>0</v>
      </c>
      <c r="AR167" s="410"/>
      <c r="AS167" s="96"/>
      <c r="AT167" s="96"/>
      <c r="AU167" s="361">
        <f t="shared" si="2166"/>
        <v>0</v>
      </c>
      <c r="AV167" s="369">
        <f t="shared" si="2167"/>
        <v>0.4604471269</v>
      </c>
      <c r="AW167" s="370">
        <f t="shared" si="2168"/>
        <v>0</v>
      </c>
      <c r="AX167" s="371">
        <f t="shared" si="2169"/>
        <v>0</v>
      </c>
      <c r="AY167" s="364"/>
      <c r="AZ167" s="366">
        <f t="shared" si="2296"/>
        <v>11</v>
      </c>
      <c r="BA167" s="367" t="str">
        <f t="shared" ref="BA167:BC167" si="2455">IFERROR(VLOOKUP($R167,$A$13:$D$30,-BA$12,FALSE),"")</f>
        <v>Lainnya 2.3 (3) …….</v>
      </c>
      <c r="BB167" s="368" t="str">
        <f t="shared" si="2455"/>
        <v/>
      </c>
      <c r="BC167" s="368" t="str">
        <f t="shared" si="2455"/>
        <v/>
      </c>
      <c r="BD167" s="361"/>
      <c r="BE167" s="361" t="str">
        <f t="shared" si="2171"/>
        <v/>
      </c>
      <c r="BF167" s="361">
        <f t="shared" si="2172"/>
        <v>0</v>
      </c>
      <c r="BG167" s="369"/>
      <c r="BH167" s="361">
        <f t="shared" si="2173"/>
        <v>0</v>
      </c>
      <c r="BI167" s="410"/>
      <c r="BJ167" s="96"/>
      <c r="BK167" s="96"/>
      <c r="BL167" s="361">
        <f t="shared" si="2174"/>
        <v>0</v>
      </c>
      <c r="BM167" s="369">
        <f t="shared" si="2175"/>
        <v>0.4604471269</v>
      </c>
      <c r="BN167" s="370">
        <f t="shared" si="2176"/>
        <v>0</v>
      </c>
      <c r="BO167" s="371">
        <f t="shared" si="2177"/>
        <v>0</v>
      </c>
      <c r="BP167" s="364"/>
      <c r="BQ167" s="366">
        <f t="shared" si="2298"/>
        <v>11</v>
      </c>
      <c r="BR167" s="367" t="str">
        <f t="shared" ref="BR167:BT167" si="2456">IFERROR(VLOOKUP($R167,$A$13:$D$30,-BR$12,FALSE),"")</f>
        <v>Lainnya 2.3 (3) …….</v>
      </c>
      <c r="BS167" s="368" t="str">
        <f t="shared" si="2456"/>
        <v/>
      </c>
      <c r="BT167" s="368" t="str">
        <f t="shared" si="2456"/>
        <v/>
      </c>
      <c r="BU167" s="361"/>
      <c r="BV167" s="361" t="str">
        <f t="shared" si="2179"/>
        <v/>
      </c>
      <c r="BW167" s="361">
        <f t="shared" si="2180"/>
        <v>0</v>
      </c>
      <c r="BX167" s="369"/>
      <c r="BY167" s="361">
        <f t="shared" si="2181"/>
        <v>0</v>
      </c>
      <c r="BZ167" s="410"/>
      <c r="CA167" s="96"/>
      <c r="CB167" s="96"/>
      <c r="CC167" s="361">
        <f t="shared" si="2182"/>
        <v>0</v>
      </c>
      <c r="CD167" s="369">
        <f t="shared" si="2183"/>
        <v>0.4604471269</v>
      </c>
      <c r="CE167" s="370">
        <f t="shared" si="2184"/>
        <v>0</v>
      </c>
      <c r="CF167" s="371">
        <f t="shared" si="2185"/>
        <v>0</v>
      </c>
      <c r="CG167" s="364"/>
      <c r="CH167" s="366">
        <f t="shared" si="2300"/>
        <v>11</v>
      </c>
      <c r="CI167" s="367" t="str">
        <f t="shared" ref="CI167:CK167" si="2457">IFERROR(VLOOKUP($R167,$A$13:$D$30,-CI$12,FALSE),"")</f>
        <v>Lainnya 2.3 (3) …….</v>
      </c>
      <c r="CJ167" s="368" t="str">
        <f t="shared" si="2457"/>
        <v/>
      </c>
      <c r="CK167" s="368" t="str">
        <f t="shared" si="2457"/>
        <v/>
      </c>
      <c r="CL167" s="361"/>
      <c r="CM167" s="361" t="str">
        <f t="shared" si="2187"/>
        <v/>
      </c>
      <c r="CN167" s="361">
        <f t="shared" si="2188"/>
        <v>0</v>
      </c>
      <c r="CO167" s="369"/>
      <c r="CP167" s="361">
        <f t="shared" si="2189"/>
        <v>0</v>
      </c>
      <c r="CQ167" s="410"/>
      <c r="CR167" s="96"/>
      <c r="CS167" s="96"/>
      <c r="CT167" s="361">
        <f t="shared" si="2190"/>
        <v>0</v>
      </c>
      <c r="CU167" s="369">
        <f t="shared" si="2191"/>
        <v>0.4604471269</v>
      </c>
      <c r="CV167" s="370">
        <f t="shared" si="2192"/>
        <v>0</v>
      </c>
      <c r="CW167" s="371">
        <f t="shared" si="2193"/>
        <v>0</v>
      </c>
      <c r="CX167" s="364"/>
      <c r="CY167" s="366">
        <f t="shared" si="2302"/>
        <v>11</v>
      </c>
      <c r="CZ167" s="367" t="str">
        <f t="shared" ref="CZ167:DB167" si="2458">IFERROR(VLOOKUP($R167,$A$13:$D$30,-CZ$12,FALSE),"")</f>
        <v>Lainnya 2.3 (3) …….</v>
      </c>
      <c r="DA167" s="368" t="str">
        <f t="shared" si="2458"/>
        <v/>
      </c>
      <c r="DB167" s="368" t="str">
        <f t="shared" si="2458"/>
        <v/>
      </c>
      <c r="DC167" s="361"/>
      <c r="DD167" s="361" t="str">
        <f t="shared" si="2195"/>
        <v/>
      </c>
      <c r="DE167" s="361">
        <f t="shared" si="2196"/>
        <v>0</v>
      </c>
      <c r="DF167" s="369"/>
      <c r="DG167" s="361">
        <f t="shared" si="2197"/>
        <v>0</v>
      </c>
      <c r="DH167" s="410"/>
      <c r="DI167" s="96"/>
      <c r="DJ167" s="96"/>
      <c r="DK167" s="361">
        <f t="shared" si="2198"/>
        <v>0</v>
      </c>
      <c r="DL167" s="369">
        <f t="shared" si="2199"/>
        <v>0.4604471269</v>
      </c>
      <c r="DM167" s="370">
        <f t="shared" si="2200"/>
        <v>0</v>
      </c>
      <c r="DN167" s="371">
        <f t="shared" si="2201"/>
        <v>0</v>
      </c>
      <c r="DO167" s="364"/>
      <c r="DP167" s="366">
        <f t="shared" si="2304"/>
        <v>11</v>
      </c>
      <c r="DQ167" s="367" t="str">
        <f t="shared" ref="DQ167:DS167" si="2459">IFERROR(VLOOKUP($R167,$A$13:$D$30,-DQ$12,FALSE),"")</f>
        <v>Lainnya 2.3 (3) …….</v>
      </c>
      <c r="DR167" s="368" t="str">
        <f t="shared" si="2459"/>
        <v/>
      </c>
      <c r="DS167" s="368" t="str">
        <f t="shared" si="2459"/>
        <v/>
      </c>
      <c r="DT167" s="361"/>
      <c r="DU167" s="361" t="str">
        <f t="shared" si="2203"/>
        <v/>
      </c>
      <c r="DV167" s="361">
        <f t="shared" si="2204"/>
        <v>0</v>
      </c>
      <c r="DW167" s="369"/>
      <c r="DX167" s="361">
        <f t="shared" si="2205"/>
        <v>0</v>
      </c>
      <c r="DY167" s="410"/>
      <c r="DZ167" s="96"/>
      <c r="EA167" s="96"/>
      <c r="EB167" s="361">
        <f t="shared" si="2206"/>
        <v>0</v>
      </c>
      <c r="EC167" s="369">
        <f t="shared" si="2207"/>
        <v>0.4604471269</v>
      </c>
      <c r="ED167" s="370">
        <f t="shared" si="2208"/>
        <v>0</v>
      </c>
      <c r="EE167" s="371">
        <f t="shared" si="2209"/>
        <v>0</v>
      </c>
      <c r="EF167" s="364"/>
      <c r="EG167" s="366">
        <f t="shared" si="2306"/>
        <v>11</v>
      </c>
      <c r="EH167" s="367" t="str">
        <f t="shared" ref="EH167:EJ167" si="2460">IFERROR(VLOOKUP($R167,$A$13:$D$30,-EH$12,FALSE),"")</f>
        <v>Lainnya 2.3 (3) …….</v>
      </c>
      <c r="EI167" s="368" t="str">
        <f t="shared" si="2460"/>
        <v/>
      </c>
      <c r="EJ167" s="368" t="str">
        <f t="shared" si="2460"/>
        <v/>
      </c>
      <c r="EK167" s="361"/>
      <c r="EL167" s="361" t="str">
        <f t="shared" si="2211"/>
        <v/>
      </c>
      <c r="EM167" s="361">
        <f t="shared" si="2212"/>
        <v>0</v>
      </c>
      <c r="EN167" s="369"/>
      <c r="EO167" s="361">
        <f t="shared" si="2213"/>
        <v>0</v>
      </c>
      <c r="EP167" s="410"/>
      <c r="EQ167" s="96"/>
      <c r="ER167" s="96"/>
      <c r="ES167" s="361">
        <f t="shared" si="2214"/>
        <v>0</v>
      </c>
      <c r="ET167" s="369">
        <f t="shared" si="2215"/>
        <v>0.4604471269</v>
      </c>
      <c r="EU167" s="370">
        <f t="shared" si="2216"/>
        <v>0</v>
      </c>
      <c r="EV167" s="371">
        <f t="shared" si="2217"/>
        <v>0</v>
      </c>
      <c r="EW167" s="364"/>
      <c r="EX167" s="366">
        <f t="shared" si="2308"/>
        <v>11</v>
      </c>
      <c r="EY167" s="367" t="str">
        <f t="shared" ref="EY167:FA167" si="2461">IFERROR(VLOOKUP($R167,$A$13:$D$30,-EY$12,FALSE),"")</f>
        <v>Lainnya 2.3 (3) …….</v>
      </c>
      <c r="EZ167" s="368" t="str">
        <f t="shared" si="2461"/>
        <v/>
      </c>
      <c r="FA167" s="368" t="str">
        <f t="shared" si="2461"/>
        <v/>
      </c>
      <c r="FB167" s="361"/>
      <c r="FC167" s="361" t="str">
        <f t="shared" si="2219"/>
        <v/>
      </c>
      <c r="FD167" s="361">
        <f t="shared" si="2220"/>
        <v>0</v>
      </c>
      <c r="FE167" s="369"/>
      <c r="FF167" s="361">
        <f t="shared" si="2221"/>
        <v>0</v>
      </c>
      <c r="FG167" s="410"/>
      <c r="FH167" s="96"/>
      <c r="FI167" s="96"/>
      <c r="FJ167" s="361">
        <f t="shared" si="2222"/>
        <v>0</v>
      </c>
      <c r="FK167" s="369">
        <f t="shared" si="2223"/>
        <v>0.4604471269</v>
      </c>
      <c r="FL167" s="370">
        <f t="shared" si="2224"/>
        <v>0</v>
      </c>
      <c r="FM167" s="371">
        <f t="shared" si="2225"/>
        <v>0</v>
      </c>
      <c r="FN167" s="364"/>
      <c r="FO167" s="366">
        <f t="shared" si="2310"/>
        <v>11</v>
      </c>
      <c r="FP167" s="367" t="str">
        <f t="shared" ref="FP167:FR167" si="2462">IFERROR(VLOOKUP($R167,$A$13:$D$30,-FP$12,FALSE),"")</f>
        <v>Lainnya 2.3 (3) …….</v>
      </c>
      <c r="FQ167" s="368" t="str">
        <f t="shared" si="2462"/>
        <v/>
      </c>
      <c r="FR167" s="368" t="str">
        <f t="shared" si="2462"/>
        <v/>
      </c>
      <c r="FS167" s="361"/>
      <c r="FT167" s="361" t="str">
        <f t="shared" si="2227"/>
        <v/>
      </c>
      <c r="FU167" s="361">
        <f t="shared" si="2228"/>
        <v>0</v>
      </c>
      <c r="FV167" s="369"/>
      <c r="FW167" s="361">
        <f t="shared" si="2229"/>
        <v>0</v>
      </c>
      <c r="FX167" s="410"/>
      <c r="FY167" s="96"/>
      <c r="FZ167" s="96"/>
      <c r="GA167" s="361">
        <f t="shared" si="2230"/>
        <v>0</v>
      </c>
      <c r="GB167" s="369">
        <f t="shared" si="2231"/>
        <v>0.4604471269</v>
      </c>
      <c r="GC167" s="370">
        <f t="shared" si="2232"/>
        <v>0</v>
      </c>
      <c r="GD167" s="371">
        <f t="shared" si="2233"/>
        <v>0</v>
      </c>
      <c r="GE167" s="364"/>
      <c r="GF167" s="366">
        <f t="shared" si="2312"/>
        <v>11</v>
      </c>
      <c r="GG167" s="367" t="str">
        <f t="shared" ref="GG167:GI167" si="2463">IFERROR(VLOOKUP($R167,$A$13:$D$30,-GG$12,FALSE),"")</f>
        <v>Lainnya 2.3 (3) …….</v>
      </c>
      <c r="GH167" s="368" t="str">
        <f t="shared" si="2463"/>
        <v/>
      </c>
      <c r="GI167" s="368" t="str">
        <f t="shared" si="2463"/>
        <v/>
      </c>
      <c r="GJ167" s="361"/>
      <c r="GK167" s="361" t="str">
        <f t="shared" si="2235"/>
        <v/>
      </c>
      <c r="GL167" s="361">
        <f t="shared" si="2236"/>
        <v>0</v>
      </c>
      <c r="GM167" s="369"/>
      <c r="GN167" s="361">
        <f t="shared" si="2237"/>
        <v>0</v>
      </c>
      <c r="GO167" s="410"/>
      <c r="GP167" s="96"/>
      <c r="GQ167" s="96"/>
      <c r="GR167" s="361">
        <f t="shared" si="2238"/>
        <v>0</v>
      </c>
      <c r="GS167" s="369">
        <f t="shared" si="2239"/>
        <v>0.4604471269</v>
      </c>
      <c r="GT167" s="370">
        <f t="shared" si="2240"/>
        <v>0</v>
      </c>
      <c r="GU167" s="371">
        <f t="shared" si="2241"/>
        <v>0</v>
      </c>
      <c r="GV167" s="364"/>
      <c r="GW167" s="366">
        <f t="shared" si="2314"/>
        <v>11</v>
      </c>
      <c r="GX167" s="367" t="str">
        <f t="shared" ref="GX167:GZ167" si="2464">IFERROR(VLOOKUP($R167,$A$13:$D$30,-GX$12,FALSE),"")</f>
        <v>Lainnya 2.3 (3) …….</v>
      </c>
      <c r="GY167" s="368" t="str">
        <f t="shared" si="2464"/>
        <v/>
      </c>
      <c r="GZ167" s="368" t="str">
        <f t="shared" si="2464"/>
        <v/>
      </c>
      <c r="HA167" s="372"/>
      <c r="HB167" s="361" t="str">
        <f t="shared" si="2243"/>
        <v/>
      </c>
      <c r="HC167" s="361">
        <f t="shared" si="2244"/>
        <v>0</v>
      </c>
      <c r="HD167" s="369"/>
      <c r="HE167" s="361">
        <f t="shared" si="2245"/>
        <v>0</v>
      </c>
      <c r="HF167" s="410"/>
      <c r="HG167" s="96"/>
      <c r="HH167" s="96"/>
      <c r="HI167" s="361">
        <f t="shared" si="2246"/>
        <v>0</v>
      </c>
      <c r="HJ167" s="369">
        <f t="shared" si="2247"/>
        <v>0.4604471269</v>
      </c>
      <c r="HK167" s="370">
        <f t="shared" si="2248"/>
        <v>0</v>
      </c>
      <c r="HL167" s="371">
        <f t="shared" si="2249"/>
        <v>0</v>
      </c>
      <c r="HM167" s="364"/>
      <c r="HN167" s="366">
        <f t="shared" si="2316"/>
        <v>11</v>
      </c>
      <c r="HO167" s="367" t="str">
        <f t="shared" ref="HO167:HQ167" si="2465">IFERROR(VLOOKUP($R167,$A$13:$D$30,-HO$12,FALSE),"")</f>
        <v>Lainnya 2.3 (3) …….</v>
      </c>
      <c r="HP167" s="368" t="str">
        <f t="shared" si="2465"/>
        <v/>
      </c>
      <c r="HQ167" s="368" t="str">
        <f t="shared" si="2465"/>
        <v/>
      </c>
      <c r="HR167" s="361"/>
      <c r="HS167" s="361" t="str">
        <f t="shared" si="2251"/>
        <v/>
      </c>
      <c r="HT167" s="361">
        <f t="shared" si="2252"/>
        <v>0</v>
      </c>
      <c r="HU167" s="369"/>
      <c r="HV167" s="361">
        <f t="shared" si="2253"/>
        <v>0</v>
      </c>
      <c r="HW167" s="410"/>
      <c r="HX167" s="96"/>
      <c r="HY167" s="96"/>
      <c r="HZ167" s="361">
        <f t="shared" si="2254"/>
        <v>0</v>
      </c>
      <c r="IA167" s="369">
        <f t="shared" si="2255"/>
        <v>0.4604471269</v>
      </c>
      <c r="IB167" s="370">
        <f t="shared" si="2256"/>
        <v>0</v>
      </c>
      <c r="IC167" s="371">
        <f t="shared" si="2257"/>
        <v>0</v>
      </c>
      <c r="ID167" s="364"/>
      <c r="IE167" s="366">
        <f t="shared" si="2318"/>
        <v>11</v>
      </c>
      <c r="IF167" s="367" t="str">
        <f t="shared" ref="IF167:IH167" si="2466">IFERROR(VLOOKUP($R167,$A$13:$D$30,-IF$12,FALSE),"")</f>
        <v>Lainnya 2.3 (3) …….</v>
      </c>
      <c r="IG167" s="368" t="str">
        <f t="shared" si="2466"/>
        <v/>
      </c>
      <c r="IH167" s="368" t="str">
        <f t="shared" si="2466"/>
        <v/>
      </c>
      <c r="II167" s="361"/>
      <c r="IJ167" s="361" t="str">
        <f t="shared" si="2259"/>
        <v/>
      </c>
      <c r="IK167" s="361">
        <f t="shared" si="2260"/>
        <v>0</v>
      </c>
      <c r="IL167" s="369"/>
      <c r="IM167" s="361">
        <f t="shared" si="2261"/>
        <v>0</v>
      </c>
      <c r="IN167" s="410"/>
      <c r="IO167" s="96"/>
      <c r="IP167" s="96"/>
      <c r="IQ167" s="361">
        <f t="shared" si="2262"/>
        <v>0</v>
      </c>
      <c r="IR167" s="369">
        <f t="shared" si="2263"/>
        <v>0.4604471269</v>
      </c>
      <c r="IS167" s="370">
        <f t="shared" si="2264"/>
        <v>0</v>
      </c>
      <c r="IT167" s="371">
        <f t="shared" si="2265"/>
        <v>0</v>
      </c>
      <c r="IU167" s="364"/>
      <c r="IV167" s="366">
        <f t="shared" si="2320"/>
        <v>11</v>
      </c>
      <c r="IW167" s="367" t="str">
        <f t="shared" ref="IW167:IY167" si="2467">IFERROR(VLOOKUP($R167,$A$13:$D$30,-IW$12,FALSE),"")</f>
        <v>Lainnya 2.3 (3) …….</v>
      </c>
      <c r="IX167" s="368" t="str">
        <f t="shared" si="2467"/>
        <v/>
      </c>
      <c r="IY167" s="368" t="str">
        <f t="shared" si="2467"/>
        <v/>
      </c>
      <c r="IZ167" s="361"/>
      <c r="JA167" s="361" t="str">
        <f t="shared" si="2267"/>
        <v/>
      </c>
      <c r="JB167" s="361">
        <f t="shared" si="2268"/>
        <v>0</v>
      </c>
      <c r="JC167" s="369"/>
      <c r="JD167" s="361">
        <f t="shared" si="2269"/>
        <v>0</v>
      </c>
      <c r="JE167" s="410"/>
      <c r="JF167" s="96"/>
      <c r="JG167" s="96"/>
      <c r="JH167" s="361">
        <f t="shared" si="2270"/>
        <v>0</v>
      </c>
      <c r="JI167" s="369">
        <f t="shared" si="2271"/>
        <v>0.4604471269</v>
      </c>
      <c r="JJ167" s="370">
        <f t="shared" si="2272"/>
        <v>0</v>
      </c>
      <c r="JK167" s="371">
        <f t="shared" si="2273"/>
        <v>0</v>
      </c>
      <c r="JL167" s="364"/>
      <c r="JM167" s="366">
        <f t="shared" si="2322"/>
        <v>11</v>
      </c>
      <c r="JN167" s="367" t="str">
        <f t="shared" ref="JN167:JP167" si="2468">IFERROR(VLOOKUP($R167,$A$13:$D$30,-JN$12,FALSE),"")</f>
        <v>Lainnya 2.3 (3) …….</v>
      </c>
      <c r="JO167" s="368" t="str">
        <f t="shared" si="2468"/>
        <v/>
      </c>
      <c r="JP167" s="368" t="str">
        <f t="shared" si="2468"/>
        <v/>
      </c>
      <c r="JQ167" s="361"/>
      <c r="JR167" s="361" t="str">
        <f t="shared" si="2275"/>
        <v/>
      </c>
      <c r="JS167" s="361">
        <f t="shared" si="2276"/>
        <v>0</v>
      </c>
      <c r="JT167" s="369"/>
      <c r="JU167" s="361">
        <f t="shared" si="2277"/>
        <v>0</v>
      </c>
      <c r="JV167" s="410"/>
      <c r="JW167" s="96"/>
      <c r="JX167" s="96"/>
      <c r="JY167" s="361">
        <f t="shared" si="2278"/>
        <v>0</v>
      </c>
      <c r="JZ167" s="369">
        <f t="shared" si="2279"/>
        <v>0.4604471269</v>
      </c>
      <c r="KA167" s="370">
        <f t="shared" si="2280"/>
        <v>0</v>
      </c>
      <c r="KB167" s="371">
        <f t="shared" si="2281"/>
        <v>0</v>
      </c>
      <c r="KC167" s="364"/>
      <c r="KD167" s="366">
        <f t="shared" si="2324"/>
        <v>11</v>
      </c>
      <c r="KE167" s="367" t="str">
        <f t="shared" ref="KE167:KG167" si="2469">IFERROR(VLOOKUP($R167,$A$13:$D$30,-KE$12,FALSE),"")</f>
        <v>Lainnya 2.3 (3) …….</v>
      </c>
      <c r="KF167" s="368" t="str">
        <f t="shared" si="2469"/>
        <v/>
      </c>
      <c r="KG167" s="368" t="str">
        <f t="shared" si="2469"/>
        <v/>
      </c>
      <c r="KH167" s="361"/>
      <c r="KI167" s="361" t="str">
        <f t="shared" si="2283"/>
        <v/>
      </c>
      <c r="KJ167" s="361">
        <f t="shared" si="2284"/>
        <v>0</v>
      </c>
      <c r="KK167" s="369"/>
      <c r="KL167" s="361">
        <f t="shared" si="2285"/>
        <v>0</v>
      </c>
      <c r="KM167" s="410"/>
      <c r="KN167" s="96"/>
      <c r="KO167" s="96"/>
      <c r="KP167" s="361">
        <f t="shared" si="2286"/>
        <v>0</v>
      </c>
      <c r="KQ167" s="369">
        <f t="shared" si="2287"/>
        <v>0.4604471269</v>
      </c>
      <c r="KR167" s="370">
        <f t="shared" si="2288"/>
        <v>0</v>
      </c>
      <c r="KS167" s="371">
        <f t="shared" si="2289"/>
        <v>0</v>
      </c>
      <c r="KT167" s="364"/>
      <c r="KU167" s="365"/>
    </row>
    <row r="168" ht="15.75" customHeight="1">
      <c r="A168" s="366">
        <f t="shared" si="2290"/>
        <v>12</v>
      </c>
      <c r="B168" s="367" t="str">
        <f t="shared" ref="B168:D168" si="2470">IFERROR(VLOOKUP($A168,$A$13:$D$30,-B$12,FALSE),"")</f>
        <v>Lainnya 2.3 (4) …….</v>
      </c>
      <c r="C168" s="368" t="str">
        <f t="shared" si="2470"/>
        <v/>
      </c>
      <c r="D168" s="368" t="str">
        <f t="shared" si="2470"/>
        <v/>
      </c>
      <c r="E168" s="361"/>
      <c r="F168" s="361" t="str">
        <f t="shared" si="2147"/>
        <v/>
      </c>
      <c r="G168" s="361">
        <f t="shared" si="2148"/>
        <v>0</v>
      </c>
      <c r="H168" s="369"/>
      <c r="I168" s="361">
        <f t="shared" si="2149"/>
        <v>0</v>
      </c>
      <c r="J168" s="410"/>
      <c r="K168" s="96"/>
      <c r="L168" s="96"/>
      <c r="M168" s="361">
        <f t="shared" si="2150"/>
        <v>0</v>
      </c>
      <c r="N168" s="369">
        <f t="shared" si="2151"/>
        <v>0.4604471269</v>
      </c>
      <c r="O168" s="370">
        <f t="shared" si="2152"/>
        <v>0</v>
      </c>
      <c r="P168" s="371">
        <f t="shared" si="2153"/>
        <v>0</v>
      </c>
      <c r="Q168" s="364"/>
      <c r="R168" s="366">
        <f t="shared" si="2292"/>
        <v>12</v>
      </c>
      <c r="S168" s="367" t="str">
        <f t="shared" ref="S168:U168" si="2471">IFERROR(VLOOKUP($R168,$A$13:$D$30,-S$12,FALSE),"")</f>
        <v>Lainnya 2.3 (4) …….</v>
      </c>
      <c r="T168" s="368" t="str">
        <f t="shared" si="2471"/>
        <v/>
      </c>
      <c r="U168" s="368" t="str">
        <f t="shared" si="2471"/>
        <v/>
      </c>
      <c r="V168" s="361"/>
      <c r="W168" s="361" t="str">
        <f t="shared" si="2155"/>
        <v/>
      </c>
      <c r="X168" s="361">
        <f t="shared" si="2156"/>
        <v>0</v>
      </c>
      <c r="Y168" s="369"/>
      <c r="Z168" s="361">
        <f t="shared" si="2157"/>
        <v>0</v>
      </c>
      <c r="AA168" s="410"/>
      <c r="AB168" s="96"/>
      <c r="AC168" s="96"/>
      <c r="AD168" s="361">
        <f t="shared" si="2158"/>
        <v>0</v>
      </c>
      <c r="AE168" s="369">
        <f t="shared" si="2159"/>
        <v>0.4604471269</v>
      </c>
      <c r="AF168" s="370">
        <f t="shared" si="2160"/>
        <v>0</v>
      </c>
      <c r="AG168" s="371">
        <f t="shared" si="2161"/>
        <v>0</v>
      </c>
      <c r="AH168" s="364"/>
      <c r="AI168" s="366">
        <f t="shared" si="2294"/>
        <v>12</v>
      </c>
      <c r="AJ168" s="367" t="str">
        <f t="shared" ref="AJ168:AL168" si="2472">IFERROR(VLOOKUP($R168,$A$13:$D$30,-AJ$12,FALSE),"")</f>
        <v>Lainnya 2.3 (4) …….</v>
      </c>
      <c r="AK168" s="368" t="str">
        <f t="shared" si="2472"/>
        <v/>
      </c>
      <c r="AL168" s="368" t="str">
        <f t="shared" si="2472"/>
        <v/>
      </c>
      <c r="AM168" s="361"/>
      <c r="AN168" s="361" t="str">
        <f t="shared" si="2163"/>
        <v/>
      </c>
      <c r="AO168" s="361">
        <f t="shared" si="2164"/>
        <v>0</v>
      </c>
      <c r="AP168" s="369"/>
      <c r="AQ168" s="361">
        <f t="shared" si="2165"/>
        <v>0</v>
      </c>
      <c r="AR168" s="410"/>
      <c r="AS168" s="96"/>
      <c r="AT168" s="96"/>
      <c r="AU168" s="361">
        <f t="shared" si="2166"/>
        <v>0</v>
      </c>
      <c r="AV168" s="369">
        <f t="shared" si="2167"/>
        <v>0.4604471269</v>
      </c>
      <c r="AW168" s="370">
        <f t="shared" si="2168"/>
        <v>0</v>
      </c>
      <c r="AX168" s="371">
        <f t="shared" si="2169"/>
        <v>0</v>
      </c>
      <c r="AY168" s="364"/>
      <c r="AZ168" s="366">
        <f t="shared" si="2296"/>
        <v>12</v>
      </c>
      <c r="BA168" s="367" t="str">
        <f t="shared" ref="BA168:BC168" si="2473">IFERROR(VLOOKUP($R168,$A$13:$D$30,-BA$12,FALSE),"")</f>
        <v>Lainnya 2.3 (4) …….</v>
      </c>
      <c r="BB168" s="368" t="str">
        <f t="shared" si="2473"/>
        <v/>
      </c>
      <c r="BC168" s="368" t="str">
        <f t="shared" si="2473"/>
        <v/>
      </c>
      <c r="BD168" s="361"/>
      <c r="BE168" s="361" t="str">
        <f t="shared" si="2171"/>
        <v/>
      </c>
      <c r="BF168" s="361">
        <f t="shared" si="2172"/>
        <v>0</v>
      </c>
      <c r="BG168" s="369"/>
      <c r="BH168" s="361">
        <f t="shared" si="2173"/>
        <v>0</v>
      </c>
      <c r="BI168" s="410"/>
      <c r="BJ168" s="96"/>
      <c r="BK168" s="96"/>
      <c r="BL168" s="361">
        <f t="shared" si="2174"/>
        <v>0</v>
      </c>
      <c r="BM168" s="369">
        <f t="shared" si="2175"/>
        <v>0.4604471269</v>
      </c>
      <c r="BN168" s="370">
        <f t="shared" si="2176"/>
        <v>0</v>
      </c>
      <c r="BO168" s="371">
        <f t="shared" si="2177"/>
        <v>0</v>
      </c>
      <c r="BP168" s="364"/>
      <c r="BQ168" s="366">
        <f t="shared" si="2298"/>
        <v>12</v>
      </c>
      <c r="BR168" s="367" t="str">
        <f t="shared" ref="BR168:BT168" si="2474">IFERROR(VLOOKUP($R168,$A$13:$D$30,-BR$12,FALSE),"")</f>
        <v>Lainnya 2.3 (4) …….</v>
      </c>
      <c r="BS168" s="368" t="str">
        <f t="shared" si="2474"/>
        <v/>
      </c>
      <c r="BT168" s="368" t="str">
        <f t="shared" si="2474"/>
        <v/>
      </c>
      <c r="BU168" s="361"/>
      <c r="BV168" s="361" t="str">
        <f t="shared" si="2179"/>
        <v/>
      </c>
      <c r="BW168" s="361">
        <f t="shared" si="2180"/>
        <v>0</v>
      </c>
      <c r="BX168" s="369"/>
      <c r="BY168" s="361">
        <f t="shared" si="2181"/>
        <v>0</v>
      </c>
      <c r="BZ168" s="410"/>
      <c r="CA168" s="96"/>
      <c r="CB168" s="96"/>
      <c r="CC168" s="361">
        <f t="shared" si="2182"/>
        <v>0</v>
      </c>
      <c r="CD168" s="369">
        <f t="shared" si="2183"/>
        <v>0.4604471269</v>
      </c>
      <c r="CE168" s="370">
        <f t="shared" si="2184"/>
        <v>0</v>
      </c>
      <c r="CF168" s="371">
        <f t="shared" si="2185"/>
        <v>0</v>
      </c>
      <c r="CG168" s="364"/>
      <c r="CH168" s="366">
        <f t="shared" si="2300"/>
        <v>12</v>
      </c>
      <c r="CI168" s="367" t="str">
        <f t="shared" ref="CI168:CK168" si="2475">IFERROR(VLOOKUP($R168,$A$13:$D$30,-CI$12,FALSE),"")</f>
        <v>Lainnya 2.3 (4) …….</v>
      </c>
      <c r="CJ168" s="368" t="str">
        <f t="shared" si="2475"/>
        <v/>
      </c>
      <c r="CK168" s="368" t="str">
        <f t="shared" si="2475"/>
        <v/>
      </c>
      <c r="CL168" s="361"/>
      <c r="CM168" s="361" t="str">
        <f t="shared" si="2187"/>
        <v/>
      </c>
      <c r="CN168" s="361">
        <f t="shared" si="2188"/>
        <v>0</v>
      </c>
      <c r="CO168" s="369"/>
      <c r="CP168" s="361">
        <f t="shared" si="2189"/>
        <v>0</v>
      </c>
      <c r="CQ168" s="410"/>
      <c r="CR168" s="96"/>
      <c r="CS168" s="96"/>
      <c r="CT168" s="361">
        <f t="shared" si="2190"/>
        <v>0</v>
      </c>
      <c r="CU168" s="369">
        <f t="shared" si="2191"/>
        <v>0.4604471269</v>
      </c>
      <c r="CV168" s="370">
        <f t="shared" si="2192"/>
        <v>0</v>
      </c>
      <c r="CW168" s="371">
        <f t="shared" si="2193"/>
        <v>0</v>
      </c>
      <c r="CX168" s="364"/>
      <c r="CY168" s="366">
        <f t="shared" si="2302"/>
        <v>12</v>
      </c>
      <c r="CZ168" s="367" t="str">
        <f t="shared" ref="CZ168:DB168" si="2476">IFERROR(VLOOKUP($R168,$A$13:$D$30,-CZ$12,FALSE),"")</f>
        <v>Lainnya 2.3 (4) …….</v>
      </c>
      <c r="DA168" s="368" t="str">
        <f t="shared" si="2476"/>
        <v/>
      </c>
      <c r="DB168" s="368" t="str">
        <f t="shared" si="2476"/>
        <v/>
      </c>
      <c r="DC168" s="361"/>
      <c r="DD168" s="361" t="str">
        <f t="shared" si="2195"/>
        <v/>
      </c>
      <c r="DE168" s="361">
        <f t="shared" si="2196"/>
        <v>0</v>
      </c>
      <c r="DF168" s="369"/>
      <c r="DG168" s="361">
        <f t="shared" si="2197"/>
        <v>0</v>
      </c>
      <c r="DH168" s="410"/>
      <c r="DI168" s="96"/>
      <c r="DJ168" s="96"/>
      <c r="DK168" s="361">
        <f t="shared" si="2198"/>
        <v>0</v>
      </c>
      <c r="DL168" s="369">
        <f t="shared" si="2199"/>
        <v>0.4604471269</v>
      </c>
      <c r="DM168" s="370">
        <f t="shared" si="2200"/>
        <v>0</v>
      </c>
      <c r="DN168" s="371">
        <f t="shared" si="2201"/>
        <v>0</v>
      </c>
      <c r="DO168" s="364"/>
      <c r="DP168" s="366">
        <f t="shared" si="2304"/>
        <v>12</v>
      </c>
      <c r="DQ168" s="367" t="str">
        <f t="shared" ref="DQ168:DS168" si="2477">IFERROR(VLOOKUP($R168,$A$13:$D$30,-DQ$12,FALSE),"")</f>
        <v>Lainnya 2.3 (4) …….</v>
      </c>
      <c r="DR168" s="368" t="str">
        <f t="shared" si="2477"/>
        <v/>
      </c>
      <c r="DS168" s="368" t="str">
        <f t="shared" si="2477"/>
        <v/>
      </c>
      <c r="DT168" s="361"/>
      <c r="DU168" s="361" t="str">
        <f t="shared" si="2203"/>
        <v/>
      </c>
      <c r="DV168" s="361">
        <f t="shared" si="2204"/>
        <v>0</v>
      </c>
      <c r="DW168" s="369"/>
      <c r="DX168" s="361">
        <f t="shared" si="2205"/>
        <v>0</v>
      </c>
      <c r="DY168" s="410"/>
      <c r="DZ168" s="96"/>
      <c r="EA168" s="96"/>
      <c r="EB168" s="361">
        <f t="shared" si="2206"/>
        <v>0</v>
      </c>
      <c r="EC168" s="369">
        <f t="shared" si="2207"/>
        <v>0.4604471269</v>
      </c>
      <c r="ED168" s="370">
        <f t="shared" si="2208"/>
        <v>0</v>
      </c>
      <c r="EE168" s="371">
        <f t="shared" si="2209"/>
        <v>0</v>
      </c>
      <c r="EF168" s="364"/>
      <c r="EG168" s="366">
        <f t="shared" si="2306"/>
        <v>12</v>
      </c>
      <c r="EH168" s="367" t="str">
        <f t="shared" ref="EH168:EJ168" si="2478">IFERROR(VLOOKUP($R168,$A$13:$D$30,-EH$12,FALSE),"")</f>
        <v>Lainnya 2.3 (4) …….</v>
      </c>
      <c r="EI168" s="368" t="str">
        <f t="shared" si="2478"/>
        <v/>
      </c>
      <c r="EJ168" s="368" t="str">
        <f t="shared" si="2478"/>
        <v/>
      </c>
      <c r="EK168" s="361"/>
      <c r="EL168" s="361" t="str">
        <f t="shared" si="2211"/>
        <v/>
      </c>
      <c r="EM168" s="361">
        <f t="shared" si="2212"/>
        <v>0</v>
      </c>
      <c r="EN168" s="369"/>
      <c r="EO168" s="361">
        <f t="shared" si="2213"/>
        <v>0</v>
      </c>
      <c r="EP168" s="410"/>
      <c r="EQ168" s="96"/>
      <c r="ER168" s="96"/>
      <c r="ES168" s="361">
        <f t="shared" si="2214"/>
        <v>0</v>
      </c>
      <c r="ET168" s="369">
        <f t="shared" si="2215"/>
        <v>0.4604471269</v>
      </c>
      <c r="EU168" s="370">
        <f t="shared" si="2216"/>
        <v>0</v>
      </c>
      <c r="EV168" s="371">
        <f t="shared" si="2217"/>
        <v>0</v>
      </c>
      <c r="EW168" s="364"/>
      <c r="EX168" s="366">
        <f t="shared" si="2308"/>
        <v>12</v>
      </c>
      <c r="EY168" s="367" t="str">
        <f t="shared" ref="EY168:FA168" si="2479">IFERROR(VLOOKUP($R168,$A$13:$D$30,-EY$12,FALSE),"")</f>
        <v>Lainnya 2.3 (4) …….</v>
      </c>
      <c r="EZ168" s="368" t="str">
        <f t="shared" si="2479"/>
        <v/>
      </c>
      <c r="FA168" s="368" t="str">
        <f t="shared" si="2479"/>
        <v/>
      </c>
      <c r="FB168" s="361"/>
      <c r="FC168" s="361" t="str">
        <f t="shared" si="2219"/>
        <v/>
      </c>
      <c r="FD168" s="361">
        <f t="shared" si="2220"/>
        <v>0</v>
      </c>
      <c r="FE168" s="369"/>
      <c r="FF168" s="361">
        <f t="shared" si="2221"/>
        <v>0</v>
      </c>
      <c r="FG168" s="410"/>
      <c r="FH168" s="96"/>
      <c r="FI168" s="96"/>
      <c r="FJ168" s="361">
        <f t="shared" si="2222"/>
        <v>0</v>
      </c>
      <c r="FK168" s="369">
        <f t="shared" si="2223"/>
        <v>0.4604471269</v>
      </c>
      <c r="FL168" s="370">
        <f t="shared" si="2224"/>
        <v>0</v>
      </c>
      <c r="FM168" s="371">
        <f t="shared" si="2225"/>
        <v>0</v>
      </c>
      <c r="FN168" s="364"/>
      <c r="FO168" s="366">
        <f t="shared" si="2310"/>
        <v>12</v>
      </c>
      <c r="FP168" s="367" t="str">
        <f t="shared" ref="FP168:FR168" si="2480">IFERROR(VLOOKUP($R168,$A$13:$D$30,-FP$12,FALSE),"")</f>
        <v>Lainnya 2.3 (4) …….</v>
      </c>
      <c r="FQ168" s="368" t="str">
        <f t="shared" si="2480"/>
        <v/>
      </c>
      <c r="FR168" s="368" t="str">
        <f t="shared" si="2480"/>
        <v/>
      </c>
      <c r="FS168" s="361"/>
      <c r="FT168" s="361" t="str">
        <f t="shared" si="2227"/>
        <v/>
      </c>
      <c r="FU168" s="361">
        <f t="shared" si="2228"/>
        <v>0</v>
      </c>
      <c r="FV168" s="369"/>
      <c r="FW168" s="361">
        <f t="shared" si="2229"/>
        <v>0</v>
      </c>
      <c r="FX168" s="410"/>
      <c r="FY168" s="96"/>
      <c r="FZ168" s="96"/>
      <c r="GA168" s="361">
        <f t="shared" si="2230"/>
        <v>0</v>
      </c>
      <c r="GB168" s="369">
        <f t="shared" si="2231"/>
        <v>0.4604471269</v>
      </c>
      <c r="GC168" s="370">
        <f t="shared" si="2232"/>
        <v>0</v>
      </c>
      <c r="GD168" s="371">
        <f t="shared" si="2233"/>
        <v>0</v>
      </c>
      <c r="GE168" s="364"/>
      <c r="GF168" s="366">
        <f t="shared" si="2312"/>
        <v>12</v>
      </c>
      <c r="GG168" s="367" t="str">
        <f t="shared" ref="GG168:GI168" si="2481">IFERROR(VLOOKUP($R168,$A$13:$D$30,-GG$12,FALSE),"")</f>
        <v>Lainnya 2.3 (4) …….</v>
      </c>
      <c r="GH168" s="368" t="str">
        <f t="shared" si="2481"/>
        <v/>
      </c>
      <c r="GI168" s="368" t="str">
        <f t="shared" si="2481"/>
        <v/>
      </c>
      <c r="GJ168" s="361"/>
      <c r="GK168" s="361" t="str">
        <f t="shared" si="2235"/>
        <v/>
      </c>
      <c r="GL168" s="361">
        <f t="shared" si="2236"/>
        <v>0</v>
      </c>
      <c r="GM168" s="369"/>
      <c r="GN168" s="361">
        <f t="shared" si="2237"/>
        <v>0</v>
      </c>
      <c r="GO168" s="410"/>
      <c r="GP168" s="96"/>
      <c r="GQ168" s="96"/>
      <c r="GR168" s="361">
        <f t="shared" si="2238"/>
        <v>0</v>
      </c>
      <c r="GS168" s="369">
        <f t="shared" si="2239"/>
        <v>0.4604471269</v>
      </c>
      <c r="GT168" s="370">
        <f t="shared" si="2240"/>
        <v>0</v>
      </c>
      <c r="GU168" s="371">
        <f t="shared" si="2241"/>
        <v>0</v>
      </c>
      <c r="GV168" s="364"/>
      <c r="GW168" s="366">
        <f t="shared" si="2314"/>
        <v>12</v>
      </c>
      <c r="GX168" s="367" t="str">
        <f t="shared" ref="GX168:GZ168" si="2482">IFERROR(VLOOKUP($R168,$A$13:$D$30,-GX$12,FALSE),"")</f>
        <v>Lainnya 2.3 (4) …….</v>
      </c>
      <c r="GY168" s="368" t="str">
        <f t="shared" si="2482"/>
        <v/>
      </c>
      <c r="GZ168" s="368" t="str">
        <f t="shared" si="2482"/>
        <v/>
      </c>
      <c r="HA168" s="361"/>
      <c r="HB168" s="361" t="str">
        <f t="shared" si="2243"/>
        <v/>
      </c>
      <c r="HC168" s="361">
        <f t="shared" si="2244"/>
        <v>0</v>
      </c>
      <c r="HD168" s="369"/>
      <c r="HE168" s="361">
        <f t="shared" si="2245"/>
        <v>0</v>
      </c>
      <c r="HF168" s="410"/>
      <c r="HG168" s="96"/>
      <c r="HH168" s="96"/>
      <c r="HI168" s="361">
        <f t="shared" si="2246"/>
        <v>0</v>
      </c>
      <c r="HJ168" s="369">
        <f t="shared" si="2247"/>
        <v>0.4604471269</v>
      </c>
      <c r="HK168" s="370">
        <f t="shared" si="2248"/>
        <v>0</v>
      </c>
      <c r="HL168" s="371">
        <f t="shared" si="2249"/>
        <v>0</v>
      </c>
      <c r="HM168" s="364"/>
      <c r="HN168" s="366">
        <f t="shared" si="2316"/>
        <v>12</v>
      </c>
      <c r="HO168" s="367" t="str">
        <f t="shared" ref="HO168:HQ168" si="2483">IFERROR(VLOOKUP($R168,$A$13:$D$30,-HO$12,FALSE),"")</f>
        <v>Lainnya 2.3 (4) …….</v>
      </c>
      <c r="HP168" s="368" t="str">
        <f t="shared" si="2483"/>
        <v/>
      </c>
      <c r="HQ168" s="368" t="str">
        <f t="shared" si="2483"/>
        <v/>
      </c>
      <c r="HR168" s="361"/>
      <c r="HS168" s="361" t="str">
        <f t="shared" si="2251"/>
        <v/>
      </c>
      <c r="HT168" s="361">
        <f t="shared" si="2252"/>
        <v>0</v>
      </c>
      <c r="HU168" s="369"/>
      <c r="HV168" s="361">
        <f t="shared" si="2253"/>
        <v>0</v>
      </c>
      <c r="HW168" s="410"/>
      <c r="HX168" s="96"/>
      <c r="HY168" s="96"/>
      <c r="HZ168" s="361">
        <f t="shared" si="2254"/>
        <v>0</v>
      </c>
      <c r="IA168" s="369">
        <f t="shared" si="2255"/>
        <v>0.4604471269</v>
      </c>
      <c r="IB168" s="370">
        <f t="shared" si="2256"/>
        <v>0</v>
      </c>
      <c r="IC168" s="371">
        <f t="shared" si="2257"/>
        <v>0</v>
      </c>
      <c r="ID168" s="364"/>
      <c r="IE168" s="366">
        <f t="shared" si="2318"/>
        <v>12</v>
      </c>
      <c r="IF168" s="367" t="str">
        <f t="shared" ref="IF168:IH168" si="2484">IFERROR(VLOOKUP($R168,$A$13:$D$30,-IF$12,FALSE),"")</f>
        <v>Lainnya 2.3 (4) …….</v>
      </c>
      <c r="IG168" s="368" t="str">
        <f t="shared" si="2484"/>
        <v/>
      </c>
      <c r="IH168" s="368" t="str">
        <f t="shared" si="2484"/>
        <v/>
      </c>
      <c r="II168" s="361"/>
      <c r="IJ168" s="361" t="str">
        <f t="shared" si="2259"/>
        <v/>
      </c>
      <c r="IK168" s="361">
        <f t="shared" si="2260"/>
        <v>0</v>
      </c>
      <c r="IL168" s="369"/>
      <c r="IM168" s="361">
        <f t="shared" si="2261"/>
        <v>0</v>
      </c>
      <c r="IN168" s="410"/>
      <c r="IO168" s="96"/>
      <c r="IP168" s="96"/>
      <c r="IQ168" s="361">
        <f t="shared" si="2262"/>
        <v>0</v>
      </c>
      <c r="IR168" s="369">
        <f t="shared" si="2263"/>
        <v>0.4604471269</v>
      </c>
      <c r="IS168" s="370">
        <f t="shared" si="2264"/>
        <v>0</v>
      </c>
      <c r="IT168" s="371">
        <f t="shared" si="2265"/>
        <v>0</v>
      </c>
      <c r="IU168" s="364"/>
      <c r="IV168" s="366">
        <f t="shared" si="2320"/>
        <v>12</v>
      </c>
      <c r="IW168" s="367" t="str">
        <f t="shared" ref="IW168:IY168" si="2485">IFERROR(VLOOKUP($R168,$A$13:$D$30,-IW$12,FALSE),"")</f>
        <v>Lainnya 2.3 (4) …….</v>
      </c>
      <c r="IX168" s="368" t="str">
        <f t="shared" si="2485"/>
        <v/>
      </c>
      <c r="IY168" s="368" t="str">
        <f t="shared" si="2485"/>
        <v/>
      </c>
      <c r="IZ168" s="361"/>
      <c r="JA168" s="361" t="str">
        <f t="shared" si="2267"/>
        <v/>
      </c>
      <c r="JB168" s="361">
        <f t="shared" si="2268"/>
        <v>0</v>
      </c>
      <c r="JC168" s="369"/>
      <c r="JD168" s="361">
        <f t="shared" si="2269"/>
        <v>0</v>
      </c>
      <c r="JE168" s="410"/>
      <c r="JF168" s="96"/>
      <c r="JG168" s="96"/>
      <c r="JH168" s="361">
        <f t="shared" si="2270"/>
        <v>0</v>
      </c>
      <c r="JI168" s="369">
        <f t="shared" si="2271"/>
        <v>0.4604471269</v>
      </c>
      <c r="JJ168" s="370">
        <f t="shared" si="2272"/>
        <v>0</v>
      </c>
      <c r="JK168" s="371">
        <f t="shared" si="2273"/>
        <v>0</v>
      </c>
      <c r="JL168" s="364"/>
      <c r="JM168" s="366">
        <f t="shared" si="2322"/>
        <v>12</v>
      </c>
      <c r="JN168" s="367" t="str">
        <f t="shared" ref="JN168:JP168" si="2486">IFERROR(VLOOKUP($R168,$A$13:$D$30,-JN$12,FALSE),"")</f>
        <v>Lainnya 2.3 (4) …….</v>
      </c>
      <c r="JO168" s="368" t="str">
        <f t="shared" si="2486"/>
        <v/>
      </c>
      <c r="JP168" s="368" t="str">
        <f t="shared" si="2486"/>
        <v/>
      </c>
      <c r="JQ168" s="361"/>
      <c r="JR168" s="361" t="str">
        <f t="shared" si="2275"/>
        <v/>
      </c>
      <c r="JS168" s="361">
        <f t="shared" si="2276"/>
        <v>0</v>
      </c>
      <c r="JT168" s="369"/>
      <c r="JU168" s="361">
        <f t="shared" si="2277"/>
        <v>0</v>
      </c>
      <c r="JV168" s="410"/>
      <c r="JW168" s="96"/>
      <c r="JX168" s="96"/>
      <c r="JY168" s="361">
        <f t="shared" si="2278"/>
        <v>0</v>
      </c>
      <c r="JZ168" s="369">
        <f t="shared" si="2279"/>
        <v>0.4604471269</v>
      </c>
      <c r="KA168" s="370">
        <f t="shared" si="2280"/>
        <v>0</v>
      </c>
      <c r="KB168" s="371">
        <f t="shared" si="2281"/>
        <v>0</v>
      </c>
      <c r="KC168" s="364"/>
      <c r="KD168" s="366">
        <f t="shared" si="2324"/>
        <v>12</v>
      </c>
      <c r="KE168" s="367" t="str">
        <f t="shared" ref="KE168:KG168" si="2487">IFERROR(VLOOKUP($R168,$A$13:$D$30,-KE$12,FALSE),"")</f>
        <v>Lainnya 2.3 (4) …….</v>
      </c>
      <c r="KF168" s="368" t="str">
        <f t="shared" si="2487"/>
        <v/>
      </c>
      <c r="KG168" s="368" t="str">
        <f t="shared" si="2487"/>
        <v/>
      </c>
      <c r="KH168" s="361"/>
      <c r="KI168" s="361" t="str">
        <f t="shared" si="2283"/>
        <v/>
      </c>
      <c r="KJ168" s="361">
        <f t="shared" si="2284"/>
        <v>0</v>
      </c>
      <c r="KK168" s="369"/>
      <c r="KL168" s="361">
        <f t="shared" si="2285"/>
        <v>0</v>
      </c>
      <c r="KM168" s="410"/>
      <c r="KN168" s="96"/>
      <c r="KO168" s="96"/>
      <c r="KP168" s="361">
        <f t="shared" si="2286"/>
        <v>0</v>
      </c>
      <c r="KQ168" s="369">
        <f t="shared" si="2287"/>
        <v>0.4604471269</v>
      </c>
      <c r="KR168" s="370">
        <f t="shared" si="2288"/>
        <v>0</v>
      </c>
      <c r="KS168" s="371">
        <f t="shared" si="2289"/>
        <v>0</v>
      </c>
      <c r="KT168" s="364"/>
      <c r="KU168" s="365"/>
    </row>
    <row r="169" ht="15.75" customHeight="1">
      <c r="A169" s="366">
        <f t="shared" si="2290"/>
        <v>13</v>
      </c>
      <c r="B169" s="367" t="str">
        <f t="shared" ref="B169:D169" si="2488">IFERROR(VLOOKUP($A169,$A$13:$D$30,-B$12,FALSE),"")</f>
        <v>Lainnya 2.3 (5) …….</v>
      </c>
      <c r="C169" s="368" t="str">
        <f t="shared" si="2488"/>
        <v/>
      </c>
      <c r="D169" s="368" t="str">
        <f t="shared" si="2488"/>
        <v/>
      </c>
      <c r="E169" s="361"/>
      <c r="F169" s="361" t="str">
        <f t="shared" si="2147"/>
        <v/>
      </c>
      <c r="G169" s="361">
        <f t="shared" si="2148"/>
        <v>0</v>
      </c>
      <c r="H169" s="369"/>
      <c r="I169" s="361">
        <f t="shared" si="2149"/>
        <v>0</v>
      </c>
      <c r="J169" s="410"/>
      <c r="K169" s="96"/>
      <c r="L169" s="96"/>
      <c r="M169" s="361">
        <f t="shared" si="2150"/>
        <v>0</v>
      </c>
      <c r="N169" s="369">
        <f t="shared" si="2151"/>
        <v>0.4604471269</v>
      </c>
      <c r="O169" s="370">
        <f t="shared" si="2152"/>
        <v>0</v>
      </c>
      <c r="P169" s="371">
        <f t="shared" si="2153"/>
        <v>0</v>
      </c>
      <c r="Q169" s="364"/>
      <c r="R169" s="366">
        <f t="shared" si="2292"/>
        <v>13</v>
      </c>
      <c r="S169" s="367" t="str">
        <f t="shared" ref="S169:U169" si="2489">IFERROR(VLOOKUP($R169,$A$13:$D$30,-S$12,FALSE),"")</f>
        <v>Lainnya 2.3 (5) …….</v>
      </c>
      <c r="T169" s="368" t="str">
        <f t="shared" si="2489"/>
        <v/>
      </c>
      <c r="U169" s="368" t="str">
        <f t="shared" si="2489"/>
        <v/>
      </c>
      <c r="V169" s="361"/>
      <c r="W169" s="361" t="str">
        <f t="shared" si="2155"/>
        <v/>
      </c>
      <c r="X169" s="361">
        <f t="shared" si="2156"/>
        <v>0</v>
      </c>
      <c r="Y169" s="369"/>
      <c r="Z169" s="361">
        <f t="shared" si="2157"/>
        <v>0</v>
      </c>
      <c r="AA169" s="410"/>
      <c r="AB169" s="96"/>
      <c r="AC169" s="96"/>
      <c r="AD169" s="361">
        <f t="shared" si="2158"/>
        <v>0</v>
      </c>
      <c r="AE169" s="369">
        <f t="shared" si="2159"/>
        <v>0.4604471269</v>
      </c>
      <c r="AF169" s="370">
        <f t="shared" si="2160"/>
        <v>0</v>
      </c>
      <c r="AG169" s="371">
        <f t="shared" si="2161"/>
        <v>0</v>
      </c>
      <c r="AH169" s="364"/>
      <c r="AI169" s="366">
        <f t="shared" si="2294"/>
        <v>13</v>
      </c>
      <c r="AJ169" s="367" t="str">
        <f t="shared" ref="AJ169:AL169" si="2490">IFERROR(VLOOKUP($R169,$A$13:$D$30,-AJ$12,FALSE),"")</f>
        <v>Lainnya 2.3 (5) …….</v>
      </c>
      <c r="AK169" s="368" t="str">
        <f t="shared" si="2490"/>
        <v/>
      </c>
      <c r="AL169" s="368" t="str">
        <f t="shared" si="2490"/>
        <v/>
      </c>
      <c r="AM169" s="361"/>
      <c r="AN169" s="361" t="str">
        <f t="shared" si="2163"/>
        <v/>
      </c>
      <c r="AO169" s="361">
        <f t="shared" si="2164"/>
        <v>0</v>
      </c>
      <c r="AP169" s="369"/>
      <c r="AQ169" s="361">
        <f t="shared" si="2165"/>
        <v>0</v>
      </c>
      <c r="AR169" s="410"/>
      <c r="AS169" s="96"/>
      <c r="AT169" s="96"/>
      <c r="AU169" s="361">
        <f t="shared" si="2166"/>
        <v>0</v>
      </c>
      <c r="AV169" s="369">
        <f t="shared" si="2167"/>
        <v>0.4604471269</v>
      </c>
      <c r="AW169" s="370">
        <f t="shared" si="2168"/>
        <v>0</v>
      </c>
      <c r="AX169" s="371">
        <f t="shared" si="2169"/>
        <v>0</v>
      </c>
      <c r="AY169" s="364"/>
      <c r="AZ169" s="366">
        <f t="shared" si="2296"/>
        <v>13</v>
      </c>
      <c r="BA169" s="367" t="str">
        <f t="shared" ref="BA169:BC169" si="2491">IFERROR(VLOOKUP($R169,$A$13:$D$30,-BA$12,FALSE),"")</f>
        <v>Lainnya 2.3 (5) …….</v>
      </c>
      <c r="BB169" s="368" t="str">
        <f t="shared" si="2491"/>
        <v/>
      </c>
      <c r="BC169" s="368" t="str">
        <f t="shared" si="2491"/>
        <v/>
      </c>
      <c r="BD169" s="361"/>
      <c r="BE169" s="361" t="str">
        <f t="shared" si="2171"/>
        <v/>
      </c>
      <c r="BF169" s="361">
        <f t="shared" si="2172"/>
        <v>0</v>
      </c>
      <c r="BG169" s="369"/>
      <c r="BH169" s="361">
        <f t="shared" si="2173"/>
        <v>0</v>
      </c>
      <c r="BI169" s="410"/>
      <c r="BJ169" s="96"/>
      <c r="BK169" s="96"/>
      <c r="BL169" s="361">
        <f t="shared" si="2174"/>
        <v>0</v>
      </c>
      <c r="BM169" s="369">
        <f t="shared" si="2175"/>
        <v>0.4604471269</v>
      </c>
      <c r="BN169" s="370">
        <f t="shared" si="2176"/>
        <v>0</v>
      </c>
      <c r="BO169" s="371">
        <f t="shared" si="2177"/>
        <v>0</v>
      </c>
      <c r="BP169" s="364"/>
      <c r="BQ169" s="366">
        <f t="shared" si="2298"/>
        <v>13</v>
      </c>
      <c r="BR169" s="367" t="str">
        <f t="shared" ref="BR169:BT169" si="2492">IFERROR(VLOOKUP($R169,$A$13:$D$30,-BR$12,FALSE),"")</f>
        <v>Lainnya 2.3 (5) …….</v>
      </c>
      <c r="BS169" s="368" t="str">
        <f t="shared" si="2492"/>
        <v/>
      </c>
      <c r="BT169" s="368" t="str">
        <f t="shared" si="2492"/>
        <v/>
      </c>
      <c r="BU169" s="361"/>
      <c r="BV169" s="361" t="str">
        <f t="shared" si="2179"/>
        <v/>
      </c>
      <c r="BW169" s="361">
        <f t="shared" si="2180"/>
        <v>0</v>
      </c>
      <c r="BX169" s="369"/>
      <c r="BY169" s="361">
        <f t="shared" si="2181"/>
        <v>0</v>
      </c>
      <c r="BZ169" s="410"/>
      <c r="CA169" s="96"/>
      <c r="CB169" s="96"/>
      <c r="CC169" s="361">
        <f t="shared" si="2182"/>
        <v>0</v>
      </c>
      <c r="CD169" s="369">
        <f t="shared" si="2183"/>
        <v>0.4604471269</v>
      </c>
      <c r="CE169" s="370">
        <f t="shared" si="2184"/>
        <v>0</v>
      </c>
      <c r="CF169" s="371">
        <f t="shared" si="2185"/>
        <v>0</v>
      </c>
      <c r="CG169" s="364"/>
      <c r="CH169" s="366">
        <f t="shared" si="2300"/>
        <v>13</v>
      </c>
      <c r="CI169" s="367" t="str">
        <f t="shared" ref="CI169:CK169" si="2493">IFERROR(VLOOKUP($R169,$A$13:$D$30,-CI$12,FALSE),"")</f>
        <v>Lainnya 2.3 (5) …….</v>
      </c>
      <c r="CJ169" s="368" t="str">
        <f t="shared" si="2493"/>
        <v/>
      </c>
      <c r="CK169" s="368" t="str">
        <f t="shared" si="2493"/>
        <v/>
      </c>
      <c r="CL169" s="361"/>
      <c r="CM169" s="361" t="str">
        <f t="shared" si="2187"/>
        <v/>
      </c>
      <c r="CN169" s="361">
        <f t="shared" si="2188"/>
        <v>0</v>
      </c>
      <c r="CO169" s="369"/>
      <c r="CP169" s="361">
        <f t="shared" si="2189"/>
        <v>0</v>
      </c>
      <c r="CQ169" s="410"/>
      <c r="CR169" s="96"/>
      <c r="CS169" s="96"/>
      <c r="CT169" s="361">
        <f t="shared" si="2190"/>
        <v>0</v>
      </c>
      <c r="CU169" s="369">
        <f t="shared" si="2191"/>
        <v>0.4604471269</v>
      </c>
      <c r="CV169" s="370">
        <f t="shared" si="2192"/>
        <v>0</v>
      </c>
      <c r="CW169" s="371">
        <f t="shared" si="2193"/>
        <v>0</v>
      </c>
      <c r="CX169" s="364"/>
      <c r="CY169" s="366">
        <f t="shared" si="2302"/>
        <v>13</v>
      </c>
      <c r="CZ169" s="367" t="str">
        <f t="shared" ref="CZ169:DB169" si="2494">IFERROR(VLOOKUP($R169,$A$13:$D$30,-CZ$12,FALSE),"")</f>
        <v>Lainnya 2.3 (5) …….</v>
      </c>
      <c r="DA169" s="368" t="str">
        <f t="shared" si="2494"/>
        <v/>
      </c>
      <c r="DB169" s="368" t="str">
        <f t="shared" si="2494"/>
        <v/>
      </c>
      <c r="DC169" s="361"/>
      <c r="DD169" s="361" t="str">
        <f t="shared" si="2195"/>
        <v/>
      </c>
      <c r="DE169" s="361">
        <f t="shared" si="2196"/>
        <v>0</v>
      </c>
      <c r="DF169" s="369"/>
      <c r="DG169" s="361">
        <f t="shared" si="2197"/>
        <v>0</v>
      </c>
      <c r="DH169" s="410"/>
      <c r="DI169" s="96"/>
      <c r="DJ169" s="96"/>
      <c r="DK169" s="361">
        <f t="shared" si="2198"/>
        <v>0</v>
      </c>
      <c r="DL169" s="369">
        <f t="shared" si="2199"/>
        <v>0.4604471269</v>
      </c>
      <c r="DM169" s="370">
        <f t="shared" si="2200"/>
        <v>0</v>
      </c>
      <c r="DN169" s="371">
        <f t="shared" si="2201"/>
        <v>0</v>
      </c>
      <c r="DO169" s="364"/>
      <c r="DP169" s="366">
        <f t="shared" si="2304"/>
        <v>13</v>
      </c>
      <c r="DQ169" s="367" t="str">
        <f t="shared" ref="DQ169:DS169" si="2495">IFERROR(VLOOKUP($R169,$A$13:$D$30,-DQ$12,FALSE),"")</f>
        <v>Lainnya 2.3 (5) …….</v>
      </c>
      <c r="DR169" s="368" t="str">
        <f t="shared" si="2495"/>
        <v/>
      </c>
      <c r="DS169" s="368" t="str">
        <f t="shared" si="2495"/>
        <v/>
      </c>
      <c r="DT169" s="361"/>
      <c r="DU169" s="361" t="str">
        <f t="shared" si="2203"/>
        <v/>
      </c>
      <c r="DV169" s="361">
        <f t="shared" si="2204"/>
        <v>0</v>
      </c>
      <c r="DW169" s="369"/>
      <c r="DX169" s="361">
        <f t="shared" si="2205"/>
        <v>0</v>
      </c>
      <c r="DY169" s="410"/>
      <c r="DZ169" s="96"/>
      <c r="EA169" s="96"/>
      <c r="EB169" s="361">
        <f t="shared" si="2206"/>
        <v>0</v>
      </c>
      <c r="EC169" s="369">
        <f t="shared" si="2207"/>
        <v>0.4604471269</v>
      </c>
      <c r="ED169" s="370">
        <f t="shared" si="2208"/>
        <v>0</v>
      </c>
      <c r="EE169" s="371">
        <f t="shared" si="2209"/>
        <v>0</v>
      </c>
      <c r="EF169" s="364"/>
      <c r="EG169" s="366">
        <f t="shared" si="2306"/>
        <v>13</v>
      </c>
      <c r="EH169" s="367" t="str">
        <f t="shared" ref="EH169:EJ169" si="2496">IFERROR(VLOOKUP($R169,$A$13:$D$30,-EH$12,FALSE),"")</f>
        <v>Lainnya 2.3 (5) …….</v>
      </c>
      <c r="EI169" s="368" t="str">
        <f t="shared" si="2496"/>
        <v/>
      </c>
      <c r="EJ169" s="368" t="str">
        <f t="shared" si="2496"/>
        <v/>
      </c>
      <c r="EK169" s="361"/>
      <c r="EL169" s="361" t="str">
        <f t="shared" si="2211"/>
        <v/>
      </c>
      <c r="EM169" s="361">
        <f t="shared" si="2212"/>
        <v>0</v>
      </c>
      <c r="EN169" s="369"/>
      <c r="EO169" s="361">
        <f t="shared" si="2213"/>
        <v>0</v>
      </c>
      <c r="EP169" s="410"/>
      <c r="EQ169" s="96"/>
      <c r="ER169" s="96"/>
      <c r="ES169" s="361">
        <f t="shared" si="2214"/>
        <v>0</v>
      </c>
      <c r="ET169" s="369">
        <f t="shared" si="2215"/>
        <v>0.4604471269</v>
      </c>
      <c r="EU169" s="370">
        <f t="shared" si="2216"/>
        <v>0</v>
      </c>
      <c r="EV169" s="371">
        <f t="shared" si="2217"/>
        <v>0</v>
      </c>
      <c r="EW169" s="364"/>
      <c r="EX169" s="366">
        <f t="shared" si="2308"/>
        <v>13</v>
      </c>
      <c r="EY169" s="367" t="str">
        <f t="shared" ref="EY169:FA169" si="2497">IFERROR(VLOOKUP($R169,$A$13:$D$30,-EY$12,FALSE),"")</f>
        <v>Lainnya 2.3 (5) …….</v>
      </c>
      <c r="EZ169" s="368" t="str">
        <f t="shared" si="2497"/>
        <v/>
      </c>
      <c r="FA169" s="368" t="str">
        <f t="shared" si="2497"/>
        <v/>
      </c>
      <c r="FB169" s="361"/>
      <c r="FC169" s="361" t="str">
        <f t="shared" si="2219"/>
        <v/>
      </c>
      <c r="FD169" s="361">
        <f t="shared" si="2220"/>
        <v>0</v>
      </c>
      <c r="FE169" s="369"/>
      <c r="FF169" s="361">
        <f t="shared" si="2221"/>
        <v>0</v>
      </c>
      <c r="FG169" s="410"/>
      <c r="FH169" s="96"/>
      <c r="FI169" s="96"/>
      <c r="FJ169" s="361">
        <f t="shared" si="2222"/>
        <v>0</v>
      </c>
      <c r="FK169" s="369">
        <f t="shared" si="2223"/>
        <v>0.4604471269</v>
      </c>
      <c r="FL169" s="370">
        <f t="shared" si="2224"/>
        <v>0</v>
      </c>
      <c r="FM169" s="371">
        <f t="shared" si="2225"/>
        <v>0</v>
      </c>
      <c r="FN169" s="364"/>
      <c r="FO169" s="366">
        <f t="shared" si="2310"/>
        <v>13</v>
      </c>
      <c r="FP169" s="367" t="str">
        <f t="shared" ref="FP169:FR169" si="2498">IFERROR(VLOOKUP($R169,$A$13:$D$30,-FP$12,FALSE),"")</f>
        <v>Lainnya 2.3 (5) …….</v>
      </c>
      <c r="FQ169" s="368" t="str">
        <f t="shared" si="2498"/>
        <v/>
      </c>
      <c r="FR169" s="368" t="str">
        <f t="shared" si="2498"/>
        <v/>
      </c>
      <c r="FS169" s="361"/>
      <c r="FT169" s="361" t="str">
        <f t="shared" si="2227"/>
        <v/>
      </c>
      <c r="FU169" s="361">
        <f t="shared" si="2228"/>
        <v>0</v>
      </c>
      <c r="FV169" s="369"/>
      <c r="FW169" s="361">
        <f t="shared" si="2229"/>
        <v>0</v>
      </c>
      <c r="FX169" s="410"/>
      <c r="FY169" s="96"/>
      <c r="FZ169" s="96"/>
      <c r="GA169" s="361">
        <f t="shared" si="2230"/>
        <v>0</v>
      </c>
      <c r="GB169" s="369">
        <f t="shared" si="2231"/>
        <v>0.4604471269</v>
      </c>
      <c r="GC169" s="370">
        <f t="shared" si="2232"/>
        <v>0</v>
      </c>
      <c r="GD169" s="371">
        <f t="shared" si="2233"/>
        <v>0</v>
      </c>
      <c r="GE169" s="364"/>
      <c r="GF169" s="366">
        <f t="shared" si="2312"/>
        <v>13</v>
      </c>
      <c r="GG169" s="367" t="str">
        <f t="shared" ref="GG169:GI169" si="2499">IFERROR(VLOOKUP($R169,$A$13:$D$30,-GG$12,FALSE),"")</f>
        <v>Lainnya 2.3 (5) …….</v>
      </c>
      <c r="GH169" s="368" t="str">
        <f t="shared" si="2499"/>
        <v/>
      </c>
      <c r="GI169" s="368" t="str">
        <f t="shared" si="2499"/>
        <v/>
      </c>
      <c r="GJ169" s="361"/>
      <c r="GK169" s="361" t="str">
        <f t="shared" si="2235"/>
        <v/>
      </c>
      <c r="GL169" s="361">
        <f t="shared" si="2236"/>
        <v>0</v>
      </c>
      <c r="GM169" s="369"/>
      <c r="GN169" s="361">
        <f t="shared" si="2237"/>
        <v>0</v>
      </c>
      <c r="GO169" s="410"/>
      <c r="GP169" s="96"/>
      <c r="GQ169" s="96"/>
      <c r="GR169" s="361">
        <f t="shared" si="2238"/>
        <v>0</v>
      </c>
      <c r="GS169" s="369">
        <f t="shared" si="2239"/>
        <v>0.4604471269</v>
      </c>
      <c r="GT169" s="370">
        <f t="shared" si="2240"/>
        <v>0</v>
      </c>
      <c r="GU169" s="371">
        <f t="shared" si="2241"/>
        <v>0</v>
      </c>
      <c r="GV169" s="364"/>
      <c r="GW169" s="366">
        <f t="shared" si="2314"/>
        <v>13</v>
      </c>
      <c r="GX169" s="367" t="str">
        <f t="shared" ref="GX169:GY169" si="2500">IFERROR(VLOOKUP($R169,$A$13:$D$30,-GX$12,FALSE),"")</f>
        <v>Lainnya 2.3 (5) …….</v>
      </c>
      <c r="GY169" s="368" t="str">
        <f t="shared" si="2500"/>
        <v/>
      </c>
      <c r="GZ169" s="368">
        <f>HA169/HB161*1000000</f>
        <v>0</v>
      </c>
      <c r="HA169" s="372"/>
      <c r="HB169" s="361" t="str">
        <f t="shared" si="2243"/>
        <v/>
      </c>
      <c r="HC169" s="361">
        <f t="shared" si="2244"/>
        <v>0</v>
      </c>
      <c r="HD169" s="369"/>
      <c r="HE169" s="361">
        <f t="shared" si="2245"/>
        <v>0</v>
      </c>
      <c r="HF169" s="410"/>
      <c r="HG169" s="96"/>
      <c r="HH169" s="96"/>
      <c r="HI169" s="361">
        <f t="shared" si="2246"/>
        <v>0</v>
      </c>
      <c r="HJ169" s="369">
        <f t="shared" si="2247"/>
        <v>0.4604471269</v>
      </c>
      <c r="HK169" s="370">
        <f t="shared" si="2248"/>
        <v>0</v>
      </c>
      <c r="HL169" s="371">
        <f t="shared" si="2249"/>
        <v>0</v>
      </c>
      <c r="HM169" s="364"/>
      <c r="HN169" s="366">
        <f t="shared" si="2316"/>
        <v>13</v>
      </c>
      <c r="HO169" s="367" t="str">
        <f t="shared" ref="HO169:HQ169" si="2501">IFERROR(VLOOKUP($R169,$A$13:$D$30,-HO$12,FALSE),"")</f>
        <v>Lainnya 2.3 (5) …….</v>
      </c>
      <c r="HP169" s="368" t="str">
        <f t="shared" si="2501"/>
        <v/>
      </c>
      <c r="HQ169" s="368" t="str">
        <f t="shared" si="2501"/>
        <v/>
      </c>
      <c r="HR169" s="361"/>
      <c r="HS169" s="361" t="str">
        <f t="shared" si="2251"/>
        <v/>
      </c>
      <c r="HT169" s="361">
        <f t="shared" si="2252"/>
        <v>0</v>
      </c>
      <c r="HU169" s="369"/>
      <c r="HV169" s="361">
        <f t="shared" si="2253"/>
        <v>0</v>
      </c>
      <c r="HW169" s="410"/>
      <c r="HX169" s="96"/>
      <c r="HY169" s="96"/>
      <c r="HZ169" s="361">
        <f t="shared" si="2254"/>
        <v>0</v>
      </c>
      <c r="IA169" s="369">
        <f t="shared" si="2255"/>
        <v>0.4604471269</v>
      </c>
      <c r="IB169" s="370">
        <f t="shared" si="2256"/>
        <v>0</v>
      </c>
      <c r="IC169" s="371">
        <f t="shared" si="2257"/>
        <v>0</v>
      </c>
      <c r="ID169" s="364"/>
      <c r="IE169" s="366">
        <f t="shared" si="2318"/>
        <v>13</v>
      </c>
      <c r="IF169" s="367" t="str">
        <f t="shared" ref="IF169:IH169" si="2502">IFERROR(VLOOKUP($R169,$A$13:$D$30,-IF$12,FALSE),"")</f>
        <v>Lainnya 2.3 (5) …….</v>
      </c>
      <c r="IG169" s="368" t="str">
        <f t="shared" si="2502"/>
        <v/>
      </c>
      <c r="IH169" s="368" t="str">
        <f t="shared" si="2502"/>
        <v/>
      </c>
      <c r="II169" s="361"/>
      <c r="IJ169" s="361" t="str">
        <f t="shared" si="2259"/>
        <v/>
      </c>
      <c r="IK169" s="361">
        <f t="shared" si="2260"/>
        <v>0</v>
      </c>
      <c r="IL169" s="369"/>
      <c r="IM169" s="361">
        <f t="shared" si="2261"/>
        <v>0</v>
      </c>
      <c r="IN169" s="410"/>
      <c r="IO169" s="96"/>
      <c r="IP169" s="96"/>
      <c r="IQ169" s="361">
        <f t="shared" si="2262"/>
        <v>0</v>
      </c>
      <c r="IR169" s="369">
        <f t="shared" si="2263"/>
        <v>0.4604471269</v>
      </c>
      <c r="IS169" s="370">
        <f t="shared" si="2264"/>
        <v>0</v>
      </c>
      <c r="IT169" s="371">
        <f t="shared" si="2265"/>
        <v>0</v>
      </c>
      <c r="IU169" s="364"/>
      <c r="IV169" s="366">
        <f t="shared" si="2320"/>
        <v>13</v>
      </c>
      <c r="IW169" s="367" t="str">
        <f t="shared" ref="IW169:IY169" si="2503">IFERROR(VLOOKUP($R169,$A$13:$D$30,-IW$12,FALSE),"")</f>
        <v>Lainnya 2.3 (5) …….</v>
      </c>
      <c r="IX169" s="368" t="str">
        <f t="shared" si="2503"/>
        <v/>
      </c>
      <c r="IY169" s="368" t="str">
        <f t="shared" si="2503"/>
        <v/>
      </c>
      <c r="IZ169" s="361"/>
      <c r="JA169" s="361" t="str">
        <f t="shared" si="2267"/>
        <v/>
      </c>
      <c r="JB169" s="361">
        <f t="shared" si="2268"/>
        <v>0</v>
      </c>
      <c r="JC169" s="369"/>
      <c r="JD169" s="361">
        <f t="shared" si="2269"/>
        <v>0</v>
      </c>
      <c r="JE169" s="410"/>
      <c r="JF169" s="96"/>
      <c r="JG169" s="96"/>
      <c r="JH169" s="361">
        <f t="shared" si="2270"/>
        <v>0</v>
      </c>
      <c r="JI169" s="369">
        <f t="shared" si="2271"/>
        <v>0.4604471269</v>
      </c>
      <c r="JJ169" s="370">
        <f t="shared" si="2272"/>
        <v>0</v>
      </c>
      <c r="JK169" s="371">
        <f t="shared" si="2273"/>
        <v>0</v>
      </c>
      <c r="JL169" s="364"/>
      <c r="JM169" s="366">
        <f t="shared" si="2322"/>
        <v>13</v>
      </c>
      <c r="JN169" s="367" t="str">
        <f t="shared" ref="JN169:JP169" si="2504">IFERROR(VLOOKUP($R169,$A$13:$D$30,-JN$12,FALSE),"")</f>
        <v>Lainnya 2.3 (5) …….</v>
      </c>
      <c r="JO169" s="368" t="str">
        <f t="shared" si="2504"/>
        <v/>
      </c>
      <c r="JP169" s="368" t="str">
        <f t="shared" si="2504"/>
        <v/>
      </c>
      <c r="JQ169" s="361"/>
      <c r="JR169" s="361" t="str">
        <f t="shared" si="2275"/>
        <v/>
      </c>
      <c r="JS169" s="361">
        <f t="shared" si="2276"/>
        <v>0</v>
      </c>
      <c r="JT169" s="369"/>
      <c r="JU169" s="361">
        <f t="shared" si="2277"/>
        <v>0</v>
      </c>
      <c r="JV169" s="410"/>
      <c r="JW169" s="96"/>
      <c r="JX169" s="96"/>
      <c r="JY169" s="361">
        <f t="shared" si="2278"/>
        <v>0</v>
      </c>
      <c r="JZ169" s="369">
        <f t="shared" si="2279"/>
        <v>0.4604471269</v>
      </c>
      <c r="KA169" s="370">
        <f t="shared" si="2280"/>
        <v>0</v>
      </c>
      <c r="KB169" s="371">
        <f t="shared" si="2281"/>
        <v>0</v>
      </c>
      <c r="KC169" s="364"/>
      <c r="KD169" s="366">
        <f t="shared" si="2324"/>
        <v>13</v>
      </c>
      <c r="KE169" s="367" t="str">
        <f t="shared" ref="KE169:KG169" si="2505">IFERROR(VLOOKUP($R169,$A$13:$D$30,-KE$12,FALSE),"")</f>
        <v>Lainnya 2.3 (5) …….</v>
      </c>
      <c r="KF169" s="368" t="str">
        <f t="shared" si="2505"/>
        <v/>
      </c>
      <c r="KG169" s="368" t="str">
        <f t="shared" si="2505"/>
        <v/>
      </c>
      <c r="KH169" s="361"/>
      <c r="KI169" s="361" t="str">
        <f t="shared" si="2283"/>
        <v/>
      </c>
      <c r="KJ169" s="361">
        <f t="shared" si="2284"/>
        <v>0</v>
      </c>
      <c r="KK169" s="369"/>
      <c r="KL169" s="361">
        <f t="shared" si="2285"/>
        <v>0</v>
      </c>
      <c r="KM169" s="410"/>
      <c r="KN169" s="96"/>
      <c r="KO169" s="96"/>
      <c r="KP169" s="361">
        <f t="shared" si="2286"/>
        <v>0</v>
      </c>
      <c r="KQ169" s="369">
        <f t="shared" si="2287"/>
        <v>0.4604471269</v>
      </c>
      <c r="KR169" s="370">
        <f t="shared" si="2288"/>
        <v>0</v>
      </c>
      <c r="KS169" s="371">
        <f t="shared" si="2289"/>
        <v>0</v>
      </c>
      <c r="KT169" s="364"/>
      <c r="KU169" s="365"/>
    </row>
    <row r="170" ht="15.75" customHeight="1">
      <c r="A170" s="366">
        <f t="shared" si="2290"/>
        <v>14</v>
      </c>
      <c r="B170" s="367" t="str">
        <f t="shared" ref="B170:D170" si="2506">IFERROR(VLOOKUP($A170,$A$13:$D$30,-B$12,FALSE),"")</f>
        <v>Lainnya 2.3 (6) …….</v>
      </c>
      <c r="C170" s="368" t="str">
        <f t="shared" si="2506"/>
        <v/>
      </c>
      <c r="D170" s="368" t="str">
        <f t="shared" si="2506"/>
        <v/>
      </c>
      <c r="E170" s="361"/>
      <c r="F170" s="361" t="str">
        <f t="shared" si="2147"/>
        <v/>
      </c>
      <c r="G170" s="361">
        <f t="shared" si="2148"/>
        <v>0</v>
      </c>
      <c r="H170" s="369"/>
      <c r="I170" s="361">
        <f t="shared" si="2149"/>
        <v>0</v>
      </c>
      <c r="J170" s="410"/>
      <c r="K170" s="96"/>
      <c r="L170" s="96"/>
      <c r="M170" s="361">
        <f t="shared" si="2150"/>
        <v>0</v>
      </c>
      <c r="N170" s="369">
        <f t="shared" si="2151"/>
        <v>0.4604471269</v>
      </c>
      <c r="O170" s="370">
        <f t="shared" si="2152"/>
        <v>0</v>
      </c>
      <c r="P170" s="371">
        <f t="shared" si="2153"/>
        <v>0</v>
      </c>
      <c r="Q170" s="364"/>
      <c r="R170" s="366">
        <f t="shared" si="2292"/>
        <v>14</v>
      </c>
      <c r="S170" s="367" t="str">
        <f t="shared" ref="S170:U170" si="2507">IFERROR(VLOOKUP($R170,$A$13:$D$30,-S$12,FALSE),"")</f>
        <v>Lainnya 2.3 (6) …….</v>
      </c>
      <c r="T170" s="368" t="str">
        <f t="shared" si="2507"/>
        <v/>
      </c>
      <c r="U170" s="368" t="str">
        <f t="shared" si="2507"/>
        <v/>
      </c>
      <c r="V170" s="361"/>
      <c r="W170" s="361" t="str">
        <f t="shared" si="2155"/>
        <v/>
      </c>
      <c r="X170" s="361">
        <f t="shared" si="2156"/>
        <v>0</v>
      </c>
      <c r="Y170" s="369"/>
      <c r="Z170" s="361">
        <f t="shared" si="2157"/>
        <v>0</v>
      </c>
      <c r="AA170" s="410"/>
      <c r="AB170" s="96"/>
      <c r="AC170" s="96"/>
      <c r="AD170" s="361">
        <f t="shared" si="2158"/>
        <v>0</v>
      </c>
      <c r="AE170" s="369">
        <f t="shared" si="2159"/>
        <v>0.4604471269</v>
      </c>
      <c r="AF170" s="370">
        <f t="shared" si="2160"/>
        <v>0</v>
      </c>
      <c r="AG170" s="371">
        <f t="shared" si="2161"/>
        <v>0</v>
      </c>
      <c r="AH170" s="364"/>
      <c r="AI170" s="366">
        <f t="shared" si="2294"/>
        <v>14</v>
      </c>
      <c r="AJ170" s="367" t="str">
        <f t="shared" ref="AJ170:AL170" si="2508">IFERROR(VLOOKUP($R170,$A$13:$D$30,-AJ$12,FALSE),"")</f>
        <v>Lainnya 2.3 (6) …….</v>
      </c>
      <c r="AK170" s="368" t="str">
        <f t="shared" si="2508"/>
        <v/>
      </c>
      <c r="AL170" s="368" t="str">
        <f t="shared" si="2508"/>
        <v/>
      </c>
      <c r="AM170" s="361"/>
      <c r="AN170" s="361" t="str">
        <f t="shared" si="2163"/>
        <v/>
      </c>
      <c r="AO170" s="361">
        <f t="shared" si="2164"/>
        <v>0</v>
      </c>
      <c r="AP170" s="369"/>
      <c r="AQ170" s="361">
        <f t="shared" si="2165"/>
        <v>0</v>
      </c>
      <c r="AR170" s="410"/>
      <c r="AS170" s="96"/>
      <c r="AT170" s="96"/>
      <c r="AU170" s="361">
        <f t="shared" si="2166"/>
        <v>0</v>
      </c>
      <c r="AV170" s="369">
        <f t="shared" si="2167"/>
        <v>0.4604471269</v>
      </c>
      <c r="AW170" s="370">
        <f t="shared" si="2168"/>
        <v>0</v>
      </c>
      <c r="AX170" s="371">
        <f t="shared" si="2169"/>
        <v>0</v>
      </c>
      <c r="AY170" s="364"/>
      <c r="AZ170" s="366">
        <f t="shared" si="2296"/>
        <v>14</v>
      </c>
      <c r="BA170" s="367" t="str">
        <f t="shared" ref="BA170:BC170" si="2509">IFERROR(VLOOKUP($R170,$A$13:$D$30,-BA$12,FALSE),"")</f>
        <v>Lainnya 2.3 (6) …….</v>
      </c>
      <c r="BB170" s="368" t="str">
        <f t="shared" si="2509"/>
        <v/>
      </c>
      <c r="BC170" s="368" t="str">
        <f t="shared" si="2509"/>
        <v/>
      </c>
      <c r="BD170" s="361"/>
      <c r="BE170" s="361" t="str">
        <f t="shared" si="2171"/>
        <v/>
      </c>
      <c r="BF170" s="361">
        <f t="shared" si="2172"/>
        <v>0</v>
      </c>
      <c r="BG170" s="369"/>
      <c r="BH170" s="361">
        <f t="shared" si="2173"/>
        <v>0</v>
      </c>
      <c r="BI170" s="410"/>
      <c r="BJ170" s="96"/>
      <c r="BK170" s="96"/>
      <c r="BL170" s="361">
        <f t="shared" si="2174"/>
        <v>0</v>
      </c>
      <c r="BM170" s="369">
        <f t="shared" si="2175"/>
        <v>0.4604471269</v>
      </c>
      <c r="BN170" s="370">
        <f t="shared" si="2176"/>
        <v>0</v>
      </c>
      <c r="BO170" s="371">
        <f t="shared" si="2177"/>
        <v>0</v>
      </c>
      <c r="BP170" s="364"/>
      <c r="BQ170" s="366">
        <f t="shared" si="2298"/>
        <v>14</v>
      </c>
      <c r="BR170" s="367" t="str">
        <f t="shared" ref="BR170:BT170" si="2510">IFERROR(VLOOKUP($R170,$A$13:$D$30,-BR$12,FALSE),"")</f>
        <v>Lainnya 2.3 (6) …….</v>
      </c>
      <c r="BS170" s="368" t="str">
        <f t="shared" si="2510"/>
        <v/>
      </c>
      <c r="BT170" s="368" t="str">
        <f t="shared" si="2510"/>
        <v/>
      </c>
      <c r="BU170" s="361"/>
      <c r="BV170" s="361" t="str">
        <f t="shared" si="2179"/>
        <v/>
      </c>
      <c r="BW170" s="361">
        <f t="shared" si="2180"/>
        <v>0</v>
      </c>
      <c r="BX170" s="369"/>
      <c r="BY170" s="361">
        <f t="shared" si="2181"/>
        <v>0</v>
      </c>
      <c r="BZ170" s="410"/>
      <c r="CA170" s="96"/>
      <c r="CB170" s="96"/>
      <c r="CC170" s="361">
        <f t="shared" si="2182"/>
        <v>0</v>
      </c>
      <c r="CD170" s="369">
        <f t="shared" si="2183"/>
        <v>0.4604471269</v>
      </c>
      <c r="CE170" s="370">
        <f t="shared" si="2184"/>
        <v>0</v>
      </c>
      <c r="CF170" s="371">
        <f t="shared" si="2185"/>
        <v>0</v>
      </c>
      <c r="CG170" s="364"/>
      <c r="CH170" s="366">
        <f t="shared" si="2300"/>
        <v>14</v>
      </c>
      <c r="CI170" s="367" t="str">
        <f t="shared" ref="CI170:CK170" si="2511">IFERROR(VLOOKUP($R170,$A$13:$D$30,-CI$12,FALSE),"")</f>
        <v>Lainnya 2.3 (6) …….</v>
      </c>
      <c r="CJ170" s="368" t="str">
        <f t="shared" si="2511"/>
        <v/>
      </c>
      <c r="CK170" s="368" t="str">
        <f t="shared" si="2511"/>
        <v/>
      </c>
      <c r="CL170" s="361"/>
      <c r="CM170" s="361" t="str">
        <f t="shared" si="2187"/>
        <v/>
      </c>
      <c r="CN170" s="361">
        <f t="shared" si="2188"/>
        <v>0</v>
      </c>
      <c r="CO170" s="369"/>
      <c r="CP170" s="361">
        <f t="shared" si="2189"/>
        <v>0</v>
      </c>
      <c r="CQ170" s="410"/>
      <c r="CR170" s="96"/>
      <c r="CS170" s="96"/>
      <c r="CT170" s="361">
        <f t="shared" si="2190"/>
        <v>0</v>
      </c>
      <c r="CU170" s="369">
        <f t="shared" si="2191"/>
        <v>0.4604471269</v>
      </c>
      <c r="CV170" s="370">
        <f t="shared" si="2192"/>
        <v>0</v>
      </c>
      <c r="CW170" s="371">
        <f t="shared" si="2193"/>
        <v>0</v>
      </c>
      <c r="CX170" s="364"/>
      <c r="CY170" s="366">
        <f t="shared" si="2302"/>
        <v>14</v>
      </c>
      <c r="CZ170" s="367" t="str">
        <f t="shared" ref="CZ170:DB170" si="2512">IFERROR(VLOOKUP($R170,$A$13:$D$30,-CZ$12,FALSE),"")</f>
        <v>Lainnya 2.3 (6) …….</v>
      </c>
      <c r="DA170" s="368" t="str">
        <f t="shared" si="2512"/>
        <v/>
      </c>
      <c r="DB170" s="368" t="str">
        <f t="shared" si="2512"/>
        <v/>
      </c>
      <c r="DC170" s="361"/>
      <c r="DD170" s="361" t="str">
        <f t="shared" si="2195"/>
        <v/>
      </c>
      <c r="DE170" s="361">
        <f t="shared" si="2196"/>
        <v>0</v>
      </c>
      <c r="DF170" s="369"/>
      <c r="DG170" s="361">
        <f t="shared" si="2197"/>
        <v>0</v>
      </c>
      <c r="DH170" s="410"/>
      <c r="DI170" s="96"/>
      <c r="DJ170" s="96"/>
      <c r="DK170" s="361">
        <f t="shared" si="2198"/>
        <v>0</v>
      </c>
      <c r="DL170" s="369">
        <f t="shared" si="2199"/>
        <v>0.4604471269</v>
      </c>
      <c r="DM170" s="370">
        <f t="shared" si="2200"/>
        <v>0</v>
      </c>
      <c r="DN170" s="371">
        <f t="shared" si="2201"/>
        <v>0</v>
      </c>
      <c r="DO170" s="364"/>
      <c r="DP170" s="366">
        <f t="shared" si="2304"/>
        <v>14</v>
      </c>
      <c r="DQ170" s="367" t="str">
        <f t="shared" ref="DQ170:DS170" si="2513">IFERROR(VLOOKUP($R170,$A$13:$D$30,-DQ$12,FALSE),"")</f>
        <v>Lainnya 2.3 (6) …….</v>
      </c>
      <c r="DR170" s="368" t="str">
        <f t="shared" si="2513"/>
        <v/>
      </c>
      <c r="DS170" s="368" t="str">
        <f t="shared" si="2513"/>
        <v/>
      </c>
      <c r="DT170" s="361"/>
      <c r="DU170" s="361" t="str">
        <f t="shared" si="2203"/>
        <v/>
      </c>
      <c r="DV170" s="361">
        <f t="shared" si="2204"/>
        <v>0</v>
      </c>
      <c r="DW170" s="369"/>
      <c r="DX170" s="361">
        <f t="shared" si="2205"/>
        <v>0</v>
      </c>
      <c r="DY170" s="410"/>
      <c r="DZ170" s="96"/>
      <c r="EA170" s="96"/>
      <c r="EB170" s="361">
        <f t="shared" si="2206"/>
        <v>0</v>
      </c>
      <c r="EC170" s="369">
        <f t="shared" si="2207"/>
        <v>0.4604471269</v>
      </c>
      <c r="ED170" s="370">
        <f t="shared" si="2208"/>
        <v>0</v>
      </c>
      <c r="EE170" s="371">
        <f t="shared" si="2209"/>
        <v>0</v>
      </c>
      <c r="EF170" s="364"/>
      <c r="EG170" s="366">
        <f t="shared" si="2306"/>
        <v>14</v>
      </c>
      <c r="EH170" s="367" t="str">
        <f t="shared" ref="EH170:EJ170" si="2514">IFERROR(VLOOKUP($R170,$A$13:$D$30,-EH$12,FALSE),"")</f>
        <v>Lainnya 2.3 (6) …….</v>
      </c>
      <c r="EI170" s="368" t="str">
        <f t="shared" si="2514"/>
        <v/>
      </c>
      <c r="EJ170" s="368" t="str">
        <f t="shared" si="2514"/>
        <v/>
      </c>
      <c r="EK170" s="361"/>
      <c r="EL170" s="361" t="str">
        <f t="shared" si="2211"/>
        <v/>
      </c>
      <c r="EM170" s="361">
        <f t="shared" si="2212"/>
        <v>0</v>
      </c>
      <c r="EN170" s="369"/>
      <c r="EO170" s="361">
        <f t="shared" si="2213"/>
        <v>0</v>
      </c>
      <c r="EP170" s="410"/>
      <c r="EQ170" s="96"/>
      <c r="ER170" s="96"/>
      <c r="ES170" s="361">
        <f t="shared" si="2214"/>
        <v>0</v>
      </c>
      <c r="ET170" s="369">
        <f t="shared" si="2215"/>
        <v>0.4604471269</v>
      </c>
      <c r="EU170" s="370">
        <f t="shared" si="2216"/>
        <v>0</v>
      </c>
      <c r="EV170" s="371">
        <f t="shared" si="2217"/>
        <v>0</v>
      </c>
      <c r="EW170" s="364"/>
      <c r="EX170" s="366">
        <f t="shared" si="2308"/>
        <v>14</v>
      </c>
      <c r="EY170" s="367" t="str">
        <f t="shared" ref="EY170:FA170" si="2515">IFERROR(VLOOKUP($R170,$A$13:$D$30,-EY$12,FALSE),"")</f>
        <v>Lainnya 2.3 (6) …….</v>
      </c>
      <c r="EZ170" s="368" t="str">
        <f t="shared" si="2515"/>
        <v/>
      </c>
      <c r="FA170" s="368" t="str">
        <f t="shared" si="2515"/>
        <v/>
      </c>
      <c r="FB170" s="361"/>
      <c r="FC170" s="361" t="str">
        <f t="shared" si="2219"/>
        <v/>
      </c>
      <c r="FD170" s="361">
        <f t="shared" si="2220"/>
        <v>0</v>
      </c>
      <c r="FE170" s="369"/>
      <c r="FF170" s="361">
        <f t="shared" si="2221"/>
        <v>0</v>
      </c>
      <c r="FG170" s="410"/>
      <c r="FH170" s="96"/>
      <c r="FI170" s="96"/>
      <c r="FJ170" s="361">
        <f t="shared" si="2222"/>
        <v>0</v>
      </c>
      <c r="FK170" s="369">
        <f t="shared" si="2223"/>
        <v>0.4604471269</v>
      </c>
      <c r="FL170" s="370">
        <f t="shared" si="2224"/>
        <v>0</v>
      </c>
      <c r="FM170" s="371">
        <f t="shared" si="2225"/>
        <v>0</v>
      </c>
      <c r="FN170" s="364"/>
      <c r="FO170" s="366">
        <f t="shared" si="2310"/>
        <v>14</v>
      </c>
      <c r="FP170" s="367" t="str">
        <f t="shared" ref="FP170:FR170" si="2516">IFERROR(VLOOKUP($R170,$A$13:$D$30,-FP$12,FALSE),"")</f>
        <v>Lainnya 2.3 (6) …….</v>
      </c>
      <c r="FQ170" s="368" t="str">
        <f t="shared" si="2516"/>
        <v/>
      </c>
      <c r="FR170" s="368" t="str">
        <f t="shared" si="2516"/>
        <v/>
      </c>
      <c r="FS170" s="361"/>
      <c r="FT170" s="361" t="str">
        <f t="shared" si="2227"/>
        <v/>
      </c>
      <c r="FU170" s="361">
        <f t="shared" si="2228"/>
        <v>0</v>
      </c>
      <c r="FV170" s="369"/>
      <c r="FW170" s="361">
        <f t="shared" si="2229"/>
        <v>0</v>
      </c>
      <c r="FX170" s="410"/>
      <c r="FY170" s="96"/>
      <c r="FZ170" s="96"/>
      <c r="GA170" s="361">
        <f t="shared" si="2230"/>
        <v>0</v>
      </c>
      <c r="GB170" s="369">
        <f t="shared" si="2231"/>
        <v>0.4604471269</v>
      </c>
      <c r="GC170" s="370">
        <f t="shared" si="2232"/>
        <v>0</v>
      </c>
      <c r="GD170" s="371">
        <f t="shared" si="2233"/>
        <v>0</v>
      </c>
      <c r="GE170" s="364"/>
      <c r="GF170" s="366">
        <f t="shared" si="2312"/>
        <v>14</v>
      </c>
      <c r="GG170" s="367" t="str">
        <f t="shared" ref="GG170:GI170" si="2517">IFERROR(VLOOKUP($R170,$A$13:$D$30,-GG$12,FALSE),"")</f>
        <v>Lainnya 2.3 (6) …….</v>
      </c>
      <c r="GH170" s="368" t="str">
        <f t="shared" si="2517"/>
        <v/>
      </c>
      <c r="GI170" s="368" t="str">
        <f t="shared" si="2517"/>
        <v/>
      </c>
      <c r="GJ170" s="361"/>
      <c r="GK170" s="361" t="str">
        <f t="shared" si="2235"/>
        <v/>
      </c>
      <c r="GL170" s="361">
        <f t="shared" si="2236"/>
        <v>0</v>
      </c>
      <c r="GM170" s="369"/>
      <c r="GN170" s="361">
        <f t="shared" si="2237"/>
        <v>0</v>
      </c>
      <c r="GO170" s="410"/>
      <c r="GP170" s="96"/>
      <c r="GQ170" s="96"/>
      <c r="GR170" s="361">
        <f t="shared" si="2238"/>
        <v>0</v>
      </c>
      <c r="GS170" s="369">
        <f t="shared" si="2239"/>
        <v>0.4604471269</v>
      </c>
      <c r="GT170" s="370">
        <f t="shared" si="2240"/>
        <v>0</v>
      </c>
      <c r="GU170" s="371">
        <f t="shared" si="2241"/>
        <v>0</v>
      </c>
      <c r="GV170" s="364"/>
      <c r="GW170" s="366">
        <f t="shared" si="2314"/>
        <v>14</v>
      </c>
      <c r="GX170" s="367" t="str">
        <f t="shared" ref="GX170:GY170" si="2518">IFERROR(VLOOKUP($R170,$A$13:$D$30,-GX$12,FALSE),"")</f>
        <v>Lainnya 2.3 (6) …….</v>
      </c>
      <c r="GY170" s="368" t="str">
        <f t="shared" si="2518"/>
        <v/>
      </c>
      <c r="GZ170" s="368">
        <f>HA170/HB165*1000000</f>
        <v>0</v>
      </c>
      <c r="HA170" s="372"/>
      <c r="HB170" s="361" t="str">
        <f t="shared" si="2243"/>
        <v/>
      </c>
      <c r="HC170" s="361">
        <f t="shared" si="2244"/>
        <v>0</v>
      </c>
      <c r="HD170" s="369"/>
      <c r="HE170" s="361">
        <f t="shared" si="2245"/>
        <v>0</v>
      </c>
      <c r="HF170" s="410"/>
      <c r="HG170" s="96"/>
      <c r="HH170" s="96"/>
      <c r="HI170" s="361">
        <f t="shared" si="2246"/>
        <v>0</v>
      </c>
      <c r="HJ170" s="369">
        <f t="shared" si="2247"/>
        <v>0.4604471269</v>
      </c>
      <c r="HK170" s="370">
        <f t="shared" si="2248"/>
        <v>0</v>
      </c>
      <c r="HL170" s="371">
        <f t="shared" si="2249"/>
        <v>0</v>
      </c>
      <c r="HM170" s="364"/>
      <c r="HN170" s="366">
        <f t="shared" si="2316"/>
        <v>14</v>
      </c>
      <c r="HO170" s="367" t="str">
        <f t="shared" ref="HO170:HQ170" si="2519">IFERROR(VLOOKUP($R170,$A$13:$D$30,-HO$12,FALSE),"")</f>
        <v>Lainnya 2.3 (6) …….</v>
      </c>
      <c r="HP170" s="368" t="str">
        <f t="shared" si="2519"/>
        <v/>
      </c>
      <c r="HQ170" s="368" t="str">
        <f t="shared" si="2519"/>
        <v/>
      </c>
      <c r="HR170" s="361"/>
      <c r="HS170" s="361" t="str">
        <f t="shared" si="2251"/>
        <v/>
      </c>
      <c r="HT170" s="361">
        <f t="shared" si="2252"/>
        <v>0</v>
      </c>
      <c r="HU170" s="369"/>
      <c r="HV170" s="361">
        <f t="shared" si="2253"/>
        <v>0</v>
      </c>
      <c r="HW170" s="410"/>
      <c r="HX170" s="96"/>
      <c r="HY170" s="96"/>
      <c r="HZ170" s="361">
        <f t="shared" si="2254"/>
        <v>0</v>
      </c>
      <c r="IA170" s="369">
        <f t="shared" si="2255"/>
        <v>0.4604471269</v>
      </c>
      <c r="IB170" s="370">
        <f t="shared" si="2256"/>
        <v>0</v>
      </c>
      <c r="IC170" s="371">
        <f t="shared" si="2257"/>
        <v>0</v>
      </c>
      <c r="ID170" s="364"/>
      <c r="IE170" s="366">
        <f t="shared" si="2318"/>
        <v>14</v>
      </c>
      <c r="IF170" s="367" t="str">
        <f t="shared" ref="IF170:IH170" si="2520">IFERROR(VLOOKUP($R170,$A$13:$D$30,-IF$12,FALSE),"")</f>
        <v>Lainnya 2.3 (6) …….</v>
      </c>
      <c r="IG170" s="368" t="str">
        <f t="shared" si="2520"/>
        <v/>
      </c>
      <c r="IH170" s="368" t="str">
        <f t="shared" si="2520"/>
        <v/>
      </c>
      <c r="II170" s="361"/>
      <c r="IJ170" s="361" t="str">
        <f t="shared" si="2259"/>
        <v/>
      </c>
      <c r="IK170" s="361">
        <f t="shared" si="2260"/>
        <v>0</v>
      </c>
      <c r="IL170" s="369"/>
      <c r="IM170" s="361">
        <f t="shared" si="2261"/>
        <v>0</v>
      </c>
      <c r="IN170" s="410"/>
      <c r="IO170" s="96"/>
      <c r="IP170" s="96"/>
      <c r="IQ170" s="361">
        <f t="shared" si="2262"/>
        <v>0</v>
      </c>
      <c r="IR170" s="369">
        <f t="shared" si="2263"/>
        <v>0.4604471269</v>
      </c>
      <c r="IS170" s="370">
        <f t="shared" si="2264"/>
        <v>0</v>
      </c>
      <c r="IT170" s="371">
        <f t="shared" si="2265"/>
        <v>0</v>
      </c>
      <c r="IU170" s="364"/>
      <c r="IV170" s="366">
        <f t="shared" si="2320"/>
        <v>14</v>
      </c>
      <c r="IW170" s="367" t="str">
        <f t="shared" ref="IW170:IY170" si="2521">IFERROR(VLOOKUP($R170,$A$13:$D$30,-IW$12,FALSE),"")</f>
        <v>Lainnya 2.3 (6) …….</v>
      </c>
      <c r="IX170" s="368" t="str">
        <f t="shared" si="2521"/>
        <v/>
      </c>
      <c r="IY170" s="368" t="str">
        <f t="shared" si="2521"/>
        <v/>
      </c>
      <c r="IZ170" s="361"/>
      <c r="JA170" s="361" t="str">
        <f t="shared" si="2267"/>
        <v/>
      </c>
      <c r="JB170" s="361">
        <f t="shared" si="2268"/>
        <v>0</v>
      </c>
      <c r="JC170" s="369"/>
      <c r="JD170" s="361">
        <f t="shared" si="2269"/>
        <v>0</v>
      </c>
      <c r="JE170" s="410"/>
      <c r="JF170" s="96"/>
      <c r="JG170" s="96"/>
      <c r="JH170" s="361">
        <f t="shared" si="2270"/>
        <v>0</v>
      </c>
      <c r="JI170" s="369">
        <f t="shared" si="2271"/>
        <v>0.4604471269</v>
      </c>
      <c r="JJ170" s="370">
        <f t="shared" si="2272"/>
        <v>0</v>
      </c>
      <c r="JK170" s="371">
        <f t="shared" si="2273"/>
        <v>0</v>
      </c>
      <c r="JL170" s="364"/>
      <c r="JM170" s="366">
        <f t="shared" si="2322"/>
        <v>14</v>
      </c>
      <c r="JN170" s="367" t="str">
        <f t="shared" ref="JN170:JP170" si="2522">IFERROR(VLOOKUP($R170,$A$13:$D$30,-JN$12,FALSE),"")</f>
        <v>Lainnya 2.3 (6) …….</v>
      </c>
      <c r="JO170" s="368" t="str">
        <f t="shared" si="2522"/>
        <v/>
      </c>
      <c r="JP170" s="368" t="str">
        <f t="shared" si="2522"/>
        <v/>
      </c>
      <c r="JQ170" s="361"/>
      <c r="JR170" s="361" t="str">
        <f t="shared" si="2275"/>
        <v/>
      </c>
      <c r="JS170" s="361">
        <f t="shared" si="2276"/>
        <v>0</v>
      </c>
      <c r="JT170" s="369"/>
      <c r="JU170" s="361">
        <f t="shared" si="2277"/>
        <v>0</v>
      </c>
      <c r="JV170" s="410"/>
      <c r="JW170" s="96"/>
      <c r="JX170" s="96"/>
      <c r="JY170" s="361">
        <f t="shared" si="2278"/>
        <v>0</v>
      </c>
      <c r="JZ170" s="369">
        <f t="shared" si="2279"/>
        <v>0.4604471269</v>
      </c>
      <c r="KA170" s="370">
        <f t="shared" si="2280"/>
        <v>0</v>
      </c>
      <c r="KB170" s="371">
        <f t="shared" si="2281"/>
        <v>0</v>
      </c>
      <c r="KC170" s="364"/>
      <c r="KD170" s="366">
        <f t="shared" si="2324"/>
        <v>14</v>
      </c>
      <c r="KE170" s="367" t="str">
        <f t="shared" ref="KE170:KG170" si="2523">IFERROR(VLOOKUP($R170,$A$13:$D$30,-KE$12,FALSE),"")</f>
        <v>Lainnya 2.3 (6) …….</v>
      </c>
      <c r="KF170" s="368" t="str">
        <f t="shared" si="2523"/>
        <v/>
      </c>
      <c r="KG170" s="368" t="str">
        <f t="shared" si="2523"/>
        <v/>
      </c>
      <c r="KH170" s="361"/>
      <c r="KI170" s="361" t="str">
        <f t="shared" si="2283"/>
        <v/>
      </c>
      <c r="KJ170" s="361">
        <f t="shared" si="2284"/>
        <v>0</v>
      </c>
      <c r="KK170" s="369"/>
      <c r="KL170" s="361">
        <f t="shared" si="2285"/>
        <v>0</v>
      </c>
      <c r="KM170" s="410"/>
      <c r="KN170" s="96"/>
      <c r="KO170" s="96"/>
      <c r="KP170" s="361">
        <f t="shared" si="2286"/>
        <v>0</v>
      </c>
      <c r="KQ170" s="369">
        <f t="shared" si="2287"/>
        <v>0.4604471269</v>
      </c>
      <c r="KR170" s="370">
        <f t="shared" si="2288"/>
        <v>0</v>
      </c>
      <c r="KS170" s="371">
        <f t="shared" si="2289"/>
        <v>0</v>
      </c>
      <c r="KT170" s="364"/>
      <c r="KU170" s="365"/>
    </row>
    <row r="171" ht="15.75" customHeight="1">
      <c r="A171" s="366">
        <f t="shared" si="2290"/>
        <v>15</v>
      </c>
      <c r="B171" s="367" t="str">
        <f t="shared" ref="B171:D171" si="2524">IFERROR(VLOOKUP($A171,$A$13:$D$30,-B$12,FALSE),"")</f>
        <v>Lainnya 2.3 (7) …….</v>
      </c>
      <c r="C171" s="368" t="str">
        <f t="shared" si="2524"/>
        <v/>
      </c>
      <c r="D171" s="368" t="str">
        <f t="shared" si="2524"/>
        <v/>
      </c>
      <c r="E171" s="361"/>
      <c r="F171" s="361">
        <f t="shared" si="2147"/>
        <v>6500000</v>
      </c>
      <c r="G171" s="361">
        <f t="shared" si="2148"/>
        <v>0</v>
      </c>
      <c r="H171" s="369"/>
      <c r="I171" s="361">
        <f t="shared" si="2149"/>
        <v>0</v>
      </c>
      <c r="J171" s="410"/>
      <c r="K171" s="96"/>
      <c r="L171" s="96"/>
      <c r="M171" s="361">
        <f t="shared" si="2150"/>
        <v>0</v>
      </c>
      <c r="N171" s="369">
        <f t="shared" si="2151"/>
        <v>0.4604471269</v>
      </c>
      <c r="O171" s="370">
        <f t="shared" si="2152"/>
        <v>0</v>
      </c>
      <c r="P171" s="371">
        <f t="shared" si="2153"/>
        <v>0</v>
      </c>
      <c r="Q171" s="364"/>
      <c r="R171" s="366">
        <f t="shared" si="2292"/>
        <v>15</v>
      </c>
      <c r="S171" s="367" t="str">
        <f t="shared" ref="S171:U171" si="2525">IFERROR(VLOOKUP($R171,$A$13:$D$30,-S$12,FALSE),"")</f>
        <v>Lainnya 2.3 (7) …….</v>
      </c>
      <c r="T171" s="368" t="str">
        <f t="shared" si="2525"/>
        <v/>
      </c>
      <c r="U171" s="368" t="str">
        <f t="shared" si="2525"/>
        <v/>
      </c>
      <c r="V171" s="361"/>
      <c r="W171" s="361">
        <f t="shared" si="2155"/>
        <v>6500000</v>
      </c>
      <c r="X171" s="361">
        <f t="shared" si="2156"/>
        <v>0</v>
      </c>
      <c r="Y171" s="369"/>
      <c r="Z171" s="361">
        <f t="shared" si="2157"/>
        <v>0</v>
      </c>
      <c r="AA171" s="410"/>
      <c r="AB171" s="96"/>
      <c r="AC171" s="96"/>
      <c r="AD171" s="361">
        <f t="shared" si="2158"/>
        <v>0</v>
      </c>
      <c r="AE171" s="369">
        <f t="shared" si="2159"/>
        <v>0.4604471269</v>
      </c>
      <c r="AF171" s="370">
        <f t="shared" si="2160"/>
        <v>0</v>
      </c>
      <c r="AG171" s="371">
        <f t="shared" si="2161"/>
        <v>0</v>
      </c>
      <c r="AH171" s="364"/>
      <c r="AI171" s="366">
        <f t="shared" si="2294"/>
        <v>15</v>
      </c>
      <c r="AJ171" s="367" t="str">
        <f t="shared" ref="AJ171:AL171" si="2526">IFERROR(VLOOKUP($R171,$A$13:$D$30,-AJ$12,FALSE),"")</f>
        <v>Lainnya 2.3 (7) …….</v>
      </c>
      <c r="AK171" s="368" t="str">
        <f t="shared" si="2526"/>
        <v/>
      </c>
      <c r="AL171" s="368" t="str">
        <f t="shared" si="2526"/>
        <v/>
      </c>
      <c r="AM171" s="361"/>
      <c r="AN171" s="361">
        <f t="shared" si="2163"/>
        <v>6500000</v>
      </c>
      <c r="AO171" s="361">
        <f t="shared" si="2164"/>
        <v>0</v>
      </c>
      <c r="AP171" s="369"/>
      <c r="AQ171" s="361">
        <f t="shared" si="2165"/>
        <v>0</v>
      </c>
      <c r="AR171" s="410"/>
      <c r="AS171" s="96"/>
      <c r="AT171" s="96"/>
      <c r="AU171" s="361">
        <f t="shared" si="2166"/>
        <v>0</v>
      </c>
      <c r="AV171" s="369">
        <f t="shared" si="2167"/>
        <v>0.4604471269</v>
      </c>
      <c r="AW171" s="370">
        <f t="shared" si="2168"/>
        <v>0</v>
      </c>
      <c r="AX171" s="371">
        <f t="shared" si="2169"/>
        <v>0</v>
      </c>
      <c r="AY171" s="364"/>
      <c r="AZ171" s="366">
        <f t="shared" si="2296"/>
        <v>15</v>
      </c>
      <c r="BA171" s="367" t="str">
        <f t="shared" ref="BA171:BC171" si="2527">IFERROR(VLOOKUP($R171,$A$13:$D$30,-BA$12,FALSE),"")</f>
        <v>Lainnya 2.3 (7) …….</v>
      </c>
      <c r="BB171" s="368" t="str">
        <f t="shared" si="2527"/>
        <v/>
      </c>
      <c r="BC171" s="368" t="str">
        <f t="shared" si="2527"/>
        <v/>
      </c>
      <c r="BD171" s="361"/>
      <c r="BE171" s="361">
        <f t="shared" si="2171"/>
        <v>6500000</v>
      </c>
      <c r="BF171" s="361">
        <f t="shared" si="2172"/>
        <v>0</v>
      </c>
      <c r="BG171" s="369"/>
      <c r="BH171" s="361">
        <f t="shared" si="2173"/>
        <v>0</v>
      </c>
      <c r="BI171" s="410"/>
      <c r="BJ171" s="96"/>
      <c r="BK171" s="96"/>
      <c r="BL171" s="361">
        <f t="shared" si="2174"/>
        <v>0</v>
      </c>
      <c r="BM171" s="369">
        <f t="shared" si="2175"/>
        <v>0.4604471269</v>
      </c>
      <c r="BN171" s="370">
        <f t="shared" si="2176"/>
        <v>0</v>
      </c>
      <c r="BO171" s="371">
        <f t="shared" si="2177"/>
        <v>0</v>
      </c>
      <c r="BP171" s="364"/>
      <c r="BQ171" s="366">
        <f t="shared" si="2298"/>
        <v>15</v>
      </c>
      <c r="BR171" s="367" t="str">
        <f t="shared" ref="BR171:BT171" si="2528">IFERROR(VLOOKUP($R171,$A$13:$D$30,-BR$12,FALSE),"")</f>
        <v>Lainnya 2.3 (7) …….</v>
      </c>
      <c r="BS171" s="368" t="str">
        <f t="shared" si="2528"/>
        <v/>
      </c>
      <c r="BT171" s="368" t="str">
        <f t="shared" si="2528"/>
        <v/>
      </c>
      <c r="BU171" s="361"/>
      <c r="BV171" s="361">
        <f t="shared" si="2179"/>
        <v>6500000</v>
      </c>
      <c r="BW171" s="361">
        <f t="shared" si="2180"/>
        <v>0</v>
      </c>
      <c r="BX171" s="369"/>
      <c r="BY171" s="361">
        <f t="shared" si="2181"/>
        <v>0</v>
      </c>
      <c r="BZ171" s="410"/>
      <c r="CA171" s="96"/>
      <c r="CB171" s="96"/>
      <c r="CC171" s="361">
        <f t="shared" si="2182"/>
        <v>0</v>
      </c>
      <c r="CD171" s="369">
        <f t="shared" si="2183"/>
        <v>0.4604471269</v>
      </c>
      <c r="CE171" s="370">
        <f t="shared" si="2184"/>
        <v>0</v>
      </c>
      <c r="CF171" s="371">
        <f t="shared" si="2185"/>
        <v>0</v>
      </c>
      <c r="CG171" s="364"/>
      <c r="CH171" s="366">
        <f t="shared" si="2300"/>
        <v>15</v>
      </c>
      <c r="CI171" s="367" t="str">
        <f t="shared" ref="CI171:CK171" si="2529">IFERROR(VLOOKUP($R171,$A$13:$D$30,-CI$12,FALSE),"")</f>
        <v>Lainnya 2.3 (7) …….</v>
      </c>
      <c r="CJ171" s="368" t="str">
        <f t="shared" si="2529"/>
        <v/>
      </c>
      <c r="CK171" s="368" t="str">
        <f t="shared" si="2529"/>
        <v/>
      </c>
      <c r="CL171" s="361"/>
      <c r="CM171" s="361">
        <f t="shared" si="2187"/>
        <v>6500000</v>
      </c>
      <c r="CN171" s="361">
        <f t="shared" si="2188"/>
        <v>0</v>
      </c>
      <c r="CO171" s="369"/>
      <c r="CP171" s="361">
        <f t="shared" si="2189"/>
        <v>0</v>
      </c>
      <c r="CQ171" s="410"/>
      <c r="CR171" s="96"/>
      <c r="CS171" s="96"/>
      <c r="CT171" s="361">
        <f t="shared" si="2190"/>
        <v>0</v>
      </c>
      <c r="CU171" s="369">
        <f t="shared" si="2191"/>
        <v>0.4604471269</v>
      </c>
      <c r="CV171" s="370">
        <f t="shared" si="2192"/>
        <v>0</v>
      </c>
      <c r="CW171" s="371">
        <f t="shared" si="2193"/>
        <v>0</v>
      </c>
      <c r="CX171" s="364"/>
      <c r="CY171" s="366">
        <f t="shared" si="2302"/>
        <v>15</v>
      </c>
      <c r="CZ171" s="367" t="str">
        <f t="shared" ref="CZ171:DB171" si="2530">IFERROR(VLOOKUP($R171,$A$13:$D$30,-CZ$12,FALSE),"")</f>
        <v>Lainnya 2.3 (7) …….</v>
      </c>
      <c r="DA171" s="368" t="str">
        <f t="shared" si="2530"/>
        <v/>
      </c>
      <c r="DB171" s="368" t="str">
        <f t="shared" si="2530"/>
        <v/>
      </c>
      <c r="DC171" s="361"/>
      <c r="DD171" s="361">
        <f t="shared" si="2195"/>
        <v>6500000</v>
      </c>
      <c r="DE171" s="361">
        <f t="shared" si="2196"/>
        <v>0</v>
      </c>
      <c r="DF171" s="369"/>
      <c r="DG171" s="361">
        <f t="shared" si="2197"/>
        <v>0</v>
      </c>
      <c r="DH171" s="410"/>
      <c r="DI171" s="96"/>
      <c r="DJ171" s="96"/>
      <c r="DK171" s="361">
        <f t="shared" si="2198"/>
        <v>0</v>
      </c>
      <c r="DL171" s="369">
        <f t="shared" si="2199"/>
        <v>0.4604471269</v>
      </c>
      <c r="DM171" s="370">
        <f t="shared" si="2200"/>
        <v>0</v>
      </c>
      <c r="DN171" s="371">
        <f t="shared" si="2201"/>
        <v>0</v>
      </c>
      <c r="DO171" s="364"/>
      <c r="DP171" s="366">
        <f t="shared" si="2304"/>
        <v>15</v>
      </c>
      <c r="DQ171" s="367" t="str">
        <f t="shared" ref="DQ171:DS171" si="2531">IFERROR(VLOOKUP($R171,$A$13:$D$30,-DQ$12,FALSE),"")</f>
        <v>Lainnya 2.3 (7) …….</v>
      </c>
      <c r="DR171" s="368" t="str">
        <f t="shared" si="2531"/>
        <v/>
      </c>
      <c r="DS171" s="368" t="str">
        <f t="shared" si="2531"/>
        <v/>
      </c>
      <c r="DT171" s="361"/>
      <c r="DU171" s="361">
        <f t="shared" si="2203"/>
        <v>6500000</v>
      </c>
      <c r="DV171" s="361">
        <f t="shared" si="2204"/>
        <v>0</v>
      </c>
      <c r="DW171" s="369"/>
      <c r="DX171" s="361">
        <f t="shared" si="2205"/>
        <v>0</v>
      </c>
      <c r="DY171" s="410"/>
      <c r="DZ171" s="96"/>
      <c r="EA171" s="96"/>
      <c r="EB171" s="361">
        <f t="shared" si="2206"/>
        <v>0</v>
      </c>
      <c r="EC171" s="369">
        <f t="shared" si="2207"/>
        <v>0.4604471269</v>
      </c>
      <c r="ED171" s="370">
        <f t="shared" si="2208"/>
        <v>0</v>
      </c>
      <c r="EE171" s="371">
        <f t="shared" si="2209"/>
        <v>0</v>
      </c>
      <c r="EF171" s="364"/>
      <c r="EG171" s="366">
        <f t="shared" si="2306"/>
        <v>15</v>
      </c>
      <c r="EH171" s="367" t="str">
        <f t="shared" ref="EH171:EJ171" si="2532">IFERROR(VLOOKUP($R171,$A$13:$D$30,-EH$12,FALSE),"")</f>
        <v>Lainnya 2.3 (7) …….</v>
      </c>
      <c r="EI171" s="368" t="str">
        <f t="shared" si="2532"/>
        <v/>
      </c>
      <c r="EJ171" s="368" t="str">
        <f t="shared" si="2532"/>
        <v/>
      </c>
      <c r="EK171" s="361"/>
      <c r="EL171" s="361">
        <f t="shared" si="2211"/>
        <v>6500000</v>
      </c>
      <c r="EM171" s="361">
        <f t="shared" si="2212"/>
        <v>0</v>
      </c>
      <c r="EN171" s="369"/>
      <c r="EO171" s="361">
        <f t="shared" si="2213"/>
        <v>0</v>
      </c>
      <c r="EP171" s="410"/>
      <c r="EQ171" s="96"/>
      <c r="ER171" s="96"/>
      <c r="ES171" s="361">
        <f t="shared" si="2214"/>
        <v>0</v>
      </c>
      <c r="ET171" s="369">
        <f t="shared" si="2215"/>
        <v>0.4604471269</v>
      </c>
      <c r="EU171" s="370">
        <f t="shared" si="2216"/>
        <v>0</v>
      </c>
      <c r="EV171" s="371">
        <f t="shared" si="2217"/>
        <v>0</v>
      </c>
      <c r="EW171" s="364"/>
      <c r="EX171" s="366">
        <f t="shared" si="2308"/>
        <v>15</v>
      </c>
      <c r="EY171" s="367" t="str">
        <f t="shared" ref="EY171:FA171" si="2533">IFERROR(VLOOKUP($R171,$A$13:$D$30,-EY$12,FALSE),"")</f>
        <v>Lainnya 2.3 (7) …….</v>
      </c>
      <c r="EZ171" s="368" t="str">
        <f t="shared" si="2533"/>
        <v/>
      </c>
      <c r="FA171" s="368" t="str">
        <f t="shared" si="2533"/>
        <v/>
      </c>
      <c r="FB171" s="361"/>
      <c r="FC171" s="361">
        <f t="shared" si="2219"/>
        <v>6500000</v>
      </c>
      <c r="FD171" s="361">
        <f t="shared" si="2220"/>
        <v>0</v>
      </c>
      <c r="FE171" s="369"/>
      <c r="FF171" s="361">
        <f t="shared" si="2221"/>
        <v>0</v>
      </c>
      <c r="FG171" s="410"/>
      <c r="FH171" s="96"/>
      <c r="FI171" s="96"/>
      <c r="FJ171" s="361">
        <f t="shared" si="2222"/>
        <v>0</v>
      </c>
      <c r="FK171" s="369">
        <f t="shared" si="2223"/>
        <v>0.4604471269</v>
      </c>
      <c r="FL171" s="370">
        <f t="shared" si="2224"/>
        <v>0</v>
      </c>
      <c r="FM171" s="371">
        <f t="shared" si="2225"/>
        <v>0</v>
      </c>
      <c r="FN171" s="364"/>
      <c r="FO171" s="366">
        <f t="shared" si="2310"/>
        <v>15</v>
      </c>
      <c r="FP171" s="367" t="str">
        <f t="shared" ref="FP171:FR171" si="2534">IFERROR(VLOOKUP($R171,$A$13:$D$30,-FP$12,FALSE),"")</f>
        <v>Lainnya 2.3 (7) …….</v>
      </c>
      <c r="FQ171" s="368" t="str">
        <f t="shared" si="2534"/>
        <v/>
      </c>
      <c r="FR171" s="368" t="str">
        <f t="shared" si="2534"/>
        <v/>
      </c>
      <c r="FS171" s="361"/>
      <c r="FT171" s="361">
        <f t="shared" si="2227"/>
        <v>6500000</v>
      </c>
      <c r="FU171" s="361">
        <f t="shared" si="2228"/>
        <v>0</v>
      </c>
      <c r="FV171" s="369"/>
      <c r="FW171" s="361">
        <f t="shared" si="2229"/>
        <v>0</v>
      </c>
      <c r="FX171" s="410"/>
      <c r="FY171" s="96"/>
      <c r="FZ171" s="96"/>
      <c r="GA171" s="361">
        <f t="shared" si="2230"/>
        <v>0</v>
      </c>
      <c r="GB171" s="369">
        <f t="shared" si="2231"/>
        <v>0.4604471269</v>
      </c>
      <c r="GC171" s="370">
        <f t="shared" si="2232"/>
        <v>0</v>
      </c>
      <c r="GD171" s="371">
        <f t="shared" si="2233"/>
        <v>0</v>
      </c>
      <c r="GE171" s="364"/>
      <c r="GF171" s="366">
        <f t="shared" si="2312"/>
        <v>15</v>
      </c>
      <c r="GG171" s="367" t="str">
        <f t="shared" ref="GG171:GI171" si="2535">IFERROR(VLOOKUP($R171,$A$13:$D$30,-GG$12,FALSE),"")</f>
        <v>Lainnya 2.3 (7) …….</v>
      </c>
      <c r="GH171" s="368" t="str">
        <f t="shared" si="2535"/>
        <v/>
      </c>
      <c r="GI171" s="368" t="str">
        <f t="shared" si="2535"/>
        <v/>
      </c>
      <c r="GJ171" s="361"/>
      <c r="GK171" s="361" t="str">
        <f t="shared" si="2235"/>
        <v/>
      </c>
      <c r="GL171" s="361">
        <f t="shared" si="2236"/>
        <v>0</v>
      </c>
      <c r="GM171" s="369"/>
      <c r="GN171" s="361">
        <f t="shared" si="2237"/>
        <v>0</v>
      </c>
      <c r="GO171" s="410"/>
      <c r="GP171" s="96"/>
      <c r="GQ171" s="96"/>
      <c r="GR171" s="361">
        <f t="shared" si="2238"/>
        <v>0</v>
      </c>
      <c r="GS171" s="369">
        <f t="shared" si="2239"/>
        <v>0.4604471269</v>
      </c>
      <c r="GT171" s="370">
        <f t="shared" si="2240"/>
        <v>0</v>
      </c>
      <c r="GU171" s="371">
        <f t="shared" si="2241"/>
        <v>0</v>
      </c>
      <c r="GV171" s="364"/>
      <c r="GW171" s="366">
        <f t="shared" si="2314"/>
        <v>15</v>
      </c>
      <c r="GX171" s="367" t="str">
        <f t="shared" ref="GX171:GZ171" si="2536">IFERROR(VLOOKUP($R171,$A$13:$D$30,-GX$12,FALSE),"")</f>
        <v>Lainnya 2.3 (7) …….</v>
      </c>
      <c r="GY171" s="368" t="str">
        <f t="shared" si="2536"/>
        <v/>
      </c>
      <c r="GZ171" s="368" t="str">
        <f t="shared" si="2536"/>
        <v/>
      </c>
      <c r="HA171" s="361"/>
      <c r="HB171" s="361" t="str">
        <f t="shared" si="2243"/>
        <v/>
      </c>
      <c r="HC171" s="361">
        <f t="shared" si="2244"/>
        <v>0</v>
      </c>
      <c r="HD171" s="369"/>
      <c r="HE171" s="361">
        <f t="shared" si="2245"/>
        <v>0</v>
      </c>
      <c r="HF171" s="410"/>
      <c r="HG171" s="96"/>
      <c r="HH171" s="96"/>
      <c r="HI171" s="361">
        <f t="shared" si="2246"/>
        <v>0</v>
      </c>
      <c r="HJ171" s="369">
        <f t="shared" si="2247"/>
        <v>0.4604471269</v>
      </c>
      <c r="HK171" s="370">
        <f t="shared" si="2248"/>
        <v>0</v>
      </c>
      <c r="HL171" s="371">
        <f t="shared" si="2249"/>
        <v>0</v>
      </c>
      <c r="HM171" s="364"/>
      <c r="HN171" s="366">
        <f t="shared" si="2316"/>
        <v>15</v>
      </c>
      <c r="HO171" s="367" t="str">
        <f t="shared" ref="HO171:HQ171" si="2537">IFERROR(VLOOKUP($R171,$A$13:$D$30,-HO$12,FALSE),"")</f>
        <v>Lainnya 2.3 (7) …….</v>
      </c>
      <c r="HP171" s="368" t="str">
        <f t="shared" si="2537"/>
        <v/>
      </c>
      <c r="HQ171" s="368" t="str">
        <f t="shared" si="2537"/>
        <v/>
      </c>
      <c r="HR171" s="361"/>
      <c r="HS171" s="361" t="str">
        <f t="shared" si="2251"/>
        <v/>
      </c>
      <c r="HT171" s="361">
        <f t="shared" si="2252"/>
        <v>0</v>
      </c>
      <c r="HU171" s="369"/>
      <c r="HV171" s="361">
        <f t="shared" si="2253"/>
        <v>0</v>
      </c>
      <c r="HW171" s="410"/>
      <c r="HX171" s="96"/>
      <c r="HY171" s="96"/>
      <c r="HZ171" s="361">
        <f t="shared" si="2254"/>
        <v>0</v>
      </c>
      <c r="IA171" s="369">
        <f t="shared" si="2255"/>
        <v>0.4604471269</v>
      </c>
      <c r="IB171" s="370">
        <f t="shared" si="2256"/>
        <v>0</v>
      </c>
      <c r="IC171" s="371">
        <f t="shared" si="2257"/>
        <v>0</v>
      </c>
      <c r="ID171" s="364"/>
      <c r="IE171" s="366">
        <f t="shared" si="2318"/>
        <v>15</v>
      </c>
      <c r="IF171" s="367" t="str">
        <f t="shared" ref="IF171:IH171" si="2538">IFERROR(VLOOKUP($R171,$A$13:$D$30,-IF$12,FALSE),"")</f>
        <v>Lainnya 2.3 (7) …….</v>
      </c>
      <c r="IG171" s="368" t="str">
        <f t="shared" si="2538"/>
        <v/>
      </c>
      <c r="IH171" s="368" t="str">
        <f t="shared" si="2538"/>
        <v/>
      </c>
      <c r="II171" s="361"/>
      <c r="IJ171" s="361" t="str">
        <f t="shared" si="2259"/>
        <v/>
      </c>
      <c r="IK171" s="361">
        <f t="shared" si="2260"/>
        <v>0</v>
      </c>
      <c r="IL171" s="369"/>
      <c r="IM171" s="361">
        <f t="shared" si="2261"/>
        <v>0</v>
      </c>
      <c r="IN171" s="410"/>
      <c r="IO171" s="96"/>
      <c r="IP171" s="96"/>
      <c r="IQ171" s="361">
        <f t="shared" si="2262"/>
        <v>0</v>
      </c>
      <c r="IR171" s="369">
        <f t="shared" si="2263"/>
        <v>0.4604471269</v>
      </c>
      <c r="IS171" s="370">
        <f t="shared" si="2264"/>
        <v>0</v>
      </c>
      <c r="IT171" s="371">
        <f t="shared" si="2265"/>
        <v>0</v>
      </c>
      <c r="IU171" s="364"/>
      <c r="IV171" s="366">
        <f t="shared" si="2320"/>
        <v>15</v>
      </c>
      <c r="IW171" s="367" t="str">
        <f t="shared" ref="IW171:IY171" si="2539">IFERROR(VLOOKUP($R171,$A$13:$D$30,-IW$12,FALSE),"")</f>
        <v>Lainnya 2.3 (7) …….</v>
      </c>
      <c r="IX171" s="368" t="str">
        <f t="shared" si="2539"/>
        <v/>
      </c>
      <c r="IY171" s="368" t="str">
        <f t="shared" si="2539"/>
        <v/>
      </c>
      <c r="IZ171" s="361"/>
      <c r="JA171" s="361" t="str">
        <f t="shared" si="2267"/>
        <v/>
      </c>
      <c r="JB171" s="361">
        <f t="shared" si="2268"/>
        <v>0</v>
      </c>
      <c r="JC171" s="369"/>
      <c r="JD171" s="361">
        <f t="shared" si="2269"/>
        <v>0</v>
      </c>
      <c r="JE171" s="410"/>
      <c r="JF171" s="96"/>
      <c r="JG171" s="96"/>
      <c r="JH171" s="361">
        <f t="shared" si="2270"/>
        <v>0</v>
      </c>
      <c r="JI171" s="369">
        <f t="shared" si="2271"/>
        <v>0.4604471269</v>
      </c>
      <c r="JJ171" s="370">
        <f t="shared" si="2272"/>
        <v>0</v>
      </c>
      <c r="JK171" s="371">
        <f t="shared" si="2273"/>
        <v>0</v>
      </c>
      <c r="JL171" s="364"/>
      <c r="JM171" s="366">
        <f t="shared" si="2322"/>
        <v>15</v>
      </c>
      <c r="JN171" s="367" t="str">
        <f t="shared" ref="JN171:JP171" si="2540">IFERROR(VLOOKUP($R171,$A$13:$D$30,-JN$12,FALSE),"")</f>
        <v>Lainnya 2.3 (7) …….</v>
      </c>
      <c r="JO171" s="368" t="str">
        <f t="shared" si="2540"/>
        <v/>
      </c>
      <c r="JP171" s="368" t="str">
        <f t="shared" si="2540"/>
        <v/>
      </c>
      <c r="JQ171" s="361"/>
      <c r="JR171" s="361" t="str">
        <f t="shared" si="2275"/>
        <v/>
      </c>
      <c r="JS171" s="361">
        <f t="shared" si="2276"/>
        <v>0</v>
      </c>
      <c r="JT171" s="369"/>
      <c r="JU171" s="361">
        <f t="shared" si="2277"/>
        <v>0</v>
      </c>
      <c r="JV171" s="410"/>
      <c r="JW171" s="96"/>
      <c r="JX171" s="96"/>
      <c r="JY171" s="361">
        <f t="shared" si="2278"/>
        <v>0</v>
      </c>
      <c r="JZ171" s="369">
        <f t="shared" si="2279"/>
        <v>0.4604471269</v>
      </c>
      <c r="KA171" s="370">
        <f t="shared" si="2280"/>
        <v>0</v>
      </c>
      <c r="KB171" s="371">
        <f t="shared" si="2281"/>
        <v>0</v>
      </c>
      <c r="KC171" s="364"/>
      <c r="KD171" s="366">
        <f t="shared" si="2324"/>
        <v>15</v>
      </c>
      <c r="KE171" s="367" t="str">
        <f t="shared" ref="KE171:KG171" si="2541">IFERROR(VLOOKUP($R171,$A$13:$D$30,-KE$12,FALSE),"")</f>
        <v>Lainnya 2.3 (7) …….</v>
      </c>
      <c r="KF171" s="368" t="str">
        <f t="shared" si="2541"/>
        <v/>
      </c>
      <c r="KG171" s="368" t="str">
        <f t="shared" si="2541"/>
        <v/>
      </c>
      <c r="KH171" s="361"/>
      <c r="KI171" s="361" t="str">
        <f t="shared" si="2283"/>
        <v/>
      </c>
      <c r="KJ171" s="361">
        <f t="shared" si="2284"/>
        <v>0</v>
      </c>
      <c r="KK171" s="369"/>
      <c r="KL171" s="361">
        <f t="shared" si="2285"/>
        <v>0</v>
      </c>
      <c r="KM171" s="410"/>
      <c r="KN171" s="96"/>
      <c r="KO171" s="96"/>
      <c r="KP171" s="361">
        <f t="shared" si="2286"/>
        <v>0</v>
      </c>
      <c r="KQ171" s="369">
        <f t="shared" si="2287"/>
        <v>0.4604471269</v>
      </c>
      <c r="KR171" s="370">
        <f t="shared" si="2288"/>
        <v>0</v>
      </c>
      <c r="KS171" s="371">
        <f t="shared" si="2289"/>
        <v>0</v>
      </c>
      <c r="KT171" s="364"/>
      <c r="KU171" s="365"/>
    </row>
    <row r="172" ht="15.75" customHeight="1">
      <c r="A172" s="366">
        <f t="shared" si="2290"/>
        <v>16</v>
      </c>
      <c r="B172" s="367" t="str">
        <f t="shared" ref="B172:D172" si="2542">IFERROR(VLOOKUP($A172,$A$13:$D$30,-B$12,FALSE),"")</f>
        <v>Lainnya 2.3 (8) …….</v>
      </c>
      <c r="C172" s="368" t="str">
        <f t="shared" si="2542"/>
        <v/>
      </c>
      <c r="D172" s="368" t="str">
        <f t="shared" si="2542"/>
        <v/>
      </c>
      <c r="E172" s="361"/>
      <c r="F172" s="361" t="str">
        <f t="shared" si="2147"/>
        <v/>
      </c>
      <c r="G172" s="361">
        <f t="shared" si="2148"/>
        <v>0</v>
      </c>
      <c r="H172" s="369"/>
      <c r="I172" s="361">
        <f t="shared" si="2149"/>
        <v>0</v>
      </c>
      <c r="J172" s="410"/>
      <c r="K172" s="96"/>
      <c r="L172" s="96"/>
      <c r="M172" s="361">
        <f t="shared" si="2150"/>
        <v>0</v>
      </c>
      <c r="N172" s="369"/>
      <c r="O172" s="370">
        <f t="shared" si="2152"/>
        <v>0</v>
      </c>
      <c r="P172" s="371">
        <f t="shared" si="2153"/>
        <v>0</v>
      </c>
      <c r="Q172" s="364"/>
      <c r="R172" s="366">
        <f t="shared" si="2292"/>
        <v>16</v>
      </c>
      <c r="S172" s="367" t="str">
        <f t="shared" ref="S172:U172" si="2543">IFERROR(VLOOKUP($R172,$A$13:$D$30,-S$12,FALSE),"")</f>
        <v>Lainnya 2.3 (8) …….</v>
      </c>
      <c r="T172" s="368" t="str">
        <f t="shared" si="2543"/>
        <v/>
      </c>
      <c r="U172" s="368" t="str">
        <f t="shared" si="2543"/>
        <v/>
      </c>
      <c r="V172" s="361"/>
      <c r="W172" s="361" t="str">
        <f t="shared" si="2155"/>
        <v/>
      </c>
      <c r="X172" s="361">
        <f t="shared" si="2156"/>
        <v>0</v>
      </c>
      <c r="Y172" s="369"/>
      <c r="Z172" s="361">
        <f t="shared" si="2157"/>
        <v>0</v>
      </c>
      <c r="AA172" s="410"/>
      <c r="AB172" s="96"/>
      <c r="AC172" s="96"/>
      <c r="AD172" s="361">
        <f t="shared" si="2158"/>
        <v>0</v>
      </c>
      <c r="AE172" s="369"/>
      <c r="AF172" s="370">
        <f t="shared" si="2160"/>
        <v>0</v>
      </c>
      <c r="AG172" s="371">
        <f t="shared" si="2161"/>
        <v>0</v>
      </c>
      <c r="AH172" s="364"/>
      <c r="AI172" s="366">
        <f t="shared" si="2294"/>
        <v>16</v>
      </c>
      <c r="AJ172" s="367" t="str">
        <f t="shared" ref="AJ172:AL172" si="2544">IFERROR(VLOOKUP($R172,$A$13:$D$30,-AJ$12,FALSE),"")</f>
        <v>Lainnya 2.3 (8) …….</v>
      </c>
      <c r="AK172" s="368" t="str">
        <f t="shared" si="2544"/>
        <v/>
      </c>
      <c r="AL172" s="368" t="str">
        <f t="shared" si="2544"/>
        <v/>
      </c>
      <c r="AM172" s="361"/>
      <c r="AN172" s="361" t="str">
        <f t="shared" si="2163"/>
        <v/>
      </c>
      <c r="AO172" s="361">
        <f t="shared" si="2164"/>
        <v>0</v>
      </c>
      <c r="AP172" s="369"/>
      <c r="AQ172" s="361">
        <f t="shared" si="2165"/>
        <v>0</v>
      </c>
      <c r="AR172" s="410"/>
      <c r="AS172" s="96"/>
      <c r="AT172" s="96"/>
      <c r="AU172" s="361">
        <f t="shared" si="2166"/>
        <v>0</v>
      </c>
      <c r="AV172" s="369"/>
      <c r="AW172" s="370">
        <f t="shared" si="2168"/>
        <v>0</v>
      </c>
      <c r="AX172" s="371">
        <f t="shared" si="2169"/>
        <v>0</v>
      </c>
      <c r="AY172" s="364"/>
      <c r="AZ172" s="366">
        <f t="shared" si="2296"/>
        <v>16</v>
      </c>
      <c r="BA172" s="367" t="str">
        <f t="shared" ref="BA172:BC172" si="2545">IFERROR(VLOOKUP($R172,$A$13:$D$30,-BA$12,FALSE),"")</f>
        <v>Lainnya 2.3 (8) …….</v>
      </c>
      <c r="BB172" s="368" t="str">
        <f t="shared" si="2545"/>
        <v/>
      </c>
      <c r="BC172" s="368" t="str">
        <f t="shared" si="2545"/>
        <v/>
      </c>
      <c r="BD172" s="361"/>
      <c r="BE172" s="361" t="str">
        <f t="shared" si="2171"/>
        <v/>
      </c>
      <c r="BF172" s="361">
        <f t="shared" si="2172"/>
        <v>0</v>
      </c>
      <c r="BG172" s="369"/>
      <c r="BH172" s="361">
        <f t="shared" si="2173"/>
        <v>0</v>
      </c>
      <c r="BI172" s="410"/>
      <c r="BJ172" s="96"/>
      <c r="BK172" s="96"/>
      <c r="BL172" s="361">
        <f t="shared" si="2174"/>
        <v>0</v>
      </c>
      <c r="BM172" s="369"/>
      <c r="BN172" s="370">
        <f t="shared" si="2176"/>
        <v>0</v>
      </c>
      <c r="BO172" s="371">
        <f t="shared" si="2177"/>
        <v>0</v>
      </c>
      <c r="BP172" s="364"/>
      <c r="BQ172" s="366">
        <f t="shared" si="2298"/>
        <v>16</v>
      </c>
      <c r="BR172" s="367" t="str">
        <f t="shared" ref="BR172:BT172" si="2546">IFERROR(VLOOKUP($R172,$A$13:$D$30,-BR$12,FALSE),"")</f>
        <v>Lainnya 2.3 (8) …….</v>
      </c>
      <c r="BS172" s="368" t="str">
        <f t="shared" si="2546"/>
        <v/>
      </c>
      <c r="BT172" s="368" t="str">
        <f t="shared" si="2546"/>
        <v/>
      </c>
      <c r="BU172" s="361"/>
      <c r="BV172" s="361" t="str">
        <f t="shared" si="2179"/>
        <v/>
      </c>
      <c r="BW172" s="361">
        <f t="shared" si="2180"/>
        <v>0</v>
      </c>
      <c r="BX172" s="369"/>
      <c r="BY172" s="361">
        <f t="shared" si="2181"/>
        <v>0</v>
      </c>
      <c r="BZ172" s="410"/>
      <c r="CA172" s="96"/>
      <c r="CB172" s="96"/>
      <c r="CC172" s="361">
        <f t="shared" si="2182"/>
        <v>0</v>
      </c>
      <c r="CD172" s="369"/>
      <c r="CE172" s="370">
        <f t="shared" si="2184"/>
        <v>0</v>
      </c>
      <c r="CF172" s="371">
        <f t="shared" si="2185"/>
        <v>0</v>
      </c>
      <c r="CG172" s="364"/>
      <c r="CH172" s="366">
        <f t="shared" si="2300"/>
        <v>16</v>
      </c>
      <c r="CI172" s="367" t="str">
        <f t="shared" ref="CI172:CK172" si="2547">IFERROR(VLOOKUP($R172,$A$13:$D$30,-CI$12,FALSE),"")</f>
        <v>Lainnya 2.3 (8) …….</v>
      </c>
      <c r="CJ172" s="368" t="str">
        <f t="shared" si="2547"/>
        <v/>
      </c>
      <c r="CK172" s="368" t="str">
        <f t="shared" si="2547"/>
        <v/>
      </c>
      <c r="CL172" s="361"/>
      <c r="CM172" s="361" t="str">
        <f t="shared" si="2187"/>
        <v/>
      </c>
      <c r="CN172" s="361">
        <f t="shared" si="2188"/>
        <v>0</v>
      </c>
      <c r="CO172" s="369"/>
      <c r="CP172" s="361">
        <f t="shared" si="2189"/>
        <v>0</v>
      </c>
      <c r="CQ172" s="410"/>
      <c r="CR172" s="96"/>
      <c r="CS172" s="96"/>
      <c r="CT172" s="361">
        <f t="shared" si="2190"/>
        <v>0</v>
      </c>
      <c r="CU172" s="369"/>
      <c r="CV172" s="370">
        <f t="shared" si="2192"/>
        <v>0</v>
      </c>
      <c r="CW172" s="371">
        <f t="shared" si="2193"/>
        <v>0</v>
      </c>
      <c r="CX172" s="364"/>
      <c r="CY172" s="366">
        <f t="shared" si="2302"/>
        <v>16</v>
      </c>
      <c r="CZ172" s="367" t="str">
        <f t="shared" ref="CZ172:DB172" si="2548">IFERROR(VLOOKUP($R172,$A$13:$D$30,-CZ$12,FALSE),"")</f>
        <v>Lainnya 2.3 (8) …….</v>
      </c>
      <c r="DA172" s="368" t="str">
        <f t="shared" si="2548"/>
        <v/>
      </c>
      <c r="DB172" s="368" t="str">
        <f t="shared" si="2548"/>
        <v/>
      </c>
      <c r="DC172" s="361"/>
      <c r="DD172" s="361" t="str">
        <f t="shared" si="2195"/>
        <v/>
      </c>
      <c r="DE172" s="361">
        <f t="shared" si="2196"/>
        <v>0</v>
      </c>
      <c r="DF172" s="369"/>
      <c r="DG172" s="361">
        <f t="shared" si="2197"/>
        <v>0</v>
      </c>
      <c r="DH172" s="410"/>
      <c r="DI172" s="96"/>
      <c r="DJ172" s="96"/>
      <c r="DK172" s="361">
        <f t="shared" si="2198"/>
        <v>0</v>
      </c>
      <c r="DL172" s="369"/>
      <c r="DM172" s="370">
        <f t="shared" si="2200"/>
        <v>0</v>
      </c>
      <c r="DN172" s="371">
        <f t="shared" si="2201"/>
        <v>0</v>
      </c>
      <c r="DO172" s="364"/>
      <c r="DP172" s="366">
        <f t="shared" si="2304"/>
        <v>16</v>
      </c>
      <c r="DQ172" s="367" t="str">
        <f t="shared" ref="DQ172:DS172" si="2549">IFERROR(VLOOKUP($R172,$A$13:$D$30,-DQ$12,FALSE),"")</f>
        <v>Lainnya 2.3 (8) …….</v>
      </c>
      <c r="DR172" s="368" t="str">
        <f t="shared" si="2549"/>
        <v/>
      </c>
      <c r="DS172" s="368" t="str">
        <f t="shared" si="2549"/>
        <v/>
      </c>
      <c r="DT172" s="361"/>
      <c r="DU172" s="361" t="str">
        <f t="shared" si="2203"/>
        <v/>
      </c>
      <c r="DV172" s="361">
        <f t="shared" si="2204"/>
        <v>0</v>
      </c>
      <c r="DW172" s="369"/>
      <c r="DX172" s="361">
        <f t="shared" si="2205"/>
        <v>0</v>
      </c>
      <c r="DY172" s="410"/>
      <c r="DZ172" s="96"/>
      <c r="EA172" s="96"/>
      <c r="EB172" s="361">
        <f t="shared" si="2206"/>
        <v>0</v>
      </c>
      <c r="EC172" s="369"/>
      <c r="ED172" s="370">
        <f t="shared" si="2208"/>
        <v>0</v>
      </c>
      <c r="EE172" s="371">
        <f t="shared" si="2209"/>
        <v>0</v>
      </c>
      <c r="EF172" s="364"/>
      <c r="EG172" s="366">
        <f t="shared" si="2306"/>
        <v>16</v>
      </c>
      <c r="EH172" s="367" t="str">
        <f t="shared" ref="EH172:EJ172" si="2550">IFERROR(VLOOKUP($R172,$A$13:$D$30,-EH$12,FALSE),"")</f>
        <v>Lainnya 2.3 (8) …….</v>
      </c>
      <c r="EI172" s="368" t="str">
        <f t="shared" si="2550"/>
        <v/>
      </c>
      <c r="EJ172" s="368" t="str">
        <f t="shared" si="2550"/>
        <v/>
      </c>
      <c r="EK172" s="361"/>
      <c r="EL172" s="361" t="str">
        <f t="shared" si="2211"/>
        <v/>
      </c>
      <c r="EM172" s="361">
        <f t="shared" si="2212"/>
        <v>0</v>
      </c>
      <c r="EN172" s="369"/>
      <c r="EO172" s="361">
        <f t="shared" si="2213"/>
        <v>0</v>
      </c>
      <c r="EP172" s="410"/>
      <c r="EQ172" s="96"/>
      <c r="ER172" s="96"/>
      <c r="ES172" s="361">
        <f t="shared" si="2214"/>
        <v>0</v>
      </c>
      <c r="ET172" s="369"/>
      <c r="EU172" s="370">
        <f t="shared" si="2216"/>
        <v>0</v>
      </c>
      <c r="EV172" s="371">
        <f t="shared" si="2217"/>
        <v>0</v>
      </c>
      <c r="EW172" s="364"/>
      <c r="EX172" s="366">
        <f t="shared" si="2308"/>
        <v>16</v>
      </c>
      <c r="EY172" s="367" t="str">
        <f t="shared" ref="EY172:FA172" si="2551">IFERROR(VLOOKUP($R172,$A$13:$D$30,-EY$12,FALSE),"")</f>
        <v>Lainnya 2.3 (8) …….</v>
      </c>
      <c r="EZ172" s="368" t="str">
        <f t="shared" si="2551"/>
        <v/>
      </c>
      <c r="FA172" s="368" t="str">
        <f t="shared" si="2551"/>
        <v/>
      </c>
      <c r="FB172" s="361"/>
      <c r="FC172" s="361" t="str">
        <f t="shared" si="2219"/>
        <v/>
      </c>
      <c r="FD172" s="361">
        <f t="shared" si="2220"/>
        <v>0</v>
      </c>
      <c r="FE172" s="369"/>
      <c r="FF172" s="361">
        <f t="shared" si="2221"/>
        <v>0</v>
      </c>
      <c r="FG172" s="410"/>
      <c r="FH172" s="96"/>
      <c r="FI172" s="96"/>
      <c r="FJ172" s="361">
        <f t="shared" si="2222"/>
        <v>0</v>
      </c>
      <c r="FK172" s="369"/>
      <c r="FL172" s="370">
        <f t="shared" si="2224"/>
        <v>0</v>
      </c>
      <c r="FM172" s="371">
        <f t="shared" si="2225"/>
        <v>0</v>
      </c>
      <c r="FN172" s="364"/>
      <c r="FO172" s="366">
        <f t="shared" si="2310"/>
        <v>16</v>
      </c>
      <c r="FP172" s="367" t="str">
        <f t="shared" ref="FP172:FR172" si="2552">IFERROR(VLOOKUP($R172,$A$13:$D$30,-FP$12,FALSE),"")</f>
        <v>Lainnya 2.3 (8) …….</v>
      </c>
      <c r="FQ172" s="368" t="str">
        <f t="shared" si="2552"/>
        <v/>
      </c>
      <c r="FR172" s="368" t="str">
        <f t="shared" si="2552"/>
        <v/>
      </c>
      <c r="FS172" s="361"/>
      <c r="FT172" s="361" t="str">
        <f t="shared" si="2227"/>
        <v/>
      </c>
      <c r="FU172" s="361">
        <f t="shared" si="2228"/>
        <v>0</v>
      </c>
      <c r="FV172" s="369"/>
      <c r="FW172" s="361">
        <f t="shared" si="2229"/>
        <v>0</v>
      </c>
      <c r="FX172" s="410"/>
      <c r="FY172" s="96"/>
      <c r="FZ172" s="96"/>
      <c r="GA172" s="361">
        <f t="shared" si="2230"/>
        <v>0</v>
      </c>
      <c r="GB172" s="369"/>
      <c r="GC172" s="370">
        <f t="shared" si="2232"/>
        <v>0</v>
      </c>
      <c r="GD172" s="371">
        <f t="shared" si="2233"/>
        <v>0</v>
      </c>
      <c r="GE172" s="364"/>
      <c r="GF172" s="366">
        <f t="shared" si="2312"/>
        <v>16</v>
      </c>
      <c r="GG172" s="367" t="str">
        <f t="shared" ref="GG172:GI172" si="2553">IFERROR(VLOOKUP($R172,$A$13:$D$30,-GG$12,FALSE),"")</f>
        <v>Lainnya 2.3 (8) …….</v>
      </c>
      <c r="GH172" s="368" t="str">
        <f t="shared" si="2553"/>
        <v/>
      </c>
      <c r="GI172" s="368" t="str">
        <f t="shared" si="2553"/>
        <v/>
      </c>
      <c r="GJ172" s="361"/>
      <c r="GK172" s="361" t="str">
        <f t="shared" si="2235"/>
        <v/>
      </c>
      <c r="GL172" s="361">
        <f t="shared" si="2236"/>
        <v>0</v>
      </c>
      <c r="GM172" s="369"/>
      <c r="GN172" s="361">
        <f t="shared" si="2237"/>
        <v>0</v>
      </c>
      <c r="GO172" s="410"/>
      <c r="GP172" s="96"/>
      <c r="GQ172" s="96"/>
      <c r="GR172" s="361">
        <f t="shared" si="2238"/>
        <v>0</v>
      </c>
      <c r="GS172" s="369"/>
      <c r="GT172" s="370">
        <f t="shared" si="2240"/>
        <v>0</v>
      </c>
      <c r="GU172" s="371">
        <f t="shared" si="2241"/>
        <v>0</v>
      </c>
      <c r="GV172" s="364"/>
      <c r="GW172" s="366">
        <f t="shared" si="2314"/>
        <v>16</v>
      </c>
      <c r="GX172" s="367" t="str">
        <f t="shared" ref="GX172:GZ172" si="2554">IFERROR(VLOOKUP($R172,$A$13:$D$30,-GX$12,FALSE),"")</f>
        <v>Lainnya 2.3 (8) …….</v>
      </c>
      <c r="GY172" s="368" t="str">
        <f t="shared" si="2554"/>
        <v/>
      </c>
      <c r="GZ172" s="368" t="str">
        <f t="shared" si="2554"/>
        <v/>
      </c>
      <c r="HA172" s="361"/>
      <c r="HB172" s="361" t="str">
        <f t="shared" si="2243"/>
        <v/>
      </c>
      <c r="HC172" s="361">
        <f t="shared" si="2244"/>
        <v>0</v>
      </c>
      <c r="HD172" s="369"/>
      <c r="HE172" s="361">
        <f t="shared" si="2245"/>
        <v>0</v>
      </c>
      <c r="HF172" s="410"/>
      <c r="HG172" s="96"/>
      <c r="HH172" s="96"/>
      <c r="HI172" s="361">
        <f t="shared" si="2246"/>
        <v>0</v>
      </c>
      <c r="HJ172" s="369"/>
      <c r="HK172" s="370">
        <f t="shared" si="2248"/>
        <v>0</v>
      </c>
      <c r="HL172" s="371">
        <f t="shared" si="2249"/>
        <v>0</v>
      </c>
      <c r="HM172" s="364"/>
      <c r="HN172" s="366">
        <f t="shared" si="2316"/>
        <v>16</v>
      </c>
      <c r="HO172" s="367" t="str">
        <f t="shared" ref="HO172:HQ172" si="2555">IFERROR(VLOOKUP($R172,$A$13:$D$30,-HO$12,FALSE),"")</f>
        <v>Lainnya 2.3 (8) …….</v>
      </c>
      <c r="HP172" s="368" t="str">
        <f t="shared" si="2555"/>
        <v/>
      </c>
      <c r="HQ172" s="368" t="str">
        <f t="shared" si="2555"/>
        <v/>
      </c>
      <c r="HR172" s="361"/>
      <c r="HS172" s="361" t="str">
        <f t="shared" si="2251"/>
        <v/>
      </c>
      <c r="HT172" s="361">
        <f t="shared" si="2252"/>
        <v>0</v>
      </c>
      <c r="HU172" s="369"/>
      <c r="HV172" s="361">
        <f t="shared" si="2253"/>
        <v>0</v>
      </c>
      <c r="HW172" s="410"/>
      <c r="HX172" s="96"/>
      <c r="HY172" s="96"/>
      <c r="HZ172" s="361">
        <f t="shared" si="2254"/>
        <v>0</v>
      </c>
      <c r="IA172" s="369"/>
      <c r="IB172" s="370">
        <f t="shared" si="2256"/>
        <v>0</v>
      </c>
      <c r="IC172" s="371">
        <f t="shared" si="2257"/>
        <v>0</v>
      </c>
      <c r="ID172" s="364"/>
      <c r="IE172" s="366">
        <f t="shared" si="2318"/>
        <v>16</v>
      </c>
      <c r="IF172" s="367" t="str">
        <f t="shared" ref="IF172:IH172" si="2556">IFERROR(VLOOKUP($R172,$A$13:$D$30,-IF$12,FALSE),"")</f>
        <v>Lainnya 2.3 (8) …….</v>
      </c>
      <c r="IG172" s="368" t="str">
        <f t="shared" si="2556"/>
        <v/>
      </c>
      <c r="IH172" s="368" t="str">
        <f t="shared" si="2556"/>
        <v/>
      </c>
      <c r="II172" s="361"/>
      <c r="IJ172" s="361" t="str">
        <f t="shared" si="2259"/>
        <v/>
      </c>
      <c r="IK172" s="361">
        <f t="shared" si="2260"/>
        <v>0</v>
      </c>
      <c r="IL172" s="369"/>
      <c r="IM172" s="361">
        <f t="shared" si="2261"/>
        <v>0</v>
      </c>
      <c r="IN172" s="410"/>
      <c r="IO172" s="96"/>
      <c r="IP172" s="96"/>
      <c r="IQ172" s="361">
        <f t="shared" si="2262"/>
        <v>0</v>
      </c>
      <c r="IR172" s="369"/>
      <c r="IS172" s="370">
        <f t="shared" si="2264"/>
        <v>0</v>
      </c>
      <c r="IT172" s="371">
        <f t="shared" si="2265"/>
        <v>0</v>
      </c>
      <c r="IU172" s="364"/>
      <c r="IV172" s="366">
        <f t="shared" si="2320"/>
        <v>16</v>
      </c>
      <c r="IW172" s="367" t="str">
        <f t="shared" ref="IW172:IY172" si="2557">IFERROR(VLOOKUP($R172,$A$13:$D$30,-IW$12,FALSE),"")</f>
        <v>Lainnya 2.3 (8) …….</v>
      </c>
      <c r="IX172" s="368" t="str">
        <f t="shared" si="2557"/>
        <v/>
      </c>
      <c r="IY172" s="368" t="str">
        <f t="shared" si="2557"/>
        <v/>
      </c>
      <c r="IZ172" s="361"/>
      <c r="JA172" s="361" t="str">
        <f t="shared" si="2267"/>
        <v/>
      </c>
      <c r="JB172" s="361">
        <f t="shared" si="2268"/>
        <v>0</v>
      </c>
      <c r="JC172" s="369"/>
      <c r="JD172" s="361">
        <f t="shared" si="2269"/>
        <v>0</v>
      </c>
      <c r="JE172" s="410"/>
      <c r="JF172" s="96"/>
      <c r="JG172" s="96"/>
      <c r="JH172" s="361">
        <f t="shared" si="2270"/>
        <v>0</v>
      </c>
      <c r="JI172" s="369"/>
      <c r="JJ172" s="370">
        <f t="shared" si="2272"/>
        <v>0</v>
      </c>
      <c r="JK172" s="371">
        <f t="shared" si="2273"/>
        <v>0</v>
      </c>
      <c r="JL172" s="364"/>
      <c r="JM172" s="366">
        <f t="shared" si="2322"/>
        <v>16</v>
      </c>
      <c r="JN172" s="367" t="str">
        <f t="shared" ref="JN172:JP172" si="2558">IFERROR(VLOOKUP($R172,$A$13:$D$30,-JN$12,FALSE),"")</f>
        <v>Lainnya 2.3 (8) …….</v>
      </c>
      <c r="JO172" s="368" t="str">
        <f t="shared" si="2558"/>
        <v/>
      </c>
      <c r="JP172" s="368" t="str">
        <f t="shared" si="2558"/>
        <v/>
      </c>
      <c r="JQ172" s="361"/>
      <c r="JR172" s="361" t="str">
        <f t="shared" si="2275"/>
        <v/>
      </c>
      <c r="JS172" s="361">
        <f t="shared" si="2276"/>
        <v>0</v>
      </c>
      <c r="JT172" s="369"/>
      <c r="JU172" s="361">
        <f t="shared" si="2277"/>
        <v>0</v>
      </c>
      <c r="JV172" s="410"/>
      <c r="JW172" s="96"/>
      <c r="JX172" s="96"/>
      <c r="JY172" s="361">
        <f t="shared" si="2278"/>
        <v>0</v>
      </c>
      <c r="JZ172" s="369"/>
      <c r="KA172" s="370">
        <f t="shared" si="2280"/>
        <v>0</v>
      </c>
      <c r="KB172" s="371">
        <f t="shared" si="2281"/>
        <v>0</v>
      </c>
      <c r="KC172" s="364"/>
      <c r="KD172" s="366">
        <f t="shared" si="2324"/>
        <v>16</v>
      </c>
      <c r="KE172" s="367" t="str">
        <f t="shared" ref="KE172:KG172" si="2559">IFERROR(VLOOKUP($R172,$A$13:$D$30,-KE$12,FALSE),"")</f>
        <v>Lainnya 2.3 (8) …….</v>
      </c>
      <c r="KF172" s="368" t="str">
        <f t="shared" si="2559"/>
        <v/>
      </c>
      <c r="KG172" s="368" t="str">
        <f t="shared" si="2559"/>
        <v/>
      </c>
      <c r="KH172" s="361"/>
      <c r="KI172" s="361" t="str">
        <f t="shared" si="2283"/>
        <v/>
      </c>
      <c r="KJ172" s="361">
        <f t="shared" si="2284"/>
        <v>0</v>
      </c>
      <c r="KK172" s="369"/>
      <c r="KL172" s="361">
        <f t="shared" si="2285"/>
        <v>0</v>
      </c>
      <c r="KM172" s="410"/>
      <c r="KN172" s="96"/>
      <c r="KO172" s="96"/>
      <c r="KP172" s="361">
        <f t="shared" si="2286"/>
        <v>0</v>
      </c>
      <c r="KQ172" s="369"/>
      <c r="KR172" s="370">
        <f t="shared" si="2288"/>
        <v>0</v>
      </c>
      <c r="KS172" s="371">
        <f t="shared" si="2289"/>
        <v>0</v>
      </c>
      <c r="KT172" s="364"/>
      <c r="KU172" s="365"/>
    </row>
    <row r="173" ht="15.75" customHeight="1">
      <c r="A173" s="366">
        <f t="shared" si="2290"/>
        <v>17</v>
      </c>
      <c r="B173" s="367" t="str">
        <f t="shared" ref="B173:D173" si="2560">IFERROR(VLOOKUP($A173,$A$13:$D$30,-B$12,FALSE),"")</f>
        <v>Lainnya 2.3 (9) …….</v>
      </c>
      <c r="C173" s="368" t="str">
        <f t="shared" si="2560"/>
        <v/>
      </c>
      <c r="D173" s="368" t="str">
        <f t="shared" si="2560"/>
        <v/>
      </c>
      <c r="E173" s="361"/>
      <c r="F173" s="361" t="str">
        <f t="shared" si="2147"/>
        <v/>
      </c>
      <c r="G173" s="361">
        <f t="shared" si="2148"/>
        <v>0</v>
      </c>
      <c r="H173" s="369"/>
      <c r="I173" s="361">
        <f t="shared" si="2149"/>
        <v>0</v>
      </c>
      <c r="J173" s="410"/>
      <c r="K173" s="96"/>
      <c r="L173" s="96"/>
      <c r="M173" s="361">
        <f t="shared" si="2150"/>
        <v>0</v>
      </c>
      <c r="N173" s="369"/>
      <c r="O173" s="370">
        <f t="shared" si="2152"/>
        <v>0</v>
      </c>
      <c r="P173" s="371">
        <f t="shared" si="2153"/>
        <v>0</v>
      </c>
      <c r="Q173" s="364"/>
      <c r="R173" s="366">
        <f t="shared" si="2292"/>
        <v>17</v>
      </c>
      <c r="S173" s="367" t="str">
        <f t="shared" ref="S173:U173" si="2561">IFERROR(VLOOKUP($R173,$A$13:$D$30,-S$12,FALSE),"")</f>
        <v>Lainnya 2.3 (9) …….</v>
      </c>
      <c r="T173" s="368" t="str">
        <f t="shared" si="2561"/>
        <v/>
      </c>
      <c r="U173" s="368" t="str">
        <f t="shared" si="2561"/>
        <v/>
      </c>
      <c r="V173" s="361"/>
      <c r="W173" s="361" t="str">
        <f t="shared" si="2155"/>
        <v/>
      </c>
      <c r="X173" s="361">
        <f t="shared" si="2156"/>
        <v>0</v>
      </c>
      <c r="Y173" s="369"/>
      <c r="Z173" s="361">
        <f t="shared" si="2157"/>
        <v>0</v>
      </c>
      <c r="AA173" s="410"/>
      <c r="AB173" s="96"/>
      <c r="AC173" s="96"/>
      <c r="AD173" s="361">
        <f t="shared" si="2158"/>
        <v>0</v>
      </c>
      <c r="AE173" s="369"/>
      <c r="AF173" s="370">
        <f t="shared" si="2160"/>
        <v>0</v>
      </c>
      <c r="AG173" s="371">
        <f t="shared" si="2161"/>
        <v>0</v>
      </c>
      <c r="AH173" s="364"/>
      <c r="AI173" s="366">
        <f t="shared" si="2294"/>
        <v>17</v>
      </c>
      <c r="AJ173" s="367" t="str">
        <f t="shared" ref="AJ173:AL173" si="2562">IFERROR(VLOOKUP($R173,$A$13:$D$30,-AJ$12,FALSE),"")</f>
        <v>Lainnya 2.3 (9) …….</v>
      </c>
      <c r="AK173" s="368" t="str">
        <f t="shared" si="2562"/>
        <v/>
      </c>
      <c r="AL173" s="368" t="str">
        <f t="shared" si="2562"/>
        <v/>
      </c>
      <c r="AM173" s="361"/>
      <c r="AN173" s="361" t="str">
        <f t="shared" si="2163"/>
        <v/>
      </c>
      <c r="AO173" s="361">
        <f t="shared" si="2164"/>
        <v>0</v>
      </c>
      <c r="AP173" s="369"/>
      <c r="AQ173" s="361">
        <f t="shared" si="2165"/>
        <v>0</v>
      </c>
      <c r="AR173" s="410"/>
      <c r="AS173" s="96"/>
      <c r="AT173" s="96"/>
      <c r="AU173" s="361">
        <f t="shared" si="2166"/>
        <v>0</v>
      </c>
      <c r="AV173" s="369"/>
      <c r="AW173" s="370">
        <f t="shared" si="2168"/>
        <v>0</v>
      </c>
      <c r="AX173" s="371">
        <f t="shared" si="2169"/>
        <v>0</v>
      </c>
      <c r="AY173" s="364"/>
      <c r="AZ173" s="366">
        <f t="shared" si="2296"/>
        <v>17</v>
      </c>
      <c r="BA173" s="367" t="str">
        <f t="shared" ref="BA173:BC173" si="2563">IFERROR(VLOOKUP($R173,$A$13:$D$30,-BA$12,FALSE),"")</f>
        <v>Lainnya 2.3 (9) …….</v>
      </c>
      <c r="BB173" s="368" t="str">
        <f t="shared" si="2563"/>
        <v/>
      </c>
      <c r="BC173" s="368" t="str">
        <f t="shared" si="2563"/>
        <v/>
      </c>
      <c r="BD173" s="361"/>
      <c r="BE173" s="361" t="str">
        <f t="shared" si="2171"/>
        <v/>
      </c>
      <c r="BF173" s="361">
        <f t="shared" si="2172"/>
        <v>0</v>
      </c>
      <c r="BG173" s="369"/>
      <c r="BH173" s="361">
        <f t="shared" si="2173"/>
        <v>0</v>
      </c>
      <c r="BI173" s="410"/>
      <c r="BJ173" s="96"/>
      <c r="BK173" s="96"/>
      <c r="BL173" s="361">
        <f t="shared" si="2174"/>
        <v>0</v>
      </c>
      <c r="BM173" s="369"/>
      <c r="BN173" s="370">
        <f t="shared" si="2176"/>
        <v>0</v>
      </c>
      <c r="BO173" s="371">
        <f t="shared" si="2177"/>
        <v>0</v>
      </c>
      <c r="BP173" s="364"/>
      <c r="BQ173" s="366">
        <f t="shared" si="2298"/>
        <v>17</v>
      </c>
      <c r="BR173" s="367" t="str">
        <f t="shared" ref="BR173:BT173" si="2564">IFERROR(VLOOKUP($R173,$A$13:$D$30,-BR$12,FALSE),"")</f>
        <v>Lainnya 2.3 (9) …….</v>
      </c>
      <c r="BS173" s="368" t="str">
        <f t="shared" si="2564"/>
        <v/>
      </c>
      <c r="BT173" s="368" t="str">
        <f t="shared" si="2564"/>
        <v/>
      </c>
      <c r="BU173" s="361"/>
      <c r="BV173" s="361" t="str">
        <f t="shared" si="2179"/>
        <v/>
      </c>
      <c r="BW173" s="361">
        <f t="shared" si="2180"/>
        <v>0</v>
      </c>
      <c r="BX173" s="369"/>
      <c r="BY173" s="361">
        <f t="shared" si="2181"/>
        <v>0</v>
      </c>
      <c r="BZ173" s="410"/>
      <c r="CA173" s="96"/>
      <c r="CB173" s="96"/>
      <c r="CC173" s="361">
        <f t="shared" si="2182"/>
        <v>0</v>
      </c>
      <c r="CD173" s="369"/>
      <c r="CE173" s="370">
        <f t="shared" si="2184"/>
        <v>0</v>
      </c>
      <c r="CF173" s="371">
        <f t="shared" si="2185"/>
        <v>0</v>
      </c>
      <c r="CG173" s="364"/>
      <c r="CH173" s="366">
        <f t="shared" si="2300"/>
        <v>17</v>
      </c>
      <c r="CI173" s="367" t="str">
        <f t="shared" ref="CI173:CK173" si="2565">IFERROR(VLOOKUP($R173,$A$13:$D$30,-CI$12,FALSE),"")</f>
        <v>Lainnya 2.3 (9) …….</v>
      </c>
      <c r="CJ173" s="368" t="str">
        <f t="shared" si="2565"/>
        <v/>
      </c>
      <c r="CK173" s="368" t="str">
        <f t="shared" si="2565"/>
        <v/>
      </c>
      <c r="CL173" s="361"/>
      <c r="CM173" s="361" t="str">
        <f t="shared" si="2187"/>
        <v/>
      </c>
      <c r="CN173" s="361">
        <f t="shared" si="2188"/>
        <v>0</v>
      </c>
      <c r="CO173" s="369"/>
      <c r="CP173" s="361">
        <f t="shared" si="2189"/>
        <v>0</v>
      </c>
      <c r="CQ173" s="410"/>
      <c r="CR173" s="96"/>
      <c r="CS173" s="96"/>
      <c r="CT173" s="361">
        <f t="shared" si="2190"/>
        <v>0</v>
      </c>
      <c r="CU173" s="369"/>
      <c r="CV173" s="370">
        <f t="shared" si="2192"/>
        <v>0</v>
      </c>
      <c r="CW173" s="371">
        <f t="shared" si="2193"/>
        <v>0</v>
      </c>
      <c r="CX173" s="364"/>
      <c r="CY173" s="366">
        <f t="shared" si="2302"/>
        <v>17</v>
      </c>
      <c r="CZ173" s="367" t="str">
        <f t="shared" ref="CZ173:DB173" si="2566">IFERROR(VLOOKUP($R173,$A$13:$D$30,-CZ$12,FALSE),"")</f>
        <v>Lainnya 2.3 (9) …….</v>
      </c>
      <c r="DA173" s="368" t="str">
        <f t="shared" si="2566"/>
        <v/>
      </c>
      <c r="DB173" s="368" t="str">
        <f t="shared" si="2566"/>
        <v/>
      </c>
      <c r="DC173" s="361"/>
      <c r="DD173" s="361" t="str">
        <f t="shared" si="2195"/>
        <v/>
      </c>
      <c r="DE173" s="361">
        <f t="shared" si="2196"/>
        <v>0</v>
      </c>
      <c r="DF173" s="369"/>
      <c r="DG173" s="361">
        <f t="shared" si="2197"/>
        <v>0</v>
      </c>
      <c r="DH173" s="410"/>
      <c r="DI173" s="96"/>
      <c r="DJ173" s="96"/>
      <c r="DK173" s="361">
        <f t="shared" si="2198"/>
        <v>0</v>
      </c>
      <c r="DL173" s="369"/>
      <c r="DM173" s="370">
        <f t="shared" si="2200"/>
        <v>0</v>
      </c>
      <c r="DN173" s="371">
        <f t="shared" si="2201"/>
        <v>0</v>
      </c>
      <c r="DO173" s="364"/>
      <c r="DP173" s="366">
        <f t="shared" si="2304"/>
        <v>17</v>
      </c>
      <c r="DQ173" s="367" t="str">
        <f t="shared" ref="DQ173:DS173" si="2567">IFERROR(VLOOKUP($R173,$A$13:$D$30,-DQ$12,FALSE),"")</f>
        <v>Lainnya 2.3 (9) …….</v>
      </c>
      <c r="DR173" s="368" t="str">
        <f t="shared" si="2567"/>
        <v/>
      </c>
      <c r="DS173" s="368" t="str">
        <f t="shared" si="2567"/>
        <v/>
      </c>
      <c r="DT173" s="361"/>
      <c r="DU173" s="361" t="str">
        <f t="shared" si="2203"/>
        <v/>
      </c>
      <c r="DV173" s="361">
        <f t="shared" si="2204"/>
        <v>0</v>
      </c>
      <c r="DW173" s="369"/>
      <c r="DX173" s="361">
        <f t="shared" si="2205"/>
        <v>0</v>
      </c>
      <c r="DY173" s="410"/>
      <c r="DZ173" s="96"/>
      <c r="EA173" s="96"/>
      <c r="EB173" s="361">
        <f t="shared" si="2206"/>
        <v>0</v>
      </c>
      <c r="EC173" s="369"/>
      <c r="ED173" s="370">
        <f t="shared" si="2208"/>
        <v>0</v>
      </c>
      <c r="EE173" s="371">
        <f t="shared" si="2209"/>
        <v>0</v>
      </c>
      <c r="EF173" s="364"/>
      <c r="EG173" s="366">
        <f t="shared" si="2306"/>
        <v>17</v>
      </c>
      <c r="EH173" s="367" t="str">
        <f t="shared" ref="EH173:EJ173" si="2568">IFERROR(VLOOKUP($R173,$A$13:$D$30,-EH$12,FALSE),"")</f>
        <v>Lainnya 2.3 (9) …….</v>
      </c>
      <c r="EI173" s="368" t="str">
        <f t="shared" si="2568"/>
        <v/>
      </c>
      <c r="EJ173" s="368" t="str">
        <f t="shared" si="2568"/>
        <v/>
      </c>
      <c r="EK173" s="361"/>
      <c r="EL173" s="361" t="str">
        <f t="shared" si="2211"/>
        <v/>
      </c>
      <c r="EM173" s="361">
        <f t="shared" si="2212"/>
        <v>0</v>
      </c>
      <c r="EN173" s="369"/>
      <c r="EO173" s="361">
        <f t="shared" si="2213"/>
        <v>0</v>
      </c>
      <c r="EP173" s="410"/>
      <c r="EQ173" s="96"/>
      <c r="ER173" s="96"/>
      <c r="ES173" s="361">
        <f t="shared" si="2214"/>
        <v>0</v>
      </c>
      <c r="ET173" s="369"/>
      <c r="EU173" s="370">
        <f t="shared" si="2216"/>
        <v>0</v>
      </c>
      <c r="EV173" s="371">
        <f t="shared" si="2217"/>
        <v>0</v>
      </c>
      <c r="EW173" s="364"/>
      <c r="EX173" s="366">
        <f t="shared" si="2308"/>
        <v>17</v>
      </c>
      <c r="EY173" s="367" t="str">
        <f t="shared" ref="EY173:FA173" si="2569">IFERROR(VLOOKUP($R173,$A$13:$D$30,-EY$12,FALSE),"")</f>
        <v>Lainnya 2.3 (9) …….</v>
      </c>
      <c r="EZ173" s="368" t="str">
        <f t="shared" si="2569"/>
        <v/>
      </c>
      <c r="FA173" s="368" t="str">
        <f t="shared" si="2569"/>
        <v/>
      </c>
      <c r="FB173" s="361"/>
      <c r="FC173" s="361" t="str">
        <f t="shared" si="2219"/>
        <v/>
      </c>
      <c r="FD173" s="361">
        <f t="shared" si="2220"/>
        <v>0</v>
      </c>
      <c r="FE173" s="369"/>
      <c r="FF173" s="361">
        <f t="shared" si="2221"/>
        <v>0</v>
      </c>
      <c r="FG173" s="410"/>
      <c r="FH173" s="96"/>
      <c r="FI173" s="96"/>
      <c r="FJ173" s="361">
        <f t="shared" si="2222"/>
        <v>0</v>
      </c>
      <c r="FK173" s="369"/>
      <c r="FL173" s="370">
        <f t="shared" si="2224"/>
        <v>0</v>
      </c>
      <c r="FM173" s="371">
        <f t="shared" si="2225"/>
        <v>0</v>
      </c>
      <c r="FN173" s="364"/>
      <c r="FO173" s="366">
        <f t="shared" si="2310"/>
        <v>17</v>
      </c>
      <c r="FP173" s="367" t="str">
        <f t="shared" ref="FP173:FR173" si="2570">IFERROR(VLOOKUP($R173,$A$13:$D$30,-FP$12,FALSE),"")</f>
        <v>Lainnya 2.3 (9) …….</v>
      </c>
      <c r="FQ173" s="368" t="str">
        <f t="shared" si="2570"/>
        <v/>
      </c>
      <c r="FR173" s="368" t="str">
        <f t="shared" si="2570"/>
        <v/>
      </c>
      <c r="FS173" s="361"/>
      <c r="FT173" s="361" t="str">
        <f t="shared" si="2227"/>
        <v/>
      </c>
      <c r="FU173" s="361">
        <f t="shared" si="2228"/>
        <v>0</v>
      </c>
      <c r="FV173" s="369"/>
      <c r="FW173" s="361">
        <f t="shared" si="2229"/>
        <v>0</v>
      </c>
      <c r="FX173" s="410"/>
      <c r="FY173" s="96"/>
      <c r="FZ173" s="96"/>
      <c r="GA173" s="361">
        <f t="shared" si="2230"/>
        <v>0</v>
      </c>
      <c r="GB173" s="369"/>
      <c r="GC173" s="370">
        <f t="shared" si="2232"/>
        <v>0</v>
      </c>
      <c r="GD173" s="371">
        <f t="shared" si="2233"/>
        <v>0</v>
      </c>
      <c r="GE173" s="364"/>
      <c r="GF173" s="366">
        <f t="shared" si="2312"/>
        <v>17</v>
      </c>
      <c r="GG173" s="367" t="str">
        <f t="shared" ref="GG173:GI173" si="2571">IFERROR(VLOOKUP($R173,$A$13:$D$30,-GG$12,FALSE),"")</f>
        <v>Lainnya 2.3 (9) …….</v>
      </c>
      <c r="GH173" s="368" t="str">
        <f t="shared" si="2571"/>
        <v/>
      </c>
      <c r="GI173" s="368" t="str">
        <f t="shared" si="2571"/>
        <v/>
      </c>
      <c r="GJ173" s="361"/>
      <c r="GK173" s="361" t="str">
        <f t="shared" si="2235"/>
        <v/>
      </c>
      <c r="GL173" s="361">
        <f t="shared" si="2236"/>
        <v>0</v>
      </c>
      <c r="GM173" s="369"/>
      <c r="GN173" s="361">
        <f t="shared" si="2237"/>
        <v>0</v>
      </c>
      <c r="GO173" s="410"/>
      <c r="GP173" s="96"/>
      <c r="GQ173" s="96"/>
      <c r="GR173" s="361">
        <f t="shared" si="2238"/>
        <v>0</v>
      </c>
      <c r="GS173" s="369"/>
      <c r="GT173" s="370">
        <f t="shared" si="2240"/>
        <v>0</v>
      </c>
      <c r="GU173" s="371">
        <f t="shared" si="2241"/>
        <v>0</v>
      </c>
      <c r="GV173" s="364"/>
      <c r="GW173" s="366">
        <f t="shared" si="2314"/>
        <v>17</v>
      </c>
      <c r="GX173" s="367" t="str">
        <f t="shared" ref="GX173:GZ173" si="2572">IFERROR(VLOOKUP($R173,$A$13:$D$30,-GX$12,FALSE),"")</f>
        <v>Lainnya 2.3 (9) …….</v>
      </c>
      <c r="GY173" s="368" t="str">
        <f t="shared" si="2572"/>
        <v/>
      </c>
      <c r="GZ173" s="368" t="str">
        <f t="shared" si="2572"/>
        <v/>
      </c>
      <c r="HA173" s="361"/>
      <c r="HB173" s="361" t="str">
        <f t="shared" si="2243"/>
        <v/>
      </c>
      <c r="HC173" s="361">
        <f t="shared" si="2244"/>
        <v>0</v>
      </c>
      <c r="HD173" s="369"/>
      <c r="HE173" s="361">
        <f t="shared" si="2245"/>
        <v>0</v>
      </c>
      <c r="HF173" s="410"/>
      <c r="HG173" s="96"/>
      <c r="HH173" s="96"/>
      <c r="HI173" s="361">
        <f t="shared" si="2246"/>
        <v>0</v>
      </c>
      <c r="HJ173" s="369"/>
      <c r="HK173" s="370">
        <f t="shared" si="2248"/>
        <v>0</v>
      </c>
      <c r="HL173" s="371">
        <f t="shared" si="2249"/>
        <v>0</v>
      </c>
      <c r="HM173" s="364"/>
      <c r="HN173" s="366">
        <f t="shared" si="2316"/>
        <v>17</v>
      </c>
      <c r="HO173" s="367" t="str">
        <f t="shared" ref="HO173:HQ173" si="2573">IFERROR(VLOOKUP($R173,$A$13:$D$30,-HO$12,FALSE),"")</f>
        <v>Lainnya 2.3 (9) …….</v>
      </c>
      <c r="HP173" s="368" t="str">
        <f t="shared" si="2573"/>
        <v/>
      </c>
      <c r="HQ173" s="368" t="str">
        <f t="shared" si="2573"/>
        <v/>
      </c>
      <c r="HR173" s="361"/>
      <c r="HS173" s="361" t="str">
        <f t="shared" si="2251"/>
        <v/>
      </c>
      <c r="HT173" s="361">
        <f t="shared" si="2252"/>
        <v>0</v>
      </c>
      <c r="HU173" s="369"/>
      <c r="HV173" s="361">
        <f t="shared" si="2253"/>
        <v>0</v>
      </c>
      <c r="HW173" s="410"/>
      <c r="HX173" s="96"/>
      <c r="HY173" s="96"/>
      <c r="HZ173" s="361">
        <f t="shared" si="2254"/>
        <v>0</v>
      </c>
      <c r="IA173" s="369"/>
      <c r="IB173" s="370">
        <f t="shared" si="2256"/>
        <v>0</v>
      </c>
      <c r="IC173" s="371">
        <f t="shared" si="2257"/>
        <v>0</v>
      </c>
      <c r="ID173" s="364"/>
      <c r="IE173" s="366">
        <f t="shared" si="2318"/>
        <v>17</v>
      </c>
      <c r="IF173" s="367" t="str">
        <f t="shared" ref="IF173:IH173" si="2574">IFERROR(VLOOKUP($R173,$A$13:$D$30,-IF$12,FALSE),"")</f>
        <v>Lainnya 2.3 (9) …….</v>
      </c>
      <c r="IG173" s="368" t="str">
        <f t="shared" si="2574"/>
        <v/>
      </c>
      <c r="IH173" s="368" t="str">
        <f t="shared" si="2574"/>
        <v/>
      </c>
      <c r="II173" s="361"/>
      <c r="IJ173" s="361" t="str">
        <f t="shared" si="2259"/>
        <v/>
      </c>
      <c r="IK173" s="361">
        <f t="shared" si="2260"/>
        <v>0</v>
      </c>
      <c r="IL173" s="369"/>
      <c r="IM173" s="361">
        <f t="shared" si="2261"/>
        <v>0</v>
      </c>
      <c r="IN173" s="410"/>
      <c r="IO173" s="96"/>
      <c r="IP173" s="96"/>
      <c r="IQ173" s="361">
        <f t="shared" si="2262"/>
        <v>0</v>
      </c>
      <c r="IR173" s="369"/>
      <c r="IS173" s="370">
        <f t="shared" si="2264"/>
        <v>0</v>
      </c>
      <c r="IT173" s="371">
        <f t="shared" si="2265"/>
        <v>0</v>
      </c>
      <c r="IU173" s="364"/>
      <c r="IV173" s="366">
        <f t="shared" si="2320"/>
        <v>17</v>
      </c>
      <c r="IW173" s="367" t="str">
        <f t="shared" ref="IW173:IY173" si="2575">IFERROR(VLOOKUP($R173,$A$13:$D$30,-IW$12,FALSE),"")</f>
        <v>Lainnya 2.3 (9) …….</v>
      </c>
      <c r="IX173" s="368" t="str">
        <f t="shared" si="2575"/>
        <v/>
      </c>
      <c r="IY173" s="368" t="str">
        <f t="shared" si="2575"/>
        <v/>
      </c>
      <c r="IZ173" s="361"/>
      <c r="JA173" s="361" t="str">
        <f t="shared" si="2267"/>
        <v/>
      </c>
      <c r="JB173" s="361">
        <f t="shared" si="2268"/>
        <v>0</v>
      </c>
      <c r="JC173" s="369"/>
      <c r="JD173" s="361">
        <f t="shared" si="2269"/>
        <v>0</v>
      </c>
      <c r="JE173" s="410"/>
      <c r="JF173" s="96"/>
      <c r="JG173" s="96"/>
      <c r="JH173" s="361">
        <f t="shared" si="2270"/>
        <v>0</v>
      </c>
      <c r="JI173" s="369"/>
      <c r="JJ173" s="370">
        <f t="shared" si="2272"/>
        <v>0</v>
      </c>
      <c r="JK173" s="371">
        <f t="shared" si="2273"/>
        <v>0</v>
      </c>
      <c r="JL173" s="364"/>
      <c r="JM173" s="366">
        <f t="shared" si="2322"/>
        <v>17</v>
      </c>
      <c r="JN173" s="367" t="str">
        <f t="shared" ref="JN173:JP173" si="2576">IFERROR(VLOOKUP($R173,$A$13:$D$30,-JN$12,FALSE),"")</f>
        <v>Lainnya 2.3 (9) …….</v>
      </c>
      <c r="JO173" s="368" t="str">
        <f t="shared" si="2576"/>
        <v/>
      </c>
      <c r="JP173" s="368" t="str">
        <f t="shared" si="2576"/>
        <v/>
      </c>
      <c r="JQ173" s="361"/>
      <c r="JR173" s="361" t="str">
        <f t="shared" si="2275"/>
        <v/>
      </c>
      <c r="JS173" s="361">
        <f t="shared" si="2276"/>
        <v>0</v>
      </c>
      <c r="JT173" s="369"/>
      <c r="JU173" s="361">
        <f t="shared" si="2277"/>
        <v>0</v>
      </c>
      <c r="JV173" s="410"/>
      <c r="JW173" s="96"/>
      <c r="JX173" s="96"/>
      <c r="JY173" s="361">
        <f t="shared" si="2278"/>
        <v>0</v>
      </c>
      <c r="JZ173" s="369"/>
      <c r="KA173" s="370">
        <f t="shared" si="2280"/>
        <v>0</v>
      </c>
      <c r="KB173" s="371">
        <f t="shared" si="2281"/>
        <v>0</v>
      </c>
      <c r="KC173" s="364"/>
      <c r="KD173" s="366">
        <f t="shared" si="2324"/>
        <v>17</v>
      </c>
      <c r="KE173" s="367" t="str">
        <f t="shared" ref="KE173:KG173" si="2577">IFERROR(VLOOKUP($R173,$A$13:$D$30,-KE$12,FALSE),"")</f>
        <v>Lainnya 2.3 (9) …….</v>
      </c>
      <c r="KF173" s="368" t="str">
        <f t="shared" si="2577"/>
        <v/>
      </c>
      <c r="KG173" s="368" t="str">
        <f t="shared" si="2577"/>
        <v/>
      </c>
      <c r="KH173" s="361"/>
      <c r="KI173" s="361" t="str">
        <f t="shared" si="2283"/>
        <v/>
      </c>
      <c r="KJ173" s="361">
        <f t="shared" si="2284"/>
        <v>0</v>
      </c>
      <c r="KK173" s="369"/>
      <c r="KL173" s="361">
        <f t="shared" si="2285"/>
        <v>0</v>
      </c>
      <c r="KM173" s="410"/>
      <c r="KN173" s="96"/>
      <c r="KO173" s="96"/>
      <c r="KP173" s="361">
        <f t="shared" si="2286"/>
        <v>0</v>
      </c>
      <c r="KQ173" s="369"/>
      <c r="KR173" s="370">
        <f t="shared" si="2288"/>
        <v>0</v>
      </c>
      <c r="KS173" s="371">
        <f t="shared" si="2289"/>
        <v>0</v>
      </c>
      <c r="KT173" s="364"/>
      <c r="KU173" s="365"/>
    </row>
    <row r="174" ht="15.75" customHeight="1">
      <c r="A174" s="366"/>
      <c r="B174" s="367"/>
      <c r="C174" s="373"/>
      <c r="D174" s="373"/>
      <c r="E174" s="361"/>
      <c r="F174" s="361"/>
      <c r="G174" s="361"/>
      <c r="H174" s="361"/>
      <c r="I174" s="361"/>
      <c r="J174" s="96"/>
      <c r="K174" s="96"/>
      <c r="L174" s="96"/>
      <c r="M174" s="361"/>
      <c r="N174" s="361"/>
      <c r="O174" s="361"/>
      <c r="P174" s="371"/>
      <c r="Q174" s="364"/>
      <c r="R174" s="366"/>
      <c r="S174" s="367"/>
      <c r="T174" s="373"/>
      <c r="U174" s="373"/>
      <c r="V174" s="361"/>
      <c r="W174" s="361"/>
      <c r="X174" s="361"/>
      <c r="Y174" s="361"/>
      <c r="Z174" s="361"/>
      <c r="AA174" s="96"/>
      <c r="AB174" s="96"/>
      <c r="AC174" s="96"/>
      <c r="AD174" s="361"/>
      <c r="AE174" s="361"/>
      <c r="AF174" s="361"/>
      <c r="AG174" s="371"/>
      <c r="AH174" s="364"/>
      <c r="AI174" s="366"/>
      <c r="AJ174" s="367"/>
      <c r="AK174" s="373"/>
      <c r="AL174" s="373"/>
      <c r="AM174" s="361"/>
      <c r="AN174" s="361"/>
      <c r="AO174" s="361"/>
      <c r="AP174" s="361"/>
      <c r="AQ174" s="361"/>
      <c r="AR174" s="96"/>
      <c r="AS174" s="96"/>
      <c r="AT174" s="96"/>
      <c r="AU174" s="361"/>
      <c r="AV174" s="361"/>
      <c r="AW174" s="361"/>
      <c r="AX174" s="371"/>
      <c r="AY174" s="364"/>
      <c r="AZ174" s="366"/>
      <c r="BA174" s="367"/>
      <c r="BB174" s="373"/>
      <c r="BC174" s="373"/>
      <c r="BD174" s="361"/>
      <c r="BE174" s="361"/>
      <c r="BF174" s="361"/>
      <c r="BG174" s="361"/>
      <c r="BH174" s="361"/>
      <c r="BI174" s="96"/>
      <c r="BJ174" s="96"/>
      <c r="BK174" s="96"/>
      <c r="BL174" s="361"/>
      <c r="BM174" s="361"/>
      <c r="BN174" s="361"/>
      <c r="BO174" s="371"/>
      <c r="BP174" s="364"/>
      <c r="BQ174" s="366"/>
      <c r="BR174" s="367"/>
      <c r="BS174" s="373"/>
      <c r="BT174" s="373"/>
      <c r="BU174" s="361"/>
      <c r="BV174" s="361"/>
      <c r="BW174" s="361"/>
      <c r="BX174" s="361"/>
      <c r="BY174" s="361"/>
      <c r="BZ174" s="96"/>
      <c r="CA174" s="96"/>
      <c r="CB174" s="96"/>
      <c r="CC174" s="361"/>
      <c r="CD174" s="361"/>
      <c r="CE174" s="361"/>
      <c r="CF174" s="371"/>
      <c r="CG174" s="364"/>
      <c r="CH174" s="366"/>
      <c r="CI174" s="367"/>
      <c r="CJ174" s="373"/>
      <c r="CK174" s="373"/>
      <c r="CL174" s="361"/>
      <c r="CM174" s="361"/>
      <c r="CN174" s="361"/>
      <c r="CO174" s="361"/>
      <c r="CP174" s="361"/>
      <c r="CQ174" s="96"/>
      <c r="CR174" s="96"/>
      <c r="CS174" s="96"/>
      <c r="CT174" s="361"/>
      <c r="CU174" s="361"/>
      <c r="CV174" s="361"/>
      <c r="CW174" s="371"/>
      <c r="CX174" s="364"/>
      <c r="CY174" s="366"/>
      <c r="CZ174" s="367"/>
      <c r="DA174" s="373"/>
      <c r="DB174" s="373"/>
      <c r="DC174" s="361"/>
      <c r="DD174" s="361"/>
      <c r="DE174" s="361"/>
      <c r="DF174" s="361"/>
      <c r="DG174" s="361"/>
      <c r="DH174" s="96"/>
      <c r="DI174" s="96"/>
      <c r="DJ174" s="96"/>
      <c r="DK174" s="361"/>
      <c r="DL174" s="361"/>
      <c r="DM174" s="361"/>
      <c r="DN174" s="371"/>
      <c r="DO174" s="364"/>
      <c r="DP174" s="366"/>
      <c r="DQ174" s="367"/>
      <c r="DR174" s="373"/>
      <c r="DS174" s="373"/>
      <c r="DT174" s="361"/>
      <c r="DU174" s="361"/>
      <c r="DV174" s="361"/>
      <c r="DW174" s="361"/>
      <c r="DX174" s="361"/>
      <c r="DY174" s="96"/>
      <c r="DZ174" s="96"/>
      <c r="EA174" s="96"/>
      <c r="EB174" s="361"/>
      <c r="EC174" s="361"/>
      <c r="ED174" s="361"/>
      <c r="EE174" s="371"/>
      <c r="EF174" s="364"/>
      <c r="EG174" s="366"/>
      <c r="EH174" s="367"/>
      <c r="EI174" s="373"/>
      <c r="EJ174" s="373"/>
      <c r="EK174" s="361"/>
      <c r="EL174" s="361"/>
      <c r="EM174" s="361"/>
      <c r="EN174" s="361"/>
      <c r="EO174" s="361"/>
      <c r="EP174" s="96"/>
      <c r="EQ174" s="96"/>
      <c r="ER174" s="96"/>
      <c r="ES174" s="361"/>
      <c r="ET174" s="361"/>
      <c r="EU174" s="361"/>
      <c r="EV174" s="371"/>
      <c r="EW174" s="364"/>
      <c r="EX174" s="366"/>
      <c r="EY174" s="367"/>
      <c r="EZ174" s="373"/>
      <c r="FA174" s="373"/>
      <c r="FB174" s="361"/>
      <c r="FC174" s="361"/>
      <c r="FD174" s="361"/>
      <c r="FE174" s="361"/>
      <c r="FF174" s="361"/>
      <c r="FG174" s="96"/>
      <c r="FH174" s="96"/>
      <c r="FI174" s="96"/>
      <c r="FJ174" s="361"/>
      <c r="FK174" s="361"/>
      <c r="FL174" s="361"/>
      <c r="FM174" s="371"/>
      <c r="FN174" s="364"/>
      <c r="FO174" s="366"/>
      <c r="FP174" s="367"/>
      <c r="FQ174" s="373"/>
      <c r="FR174" s="373"/>
      <c r="FS174" s="361"/>
      <c r="FT174" s="361"/>
      <c r="FU174" s="361"/>
      <c r="FV174" s="361"/>
      <c r="FW174" s="361"/>
      <c r="FX174" s="96"/>
      <c r="FY174" s="96"/>
      <c r="FZ174" s="96"/>
      <c r="GA174" s="361"/>
      <c r="GB174" s="361"/>
      <c r="GC174" s="361"/>
      <c r="GD174" s="371"/>
      <c r="GE174" s="364"/>
      <c r="GF174" s="366"/>
      <c r="GG174" s="367"/>
      <c r="GH174" s="373"/>
      <c r="GI174" s="373"/>
      <c r="GJ174" s="361"/>
      <c r="GK174" s="361"/>
      <c r="GL174" s="361"/>
      <c r="GM174" s="361"/>
      <c r="GN174" s="361"/>
      <c r="GO174" s="96"/>
      <c r="GP174" s="96"/>
      <c r="GQ174" s="96"/>
      <c r="GR174" s="361"/>
      <c r="GS174" s="361"/>
      <c r="GT174" s="361"/>
      <c r="GU174" s="371"/>
      <c r="GV174" s="364"/>
      <c r="GW174" s="366"/>
      <c r="GX174" s="367"/>
      <c r="GY174" s="373"/>
      <c r="GZ174" s="373"/>
      <c r="HA174" s="361"/>
      <c r="HB174" s="361"/>
      <c r="HC174" s="361"/>
      <c r="HD174" s="361"/>
      <c r="HE174" s="361"/>
      <c r="HF174" s="96"/>
      <c r="HG174" s="96"/>
      <c r="HH174" s="96"/>
      <c r="HI174" s="361"/>
      <c r="HJ174" s="361"/>
      <c r="HK174" s="361"/>
      <c r="HL174" s="371"/>
      <c r="HM174" s="364"/>
      <c r="HN174" s="366"/>
      <c r="HO174" s="367"/>
      <c r="HP174" s="373"/>
      <c r="HQ174" s="373"/>
      <c r="HR174" s="361"/>
      <c r="HS174" s="361"/>
      <c r="HT174" s="361"/>
      <c r="HU174" s="361"/>
      <c r="HV174" s="361"/>
      <c r="HW174" s="96"/>
      <c r="HX174" s="96"/>
      <c r="HY174" s="96"/>
      <c r="HZ174" s="361"/>
      <c r="IA174" s="361"/>
      <c r="IB174" s="361"/>
      <c r="IC174" s="371"/>
      <c r="ID174" s="364"/>
      <c r="IE174" s="366"/>
      <c r="IF174" s="367"/>
      <c r="IG174" s="373"/>
      <c r="IH174" s="373"/>
      <c r="II174" s="361"/>
      <c r="IJ174" s="361"/>
      <c r="IK174" s="361"/>
      <c r="IL174" s="361"/>
      <c r="IM174" s="361"/>
      <c r="IN174" s="96"/>
      <c r="IO174" s="96"/>
      <c r="IP174" s="96"/>
      <c r="IQ174" s="361"/>
      <c r="IR174" s="361"/>
      <c r="IS174" s="361"/>
      <c r="IT174" s="371"/>
      <c r="IU174" s="364"/>
      <c r="IV174" s="366"/>
      <c r="IW174" s="367"/>
      <c r="IX174" s="373"/>
      <c r="IY174" s="373"/>
      <c r="IZ174" s="361"/>
      <c r="JA174" s="361"/>
      <c r="JB174" s="361"/>
      <c r="JC174" s="361"/>
      <c r="JD174" s="361"/>
      <c r="JE174" s="96"/>
      <c r="JF174" s="96"/>
      <c r="JG174" s="96"/>
      <c r="JH174" s="361"/>
      <c r="JI174" s="361"/>
      <c r="JJ174" s="361"/>
      <c r="JK174" s="371"/>
      <c r="JL174" s="364"/>
      <c r="JM174" s="366"/>
      <c r="JN174" s="367"/>
      <c r="JO174" s="373"/>
      <c r="JP174" s="373"/>
      <c r="JQ174" s="361"/>
      <c r="JR174" s="361"/>
      <c r="JS174" s="361"/>
      <c r="JT174" s="361"/>
      <c r="JU174" s="361"/>
      <c r="JV174" s="96"/>
      <c r="JW174" s="96"/>
      <c r="JX174" s="96"/>
      <c r="JY174" s="361"/>
      <c r="JZ174" s="361"/>
      <c r="KA174" s="361"/>
      <c r="KB174" s="371"/>
      <c r="KC174" s="364"/>
      <c r="KD174" s="366"/>
      <c r="KE174" s="367"/>
      <c r="KF174" s="373"/>
      <c r="KG174" s="373"/>
      <c r="KH174" s="361"/>
      <c r="KI174" s="361"/>
      <c r="KJ174" s="361"/>
      <c r="KK174" s="361"/>
      <c r="KL174" s="361"/>
      <c r="KM174" s="96"/>
      <c r="KN174" s="96"/>
      <c r="KO174" s="96"/>
      <c r="KP174" s="361"/>
      <c r="KQ174" s="361"/>
      <c r="KR174" s="361"/>
      <c r="KS174" s="371"/>
      <c r="KT174" s="364"/>
      <c r="KU174" s="365"/>
    </row>
    <row r="175" ht="15.75" customHeight="1">
      <c r="A175" s="374" t="s">
        <v>51</v>
      </c>
      <c r="B175" s="102"/>
      <c r="C175" s="375"/>
      <c r="D175" s="375"/>
      <c r="E175" s="376"/>
      <c r="F175" s="376"/>
      <c r="G175" s="377">
        <f>SUM(G157:G174)</f>
        <v>0</v>
      </c>
      <c r="H175" s="376"/>
      <c r="I175" s="377">
        <f>SUM(I157:I174)</f>
        <v>0</v>
      </c>
      <c r="J175" s="104"/>
      <c r="K175" s="104"/>
      <c r="L175" s="104"/>
      <c r="M175" s="377">
        <f>SUM(M157:M174)</f>
        <v>0</v>
      </c>
      <c r="N175" s="376"/>
      <c r="O175" s="377">
        <f t="shared" ref="O175:P175" si="2578">SUM(O157:O174)</f>
        <v>0</v>
      </c>
      <c r="P175" s="377">
        <f t="shared" si="2578"/>
        <v>0</v>
      </c>
      <c r="Q175" s="378"/>
      <c r="R175" s="374" t="s">
        <v>51</v>
      </c>
      <c r="S175" s="102"/>
      <c r="T175" s="375"/>
      <c r="U175" s="375"/>
      <c r="V175" s="376"/>
      <c r="W175" s="376"/>
      <c r="X175" s="377">
        <f>SUM(X157:X174)</f>
        <v>0</v>
      </c>
      <c r="Y175" s="376"/>
      <c r="Z175" s="377">
        <f>SUM(Z157:Z174)</f>
        <v>0</v>
      </c>
      <c r="AA175" s="104"/>
      <c r="AB175" s="104"/>
      <c r="AC175" s="104"/>
      <c r="AD175" s="377">
        <f>SUM(AD157:AD174)</f>
        <v>0</v>
      </c>
      <c r="AE175" s="376"/>
      <c r="AF175" s="377">
        <f t="shared" ref="AF175:AG175" si="2579">SUM(AF157:AF174)</f>
        <v>0</v>
      </c>
      <c r="AG175" s="377">
        <f t="shared" si="2579"/>
        <v>0</v>
      </c>
      <c r="AH175" s="378"/>
      <c r="AI175" s="374" t="s">
        <v>51</v>
      </c>
      <c r="AJ175" s="102"/>
      <c r="AK175" s="375"/>
      <c r="AL175" s="375"/>
      <c r="AM175" s="376"/>
      <c r="AN175" s="376"/>
      <c r="AO175" s="377">
        <f>SUM(AO157:AO174)</f>
        <v>0</v>
      </c>
      <c r="AP175" s="376"/>
      <c r="AQ175" s="377">
        <f>SUM(AQ157:AQ174)</f>
        <v>0</v>
      </c>
      <c r="AR175" s="104"/>
      <c r="AS175" s="104"/>
      <c r="AT175" s="104"/>
      <c r="AU175" s="377">
        <f>SUM(AU157:AU174)</f>
        <v>0</v>
      </c>
      <c r="AV175" s="376"/>
      <c r="AW175" s="377">
        <f t="shared" ref="AW175:AX175" si="2580">SUM(AW157:AW174)</f>
        <v>0</v>
      </c>
      <c r="AX175" s="377">
        <f t="shared" si="2580"/>
        <v>0</v>
      </c>
      <c r="AY175" s="378"/>
      <c r="AZ175" s="374" t="s">
        <v>51</v>
      </c>
      <c r="BA175" s="102"/>
      <c r="BB175" s="375"/>
      <c r="BC175" s="375"/>
      <c r="BD175" s="376"/>
      <c r="BE175" s="376"/>
      <c r="BF175" s="377">
        <f>SUM(BF157:BF174)</f>
        <v>0</v>
      </c>
      <c r="BG175" s="376"/>
      <c r="BH175" s="377">
        <f>SUM(BH157:BH174)</f>
        <v>0</v>
      </c>
      <c r="BI175" s="104"/>
      <c r="BJ175" s="104"/>
      <c r="BK175" s="104"/>
      <c r="BL175" s="377">
        <f>SUM(BL157:BL174)</f>
        <v>0</v>
      </c>
      <c r="BM175" s="376"/>
      <c r="BN175" s="377">
        <f t="shared" ref="BN175:BO175" si="2581">SUM(BN157:BN174)</f>
        <v>0</v>
      </c>
      <c r="BO175" s="377">
        <f t="shared" si="2581"/>
        <v>0</v>
      </c>
      <c r="BP175" s="378"/>
      <c r="BQ175" s="374" t="s">
        <v>51</v>
      </c>
      <c r="BR175" s="102"/>
      <c r="BS175" s="375"/>
      <c r="BT175" s="375"/>
      <c r="BU175" s="376"/>
      <c r="BV175" s="376"/>
      <c r="BW175" s="377">
        <f>SUM(BW157:BW174)</f>
        <v>0</v>
      </c>
      <c r="BX175" s="376"/>
      <c r="BY175" s="377">
        <f>SUM(BY157:BY174)</f>
        <v>0</v>
      </c>
      <c r="BZ175" s="104"/>
      <c r="CA175" s="104"/>
      <c r="CB175" s="104"/>
      <c r="CC175" s="377">
        <f>SUM(CC157:CC174)</f>
        <v>0</v>
      </c>
      <c r="CD175" s="376"/>
      <c r="CE175" s="377">
        <f t="shared" ref="CE175:CF175" si="2582">SUM(CE157:CE174)</f>
        <v>0</v>
      </c>
      <c r="CF175" s="377">
        <f t="shared" si="2582"/>
        <v>0</v>
      </c>
      <c r="CG175" s="378"/>
      <c r="CH175" s="374" t="s">
        <v>51</v>
      </c>
      <c r="CI175" s="102"/>
      <c r="CJ175" s="375"/>
      <c r="CK175" s="375"/>
      <c r="CL175" s="376"/>
      <c r="CM175" s="376"/>
      <c r="CN175" s="377">
        <f>SUM(CN157:CN174)</f>
        <v>0</v>
      </c>
      <c r="CO175" s="376"/>
      <c r="CP175" s="377">
        <f>SUM(CP157:CP174)</f>
        <v>0</v>
      </c>
      <c r="CQ175" s="104"/>
      <c r="CR175" s="104"/>
      <c r="CS175" s="104"/>
      <c r="CT175" s="377">
        <f>SUM(CT157:CT174)</f>
        <v>0</v>
      </c>
      <c r="CU175" s="376"/>
      <c r="CV175" s="377">
        <f t="shared" ref="CV175:CW175" si="2583">SUM(CV157:CV174)</f>
        <v>0</v>
      </c>
      <c r="CW175" s="377">
        <f t="shared" si="2583"/>
        <v>0</v>
      </c>
      <c r="CX175" s="378"/>
      <c r="CY175" s="374" t="s">
        <v>51</v>
      </c>
      <c r="CZ175" s="102"/>
      <c r="DA175" s="375"/>
      <c r="DB175" s="375"/>
      <c r="DC175" s="376"/>
      <c r="DD175" s="376"/>
      <c r="DE175" s="377">
        <f>SUM(DE157:DE174)</f>
        <v>0</v>
      </c>
      <c r="DF175" s="376"/>
      <c r="DG175" s="377">
        <f>SUM(DG157:DG174)</f>
        <v>0</v>
      </c>
      <c r="DH175" s="104"/>
      <c r="DI175" s="104"/>
      <c r="DJ175" s="104"/>
      <c r="DK175" s="377">
        <f>SUM(DK157:DK174)</f>
        <v>0</v>
      </c>
      <c r="DL175" s="376"/>
      <c r="DM175" s="377">
        <f t="shared" ref="DM175:DN175" si="2584">SUM(DM157:DM174)</f>
        <v>0</v>
      </c>
      <c r="DN175" s="377">
        <f t="shared" si="2584"/>
        <v>0</v>
      </c>
      <c r="DO175" s="378"/>
      <c r="DP175" s="374" t="s">
        <v>51</v>
      </c>
      <c r="DQ175" s="102"/>
      <c r="DR175" s="375"/>
      <c r="DS175" s="375"/>
      <c r="DT175" s="376"/>
      <c r="DU175" s="376"/>
      <c r="DV175" s="377">
        <f>SUM(DV157:DV174)</f>
        <v>0</v>
      </c>
      <c r="DW175" s="376"/>
      <c r="DX175" s="377">
        <f>SUM(DX157:DX174)</f>
        <v>0</v>
      </c>
      <c r="DY175" s="104"/>
      <c r="DZ175" s="104"/>
      <c r="EA175" s="104"/>
      <c r="EB175" s="377">
        <f>SUM(EB157:EB174)</f>
        <v>0</v>
      </c>
      <c r="EC175" s="376"/>
      <c r="ED175" s="377">
        <f t="shared" ref="ED175:EE175" si="2585">SUM(ED157:ED174)</f>
        <v>0</v>
      </c>
      <c r="EE175" s="377">
        <f t="shared" si="2585"/>
        <v>0</v>
      </c>
      <c r="EF175" s="378"/>
      <c r="EG175" s="374" t="s">
        <v>51</v>
      </c>
      <c r="EH175" s="102"/>
      <c r="EI175" s="375"/>
      <c r="EJ175" s="375"/>
      <c r="EK175" s="376"/>
      <c r="EL175" s="376"/>
      <c r="EM175" s="377">
        <f>SUM(EM157:EM174)</f>
        <v>0</v>
      </c>
      <c r="EN175" s="376"/>
      <c r="EO175" s="377">
        <f>SUM(EO157:EO174)</f>
        <v>0</v>
      </c>
      <c r="EP175" s="104"/>
      <c r="EQ175" s="104"/>
      <c r="ER175" s="104"/>
      <c r="ES175" s="377">
        <f>SUM(ES157:ES174)</f>
        <v>0</v>
      </c>
      <c r="ET175" s="376"/>
      <c r="EU175" s="377">
        <f t="shared" ref="EU175:EV175" si="2586">SUM(EU157:EU174)</f>
        <v>0</v>
      </c>
      <c r="EV175" s="377">
        <f t="shared" si="2586"/>
        <v>0</v>
      </c>
      <c r="EW175" s="378"/>
      <c r="EX175" s="374" t="s">
        <v>51</v>
      </c>
      <c r="EY175" s="102"/>
      <c r="EZ175" s="375"/>
      <c r="FA175" s="375"/>
      <c r="FB175" s="376"/>
      <c r="FC175" s="376"/>
      <c r="FD175" s="377">
        <f>SUM(FD157:FD174)</f>
        <v>0</v>
      </c>
      <c r="FE175" s="376"/>
      <c r="FF175" s="377">
        <f>SUM(FF157:FF174)</f>
        <v>0</v>
      </c>
      <c r="FG175" s="104"/>
      <c r="FH175" s="104"/>
      <c r="FI175" s="104"/>
      <c r="FJ175" s="377">
        <f>SUM(FJ157:FJ174)</f>
        <v>0</v>
      </c>
      <c r="FK175" s="376"/>
      <c r="FL175" s="377">
        <f t="shared" ref="FL175:FM175" si="2587">SUM(FL157:FL174)</f>
        <v>0</v>
      </c>
      <c r="FM175" s="377">
        <f t="shared" si="2587"/>
        <v>0</v>
      </c>
      <c r="FN175" s="378"/>
      <c r="FO175" s="374" t="s">
        <v>51</v>
      </c>
      <c r="FP175" s="102"/>
      <c r="FQ175" s="375"/>
      <c r="FR175" s="375"/>
      <c r="FS175" s="376"/>
      <c r="FT175" s="376"/>
      <c r="FU175" s="377">
        <f>SUM(FU157:FU174)</f>
        <v>1537199.888</v>
      </c>
      <c r="FV175" s="376"/>
      <c r="FW175" s="377">
        <f>SUM(FW157:FW174)</f>
        <v>0</v>
      </c>
      <c r="FX175" s="104"/>
      <c r="FY175" s="104"/>
      <c r="FZ175" s="104"/>
      <c r="GA175" s="377">
        <f>SUM(GA157:GA174)</f>
        <v>1537199.888</v>
      </c>
      <c r="GB175" s="376"/>
      <c r="GC175" s="377">
        <f t="shared" ref="GC175:GD175" si="2588">SUM(GC157:GC174)</f>
        <v>707799.272</v>
      </c>
      <c r="GD175" s="377">
        <f t="shared" si="2588"/>
        <v>829400.6162</v>
      </c>
      <c r="GE175" s="378"/>
      <c r="GF175" s="374" t="s">
        <v>51</v>
      </c>
      <c r="GG175" s="102"/>
      <c r="GH175" s="375"/>
      <c r="GI175" s="375"/>
      <c r="GJ175" s="376"/>
      <c r="GK175" s="376"/>
      <c r="GL175" s="377">
        <f>SUM(GL157:GL174)</f>
        <v>1011205.819</v>
      </c>
      <c r="GM175" s="376"/>
      <c r="GN175" s="377">
        <f>SUM(GN157:GN174)</f>
        <v>0</v>
      </c>
      <c r="GO175" s="104"/>
      <c r="GP175" s="104"/>
      <c r="GQ175" s="104"/>
      <c r="GR175" s="377">
        <f>SUM(GR157:GR174)</f>
        <v>1011205.819</v>
      </c>
      <c r="GS175" s="376"/>
      <c r="GT175" s="377">
        <f t="shared" ref="GT175:GU175" si="2589">SUM(GT157:GT174)</f>
        <v>465606.8139</v>
      </c>
      <c r="GU175" s="377">
        <f t="shared" si="2589"/>
        <v>545599.0048</v>
      </c>
      <c r="GV175" s="378"/>
      <c r="GW175" s="374" t="s">
        <v>51</v>
      </c>
      <c r="GX175" s="102"/>
      <c r="GY175" s="375"/>
      <c r="GZ175" s="375"/>
      <c r="HA175" s="376"/>
      <c r="HB175" s="376"/>
      <c r="HC175" s="377">
        <f>SUM(HC157:HC174)</f>
        <v>1449747.567</v>
      </c>
      <c r="HD175" s="376"/>
      <c r="HE175" s="377">
        <f>SUM(HE157:HE174)</f>
        <v>1449747.567</v>
      </c>
      <c r="HF175" s="104"/>
      <c r="HG175" s="104"/>
      <c r="HH175" s="104"/>
      <c r="HI175" s="377">
        <f>SUM(HI157:HI174)</f>
        <v>2899495.134</v>
      </c>
      <c r="HJ175" s="376"/>
      <c r="HK175" s="377">
        <f t="shared" ref="HK175:HL175" si="2590">SUM(HK157:HK174)</f>
        <v>1335064.204</v>
      </c>
      <c r="HL175" s="377">
        <f t="shared" si="2590"/>
        <v>1564430.93</v>
      </c>
      <c r="HM175" s="378"/>
      <c r="HN175" s="374" t="s">
        <v>51</v>
      </c>
      <c r="HO175" s="102"/>
      <c r="HP175" s="375"/>
      <c r="HQ175" s="375"/>
      <c r="HR175" s="376"/>
      <c r="HS175" s="376"/>
      <c r="HT175" s="377">
        <f>SUM(HT157:HT174)</f>
        <v>2288406.547</v>
      </c>
      <c r="HU175" s="376"/>
      <c r="HV175" s="377">
        <f>SUM(HV157:HV174)</f>
        <v>0</v>
      </c>
      <c r="HW175" s="104"/>
      <c r="HX175" s="104"/>
      <c r="HY175" s="104"/>
      <c r="HZ175" s="377">
        <f>SUM(HZ157:HZ174)</f>
        <v>2288406.547</v>
      </c>
      <c r="IA175" s="376"/>
      <c r="IB175" s="377">
        <f t="shared" ref="IB175:IC175" si="2591">SUM(IB157:IB174)</f>
        <v>1053690.22</v>
      </c>
      <c r="IC175" s="377">
        <f t="shared" si="2591"/>
        <v>1234716.327</v>
      </c>
      <c r="ID175" s="378"/>
      <c r="IE175" s="374" t="s">
        <v>51</v>
      </c>
      <c r="IF175" s="102"/>
      <c r="IG175" s="375"/>
      <c r="IH175" s="375"/>
      <c r="II175" s="376"/>
      <c r="IJ175" s="376"/>
      <c r="IK175" s="377">
        <f>SUM(IK157:IK174)</f>
        <v>3933184.183</v>
      </c>
      <c r="IL175" s="376"/>
      <c r="IM175" s="377">
        <f>SUM(IM157:IM174)</f>
        <v>0</v>
      </c>
      <c r="IN175" s="104"/>
      <c r="IO175" s="104"/>
      <c r="IP175" s="104"/>
      <c r="IQ175" s="377">
        <f>SUM(IQ157:IQ174)</f>
        <v>3933184.183</v>
      </c>
      <c r="IR175" s="376"/>
      <c r="IS175" s="377">
        <f t="shared" ref="IS175:IT175" si="2592">SUM(IS157:IS174)</f>
        <v>1811023.356</v>
      </c>
      <c r="IT175" s="377">
        <f t="shared" si="2592"/>
        <v>2122160.826</v>
      </c>
      <c r="IU175" s="378"/>
      <c r="IV175" s="374" t="s">
        <v>51</v>
      </c>
      <c r="IW175" s="102"/>
      <c r="IX175" s="375"/>
      <c r="IY175" s="375"/>
      <c r="IZ175" s="376"/>
      <c r="JA175" s="376"/>
      <c r="JB175" s="377">
        <f>SUM(JB157:JB174)</f>
        <v>4856119.758</v>
      </c>
      <c r="JC175" s="376"/>
      <c r="JD175" s="377">
        <f>SUM(JD157:JD174)</f>
        <v>0</v>
      </c>
      <c r="JE175" s="104"/>
      <c r="JF175" s="104"/>
      <c r="JG175" s="104"/>
      <c r="JH175" s="377">
        <f>SUM(JH157:JH174)</f>
        <v>4856119.758</v>
      </c>
      <c r="JI175" s="376"/>
      <c r="JJ175" s="377">
        <f t="shared" ref="JJ175:JK175" si="2593">SUM(JJ157:JJ174)</f>
        <v>2235986.39</v>
      </c>
      <c r="JK175" s="377">
        <f t="shared" si="2593"/>
        <v>2620133.368</v>
      </c>
      <c r="JL175" s="378"/>
      <c r="JM175" s="374" t="s">
        <v>51</v>
      </c>
      <c r="JN175" s="102"/>
      <c r="JO175" s="375"/>
      <c r="JP175" s="375"/>
      <c r="JQ175" s="376"/>
      <c r="JR175" s="376"/>
      <c r="JS175" s="377">
        <f>SUM(JS157:JS174)</f>
        <v>0</v>
      </c>
      <c r="JT175" s="376"/>
      <c r="JU175" s="377">
        <f>SUM(JU157:JU174)</f>
        <v>0</v>
      </c>
      <c r="JV175" s="104"/>
      <c r="JW175" s="104"/>
      <c r="JX175" s="104"/>
      <c r="JY175" s="377">
        <f>SUM(JY157:JY174)</f>
        <v>0</v>
      </c>
      <c r="JZ175" s="376"/>
      <c r="KA175" s="377">
        <f t="shared" ref="KA175:KB175" si="2594">SUM(KA157:KA174)</f>
        <v>0</v>
      </c>
      <c r="KB175" s="377">
        <f t="shared" si="2594"/>
        <v>0</v>
      </c>
      <c r="KC175" s="378"/>
      <c r="KD175" s="374" t="s">
        <v>51</v>
      </c>
      <c r="KE175" s="102"/>
      <c r="KF175" s="375"/>
      <c r="KG175" s="375"/>
      <c r="KH175" s="376"/>
      <c r="KI175" s="376"/>
      <c r="KJ175" s="377">
        <f>SUM(KJ157:KJ174)</f>
        <v>0</v>
      </c>
      <c r="KK175" s="376"/>
      <c r="KL175" s="377">
        <f>SUM(KL157:KL174)</f>
        <v>0</v>
      </c>
      <c r="KM175" s="104"/>
      <c r="KN175" s="104"/>
      <c r="KO175" s="104"/>
      <c r="KP175" s="377">
        <f>SUM(KP157:KP174)</f>
        <v>0</v>
      </c>
      <c r="KQ175" s="376"/>
      <c r="KR175" s="377">
        <f t="shared" ref="KR175:KS175" si="2595">SUM(KR157:KR174)</f>
        <v>0</v>
      </c>
      <c r="KS175" s="377">
        <f t="shared" si="2595"/>
        <v>0</v>
      </c>
      <c r="KT175" s="378"/>
      <c r="KU175" s="379"/>
    </row>
    <row r="176" ht="15.75" customHeight="1">
      <c r="A176" s="366"/>
      <c r="B176" s="373"/>
      <c r="C176" s="373"/>
      <c r="D176" s="373"/>
      <c r="E176" s="361"/>
      <c r="F176" s="361"/>
      <c r="G176" s="361"/>
      <c r="H176" s="361"/>
      <c r="I176" s="361"/>
      <c r="J176" s="87"/>
      <c r="K176" s="87"/>
      <c r="L176" s="87"/>
      <c r="M176" s="361"/>
      <c r="N176" s="361"/>
      <c r="O176" s="370"/>
      <c r="P176" s="371"/>
      <c r="Q176" s="364"/>
      <c r="R176" s="366"/>
      <c r="S176" s="373"/>
      <c r="T176" s="373"/>
      <c r="U176" s="373"/>
      <c r="V176" s="361"/>
      <c r="W176" s="361"/>
      <c r="X176" s="361"/>
      <c r="Y176" s="361"/>
      <c r="Z176" s="361"/>
      <c r="AA176" s="87"/>
      <c r="AB176" s="87"/>
      <c r="AC176" s="87"/>
      <c r="AD176" s="361"/>
      <c r="AE176" s="361"/>
      <c r="AF176" s="370"/>
      <c r="AG176" s="371"/>
      <c r="AH176" s="364"/>
      <c r="AI176" s="366"/>
      <c r="AJ176" s="373"/>
      <c r="AK176" s="373"/>
      <c r="AL176" s="373"/>
      <c r="AM176" s="361"/>
      <c r="AN176" s="361"/>
      <c r="AO176" s="361"/>
      <c r="AP176" s="361"/>
      <c r="AQ176" s="361"/>
      <c r="AR176" s="87"/>
      <c r="AS176" s="87"/>
      <c r="AT176" s="87"/>
      <c r="AU176" s="361"/>
      <c r="AV176" s="361"/>
      <c r="AW176" s="370"/>
      <c r="AX176" s="371"/>
      <c r="AY176" s="364"/>
      <c r="AZ176" s="366"/>
      <c r="BA176" s="373"/>
      <c r="BB176" s="373"/>
      <c r="BC176" s="373"/>
      <c r="BD176" s="361"/>
      <c r="BE176" s="361"/>
      <c r="BF176" s="361"/>
      <c r="BG176" s="361"/>
      <c r="BH176" s="361"/>
      <c r="BI176" s="87"/>
      <c r="BJ176" s="87"/>
      <c r="BK176" s="87"/>
      <c r="BL176" s="361"/>
      <c r="BM176" s="361"/>
      <c r="BN176" s="370"/>
      <c r="BO176" s="371"/>
      <c r="BP176" s="364"/>
      <c r="BQ176" s="366"/>
      <c r="BR176" s="373"/>
      <c r="BS176" s="373"/>
      <c r="BT176" s="373"/>
      <c r="BU176" s="361"/>
      <c r="BV176" s="361"/>
      <c r="BW176" s="361"/>
      <c r="BX176" s="361"/>
      <c r="BY176" s="361"/>
      <c r="BZ176" s="87"/>
      <c r="CA176" s="87"/>
      <c r="CB176" s="87"/>
      <c r="CC176" s="361"/>
      <c r="CD176" s="361"/>
      <c r="CE176" s="370"/>
      <c r="CF176" s="371"/>
      <c r="CG176" s="364"/>
      <c r="CH176" s="366"/>
      <c r="CI176" s="373"/>
      <c r="CJ176" s="373"/>
      <c r="CK176" s="373"/>
      <c r="CL176" s="361"/>
      <c r="CM176" s="361"/>
      <c r="CN176" s="361"/>
      <c r="CO176" s="361"/>
      <c r="CP176" s="361"/>
      <c r="CQ176" s="87"/>
      <c r="CR176" s="87"/>
      <c r="CS176" s="87"/>
      <c r="CT176" s="361"/>
      <c r="CU176" s="361"/>
      <c r="CV176" s="370"/>
      <c r="CW176" s="371"/>
      <c r="CX176" s="364"/>
      <c r="CY176" s="366"/>
      <c r="CZ176" s="373"/>
      <c r="DA176" s="373"/>
      <c r="DB176" s="373"/>
      <c r="DC176" s="361"/>
      <c r="DD176" s="361"/>
      <c r="DE176" s="361"/>
      <c r="DF176" s="361"/>
      <c r="DG176" s="361"/>
      <c r="DH176" s="87"/>
      <c r="DI176" s="87"/>
      <c r="DJ176" s="87"/>
      <c r="DK176" s="361"/>
      <c r="DL176" s="361"/>
      <c r="DM176" s="370"/>
      <c r="DN176" s="371"/>
      <c r="DO176" s="364"/>
      <c r="DP176" s="366"/>
      <c r="DQ176" s="373"/>
      <c r="DR176" s="373"/>
      <c r="DS176" s="373"/>
      <c r="DT176" s="361"/>
      <c r="DU176" s="361"/>
      <c r="DV176" s="361"/>
      <c r="DW176" s="361"/>
      <c r="DX176" s="361"/>
      <c r="DY176" s="87"/>
      <c r="DZ176" s="87"/>
      <c r="EA176" s="87"/>
      <c r="EB176" s="361"/>
      <c r="EC176" s="361"/>
      <c r="ED176" s="370"/>
      <c r="EE176" s="371"/>
      <c r="EF176" s="364"/>
      <c r="EG176" s="366"/>
      <c r="EH176" s="373"/>
      <c r="EI176" s="373"/>
      <c r="EJ176" s="373"/>
      <c r="EK176" s="361"/>
      <c r="EL176" s="361"/>
      <c r="EM176" s="361"/>
      <c r="EN176" s="361"/>
      <c r="EO176" s="361"/>
      <c r="EP176" s="87"/>
      <c r="EQ176" s="87"/>
      <c r="ER176" s="87"/>
      <c r="ES176" s="361"/>
      <c r="ET176" s="361"/>
      <c r="EU176" s="370"/>
      <c r="EV176" s="371"/>
      <c r="EW176" s="364"/>
      <c r="EX176" s="366"/>
      <c r="EY176" s="373"/>
      <c r="EZ176" s="373"/>
      <c r="FA176" s="373"/>
      <c r="FB176" s="361"/>
      <c r="FC176" s="361"/>
      <c r="FD176" s="361"/>
      <c r="FE176" s="361"/>
      <c r="FF176" s="361"/>
      <c r="FG176" s="87"/>
      <c r="FH176" s="87"/>
      <c r="FI176" s="87"/>
      <c r="FJ176" s="361"/>
      <c r="FK176" s="361"/>
      <c r="FL176" s="370"/>
      <c r="FM176" s="371"/>
      <c r="FN176" s="364"/>
      <c r="FO176" s="366"/>
      <c r="FP176" s="373"/>
      <c r="FQ176" s="373"/>
      <c r="FR176" s="373"/>
      <c r="FS176" s="361"/>
      <c r="FT176" s="361"/>
      <c r="FU176" s="361"/>
      <c r="FV176" s="361"/>
      <c r="FW176" s="361"/>
      <c r="FX176" s="87"/>
      <c r="FY176" s="87"/>
      <c r="FZ176" s="87"/>
      <c r="GA176" s="361"/>
      <c r="GB176" s="361"/>
      <c r="GC176" s="370"/>
      <c r="GD176" s="371"/>
      <c r="GE176" s="364"/>
      <c r="GF176" s="366"/>
      <c r="GG176" s="373"/>
      <c r="GH176" s="373"/>
      <c r="GI176" s="373"/>
      <c r="GJ176" s="361"/>
      <c r="GK176" s="361"/>
      <c r="GL176" s="361"/>
      <c r="GM176" s="361"/>
      <c r="GN176" s="361"/>
      <c r="GO176" s="87"/>
      <c r="GP176" s="87"/>
      <c r="GQ176" s="87"/>
      <c r="GR176" s="361"/>
      <c r="GS176" s="361"/>
      <c r="GT176" s="370"/>
      <c r="GU176" s="371"/>
      <c r="GV176" s="364"/>
      <c r="GW176" s="366"/>
      <c r="GX176" s="373"/>
      <c r="GY176" s="373"/>
      <c r="GZ176" s="373"/>
      <c r="HA176" s="361"/>
      <c r="HB176" s="361"/>
      <c r="HC176" s="361"/>
      <c r="HD176" s="361"/>
      <c r="HE176" s="361"/>
      <c r="HF176" s="87"/>
      <c r="HG176" s="87"/>
      <c r="HH176" s="87"/>
      <c r="HI176" s="361"/>
      <c r="HJ176" s="361"/>
      <c r="HK176" s="370"/>
      <c r="HL176" s="371"/>
      <c r="HM176" s="364"/>
      <c r="HN176" s="366"/>
      <c r="HO176" s="373"/>
      <c r="HP176" s="373"/>
      <c r="HQ176" s="373"/>
      <c r="HR176" s="361"/>
      <c r="HS176" s="361"/>
      <c r="HT176" s="361"/>
      <c r="HU176" s="361"/>
      <c r="HV176" s="361"/>
      <c r="HW176" s="87"/>
      <c r="HX176" s="87"/>
      <c r="HY176" s="87"/>
      <c r="HZ176" s="361"/>
      <c r="IA176" s="361"/>
      <c r="IB176" s="370"/>
      <c r="IC176" s="371"/>
      <c r="ID176" s="364"/>
      <c r="IE176" s="366"/>
      <c r="IF176" s="373"/>
      <c r="IG176" s="373"/>
      <c r="IH176" s="373"/>
      <c r="II176" s="361"/>
      <c r="IJ176" s="361"/>
      <c r="IK176" s="361"/>
      <c r="IL176" s="361"/>
      <c r="IM176" s="361"/>
      <c r="IN176" s="87"/>
      <c r="IO176" s="87"/>
      <c r="IP176" s="87"/>
      <c r="IQ176" s="361"/>
      <c r="IR176" s="361"/>
      <c r="IS176" s="370"/>
      <c r="IT176" s="371"/>
      <c r="IU176" s="364"/>
      <c r="IV176" s="366"/>
      <c r="IW176" s="373"/>
      <c r="IX176" s="373"/>
      <c r="IY176" s="373"/>
      <c r="IZ176" s="361"/>
      <c r="JA176" s="361"/>
      <c r="JB176" s="361"/>
      <c r="JC176" s="361"/>
      <c r="JD176" s="361"/>
      <c r="JE176" s="87"/>
      <c r="JF176" s="87"/>
      <c r="JG176" s="87"/>
      <c r="JH176" s="361"/>
      <c r="JI176" s="361"/>
      <c r="JJ176" s="370"/>
      <c r="JK176" s="371"/>
      <c r="JL176" s="364"/>
      <c r="JM176" s="366"/>
      <c r="JN176" s="373"/>
      <c r="JO176" s="373"/>
      <c r="JP176" s="373"/>
      <c r="JQ176" s="361"/>
      <c r="JR176" s="361"/>
      <c r="JS176" s="361"/>
      <c r="JT176" s="361"/>
      <c r="JU176" s="361"/>
      <c r="JV176" s="87"/>
      <c r="JW176" s="87"/>
      <c r="JX176" s="87"/>
      <c r="JY176" s="361"/>
      <c r="JZ176" s="361"/>
      <c r="KA176" s="370"/>
      <c r="KB176" s="371"/>
      <c r="KC176" s="364"/>
      <c r="KD176" s="366"/>
      <c r="KE176" s="373"/>
      <c r="KF176" s="373"/>
      <c r="KG176" s="373"/>
      <c r="KH176" s="361"/>
      <c r="KI176" s="361"/>
      <c r="KJ176" s="361"/>
      <c r="KK176" s="361"/>
      <c r="KL176" s="361"/>
      <c r="KM176" s="87"/>
      <c r="KN176" s="87"/>
      <c r="KO176" s="87"/>
      <c r="KP176" s="361"/>
      <c r="KQ176" s="361"/>
      <c r="KR176" s="370"/>
      <c r="KS176" s="371"/>
      <c r="KT176" s="364"/>
      <c r="KU176" s="365"/>
    </row>
    <row r="177" ht="15.75" customHeight="1">
      <c r="A177" s="366"/>
      <c r="B177" s="380" t="str">
        <f>"Output Sekunder "&amp;" %"</f>
        <v>Output Sekunder  %</v>
      </c>
      <c r="C177" s="381"/>
      <c r="D177" s="381"/>
      <c r="E177" s="361"/>
      <c r="F177" s="382"/>
      <c r="G177" s="382"/>
      <c r="H177" s="382"/>
      <c r="I177" s="382"/>
      <c r="J177" s="110"/>
      <c r="K177" s="110"/>
      <c r="L177" s="110"/>
      <c r="M177" s="383">
        <f>E177/100*M175</f>
        <v>0</v>
      </c>
      <c r="N177" s="382"/>
      <c r="O177" s="382"/>
      <c r="P177" s="384">
        <f t="shared" ref="P177:P178" si="2596">M177</f>
        <v>0</v>
      </c>
      <c r="Q177" s="364"/>
      <c r="R177" s="366"/>
      <c r="S177" s="380" t="str">
        <f>"Output Sekunder "&amp;" %"</f>
        <v>Output Sekunder  %</v>
      </c>
      <c r="T177" s="381"/>
      <c r="U177" s="381"/>
      <c r="V177" s="361"/>
      <c r="W177" s="382"/>
      <c r="X177" s="382"/>
      <c r="Y177" s="382"/>
      <c r="Z177" s="382"/>
      <c r="AA177" s="110"/>
      <c r="AB177" s="110"/>
      <c r="AC177" s="110"/>
      <c r="AD177" s="383">
        <f>V177/100*AD175</f>
        <v>0</v>
      </c>
      <c r="AE177" s="382"/>
      <c r="AF177" s="382"/>
      <c r="AG177" s="384">
        <f t="shared" ref="AG177:AG178" si="2597">AD177</f>
        <v>0</v>
      </c>
      <c r="AH177" s="364"/>
      <c r="AI177" s="366"/>
      <c r="AJ177" s="380" t="str">
        <f>"Output Sekunder "&amp;" %"</f>
        <v>Output Sekunder  %</v>
      </c>
      <c r="AK177" s="381"/>
      <c r="AL177" s="381"/>
      <c r="AM177" s="361"/>
      <c r="AN177" s="382"/>
      <c r="AO177" s="382"/>
      <c r="AP177" s="382"/>
      <c r="AQ177" s="382"/>
      <c r="AR177" s="110"/>
      <c r="AS177" s="110"/>
      <c r="AT177" s="110"/>
      <c r="AU177" s="383">
        <f>AM177/100*AU175</f>
        <v>0</v>
      </c>
      <c r="AV177" s="382"/>
      <c r="AW177" s="382"/>
      <c r="AX177" s="384">
        <f t="shared" ref="AX177:AX178" si="2598">AU177</f>
        <v>0</v>
      </c>
      <c r="AY177" s="364"/>
      <c r="AZ177" s="366"/>
      <c r="BA177" s="380" t="str">
        <f>"Output Sekunder "&amp;" %"</f>
        <v>Output Sekunder  %</v>
      </c>
      <c r="BB177" s="381"/>
      <c r="BC177" s="381"/>
      <c r="BD177" s="361"/>
      <c r="BE177" s="382"/>
      <c r="BF177" s="382"/>
      <c r="BG177" s="382"/>
      <c r="BH177" s="382"/>
      <c r="BI177" s="110"/>
      <c r="BJ177" s="110"/>
      <c r="BK177" s="110"/>
      <c r="BL177" s="383">
        <f>BD177/100*BL175</f>
        <v>0</v>
      </c>
      <c r="BM177" s="382"/>
      <c r="BN177" s="382"/>
      <c r="BO177" s="384">
        <f t="shared" ref="BO177:BO178" si="2599">BL177</f>
        <v>0</v>
      </c>
      <c r="BP177" s="364"/>
      <c r="BQ177" s="366"/>
      <c r="BR177" s="380" t="str">
        <f>"Output Sekunder "&amp;" %"</f>
        <v>Output Sekunder  %</v>
      </c>
      <c r="BS177" s="381"/>
      <c r="BT177" s="381"/>
      <c r="BU177" s="361"/>
      <c r="BV177" s="382"/>
      <c r="BW177" s="382"/>
      <c r="BX177" s="382"/>
      <c r="BY177" s="382"/>
      <c r="BZ177" s="110"/>
      <c r="CA177" s="110"/>
      <c r="CB177" s="110"/>
      <c r="CC177" s="383">
        <f>BU177/100*CC175</f>
        <v>0</v>
      </c>
      <c r="CD177" s="382"/>
      <c r="CE177" s="382"/>
      <c r="CF177" s="384">
        <f t="shared" ref="CF177:CF178" si="2600">CC177</f>
        <v>0</v>
      </c>
      <c r="CG177" s="364"/>
      <c r="CH177" s="366"/>
      <c r="CI177" s="380" t="str">
        <f>"Output Sekunder "&amp;" %"</f>
        <v>Output Sekunder  %</v>
      </c>
      <c r="CJ177" s="381"/>
      <c r="CK177" s="381"/>
      <c r="CL177" s="361"/>
      <c r="CM177" s="382"/>
      <c r="CN177" s="382"/>
      <c r="CO177" s="382"/>
      <c r="CP177" s="382"/>
      <c r="CQ177" s="110"/>
      <c r="CR177" s="110"/>
      <c r="CS177" s="110"/>
      <c r="CT177" s="383">
        <f>CL177/100*CT175</f>
        <v>0</v>
      </c>
      <c r="CU177" s="382"/>
      <c r="CV177" s="382"/>
      <c r="CW177" s="384">
        <f t="shared" ref="CW177:CW178" si="2601">CT177</f>
        <v>0</v>
      </c>
      <c r="CX177" s="364"/>
      <c r="CY177" s="366"/>
      <c r="CZ177" s="380" t="str">
        <f>"Output Sekunder "&amp;" %"</f>
        <v>Output Sekunder  %</v>
      </c>
      <c r="DA177" s="381"/>
      <c r="DB177" s="381"/>
      <c r="DC177" s="361"/>
      <c r="DD177" s="382"/>
      <c r="DE177" s="382"/>
      <c r="DF177" s="382"/>
      <c r="DG177" s="382"/>
      <c r="DH177" s="110"/>
      <c r="DI177" s="110"/>
      <c r="DJ177" s="110"/>
      <c r="DK177" s="383">
        <f>DC177/100*DK175</f>
        <v>0</v>
      </c>
      <c r="DL177" s="382"/>
      <c r="DM177" s="382"/>
      <c r="DN177" s="384">
        <f t="shared" ref="DN177:DN178" si="2602">DK177</f>
        <v>0</v>
      </c>
      <c r="DO177" s="364"/>
      <c r="DP177" s="366"/>
      <c r="DQ177" s="380" t="str">
        <f>"Output Sekunder "&amp;" %"</f>
        <v>Output Sekunder  %</v>
      </c>
      <c r="DR177" s="381"/>
      <c r="DS177" s="381"/>
      <c r="DT177" s="361"/>
      <c r="DU177" s="382"/>
      <c r="DV177" s="382"/>
      <c r="DW177" s="382"/>
      <c r="DX177" s="382"/>
      <c r="DY177" s="110"/>
      <c r="DZ177" s="110"/>
      <c r="EA177" s="110"/>
      <c r="EB177" s="383">
        <f>DT177/100*EB175</f>
        <v>0</v>
      </c>
      <c r="EC177" s="382"/>
      <c r="ED177" s="382"/>
      <c r="EE177" s="384">
        <f t="shared" ref="EE177:EE178" si="2603">EB177</f>
        <v>0</v>
      </c>
      <c r="EF177" s="364"/>
      <c r="EG177" s="366"/>
      <c r="EH177" s="380" t="str">
        <f>"Output Sekunder "&amp;" %"</f>
        <v>Output Sekunder  %</v>
      </c>
      <c r="EI177" s="381"/>
      <c r="EJ177" s="381"/>
      <c r="EK177" s="361"/>
      <c r="EL177" s="382"/>
      <c r="EM177" s="382"/>
      <c r="EN177" s="382"/>
      <c r="EO177" s="382"/>
      <c r="EP177" s="110"/>
      <c r="EQ177" s="110"/>
      <c r="ER177" s="110"/>
      <c r="ES177" s="383">
        <f>EK177/100*ES175</f>
        <v>0</v>
      </c>
      <c r="ET177" s="382"/>
      <c r="EU177" s="382"/>
      <c r="EV177" s="384">
        <f t="shared" ref="EV177:EV178" si="2604">ES177</f>
        <v>0</v>
      </c>
      <c r="EW177" s="364"/>
      <c r="EX177" s="366"/>
      <c r="EY177" s="380" t="str">
        <f>"Output Sekunder "&amp;" %"</f>
        <v>Output Sekunder  %</v>
      </c>
      <c r="EZ177" s="381"/>
      <c r="FA177" s="381"/>
      <c r="FB177" s="361"/>
      <c r="FC177" s="382"/>
      <c r="FD177" s="382"/>
      <c r="FE177" s="382"/>
      <c r="FF177" s="382"/>
      <c r="FG177" s="110"/>
      <c r="FH177" s="110"/>
      <c r="FI177" s="110"/>
      <c r="FJ177" s="383">
        <f>FB177/100*FJ175</f>
        <v>0</v>
      </c>
      <c r="FK177" s="382"/>
      <c r="FL177" s="382"/>
      <c r="FM177" s="384">
        <f t="shared" ref="FM177:FM178" si="2605">FJ177</f>
        <v>0</v>
      </c>
      <c r="FN177" s="364"/>
      <c r="FO177" s="366"/>
      <c r="FP177" s="380" t="str">
        <f>"Output Sekunder "&amp;" %"</f>
        <v>Output Sekunder  %</v>
      </c>
      <c r="FQ177" s="381"/>
      <c r="FR177" s="381"/>
      <c r="FS177" s="361"/>
      <c r="FT177" s="382"/>
      <c r="FU177" s="382"/>
      <c r="FV177" s="382"/>
      <c r="FW177" s="382"/>
      <c r="FX177" s="110"/>
      <c r="FY177" s="110"/>
      <c r="FZ177" s="110"/>
      <c r="GA177" s="383">
        <f>FS177/100*GA175</f>
        <v>0</v>
      </c>
      <c r="GB177" s="382"/>
      <c r="GC177" s="382"/>
      <c r="GD177" s="384">
        <f t="shared" ref="GD177:GD178" si="2606">GA177</f>
        <v>0</v>
      </c>
      <c r="GE177" s="364"/>
      <c r="GF177" s="366"/>
      <c r="GG177" s="380" t="str">
        <f>"Output Sekunder "&amp;" %"</f>
        <v>Output Sekunder  %</v>
      </c>
      <c r="GH177" s="381"/>
      <c r="GI177" s="381"/>
      <c r="GJ177" s="361"/>
      <c r="GK177" s="382"/>
      <c r="GL177" s="382"/>
      <c r="GM177" s="382"/>
      <c r="GN177" s="382"/>
      <c r="GO177" s="110"/>
      <c r="GP177" s="110"/>
      <c r="GQ177" s="110"/>
      <c r="GR177" s="383">
        <f>GJ177/100*GR175</f>
        <v>0</v>
      </c>
      <c r="GS177" s="382"/>
      <c r="GT177" s="382"/>
      <c r="GU177" s="384">
        <f t="shared" ref="GU177:GU178" si="2607">GR177</f>
        <v>0</v>
      </c>
      <c r="GV177" s="364"/>
      <c r="GW177" s="366"/>
      <c r="GX177" s="380" t="str">
        <f>"Output Sekunder "&amp;" %"</f>
        <v>Output Sekunder  %</v>
      </c>
      <c r="GY177" s="381"/>
      <c r="GZ177" s="381"/>
      <c r="HA177" s="361"/>
      <c r="HB177" s="382"/>
      <c r="HC177" s="382"/>
      <c r="HD177" s="382"/>
      <c r="HE177" s="382"/>
      <c r="HF177" s="110"/>
      <c r="HG177" s="110"/>
      <c r="HH177" s="110"/>
      <c r="HI177" s="383">
        <f>HA177/100*HI175</f>
        <v>0</v>
      </c>
      <c r="HJ177" s="382"/>
      <c r="HK177" s="382"/>
      <c r="HL177" s="384">
        <f t="shared" ref="HL177:HL178" si="2608">HI177</f>
        <v>0</v>
      </c>
      <c r="HM177" s="364"/>
      <c r="HN177" s="366"/>
      <c r="HO177" s="380" t="str">
        <f>"Output Sekunder "&amp;" %"</f>
        <v>Output Sekunder  %</v>
      </c>
      <c r="HP177" s="381"/>
      <c r="HQ177" s="381"/>
      <c r="HR177" s="361"/>
      <c r="HS177" s="382"/>
      <c r="HT177" s="382"/>
      <c r="HU177" s="382"/>
      <c r="HV177" s="382"/>
      <c r="HW177" s="110"/>
      <c r="HX177" s="110"/>
      <c r="HY177" s="110"/>
      <c r="HZ177" s="383">
        <f>HR177/100*HZ175</f>
        <v>0</v>
      </c>
      <c r="IA177" s="382"/>
      <c r="IB177" s="382"/>
      <c r="IC177" s="384">
        <f t="shared" ref="IC177:IC178" si="2609">HZ177</f>
        <v>0</v>
      </c>
      <c r="ID177" s="364"/>
      <c r="IE177" s="366"/>
      <c r="IF177" s="380" t="str">
        <f>"Output Sekunder "&amp;" %"</f>
        <v>Output Sekunder  %</v>
      </c>
      <c r="IG177" s="381"/>
      <c r="IH177" s="381"/>
      <c r="II177" s="361"/>
      <c r="IJ177" s="382"/>
      <c r="IK177" s="382"/>
      <c r="IL177" s="382"/>
      <c r="IM177" s="382"/>
      <c r="IN177" s="110"/>
      <c r="IO177" s="110"/>
      <c r="IP177" s="110"/>
      <c r="IQ177" s="383">
        <f>II177/100*IQ175</f>
        <v>0</v>
      </c>
      <c r="IR177" s="382"/>
      <c r="IS177" s="382"/>
      <c r="IT177" s="384">
        <f t="shared" ref="IT177:IT178" si="2610">IQ177</f>
        <v>0</v>
      </c>
      <c r="IU177" s="364"/>
      <c r="IV177" s="366"/>
      <c r="IW177" s="380" t="str">
        <f>"Output Sekunder "&amp;" %"</f>
        <v>Output Sekunder  %</v>
      </c>
      <c r="IX177" s="381"/>
      <c r="IY177" s="381"/>
      <c r="IZ177" s="361"/>
      <c r="JA177" s="382"/>
      <c r="JB177" s="382"/>
      <c r="JC177" s="382"/>
      <c r="JD177" s="382"/>
      <c r="JE177" s="110"/>
      <c r="JF177" s="110"/>
      <c r="JG177" s="110"/>
      <c r="JH177" s="383">
        <f>IZ177/100*JH175</f>
        <v>0</v>
      </c>
      <c r="JI177" s="382"/>
      <c r="JJ177" s="382"/>
      <c r="JK177" s="384">
        <f t="shared" ref="JK177:JK178" si="2611">JH177</f>
        <v>0</v>
      </c>
      <c r="JL177" s="364"/>
      <c r="JM177" s="366"/>
      <c r="JN177" s="380" t="str">
        <f>"Output Sekunder "&amp;" %"</f>
        <v>Output Sekunder  %</v>
      </c>
      <c r="JO177" s="381"/>
      <c r="JP177" s="381"/>
      <c r="JQ177" s="361"/>
      <c r="JR177" s="382"/>
      <c r="JS177" s="382"/>
      <c r="JT177" s="382"/>
      <c r="JU177" s="382"/>
      <c r="JV177" s="110"/>
      <c r="JW177" s="110"/>
      <c r="JX177" s="110"/>
      <c r="JY177" s="383">
        <f>JQ177/100*JY175</f>
        <v>0</v>
      </c>
      <c r="JZ177" s="382"/>
      <c r="KA177" s="382"/>
      <c r="KB177" s="384">
        <f t="shared" ref="KB177:KB178" si="2612">JY177</f>
        <v>0</v>
      </c>
      <c r="KC177" s="364"/>
      <c r="KD177" s="366"/>
      <c r="KE177" s="380" t="str">
        <f>"Output Sekunder "&amp;" %"</f>
        <v>Output Sekunder  %</v>
      </c>
      <c r="KF177" s="381"/>
      <c r="KG177" s="381"/>
      <c r="KH177" s="361"/>
      <c r="KI177" s="382"/>
      <c r="KJ177" s="382"/>
      <c r="KK177" s="382"/>
      <c r="KL177" s="382"/>
      <c r="KM177" s="110"/>
      <c r="KN177" s="110"/>
      <c r="KO177" s="110"/>
      <c r="KP177" s="383">
        <f>KH177/100*KP175</f>
        <v>0</v>
      </c>
      <c r="KQ177" s="382"/>
      <c r="KR177" s="382"/>
      <c r="KS177" s="384">
        <f t="shared" ref="KS177:KS178" si="2613">KP177</f>
        <v>0</v>
      </c>
      <c r="KT177" s="364"/>
      <c r="KU177" s="365"/>
    </row>
    <row r="178" ht="15.75" customHeight="1">
      <c r="A178" s="366"/>
      <c r="B178" s="385" t="str">
        <f>"Adjusment "&amp;" %"</f>
        <v>Adjusment  %</v>
      </c>
      <c r="C178" s="386"/>
      <c r="D178" s="386"/>
      <c r="E178" s="361"/>
      <c r="F178" s="382"/>
      <c r="G178" s="382"/>
      <c r="H178" s="382"/>
      <c r="I178" s="382"/>
      <c r="J178" s="110"/>
      <c r="K178" s="110"/>
      <c r="L178" s="110"/>
      <c r="M178" s="387">
        <f>E178/100*(M175+M177)</f>
        <v>0</v>
      </c>
      <c r="N178" s="382"/>
      <c r="O178" s="382"/>
      <c r="P178" s="388">
        <f t="shared" si="2596"/>
        <v>0</v>
      </c>
      <c r="Q178" s="364"/>
      <c r="R178" s="366"/>
      <c r="S178" s="385" t="str">
        <f>"Adjusment "&amp;" %"</f>
        <v>Adjusment  %</v>
      </c>
      <c r="T178" s="386"/>
      <c r="U178" s="386"/>
      <c r="V178" s="361"/>
      <c r="W178" s="382"/>
      <c r="X178" s="382"/>
      <c r="Y178" s="382"/>
      <c r="Z178" s="382"/>
      <c r="AA178" s="110"/>
      <c r="AB178" s="110"/>
      <c r="AC178" s="110"/>
      <c r="AD178" s="387">
        <f>V178/100*(AD175+AD177)</f>
        <v>0</v>
      </c>
      <c r="AE178" s="382"/>
      <c r="AF178" s="382"/>
      <c r="AG178" s="388">
        <f t="shared" si="2597"/>
        <v>0</v>
      </c>
      <c r="AH178" s="364"/>
      <c r="AI178" s="366"/>
      <c r="AJ178" s="385" t="str">
        <f>"Adjusment "&amp;" %"</f>
        <v>Adjusment  %</v>
      </c>
      <c r="AK178" s="386"/>
      <c r="AL178" s="386"/>
      <c r="AM178" s="361"/>
      <c r="AN178" s="382"/>
      <c r="AO178" s="382"/>
      <c r="AP178" s="382"/>
      <c r="AQ178" s="382"/>
      <c r="AR178" s="110"/>
      <c r="AS178" s="110"/>
      <c r="AT178" s="110"/>
      <c r="AU178" s="387">
        <f>AM178/100*(AU175+AU177)</f>
        <v>0</v>
      </c>
      <c r="AV178" s="382"/>
      <c r="AW178" s="382"/>
      <c r="AX178" s="388">
        <f t="shared" si="2598"/>
        <v>0</v>
      </c>
      <c r="AY178" s="364"/>
      <c r="AZ178" s="366"/>
      <c r="BA178" s="385" t="str">
        <f>"Adjusment "&amp;" %"</f>
        <v>Adjusment  %</v>
      </c>
      <c r="BB178" s="386"/>
      <c r="BC178" s="386"/>
      <c r="BD178" s="361"/>
      <c r="BE178" s="382"/>
      <c r="BF178" s="382"/>
      <c r="BG178" s="382"/>
      <c r="BH178" s="382"/>
      <c r="BI178" s="110"/>
      <c r="BJ178" s="110"/>
      <c r="BK178" s="110"/>
      <c r="BL178" s="387">
        <f>BD178/100*(BL175+BL177)</f>
        <v>0</v>
      </c>
      <c r="BM178" s="382"/>
      <c r="BN178" s="382"/>
      <c r="BO178" s="388">
        <f t="shared" si="2599"/>
        <v>0</v>
      </c>
      <c r="BP178" s="364"/>
      <c r="BQ178" s="366"/>
      <c r="BR178" s="385" t="str">
        <f>"Adjusment "&amp;" %"</f>
        <v>Adjusment  %</v>
      </c>
      <c r="BS178" s="386"/>
      <c r="BT178" s="386"/>
      <c r="BU178" s="361"/>
      <c r="BV178" s="382"/>
      <c r="BW178" s="382"/>
      <c r="BX178" s="382"/>
      <c r="BY178" s="382"/>
      <c r="BZ178" s="110"/>
      <c r="CA178" s="110"/>
      <c r="CB178" s="110"/>
      <c r="CC178" s="387">
        <f>BU178/100*(CC175+CC177)</f>
        <v>0</v>
      </c>
      <c r="CD178" s="382"/>
      <c r="CE178" s="382"/>
      <c r="CF178" s="388">
        <f t="shared" si="2600"/>
        <v>0</v>
      </c>
      <c r="CG178" s="364"/>
      <c r="CH178" s="366"/>
      <c r="CI178" s="385" t="str">
        <f>"Adjusment "&amp;" %"</f>
        <v>Adjusment  %</v>
      </c>
      <c r="CJ178" s="386"/>
      <c r="CK178" s="386"/>
      <c r="CL178" s="361"/>
      <c r="CM178" s="382"/>
      <c r="CN178" s="382"/>
      <c r="CO178" s="382"/>
      <c r="CP178" s="382"/>
      <c r="CQ178" s="110"/>
      <c r="CR178" s="110"/>
      <c r="CS178" s="110"/>
      <c r="CT178" s="387">
        <f>CL178/100*(CT175+CT177)</f>
        <v>0</v>
      </c>
      <c r="CU178" s="382"/>
      <c r="CV178" s="382"/>
      <c r="CW178" s="388">
        <f t="shared" si="2601"/>
        <v>0</v>
      </c>
      <c r="CX178" s="364"/>
      <c r="CY178" s="366"/>
      <c r="CZ178" s="385" t="str">
        <f>"Adjusment "&amp;" %"</f>
        <v>Adjusment  %</v>
      </c>
      <c r="DA178" s="386"/>
      <c r="DB178" s="386"/>
      <c r="DC178" s="361"/>
      <c r="DD178" s="382"/>
      <c r="DE178" s="382"/>
      <c r="DF178" s="382"/>
      <c r="DG178" s="382"/>
      <c r="DH178" s="110"/>
      <c r="DI178" s="110"/>
      <c r="DJ178" s="110"/>
      <c r="DK178" s="387">
        <f>DC178/100*(DK175+DK177)</f>
        <v>0</v>
      </c>
      <c r="DL178" s="382"/>
      <c r="DM178" s="382"/>
      <c r="DN178" s="388">
        <f t="shared" si="2602"/>
        <v>0</v>
      </c>
      <c r="DO178" s="364"/>
      <c r="DP178" s="366"/>
      <c r="DQ178" s="385" t="str">
        <f>"Adjusment "&amp;" %"</f>
        <v>Adjusment  %</v>
      </c>
      <c r="DR178" s="386"/>
      <c r="DS178" s="386"/>
      <c r="DT178" s="361"/>
      <c r="DU178" s="382"/>
      <c r="DV178" s="382"/>
      <c r="DW178" s="382"/>
      <c r="DX178" s="382"/>
      <c r="DY178" s="110"/>
      <c r="DZ178" s="110"/>
      <c r="EA178" s="110"/>
      <c r="EB178" s="387">
        <f>DT178/100*(EB175+EB177)</f>
        <v>0</v>
      </c>
      <c r="EC178" s="382"/>
      <c r="ED178" s="382"/>
      <c r="EE178" s="388">
        <f t="shared" si="2603"/>
        <v>0</v>
      </c>
      <c r="EF178" s="364"/>
      <c r="EG178" s="366"/>
      <c r="EH178" s="385" t="str">
        <f>"Adjusment "&amp;" %"</f>
        <v>Adjusment  %</v>
      </c>
      <c r="EI178" s="386"/>
      <c r="EJ178" s="386"/>
      <c r="EK178" s="361"/>
      <c r="EL178" s="382"/>
      <c r="EM178" s="382"/>
      <c r="EN178" s="382"/>
      <c r="EO178" s="382"/>
      <c r="EP178" s="110"/>
      <c r="EQ178" s="110"/>
      <c r="ER178" s="110"/>
      <c r="ES178" s="387">
        <f>EK178/100*(ES175+ES177)</f>
        <v>0</v>
      </c>
      <c r="ET178" s="382"/>
      <c r="EU178" s="382"/>
      <c r="EV178" s="388">
        <f t="shared" si="2604"/>
        <v>0</v>
      </c>
      <c r="EW178" s="364"/>
      <c r="EX178" s="366"/>
      <c r="EY178" s="385" t="str">
        <f>"Adjusment "&amp;" %"</f>
        <v>Adjusment  %</v>
      </c>
      <c r="EZ178" s="386"/>
      <c r="FA178" s="386"/>
      <c r="FB178" s="361"/>
      <c r="FC178" s="382"/>
      <c r="FD178" s="382"/>
      <c r="FE178" s="382"/>
      <c r="FF178" s="382"/>
      <c r="FG178" s="110"/>
      <c r="FH178" s="110"/>
      <c r="FI178" s="110"/>
      <c r="FJ178" s="387">
        <f>FB178/100*(FJ175+FJ177)</f>
        <v>0</v>
      </c>
      <c r="FK178" s="382"/>
      <c r="FL178" s="382"/>
      <c r="FM178" s="388">
        <f t="shared" si="2605"/>
        <v>0</v>
      </c>
      <c r="FN178" s="364"/>
      <c r="FO178" s="366"/>
      <c r="FP178" s="385" t="str">
        <f>"Adjusment "&amp;" %"</f>
        <v>Adjusment  %</v>
      </c>
      <c r="FQ178" s="386"/>
      <c r="FR178" s="386"/>
      <c r="FS178" s="361"/>
      <c r="FT178" s="382"/>
      <c r="FU178" s="382"/>
      <c r="FV178" s="382"/>
      <c r="FW178" s="382"/>
      <c r="FX178" s="110"/>
      <c r="FY178" s="110"/>
      <c r="FZ178" s="110"/>
      <c r="GA178" s="387">
        <f>FS178/100*(GA175+GA177)</f>
        <v>0</v>
      </c>
      <c r="GB178" s="382"/>
      <c r="GC178" s="382"/>
      <c r="GD178" s="388">
        <f t="shared" si="2606"/>
        <v>0</v>
      </c>
      <c r="GE178" s="364"/>
      <c r="GF178" s="366"/>
      <c r="GG178" s="385" t="str">
        <f>"Adjusment "&amp;" %"</f>
        <v>Adjusment  %</v>
      </c>
      <c r="GH178" s="386"/>
      <c r="GI178" s="386"/>
      <c r="GJ178" s="361"/>
      <c r="GK178" s="382"/>
      <c r="GL178" s="382"/>
      <c r="GM178" s="382"/>
      <c r="GN178" s="382"/>
      <c r="GO178" s="110"/>
      <c r="GP178" s="110"/>
      <c r="GQ178" s="110"/>
      <c r="GR178" s="387">
        <f>GJ178/100*(GR175+GR177)</f>
        <v>0</v>
      </c>
      <c r="GS178" s="382"/>
      <c r="GT178" s="382"/>
      <c r="GU178" s="388">
        <f t="shared" si="2607"/>
        <v>0</v>
      </c>
      <c r="GV178" s="364"/>
      <c r="GW178" s="366"/>
      <c r="GX178" s="385" t="str">
        <f>"Adjusment "&amp;" %"</f>
        <v>Adjusment  %</v>
      </c>
      <c r="GY178" s="386"/>
      <c r="GZ178" s="386"/>
      <c r="HA178" s="361"/>
      <c r="HB178" s="382"/>
      <c r="HC178" s="382"/>
      <c r="HD178" s="382"/>
      <c r="HE178" s="382"/>
      <c r="HF178" s="110"/>
      <c r="HG178" s="110"/>
      <c r="HH178" s="110"/>
      <c r="HI178" s="387">
        <f>HA178/100*(HI175+HI177)</f>
        <v>0</v>
      </c>
      <c r="HJ178" s="382"/>
      <c r="HK178" s="382"/>
      <c r="HL178" s="388">
        <f t="shared" si="2608"/>
        <v>0</v>
      </c>
      <c r="HM178" s="364"/>
      <c r="HN178" s="366"/>
      <c r="HO178" s="385" t="str">
        <f>"Adjusment "&amp;" %"</f>
        <v>Adjusment  %</v>
      </c>
      <c r="HP178" s="386"/>
      <c r="HQ178" s="386"/>
      <c r="HR178" s="361"/>
      <c r="HS178" s="382"/>
      <c r="HT178" s="382"/>
      <c r="HU178" s="382"/>
      <c r="HV178" s="382"/>
      <c r="HW178" s="110"/>
      <c r="HX178" s="110"/>
      <c r="HY178" s="110"/>
      <c r="HZ178" s="387">
        <f>HR178/100*(HZ175+HZ177)</f>
        <v>0</v>
      </c>
      <c r="IA178" s="382"/>
      <c r="IB178" s="382"/>
      <c r="IC178" s="388">
        <f t="shared" si="2609"/>
        <v>0</v>
      </c>
      <c r="ID178" s="364"/>
      <c r="IE178" s="366"/>
      <c r="IF178" s="385" t="str">
        <f>"Adjusment "&amp;" %"</f>
        <v>Adjusment  %</v>
      </c>
      <c r="IG178" s="386"/>
      <c r="IH178" s="386"/>
      <c r="II178" s="361"/>
      <c r="IJ178" s="382"/>
      <c r="IK178" s="382"/>
      <c r="IL178" s="382"/>
      <c r="IM178" s="382"/>
      <c r="IN178" s="110"/>
      <c r="IO178" s="110"/>
      <c r="IP178" s="110"/>
      <c r="IQ178" s="387">
        <f>II178/100*(IQ175+IQ177)</f>
        <v>0</v>
      </c>
      <c r="IR178" s="382"/>
      <c r="IS178" s="382"/>
      <c r="IT178" s="388">
        <f t="shared" si="2610"/>
        <v>0</v>
      </c>
      <c r="IU178" s="364"/>
      <c r="IV178" s="366"/>
      <c r="IW178" s="385" t="str">
        <f>"Adjusment "&amp;" %"</f>
        <v>Adjusment  %</v>
      </c>
      <c r="IX178" s="386"/>
      <c r="IY178" s="386"/>
      <c r="IZ178" s="361"/>
      <c r="JA178" s="382"/>
      <c r="JB178" s="382"/>
      <c r="JC178" s="382"/>
      <c r="JD178" s="382"/>
      <c r="JE178" s="110"/>
      <c r="JF178" s="110"/>
      <c r="JG178" s="110"/>
      <c r="JH178" s="387">
        <f>IZ178/100*(JH175+JH177)</f>
        <v>0</v>
      </c>
      <c r="JI178" s="382"/>
      <c r="JJ178" s="382"/>
      <c r="JK178" s="388">
        <f t="shared" si="2611"/>
        <v>0</v>
      </c>
      <c r="JL178" s="364"/>
      <c r="JM178" s="366"/>
      <c r="JN178" s="385" t="str">
        <f>"Adjusment "&amp;" %"</f>
        <v>Adjusment  %</v>
      </c>
      <c r="JO178" s="386"/>
      <c r="JP178" s="386"/>
      <c r="JQ178" s="361"/>
      <c r="JR178" s="382"/>
      <c r="JS178" s="382"/>
      <c r="JT178" s="382"/>
      <c r="JU178" s="382"/>
      <c r="JV178" s="110"/>
      <c r="JW178" s="110"/>
      <c r="JX178" s="110"/>
      <c r="JY178" s="387">
        <f>JQ178/100*(JY175+JY177)</f>
        <v>0</v>
      </c>
      <c r="JZ178" s="382"/>
      <c r="KA178" s="382"/>
      <c r="KB178" s="388">
        <f t="shared" si="2612"/>
        <v>0</v>
      </c>
      <c r="KC178" s="364"/>
      <c r="KD178" s="366"/>
      <c r="KE178" s="385" t="str">
        <f>"Adjusment "&amp;" %"</f>
        <v>Adjusment  %</v>
      </c>
      <c r="KF178" s="386"/>
      <c r="KG178" s="386"/>
      <c r="KH178" s="361"/>
      <c r="KI178" s="382"/>
      <c r="KJ178" s="382"/>
      <c r="KK178" s="382"/>
      <c r="KL178" s="382"/>
      <c r="KM178" s="110"/>
      <c r="KN178" s="110"/>
      <c r="KO178" s="110"/>
      <c r="KP178" s="387">
        <f>KH178/100*(KP175+KP177)</f>
        <v>0</v>
      </c>
      <c r="KQ178" s="382"/>
      <c r="KR178" s="382"/>
      <c r="KS178" s="388">
        <f t="shared" si="2613"/>
        <v>0</v>
      </c>
      <c r="KT178" s="364"/>
      <c r="KU178" s="365"/>
    </row>
    <row r="179" ht="15.75" customHeight="1">
      <c r="A179" s="366"/>
      <c r="B179" s="367"/>
      <c r="C179" s="368"/>
      <c r="D179" s="368"/>
      <c r="E179" s="361"/>
      <c r="F179" s="361"/>
      <c r="G179" s="361"/>
      <c r="H179" s="361"/>
      <c r="I179" s="361"/>
      <c r="J179" s="87"/>
      <c r="K179" s="87"/>
      <c r="L179" s="87"/>
      <c r="M179" s="361"/>
      <c r="N179" s="361"/>
      <c r="O179" s="361"/>
      <c r="P179" s="371"/>
      <c r="Q179" s="364"/>
      <c r="R179" s="366"/>
      <c r="S179" s="367"/>
      <c r="T179" s="368"/>
      <c r="U179" s="368"/>
      <c r="V179" s="361"/>
      <c r="W179" s="361"/>
      <c r="X179" s="361"/>
      <c r="Y179" s="361"/>
      <c r="Z179" s="361"/>
      <c r="AA179" s="87"/>
      <c r="AB179" s="87"/>
      <c r="AC179" s="87"/>
      <c r="AD179" s="361"/>
      <c r="AE179" s="361"/>
      <c r="AF179" s="361"/>
      <c r="AG179" s="371"/>
      <c r="AH179" s="364"/>
      <c r="AI179" s="366"/>
      <c r="AJ179" s="367"/>
      <c r="AK179" s="368"/>
      <c r="AL179" s="368"/>
      <c r="AM179" s="361"/>
      <c r="AN179" s="361"/>
      <c r="AO179" s="361"/>
      <c r="AP179" s="361"/>
      <c r="AQ179" s="361"/>
      <c r="AR179" s="87"/>
      <c r="AS179" s="87"/>
      <c r="AT179" s="87"/>
      <c r="AU179" s="361"/>
      <c r="AV179" s="361"/>
      <c r="AW179" s="361"/>
      <c r="AX179" s="371"/>
      <c r="AY179" s="364"/>
      <c r="AZ179" s="366"/>
      <c r="BA179" s="367"/>
      <c r="BB179" s="368"/>
      <c r="BC179" s="368"/>
      <c r="BD179" s="361"/>
      <c r="BE179" s="361"/>
      <c r="BF179" s="361"/>
      <c r="BG179" s="361"/>
      <c r="BH179" s="361"/>
      <c r="BI179" s="87"/>
      <c r="BJ179" s="87"/>
      <c r="BK179" s="87"/>
      <c r="BL179" s="361"/>
      <c r="BM179" s="361"/>
      <c r="BN179" s="361"/>
      <c r="BO179" s="371"/>
      <c r="BP179" s="364"/>
      <c r="BQ179" s="366"/>
      <c r="BR179" s="367"/>
      <c r="BS179" s="368"/>
      <c r="BT179" s="368"/>
      <c r="BU179" s="361"/>
      <c r="BV179" s="361"/>
      <c r="BW179" s="361"/>
      <c r="BX179" s="361"/>
      <c r="BY179" s="361"/>
      <c r="BZ179" s="87"/>
      <c r="CA179" s="87"/>
      <c r="CB179" s="87"/>
      <c r="CC179" s="361"/>
      <c r="CD179" s="361"/>
      <c r="CE179" s="361"/>
      <c r="CF179" s="371"/>
      <c r="CG179" s="364"/>
      <c r="CH179" s="366"/>
      <c r="CI179" s="367"/>
      <c r="CJ179" s="368"/>
      <c r="CK179" s="368"/>
      <c r="CL179" s="361"/>
      <c r="CM179" s="361"/>
      <c r="CN179" s="361"/>
      <c r="CO179" s="361"/>
      <c r="CP179" s="361"/>
      <c r="CQ179" s="87"/>
      <c r="CR179" s="87"/>
      <c r="CS179" s="87"/>
      <c r="CT179" s="361"/>
      <c r="CU179" s="361"/>
      <c r="CV179" s="361"/>
      <c r="CW179" s="371"/>
      <c r="CX179" s="364"/>
      <c r="CY179" s="366"/>
      <c r="CZ179" s="367"/>
      <c r="DA179" s="368"/>
      <c r="DB179" s="368"/>
      <c r="DC179" s="361"/>
      <c r="DD179" s="361"/>
      <c r="DE179" s="361"/>
      <c r="DF179" s="361"/>
      <c r="DG179" s="361"/>
      <c r="DH179" s="87"/>
      <c r="DI179" s="87"/>
      <c r="DJ179" s="87"/>
      <c r="DK179" s="361"/>
      <c r="DL179" s="361"/>
      <c r="DM179" s="361"/>
      <c r="DN179" s="371"/>
      <c r="DO179" s="364"/>
      <c r="DP179" s="366"/>
      <c r="DQ179" s="367"/>
      <c r="DR179" s="368"/>
      <c r="DS179" s="368"/>
      <c r="DT179" s="361"/>
      <c r="DU179" s="361"/>
      <c r="DV179" s="361"/>
      <c r="DW179" s="361"/>
      <c r="DX179" s="361"/>
      <c r="DY179" s="87"/>
      <c r="DZ179" s="87"/>
      <c r="EA179" s="87"/>
      <c r="EB179" s="361"/>
      <c r="EC179" s="361"/>
      <c r="ED179" s="361"/>
      <c r="EE179" s="371"/>
      <c r="EF179" s="364"/>
      <c r="EG179" s="366"/>
      <c r="EH179" s="367"/>
      <c r="EI179" s="368"/>
      <c r="EJ179" s="368"/>
      <c r="EK179" s="361"/>
      <c r="EL179" s="361"/>
      <c r="EM179" s="361"/>
      <c r="EN179" s="361"/>
      <c r="EO179" s="361"/>
      <c r="EP179" s="87"/>
      <c r="EQ179" s="87"/>
      <c r="ER179" s="87"/>
      <c r="ES179" s="361"/>
      <c r="ET179" s="361"/>
      <c r="EU179" s="361"/>
      <c r="EV179" s="371"/>
      <c r="EW179" s="364"/>
      <c r="EX179" s="366"/>
      <c r="EY179" s="367"/>
      <c r="EZ179" s="368"/>
      <c r="FA179" s="368"/>
      <c r="FB179" s="361"/>
      <c r="FC179" s="361"/>
      <c r="FD179" s="361"/>
      <c r="FE179" s="361"/>
      <c r="FF179" s="361"/>
      <c r="FG179" s="87"/>
      <c r="FH179" s="87"/>
      <c r="FI179" s="87"/>
      <c r="FJ179" s="361"/>
      <c r="FK179" s="361"/>
      <c r="FL179" s="361"/>
      <c r="FM179" s="371"/>
      <c r="FN179" s="364"/>
      <c r="FO179" s="366"/>
      <c r="FP179" s="367"/>
      <c r="FQ179" s="368"/>
      <c r="FR179" s="368"/>
      <c r="FS179" s="361"/>
      <c r="FT179" s="361"/>
      <c r="FU179" s="361"/>
      <c r="FV179" s="361"/>
      <c r="FW179" s="361"/>
      <c r="FX179" s="87"/>
      <c r="FY179" s="87"/>
      <c r="FZ179" s="87"/>
      <c r="GA179" s="361"/>
      <c r="GB179" s="361"/>
      <c r="GC179" s="361"/>
      <c r="GD179" s="371"/>
      <c r="GE179" s="364"/>
      <c r="GF179" s="366"/>
      <c r="GG179" s="367"/>
      <c r="GH179" s="368"/>
      <c r="GI179" s="368"/>
      <c r="GJ179" s="361"/>
      <c r="GK179" s="361"/>
      <c r="GL179" s="361"/>
      <c r="GM179" s="361"/>
      <c r="GN179" s="361"/>
      <c r="GO179" s="87"/>
      <c r="GP179" s="87"/>
      <c r="GQ179" s="87"/>
      <c r="GR179" s="361"/>
      <c r="GS179" s="361"/>
      <c r="GT179" s="361"/>
      <c r="GU179" s="371"/>
      <c r="GV179" s="364"/>
      <c r="GW179" s="366"/>
      <c r="GX179" s="367"/>
      <c r="GY179" s="368"/>
      <c r="GZ179" s="368"/>
      <c r="HA179" s="361"/>
      <c r="HB179" s="361"/>
      <c r="HC179" s="361"/>
      <c r="HD179" s="361"/>
      <c r="HE179" s="361"/>
      <c r="HF179" s="87"/>
      <c r="HG179" s="87"/>
      <c r="HH179" s="87"/>
      <c r="HI179" s="361"/>
      <c r="HJ179" s="361"/>
      <c r="HK179" s="361"/>
      <c r="HL179" s="371"/>
      <c r="HM179" s="364"/>
      <c r="HN179" s="366"/>
      <c r="HO179" s="367"/>
      <c r="HP179" s="368"/>
      <c r="HQ179" s="368"/>
      <c r="HR179" s="361"/>
      <c r="HS179" s="361"/>
      <c r="HT179" s="361"/>
      <c r="HU179" s="361"/>
      <c r="HV179" s="361"/>
      <c r="HW179" s="87"/>
      <c r="HX179" s="87"/>
      <c r="HY179" s="87"/>
      <c r="HZ179" s="361"/>
      <c r="IA179" s="361"/>
      <c r="IB179" s="361"/>
      <c r="IC179" s="371"/>
      <c r="ID179" s="364"/>
      <c r="IE179" s="366"/>
      <c r="IF179" s="367"/>
      <c r="IG179" s="368"/>
      <c r="IH179" s="368"/>
      <c r="II179" s="361"/>
      <c r="IJ179" s="361"/>
      <c r="IK179" s="361"/>
      <c r="IL179" s="361"/>
      <c r="IM179" s="361"/>
      <c r="IN179" s="87"/>
      <c r="IO179" s="87"/>
      <c r="IP179" s="87"/>
      <c r="IQ179" s="361"/>
      <c r="IR179" s="361"/>
      <c r="IS179" s="361"/>
      <c r="IT179" s="371"/>
      <c r="IU179" s="364"/>
      <c r="IV179" s="366"/>
      <c r="IW179" s="367"/>
      <c r="IX179" s="368"/>
      <c r="IY179" s="368"/>
      <c r="IZ179" s="361"/>
      <c r="JA179" s="361"/>
      <c r="JB179" s="361"/>
      <c r="JC179" s="361"/>
      <c r="JD179" s="361"/>
      <c r="JE179" s="87"/>
      <c r="JF179" s="87"/>
      <c r="JG179" s="87"/>
      <c r="JH179" s="361"/>
      <c r="JI179" s="361"/>
      <c r="JJ179" s="361"/>
      <c r="JK179" s="371"/>
      <c r="JL179" s="364"/>
      <c r="JM179" s="366"/>
      <c r="JN179" s="367"/>
      <c r="JO179" s="368"/>
      <c r="JP179" s="368"/>
      <c r="JQ179" s="361"/>
      <c r="JR179" s="361"/>
      <c r="JS179" s="361"/>
      <c r="JT179" s="361"/>
      <c r="JU179" s="361"/>
      <c r="JV179" s="87"/>
      <c r="JW179" s="87"/>
      <c r="JX179" s="87"/>
      <c r="JY179" s="361"/>
      <c r="JZ179" s="361"/>
      <c r="KA179" s="361"/>
      <c r="KB179" s="371"/>
      <c r="KC179" s="364"/>
      <c r="KD179" s="366"/>
      <c r="KE179" s="367"/>
      <c r="KF179" s="368"/>
      <c r="KG179" s="368"/>
      <c r="KH179" s="361"/>
      <c r="KI179" s="361"/>
      <c r="KJ179" s="361"/>
      <c r="KK179" s="361"/>
      <c r="KL179" s="361"/>
      <c r="KM179" s="87"/>
      <c r="KN179" s="87"/>
      <c r="KO179" s="87"/>
      <c r="KP179" s="361"/>
      <c r="KQ179" s="361"/>
      <c r="KR179" s="361"/>
      <c r="KS179" s="371"/>
      <c r="KT179" s="364"/>
      <c r="KU179" s="365"/>
    </row>
    <row r="180" ht="24.0" customHeight="1">
      <c r="A180" s="389" t="s">
        <v>52</v>
      </c>
      <c r="B180" s="118"/>
      <c r="C180" s="390"/>
      <c r="D180" s="390"/>
      <c r="E180" s="391"/>
      <c r="F180" s="391"/>
      <c r="G180" s="392">
        <f>SUM(G175:G179)</f>
        <v>0</v>
      </c>
      <c r="H180" s="391"/>
      <c r="I180" s="392">
        <f>SUM(I175:I179)</f>
        <v>0</v>
      </c>
      <c r="J180" s="120"/>
      <c r="K180" s="120"/>
      <c r="L180" s="120"/>
      <c r="M180" s="392">
        <f>SUM(M175:M179)</f>
        <v>0</v>
      </c>
      <c r="N180" s="391"/>
      <c r="O180" s="392">
        <f t="shared" ref="O180:P180" si="2614">SUM(O175:O179)</f>
        <v>0</v>
      </c>
      <c r="P180" s="392">
        <f t="shared" si="2614"/>
        <v>0</v>
      </c>
      <c r="Q180" s="378"/>
      <c r="R180" s="389" t="s">
        <v>52</v>
      </c>
      <c r="S180" s="118"/>
      <c r="T180" s="390"/>
      <c r="U180" s="390"/>
      <c r="V180" s="391"/>
      <c r="W180" s="391"/>
      <c r="X180" s="392">
        <f>SUM(X175:X179)</f>
        <v>0</v>
      </c>
      <c r="Y180" s="391"/>
      <c r="Z180" s="392">
        <f>SUM(Z175:Z179)</f>
        <v>0</v>
      </c>
      <c r="AA180" s="120"/>
      <c r="AB180" s="120"/>
      <c r="AC180" s="120"/>
      <c r="AD180" s="392">
        <f>SUM(AD175:AD179)</f>
        <v>0</v>
      </c>
      <c r="AE180" s="391"/>
      <c r="AF180" s="392">
        <f t="shared" ref="AF180:AG180" si="2615">SUM(AF175:AF179)</f>
        <v>0</v>
      </c>
      <c r="AG180" s="392">
        <f t="shared" si="2615"/>
        <v>0</v>
      </c>
      <c r="AH180" s="378"/>
      <c r="AI180" s="389" t="s">
        <v>52</v>
      </c>
      <c r="AJ180" s="118"/>
      <c r="AK180" s="390"/>
      <c r="AL180" s="390"/>
      <c r="AM180" s="391"/>
      <c r="AN180" s="391"/>
      <c r="AO180" s="392">
        <f>SUM(AO175:AO179)</f>
        <v>0</v>
      </c>
      <c r="AP180" s="391"/>
      <c r="AQ180" s="392">
        <f>SUM(AQ175:AQ179)</f>
        <v>0</v>
      </c>
      <c r="AR180" s="120"/>
      <c r="AS180" s="120"/>
      <c r="AT180" s="120"/>
      <c r="AU180" s="392">
        <f>SUM(AU175:AU179)</f>
        <v>0</v>
      </c>
      <c r="AV180" s="391"/>
      <c r="AW180" s="392">
        <f t="shared" ref="AW180:AX180" si="2616">SUM(AW175:AW179)</f>
        <v>0</v>
      </c>
      <c r="AX180" s="392">
        <f t="shared" si="2616"/>
        <v>0</v>
      </c>
      <c r="AY180" s="378"/>
      <c r="AZ180" s="389" t="s">
        <v>52</v>
      </c>
      <c r="BA180" s="118"/>
      <c r="BB180" s="390"/>
      <c r="BC180" s="390"/>
      <c r="BD180" s="391"/>
      <c r="BE180" s="391"/>
      <c r="BF180" s="392">
        <f>SUM(BF175:BF179)</f>
        <v>0</v>
      </c>
      <c r="BG180" s="391"/>
      <c r="BH180" s="392">
        <f>SUM(BH175:BH179)</f>
        <v>0</v>
      </c>
      <c r="BI180" s="120"/>
      <c r="BJ180" s="120"/>
      <c r="BK180" s="120"/>
      <c r="BL180" s="392">
        <f>SUM(BL175:BL179)</f>
        <v>0</v>
      </c>
      <c r="BM180" s="391"/>
      <c r="BN180" s="392">
        <f t="shared" ref="BN180:BO180" si="2617">SUM(BN175:BN179)</f>
        <v>0</v>
      </c>
      <c r="BO180" s="392">
        <f t="shared" si="2617"/>
        <v>0</v>
      </c>
      <c r="BP180" s="378"/>
      <c r="BQ180" s="389" t="s">
        <v>52</v>
      </c>
      <c r="BR180" s="118"/>
      <c r="BS180" s="390"/>
      <c r="BT180" s="390"/>
      <c r="BU180" s="391"/>
      <c r="BV180" s="391"/>
      <c r="BW180" s="392">
        <f>SUM(BW175:BW179)</f>
        <v>0</v>
      </c>
      <c r="BX180" s="391"/>
      <c r="BY180" s="392">
        <f>SUM(BY175:BY179)</f>
        <v>0</v>
      </c>
      <c r="BZ180" s="120"/>
      <c r="CA180" s="120"/>
      <c r="CB180" s="120"/>
      <c r="CC180" s="392">
        <f>SUM(CC175:CC179)</f>
        <v>0</v>
      </c>
      <c r="CD180" s="391"/>
      <c r="CE180" s="392">
        <f t="shared" ref="CE180:CF180" si="2618">SUM(CE175:CE179)</f>
        <v>0</v>
      </c>
      <c r="CF180" s="392">
        <f t="shared" si="2618"/>
        <v>0</v>
      </c>
      <c r="CG180" s="378"/>
      <c r="CH180" s="389" t="s">
        <v>52</v>
      </c>
      <c r="CI180" s="118"/>
      <c r="CJ180" s="390"/>
      <c r="CK180" s="390"/>
      <c r="CL180" s="391"/>
      <c r="CM180" s="391"/>
      <c r="CN180" s="392">
        <f>SUM(CN175:CN179)</f>
        <v>0</v>
      </c>
      <c r="CO180" s="391"/>
      <c r="CP180" s="392">
        <f>SUM(CP175:CP179)</f>
        <v>0</v>
      </c>
      <c r="CQ180" s="120"/>
      <c r="CR180" s="120"/>
      <c r="CS180" s="120"/>
      <c r="CT180" s="392">
        <f>SUM(CT175:CT179)</f>
        <v>0</v>
      </c>
      <c r="CU180" s="391"/>
      <c r="CV180" s="392">
        <f t="shared" ref="CV180:CW180" si="2619">SUM(CV175:CV179)</f>
        <v>0</v>
      </c>
      <c r="CW180" s="392">
        <f t="shared" si="2619"/>
        <v>0</v>
      </c>
      <c r="CX180" s="378"/>
      <c r="CY180" s="389" t="s">
        <v>52</v>
      </c>
      <c r="CZ180" s="118"/>
      <c r="DA180" s="390"/>
      <c r="DB180" s="390"/>
      <c r="DC180" s="391"/>
      <c r="DD180" s="391"/>
      <c r="DE180" s="392">
        <f>SUM(DE175:DE179)</f>
        <v>0</v>
      </c>
      <c r="DF180" s="391"/>
      <c r="DG180" s="392">
        <f>SUM(DG175:DG179)</f>
        <v>0</v>
      </c>
      <c r="DH180" s="120"/>
      <c r="DI180" s="120"/>
      <c r="DJ180" s="120"/>
      <c r="DK180" s="392">
        <f>SUM(DK175:DK179)</f>
        <v>0</v>
      </c>
      <c r="DL180" s="391"/>
      <c r="DM180" s="392">
        <f t="shared" ref="DM180:DN180" si="2620">SUM(DM175:DM179)</f>
        <v>0</v>
      </c>
      <c r="DN180" s="392">
        <f t="shared" si="2620"/>
        <v>0</v>
      </c>
      <c r="DO180" s="378"/>
      <c r="DP180" s="389" t="s">
        <v>52</v>
      </c>
      <c r="DQ180" s="118"/>
      <c r="DR180" s="390"/>
      <c r="DS180" s="390"/>
      <c r="DT180" s="391"/>
      <c r="DU180" s="391"/>
      <c r="DV180" s="392">
        <f>SUM(DV175:DV179)</f>
        <v>0</v>
      </c>
      <c r="DW180" s="391"/>
      <c r="DX180" s="392">
        <f>SUM(DX175:DX179)</f>
        <v>0</v>
      </c>
      <c r="DY180" s="120"/>
      <c r="DZ180" s="120"/>
      <c r="EA180" s="120"/>
      <c r="EB180" s="392">
        <f>SUM(EB175:EB179)</f>
        <v>0</v>
      </c>
      <c r="EC180" s="391"/>
      <c r="ED180" s="392">
        <f t="shared" ref="ED180:EE180" si="2621">SUM(ED175:ED179)</f>
        <v>0</v>
      </c>
      <c r="EE180" s="392">
        <f t="shared" si="2621"/>
        <v>0</v>
      </c>
      <c r="EF180" s="378"/>
      <c r="EG180" s="389" t="s">
        <v>52</v>
      </c>
      <c r="EH180" s="118"/>
      <c r="EI180" s="390"/>
      <c r="EJ180" s="390"/>
      <c r="EK180" s="391"/>
      <c r="EL180" s="391"/>
      <c r="EM180" s="392">
        <f>SUM(EM175:EM179)</f>
        <v>0</v>
      </c>
      <c r="EN180" s="391"/>
      <c r="EO180" s="392">
        <f>SUM(EO175:EO179)</f>
        <v>0</v>
      </c>
      <c r="EP180" s="120"/>
      <c r="EQ180" s="120"/>
      <c r="ER180" s="120"/>
      <c r="ES180" s="392">
        <f>SUM(ES175:ES179)</f>
        <v>0</v>
      </c>
      <c r="ET180" s="391"/>
      <c r="EU180" s="392">
        <f t="shared" ref="EU180:EV180" si="2622">SUM(EU175:EU179)</f>
        <v>0</v>
      </c>
      <c r="EV180" s="392">
        <f t="shared" si="2622"/>
        <v>0</v>
      </c>
      <c r="EW180" s="378"/>
      <c r="EX180" s="389" t="s">
        <v>52</v>
      </c>
      <c r="EY180" s="118"/>
      <c r="EZ180" s="390"/>
      <c r="FA180" s="390"/>
      <c r="FB180" s="391"/>
      <c r="FC180" s="391"/>
      <c r="FD180" s="392">
        <f>SUM(FD175:FD179)</f>
        <v>0</v>
      </c>
      <c r="FE180" s="391"/>
      <c r="FF180" s="392">
        <f>SUM(FF175:FF179)</f>
        <v>0</v>
      </c>
      <c r="FG180" s="120"/>
      <c r="FH180" s="120"/>
      <c r="FI180" s="120"/>
      <c r="FJ180" s="392">
        <f>SUM(FJ175:FJ179)</f>
        <v>0</v>
      </c>
      <c r="FK180" s="391"/>
      <c r="FL180" s="392">
        <f t="shared" ref="FL180:FM180" si="2623">SUM(FL175:FL179)</f>
        <v>0</v>
      </c>
      <c r="FM180" s="392">
        <f t="shared" si="2623"/>
        <v>0</v>
      </c>
      <c r="FN180" s="378"/>
      <c r="FO180" s="389" t="s">
        <v>52</v>
      </c>
      <c r="FP180" s="118"/>
      <c r="FQ180" s="390"/>
      <c r="FR180" s="390"/>
      <c r="FS180" s="391"/>
      <c r="FT180" s="391"/>
      <c r="FU180" s="392">
        <f>SUM(FU175:FU179)</f>
        <v>1537199.888</v>
      </c>
      <c r="FV180" s="391"/>
      <c r="FW180" s="392">
        <f>SUM(FW175:FW179)</f>
        <v>0</v>
      </c>
      <c r="FX180" s="120"/>
      <c r="FY180" s="120"/>
      <c r="FZ180" s="120"/>
      <c r="GA180" s="392">
        <f>SUM(GA175:GA179)</f>
        <v>1537199.888</v>
      </c>
      <c r="GB180" s="391"/>
      <c r="GC180" s="392">
        <f t="shared" ref="GC180:GD180" si="2624">SUM(GC175:GC179)</f>
        <v>707799.272</v>
      </c>
      <c r="GD180" s="392">
        <f t="shared" si="2624"/>
        <v>829400.6162</v>
      </c>
      <c r="GE180" s="378"/>
      <c r="GF180" s="389" t="s">
        <v>52</v>
      </c>
      <c r="GG180" s="118"/>
      <c r="GH180" s="390"/>
      <c r="GI180" s="390"/>
      <c r="GJ180" s="391"/>
      <c r="GK180" s="391"/>
      <c r="GL180" s="392">
        <f>SUM(GL175:GL179)</f>
        <v>1011205.819</v>
      </c>
      <c r="GM180" s="391"/>
      <c r="GN180" s="392">
        <f>SUM(GN175:GN179)</f>
        <v>0</v>
      </c>
      <c r="GO180" s="120"/>
      <c r="GP180" s="120"/>
      <c r="GQ180" s="120"/>
      <c r="GR180" s="392">
        <f>SUM(GR175:GR179)</f>
        <v>1011205.819</v>
      </c>
      <c r="GS180" s="391"/>
      <c r="GT180" s="392">
        <f t="shared" ref="GT180:GU180" si="2625">SUM(GT175:GT179)</f>
        <v>465606.8139</v>
      </c>
      <c r="GU180" s="392">
        <f t="shared" si="2625"/>
        <v>545599.0048</v>
      </c>
      <c r="GV180" s="378"/>
      <c r="GW180" s="389" t="s">
        <v>52</v>
      </c>
      <c r="GX180" s="118"/>
      <c r="GY180" s="390"/>
      <c r="GZ180" s="390"/>
      <c r="HA180" s="391"/>
      <c r="HB180" s="391"/>
      <c r="HC180" s="392">
        <f>SUM(HC175:HC179)</f>
        <v>1449747.567</v>
      </c>
      <c r="HD180" s="391"/>
      <c r="HE180" s="392">
        <f>SUM(HE175:HE179)</f>
        <v>1449747.567</v>
      </c>
      <c r="HF180" s="120"/>
      <c r="HG180" s="120"/>
      <c r="HH180" s="120"/>
      <c r="HI180" s="392">
        <f>SUM(HI175:HI179)</f>
        <v>2899495.134</v>
      </c>
      <c r="HJ180" s="391"/>
      <c r="HK180" s="392">
        <f t="shared" ref="HK180:HL180" si="2626">SUM(HK175:HK179)</f>
        <v>1335064.204</v>
      </c>
      <c r="HL180" s="392">
        <f t="shared" si="2626"/>
        <v>1564430.93</v>
      </c>
      <c r="HM180" s="378"/>
      <c r="HN180" s="389" t="s">
        <v>52</v>
      </c>
      <c r="HO180" s="118"/>
      <c r="HP180" s="390"/>
      <c r="HQ180" s="390"/>
      <c r="HR180" s="391"/>
      <c r="HS180" s="391"/>
      <c r="HT180" s="392">
        <f>SUM(HT175:HT179)</f>
        <v>2288406.547</v>
      </c>
      <c r="HU180" s="391"/>
      <c r="HV180" s="392">
        <f>SUM(HV175:HV179)</f>
        <v>0</v>
      </c>
      <c r="HW180" s="120"/>
      <c r="HX180" s="120"/>
      <c r="HY180" s="120"/>
      <c r="HZ180" s="392">
        <f>SUM(HZ175:HZ179)</f>
        <v>2288406.547</v>
      </c>
      <c r="IA180" s="391"/>
      <c r="IB180" s="392">
        <f t="shared" ref="IB180:IC180" si="2627">SUM(IB175:IB179)</f>
        <v>1053690.22</v>
      </c>
      <c r="IC180" s="392">
        <f t="shared" si="2627"/>
        <v>1234716.327</v>
      </c>
      <c r="ID180" s="378"/>
      <c r="IE180" s="389" t="s">
        <v>52</v>
      </c>
      <c r="IF180" s="118"/>
      <c r="IG180" s="390"/>
      <c r="IH180" s="390"/>
      <c r="II180" s="391"/>
      <c r="IJ180" s="391"/>
      <c r="IK180" s="392">
        <f>SUM(IK175:IK179)</f>
        <v>3933184.183</v>
      </c>
      <c r="IL180" s="391"/>
      <c r="IM180" s="392">
        <f>SUM(IM175:IM179)</f>
        <v>0</v>
      </c>
      <c r="IN180" s="120"/>
      <c r="IO180" s="120"/>
      <c r="IP180" s="120"/>
      <c r="IQ180" s="392">
        <f>SUM(IQ175:IQ179)</f>
        <v>3933184.183</v>
      </c>
      <c r="IR180" s="391"/>
      <c r="IS180" s="392">
        <f t="shared" ref="IS180:IT180" si="2628">SUM(IS175:IS179)</f>
        <v>1811023.356</v>
      </c>
      <c r="IT180" s="392">
        <f t="shared" si="2628"/>
        <v>2122160.826</v>
      </c>
      <c r="IU180" s="378"/>
      <c r="IV180" s="389" t="s">
        <v>52</v>
      </c>
      <c r="IW180" s="118"/>
      <c r="IX180" s="390"/>
      <c r="IY180" s="390"/>
      <c r="IZ180" s="391"/>
      <c r="JA180" s="391"/>
      <c r="JB180" s="392">
        <f>SUM(JB175:JB179)</f>
        <v>4856119.758</v>
      </c>
      <c r="JC180" s="391"/>
      <c r="JD180" s="392">
        <f>SUM(JD175:JD179)</f>
        <v>0</v>
      </c>
      <c r="JE180" s="120"/>
      <c r="JF180" s="120"/>
      <c r="JG180" s="120"/>
      <c r="JH180" s="392">
        <f>SUM(JH175:JH179)</f>
        <v>4856119.758</v>
      </c>
      <c r="JI180" s="391"/>
      <c r="JJ180" s="392">
        <f t="shared" ref="JJ180:JK180" si="2629">SUM(JJ175:JJ179)</f>
        <v>2235986.39</v>
      </c>
      <c r="JK180" s="392">
        <f t="shared" si="2629"/>
        <v>2620133.368</v>
      </c>
      <c r="JL180" s="378"/>
      <c r="JM180" s="389" t="s">
        <v>52</v>
      </c>
      <c r="JN180" s="118"/>
      <c r="JO180" s="390"/>
      <c r="JP180" s="390"/>
      <c r="JQ180" s="391"/>
      <c r="JR180" s="391"/>
      <c r="JS180" s="392">
        <f>SUM(JS175:JS179)</f>
        <v>0</v>
      </c>
      <c r="JT180" s="391"/>
      <c r="JU180" s="392">
        <f>SUM(JU175:JU179)</f>
        <v>0</v>
      </c>
      <c r="JV180" s="120"/>
      <c r="JW180" s="120"/>
      <c r="JX180" s="120"/>
      <c r="JY180" s="392">
        <f>SUM(JY175:JY179)</f>
        <v>0</v>
      </c>
      <c r="JZ180" s="391"/>
      <c r="KA180" s="392">
        <f t="shared" ref="KA180:KB180" si="2630">SUM(KA175:KA179)</f>
        <v>0</v>
      </c>
      <c r="KB180" s="392">
        <f t="shared" si="2630"/>
        <v>0</v>
      </c>
      <c r="KC180" s="378"/>
      <c r="KD180" s="389" t="s">
        <v>52</v>
      </c>
      <c r="KE180" s="118"/>
      <c r="KF180" s="390"/>
      <c r="KG180" s="390"/>
      <c r="KH180" s="391"/>
      <c r="KI180" s="391"/>
      <c r="KJ180" s="392">
        <f>SUM(KJ175:KJ179)</f>
        <v>0</v>
      </c>
      <c r="KK180" s="391"/>
      <c r="KL180" s="392">
        <f>SUM(KL175:KL179)</f>
        <v>0</v>
      </c>
      <c r="KM180" s="120"/>
      <c r="KN180" s="120"/>
      <c r="KO180" s="120"/>
      <c r="KP180" s="392">
        <f>SUM(KP175:KP179)</f>
        <v>0</v>
      </c>
      <c r="KQ180" s="391"/>
      <c r="KR180" s="392">
        <f t="shared" ref="KR180:KS180" si="2631">SUM(KR175:KR179)</f>
        <v>0</v>
      </c>
      <c r="KS180" s="392">
        <f t="shared" si="2631"/>
        <v>0</v>
      </c>
      <c r="KT180" s="378"/>
      <c r="KU180" s="379"/>
    </row>
    <row r="181" ht="15.0" customHeight="1">
      <c r="A181" s="44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7"/>
      <c r="R181" s="44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7"/>
      <c r="AI181" s="44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  <c r="AU181" s="36"/>
      <c r="AV181" s="36"/>
      <c r="AW181" s="36"/>
      <c r="AX181" s="36"/>
      <c r="AY181" s="37"/>
      <c r="AZ181" s="44"/>
      <c r="BA181" s="36"/>
      <c r="BB181" s="36"/>
      <c r="BC181" s="36"/>
      <c r="BD181" s="36"/>
      <c r="BE181" s="36"/>
      <c r="BF181" s="36"/>
      <c r="BG181" s="36"/>
      <c r="BH181" s="36"/>
      <c r="BI181" s="36"/>
      <c r="BJ181" s="36"/>
      <c r="BK181" s="36"/>
      <c r="BL181" s="36"/>
      <c r="BM181" s="36"/>
      <c r="BN181" s="36"/>
      <c r="BO181" s="36"/>
      <c r="BP181" s="37"/>
      <c r="BQ181" s="44"/>
      <c r="BR181" s="36"/>
      <c r="BS181" s="36"/>
      <c r="BT181" s="36"/>
      <c r="BU181" s="36"/>
      <c r="BV181" s="36"/>
      <c r="BW181" s="36"/>
      <c r="BX181" s="36"/>
      <c r="BY181" s="36"/>
      <c r="BZ181" s="36"/>
      <c r="CA181" s="36"/>
      <c r="CB181" s="36"/>
      <c r="CC181" s="36"/>
      <c r="CD181" s="36"/>
      <c r="CE181" s="36"/>
      <c r="CF181" s="36"/>
      <c r="CG181" s="37"/>
      <c r="CH181" s="44"/>
      <c r="CI181" s="36"/>
      <c r="CJ181" s="36"/>
      <c r="CK181" s="36"/>
      <c r="CL181" s="36"/>
      <c r="CM181" s="36"/>
      <c r="CN181" s="36"/>
      <c r="CO181" s="36"/>
      <c r="CP181" s="36"/>
      <c r="CQ181" s="36"/>
      <c r="CR181" s="36"/>
      <c r="CS181" s="36"/>
      <c r="CT181" s="36"/>
      <c r="CU181" s="36"/>
      <c r="CV181" s="36"/>
      <c r="CW181" s="36"/>
      <c r="CX181" s="37"/>
      <c r="CY181" s="44"/>
      <c r="CZ181" s="36"/>
      <c r="DA181" s="36"/>
      <c r="DB181" s="36"/>
      <c r="DC181" s="36"/>
      <c r="DD181" s="36"/>
      <c r="DE181" s="36"/>
      <c r="DF181" s="36"/>
      <c r="DG181" s="36"/>
      <c r="DH181" s="36"/>
      <c r="DI181" s="36"/>
      <c r="DJ181" s="36"/>
      <c r="DK181" s="36"/>
      <c r="DL181" s="36"/>
      <c r="DM181" s="36"/>
      <c r="DN181" s="36"/>
      <c r="DO181" s="37"/>
      <c r="DP181" s="44"/>
      <c r="DQ181" s="36"/>
      <c r="DR181" s="36"/>
      <c r="DS181" s="36"/>
      <c r="DT181" s="36"/>
      <c r="DU181" s="36"/>
      <c r="DV181" s="36"/>
      <c r="DW181" s="36"/>
      <c r="DX181" s="36"/>
      <c r="DY181" s="36"/>
      <c r="DZ181" s="36"/>
      <c r="EA181" s="36"/>
      <c r="EB181" s="36"/>
      <c r="EC181" s="36"/>
      <c r="ED181" s="36"/>
      <c r="EE181" s="36"/>
      <c r="EF181" s="37"/>
      <c r="EG181" s="44"/>
      <c r="EH181" s="36"/>
      <c r="EI181" s="36"/>
      <c r="EJ181" s="36"/>
      <c r="EK181" s="36"/>
      <c r="EL181" s="36"/>
      <c r="EM181" s="36"/>
      <c r="EN181" s="36"/>
      <c r="EO181" s="36"/>
      <c r="EP181" s="36"/>
      <c r="EQ181" s="36"/>
      <c r="ER181" s="36"/>
      <c r="ES181" s="36"/>
      <c r="ET181" s="36"/>
      <c r="EU181" s="36"/>
      <c r="EV181" s="36"/>
      <c r="EW181" s="37"/>
      <c r="EX181" s="44"/>
      <c r="EY181" s="36"/>
      <c r="EZ181" s="36"/>
      <c r="FA181" s="36"/>
      <c r="FB181" s="36"/>
      <c r="FC181" s="36"/>
      <c r="FD181" s="36"/>
      <c r="FE181" s="36"/>
      <c r="FF181" s="36"/>
      <c r="FG181" s="36"/>
      <c r="FH181" s="36"/>
      <c r="FI181" s="36"/>
      <c r="FJ181" s="36"/>
      <c r="FK181" s="36"/>
      <c r="FL181" s="36"/>
      <c r="FM181" s="36"/>
      <c r="FN181" s="37"/>
      <c r="FO181" s="44"/>
      <c r="FP181" s="36"/>
      <c r="FQ181" s="36"/>
      <c r="FR181" s="36"/>
      <c r="FS181" s="36"/>
      <c r="FT181" s="36"/>
      <c r="FU181" s="36"/>
      <c r="FV181" s="36"/>
      <c r="FW181" s="36"/>
      <c r="FX181" s="36"/>
      <c r="FY181" s="36"/>
      <c r="FZ181" s="36"/>
      <c r="GA181" s="36"/>
      <c r="GB181" s="36"/>
      <c r="GC181" s="36"/>
      <c r="GD181" s="36"/>
      <c r="GE181" s="37"/>
      <c r="GF181" s="44"/>
      <c r="GG181" s="36"/>
      <c r="GH181" s="36"/>
      <c r="GI181" s="36"/>
      <c r="GJ181" s="36"/>
      <c r="GK181" s="36"/>
      <c r="GL181" s="36"/>
      <c r="GM181" s="36"/>
      <c r="GN181" s="36"/>
      <c r="GO181" s="36"/>
      <c r="GP181" s="36"/>
      <c r="GQ181" s="36"/>
      <c r="GR181" s="36"/>
      <c r="GS181" s="36"/>
      <c r="GT181" s="36"/>
      <c r="GU181" s="36"/>
      <c r="GV181" s="37"/>
      <c r="GW181" s="44"/>
      <c r="GX181" s="36"/>
      <c r="GY181" s="36"/>
      <c r="GZ181" s="36"/>
      <c r="HA181" s="36"/>
      <c r="HB181" s="36"/>
      <c r="HC181" s="36"/>
      <c r="HD181" s="36"/>
      <c r="HE181" s="36"/>
      <c r="HF181" s="36"/>
      <c r="HG181" s="36"/>
      <c r="HH181" s="36"/>
      <c r="HI181" s="36"/>
      <c r="HJ181" s="36"/>
      <c r="HK181" s="36"/>
      <c r="HL181" s="36"/>
      <c r="HM181" s="37"/>
      <c r="HN181" s="44"/>
      <c r="HO181" s="36"/>
      <c r="HP181" s="36"/>
      <c r="HQ181" s="36"/>
      <c r="HR181" s="36"/>
      <c r="HS181" s="36"/>
      <c r="HT181" s="36"/>
      <c r="HU181" s="36"/>
      <c r="HV181" s="36"/>
      <c r="HW181" s="36"/>
      <c r="HX181" s="36"/>
      <c r="HY181" s="36"/>
      <c r="HZ181" s="36"/>
      <c r="IA181" s="36"/>
      <c r="IB181" s="36"/>
      <c r="IC181" s="36"/>
      <c r="ID181" s="37"/>
      <c r="IE181" s="44"/>
      <c r="IF181" s="36"/>
      <c r="IG181" s="36"/>
      <c r="IH181" s="36"/>
      <c r="II181" s="36"/>
      <c r="IJ181" s="36"/>
      <c r="IK181" s="36"/>
      <c r="IL181" s="36"/>
      <c r="IM181" s="36"/>
      <c r="IN181" s="36"/>
      <c r="IO181" s="36"/>
      <c r="IP181" s="36"/>
      <c r="IQ181" s="36"/>
      <c r="IR181" s="36"/>
      <c r="IS181" s="36"/>
      <c r="IT181" s="36"/>
      <c r="IU181" s="37"/>
      <c r="IV181" s="44"/>
      <c r="IW181" s="36"/>
      <c r="IX181" s="36"/>
      <c r="IY181" s="36"/>
      <c r="IZ181" s="36"/>
      <c r="JA181" s="36"/>
      <c r="JB181" s="36"/>
      <c r="JC181" s="36"/>
      <c r="JD181" s="36"/>
      <c r="JE181" s="36"/>
      <c r="JF181" s="36"/>
      <c r="JG181" s="36"/>
      <c r="JH181" s="36"/>
      <c r="JI181" s="36"/>
      <c r="JJ181" s="36"/>
      <c r="JK181" s="36"/>
      <c r="JL181" s="37"/>
      <c r="JM181" s="44"/>
      <c r="JN181" s="36"/>
      <c r="JO181" s="36"/>
      <c r="JP181" s="36"/>
      <c r="JQ181" s="36"/>
      <c r="JR181" s="36"/>
      <c r="JS181" s="36"/>
      <c r="JT181" s="36"/>
      <c r="JU181" s="36"/>
      <c r="JV181" s="36"/>
      <c r="JW181" s="36"/>
      <c r="JX181" s="36"/>
      <c r="JY181" s="36"/>
      <c r="JZ181" s="36"/>
      <c r="KA181" s="36"/>
      <c r="KB181" s="36"/>
      <c r="KC181" s="37"/>
      <c r="KD181" s="44"/>
      <c r="KE181" s="36"/>
      <c r="KF181" s="36"/>
      <c r="KG181" s="36"/>
      <c r="KH181" s="36"/>
      <c r="KI181" s="36"/>
      <c r="KJ181" s="36"/>
      <c r="KK181" s="36"/>
      <c r="KL181" s="36"/>
      <c r="KM181" s="36"/>
      <c r="KN181" s="36"/>
      <c r="KO181" s="36"/>
      <c r="KP181" s="36"/>
      <c r="KQ181" s="36"/>
      <c r="KR181" s="36"/>
      <c r="KS181" s="36"/>
      <c r="KT181" s="37"/>
      <c r="KU181" s="36"/>
    </row>
    <row r="182" ht="15.0" customHeight="1">
      <c r="A182" s="44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7"/>
      <c r="R182" s="44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7"/>
      <c r="AI182" s="44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  <c r="AU182" s="36"/>
      <c r="AV182" s="36"/>
      <c r="AW182" s="36"/>
      <c r="AX182" s="36"/>
      <c r="AY182" s="37"/>
      <c r="AZ182" s="44"/>
      <c r="BA182" s="36"/>
      <c r="BB182" s="36"/>
      <c r="BC182" s="36"/>
      <c r="BD182" s="36"/>
      <c r="BE182" s="36"/>
      <c r="BF182" s="36"/>
      <c r="BG182" s="36"/>
      <c r="BH182" s="36"/>
      <c r="BI182" s="36"/>
      <c r="BJ182" s="36"/>
      <c r="BK182" s="36"/>
      <c r="BL182" s="36"/>
      <c r="BM182" s="36"/>
      <c r="BN182" s="36"/>
      <c r="BO182" s="36"/>
      <c r="BP182" s="37"/>
      <c r="BQ182" s="44"/>
      <c r="BR182" s="36"/>
      <c r="BS182" s="36"/>
      <c r="BT182" s="36"/>
      <c r="BU182" s="36"/>
      <c r="BV182" s="36"/>
      <c r="BW182" s="36"/>
      <c r="BX182" s="36"/>
      <c r="BY182" s="36"/>
      <c r="BZ182" s="36"/>
      <c r="CA182" s="36"/>
      <c r="CB182" s="36"/>
      <c r="CC182" s="36"/>
      <c r="CD182" s="36"/>
      <c r="CE182" s="36"/>
      <c r="CF182" s="36"/>
      <c r="CG182" s="37"/>
      <c r="CH182" s="44"/>
      <c r="CI182" s="36"/>
      <c r="CJ182" s="36"/>
      <c r="CK182" s="36"/>
      <c r="CL182" s="36"/>
      <c r="CM182" s="36"/>
      <c r="CN182" s="36"/>
      <c r="CO182" s="36"/>
      <c r="CP182" s="36"/>
      <c r="CQ182" s="36"/>
      <c r="CR182" s="36"/>
      <c r="CS182" s="36"/>
      <c r="CT182" s="36"/>
      <c r="CU182" s="36"/>
      <c r="CV182" s="36"/>
      <c r="CW182" s="36"/>
      <c r="CX182" s="37"/>
      <c r="CY182" s="44"/>
      <c r="CZ182" s="36"/>
      <c r="DA182" s="36"/>
      <c r="DB182" s="36"/>
      <c r="DC182" s="36"/>
      <c r="DD182" s="36"/>
      <c r="DE182" s="36"/>
      <c r="DF182" s="36"/>
      <c r="DG182" s="36"/>
      <c r="DH182" s="36"/>
      <c r="DI182" s="36"/>
      <c r="DJ182" s="36"/>
      <c r="DK182" s="36"/>
      <c r="DL182" s="36"/>
      <c r="DM182" s="36"/>
      <c r="DN182" s="36"/>
      <c r="DO182" s="37"/>
      <c r="DP182" s="44"/>
      <c r="DQ182" s="36"/>
      <c r="DR182" s="36"/>
      <c r="DS182" s="36"/>
      <c r="DT182" s="36"/>
      <c r="DU182" s="36"/>
      <c r="DV182" s="36"/>
      <c r="DW182" s="36"/>
      <c r="DX182" s="36"/>
      <c r="DY182" s="36"/>
      <c r="DZ182" s="36"/>
      <c r="EA182" s="36"/>
      <c r="EB182" s="36"/>
      <c r="EC182" s="36"/>
      <c r="ED182" s="36"/>
      <c r="EE182" s="36"/>
      <c r="EF182" s="37"/>
      <c r="EG182" s="44"/>
      <c r="EH182" s="36"/>
      <c r="EI182" s="36"/>
      <c r="EJ182" s="36"/>
      <c r="EK182" s="36"/>
      <c r="EL182" s="36"/>
      <c r="EM182" s="36"/>
      <c r="EN182" s="36"/>
      <c r="EO182" s="36"/>
      <c r="EP182" s="36"/>
      <c r="EQ182" s="36"/>
      <c r="ER182" s="36"/>
      <c r="ES182" s="36"/>
      <c r="ET182" s="36"/>
      <c r="EU182" s="36"/>
      <c r="EV182" s="36"/>
      <c r="EW182" s="37"/>
      <c r="EX182" s="44"/>
      <c r="EY182" s="36"/>
      <c r="EZ182" s="36"/>
      <c r="FA182" s="36"/>
      <c r="FB182" s="36"/>
      <c r="FC182" s="36"/>
      <c r="FD182" s="36"/>
      <c r="FE182" s="36"/>
      <c r="FF182" s="36"/>
      <c r="FG182" s="36"/>
      <c r="FH182" s="36"/>
      <c r="FI182" s="36"/>
      <c r="FJ182" s="36"/>
      <c r="FK182" s="36"/>
      <c r="FL182" s="36"/>
      <c r="FM182" s="36"/>
      <c r="FN182" s="37"/>
      <c r="FO182" s="44"/>
      <c r="FP182" s="36"/>
      <c r="FQ182" s="36"/>
      <c r="FR182" s="36"/>
      <c r="FS182" s="36"/>
      <c r="FT182" s="36"/>
      <c r="FU182" s="36"/>
      <c r="FV182" s="36"/>
      <c r="FW182" s="36"/>
      <c r="FX182" s="36"/>
      <c r="FY182" s="36"/>
      <c r="FZ182" s="36"/>
      <c r="GA182" s="36"/>
      <c r="GB182" s="36"/>
      <c r="GC182" s="36"/>
      <c r="GD182" s="36"/>
      <c r="GE182" s="37"/>
      <c r="GF182" s="44"/>
      <c r="GG182" s="36"/>
      <c r="GH182" s="36"/>
      <c r="GI182" s="36"/>
      <c r="GJ182" s="36"/>
      <c r="GK182" s="36"/>
      <c r="GL182" s="36"/>
      <c r="GM182" s="36"/>
      <c r="GN182" s="36"/>
      <c r="GO182" s="36"/>
      <c r="GP182" s="36"/>
      <c r="GQ182" s="36"/>
      <c r="GR182" s="36"/>
      <c r="GS182" s="36"/>
      <c r="GT182" s="36"/>
      <c r="GU182" s="36"/>
      <c r="GV182" s="37"/>
      <c r="GW182" s="44"/>
      <c r="GX182" s="36"/>
      <c r="GY182" s="36"/>
      <c r="GZ182" s="36"/>
      <c r="HA182" s="36"/>
      <c r="HB182" s="36"/>
      <c r="HC182" s="36"/>
      <c r="HD182" s="36"/>
      <c r="HE182" s="36"/>
      <c r="HF182" s="36"/>
      <c r="HG182" s="36"/>
      <c r="HH182" s="36"/>
      <c r="HI182" s="36"/>
      <c r="HJ182" s="36"/>
      <c r="HK182" s="36"/>
      <c r="HL182" s="36"/>
      <c r="HM182" s="37"/>
      <c r="HN182" s="44"/>
      <c r="HO182" s="36"/>
      <c r="HP182" s="36"/>
      <c r="HQ182" s="36"/>
      <c r="HR182" s="36"/>
      <c r="HS182" s="36"/>
      <c r="HT182" s="36"/>
      <c r="HU182" s="36"/>
      <c r="HV182" s="36"/>
      <c r="HW182" s="36"/>
      <c r="HX182" s="36"/>
      <c r="HY182" s="36"/>
      <c r="HZ182" s="36"/>
      <c r="IA182" s="36"/>
      <c r="IB182" s="36"/>
      <c r="IC182" s="36"/>
      <c r="ID182" s="37"/>
      <c r="IE182" s="44"/>
      <c r="IF182" s="36"/>
      <c r="IG182" s="36"/>
      <c r="IH182" s="36"/>
      <c r="II182" s="36"/>
      <c r="IJ182" s="36"/>
      <c r="IK182" s="36"/>
      <c r="IL182" s="36"/>
      <c r="IM182" s="36"/>
      <c r="IN182" s="36"/>
      <c r="IO182" s="36"/>
      <c r="IP182" s="36"/>
      <c r="IQ182" s="36"/>
      <c r="IR182" s="36"/>
      <c r="IS182" s="36"/>
      <c r="IT182" s="36"/>
      <c r="IU182" s="37"/>
      <c r="IV182" s="44"/>
      <c r="IW182" s="36"/>
      <c r="IX182" s="36"/>
      <c r="IY182" s="36"/>
      <c r="IZ182" s="36"/>
      <c r="JA182" s="36"/>
      <c r="JB182" s="36"/>
      <c r="JC182" s="36"/>
      <c r="JD182" s="36"/>
      <c r="JE182" s="36"/>
      <c r="JF182" s="36"/>
      <c r="JG182" s="36"/>
      <c r="JH182" s="36"/>
      <c r="JI182" s="36"/>
      <c r="JJ182" s="36"/>
      <c r="JK182" s="36"/>
      <c r="JL182" s="37"/>
      <c r="JM182" s="44"/>
      <c r="JN182" s="36"/>
      <c r="JO182" s="36"/>
      <c r="JP182" s="36"/>
      <c r="JQ182" s="36"/>
      <c r="JR182" s="36"/>
      <c r="JS182" s="36"/>
      <c r="JT182" s="36"/>
      <c r="JU182" s="36"/>
      <c r="JV182" s="36"/>
      <c r="JW182" s="36"/>
      <c r="JX182" s="36"/>
      <c r="JY182" s="36"/>
      <c r="JZ182" s="36"/>
      <c r="KA182" s="36"/>
      <c r="KB182" s="36"/>
      <c r="KC182" s="37"/>
      <c r="KD182" s="44"/>
      <c r="KE182" s="36"/>
      <c r="KF182" s="36"/>
      <c r="KG182" s="36"/>
      <c r="KH182" s="36"/>
      <c r="KI182" s="36"/>
      <c r="KJ182" s="36"/>
      <c r="KK182" s="36"/>
      <c r="KL182" s="36"/>
      <c r="KM182" s="36"/>
      <c r="KN182" s="36"/>
      <c r="KO182" s="36"/>
      <c r="KP182" s="36"/>
      <c r="KQ182" s="36"/>
      <c r="KR182" s="36"/>
      <c r="KS182" s="36"/>
      <c r="KT182" s="37"/>
      <c r="KU182" s="36"/>
    </row>
    <row r="183" ht="15.0" customHeight="1">
      <c r="A183" s="44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7"/>
      <c r="R183" s="44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7"/>
      <c r="AI183" s="44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  <c r="AU183" s="36"/>
      <c r="AV183" s="36"/>
      <c r="AW183" s="36"/>
      <c r="AX183" s="36"/>
      <c r="AY183" s="37"/>
      <c r="AZ183" s="44"/>
      <c r="BA183" s="36"/>
      <c r="BB183" s="36"/>
      <c r="BC183" s="36"/>
      <c r="BD183" s="36"/>
      <c r="BE183" s="36"/>
      <c r="BF183" s="36"/>
      <c r="BG183" s="36"/>
      <c r="BH183" s="36"/>
      <c r="BI183" s="36"/>
      <c r="BJ183" s="36"/>
      <c r="BK183" s="36"/>
      <c r="BL183" s="36"/>
      <c r="BM183" s="36"/>
      <c r="BN183" s="36"/>
      <c r="BO183" s="36"/>
      <c r="BP183" s="37"/>
      <c r="BQ183" s="44"/>
      <c r="BR183" s="36"/>
      <c r="BS183" s="36"/>
      <c r="BT183" s="36"/>
      <c r="BU183" s="36"/>
      <c r="BV183" s="36"/>
      <c r="BW183" s="36"/>
      <c r="BX183" s="36"/>
      <c r="BY183" s="36"/>
      <c r="BZ183" s="36"/>
      <c r="CA183" s="36"/>
      <c r="CB183" s="36"/>
      <c r="CC183" s="36"/>
      <c r="CD183" s="36"/>
      <c r="CE183" s="36"/>
      <c r="CF183" s="36"/>
      <c r="CG183" s="37"/>
      <c r="CH183" s="44"/>
      <c r="CI183" s="36"/>
      <c r="CJ183" s="36"/>
      <c r="CK183" s="36"/>
      <c r="CL183" s="36"/>
      <c r="CM183" s="36"/>
      <c r="CN183" s="36"/>
      <c r="CO183" s="36"/>
      <c r="CP183" s="36"/>
      <c r="CQ183" s="36"/>
      <c r="CR183" s="36"/>
      <c r="CS183" s="36"/>
      <c r="CT183" s="36"/>
      <c r="CU183" s="36"/>
      <c r="CV183" s="36"/>
      <c r="CW183" s="36"/>
      <c r="CX183" s="37"/>
      <c r="CY183" s="44"/>
      <c r="CZ183" s="36"/>
      <c r="DA183" s="36"/>
      <c r="DB183" s="36"/>
      <c r="DC183" s="36"/>
      <c r="DD183" s="36"/>
      <c r="DE183" s="36"/>
      <c r="DF183" s="36"/>
      <c r="DG183" s="36"/>
      <c r="DH183" s="36"/>
      <c r="DI183" s="36"/>
      <c r="DJ183" s="36"/>
      <c r="DK183" s="36"/>
      <c r="DL183" s="36"/>
      <c r="DM183" s="36"/>
      <c r="DN183" s="36"/>
      <c r="DO183" s="37"/>
      <c r="DP183" s="44"/>
      <c r="DQ183" s="36"/>
      <c r="DR183" s="36"/>
      <c r="DS183" s="36"/>
      <c r="DT183" s="36"/>
      <c r="DU183" s="36"/>
      <c r="DV183" s="36"/>
      <c r="DW183" s="36"/>
      <c r="DX183" s="36"/>
      <c r="DY183" s="36"/>
      <c r="DZ183" s="36"/>
      <c r="EA183" s="36"/>
      <c r="EB183" s="36"/>
      <c r="EC183" s="36"/>
      <c r="ED183" s="36"/>
      <c r="EE183" s="36"/>
      <c r="EF183" s="37"/>
      <c r="EG183" s="44"/>
      <c r="EH183" s="36"/>
      <c r="EI183" s="36"/>
      <c r="EJ183" s="36"/>
      <c r="EK183" s="36"/>
      <c r="EL183" s="36"/>
      <c r="EM183" s="36"/>
      <c r="EN183" s="36"/>
      <c r="EO183" s="36"/>
      <c r="EP183" s="36"/>
      <c r="EQ183" s="36"/>
      <c r="ER183" s="36"/>
      <c r="ES183" s="36"/>
      <c r="ET183" s="36"/>
      <c r="EU183" s="36"/>
      <c r="EV183" s="36"/>
      <c r="EW183" s="37"/>
      <c r="EX183" s="44"/>
      <c r="EY183" s="36"/>
      <c r="EZ183" s="36"/>
      <c r="FA183" s="36"/>
      <c r="FB183" s="36"/>
      <c r="FC183" s="36"/>
      <c r="FD183" s="36"/>
      <c r="FE183" s="36"/>
      <c r="FF183" s="36"/>
      <c r="FG183" s="36"/>
      <c r="FH183" s="36"/>
      <c r="FI183" s="36"/>
      <c r="FJ183" s="36"/>
      <c r="FK183" s="36"/>
      <c r="FL183" s="36"/>
      <c r="FM183" s="36"/>
      <c r="FN183" s="37"/>
      <c r="FO183" s="44"/>
      <c r="FP183" s="36"/>
      <c r="FQ183" s="36"/>
      <c r="FR183" s="36"/>
      <c r="FS183" s="36"/>
      <c r="FT183" s="36"/>
      <c r="FU183" s="36"/>
      <c r="FV183" s="36"/>
      <c r="FW183" s="36"/>
      <c r="FX183" s="36"/>
      <c r="FY183" s="36"/>
      <c r="FZ183" s="36"/>
      <c r="GA183" s="36"/>
      <c r="GB183" s="36"/>
      <c r="GC183" s="36"/>
      <c r="GD183" s="36"/>
      <c r="GE183" s="37"/>
      <c r="GF183" s="44"/>
      <c r="GG183" s="36"/>
      <c r="GH183" s="36"/>
      <c r="GI183" s="36"/>
      <c r="GJ183" s="36"/>
      <c r="GK183" s="36"/>
      <c r="GL183" s="36"/>
      <c r="GM183" s="36"/>
      <c r="GN183" s="36"/>
      <c r="GO183" s="36"/>
      <c r="GP183" s="36"/>
      <c r="GQ183" s="36"/>
      <c r="GR183" s="36"/>
      <c r="GS183" s="36"/>
      <c r="GT183" s="36"/>
      <c r="GU183" s="36"/>
      <c r="GV183" s="37"/>
      <c r="GW183" s="44"/>
      <c r="GX183" s="36"/>
      <c r="GY183" s="36"/>
      <c r="GZ183" s="36"/>
      <c r="HA183" s="36"/>
      <c r="HB183" s="36"/>
      <c r="HC183" s="36"/>
      <c r="HD183" s="36"/>
      <c r="HE183" s="36"/>
      <c r="HF183" s="36"/>
      <c r="HG183" s="36"/>
      <c r="HH183" s="36"/>
      <c r="HI183" s="36"/>
      <c r="HJ183" s="36"/>
      <c r="HK183" s="36"/>
      <c r="HL183" s="36"/>
      <c r="HM183" s="37"/>
      <c r="HN183" s="44"/>
      <c r="HO183" s="36"/>
      <c r="HP183" s="36"/>
      <c r="HQ183" s="36"/>
      <c r="HR183" s="36"/>
      <c r="HS183" s="36"/>
      <c r="HT183" s="36"/>
      <c r="HU183" s="36"/>
      <c r="HV183" s="36"/>
      <c r="HW183" s="36"/>
      <c r="HX183" s="36"/>
      <c r="HY183" s="36"/>
      <c r="HZ183" s="36"/>
      <c r="IA183" s="36"/>
      <c r="IB183" s="36"/>
      <c r="IC183" s="36"/>
      <c r="ID183" s="37"/>
      <c r="IE183" s="44"/>
      <c r="IF183" s="36"/>
      <c r="IG183" s="36"/>
      <c r="IH183" s="36"/>
      <c r="II183" s="36"/>
      <c r="IJ183" s="36"/>
      <c r="IK183" s="36"/>
      <c r="IL183" s="36"/>
      <c r="IM183" s="36"/>
      <c r="IN183" s="36"/>
      <c r="IO183" s="36"/>
      <c r="IP183" s="36"/>
      <c r="IQ183" s="36"/>
      <c r="IR183" s="36"/>
      <c r="IS183" s="36"/>
      <c r="IT183" s="36"/>
      <c r="IU183" s="37"/>
      <c r="IV183" s="44"/>
      <c r="IW183" s="36"/>
      <c r="IX183" s="36"/>
      <c r="IY183" s="36"/>
      <c r="IZ183" s="36"/>
      <c r="JA183" s="36"/>
      <c r="JB183" s="36"/>
      <c r="JC183" s="36"/>
      <c r="JD183" s="36"/>
      <c r="JE183" s="36"/>
      <c r="JF183" s="36"/>
      <c r="JG183" s="36"/>
      <c r="JH183" s="36"/>
      <c r="JI183" s="36"/>
      <c r="JJ183" s="36"/>
      <c r="JK183" s="36"/>
      <c r="JL183" s="37"/>
      <c r="JM183" s="44"/>
      <c r="JN183" s="36"/>
      <c r="JO183" s="36"/>
      <c r="JP183" s="36"/>
      <c r="JQ183" s="36"/>
      <c r="JR183" s="36"/>
      <c r="JS183" s="36"/>
      <c r="JT183" s="36"/>
      <c r="JU183" s="36"/>
      <c r="JV183" s="36"/>
      <c r="JW183" s="36"/>
      <c r="JX183" s="36"/>
      <c r="JY183" s="36"/>
      <c r="JZ183" s="36"/>
      <c r="KA183" s="36"/>
      <c r="KB183" s="36"/>
      <c r="KC183" s="37"/>
      <c r="KD183" s="44"/>
      <c r="KE183" s="36"/>
      <c r="KF183" s="36"/>
      <c r="KG183" s="36"/>
      <c r="KH183" s="36"/>
      <c r="KI183" s="36"/>
      <c r="KJ183" s="36"/>
      <c r="KK183" s="36"/>
      <c r="KL183" s="36"/>
      <c r="KM183" s="36"/>
      <c r="KN183" s="36"/>
      <c r="KO183" s="36"/>
      <c r="KP183" s="36"/>
      <c r="KQ183" s="36"/>
      <c r="KR183" s="36"/>
      <c r="KS183" s="36"/>
      <c r="KT183" s="37"/>
      <c r="KU183" s="36"/>
    </row>
    <row r="184" ht="15.0" customHeight="1">
      <c r="A184" s="44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7"/>
      <c r="R184" s="44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7"/>
      <c r="AI184" s="44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  <c r="AU184" s="36"/>
      <c r="AV184" s="36"/>
      <c r="AW184" s="36"/>
      <c r="AX184" s="36"/>
      <c r="AY184" s="37"/>
      <c r="AZ184" s="44"/>
      <c r="BA184" s="36"/>
      <c r="BB184" s="36"/>
      <c r="BC184" s="36"/>
      <c r="BD184" s="36"/>
      <c r="BE184" s="36"/>
      <c r="BF184" s="36"/>
      <c r="BG184" s="36"/>
      <c r="BH184" s="36"/>
      <c r="BI184" s="36"/>
      <c r="BJ184" s="36"/>
      <c r="BK184" s="36"/>
      <c r="BL184" s="36"/>
      <c r="BM184" s="36"/>
      <c r="BN184" s="36"/>
      <c r="BO184" s="36"/>
      <c r="BP184" s="37"/>
      <c r="BQ184" s="44"/>
      <c r="BR184" s="36"/>
      <c r="BS184" s="36"/>
      <c r="BT184" s="36"/>
      <c r="BU184" s="36"/>
      <c r="BV184" s="36"/>
      <c r="BW184" s="36"/>
      <c r="BX184" s="36"/>
      <c r="BY184" s="36"/>
      <c r="BZ184" s="36"/>
      <c r="CA184" s="36"/>
      <c r="CB184" s="36"/>
      <c r="CC184" s="36"/>
      <c r="CD184" s="36"/>
      <c r="CE184" s="36"/>
      <c r="CF184" s="36"/>
      <c r="CG184" s="37"/>
      <c r="CH184" s="44"/>
      <c r="CI184" s="36"/>
      <c r="CJ184" s="36"/>
      <c r="CK184" s="36"/>
      <c r="CL184" s="36"/>
      <c r="CM184" s="36"/>
      <c r="CN184" s="36"/>
      <c r="CO184" s="36"/>
      <c r="CP184" s="36"/>
      <c r="CQ184" s="36"/>
      <c r="CR184" s="36"/>
      <c r="CS184" s="36"/>
      <c r="CT184" s="36"/>
      <c r="CU184" s="36"/>
      <c r="CV184" s="36"/>
      <c r="CW184" s="36"/>
      <c r="CX184" s="37"/>
      <c r="CY184" s="44"/>
      <c r="CZ184" s="36"/>
      <c r="DA184" s="36"/>
      <c r="DB184" s="36"/>
      <c r="DC184" s="36"/>
      <c r="DD184" s="36"/>
      <c r="DE184" s="36"/>
      <c r="DF184" s="36"/>
      <c r="DG184" s="36"/>
      <c r="DH184" s="36"/>
      <c r="DI184" s="36"/>
      <c r="DJ184" s="36"/>
      <c r="DK184" s="36"/>
      <c r="DL184" s="36"/>
      <c r="DM184" s="36"/>
      <c r="DN184" s="36"/>
      <c r="DO184" s="37"/>
      <c r="DP184" s="44"/>
      <c r="DQ184" s="36"/>
      <c r="DR184" s="36"/>
      <c r="DS184" s="36"/>
      <c r="DT184" s="36"/>
      <c r="DU184" s="36"/>
      <c r="DV184" s="36"/>
      <c r="DW184" s="36"/>
      <c r="DX184" s="36"/>
      <c r="DY184" s="36"/>
      <c r="DZ184" s="36"/>
      <c r="EA184" s="36"/>
      <c r="EB184" s="36"/>
      <c r="EC184" s="36"/>
      <c r="ED184" s="36"/>
      <c r="EE184" s="36"/>
      <c r="EF184" s="37"/>
      <c r="EG184" s="44"/>
      <c r="EH184" s="36"/>
      <c r="EI184" s="36"/>
      <c r="EJ184" s="36"/>
      <c r="EK184" s="36"/>
      <c r="EL184" s="36"/>
      <c r="EM184" s="36"/>
      <c r="EN184" s="36"/>
      <c r="EO184" s="36"/>
      <c r="EP184" s="36"/>
      <c r="EQ184" s="36"/>
      <c r="ER184" s="36"/>
      <c r="ES184" s="36"/>
      <c r="ET184" s="36"/>
      <c r="EU184" s="36"/>
      <c r="EV184" s="36"/>
      <c r="EW184" s="37"/>
      <c r="EX184" s="44"/>
      <c r="EY184" s="36"/>
      <c r="EZ184" s="36"/>
      <c r="FA184" s="36"/>
      <c r="FB184" s="36"/>
      <c r="FC184" s="36"/>
      <c r="FD184" s="36"/>
      <c r="FE184" s="36"/>
      <c r="FF184" s="36"/>
      <c r="FG184" s="36"/>
      <c r="FH184" s="36"/>
      <c r="FI184" s="36"/>
      <c r="FJ184" s="36"/>
      <c r="FK184" s="36"/>
      <c r="FL184" s="36"/>
      <c r="FM184" s="36"/>
      <c r="FN184" s="37"/>
      <c r="FO184" s="44"/>
      <c r="FP184" s="36"/>
      <c r="FQ184" s="36"/>
      <c r="FR184" s="36"/>
      <c r="FS184" s="36"/>
      <c r="FT184" s="36"/>
      <c r="FU184" s="36"/>
      <c r="FV184" s="36"/>
      <c r="FW184" s="36"/>
      <c r="FX184" s="36"/>
      <c r="FY184" s="36"/>
      <c r="FZ184" s="36"/>
      <c r="GA184" s="36"/>
      <c r="GB184" s="36"/>
      <c r="GC184" s="36"/>
      <c r="GD184" s="36"/>
      <c r="GE184" s="37"/>
      <c r="GF184" s="44"/>
      <c r="GG184" s="36"/>
      <c r="GH184" s="36"/>
      <c r="GI184" s="36"/>
      <c r="GJ184" s="36"/>
      <c r="GK184" s="36"/>
      <c r="GL184" s="36"/>
      <c r="GM184" s="36"/>
      <c r="GN184" s="36"/>
      <c r="GO184" s="36"/>
      <c r="GP184" s="36"/>
      <c r="GQ184" s="36"/>
      <c r="GR184" s="36"/>
      <c r="GS184" s="36"/>
      <c r="GT184" s="36"/>
      <c r="GU184" s="36"/>
      <c r="GV184" s="37"/>
      <c r="GW184" s="44"/>
      <c r="GX184" s="36"/>
      <c r="GY184" s="36"/>
      <c r="GZ184" s="36"/>
      <c r="HA184" s="36"/>
      <c r="HB184" s="36"/>
      <c r="HC184" s="36"/>
      <c r="HD184" s="36"/>
      <c r="HE184" s="36"/>
      <c r="HF184" s="36"/>
      <c r="HG184" s="36"/>
      <c r="HH184" s="36"/>
      <c r="HI184" s="36"/>
      <c r="HJ184" s="36"/>
      <c r="HK184" s="36"/>
      <c r="HL184" s="36"/>
      <c r="HM184" s="37"/>
      <c r="HN184" s="44"/>
      <c r="HO184" s="36"/>
      <c r="HP184" s="36"/>
      <c r="HQ184" s="36"/>
      <c r="HR184" s="36"/>
      <c r="HS184" s="36"/>
      <c r="HT184" s="36"/>
      <c r="HU184" s="36"/>
      <c r="HV184" s="36"/>
      <c r="HW184" s="36"/>
      <c r="HX184" s="36"/>
      <c r="HY184" s="36"/>
      <c r="HZ184" s="36"/>
      <c r="IA184" s="36"/>
      <c r="IB184" s="36"/>
      <c r="IC184" s="36"/>
      <c r="ID184" s="37"/>
      <c r="IE184" s="44"/>
      <c r="IF184" s="36"/>
      <c r="IG184" s="36"/>
      <c r="IH184" s="36"/>
      <c r="II184" s="36"/>
      <c r="IJ184" s="36"/>
      <c r="IK184" s="36"/>
      <c r="IL184" s="36"/>
      <c r="IM184" s="36"/>
      <c r="IN184" s="36"/>
      <c r="IO184" s="36"/>
      <c r="IP184" s="36"/>
      <c r="IQ184" s="36"/>
      <c r="IR184" s="36"/>
      <c r="IS184" s="36"/>
      <c r="IT184" s="36"/>
      <c r="IU184" s="37"/>
      <c r="IV184" s="44"/>
      <c r="IW184" s="36"/>
      <c r="IX184" s="36"/>
      <c r="IY184" s="36"/>
      <c r="IZ184" s="36"/>
      <c r="JA184" s="36"/>
      <c r="JB184" s="36"/>
      <c r="JC184" s="36"/>
      <c r="JD184" s="36"/>
      <c r="JE184" s="36"/>
      <c r="JF184" s="36"/>
      <c r="JG184" s="36"/>
      <c r="JH184" s="36"/>
      <c r="JI184" s="36"/>
      <c r="JJ184" s="36"/>
      <c r="JK184" s="36"/>
      <c r="JL184" s="37"/>
      <c r="JM184" s="44"/>
      <c r="JN184" s="36"/>
      <c r="JO184" s="36"/>
      <c r="JP184" s="36"/>
      <c r="JQ184" s="36"/>
      <c r="JR184" s="36"/>
      <c r="JS184" s="36"/>
      <c r="JT184" s="36"/>
      <c r="JU184" s="36"/>
      <c r="JV184" s="36"/>
      <c r="JW184" s="36"/>
      <c r="JX184" s="36"/>
      <c r="JY184" s="36"/>
      <c r="JZ184" s="36"/>
      <c r="KA184" s="36"/>
      <c r="KB184" s="36"/>
      <c r="KC184" s="37"/>
      <c r="KD184" s="44"/>
      <c r="KE184" s="36"/>
      <c r="KF184" s="36"/>
      <c r="KG184" s="36"/>
      <c r="KH184" s="36"/>
      <c r="KI184" s="36"/>
      <c r="KJ184" s="36"/>
      <c r="KK184" s="36"/>
      <c r="KL184" s="36"/>
      <c r="KM184" s="36"/>
      <c r="KN184" s="36"/>
      <c r="KO184" s="36"/>
      <c r="KP184" s="36"/>
      <c r="KQ184" s="36"/>
      <c r="KR184" s="36"/>
      <c r="KS184" s="36"/>
      <c r="KT184" s="37"/>
      <c r="KU184" s="36"/>
    </row>
    <row r="185" ht="15.0" customHeight="1">
      <c r="A185" s="44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7"/>
      <c r="R185" s="44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7"/>
      <c r="AI185" s="44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  <c r="AU185" s="36"/>
      <c r="AV185" s="36"/>
      <c r="AW185" s="36"/>
      <c r="AX185" s="36"/>
      <c r="AY185" s="37"/>
      <c r="AZ185" s="44"/>
      <c r="BA185" s="36"/>
      <c r="BB185" s="36"/>
      <c r="BC185" s="36"/>
      <c r="BD185" s="36"/>
      <c r="BE185" s="36"/>
      <c r="BF185" s="36"/>
      <c r="BG185" s="36"/>
      <c r="BH185" s="36"/>
      <c r="BI185" s="36"/>
      <c r="BJ185" s="36"/>
      <c r="BK185" s="36"/>
      <c r="BL185" s="36"/>
      <c r="BM185" s="36"/>
      <c r="BN185" s="36"/>
      <c r="BO185" s="36"/>
      <c r="BP185" s="37"/>
      <c r="BQ185" s="44"/>
      <c r="BR185" s="36"/>
      <c r="BS185" s="36"/>
      <c r="BT185" s="36"/>
      <c r="BU185" s="36"/>
      <c r="BV185" s="36"/>
      <c r="BW185" s="36"/>
      <c r="BX185" s="36"/>
      <c r="BY185" s="36"/>
      <c r="BZ185" s="36"/>
      <c r="CA185" s="36"/>
      <c r="CB185" s="36"/>
      <c r="CC185" s="36"/>
      <c r="CD185" s="36"/>
      <c r="CE185" s="36"/>
      <c r="CF185" s="36"/>
      <c r="CG185" s="37"/>
      <c r="CH185" s="44"/>
      <c r="CI185" s="36"/>
      <c r="CJ185" s="36"/>
      <c r="CK185" s="36"/>
      <c r="CL185" s="36"/>
      <c r="CM185" s="36"/>
      <c r="CN185" s="36"/>
      <c r="CO185" s="36"/>
      <c r="CP185" s="36"/>
      <c r="CQ185" s="36"/>
      <c r="CR185" s="36"/>
      <c r="CS185" s="36"/>
      <c r="CT185" s="36"/>
      <c r="CU185" s="36"/>
      <c r="CV185" s="36"/>
      <c r="CW185" s="36"/>
      <c r="CX185" s="37"/>
      <c r="CY185" s="44"/>
      <c r="CZ185" s="36"/>
      <c r="DA185" s="36"/>
      <c r="DB185" s="36"/>
      <c r="DC185" s="36"/>
      <c r="DD185" s="36"/>
      <c r="DE185" s="36"/>
      <c r="DF185" s="36"/>
      <c r="DG185" s="36"/>
      <c r="DH185" s="36"/>
      <c r="DI185" s="36"/>
      <c r="DJ185" s="36"/>
      <c r="DK185" s="36"/>
      <c r="DL185" s="36"/>
      <c r="DM185" s="36"/>
      <c r="DN185" s="36"/>
      <c r="DO185" s="37"/>
      <c r="DP185" s="44"/>
      <c r="DQ185" s="36"/>
      <c r="DR185" s="36"/>
      <c r="DS185" s="36"/>
      <c r="DT185" s="36"/>
      <c r="DU185" s="36"/>
      <c r="DV185" s="36"/>
      <c r="DW185" s="36"/>
      <c r="DX185" s="36"/>
      <c r="DY185" s="36"/>
      <c r="DZ185" s="36"/>
      <c r="EA185" s="36"/>
      <c r="EB185" s="36"/>
      <c r="EC185" s="36"/>
      <c r="ED185" s="36"/>
      <c r="EE185" s="36"/>
      <c r="EF185" s="37"/>
      <c r="EG185" s="44"/>
      <c r="EH185" s="36"/>
      <c r="EI185" s="36"/>
      <c r="EJ185" s="36"/>
      <c r="EK185" s="36"/>
      <c r="EL185" s="36"/>
      <c r="EM185" s="36"/>
      <c r="EN185" s="36"/>
      <c r="EO185" s="36"/>
      <c r="EP185" s="36"/>
      <c r="EQ185" s="36"/>
      <c r="ER185" s="36"/>
      <c r="ES185" s="36"/>
      <c r="ET185" s="36"/>
      <c r="EU185" s="36"/>
      <c r="EV185" s="36"/>
      <c r="EW185" s="37"/>
      <c r="EX185" s="44"/>
      <c r="EY185" s="36"/>
      <c r="EZ185" s="36"/>
      <c r="FA185" s="36"/>
      <c r="FB185" s="36"/>
      <c r="FC185" s="36"/>
      <c r="FD185" s="36"/>
      <c r="FE185" s="36"/>
      <c r="FF185" s="36"/>
      <c r="FG185" s="36"/>
      <c r="FH185" s="36"/>
      <c r="FI185" s="36"/>
      <c r="FJ185" s="36"/>
      <c r="FK185" s="36"/>
      <c r="FL185" s="36"/>
      <c r="FM185" s="36"/>
      <c r="FN185" s="37"/>
      <c r="FO185" s="44"/>
      <c r="FP185" s="36"/>
      <c r="FQ185" s="36"/>
      <c r="FR185" s="36"/>
      <c r="FS185" s="36"/>
      <c r="FT185" s="36"/>
      <c r="FU185" s="36"/>
      <c r="FV185" s="36"/>
      <c r="FW185" s="36"/>
      <c r="FX185" s="36"/>
      <c r="FY185" s="36"/>
      <c r="FZ185" s="36"/>
      <c r="GA185" s="36"/>
      <c r="GB185" s="36"/>
      <c r="GC185" s="36"/>
      <c r="GD185" s="36"/>
      <c r="GE185" s="37"/>
      <c r="GF185" s="44"/>
      <c r="GG185" s="36"/>
      <c r="GH185" s="36"/>
      <c r="GI185" s="36"/>
      <c r="GJ185" s="36"/>
      <c r="GK185" s="36"/>
      <c r="GL185" s="36"/>
      <c r="GM185" s="36"/>
      <c r="GN185" s="36"/>
      <c r="GO185" s="36"/>
      <c r="GP185" s="36"/>
      <c r="GQ185" s="36"/>
      <c r="GR185" s="36"/>
      <c r="GS185" s="36"/>
      <c r="GT185" s="36"/>
      <c r="GU185" s="36"/>
      <c r="GV185" s="37"/>
      <c r="GW185" s="44"/>
      <c r="GX185" s="36"/>
      <c r="GY185" s="36"/>
      <c r="GZ185" s="36"/>
      <c r="HA185" s="36"/>
      <c r="HB185" s="36"/>
      <c r="HC185" s="36"/>
      <c r="HD185" s="36"/>
      <c r="HE185" s="36"/>
      <c r="HF185" s="36"/>
      <c r="HG185" s="36"/>
      <c r="HH185" s="36"/>
      <c r="HI185" s="36"/>
      <c r="HJ185" s="36"/>
      <c r="HK185" s="36"/>
      <c r="HL185" s="36"/>
      <c r="HM185" s="37"/>
      <c r="HN185" s="44"/>
      <c r="HO185" s="36"/>
      <c r="HP185" s="36"/>
      <c r="HQ185" s="36"/>
      <c r="HR185" s="36"/>
      <c r="HS185" s="36"/>
      <c r="HT185" s="36"/>
      <c r="HU185" s="36"/>
      <c r="HV185" s="36"/>
      <c r="HW185" s="36"/>
      <c r="HX185" s="36"/>
      <c r="HY185" s="36"/>
      <c r="HZ185" s="36"/>
      <c r="IA185" s="36"/>
      <c r="IB185" s="36"/>
      <c r="IC185" s="36"/>
      <c r="ID185" s="37"/>
      <c r="IE185" s="44"/>
      <c r="IF185" s="36"/>
      <c r="IG185" s="36"/>
      <c r="IH185" s="36"/>
      <c r="II185" s="36"/>
      <c r="IJ185" s="36"/>
      <c r="IK185" s="36"/>
      <c r="IL185" s="36"/>
      <c r="IM185" s="36"/>
      <c r="IN185" s="36"/>
      <c r="IO185" s="36"/>
      <c r="IP185" s="36"/>
      <c r="IQ185" s="36"/>
      <c r="IR185" s="36"/>
      <c r="IS185" s="36"/>
      <c r="IT185" s="36"/>
      <c r="IU185" s="37"/>
      <c r="IV185" s="44"/>
      <c r="IW185" s="36"/>
      <c r="IX185" s="36"/>
      <c r="IY185" s="36"/>
      <c r="IZ185" s="36"/>
      <c r="JA185" s="36"/>
      <c r="JB185" s="36"/>
      <c r="JC185" s="36"/>
      <c r="JD185" s="36"/>
      <c r="JE185" s="36"/>
      <c r="JF185" s="36"/>
      <c r="JG185" s="36"/>
      <c r="JH185" s="36"/>
      <c r="JI185" s="36"/>
      <c r="JJ185" s="36"/>
      <c r="JK185" s="36"/>
      <c r="JL185" s="37"/>
      <c r="JM185" s="44"/>
      <c r="JN185" s="36"/>
      <c r="JO185" s="36"/>
      <c r="JP185" s="36"/>
      <c r="JQ185" s="36"/>
      <c r="JR185" s="36"/>
      <c r="JS185" s="36"/>
      <c r="JT185" s="36"/>
      <c r="JU185" s="36"/>
      <c r="JV185" s="36"/>
      <c r="JW185" s="36"/>
      <c r="JX185" s="36"/>
      <c r="JY185" s="36"/>
      <c r="JZ185" s="36"/>
      <c r="KA185" s="36"/>
      <c r="KB185" s="36"/>
      <c r="KC185" s="37"/>
      <c r="KD185" s="44"/>
      <c r="KE185" s="36"/>
      <c r="KF185" s="36"/>
      <c r="KG185" s="36"/>
      <c r="KH185" s="36"/>
      <c r="KI185" s="36"/>
      <c r="KJ185" s="36"/>
      <c r="KK185" s="36"/>
      <c r="KL185" s="36"/>
      <c r="KM185" s="36"/>
      <c r="KN185" s="36"/>
      <c r="KO185" s="36"/>
      <c r="KP185" s="36"/>
      <c r="KQ185" s="36"/>
      <c r="KR185" s="36"/>
      <c r="KS185" s="36"/>
      <c r="KT185" s="37"/>
      <c r="KU185" s="36"/>
    </row>
    <row r="186" ht="15.0" customHeight="1">
      <c r="A186" s="44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7"/>
      <c r="R186" s="44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7"/>
      <c r="AI186" s="44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  <c r="AU186" s="36"/>
      <c r="AV186" s="36"/>
      <c r="AW186" s="36"/>
      <c r="AX186" s="36"/>
      <c r="AY186" s="37"/>
      <c r="AZ186" s="44"/>
      <c r="BA186" s="36"/>
      <c r="BB186" s="36"/>
      <c r="BC186" s="36"/>
      <c r="BD186" s="36"/>
      <c r="BE186" s="36"/>
      <c r="BF186" s="36"/>
      <c r="BG186" s="36"/>
      <c r="BH186" s="36"/>
      <c r="BI186" s="36"/>
      <c r="BJ186" s="36"/>
      <c r="BK186" s="36"/>
      <c r="BL186" s="36"/>
      <c r="BM186" s="36"/>
      <c r="BN186" s="36"/>
      <c r="BO186" s="36"/>
      <c r="BP186" s="37"/>
      <c r="BQ186" s="44"/>
      <c r="BR186" s="36"/>
      <c r="BS186" s="36"/>
      <c r="BT186" s="36"/>
      <c r="BU186" s="36"/>
      <c r="BV186" s="36"/>
      <c r="BW186" s="36"/>
      <c r="BX186" s="36"/>
      <c r="BY186" s="36"/>
      <c r="BZ186" s="36"/>
      <c r="CA186" s="36"/>
      <c r="CB186" s="36"/>
      <c r="CC186" s="36"/>
      <c r="CD186" s="36"/>
      <c r="CE186" s="36"/>
      <c r="CF186" s="36"/>
      <c r="CG186" s="37"/>
      <c r="CH186" s="44"/>
      <c r="CI186" s="36"/>
      <c r="CJ186" s="36"/>
      <c r="CK186" s="36"/>
      <c r="CL186" s="36"/>
      <c r="CM186" s="36"/>
      <c r="CN186" s="36"/>
      <c r="CO186" s="36"/>
      <c r="CP186" s="36"/>
      <c r="CQ186" s="36"/>
      <c r="CR186" s="36"/>
      <c r="CS186" s="36"/>
      <c r="CT186" s="36"/>
      <c r="CU186" s="36"/>
      <c r="CV186" s="36"/>
      <c r="CW186" s="36"/>
      <c r="CX186" s="37"/>
      <c r="CY186" s="44"/>
      <c r="CZ186" s="36"/>
      <c r="DA186" s="36"/>
      <c r="DB186" s="36"/>
      <c r="DC186" s="36"/>
      <c r="DD186" s="36"/>
      <c r="DE186" s="36"/>
      <c r="DF186" s="36"/>
      <c r="DG186" s="36"/>
      <c r="DH186" s="36"/>
      <c r="DI186" s="36"/>
      <c r="DJ186" s="36"/>
      <c r="DK186" s="36"/>
      <c r="DL186" s="36"/>
      <c r="DM186" s="36"/>
      <c r="DN186" s="36"/>
      <c r="DO186" s="37"/>
      <c r="DP186" s="44"/>
      <c r="DQ186" s="36"/>
      <c r="DR186" s="36"/>
      <c r="DS186" s="36"/>
      <c r="DT186" s="36"/>
      <c r="DU186" s="36"/>
      <c r="DV186" s="36"/>
      <c r="DW186" s="36"/>
      <c r="DX186" s="36"/>
      <c r="DY186" s="36"/>
      <c r="DZ186" s="36"/>
      <c r="EA186" s="36"/>
      <c r="EB186" s="36"/>
      <c r="EC186" s="36"/>
      <c r="ED186" s="36"/>
      <c r="EE186" s="36"/>
      <c r="EF186" s="37"/>
      <c r="EG186" s="44"/>
      <c r="EH186" s="36"/>
      <c r="EI186" s="36"/>
      <c r="EJ186" s="36"/>
      <c r="EK186" s="36"/>
      <c r="EL186" s="36"/>
      <c r="EM186" s="36"/>
      <c r="EN186" s="36"/>
      <c r="EO186" s="36"/>
      <c r="EP186" s="36"/>
      <c r="EQ186" s="36"/>
      <c r="ER186" s="36"/>
      <c r="ES186" s="36"/>
      <c r="ET186" s="36"/>
      <c r="EU186" s="36"/>
      <c r="EV186" s="36"/>
      <c r="EW186" s="37"/>
      <c r="EX186" s="44"/>
      <c r="EY186" s="36"/>
      <c r="EZ186" s="36"/>
      <c r="FA186" s="36"/>
      <c r="FB186" s="36"/>
      <c r="FC186" s="36"/>
      <c r="FD186" s="36"/>
      <c r="FE186" s="36"/>
      <c r="FF186" s="36"/>
      <c r="FG186" s="36"/>
      <c r="FH186" s="36"/>
      <c r="FI186" s="36"/>
      <c r="FJ186" s="36"/>
      <c r="FK186" s="36"/>
      <c r="FL186" s="36"/>
      <c r="FM186" s="36"/>
      <c r="FN186" s="37"/>
      <c r="FO186" s="44"/>
      <c r="FP186" s="36"/>
      <c r="FQ186" s="36"/>
      <c r="FR186" s="36"/>
      <c r="FS186" s="36"/>
      <c r="FT186" s="36"/>
      <c r="FU186" s="36"/>
      <c r="FV186" s="36"/>
      <c r="FW186" s="36"/>
      <c r="FX186" s="36"/>
      <c r="FY186" s="36"/>
      <c r="FZ186" s="36"/>
      <c r="GA186" s="36"/>
      <c r="GB186" s="36"/>
      <c r="GC186" s="36"/>
      <c r="GD186" s="36"/>
      <c r="GE186" s="37"/>
      <c r="GF186" s="44"/>
      <c r="GG186" s="36"/>
      <c r="GH186" s="36"/>
      <c r="GI186" s="36"/>
      <c r="GJ186" s="36"/>
      <c r="GK186" s="36"/>
      <c r="GL186" s="36"/>
      <c r="GM186" s="36"/>
      <c r="GN186" s="36"/>
      <c r="GO186" s="36"/>
      <c r="GP186" s="36"/>
      <c r="GQ186" s="36"/>
      <c r="GR186" s="36"/>
      <c r="GS186" s="36"/>
      <c r="GT186" s="36"/>
      <c r="GU186" s="36"/>
      <c r="GV186" s="37"/>
      <c r="GW186" s="44"/>
      <c r="GX186" s="36"/>
      <c r="GY186" s="36"/>
      <c r="GZ186" s="36"/>
      <c r="HA186" s="36"/>
      <c r="HB186" s="36"/>
      <c r="HC186" s="36"/>
      <c r="HD186" s="36"/>
      <c r="HE186" s="36"/>
      <c r="HF186" s="36"/>
      <c r="HG186" s="36"/>
      <c r="HH186" s="36"/>
      <c r="HI186" s="36"/>
      <c r="HJ186" s="36"/>
      <c r="HK186" s="36"/>
      <c r="HL186" s="36"/>
      <c r="HM186" s="37"/>
      <c r="HN186" s="44"/>
      <c r="HO186" s="36"/>
      <c r="HP186" s="36"/>
      <c r="HQ186" s="36"/>
      <c r="HR186" s="36"/>
      <c r="HS186" s="36"/>
      <c r="HT186" s="36"/>
      <c r="HU186" s="36"/>
      <c r="HV186" s="36"/>
      <c r="HW186" s="36"/>
      <c r="HX186" s="36"/>
      <c r="HY186" s="36"/>
      <c r="HZ186" s="36"/>
      <c r="IA186" s="36"/>
      <c r="IB186" s="36"/>
      <c r="IC186" s="36"/>
      <c r="ID186" s="37"/>
      <c r="IE186" s="44"/>
      <c r="IF186" s="36"/>
      <c r="IG186" s="36"/>
      <c r="IH186" s="36"/>
      <c r="II186" s="36"/>
      <c r="IJ186" s="36"/>
      <c r="IK186" s="36"/>
      <c r="IL186" s="36"/>
      <c r="IM186" s="36"/>
      <c r="IN186" s="36"/>
      <c r="IO186" s="36"/>
      <c r="IP186" s="36"/>
      <c r="IQ186" s="36"/>
      <c r="IR186" s="36"/>
      <c r="IS186" s="36"/>
      <c r="IT186" s="36"/>
      <c r="IU186" s="37"/>
      <c r="IV186" s="44"/>
      <c r="IW186" s="36"/>
      <c r="IX186" s="36"/>
      <c r="IY186" s="36"/>
      <c r="IZ186" s="36"/>
      <c r="JA186" s="36"/>
      <c r="JB186" s="36"/>
      <c r="JC186" s="36"/>
      <c r="JD186" s="36"/>
      <c r="JE186" s="36"/>
      <c r="JF186" s="36"/>
      <c r="JG186" s="36"/>
      <c r="JH186" s="36"/>
      <c r="JI186" s="36"/>
      <c r="JJ186" s="36"/>
      <c r="JK186" s="36"/>
      <c r="JL186" s="37"/>
      <c r="JM186" s="44"/>
      <c r="JN186" s="36"/>
      <c r="JO186" s="36"/>
      <c r="JP186" s="36"/>
      <c r="JQ186" s="36"/>
      <c r="JR186" s="36"/>
      <c r="JS186" s="36"/>
      <c r="JT186" s="36"/>
      <c r="JU186" s="36"/>
      <c r="JV186" s="36"/>
      <c r="JW186" s="36"/>
      <c r="JX186" s="36"/>
      <c r="JY186" s="36"/>
      <c r="JZ186" s="36"/>
      <c r="KA186" s="36"/>
      <c r="KB186" s="36"/>
      <c r="KC186" s="37"/>
      <c r="KD186" s="44"/>
      <c r="KE186" s="36"/>
      <c r="KF186" s="36"/>
      <c r="KG186" s="36"/>
      <c r="KH186" s="36"/>
      <c r="KI186" s="36"/>
      <c r="KJ186" s="36"/>
      <c r="KK186" s="36"/>
      <c r="KL186" s="36"/>
      <c r="KM186" s="36"/>
      <c r="KN186" s="36"/>
      <c r="KO186" s="36"/>
      <c r="KP186" s="36"/>
      <c r="KQ186" s="36"/>
      <c r="KR186" s="36"/>
      <c r="KS186" s="36"/>
      <c r="KT186" s="37"/>
      <c r="KU186" s="36"/>
    </row>
    <row r="187" ht="15.0" customHeight="1">
      <c r="A187" s="44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7"/>
      <c r="R187" s="44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7"/>
      <c r="AI187" s="44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  <c r="AU187" s="36"/>
      <c r="AV187" s="36"/>
      <c r="AW187" s="36"/>
      <c r="AX187" s="36"/>
      <c r="AY187" s="37"/>
      <c r="AZ187" s="44"/>
      <c r="BA187" s="36"/>
      <c r="BB187" s="36"/>
      <c r="BC187" s="36"/>
      <c r="BD187" s="36"/>
      <c r="BE187" s="36"/>
      <c r="BF187" s="36"/>
      <c r="BG187" s="36"/>
      <c r="BH187" s="36"/>
      <c r="BI187" s="36"/>
      <c r="BJ187" s="36"/>
      <c r="BK187" s="36"/>
      <c r="BL187" s="36"/>
      <c r="BM187" s="36"/>
      <c r="BN187" s="36"/>
      <c r="BO187" s="36"/>
      <c r="BP187" s="37"/>
      <c r="BQ187" s="44"/>
      <c r="BR187" s="36"/>
      <c r="BS187" s="36"/>
      <c r="BT187" s="36"/>
      <c r="BU187" s="36"/>
      <c r="BV187" s="36"/>
      <c r="BW187" s="36"/>
      <c r="BX187" s="36"/>
      <c r="BY187" s="36"/>
      <c r="BZ187" s="36"/>
      <c r="CA187" s="36"/>
      <c r="CB187" s="36"/>
      <c r="CC187" s="36"/>
      <c r="CD187" s="36"/>
      <c r="CE187" s="36"/>
      <c r="CF187" s="36"/>
      <c r="CG187" s="37"/>
      <c r="CH187" s="44"/>
      <c r="CI187" s="36"/>
      <c r="CJ187" s="36"/>
      <c r="CK187" s="36"/>
      <c r="CL187" s="36"/>
      <c r="CM187" s="36"/>
      <c r="CN187" s="36"/>
      <c r="CO187" s="36"/>
      <c r="CP187" s="36"/>
      <c r="CQ187" s="36"/>
      <c r="CR187" s="36"/>
      <c r="CS187" s="36"/>
      <c r="CT187" s="36"/>
      <c r="CU187" s="36"/>
      <c r="CV187" s="36"/>
      <c r="CW187" s="36"/>
      <c r="CX187" s="37"/>
      <c r="CY187" s="44"/>
      <c r="CZ187" s="36"/>
      <c r="DA187" s="36"/>
      <c r="DB187" s="36"/>
      <c r="DC187" s="36"/>
      <c r="DD187" s="36"/>
      <c r="DE187" s="36"/>
      <c r="DF187" s="36"/>
      <c r="DG187" s="36"/>
      <c r="DH187" s="36"/>
      <c r="DI187" s="36"/>
      <c r="DJ187" s="36"/>
      <c r="DK187" s="36"/>
      <c r="DL187" s="36"/>
      <c r="DM187" s="36"/>
      <c r="DN187" s="36"/>
      <c r="DO187" s="37"/>
      <c r="DP187" s="44"/>
      <c r="DQ187" s="36"/>
      <c r="DR187" s="36"/>
      <c r="DS187" s="36"/>
      <c r="DT187" s="36"/>
      <c r="DU187" s="36"/>
      <c r="DV187" s="36"/>
      <c r="DW187" s="36"/>
      <c r="DX187" s="36"/>
      <c r="DY187" s="36"/>
      <c r="DZ187" s="36"/>
      <c r="EA187" s="36"/>
      <c r="EB187" s="36"/>
      <c r="EC187" s="36"/>
      <c r="ED187" s="36"/>
      <c r="EE187" s="36"/>
      <c r="EF187" s="37"/>
      <c r="EG187" s="44"/>
      <c r="EH187" s="36"/>
      <c r="EI187" s="36"/>
      <c r="EJ187" s="36"/>
      <c r="EK187" s="36"/>
      <c r="EL187" s="36"/>
      <c r="EM187" s="36"/>
      <c r="EN187" s="36"/>
      <c r="EO187" s="36"/>
      <c r="EP187" s="36"/>
      <c r="EQ187" s="36"/>
      <c r="ER187" s="36"/>
      <c r="ES187" s="36"/>
      <c r="ET187" s="36"/>
      <c r="EU187" s="36"/>
      <c r="EV187" s="36"/>
      <c r="EW187" s="37"/>
      <c r="EX187" s="44"/>
      <c r="EY187" s="36"/>
      <c r="EZ187" s="36"/>
      <c r="FA187" s="36"/>
      <c r="FB187" s="36"/>
      <c r="FC187" s="36"/>
      <c r="FD187" s="36"/>
      <c r="FE187" s="36"/>
      <c r="FF187" s="36"/>
      <c r="FG187" s="36"/>
      <c r="FH187" s="36"/>
      <c r="FI187" s="36"/>
      <c r="FJ187" s="36"/>
      <c r="FK187" s="36"/>
      <c r="FL187" s="36"/>
      <c r="FM187" s="36"/>
      <c r="FN187" s="37"/>
      <c r="FO187" s="44"/>
      <c r="FP187" s="36"/>
      <c r="FQ187" s="36"/>
      <c r="FR187" s="36"/>
      <c r="FS187" s="36"/>
      <c r="FT187" s="36"/>
      <c r="FU187" s="36"/>
      <c r="FV187" s="36"/>
      <c r="FW187" s="36"/>
      <c r="FX187" s="36"/>
      <c r="FY187" s="36"/>
      <c r="FZ187" s="36"/>
      <c r="GA187" s="36"/>
      <c r="GB187" s="36"/>
      <c r="GC187" s="36"/>
      <c r="GD187" s="36"/>
      <c r="GE187" s="37"/>
      <c r="GF187" s="44"/>
      <c r="GG187" s="36"/>
      <c r="GH187" s="36"/>
      <c r="GI187" s="36"/>
      <c r="GJ187" s="36"/>
      <c r="GK187" s="36"/>
      <c r="GL187" s="36"/>
      <c r="GM187" s="36"/>
      <c r="GN187" s="36"/>
      <c r="GO187" s="36"/>
      <c r="GP187" s="36"/>
      <c r="GQ187" s="36"/>
      <c r="GR187" s="36"/>
      <c r="GS187" s="36"/>
      <c r="GT187" s="36"/>
      <c r="GU187" s="36"/>
      <c r="GV187" s="37"/>
      <c r="GW187" s="44"/>
      <c r="GX187" s="36"/>
      <c r="GY187" s="36"/>
      <c r="GZ187" s="36"/>
      <c r="HA187" s="36"/>
      <c r="HB187" s="36"/>
      <c r="HC187" s="36"/>
      <c r="HD187" s="36"/>
      <c r="HE187" s="36"/>
      <c r="HF187" s="36"/>
      <c r="HG187" s="36"/>
      <c r="HH187" s="36"/>
      <c r="HI187" s="36"/>
      <c r="HJ187" s="36"/>
      <c r="HK187" s="36"/>
      <c r="HL187" s="36"/>
      <c r="HM187" s="37"/>
      <c r="HN187" s="44"/>
      <c r="HO187" s="36"/>
      <c r="HP187" s="36"/>
      <c r="HQ187" s="36"/>
      <c r="HR187" s="36"/>
      <c r="HS187" s="36"/>
      <c r="HT187" s="36"/>
      <c r="HU187" s="36"/>
      <c r="HV187" s="36"/>
      <c r="HW187" s="36"/>
      <c r="HX187" s="36"/>
      <c r="HY187" s="36"/>
      <c r="HZ187" s="36"/>
      <c r="IA187" s="36"/>
      <c r="IB187" s="36"/>
      <c r="IC187" s="36"/>
      <c r="ID187" s="37"/>
      <c r="IE187" s="44"/>
      <c r="IF187" s="36"/>
      <c r="IG187" s="36"/>
      <c r="IH187" s="36"/>
      <c r="II187" s="36"/>
      <c r="IJ187" s="36"/>
      <c r="IK187" s="36"/>
      <c r="IL187" s="36"/>
      <c r="IM187" s="36"/>
      <c r="IN187" s="36"/>
      <c r="IO187" s="36"/>
      <c r="IP187" s="36"/>
      <c r="IQ187" s="36"/>
      <c r="IR187" s="36"/>
      <c r="IS187" s="36"/>
      <c r="IT187" s="36"/>
      <c r="IU187" s="37"/>
      <c r="IV187" s="44"/>
      <c r="IW187" s="36"/>
      <c r="IX187" s="36"/>
      <c r="IY187" s="36"/>
      <c r="IZ187" s="36"/>
      <c r="JA187" s="36"/>
      <c r="JB187" s="36"/>
      <c r="JC187" s="36"/>
      <c r="JD187" s="36"/>
      <c r="JE187" s="36"/>
      <c r="JF187" s="36"/>
      <c r="JG187" s="36"/>
      <c r="JH187" s="36"/>
      <c r="JI187" s="36"/>
      <c r="JJ187" s="36"/>
      <c r="JK187" s="36"/>
      <c r="JL187" s="37"/>
      <c r="JM187" s="44"/>
      <c r="JN187" s="36"/>
      <c r="JO187" s="36"/>
      <c r="JP187" s="36"/>
      <c r="JQ187" s="36"/>
      <c r="JR187" s="36"/>
      <c r="JS187" s="36"/>
      <c r="JT187" s="36"/>
      <c r="JU187" s="36"/>
      <c r="JV187" s="36"/>
      <c r="JW187" s="36"/>
      <c r="JX187" s="36"/>
      <c r="JY187" s="36"/>
      <c r="JZ187" s="36"/>
      <c r="KA187" s="36"/>
      <c r="KB187" s="36"/>
      <c r="KC187" s="37"/>
      <c r="KD187" s="44"/>
      <c r="KE187" s="36"/>
      <c r="KF187" s="36"/>
      <c r="KG187" s="36"/>
      <c r="KH187" s="36"/>
      <c r="KI187" s="36"/>
      <c r="KJ187" s="36"/>
      <c r="KK187" s="36"/>
      <c r="KL187" s="36"/>
      <c r="KM187" s="36"/>
      <c r="KN187" s="36"/>
      <c r="KO187" s="36"/>
      <c r="KP187" s="36"/>
      <c r="KQ187" s="36"/>
      <c r="KR187" s="36"/>
      <c r="KS187" s="36"/>
      <c r="KT187" s="37"/>
      <c r="KU187" s="36"/>
    </row>
    <row r="188" ht="15.0" customHeight="1">
      <c r="A188" s="44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7"/>
      <c r="R188" s="44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7"/>
      <c r="AI188" s="44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  <c r="AU188" s="36"/>
      <c r="AV188" s="36"/>
      <c r="AW188" s="36"/>
      <c r="AX188" s="36"/>
      <c r="AY188" s="37"/>
      <c r="AZ188" s="44"/>
      <c r="BA188" s="36"/>
      <c r="BB188" s="36"/>
      <c r="BC188" s="36"/>
      <c r="BD188" s="36"/>
      <c r="BE188" s="36"/>
      <c r="BF188" s="36"/>
      <c r="BG188" s="36"/>
      <c r="BH188" s="36"/>
      <c r="BI188" s="36"/>
      <c r="BJ188" s="36"/>
      <c r="BK188" s="36"/>
      <c r="BL188" s="36"/>
      <c r="BM188" s="36"/>
      <c r="BN188" s="36"/>
      <c r="BO188" s="36"/>
      <c r="BP188" s="37"/>
      <c r="BQ188" s="44"/>
      <c r="BR188" s="36"/>
      <c r="BS188" s="36"/>
      <c r="BT188" s="36"/>
      <c r="BU188" s="36"/>
      <c r="BV188" s="36"/>
      <c r="BW188" s="36"/>
      <c r="BX188" s="36"/>
      <c r="BY188" s="36"/>
      <c r="BZ188" s="36"/>
      <c r="CA188" s="36"/>
      <c r="CB188" s="36"/>
      <c r="CC188" s="36"/>
      <c r="CD188" s="36"/>
      <c r="CE188" s="36"/>
      <c r="CF188" s="36"/>
      <c r="CG188" s="37"/>
      <c r="CH188" s="44"/>
      <c r="CI188" s="36"/>
      <c r="CJ188" s="36"/>
      <c r="CK188" s="36"/>
      <c r="CL188" s="36"/>
      <c r="CM188" s="36"/>
      <c r="CN188" s="36"/>
      <c r="CO188" s="36"/>
      <c r="CP188" s="36"/>
      <c r="CQ188" s="36"/>
      <c r="CR188" s="36"/>
      <c r="CS188" s="36"/>
      <c r="CT188" s="36"/>
      <c r="CU188" s="36"/>
      <c r="CV188" s="36"/>
      <c r="CW188" s="36"/>
      <c r="CX188" s="37"/>
      <c r="CY188" s="44"/>
      <c r="CZ188" s="36"/>
      <c r="DA188" s="36"/>
      <c r="DB188" s="36"/>
      <c r="DC188" s="36"/>
      <c r="DD188" s="36"/>
      <c r="DE188" s="36"/>
      <c r="DF188" s="36"/>
      <c r="DG188" s="36"/>
      <c r="DH188" s="36"/>
      <c r="DI188" s="36"/>
      <c r="DJ188" s="36"/>
      <c r="DK188" s="36"/>
      <c r="DL188" s="36"/>
      <c r="DM188" s="36"/>
      <c r="DN188" s="36"/>
      <c r="DO188" s="37"/>
      <c r="DP188" s="44"/>
      <c r="DQ188" s="36"/>
      <c r="DR188" s="36"/>
      <c r="DS188" s="36"/>
      <c r="DT188" s="36"/>
      <c r="DU188" s="36"/>
      <c r="DV188" s="36"/>
      <c r="DW188" s="36"/>
      <c r="DX188" s="36"/>
      <c r="DY188" s="36"/>
      <c r="DZ188" s="36"/>
      <c r="EA188" s="36"/>
      <c r="EB188" s="36"/>
      <c r="EC188" s="36"/>
      <c r="ED188" s="36"/>
      <c r="EE188" s="36"/>
      <c r="EF188" s="37"/>
      <c r="EG188" s="44"/>
      <c r="EH188" s="36"/>
      <c r="EI188" s="36"/>
      <c r="EJ188" s="36"/>
      <c r="EK188" s="36"/>
      <c r="EL188" s="36"/>
      <c r="EM188" s="36"/>
      <c r="EN188" s="36"/>
      <c r="EO188" s="36"/>
      <c r="EP188" s="36"/>
      <c r="EQ188" s="36"/>
      <c r="ER188" s="36"/>
      <c r="ES188" s="36"/>
      <c r="ET188" s="36"/>
      <c r="EU188" s="36"/>
      <c r="EV188" s="36"/>
      <c r="EW188" s="37"/>
      <c r="EX188" s="44"/>
      <c r="EY188" s="36"/>
      <c r="EZ188" s="36"/>
      <c r="FA188" s="36"/>
      <c r="FB188" s="36"/>
      <c r="FC188" s="36"/>
      <c r="FD188" s="36"/>
      <c r="FE188" s="36"/>
      <c r="FF188" s="36"/>
      <c r="FG188" s="36"/>
      <c r="FH188" s="36"/>
      <c r="FI188" s="36"/>
      <c r="FJ188" s="36"/>
      <c r="FK188" s="36"/>
      <c r="FL188" s="36"/>
      <c r="FM188" s="36"/>
      <c r="FN188" s="37"/>
      <c r="FO188" s="44"/>
      <c r="FP188" s="36"/>
      <c r="FQ188" s="36"/>
      <c r="FR188" s="36"/>
      <c r="FS188" s="36"/>
      <c r="FT188" s="36"/>
      <c r="FU188" s="36"/>
      <c r="FV188" s="36"/>
      <c r="FW188" s="36"/>
      <c r="FX188" s="36"/>
      <c r="FY188" s="36"/>
      <c r="FZ188" s="36"/>
      <c r="GA188" s="36"/>
      <c r="GB188" s="36"/>
      <c r="GC188" s="36"/>
      <c r="GD188" s="36"/>
      <c r="GE188" s="37"/>
      <c r="GF188" s="44"/>
      <c r="GG188" s="36"/>
      <c r="GH188" s="36"/>
      <c r="GI188" s="36"/>
      <c r="GJ188" s="36"/>
      <c r="GK188" s="36"/>
      <c r="GL188" s="36"/>
      <c r="GM188" s="36"/>
      <c r="GN188" s="36"/>
      <c r="GO188" s="36"/>
      <c r="GP188" s="36"/>
      <c r="GQ188" s="36"/>
      <c r="GR188" s="36"/>
      <c r="GS188" s="36"/>
      <c r="GT188" s="36"/>
      <c r="GU188" s="36"/>
      <c r="GV188" s="37"/>
      <c r="GW188" s="44"/>
      <c r="GX188" s="36"/>
      <c r="GY188" s="36"/>
      <c r="GZ188" s="36"/>
      <c r="HA188" s="36"/>
      <c r="HB188" s="36"/>
      <c r="HC188" s="36"/>
      <c r="HD188" s="36"/>
      <c r="HE188" s="36"/>
      <c r="HF188" s="36"/>
      <c r="HG188" s="36"/>
      <c r="HH188" s="36"/>
      <c r="HI188" s="36"/>
      <c r="HJ188" s="36"/>
      <c r="HK188" s="36"/>
      <c r="HL188" s="36"/>
      <c r="HM188" s="37"/>
      <c r="HN188" s="44"/>
      <c r="HO188" s="36"/>
      <c r="HP188" s="36"/>
      <c r="HQ188" s="36"/>
      <c r="HR188" s="36"/>
      <c r="HS188" s="36"/>
      <c r="HT188" s="36"/>
      <c r="HU188" s="36"/>
      <c r="HV188" s="36"/>
      <c r="HW188" s="36"/>
      <c r="HX188" s="36"/>
      <c r="HY188" s="36"/>
      <c r="HZ188" s="36"/>
      <c r="IA188" s="36"/>
      <c r="IB188" s="36"/>
      <c r="IC188" s="36"/>
      <c r="ID188" s="37"/>
      <c r="IE188" s="44"/>
      <c r="IF188" s="36"/>
      <c r="IG188" s="36"/>
      <c r="IH188" s="36"/>
      <c r="II188" s="36"/>
      <c r="IJ188" s="36"/>
      <c r="IK188" s="36"/>
      <c r="IL188" s="36"/>
      <c r="IM188" s="36"/>
      <c r="IN188" s="36"/>
      <c r="IO188" s="36"/>
      <c r="IP188" s="36"/>
      <c r="IQ188" s="36"/>
      <c r="IR188" s="36"/>
      <c r="IS188" s="36"/>
      <c r="IT188" s="36"/>
      <c r="IU188" s="37"/>
      <c r="IV188" s="44"/>
      <c r="IW188" s="36"/>
      <c r="IX188" s="36"/>
      <c r="IY188" s="36"/>
      <c r="IZ188" s="36"/>
      <c r="JA188" s="36"/>
      <c r="JB188" s="36"/>
      <c r="JC188" s="36"/>
      <c r="JD188" s="36"/>
      <c r="JE188" s="36"/>
      <c r="JF188" s="36"/>
      <c r="JG188" s="36"/>
      <c r="JH188" s="36"/>
      <c r="JI188" s="36"/>
      <c r="JJ188" s="36"/>
      <c r="JK188" s="36"/>
      <c r="JL188" s="37"/>
      <c r="JM188" s="44"/>
      <c r="JN188" s="36"/>
      <c r="JO188" s="36"/>
      <c r="JP188" s="36"/>
      <c r="JQ188" s="36"/>
      <c r="JR188" s="36"/>
      <c r="JS188" s="36"/>
      <c r="JT188" s="36"/>
      <c r="JU188" s="36"/>
      <c r="JV188" s="36"/>
      <c r="JW188" s="36"/>
      <c r="JX188" s="36"/>
      <c r="JY188" s="36"/>
      <c r="JZ188" s="36"/>
      <c r="KA188" s="36"/>
      <c r="KB188" s="36"/>
      <c r="KC188" s="37"/>
      <c r="KD188" s="44"/>
      <c r="KE188" s="36"/>
      <c r="KF188" s="36"/>
      <c r="KG188" s="36"/>
      <c r="KH188" s="36"/>
      <c r="KI188" s="36"/>
      <c r="KJ188" s="36"/>
      <c r="KK188" s="36"/>
      <c r="KL188" s="36"/>
      <c r="KM188" s="36"/>
      <c r="KN188" s="36"/>
      <c r="KO188" s="36"/>
      <c r="KP188" s="36"/>
      <c r="KQ188" s="36"/>
      <c r="KR188" s="36"/>
      <c r="KS188" s="36"/>
      <c r="KT188" s="37"/>
      <c r="KU188" s="36"/>
    </row>
    <row r="189" ht="15.0" customHeight="1">
      <c r="A189" s="44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7"/>
      <c r="R189" s="44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7"/>
      <c r="AI189" s="44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  <c r="AU189" s="36"/>
      <c r="AV189" s="36"/>
      <c r="AW189" s="36"/>
      <c r="AX189" s="36"/>
      <c r="AY189" s="37"/>
      <c r="AZ189" s="44"/>
      <c r="BA189" s="36"/>
      <c r="BB189" s="36"/>
      <c r="BC189" s="36"/>
      <c r="BD189" s="36"/>
      <c r="BE189" s="36"/>
      <c r="BF189" s="36"/>
      <c r="BG189" s="36"/>
      <c r="BH189" s="36"/>
      <c r="BI189" s="36"/>
      <c r="BJ189" s="36"/>
      <c r="BK189" s="36"/>
      <c r="BL189" s="36"/>
      <c r="BM189" s="36"/>
      <c r="BN189" s="36"/>
      <c r="BO189" s="36"/>
      <c r="BP189" s="37"/>
      <c r="BQ189" s="44"/>
      <c r="BR189" s="36"/>
      <c r="BS189" s="36"/>
      <c r="BT189" s="36"/>
      <c r="BU189" s="36"/>
      <c r="BV189" s="36"/>
      <c r="BW189" s="36"/>
      <c r="BX189" s="36"/>
      <c r="BY189" s="36"/>
      <c r="BZ189" s="36"/>
      <c r="CA189" s="36"/>
      <c r="CB189" s="36"/>
      <c r="CC189" s="36"/>
      <c r="CD189" s="36"/>
      <c r="CE189" s="36"/>
      <c r="CF189" s="36"/>
      <c r="CG189" s="37"/>
      <c r="CH189" s="44"/>
      <c r="CI189" s="36"/>
      <c r="CJ189" s="36"/>
      <c r="CK189" s="36"/>
      <c r="CL189" s="36"/>
      <c r="CM189" s="36"/>
      <c r="CN189" s="36"/>
      <c r="CO189" s="36"/>
      <c r="CP189" s="36"/>
      <c r="CQ189" s="36"/>
      <c r="CR189" s="36"/>
      <c r="CS189" s="36"/>
      <c r="CT189" s="36"/>
      <c r="CU189" s="36"/>
      <c r="CV189" s="36"/>
      <c r="CW189" s="36"/>
      <c r="CX189" s="37"/>
      <c r="CY189" s="44"/>
      <c r="CZ189" s="36"/>
      <c r="DA189" s="36"/>
      <c r="DB189" s="36"/>
      <c r="DC189" s="36"/>
      <c r="DD189" s="36"/>
      <c r="DE189" s="36"/>
      <c r="DF189" s="36"/>
      <c r="DG189" s="36"/>
      <c r="DH189" s="36"/>
      <c r="DI189" s="36"/>
      <c r="DJ189" s="36"/>
      <c r="DK189" s="36"/>
      <c r="DL189" s="36"/>
      <c r="DM189" s="36"/>
      <c r="DN189" s="36"/>
      <c r="DO189" s="37"/>
      <c r="DP189" s="44"/>
      <c r="DQ189" s="36"/>
      <c r="DR189" s="36"/>
      <c r="DS189" s="36"/>
      <c r="DT189" s="36"/>
      <c r="DU189" s="36"/>
      <c r="DV189" s="36"/>
      <c r="DW189" s="36"/>
      <c r="DX189" s="36"/>
      <c r="DY189" s="36"/>
      <c r="DZ189" s="36"/>
      <c r="EA189" s="36"/>
      <c r="EB189" s="36"/>
      <c r="EC189" s="36"/>
      <c r="ED189" s="36"/>
      <c r="EE189" s="36"/>
      <c r="EF189" s="37"/>
      <c r="EG189" s="44"/>
      <c r="EH189" s="36"/>
      <c r="EI189" s="36"/>
      <c r="EJ189" s="36"/>
      <c r="EK189" s="36"/>
      <c r="EL189" s="36"/>
      <c r="EM189" s="36"/>
      <c r="EN189" s="36"/>
      <c r="EO189" s="36"/>
      <c r="EP189" s="36"/>
      <c r="EQ189" s="36"/>
      <c r="ER189" s="36"/>
      <c r="ES189" s="36"/>
      <c r="ET189" s="36"/>
      <c r="EU189" s="36"/>
      <c r="EV189" s="36"/>
      <c r="EW189" s="37"/>
      <c r="EX189" s="44"/>
      <c r="EY189" s="36"/>
      <c r="EZ189" s="36"/>
      <c r="FA189" s="36"/>
      <c r="FB189" s="36"/>
      <c r="FC189" s="36"/>
      <c r="FD189" s="36"/>
      <c r="FE189" s="36"/>
      <c r="FF189" s="36"/>
      <c r="FG189" s="36"/>
      <c r="FH189" s="36"/>
      <c r="FI189" s="36"/>
      <c r="FJ189" s="36"/>
      <c r="FK189" s="36"/>
      <c r="FL189" s="36"/>
      <c r="FM189" s="36"/>
      <c r="FN189" s="37"/>
      <c r="FO189" s="44"/>
      <c r="FP189" s="36"/>
      <c r="FQ189" s="36"/>
      <c r="FR189" s="36"/>
      <c r="FS189" s="36"/>
      <c r="FT189" s="36"/>
      <c r="FU189" s="36"/>
      <c r="FV189" s="36"/>
      <c r="FW189" s="36"/>
      <c r="FX189" s="36"/>
      <c r="FY189" s="36"/>
      <c r="FZ189" s="36"/>
      <c r="GA189" s="36"/>
      <c r="GB189" s="36"/>
      <c r="GC189" s="36"/>
      <c r="GD189" s="36"/>
      <c r="GE189" s="37"/>
      <c r="GF189" s="44"/>
      <c r="GG189" s="36"/>
      <c r="GH189" s="36"/>
      <c r="GI189" s="36"/>
      <c r="GJ189" s="36"/>
      <c r="GK189" s="36"/>
      <c r="GL189" s="36"/>
      <c r="GM189" s="36"/>
      <c r="GN189" s="36"/>
      <c r="GO189" s="36"/>
      <c r="GP189" s="36"/>
      <c r="GQ189" s="36"/>
      <c r="GR189" s="36"/>
      <c r="GS189" s="36"/>
      <c r="GT189" s="36"/>
      <c r="GU189" s="36"/>
      <c r="GV189" s="37"/>
      <c r="GW189" s="44"/>
      <c r="GX189" s="36"/>
      <c r="GY189" s="36"/>
      <c r="GZ189" s="36"/>
      <c r="HA189" s="36"/>
      <c r="HB189" s="36"/>
      <c r="HC189" s="36"/>
      <c r="HD189" s="36"/>
      <c r="HE189" s="36"/>
      <c r="HF189" s="36"/>
      <c r="HG189" s="36"/>
      <c r="HH189" s="36"/>
      <c r="HI189" s="36"/>
      <c r="HJ189" s="36"/>
      <c r="HK189" s="36"/>
      <c r="HL189" s="36"/>
      <c r="HM189" s="37"/>
      <c r="HN189" s="44"/>
      <c r="HO189" s="36"/>
      <c r="HP189" s="36"/>
      <c r="HQ189" s="36"/>
      <c r="HR189" s="36"/>
      <c r="HS189" s="36"/>
      <c r="HT189" s="36"/>
      <c r="HU189" s="36"/>
      <c r="HV189" s="36"/>
      <c r="HW189" s="36"/>
      <c r="HX189" s="36"/>
      <c r="HY189" s="36"/>
      <c r="HZ189" s="36"/>
      <c r="IA189" s="36"/>
      <c r="IB189" s="36"/>
      <c r="IC189" s="36"/>
      <c r="ID189" s="37"/>
      <c r="IE189" s="44"/>
      <c r="IF189" s="36"/>
      <c r="IG189" s="36"/>
      <c r="IH189" s="36"/>
      <c r="II189" s="36"/>
      <c r="IJ189" s="36"/>
      <c r="IK189" s="36"/>
      <c r="IL189" s="36"/>
      <c r="IM189" s="36"/>
      <c r="IN189" s="36"/>
      <c r="IO189" s="36"/>
      <c r="IP189" s="36"/>
      <c r="IQ189" s="36"/>
      <c r="IR189" s="36"/>
      <c r="IS189" s="36"/>
      <c r="IT189" s="36"/>
      <c r="IU189" s="37"/>
      <c r="IV189" s="44"/>
      <c r="IW189" s="36"/>
      <c r="IX189" s="36"/>
      <c r="IY189" s="36"/>
      <c r="IZ189" s="36"/>
      <c r="JA189" s="36"/>
      <c r="JB189" s="36"/>
      <c r="JC189" s="36"/>
      <c r="JD189" s="36"/>
      <c r="JE189" s="36"/>
      <c r="JF189" s="36"/>
      <c r="JG189" s="36"/>
      <c r="JH189" s="36"/>
      <c r="JI189" s="36"/>
      <c r="JJ189" s="36"/>
      <c r="JK189" s="36"/>
      <c r="JL189" s="37"/>
      <c r="JM189" s="44"/>
      <c r="JN189" s="36"/>
      <c r="JO189" s="36"/>
      <c r="JP189" s="36"/>
      <c r="JQ189" s="36"/>
      <c r="JR189" s="36"/>
      <c r="JS189" s="36"/>
      <c r="JT189" s="36"/>
      <c r="JU189" s="36"/>
      <c r="JV189" s="36"/>
      <c r="JW189" s="36"/>
      <c r="JX189" s="36"/>
      <c r="JY189" s="36"/>
      <c r="JZ189" s="36"/>
      <c r="KA189" s="36"/>
      <c r="KB189" s="36"/>
      <c r="KC189" s="37"/>
      <c r="KD189" s="44"/>
      <c r="KE189" s="36"/>
      <c r="KF189" s="36"/>
      <c r="KG189" s="36"/>
      <c r="KH189" s="36"/>
      <c r="KI189" s="36"/>
      <c r="KJ189" s="36"/>
      <c r="KK189" s="36"/>
      <c r="KL189" s="36"/>
      <c r="KM189" s="36"/>
      <c r="KN189" s="36"/>
      <c r="KO189" s="36"/>
      <c r="KP189" s="36"/>
      <c r="KQ189" s="36"/>
      <c r="KR189" s="36"/>
      <c r="KS189" s="36"/>
      <c r="KT189" s="37"/>
      <c r="KU189" s="36"/>
    </row>
    <row r="190" ht="15.0" customHeight="1">
      <c r="A190" s="44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7"/>
      <c r="R190" s="44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7"/>
      <c r="AI190" s="44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  <c r="AU190" s="36"/>
      <c r="AV190" s="36"/>
      <c r="AW190" s="36"/>
      <c r="AX190" s="36"/>
      <c r="AY190" s="37"/>
      <c r="AZ190" s="44"/>
      <c r="BA190" s="36"/>
      <c r="BB190" s="36"/>
      <c r="BC190" s="36"/>
      <c r="BD190" s="36"/>
      <c r="BE190" s="36"/>
      <c r="BF190" s="36"/>
      <c r="BG190" s="36"/>
      <c r="BH190" s="36"/>
      <c r="BI190" s="36"/>
      <c r="BJ190" s="36"/>
      <c r="BK190" s="36"/>
      <c r="BL190" s="36"/>
      <c r="BM190" s="36"/>
      <c r="BN190" s="36"/>
      <c r="BO190" s="36"/>
      <c r="BP190" s="37"/>
      <c r="BQ190" s="44"/>
      <c r="BR190" s="36"/>
      <c r="BS190" s="36"/>
      <c r="BT190" s="36"/>
      <c r="BU190" s="36"/>
      <c r="BV190" s="36"/>
      <c r="BW190" s="36"/>
      <c r="BX190" s="36"/>
      <c r="BY190" s="36"/>
      <c r="BZ190" s="36"/>
      <c r="CA190" s="36"/>
      <c r="CB190" s="36"/>
      <c r="CC190" s="36"/>
      <c r="CD190" s="36"/>
      <c r="CE190" s="36"/>
      <c r="CF190" s="36"/>
      <c r="CG190" s="37"/>
      <c r="CH190" s="44"/>
      <c r="CI190" s="36"/>
      <c r="CJ190" s="36"/>
      <c r="CK190" s="36"/>
      <c r="CL190" s="36"/>
      <c r="CM190" s="36"/>
      <c r="CN190" s="36"/>
      <c r="CO190" s="36"/>
      <c r="CP190" s="36"/>
      <c r="CQ190" s="36"/>
      <c r="CR190" s="36"/>
      <c r="CS190" s="36"/>
      <c r="CT190" s="36"/>
      <c r="CU190" s="36"/>
      <c r="CV190" s="36"/>
      <c r="CW190" s="36"/>
      <c r="CX190" s="37"/>
      <c r="CY190" s="44"/>
      <c r="CZ190" s="36"/>
      <c r="DA190" s="36"/>
      <c r="DB190" s="36"/>
      <c r="DC190" s="36"/>
      <c r="DD190" s="36"/>
      <c r="DE190" s="36"/>
      <c r="DF190" s="36"/>
      <c r="DG190" s="36"/>
      <c r="DH190" s="36"/>
      <c r="DI190" s="36"/>
      <c r="DJ190" s="36"/>
      <c r="DK190" s="36"/>
      <c r="DL190" s="36"/>
      <c r="DM190" s="36"/>
      <c r="DN190" s="36"/>
      <c r="DO190" s="37"/>
      <c r="DP190" s="44"/>
      <c r="DQ190" s="36"/>
      <c r="DR190" s="36"/>
      <c r="DS190" s="36"/>
      <c r="DT190" s="36"/>
      <c r="DU190" s="36"/>
      <c r="DV190" s="36"/>
      <c r="DW190" s="36"/>
      <c r="DX190" s="36"/>
      <c r="DY190" s="36"/>
      <c r="DZ190" s="36"/>
      <c r="EA190" s="36"/>
      <c r="EB190" s="36"/>
      <c r="EC190" s="36"/>
      <c r="ED190" s="36"/>
      <c r="EE190" s="36"/>
      <c r="EF190" s="37"/>
      <c r="EG190" s="44"/>
      <c r="EH190" s="36"/>
      <c r="EI190" s="36"/>
      <c r="EJ190" s="36"/>
      <c r="EK190" s="36"/>
      <c r="EL190" s="36"/>
      <c r="EM190" s="36"/>
      <c r="EN190" s="36"/>
      <c r="EO190" s="36"/>
      <c r="EP190" s="36"/>
      <c r="EQ190" s="36"/>
      <c r="ER190" s="36"/>
      <c r="ES190" s="36"/>
      <c r="ET190" s="36"/>
      <c r="EU190" s="36"/>
      <c r="EV190" s="36"/>
      <c r="EW190" s="37"/>
      <c r="EX190" s="44"/>
      <c r="EY190" s="36"/>
      <c r="EZ190" s="36"/>
      <c r="FA190" s="36"/>
      <c r="FB190" s="36"/>
      <c r="FC190" s="36"/>
      <c r="FD190" s="36"/>
      <c r="FE190" s="36"/>
      <c r="FF190" s="36"/>
      <c r="FG190" s="36"/>
      <c r="FH190" s="36"/>
      <c r="FI190" s="36"/>
      <c r="FJ190" s="36"/>
      <c r="FK190" s="36"/>
      <c r="FL190" s="36"/>
      <c r="FM190" s="36"/>
      <c r="FN190" s="37"/>
      <c r="FO190" s="44"/>
      <c r="FP190" s="36"/>
      <c r="FQ190" s="36"/>
      <c r="FR190" s="36"/>
      <c r="FS190" s="36"/>
      <c r="FT190" s="36"/>
      <c r="FU190" s="36"/>
      <c r="FV190" s="36"/>
      <c r="FW190" s="36"/>
      <c r="FX190" s="36"/>
      <c r="FY190" s="36"/>
      <c r="FZ190" s="36"/>
      <c r="GA190" s="36"/>
      <c r="GB190" s="36"/>
      <c r="GC190" s="36"/>
      <c r="GD190" s="36"/>
      <c r="GE190" s="37"/>
      <c r="GF190" s="44"/>
      <c r="GG190" s="36"/>
      <c r="GH190" s="36"/>
      <c r="GI190" s="36"/>
      <c r="GJ190" s="36"/>
      <c r="GK190" s="36"/>
      <c r="GL190" s="36"/>
      <c r="GM190" s="36"/>
      <c r="GN190" s="36"/>
      <c r="GO190" s="36"/>
      <c r="GP190" s="36"/>
      <c r="GQ190" s="36"/>
      <c r="GR190" s="36"/>
      <c r="GS190" s="36"/>
      <c r="GT190" s="36"/>
      <c r="GU190" s="36"/>
      <c r="GV190" s="37"/>
      <c r="GW190" s="44"/>
      <c r="GX190" s="36"/>
      <c r="GY190" s="36"/>
      <c r="GZ190" s="36"/>
      <c r="HA190" s="36"/>
      <c r="HB190" s="36"/>
      <c r="HC190" s="36"/>
      <c r="HD190" s="36"/>
      <c r="HE190" s="36"/>
      <c r="HF190" s="36"/>
      <c r="HG190" s="36"/>
      <c r="HH190" s="36"/>
      <c r="HI190" s="36"/>
      <c r="HJ190" s="36"/>
      <c r="HK190" s="36"/>
      <c r="HL190" s="36"/>
      <c r="HM190" s="37"/>
      <c r="HN190" s="44"/>
      <c r="HO190" s="36"/>
      <c r="HP190" s="36"/>
      <c r="HQ190" s="36"/>
      <c r="HR190" s="36"/>
      <c r="HS190" s="36"/>
      <c r="HT190" s="36"/>
      <c r="HU190" s="36"/>
      <c r="HV190" s="36"/>
      <c r="HW190" s="36"/>
      <c r="HX190" s="36"/>
      <c r="HY190" s="36"/>
      <c r="HZ190" s="36"/>
      <c r="IA190" s="36"/>
      <c r="IB190" s="36"/>
      <c r="IC190" s="36"/>
      <c r="ID190" s="37"/>
      <c r="IE190" s="44"/>
      <c r="IF190" s="36"/>
      <c r="IG190" s="36"/>
      <c r="IH190" s="36"/>
      <c r="II190" s="36"/>
      <c r="IJ190" s="36"/>
      <c r="IK190" s="36"/>
      <c r="IL190" s="36"/>
      <c r="IM190" s="36"/>
      <c r="IN190" s="36"/>
      <c r="IO190" s="36"/>
      <c r="IP190" s="36"/>
      <c r="IQ190" s="36"/>
      <c r="IR190" s="36"/>
      <c r="IS190" s="36"/>
      <c r="IT190" s="36"/>
      <c r="IU190" s="37"/>
      <c r="IV190" s="44"/>
      <c r="IW190" s="36"/>
      <c r="IX190" s="36"/>
      <c r="IY190" s="36"/>
      <c r="IZ190" s="36"/>
      <c r="JA190" s="36"/>
      <c r="JB190" s="36"/>
      <c r="JC190" s="36"/>
      <c r="JD190" s="36"/>
      <c r="JE190" s="36"/>
      <c r="JF190" s="36"/>
      <c r="JG190" s="36"/>
      <c r="JH190" s="36"/>
      <c r="JI190" s="36"/>
      <c r="JJ190" s="36"/>
      <c r="JK190" s="36"/>
      <c r="JL190" s="37"/>
      <c r="JM190" s="44"/>
      <c r="JN190" s="36"/>
      <c r="JO190" s="36"/>
      <c r="JP190" s="36"/>
      <c r="JQ190" s="36"/>
      <c r="JR190" s="36"/>
      <c r="JS190" s="36"/>
      <c r="JT190" s="36"/>
      <c r="JU190" s="36"/>
      <c r="JV190" s="36"/>
      <c r="JW190" s="36"/>
      <c r="JX190" s="36"/>
      <c r="JY190" s="36"/>
      <c r="JZ190" s="36"/>
      <c r="KA190" s="36"/>
      <c r="KB190" s="36"/>
      <c r="KC190" s="37"/>
      <c r="KD190" s="44"/>
      <c r="KE190" s="36"/>
      <c r="KF190" s="36"/>
      <c r="KG190" s="36"/>
      <c r="KH190" s="36"/>
      <c r="KI190" s="36"/>
      <c r="KJ190" s="36"/>
      <c r="KK190" s="36"/>
      <c r="KL190" s="36"/>
      <c r="KM190" s="36"/>
      <c r="KN190" s="36"/>
      <c r="KO190" s="36"/>
      <c r="KP190" s="36"/>
      <c r="KQ190" s="36"/>
      <c r="KR190" s="36"/>
      <c r="KS190" s="36"/>
      <c r="KT190" s="37"/>
      <c r="KU190" s="36"/>
    </row>
    <row r="191" ht="15.0" customHeight="1">
      <c r="A191" s="44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7"/>
      <c r="R191" s="44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7"/>
      <c r="AI191" s="44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  <c r="AU191" s="36"/>
      <c r="AV191" s="36"/>
      <c r="AW191" s="36"/>
      <c r="AX191" s="36"/>
      <c r="AY191" s="37"/>
      <c r="AZ191" s="44"/>
      <c r="BA191" s="36"/>
      <c r="BB191" s="36"/>
      <c r="BC191" s="36"/>
      <c r="BD191" s="36"/>
      <c r="BE191" s="36"/>
      <c r="BF191" s="36"/>
      <c r="BG191" s="36"/>
      <c r="BH191" s="36"/>
      <c r="BI191" s="36"/>
      <c r="BJ191" s="36"/>
      <c r="BK191" s="36"/>
      <c r="BL191" s="36"/>
      <c r="BM191" s="36"/>
      <c r="BN191" s="36"/>
      <c r="BO191" s="36"/>
      <c r="BP191" s="37"/>
      <c r="BQ191" s="44"/>
      <c r="BR191" s="36"/>
      <c r="BS191" s="36"/>
      <c r="BT191" s="36"/>
      <c r="BU191" s="36"/>
      <c r="BV191" s="36"/>
      <c r="BW191" s="36"/>
      <c r="BX191" s="36"/>
      <c r="BY191" s="36"/>
      <c r="BZ191" s="36"/>
      <c r="CA191" s="36"/>
      <c r="CB191" s="36"/>
      <c r="CC191" s="36"/>
      <c r="CD191" s="36"/>
      <c r="CE191" s="36"/>
      <c r="CF191" s="36"/>
      <c r="CG191" s="37"/>
      <c r="CH191" s="44"/>
      <c r="CI191" s="36"/>
      <c r="CJ191" s="36"/>
      <c r="CK191" s="36"/>
      <c r="CL191" s="36"/>
      <c r="CM191" s="36"/>
      <c r="CN191" s="36"/>
      <c r="CO191" s="36"/>
      <c r="CP191" s="36"/>
      <c r="CQ191" s="36"/>
      <c r="CR191" s="36"/>
      <c r="CS191" s="36"/>
      <c r="CT191" s="36"/>
      <c r="CU191" s="36"/>
      <c r="CV191" s="36"/>
      <c r="CW191" s="36"/>
      <c r="CX191" s="37"/>
      <c r="CY191" s="44"/>
      <c r="CZ191" s="36"/>
      <c r="DA191" s="36"/>
      <c r="DB191" s="36"/>
      <c r="DC191" s="36"/>
      <c r="DD191" s="36"/>
      <c r="DE191" s="36"/>
      <c r="DF191" s="36"/>
      <c r="DG191" s="36"/>
      <c r="DH191" s="36"/>
      <c r="DI191" s="36"/>
      <c r="DJ191" s="36"/>
      <c r="DK191" s="36"/>
      <c r="DL191" s="36"/>
      <c r="DM191" s="36"/>
      <c r="DN191" s="36"/>
      <c r="DO191" s="37"/>
      <c r="DP191" s="44"/>
      <c r="DQ191" s="36"/>
      <c r="DR191" s="36"/>
      <c r="DS191" s="36"/>
      <c r="DT191" s="36"/>
      <c r="DU191" s="36"/>
      <c r="DV191" s="36"/>
      <c r="DW191" s="36"/>
      <c r="DX191" s="36"/>
      <c r="DY191" s="36"/>
      <c r="DZ191" s="36"/>
      <c r="EA191" s="36"/>
      <c r="EB191" s="36"/>
      <c r="EC191" s="36"/>
      <c r="ED191" s="36"/>
      <c r="EE191" s="36"/>
      <c r="EF191" s="37"/>
      <c r="EG191" s="44"/>
      <c r="EH191" s="36"/>
      <c r="EI191" s="36"/>
      <c r="EJ191" s="36"/>
      <c r="EK191" s="36"/>
      <c r="EL191" s="36"/>
      <c r="EM191" s="36"/>
      <c r="EN191" s="36"/>
      <c r="EO191" s="36"/>
      <c r="EP191" s="36"/>
      <c r="EQ191" s="36"/>
      <c r="ER191" s="36"/>
      <c r="ES191" s="36"/>
      <c r="ET191" s="36"/>
      <c r="EU191" s="36"/>
      <c r="EV191" s="36"/>
      <c r="EW191" s="37"/>
      <c r="EX191" s="44"/>
      <c r="EY191" s="36"/>
      <c r="EZ191" s="36"/>
      <c r="FA191" s="36"/>
      <c r="FB191" s="36"/>
      <c r="FC191" s="36"/>
      <c r="FD191" s="36"/>
      <c r="FE191" s="36"/>
      <c r="FF191" s="36"/>
      <c r="FG191" s="36"/>
      <c r="FH191" s="36"/>
      <c r="FI191" s="36"/>
      <c r="FJ191" s="36"/>
      <c r="FK191" s="36"/>
      <c r="FL191" s="36"/>
      <c r="FM191" s="36"/>
      <c r="FN191" s="37"/>
      <c r="FO191" s="44"/>
      <c r="FP191" s="36"/>
      <c r="FQ191" s="36"/>
      <c r="FR191" s="36"/>
      <c r="FS191" s="36"/>
      <c r="FT191" s="36"/>
      <c r="FU191" s="36"/>
      <c r="FV191" s="36"/>
      <c r="FW191" s="36"/>
      <c r="FX191" s="36"/>
      <c r="FY191" s="36"/>
      <c r="FZ191" s="36"/>
      <c r="GA191" s="36"/>
      <c r="GB191" s="36"/>
      <c r="GC191" s="36"/>
      <c r="GD191" s="36"/>
      <c r="GE191" s="37"/>
      <c r="GF191" s="44"/>
      <c r="GG191" s="36"/>
      <c r="GH191" s="36"/>
      <c r="GI191" s="36"/>
      <c r="GJ191" s="36"/>
      <c r="GK191" s="36"/>
      <c r="GL191" s="36"/>
      <c r="GM191" s="36"/>
      <c r="GN191" s="36"/>
      <c r="GO191" s="36"/>
      <c r="GP191" s="36"/>
      <c r="GQ191" s="36"/>
      <c r="GR191" s="36"/>
      <c r="GS191" s="36"/>
      <c r="GT191" s="36"/>
      <c r="GU191" s="36"/>
      <c r="GV191" s="37"/>
      <c r="GW191" s="44"/>
      <c r="GX191" s="36"/>
      <c r="GY191" s="36"/>
      <c r="GZ191" s="36"/>
      <c r="HA191" s="36"/>
      <c r="HB191" s="36"/>
      <c r="HC191" s="36"/>
      <c r="HD191" s="36"/>
      <c r="HE191" s="36"/>
      <c r="HF191" s="36"/>
      <c r="HG191" s="36"/>
      <c r="HH191" s="36"/>
      <c r="HI191" s="36"/>
      <c r="HJ191" s="36"/>
      <c r="HK191" s="36"/>
      <c r="HL191" s="36"/>
      <c r="HM191" s="37"/>
      <c r="HN191" s="44"/>
      <c r="HO191" s="36"/>
      <c r="HP191" s="36"/>
      <c r="HQ191" s="36"/>
      <c r="HR191" s="36"/>
      <c r="HS191" s="36"/>
      <c r="HT191" s="36"/>
      <c r="HU191" s="36"/>
      <c r="HV191" s="36"/>
      <c r="HW191" s="36"/>
      <c r="HX191" s="36"/>
      <c r="HY191" s="36"/>
      <c r="HZ191" s="36"/>
      <c r="IA191" s="36"/>
      <c r="IB191" s="36"/>
      <c r="IC191" s="36"/>
      <c r="ID191" s="37"/>
      <c r="IE191" s="44"/>
      <c r="IF191" s="36"/>
      <c r="IG191" s="36"/>
      <c r="IH191" s="36"/>
      <c r="II191" s="36"/>
      <c r="IJ191" s="36"/>
      <c r="IK191" s="36"/>
      <c r="IL191" s="36"/>
      <c r="IM191" s="36"/>
      <c r="IN191" s="36"/>
      <c r="IO191" s="36"/>
      <c r="IP191" s="36"/>
      <c r="IQ191" s="36"/>
      <c r="IR191" s="36"/>
      <c r="IS191" s="36"/>
      <c r="IT191" s="36"/>
      <c r="IU191" s="37"/>
      <c r="IV191" s="44"/>
      <c r="IW191" s="36"/>
      <c r="IX191" s="36"/>
      <c r="IY191" s="36"/>
      <c r="IZ191" s="36"/>
      <c r="JA191" s="36"/>
      <c r="JB191" s="36"/>
      <c r="JC191" s="36"/>
      <c r="JD191" s="36"/>
      <c r="JE191" s="36"/>
      <c r="JF191" s="36"/>
      <c r="JG191" s="36"/>
      <c r="JH191" s="36"/>
      <c r="JI191" s="36"/>
      <c r="JJ191" s="36"/>
      <c r="JK191" s="36"/>
      <c r="JL191" s="37"/>
      <c r="JM191" s="44"/>
      <c r="JN191" s="36"/>
      <c r="JO191" s="36"/>
      <c r="JP191" s="36"/>
      <c r="JQ191" s="36"/>
      <c r="JR191" s="36"/>
      <c r="JS191" s="36"/>
      <c r="JT191" s="36"/>
      <c r="JU191" s="36"/>
      <c r="JV191" s="36"/>
      <c r="JW191" s="36"/>
      <c r="JX191" s="36"/>
      <c r="JY191" s="36"/>
      <c r="JZ191" s="36"/>
      <c r="KA191" s="36"/>
      <c r="KB191" s="36"/>
      <c r="KC191" s="37"/>
      <c r="KD191" s="44"/>
      <c r="KE191" s="36"/>
      <c r="KF191" s="36"/>
      <c r="KG191" s="36"/>
      <c r="KH191" s="36"/>
      <c r="KI191" s="36"/>
      <c r="KJ191" s="36"/>
      <c r="KK191" s="36"/>
      <c r="KL191" s="36"/>
      <c r="KM191" s="36"/>
      <c r="KN191" s="36"/>
      <c r="KO191" s="36"/>
      <c r="KP191" s="36"/>
      <c r="KQ191" s="36"/>
      <c r="KR191" s="36"/>
      <c r="KS191" s="36"/>
      <c r="KT191" s="37"/>
      <c r="KU191" s="36"/>
    </row>
    <row r="192" ht="15.0" customHeight="1">
      <c r="A192" s="44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7"/>
      <c r="R192" s="44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7"/>
      <c r="AI192" s="44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  <c r="AU192" s="36"/>
      <c r="AV192" s="36"/>
      <c r="AW192" s="36"/>
      <c r="AX192" s="36"/>
      <c r="AY192" s="37"/>
      <c r="AZ192" s="44"/>
      <c r="BA192" s="36"/>
      <c r="BB192" s="36"/>
      <c r="BC192" s="36"/>
      <c r="BD192" s="36"/>
      <c r="BE192" s="36"/>
      <c r="BF192" s="36"/>
      <c r="BG192" s="36"/>
      <c r="BH192" s="36"/>
      <c r="BI192" s="36"/>
      <c r="BJ192" s="36"/>
      <c r="BK192" s="36"/>
      <c r="BL192" s="36"/>
      <c r="BM192" s="36"/>
      <c r="BN192" s="36"/>
      <c r="BO192" s="36"/>
      <c r="BP192" s="37"/>
      <c r="BQ192" s="44"/>
      <c r="BR192" s="36"/>
      <c r="BS192" s="36"/>
      <c r="BT192" s="36"/>
      <c r="BU192" s="36"/>
      <c r="BV192" s="36"/>
      <c r="BW192" s="36"/>
      <c r="BX192" s="36"/>
      <c r="BY192" s="36"/>
      <c r="BZ192" s="36"/>
      <c r="CA192" s="36"/>
      <c r="CB192" s="36"/>
      <c r="CC192" s="36"/>
      <c r="CD192" s="36"/>
      <c r="CE192" s="36"/>
      <c r="CF192" s="36"/>
      <c r="CG192" s="37"/>
      <c r="CH192" s="44"/>
      <c r="CI192" s="36"/>
      <c r="CJ192" s="36"/>
      <c r="CK192" s="36"/>
      <c r="CL192" s="36"/>
      <c r="CM192" s="36"/>
      <c r="CN192" s="36"/>
      <c r="CO192" s="36"/>
      <c r="CP192" s="36"/>
      <c r="CQ192" s="36"/>
      <c r="CR192" s="36"/>
      <c r="CS192" s="36"/>
      <c r="CT192" s="36"/>
      <c r="CU192" s="36"/>
      <c r="CV192" s="36"/>
      <c r="CW192" s="36"/>
      <c r="CX192" s="37"/>
      <c r="CY192" s="44"/>
      <c r="CZ192" s="36"/>
      <c r="DA192" s="36"/>
      <c r="DB192" s="36"/>
      <c r="DC192" s="36"/>
      <c r="DD192" s="36"/>
      <c r="DE192" s="36"/>
      <c r="DF192" s="36"/>
      <c r="DG192" s="36"/>
      <c r="DH192" s="36"/>
      <c r="DI192" s="36"/>
      <c r="DJ192" s="36"/>
      <c r="DK192" s="36"/>
      <c r="DL192" s="36"/>
      <c r="DM192" s="36"/>
      <c r="DN192" s="36"/>
      <c r="DO192" s="37"/>
      <c r="DP192" s="44"/>
      <c r="DQ192" s="36"/>
      <c r="DR192" s="36"/>
      <c r="DS192" s="36"/>
      <c r="DT192" s="36"/>
      <c r="DU192" s="36"/>
      <c r="DV192" s="36"/>
      <c r="DW192" s="36"/>
      <c r="DX192" s="36"/>
      <c r="DY192" s="36"/>
      <c r="DZ192" s="36"/>
      <c r="EA192" s="36"/>
      <c r="EB192" s="36"/>
      <c r="EC192" s="36"/>
      <c r="ED192" s="36"/>
      <c r="EE192" s="36"/>
      <c r="EF192" s="37"/>
      <c r="EG192" s="44"/>
      <c r="EH192" s="36"/>
      <c r="EI192" s="36"/>
      <c r="EJ192" s="36"/>
      <c r="EK192" s="36"/>
      <c r="EL192" s="36"/>
      <c r="EM192" s="36"/>
      <c r="EN192" s="36"/>
      <c r="EO192" s="36"/>
      <c r="EP192" s="36"/>
      <c r="EQ192" s="36"/>
      <c r="ER192" s="36"/>
      <c r="ES192" s="36"/>
      <c r="ET192" s="36"/>
      <c r="EU192" s="36"/>
      <c r="EV192" s="36"/>
      <c r="EW192" s="37"/>
      <c r="EX192" s="44"/>
      <c r="EY192" s="36"/>
      <c r="EZ192" s="36"/>
      <c r="FA192" s="36"/>
      <c r="FB192" s="36"/>
      <c r="FC192" s="36"/>
      <c r="FD192" s="36"/>
      <c r="FE192" s="36"/>
      <c r="FF192" s="36"/>
      <c r="FG192" s="36"/>
      <c r="FH192" s="36"/>
      <c r="FI192" s="36"/>
      <c r="FJ192" s="36"/>
      <c r="FK192" s="36"/>
      <c r="FL192" s="36"/>
      <c r="FM192" s="36"/>
      <c r="FN192" s="37"/>
      <c r="FO192" s="44"/>
      <c r="FP192" s="36"/>
      <c r="FQ192" s="36"/>
      <c r="FR192" s="36"/>
      <c r="FS192" s="36"/>
      <c r="FT192" s="36"/>
      <c r="FU192" s="36"/>
      <c r="FV192" s="36"/>
      <c r="FW192" s="36"/>
      <c r="FX192" s="36"/>
      <c r="FY192" s="36"/>
      <c r="FZ192" s="36"/>
      <c r="GA192" s="36"/>
      <c r="GB192" s="36"/>
      <c r="GC192" s="36"/>
      <c r="GD192" s="36"/>
      <c r="GE192" s="37"/>
      <c r="GF192" s="44"/>
      <c r="GG192" s="36"/>
      <c r="GH192" s="36"/>
      <c r="GI192" s="36"/>
      <c r="GJ192" s="36"/>
      <c r="GK192" s="36"/>
      <c r="GL192" s="36"/>
      <c r="GM192" s="36"/>
      <c r="GN192" s="36"/>
      <c r="GO192" s="36"/>
      <c r="GP192" s="36"/>
      <c r="GQ192" s="36"/>
      <c r="GR192" s="36"/>
      <c r="GS192" s="36"/>
      <c r="GT192" s="36"/>
      <c r="GU192" s="36"/>
      <c r="GV192" s="37"/>
      <c r="GW192" s="44"/>
      <c r="GX192" s="36"/>
      <c r="GY192" s="36"/>
      <c r="GZ192" s="36"/>
      <c r="HA192" s="36"/>
      <c r="HB192" s="36"/>
      <c r="HC192" s="36"/>
      <c r="HD192" s="36"/>
      <c r="HE192" s="36"/>
      <c r="HF192" s="36"/>
      <c r="HG192" s="36"/>
      <c r="HH192" s="36"/>
      <c r="HI192" s="36"/>
      <c r="HJ192" s="36"/>
      <c r="HK192" s="36"/>
      <c r="HL192" s="36"/>
      <c r="HM192" s="37"/>
      <c r="HN192" s="44"/>
      <c r="HO192" s="36"/>
      <c r="HP192" s="36"/>
      <c r="HQ192" s="36"/>
      <c r="HR192" s="36"/>
      <c r="HS192" s="36"/>
      <c r="HT192" s="36"/>
      <c r="HU192" s="36"/>
      <c r="HV192" s="36"/>
      <c r="HW192" s="36"/>
      <c r="HX192" s="36"/>
      <c r="HY192" s="36"/>
      <c r="HZ192" s="36"/>
      <c r="IA192" s="36"/>
      <c r="IB192" s="36"/>
      <c r="IC192" s="36"/>
      <c r="ID192" s="37"/>
      <c r="IE192" s="44"/>
      <c r="IF192" s="36"/>
      <c r="IG192" s="36"/>
      <c r="IH192" s="36"/>
      <c r="II192" s="36"/>
      <c r="IJ192" s="36"/>
      <c r="IK192" s="36"/>
      <c r="IL192" s="36"/>
      <c r="IM192" s="36"/>
      <c r="IN192" s="36"/>
      <c r="IO192" s="36"/>
      <c r="IP192" s="36"/>
      <c r="IQ192" s="36"/>
      <c r="IR192" s="36"/>
      <c r="IS192" s="36"/>
      <c r="IT192" s="36"/>
      <c r="IU192" s="37"/>
      <c r="IV192" s="44"/>
      <c r="IW192" s="36"/>
      <c r="IX192" s="36"/>
      <c r="IY192" s="36"/>
      <c r="IZ192" s="36"/>
      <c r="JA192" s="36"/>
      <c r="JB192" s="36"/>
      <c r="JC192" s="36"/>
      <c r="JD192" s="36"/>
      <c r="JE192" s="36"/>
      <c r="JF192" s="36"/>
      <c r="JG192" s="36"/>
      <c r="JH192" s="36"/>
      <c r="JI192" s="36"/>
      <c r="JJ192" s="36"/>
      <c r="JK192" s="36"/>
      <c r="JL192" s="37"/>
      <c r="JM192" s="44"/>
      <c r="JN192" s="36"/>
      <c r="JO192" s="36"/>
      <c r="JP192" s="36"/>
      <c r="JQ192" s="36"/>
      <c r="JR192" s="36"/>
      <c r="JS192" s="36"/>
      <c r="JT192" s="36"/>
      <c r="JU192" s="36"/>
      <c r="JV192" s="36"/>
      <c r="JW192" s="36"/>
      <c r="JX192" s="36"/>
      <c r="JY192" s="36"/>
      <c r="JZ192" s="36"/>
      <c r="KA192" s="36"/>
      <c r="KB192" s="36"/>
      <c r="KC192" s="37"/>
      <c r="KD192" s="44"/>
      <c r="KE192" s="36"/>
      <c r="KF192" s="36"/>
      <c r="KG192" s="36"/>
      <c r="KH192" s="36"/>
      <c r="KI192" s="36"/>
      <c r="KJ192" s="36"/>
      <c r="KK192" s="36"/>
      <c r="KL192" s="36"/>
      <c r="KM192" s="36"/>
      <c r="KN192" s="36"/>
      <c r="KO192" s="36"/>
      <c r="KP192" s="36"/>
      <c r="KQ192" s="36"/>
      <c r="KR192" s="36"/>
      <c r="KS192" s="36"/>
      <c r="KT192" s="37"/>
      <c r="KU192" s="36"/>
    </row>
    <row r="193" ht="15.0" customHeight="1">
      <c r="A193" s="44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7"/>
      <c r="R193" s="44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7"/>
      <c r="AI193" s="44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  <c r="AU193" s="36"/>
      <c r="AV193" s="36"/>
      <c r="AW193" s="36"/>
      <c r="AX193" s="36"/>
      <c r="AY193" s="37"/>
      <c r="AZ193" s="44"/>
      <c r="BA193" s="36"/>
      <c r="BB193" s="36"/>
      <c r="BC193" s="36"/>
      <c r="BD193" s="36"/>
      <c r="BE193" s="36"/>
      <c r="BF193" s="36"/>
      <c r="BG193" s="36"/>
      <c r="BH193" s="36"/>
      <c r="BI193" s="36"/>
      <c r="BJ193" s="36"/>
      <c r="BK193" s="36"/>
      <c r="BL193" s="36"/>
      <c r="BM193" s="36"/>
      <c r="BN193" s="36"/>
      <c r="BO193" s="36"/>
      <c r="BP193" s="37"/>
      <c r="BQ193" s="44"/>
      <c r="BR193" s="36"/>
      <c r="BS193" s="36"/>
      <c r="BT193" s="36"/>
      <c r="BU193" s="36"/>
      <c r="BV193" s="36"/>
      <c r="BW193" s="36"/>
      <c r="BX193" s="36"/>
      <c r="BY193" s="36"/>
      <c r="BZ193" s="36"/>
      <c r="CA193" s="36"/>
      <c r="CB193" s="36"/>
      <c r="CC193" s="36"/>
      <c r="CD193" s="36"/>
      <c r="CE193" s="36"/>
      <c r="CF193" s="36"/>
      <c r="CG193" s="37"/>
      <c r="CH193" s="44"/>
      <c r="CI193" s="36"/>
      <c r="CJ193" s="36"/>
      <c r="CK193" s="36"/>
      <c r="CL193" s="36"/>
      <c r="CM193" s="36"/>
      <c r="CN193" s="36"/>
      <c r="CO193" s="36"/>
      <c r="CP193" s="36"/>
      <c r="CQ193" s="36"/>
      <c r="CR193" s="36"/>
      <c r="CS193" s="36"/>
      <c r="CT193" s="36"/>
      <c r="CU193" s="36"/>
      <c r="CV193" s="36"/>
      <c r="CW193" s="36"/>
      <c r="CX193" s="37"/>
      <c r="CY193" s="44"/>
      <c r="CZ193" s="36"/>
      <c r="DA193" s="36"/>
      <c r="DB193" s="36"/>
      <c r="DC193" s="36"/>
      <c r="DD193" s="36"/>
      <c r="DE193" s="36"/>
      <c r="DF193" s="36"/>
      <c r="DG193" s="36"/>
      <c r="DH193" s="36"/>
      <c r="DI193" s="36"/>
      <c r="DJ193" s="36"/>
      <c r="DK193" s="36"/>
      <c r="DL193" s="36"/>
      <c r="DM193" s="36"/>
      <c r="DN193" s="36"/>
      <c r="DO193" s="37"/>
      <c r="DP193" s="44"/>
      <c r="DQ193" s="36"/>
      <c r="DR193" s="36"/>
      <c r="DS193" s="36"/>
      <c r="DT193" s="36"/>
      <c r="DU193" s="36"/>
      <c r="DV193" s="36"/>
      <c r="DW193" s="36"/>
      <c r="DX193" s="36"/>
      <c r="DY193" s="36"/>
      <c r="DZ193" s="36"/>
      <c r="EA193" s="36"/>
      <c r="EB193" s="36"/>
      <c r="EC193" s="36"/>
      <c r="ED193" s="36"/>
      <c r="EE193" s="36"/>
      <c r="EF193" s="37"/>
      <c r="EG193" s="44"/>
      <c r="EH193" s="36"/>
      <c r="EI193" s="36"/>
      <c r="EJ193" s="36"/>
      <c r="EK193" s="36"/>
      <c r="EL193" s="36"/>
      <c r="EM193" s="36"/>
      <c r="EN193" s="36"/>
      <c r="EO193" s="36"/>
      <c r="EP193" s="36"/>
      <c r="EQ193" s="36"/>
      <c r="ER193" s="36"/>
      <c r="ES193" s="36"/>
      <c r="ET193" s="36"/>
      <c r="EU193" s="36"/>
      <c r="EV193" s="36"/>
      <c r="EW193" s="37"/>
      <c r="EX193" s="44"/>
      <c r="EY193" s="36"/>
      <c r="EZ193" s="36"/>
      <c r="FA193" s="36"/>
      <c r="FB193" s="36"/>
      <c r="FC193" s="36"/>
      <c r="FD193" s="36"/>
      <c r="FE193" s="36"/>
      <c r="FF193" s="36"/>
      <c r="FG193" s="36"/>
      <c r="FH193" s="36"/>
      <c r="FI193" s="36"/>
      <c r="FJ193" s="36"/>
      <c r="FK193" s="36"/>
      <c r="FL193" s="36"/>
      <c r="FM193" s="36"/>
      <c r="FN193" s="37"/>
      <c r="FO193" s="44"/>
      <c r="FP193" s="36"/>
      <c r="FQ193" s="36"/>
      <c r="FR193" s="36"/>
      <c r="FS193" s="36"/>
      <c r="FT193" s="36"/>
      <c r="FU193" s="36"/>
      <c r="FV193" s="36"/>
      <c r="FW193" s="36"/>
      <c r="FX193" s="36"/>
      <c r="FY193" s="36"/>
      <c r="FZ193" s="36"/>
      <c r="GA193" s="36"/>
      <c r="GB193" s="36"/>
      <c r="GC193" s="36"/>
      <c r="GD193" s="36"/>
      <c r="GE193" s="37"/>
      <c r="GF193" s="44"/>
      <c r="GG193" s="36"/>
      <c r="GH193" s="36"/>
      <c r="GI193" s="36"/>
      <c r="GJ193" s="36"/>
      <c r="GK193" s="36"/>
      <c r="GL193" s="36"/>
      <c r="GM193" s="36"/>
      <c r="GN193" s="36"/>
      <c r="GO193" s="36"/>
      <c r="GP193" s="36"/>
      <c r="GQ193" s="36"/>
      <c r="GR193" s="36"/>
      <c r="GS193" s="36"/>
      <c r="GT193" s="36"/>
      <c r="GU193" s="36"/>
      <c r="GV193" s="37"/>
      <c r="GW193" s="44"/>
      <c r="GX193" s="36"/>
      <c r="GY193" s="36"/>
      <c r="GZ193" s="36"/>
      <c r="HA193" s="36"/>
      <c r="HB193" s="36"/>
      <c r="HC193" s="36"/>
      <c r="HD193" s="36"/>
      <c r="HE193" s="36"/>
      <c r="HF193" s="36"/>
      <c r="HG193" s="36"/>
      <c r="HH193" s="36"/>
      <c r="HI193" s="36"/>
      <c r="HJ193" s="36"/>
      <c r="HK193" s="36"/>
      <c r="HL193" s="36"/>
      <c r="HM193" s="37"/>
      <c r="HN193" s="44"/>
      <c r="HO193" s="36"/>
      <c r="HP193" s="36"/>
      <c r="HQ193" s="36"/>
      <c r="HR193" s="36"/>
      <c r="HS193" s="36"/>
      <c r="HT193" s="36"/>
      <c r="HU193" s="36"/>
      <c r="HV193" s="36"/>
      <c r="HW193" s="36"/>
      <c r="HX193" s="36"/>
      <c r="HY193" s="36"/>
      <c r="HZ193" s="36"/>
      <c r="IA193" s="36"/>
      <c r="IB193" s="36"/>
      <c r="IC193" s="36"/>
      <c r="ID193" s="37"/>
      <c r="IE193" s="44"/>
      <c r="IF193" s="36"/>
      <c r="IG193" s="36"/>
      <c r="IH193" s="36"/>
      <c r="II193" s="36"/>
      <c r="IJ193" s="36"/>
      <c r="IK193" s="36"/>
      <c r="IL193" s="36"/>
      <c r="IM193" s="36"/>
      <c r="IN193" s="36"/>
      <c r="IO193" s="36"/>
      <c r="IP193" s="36"/>
      <c r="IQ193" s="36"/>
      <c r="IR193" s="36"/>
      <c r="IS193" s="36"/>
      <c r="IT193" s="36"/>
      <c r="IU193" s="37"/>
      <c r="IV193" s="44"/>
      <c r="IW193" s="36"/>
      <c r="IX193" s="36"/>
      <c r="IY193" s="36"/>
      <c r="IZ193" s="36"/>
      <c r="JA193" s="36"/>
      <c r="JB193" s="36"/>
      <c r="JC193" s="36"/>
      <c r="JD193" s="36"/>
      <c r="JE193" s="36"/>
      <c r="JF193" s="36"/>
      <c r="JG193" s="36"/>
      <c r="JH193" s="36"/>
      <c r="JI193" s="36"/>
      <c r="JJ193" s="36"/>
      <c r="JK193" s="36"/>
      <c r="JL193" s="37"/>
      <c r="JM193" s="44"/>
      <c r="JN193" s="36"/>
      <c r="JO193" s="36"/>
      <c r="JP193" s="36"/>
      <c r="JQ193" s="36"/>
      <c r="JR193" s="36"/>
      <c r="JS193" s="36"/>
      <c r="JT193" s="36"/>
      <c r="JU193" s="36"/>
      <c r="JV193" s="36"/>
      <c r="JW193" s="36"/>
      <c r="JX193" s="36"/>
      <c r="JY193" s="36"/>
      <c r="JZ193" s="36"/>
      <c r="KA193" s="36"/>
      <c r="KB193" s="36"/>
      <c r="KC193" s="37"/>
      <c r="KD193" s="44"/>
      <c r="KE193" s="36"/>
      <c r="KF193" s="36"/>
      <c r="KG193" s="36"/>
      <c r="KH193" s="36"/>
      <c r="KI193" s="36"/>
      <c r="KJ193" s="36"/>
      <c r="KK193" s="36"/>
      <c r="KL193" s="36"/>
      <c r="KM193" s="36"/>
      <c r="KN193" s="36"/>
      <c r="KO193" s="36"/>
      <c r="KP193" s="36"/>
      <c r="KQ193" s="36"/>
      <c r="KR193" s="36"/>
      <c r="KS193" s="36"/>
      <c r="KT193" s="37"/>
      <c r="KU193" s="36"/>
    </row>
    <row r="194" ht="15.0" customHeight="1">
      <c r="A194" s="44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7"/>
      <c r="R194" s="44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7"/>
      <c r="AI194" s="44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  <c r="AU194" s="36"/>
      <c r="AV194" s="36"/>
      <c r="AW194" s="36"/>
      <c r="AX194" s="36"/>
      <c r="AY194" s="37"/>
      <c r="AZ194" s="44"/>
      <c r="BA194" s="36"/>
      <c r="BB194" s="36"/>
      <c r="BC194" s="36"/>
      <c r="BD194" s="36"/>
      <c r="BE194" s="36"/>
      <c r="BF194" s="36"/>
      <c r="BG194" s="36"/>
      <c r="BH194" s="36"/>
      <c r="BI194" s="36"/>
      <c r="BJ194" s="36"/>
      <c r="BK194" s="36"/>
      <c r="BL194" s="36"/>
      <c r="BM194" s="36"/>
      <c r="BN194" s="36"/>
      <c r="BO194" s="36"/>
      <c r="BP194" s="37"/>
      <c r="BQ194" s="44"/>
      <c r="BR194" s="36"/>
      <c r="BS194" s="36"/>
      <c r="BT194" s="36"/>
      <c r="BU194" s="36"/>
      <c r="BV194" s="36"/>
      <c r="BW194" s="36"/>
      <c r="BX194" s="36"/>
      <c r="BY194" s="36"/>
      <c r="BZ194" s="36"/>
      <c r="CA194" s="36"/>
      <c r="CB194" s="36"/>
      <c r="CC194" s="36"/>
      <c r="CD194" s="36"/>
      <c r="CE194" s="36"/>
      <c r="CF194" s="36"/>
      <c r="CG194" s="37"/>
      <c r="CH194" s="44"/>
      <c r="CI194" s="36"/>
      <c r="CJ194" s="36"/>
      <c r="CK194" s="36"/>
      <c r="CL194" s="36"/>
      <c r="CM194" s="36"/>
      <c r="CN194" s="36"/>
      <c r="CO194" s="36"/>
      <c r="CP194" s="36"/>
      <c r="CQ194" s="36"/>
      <c r="CR194" s="36"/>
      <c r="CS194" s="36"/>
      <c r="CT194" s="36"/>
      <c r="CU194" s="36"/>
      <c r="CV194" s="36"/>
      <c r="CW194" s="36"/>
      <c r="CX194" s="37"/>
      <c r="CY194" s="44"/>
      <c r="CZ194" s="36"/>
      <c r="DA194" s="36"/>
      <c r="DB194" s="36"/>
      <c r="DC194" s="36"/>
      <c r="DD194" s="36"/>
      <c r="DE194" s="36"/>
      <c r="DF194" s="36"/>
      <c r="DG194" s="36"/>
      <c r="DH194" s="36"/>
      <c r="DI194" s="36"/>
      <c r="DJ194" s="36"/>
      <c r="DK194" s="36"/>
      <c r="DL194" s="36"/>
      <c r="DM194" s="36"/>
      <c r="DN194" s="36"/>
      <c r="DO194" s="37"/>
      <c r="DP194" s="44"/>
      <c r="DQ194" s="36"/>
      <c r="DR194" s="36"/>
      <c r="DS194" s="36"/>
      <c r="DT194" s="36"/>
      <c r="DU194" s="36"/>
      <c r="DV194" s="36"/>
      <c r="DW194" s="36"/>
      <c r="DX194" s="36"/>
      <c r="DY194" s="36"/>
      <c r="DZ194" s="36"/>
      <c r="EA194" s="36"/>
      <c r="EB194" s="36"/>
      <c r="EC194" s="36"/>
      <c r="ED194" s="36"/>
      <c r="EE194" s="36"/>
      <c r="EF194" s="37"/>
      <c r="EG194" s="44"/>
      <c r="EH194" s="36"/>
      <c r="EI194" s="36"/>
      <c r="EJ194" s="36"/>
      <c r="EK194" s="36"/>
      <c r="EL194" s="36"/>
      <c r="EM194" s="36"/>
      <c r="EN194" s="36"/>
      <c r="EO194" s="36"/>
      <c r="EP194" s="36"/>
      <c r="EQ194" s="36"/>
      <c r="ER194" s="36"/>
      <c r="ES194" s="36"/>
      <c r="ET194" s="36"/>
      <c r="EU194" s="36"/>
      <c r="EV194" s="36"/>
      <c r="EW194" s="37"/>
      <c r="EX194" s="44"/>
      <c r="EY194" s="36"/>
      <c r="EZ194" s="36"/>
      <c r="FA194" s="36"/>
      <c r="FB194" s="36"/>
      <c r="FC194" s="36"/>
      <c r="FD194" s="36"/>
      <c r="FE194" s="36"/>
      <c r="FF194" s="36"/>
      <c r="FG194" s="36"/>
      <c r="FH194" s="36"/>
      <c r="FI194" s="36"/>
      <c r="FJ194" s="36"/>
      <c r="FK194" s="36"/>
      <c r="FL194" s="36"/>
      <c r="FM194" s="36"/>
      <c r="FN194" s="37"/>
      <c r="FO194" s="44"/>
      <c r="FP194" s="36"/>
      <c r="FQ194" s="36"/>
      <c r="FR194" s="36"/>
      <c r="FS194" s="36"/>
      <c r="FT194" s="36"/>
      <c r="FU194" s="36"/>
      <c r="FV194" s="36"/>
      <c r="FW194" s="36"/>
      <c r="FX194" s="36"/>
      <c r="FY194" s="36"/>
      <c r="FZ194" s="36"/>
      <c r="GA194" s="36"/>
      <c r="GB194" s="36"/>
      <c r="GC194" s="36"/>
      <c r="GD194" s="36"/>
      <c r="GE194" s="37"/>
      <c r="GF194" s="44"/>
      <c r="GG194" s="36"/>
      <c r="GH194" s="36"/>
      <c r="GI194" s="36"/>
      <c r="GJ194" s="36"/>
      <c r="GK194" s="36"/>
      <c r="GL194" s="36"/>
      <c r="GM194" s="36"/>
      <c r="GN194" s="36"/>
      <c r="GO194" s="36"/>
      <c r="GP194" s="36"/>
      <c r="GQ194" s="36"/>
      <c r="GR194" s="36"/>
      <c r="GS194" s="36"/>
      <c r="GT194" s="36"/>
      <c r="GU194" s="36"/>
      <c r="GV194" s="37"/>
      <c r="GW194" s="44"/>
      <c r="GX194" s="36"/>
      <c r="GY194" s="36"/>
      <c r="GZ194" s="36"/>
      <c r="HA194" s="36"/>
      <c r="HB194" s="36"/>
      <c r="HC194" s="36"/>
      <c r="HD194" s="36"/>
      <c r="HE194" s="36"/>
      <c r="HF194" s="36"/>
      <c r="HG194" s="36"/>
      <c r="HH194" s="36"/>
      <c r="HI194" s="36"/>
      <c r="HJ194" s="36"/>
      <c r="HK194" s="36"/>
      <c r="HL194" s="36"/>
      <c r="HM194" s="37"/>
      <c r="HN194" s="44"/>
      <c r="HO194" s="36"/>
      <c r="HP194" s="36"/>
      <c r="HQ194" s="36"/>
      <c r="HR194" s="36"/>
      <c r="HS194" s="36"/>
      <c r="HT194" s="36"/>
      <c r="HU194" s="36"/>
      <c r="HV194" s="36"/>
      <c r="HW194" s="36"/>
      <c r="HX194" s="36"/>
      <c r="HY194" s="36"/>
      <c r="HZ194" s="36"/>
      <c r="IA194" s="36"/>
      <c r="IB194" s="36"/>
      <c r="IC194" s="36"/>
      <c r="ID194" s="37"/>
      <c r="IE194" s="44"/>
      <c r="IF194" s="36"/>
      <c r="IG194" s="36"/>
      <c r="IH194" s="36"/>
      <c r="II194" s="36"/>
      <c r="IJ194" s="36"/>
      <c r="IK194" s="36"/>
      <c r="IL194" s="36"/>
      <c r="IM194" s="36"/>
      <c r="IN194" s="36"/>
      <c r="IO194" s="36"/>
      <c r="IP194" s="36"/>
      <c r="IQ194" s="36"/>
      <c r="IR194" s="36"/>
      <c r="IS194" s="36"/>
      <c r="IT194" s="36"/>
      <c r="IU194" s="37"/>
      <c r="IV194" s="44"/>
      <c r="IW194" s="36"/>
      <c r="IX194" s="36"/>
      <c r="IY194" s="36"/>
      <c r="IZ194" s="36"/>
      <c r="JA194" s="36"/>
      <c r="JB194" s="36"/>
      <c r="JC194" s="36"/>
      <c r="JD194" s="36"/>
      <c r="JE194" s="36"/>
      <c r="JF194" s="36"/>
      <c r="JG194" s="36"/>
      <c r="JH194" s="36"/>
      <c r="JI194" s="36"/>
      <c r="JJ194" s="36"/>
      <c r="JK194" s="36"/>
      <c r="JL194" s="37"/>
      <c r="JM194" s="44"/>
      <c r="JN194" s="36"/>
      <c r="JO194" s="36"/>
      <c r="JP194" s="36"/>
      <c r="JQ194" s="36"/>
      <c r="JR194" s="36"/>
      <c r="JS194" s="36"/>
      <c r="JT194" s="36"/>
      <c r="JU194" s="36"/>
      <c r="JV194" s="36"/>
      <c r="JW194" s="36"/>
      <c r="JX194" s="36"/>
      <c r="JY194" s="36"/>
      <c r="JZ194" s="36"/>
      <c r="KA194" s="36"/>
      <c r="KB194" s="36"/>
      <c r="KC194" s="37"/>
      <c r="KD194" s="44"/>
      <c r="KE194" s="36"/>
      <c r="KF194" s="36"/>
      <c r="KG194" s="36"/>
      <c r="KH194" s="36"/>
      <c r="KI194" s="36"/>
      <c r="KJ194" s="36"/>
      <c r="KK194" s="36"/>
      <c r="KL194" s="36"/>
      <c r="KM194" s="36"/>
      <c r="KN194" s="36"/>
      <c r="KO194" s="36"/>
      <c r="KP194" s="36"/>
      <c r="KQ194" s="36"/>
      <c r="KR194" s="36"/>
      <c r="KS194" s="36"/>
      <c r="KT194" s="37"/>
      <c r="KU194" s="36"/>
    </row>
    <row r="195" ht="15.0" customHeight="1">
      <c r="A195" s="44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7"/>
      <c r="R195" s="44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7"/>
      <c r="AI195" s="44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  <c r="AU195" s="36"/>
      <c r="AV195" s="36"/>
      <c r="AW195" s="36"/>
      <c r="AX195" s="36"/>
      <c r="AY195" s="37"/>
      <c r="AZ195" s="44"/>
      <c r="BA195" s="36"/>
      <c r="BB195" s="36"/>
      <c r="BC195" s="36"/>
      <c r="BD195" s="36"/>
      <c r="BE195" s="36"/>
      <c r="BF195" s="36"/>
      <c r="BG195" s="36"/>
      <c r="BH195" s="36"/>
      <c r="BI195" s="36"/>
      <c r="BJ195" s="36"/>
      <c r="BK195" s="36"/>
      <c r="BL195" s="36"/>
      <c r="BM195" s="36"/>
      <c r="BN195" s="36"/>
      <c r="BO195" s="36"/>
      <c r="BP195" s="37"/>
      <c r="BQ195" s="44"/>
      <c r="BR195" s="36"/>
      <c r="BS195" s="36"/>
      <c r="BT195" s="36"/>
      <c r="BU195" s="36"/>
      <c r="BV195" s="36"/>
      <c r="BW195" s="36"/>
      <c r="BX195" s="36"/>
      <c r="BY195" s="36"/>
      <c r="BZ195" s="36"/>
      <c r="CA195" s="36"/>
      <c r="CB195" s="36"/>
      <c r="CC195" s="36"/>
      <c r="CD195" s="36"/>
      <c r="CE195" s="36"/>
      <c r="CF195" s="36"/>
      <c r="CG195" s="37"/>
      <c r="CH195" s="44"/>
      <c r="CI195" s="36"/>
      <c r="CJ195" s="36"/>
      <c r="CK195" s="36"/>
      <c r="CL195" s="36"/>
      <c r="CM195" s="36"/>
      <c r="CN195" s="36"/>
      <c r="CO195" s="36"/>
      <c r="CP195" s="36"/>
      <c r="CQ195" s="36"/>
      <c r="CR195" s="36"/>
      <c r="CS195" s="36"/>
      <c r="CT195" s="36"/>
      <c r="CU195" s="36"/>
      <c r="CV195" s="36"/>
      <c r="CW195" s="36"/>
      <c r="CX195" s="37"/>
      <c r="CY195" s="44"/>
      <c r="CZ195" s="36"/>
      <c r="DA195" s="36"/>
      <c r="DB195" s="36"/>
      <c r="DC195" s="36"/>
      <c r="DD195" s="36"/>
      <c r="DE195" s="36"/>
      <c r="DF195" s="36"/>
      <c r="DG195" s="36"/>
      <c r="DH195" s="36"/>
      <c r="DI195" s="36"/>
      <c r="DJ195" s="36"/>
      <c r="DK195" s="36"/>
      <c r="DL195" s="36"/>
      <c r="DM195" s="36"/>
      <c r="DN195" s="36"/>
      <c r="DO195" s="37"/>
      <c r="DP195" s="44"/>
      <c r="DQ195" s="36"/>
      <c r="DR195" s="36"/>
      <c r="DS195" s="36"/>
      <c r="DT195" s="36"/>
      <c r="DU195" s="36"/>
      <c r="DV195" s="36"/>
      <c r="DW195" s="36"/>
      <c r="DX195" s="36"/>
      <c r="DY195" s="36"/>
      <c r="DZ195" s="36"/>
      <c r="EA195" s="36"/>
      <c r="EB195" s="36"/>
      <c r="EC195" s="36"/>
      <c r="ED195" s="36"/>
      <c r="EE195" s="36"/>
      <c r="EF195" s="37"/>
      <c r="EG195" s="44"/>
      <c r="EH195" s="36"/>
      <c r="EI195" s="36"/>
      <c r="EJ195" s="36"/>
      <c r="EK195" s="36"/>
      <c r="EL195" s="36"/>
      <c r="EM195" s="36"/>
      <c r="EN195" s="36"/>
      <c r="EO195" s="36"/>
      <c r="EP195" s="36"/>
      <c r="EQ195" s="36"/>
      <c r="ER195" s="36"/>
      <c r="ES195" s="36"/>
      <c r="ET195" s="36"/>
      <c r="EU195" s="36"/>
      <c r="EV195" s="36"/>
      <c r="EW195" s="37"/>
      <c r="EX195" s="44"/>
      <c r="EY195" s="36"/>
      <c r="EZ195" s="36"/>
      <c r="FA195" s="36"/>
      <c r="FB195" s="36"/>
      <c r="FC195" s="36"/>
      <c r="FD195" s="36"/>
      <c r="FE195" s="36"/>
      <c r="FF195" s="36"/>
      <c r="FG195" s="36"/>
      <c r="FH195" s="36"/>
      <c r="FI195" s="36"/>
      <c r="FJ195" s="36"/>
      <c r="FK195" s="36"/>
      <c r="FL195" s="36"/>
      <c r="FM195" s="36"/>
      <c r="FN195" s="37"/>
      <c r="FO195" s="44"/>
      <c r="FP195" s="36"/>
      <c r="FQ195" s="36"/>
      <c r="FR195" s="36"/>
      <c r="FS195" s="36"/>
      <c r="FT195" s="36"/>
      <c r="FU195" s="36"/>
      <c r="FV195" s="36"/>
      <c r="FW195" s="36"/>
      <c r="FX195" s="36"/>
      <c r="FY195" s="36"/>
      <c r="FZ195" s="36"/>
      <c r="GA195" s="36"/>
      <c r="GB195" s="36"/>
      <c r="GC195" s="36"/>
      <c r="GD195" s="36"/>
      <c r="GE195" s="37"/>
      <c r="GF195" s="44"/>
      <c r="GG195" s="36"/>
      <c r="GH195" s="36"/>
      <c r="GI195" s="36"/>
      <c r="GJ195" s="36"/>
      <c r="GK195" s="36"/>
      <c r="GL195" s="36"/>
      <c r="GM195" s="36"/>
      <c r="GN195" s="36"/>
      <c r="GO195" s="36"/>
      <c r="GP195" s="36"/>
      <c r="GQ195" s="36"/>
      <c r="GR195" s="36"/>
      <c r="GS195" s="36"/>
      <c r="GT195" s="36"/>
      <c r="GU195" s="36"/>
      <c r="GV195" s="37"/>
      <c r="GW195" s="44"/>
      <c r="GX195" s="36"/>
      <c r="GY195" s="36"/>
      <c r="GZ195" s="36"/>
      <c r="HA195" s="36"/>
      <c r="HB195" s="36"/>
      <c r="HC195" s="36"/>
      <c r="HD195" s="36"/>
      <c r="HE195" s="36"/>
      <c r="HF195" s="36"/>
      <c r="HG195" s="36"/>
      <c r="HH195" s="36"/>
      <c r="HI195" s="36"/>
      <c r="HJ195" s="36"/>
      <c r="HK195" s="36"/>
      <c r="HL195" s="36"/>
      <c r="HM195" s="37"/>
      <c r="HN195" s="44"/>
      <c r="HO195" s="36"/>
      <c r="HP195" s="36"/>
      <c r="HQ195" s="36"/>
      <c r="HR195" s="36"/>
      <c r="HS195" s="36"/>
      <c r="HT195" s="36"/>
      <c r="HU195" s="36"/>
      <c r="HV195" s="36"/>
      <c r="HW195" s="36"/>
      <c r="HX195" s="36"/>
      <c r="HY195" s="36"/>
      <c r="HZ195" s="36"/>
      <c r="IA195" s="36"/>
      <c r="IB195" s="36"/>
      <c r="IC195" s="36"/>
      <c r="ID195" s="37"/>
      <c r="IE195" s="44"/>
      <c r="IF195" s="36"/>
      <c r="IG195" s="36"/>
      <c r="IH195" s="36"/>
      <c r="II195" s="36"/>
      <c r="IJ195" s="36"/>
      <c r="IK195" s="36"/>
      <c r="IL195" s="36"/>
      <c r="IM195" s="36"/>
      <c r="IN195" s="36"/>
      <c r="IO195" s="36"/>
      <c r="IP195" s="36"/>
      <c r="IQ195" s="36"/>
      <c r="IR195" s="36"/>
      <c r="IS195" s="36"/>
      <c r="IT195" s="36"/>
      <c r="IU195" s="37"/>
      <c r="IV195" s="44"/>
      <c r="IW195" s="36"/>
      <c r="IX195" s="36"/>
      <c r="IY195" s="36"/>
      <c r="IZ195" s="36"/>
      <c r="JA195" s="36"/>
      <c r="JB195" s="36"/>
      <c r="JC195" s="36"/>
      <c r="JD195" s="36"/>
      <c r="JE195" s="36"/>
      <c r="JF195" s="36"/>
      <c r="JG195" s="36"/>
      <c r="JH195" s="36"/>
      <c r="JI195" s="36"/>
      <c r="JJ195" s="36"/>
      <c r="JK195" s="36"/>
      <c r="JL195" s="37"/>
      <c r="JM195" s="44"/>
      <c r="JN195" s="36"/>
      <c r="JO195" s="36"/>
      <c r="JP195" s="36"/>
      <c r="JQ195" s="36"/>
      <c r="JR195" s="36"/>
      <c r="JS195" s="36"/>
      <c r="JT195" s="36"/>
      <c r="JU195" s="36"/>
      <c r="JV195" s="36"/>
      <c r="JW195" s="36"/>
      <c r="JX195" s="36"/>
      <c r="JY195" s="36"/>
      <c r="JZ195" s="36"/>
      <c r="KA195" s="36"/>
      <c r="KB195" s="36"/>
      <c r="KC195" s="37"/>
      <c r="KD195" s="44"/>
      <c r="KE195" s="36"/>
      <c r="KF195" s="36"/>
      <c r="KG195" s="36"/>
      <c r="KH195" s="36"/>
      <c r="KI195" s="36"/>
      <c r="KJ195" s="36"/>
      <c r="KK195" s="36"/>
      <c r="KL195" s="36"/>
      <c r="KM195" s="36"/>
      <c r="KN195" s="36"/>
      <c r="KO195" s="36"/>
      <c r="KP195" s="36"/>
      <c r="KQ195" s="36"/>
      <c r="KR195" s="36"/>
      <c r="KS195" s="36"/>
      <c r="KT195" s="37"/>
      <c r="KU195" s="36"/>
    </row>
    <row r="196" ht="15.0" customHeight="1">
      <c r="A196" s="44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7"/>
      <c r="R196" s="44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7"/>
      <c r="AI196" s="44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  <c r="AU196" s="36"/>
      <c r="AV196" s="36"/>
      <c r="AW196" s="36"/>
      <c r="AX196" s="36"/>
      <c r="AY196" s="37"/>
      <c r="AZ196" s="44"/>
      <c r="BA196" s="36"/>
      <c r="BB196" s="36"/>
      <c r="BC196" s="36"/>
      <c r="BD196" s="36"/>
      <c r="BE196" s="36"/>
      <c r="BF196" s="36"/>
      <c r="BG196" s="36"/>
      <c r="BH196" s="36"/>
      <c r="BI196" s="36"/>
      <c r="BJ196" s="36"/>
      <c r="BK196" s="36"/>
      <c r="BL196" s="36"/>
      <c r="BM196" s="36"/>
      <c r="BN196" s="36"/>
      <c r="BO196" s="36"/>
      <c r="BP196" s="37"/>
      <c r="BQ196" s="44"/>
      <c r="BR196" s="36"/>
      <c r="BS196" s="36"/>
      <c r="BT196" s="36"/>
      <c r="BU196" s="36"/>
      <c r="BV196" s="36"/>
      <c r="BW196" s="36"/>
      <c r="BX196" s="36"/>
      <c r="BY196" s="36"/>
      <c r="BZ196" s="36"/>
      <c r="CA196" s="36"/>
      <c r="CB196" s="36"/>
      <c r="CC196" s="36"/>
      <c r="CD196" s="36"/>
      <c r="CE196" s="36"/>
      <c r="CF196" s="36"/>
      <c r="CG196" s="37"/>
      <c r="CH196" s="44"/>
      <c r="CI196" s="36"/>
      <c r="CJ196" s="36"/>
      <c r="CK196" s="36"/>
      <c r="CL196" s="36"/>
      <c r="CM196" s="36"/>
      <c r="CN196" s="36"/>
      <c r="CO196" s="36"/>
      <c r="CP196" s="36"/>
      <c r="CQ196" s="36"/>
      <c r="CR196" s="36"/>
      <c r="CS196" s="36"/>
      <c r="CT196" s="36"/>
      <c r="CU196" s="36"/>
      <c r="CV196" s="36"/>
      <c r="CW196" s="36"/>
      <c r="CX196" s="37"/>
      <c r="CY196" s="44"/>
      <c r="CZ196" s="36"/>
      <c r="DA196" s="36"/>
      <c r="DB196" s="36"/>
      <c r="DC196" s="36"/>
      <c r="DD196" s="36"/>
      <c r="DE196" s="36"/>
      <c r="DF196" s="36"/>
      <c r="DG196" s="36"/>
      <c r="DH196" s="36"/>
      <c r="DI196" s="36"/>
      <c r="DJ196" s="36"/>
      <c r="DK196" s="36"/>
      <c r="DL196" s="36"/>
      <c r="DM196" s="36"/>
      <c r="DN196" s="36"/>
      <c r="DO196" s="37"/>
      <c r="DP196" s="44"/>
      <c r="DQ196" s="36"/>
      <c r="DR196" s="36"/>
      <c r="DS196" s="36"/>
      <c r="DT196" s="36"/>
      <c r="DU196" s="36"/>
      <c r="DV196" s="36"/>
      <c r="DW196" s="36"/>
      <c r="DX196" s="36"/>
      <c r="DY196" s="36"/>
      <c r="DZ196" s="36"/>
      <c r="EA196" s="36"/>
      <c r="EB196" s="36"/>
      <c r="EC196" s="36"/>
      <c r="ED196" s="36"/>
      <c r="EE196" s="36"/>
      <c r="EF196" s="37"/>
      <c r="EG196" s="44"/>
      <c r="EH196" s="36"/>
      <c r="EI196" s="36"/>
      <c r="EJ196" s="36"/>
      <c r="EK196" s="36"/>
      <c r="EL196" s="36"/>
      <c r="EM196" s="36"/>
      <c r="EN196" s="36"/>
      <c r="EO196" s="36"/>
      <c r="EP196" s="36"/>
      <c r="EQ196" s="36"/>
      <c r="ER196" s="36"/>
      <c r="ES196" s="36"/>
      <c r="ET196" s="36"/>
      <c r="EU196" s="36"/>
      <c r="EV196" s="36"/>
      <c r="EW196" s="37"/>
      <c r="EX196" s="44"/>
      <c r="EY196" s="36"/>
      <c r="EZ196" s="36"/>
      <c r="FA196" s="36"/>
      <c r="FB196" s="36"/>
      <c r="FC196" s="36"/>
      <c r="FD196" s="36"/>
      <c r="FE196" s="36"/>
      <c r="FF196" s="36"/>
      <c r="FG196" s="36"/>
      <c r="FH196" s="36"/>
      <c r="FI196" s="36"/>
      <c r="FJ196" s="36"/>
      <c r="FK196" s="36"/>
      <c r="FL196" s="36"/>
      <c r="FM196" s="36"/>
      <c r="FN196" s="37"/>
      <c r="FO196" s="44"/>
      <c r="FP196" s="36"/>
      <c r="FQ196" s="36"/>
      <c r="FR196" s="36"/>
      <c r="FS196" s="36"/>
      <c r="FT196" s="36"/>
      <c r="FU196" s="36"/>
      <c r="FV196" s="36"/>
      <c r="FW196" s="36"/>
      <c r="FX196" s="36"/>
      <c r="FY196" s="36"/>
      <c r="FZ196" s="36"/>
      <c r="GA196" s="36"/>
      <c r="GB196" s="36"/>
      <c r="GC196" s="36"/>
      <c r="GD196" s="36"/>
      <c r="GE196" s="37"/>
      <c r="GF196" s="44"/>
      <c r="GG196" s="36"/>
      <c r="GH196" s="36"/>
      <c r="GI196" s="36"/>
      <c r="GJ196" s="36"/>
      <c r="GK196" s="36"/>
      <c r="GL196" s="36"/>
      <c r="GM196" s="36"/>
      <c r="GN196" s="36"/>
      <c r="GO196" s="36"/>
      <c r="GP196" s="36"/>
      <c r="GQ196" s="36"/>
      <c r="GR196" s="36"/>
      <c r="GS196" s="36"/>
      <c r="GT196" s="36"/>
      <c r="GU196" s="36"/>
      <c r="GV196" s="37"/>
      <c r="GW196" s="44"/>
      <c r="GX196" s="36"/>
      <c r="GY196" s="36"/>
      <c r="GZ196" s="36"/>
      <c r="HA196" s="36"/>
      <c r="HB196" s="36"/>
      <c r="HC196" s="36"/>
      <c r="HD196" s="36"/>
      <c r="HE196" s="36"/>
      <c r="HF196" s="36"/>
      <c r="HG196" s="36"/>
      <c r="HH196" s="36"/>
      <c r="HI196" s="36"/>
      <c r="HJ196" s="36"/>
      <c r="HK196" s="36"/>
      <c r="HL196" s="36"/>
      <c r="HM196" s="37"/>
      <c r="HN196" s="44"/>
      <c r="HO196" s="36"/>
      <c r="HP196" s="36"/>
      <c r="HQ196" s="36"/>
      <c r="HR196" s="36"/>
      <c r="HS196" s="36"/>
      <c r="HT196" s="36"/>
      <c r="HU196" s="36"/>
      <c r="HV196" s="36"/>
      <c r="HW196" s="36"/>
      <c r="HX196" s="36"/>
      <c r="HY196" s="36"/>
      <c r="HZ196" s="36"/>
      <c r="IA196" s="36"/>
      <c r="IB196" s="36"/>
      <c r="IC196" s="36"/>
      <c r="ID196" s="37"/>
      <c r="IE196" s="44"/>
      <c r="IF196" s="36"/>
      <c r="IG196" s="36"/>
      <c r="IH196" s="36"/>
      <c r="II196" s="36"/>
      <c r="IJ196" s="36"/>
      <c r="IK196" s="36"/>
      <c r="IL196" s="36"/>
      <c r="IM196" s="36"/>
      <c r="IN196" s="36"/>
      <c r="IO196" s="36"/>
      <c r="IP196" s="36"/>
      <c r="IQ196" s="36"/>
      <c r="IR196" s="36"/>
      <c r="IS196" s="36"/>
      <c r="IT196" s="36"/>
      <c r="IU196" s="37"/>
      <c r="IV196" s="44"/>
      <c r="IW196" s="36"/>
      <c r="IX196" s="36"/>
      <c r="IY196" s="36"/>
      <c r="IZ196" s="36"/>
      <c r="JA196" s="36"/>
      <c r="JB196" s="36"/>
      <c r="JC196" s="36"/>
      <c r="JD196" s="36"/>
      <c r="JE196" s="36"/>
      <c r="JF196" s="36"/>
      <c r="JG196" s="36"/>
      <c r="JH196" s="36"/>
      <c r="JI196" s="36"/>
      <c r="JJ196" s="36"/>
      <c r="JK196" s="36"/>
      <c r="JL196" s="37"/>
      <c r="JM196" s="44"/>
      <c r="JN196" s="36"/>
      <c r="JO196" s="36"/>
      <c r="JP196" s="36"/>
      <c r="JQ196" s="36"/>
      <c r="JR196" s="36"/>
      <c r="JS196" s="36"/>
      <c r="JT196" s="36"/>
      <c r="JU196" s="36"/>
      <c r="JV196" s="36"/>
      <c r="JW196" s="36"/>
      <c r="JX196" s="36"/>
      <c r="JY196" s="36"/>
      <c r="JZ196" s="36"/>
      <c r="KA196" s="36"/>
      <c r="KB196" s="36"/>
      <c r="KC196" s="37"/>
      <c r="KD196" s="44"/>
      <c r="KE196" s="36"/>
      <c r="KF196" s="36"/>
      <c r="KG196" s="36"/>
      <c r="KH196" s="36"/>
      <c r="KI196" s="36"/>
      <c r="KJ196" s="36"/>
      <c r="KK196" s="36"/>
      <c r="KL196" s="36"/>
      <c r="KM196" s="36"/>
      <c r="KN196" s="36"/>
      <c r="KO196" s="36"/>
      <c r="KP196" s="36"/>
      <c r="KQ196" s="36"/>
      <c r="KR196" s="36"/>
      <c r="KS196" s="36"/>
      <c r="KT196" s="37"/>
      <c r="KU196" s="36"/>
    </row>
    <row r="197" ht="15.0" customHeight="1">
      <c r="A197" s="44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7"/>
      <c r="R197" s="44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7"/>
      <c r="AI197" s="44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  <c r="AU197" s="36"/>
      <c r="AV197" s="36"/>
      <c r="AW197" s="36"/>
      <c r="AX197" s="36"/>
      <c r="AY197" s="37"/>
      <c r="AZ197" s="44"/>
      <c r="BA197" s="36"/>
      <c r="BB197" s="36"/>
      <c r="BC197" s="36"/>
      <c r="BD197" s="36"/>
      <c r="BE197" s="36"/>
      <c r="BF197" s="36"/>
      <c r="BG197" s="36"/>
      <c r="BH197" s="36"/>
      <c r="BI197" s="36"/>
      <c r="BJ197" s="36"/>
      <c r="BK197" s="36"/>
      <c r="BL197" s="36"/>
      <c r="BM197" s="36"/>
      <c r="BN197" s="36"/>
      <c r="BO197" s="36"/>
      <c r="BP197" s="37"/>
      <c r="BQ197" s="44"/>
      <c r="BR197" s="36"/>
      <c r="BS197" s="36"/>
      <c r="BT197" s="36"/>
      <c r="BU197" s="36"/>
      <c r="BV197" s="36"/>
      <c r="BW197" s="36"/>
      <c r="BX197" s="36"/>
      <c r="BY197" s="36"/>
      <c r="BZ197" s="36"/>
      <c r="CA197" s="36"/>
      <c r="CB197" s="36"/>
      <c r="CC197" s="36"/>
      <c r="CD197" s="36"/>
      <c r="CE197" s="36"/>
      <c r="CF197" s="36"/>
      <c r="CG197" s="37"/>
      <c r="CH197" s="44"/>
      <c r="CI197" s="36"/>
      <c r="CJ197" s="36"/>
      <c r="CK197" s="36"/>
      <c r="CL197" s="36"/>
      <c r="CM197" s="36"/>
      <c r="CN197" s="36"/>
      <c r="CO197" s="36"/>
      <c r="CP197" s="36"/>
      <c r="CQ197" s="36"/>
      <c r="CR197" s="36"/>
      <c r="CS197" s="36"/>
      <c r="CT197" s="36"/>
      <c r="CU197" s="36"/>
      <c r="CV197" s="36"/>
      <c r="CW197" s="36"/>
      <c r="CX197" s="37"/>
      <c r="CY197" s="44"/>
      <c r="CZ197" s="36"/>
      <c r="DA197" s="36"/>
      <c r="DB197" s="36"/>
      <c r="DC197" s="36"/>
      <c r="DD197" s="36"/>
      <c r="DE197" s="36"/>
      <c r="DF197" s="36"/>
      <c r="DG197" s="36"/>
      <c r="DH197" s="36"/>
      <c r="DI197" s="36"/>
      <c r="DJ197" s="36"/>
      <c r="DK197" s="36"/>
      <c r="DL197" s="36"/>
      <c r="DM197" s="36"/>
      <c r="DN197" s="36"/>
      <c r="DO197" s="37"/>
      <c r="DP197" s="44"/>
      <c r="DQ197" s="36"/>
      <c r="DR197" s="36"/>
      <c r="DS197" s="36"/>
      <c r="DT197" s="36"/>
      <c r="DU197" s="36"/>
      <c r="DV197" s="36"/>
      <c r="DW197" s="36"/>
      <c r="DX197" s="36"/>
      <c r="DY197" s="36"/>
      <c r="DZ197" s="36"/>
      <c r="EA197" s="36"/>
      <c r="EB197" s="36"/>
      <c r="EC197" s="36"/>
      <c r="ED197" s="36"/>
      <c r="EE197" s="36"/>
      <c r="EF197" s="37"/>
      <c r="EG197" s="44"/>
      <c r="EH197" s="36"/>
      <c r="EI197" s="36"/>
      <c r="EJ197" s="36"/>
      <c r="EK197" s="36"/>
      <c r="EL197" s="36"/>
      <c r="EM197" s="36"/>
      <c r="EN197" s="36"/>
      <c r="EO197" s="36"/>
      <c r="EP197" s="36"/>
      <c r="EQ197" s="36"/>
      <c r="ER197" s="36"/>
      <c r="ES197" s="36"/>
      <c r="ET197" s="36"/>
      <c r="EU197" s="36"/>
      <c r="EV197" s="36"/>
      <c r="EW197" s="37"/>
      <c r="EX197" s="44"/>
      <c r="EY197" s="36"/>
      <c r="EZ197" s="36"/>
      <c r="FA197" s="36"/>
      <c r="FB197" s="36"/>
      <c r="FC197" s="36"/>
      <c r="FD197" s="36"/>
      <c r="FE197" s="36"/>
      <c r="FF197" s="36"/>
      <c r="FG197" s="36"/>
      <c r="FH197" s="36"/>
      <c r="FI197" s="36"/>
      <c r="FJ197" s="36"/>
      <c r="FK197" s="36"/>
      <c r="FL197" s="36"/>
      <c r="FM197" s="36"/>
      <c r="FN197" s="37"/>
      <c r="FO197" s="44"/>
      <c r="FP197" s="36"/>
      <c r="FQ197" s="36"/>
      <c r="FR197" s="36"/>
      <c r="FS197" s="36"/>
      <c r="FT197" s="36"/>
      <c r="FU197" s="36"/>
      <c r="FV197" s="36"/>
      <c r="FW197" s="36"/>
      <c r="FX197" s="36"/>
      <c r="FY197" s="36"/>
      <c r="FZ197" s="36"/>
      <c r="GA197" s="36"/>
      <c r="GB197" s="36"/>
      <c r="GC197" s="36"/>
      <c r="GD197" s="36"/>
      <c r="GE197" s="37"/>
      <c r="GF197" s="44"/>
      <c r="GG197" s="36"/>
      <c r="GH197" s="36"/>
      <c r="GI197" s="36"/>
      <c r="GJ197" s="36"/>
      <c r="GK197" s="36"/>
      <c r="GL197" s="36"/>
      <c r="GM197" s="36"/>
      <c r="GN197" s="36"/>
      <c r="GO197" s="36"/>
      <c r="GP197" s="36"/>
      <c r="GQ197" s="36"/>
      <c r="GR197" s="36"/>
      <c r="GS197" s="36"/>
      <c r="GT197" s="36"/>
      <c r="GU197" s="36"/>
      <c r="GV197" s="37"/>
      <c r="GW197" s="44"/>
      <c r="GX197" s="36"/>
      <c r="GY197" s="36"/>
      <c r="GZ197" s="36"/>
      <c r="HA197" s="36"/>
      <c r="HB197" s="36"/>
      <c r="HC197" s="36"/>
      <c r="HD197" s="36"/>
      <c r="HE197" s="36"/>
      <c r="HF197" s="36"/>
      <c r="HG197" s="36"/>
      <c r="HH197" s="36"/>
      <c r="HI197" s="36"/>
      <c r="HJ197" s="36"/>
      <c r="HK197" s="36"/>
      <c r="HL197" s="36"/>
      <c r="HM197" s="37"/>
      <c r="HN197" s="44"/>
      <c r="HO197" s="36"/>
      <c r="HP197" s="36"/>
      <c r="HQ197" s="36"/>
      <c r="HR197" s="36"/>
      <c r="HS197" s="36"/>
      <c r="HT197" s="36"/>
      <c r="HU197" s="36"/>
      <c r="HV197" s="36"/>
      <c r="HW197" s="36"/>
      <c r="HX197" s="36"/>
      <c r="HY197" s="36"/>
      <c r="HZ197" s="36"/>
      <c r="IA197" s="36"/>
      <c r="IB197" s="36"/>
      <c r="IC197" s="36"/>
      <c r="ID197" s="37"/>
      <c r="IE197" s="44"/>
      <c r="IF197" s="36"/>
      <c r="IG197" s="36"/>
      <c r="IH197" s="36"/>
      <c r="II197" s="36"/>
      <c r="IJ197" s="36"/>
      <c r="IK197" s="36"/>
      <c r="IL197" s="36"/>
      <c r="IM197" s="36"/>
      <c r="IN197" s="36"/>
      <c r="IO197" s="36"/>
      <c r="IP197" s="36"/>
      <c r="IQ197" s="36"/>
      <c r="IR197" s="36"/>
      <c r="IS197" s="36"/>
      <c r="IT197" s="36"/>
      <c r="IU197" s="37"/>
      <c r="IV197" s="44"/>
      <c r="IW197" s="36"/>
      <c r="IX197" s="36"/>
      <c r="IY197" s="36"/>
      <c r="IZ197" s="36"/>
      <c r="JA197" s="36"/>
      <c r="JB197" s="36"/>
      <c r="JC197" s="36"/>
      <c r="JD197" s="36"/>
      <c r="JE197" s="36"/>
      <c r="JF197" s="36"/>
      <c r="JG197" s="36"/>
      <c r="JH197" s="36"/>
      <c r="JI197" s="36"/>
      <c r="JJ197" s="36"/>
      <c r="JK197" s="36"/>
      <c r="JL197" s="37"/>
      <c r="JM197" s="44"/>
      <c r="JN197" s="36"/>
      <c r="JO197" s="36"/>
      <c r="JP197" s="36"/>
      <c r="JQ197" s="36"/>
      <c r="JR197" s="36"/>
      <c r="JS197" s="36"/>
      <c r="JT197" s="36"/>
      <c r="JU197" s="36"/>
      <c r="JV197" s="36"/>
      <c r="JW197" s="36"/>
      <c r="JX197" s="36"/>
      <c r="JY197" s="36"/>
      <c r="JZ197" s="36"/>
      <c r="KA197" s="36"/>
      <c r="KB197" s="36"/>
      <c r="KC197" s="37"/>
      <c r="KD197" s="44"/>
      <c r="KE197" s="36"/>
      <c r="KF197" s="36"/>
      <c r="KG197" s="36"/>
      <c r="KH197" s="36"/>
      <c r="KI197" s="36"/>
      <c r="KJ197" s="36"/>
      <c r="KK197" s="36"/>
      <c r="KL197" s="36"/>
      <c r="KM197" s="36"/>
      <c r="KN197" s="36"/>
      <c r="KO197" s="36"/>
      <c r="KP197" s="36"/>
      <c r="KQ197" s="36"/>
      <c r="KR197" s="36"/>
      <c r="KS197" s="36"/>
      <c r="KT197" s="37"/>
      <c r="KU197" s="36"/>
    </row>
    <row r="198" ht="15.0" customHeight="1">
      <c r="A198" s="44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7"/>
      <c r="R198" s="44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7"/>
      <c r="AI198" s="44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  <c r="AU198" s="36"/>
      <c r="AV198" s="36"/>
      <c r="AW198" s="36"/>
      <c r="AX198" s="36"/>
      <c r="AY198" s="37"/>
      <c r="AZ198" s="44"/>
      <c r="BA198" s="36"/>
      <c r="BB198" s="36"/>
      <c r="BC198" s="36"/>
      <c r="BD198" s="36"/>
      <c r="BE198" s="36"/>
      <c r="BF198" s="36"/>
      <c r="BG198" s="36"/>
      <c r="BH198" s="36"/>
      <c r="BI198" s="36"/>
      <c r="BJ198" s="36"/>
      <c r="BK198" s="36"/>
      <c r="BL198" s="36"/>
      <c r="BM198" s="36"/>
      <c r="BN198" s="36"/>
      <c r="BO198" s="36"/>
      <c r="BP198" s="37"/>
      <c r="BQ198" s="44"/>
      <c r="BR198" s="36"/>
      <c r="BS198" s="36"/>
      <c r="BT198" s="36"/>
      <c r="BU198" s="36"/>
      <c r="BV198" s="36"/>
      <c r="BW198" s="36"/>
      <c r="BX198" s="36"/>
      <c r="BY198" s="36"/>
      <c r="BZ198" s="36"/>
      <c r="CA198" s="36"/>
      <c r="CB198" s="36"/>
      <c r="CC198" s="36"/>
      <c r="CD198" s="36"/>
      <c r="CE198" s="36"/>
      <c r="CF198" s="36"/>
      <c r="CG198" s="37"/>
      <c r="CH198" s="44"/>
      <c r="CI198" s="36"/>
      <c r="CJ198" s="36"/>
      <c r="CK198" s="36"/>
      <c r="CL198" s="36"/>
      <c r="CM198" s="36"/>
      <c r="CN198" s="36"/>
      <c r="CO198" s="36"/>
      <c r="CP198" s="36"/>
      <c r="CQ198" s="36"/>
      <c r="CR198" s="36"/>
      <c r="CS198" s="36"/>
      <c r="CT198" s="36"/>
      <c r="CU198" s="36"/>
      <c r="CV198" s="36"/>
      <c r="CW198" s="36"/>
      <c r="CX198" s="37"/>
      <c r="CY198" s="44"/>
      <c r="CZ198" s="36"/>
      <c r="DA198" s="36"/>
      <c r="DB198" s="36"/>
      <c r="DC198" s="36"/>
      <c r="DD198" s="36"/>
      <c r="DE198" s="36"/>
      <c r="DF198" s="36"/>
      <c r="DG198" s="36"/>
      <c r="DH198" s="36"/>
      <c r="DI198" s="36"/>
      <c r="DJ198" s="36"/>
      <c r="DK198" s="36"/>
      <c r="DL198" s="36"/>
      <c r="DM198" s="36"/>
      <c r="DN198" s="36"/>
      <c r="DO198" s="37"/>
      <c r="DP198" s="44"/>
      <c r="DQ198" s="36"/>
      <c r="DR198" s="36"/>
      <c r="DS198" s="36"/>
      <c r="DT198" s="36"/>
      <c r="DU198" s="36"/>
      <c r="DV198" s="36"/>
      <c r="DW198" s="36"/>
      <c r="DX198" s="36"/>
      <c r="DY198" s="36"/>
      <c r="DZ198" s="36"/>
      <c r="EA198" s="36"/>
      <c r="EB198" s="36"/>
      <c r="EC198" s="36"/>
      <c r="ED198" s="36"/>
      <c r="EE198" s="36"/>
      <c r="EF198" s="37"/>
      <c r="EG198" s="44"/>
      <c r="EH198" s="36"/>
      <c r="EI198" s="36"/>
      <c r="EJ198" s="36"/>
      <c r="EK198" s="36"/>
      <c r="EL198" s="36"/>
      <c r="EM198" s="36"/>
      <c r="EN198" s="36"/>
      <c r="EO198" s="36"/>
      <c r="EP198" s="36"/>
      <c r="EQ198" s="36"/>
      <c r="ER198" s="36"/>
      <c r="ES198" s="36"/>
      <c r="ET198" s="36"/>
      <c r="EU198" s="36"/>
      <c r="EV198" s="36"/>
      <c r="EW198" s="37"/>
      <c r="EX198" s="44"/>
      <c r="EY198" s="36"/>
      <c r="EZ198" s="36"/>
      <c r="FA198" s="36"/>
      <c r="FB198" s="36"/>
      <c r="FC198" s="36"/>
      <c r="FD198" s="36"/>
      <c r="FE198" s="36"/>
      <c r="FF198" s="36"/>
      <c r="FG198" s="36"/>
      <c r="FH198" s="36"/>
      <c r="FI198" s="36"/>
      <c r="FJ198" s="36"/>
      <c r="FK198" s="36"/>
      <c r="FL198" s="36"/>
      <c r="FM198" s="36"/>
      <c r="FN198" s="37"/>
      <c r="FO198" s="44"/>
      <c r="FP198" s="36"/>
      <c r="FQ198" s="36"/>
      <c r="FR198" s="36"/>
      <c r="FS198" s="36"/>
      <c r="FT198" s="36"/>
      <c r="FU198" s="36"/>
      <c r="FV198" s="36"/>
      <c r="FW198" s="36"/>
      <c r="FX198" s="36"/>
      <c r="FY198" s="36"/>
      <c r="FZ198" s="36"/>
      <c r="GA198" s="36"/>
      <c r="GB198" s="36"/>
      <c r="GC198" s="36"/>
      <c r="GD198" s="36"/>
      <c r="GE198" s="37"/>
      <c r="GF198" s="44"/>
      <c r="GG198" s="36"/>
      <c r="GH198" s="36"/>
      <c r="GI198" s="36"/>
      <c r="GJ198" s="36"/>
      <c r="GK198" s="36"/>
      <c r="GL198" s="36"/>
      <c r="GM198" s="36"/>
      <c r="GN198" s="36"/>
      <c r="GO198" s="36"/>
      <c r="GP198" s="36"/>
      <c r="GQ198" s="36"/>
      <c r="GR198" s="36"/>
      <c r="GS198" s="36"/>
      <c r="GT198" s="36"/>
      <c r="GU198" s="36"/>
      <c r="GV198" s="37"/>
      <c r="GW198" s="44"/>
      <c r="GX198" s="36"/>
      <c r="GY198" s="36"/>
      <c r="GZ198" s="36"/>
      <c r="HA198" s="36"/>
      <c r="HB198" s="36"/>
      <c r="HC198" s="36"/>
      <c r="HD198" s="36"/>
      <c r="HE198" s="36"/>
      <c r="HF198" s="36"/>
      <c r="HG198" s="36"/>
      <c r="HH198" s="36"/>
      <c r="HI198" s="36"/>
      <c r="HJ198" s="36"/>
      <c r="HK198" s="36"/>
      <c r="HL198" s="36"/>
      <c r="HM198" s="37"/>
      <c r="HN198" s="44"/>
      <c r="HO198" s="36"/>
      <c r="HP198" s="36"/>
      <c r="HQ198" s="36"/>
      <c r="HR198" s="36"/>
      <c r="HS198" s="36"/>
      <c r="HT198" s="36"/>
      <c r="HU198" s="36"/>
      <c r="HV198" s="36"/>
      <c r="HW198" s="36"/>
      <c r="HX198" s="36"/>
      <c r="HY198" s="36"/>
      <c r="HZ198" s="36"/>
      <c r="IA198" s="36"/>
      <c r="IB198" s="36"/>
      <c r="IC198" s="36"/>
      <c r="ID198" s="37"/>
      <c r="IE198" s="44"/>
      <c r="IF198" s="36"/>
      <c r="IG198" s="36"/>
      <c r="IH198" s="36"/>
      <c r="II198" s="36"/>
      <c r="IJ198" s="36"/>
      <c r="IK198" s="36"/>
      <c r="IL198" s="36"/>
      <c r="IM198" s="36"/>
      <c r="IN198" s="36"/>
      <c r="IO198" s="36"/>
      <c r="IP198" s="36"/>
      <c r="IQ198" s="36"/>
      <c r="IR198" s="36"/>
      <c r="IS198" s="36"/>
      <c r="IT198" s="36"/>
      <c r="IU198" s="37"/>
      <c r="IV198" s="44"/>
      <c r="IW198" s="36"/>
      <c r="IX198" s="36"/>
      <c r="IY198" s="36"/>
      <c r="IZ198" s="36"/>
      <c r="JA198" s="36"/>
      <c r="JB198" s="36"/>
      <c r="JC198" s="36"/>
      <c r="JD198" s="36"/>
      <c r="JE198" s="36"/>
      <c r="JF198" s="36"/>
      <c r="JG198" s="36"/>
      <c r="JH198" s="36"/>
      <c r="JI198" s="36"/>
      <c r="JJ198" s="36"/>
      <c r="JK198" s="36"/>
      <c r="JL198" s="37"/>
      <c r="JM198" s="44"/>
      <c r="JN198" s="36"/>
      <c r="JO198" s="36"/>
      <c r="JP198" s="36"/>
      <c r="JQ198" s="36"/>
      <c r="JR198" s="36"/>
      <c r="JS198" s="36"/>
      <c r="JT198" s="36"/>
      <c r="JU198" s="36"/>
      <c r="JV198" s="36"/>
      <c r="JW198" s="36"/>
      <c r="JX198" s="36"/>
      <c r="JY198" s="36"/>
      <c r="JZ198" s="36"/>
      <c r="KA198" s="36"/>
      <c r="KB198" s="36"/>
      <c r="KC198" s="37"/>
      <c r="KD198" s="44"/>
      <c r="KE198" s="36"/>
      <c r="KF198" s="36"/>
      <c r="KG198" s="36"/>
      <c r="KH198" s="36"/>
      <c r="KI198" s="36"/>
      <c r="KJ198" s="36"/>
      <c r="KK198" s="36"/>
      <c r="KL198" s="36"/>
      <c r="KM198" s="36"/>
      <c r="KN198" s="36"/>
      <c r="KO198" s="36"/>
      <c r="KP198" s="36"/>
      <c r="KQ198" s="36"/>
      <c r="KR198" s="36"/>
      <c r="KS198" s="36"/>
      <c r="KT198" s="37"/>
      <c r="KU198" s="36"/>
    </row>
    <row r="199" ht="15.0" customHeight="1">
      <c r="A199" s="44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7"/>
      <c r="R199" s="44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7"/>
      <c r="AI199" s="44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  <c r="AU199" s="36"/>
      <c r="AV199" s="36"/>
      <c r="AW199" s="36"/>
      <c r="AX199" s="36"/>
      <c r="AY199" s="37"/>
      <c r="AZ199" s="44"/>
      <c r="BA199" s="36"/>
      <c r="BB199" s="36"/>
      <c r="BC199" s="36"/>
      <c r="BD199" s="36"/>
      <c r="BE199" s="36"/>
      <c r="BF199" s="36"/>
      <c r="BG199" s="36"/>
      <c r="BH199" s="36"/>
      <c r="BI199" s="36"/>
      <c r="BJ199" s="36"/>
      <c r="BK199" s="36"/>
      <c r="BL199" s="36"/>
      <c r="BM199" s="36"/>
      <c r="BN199" s="36"/>
      <c r="BO199" s="36"/>
      <c r="BP199" s="37"/>
      <c r="BQ199" s="44"/>
      <c r="BR199" s="36"/>
      <c r="BS199" s="36"/>
      <c r="BT199" s="36"/>
      <c r="BU199" s="36"/>
      <c r="BV199" s="36"/>
      <c r="BW199" s="36"/>
      <c r="BX199" s="36"/>
      <c r="BY199" s="36"/>
      <c r="BZ199" s="36"/>
      <c r="CA199" s="36"/>
      <c r="CB199" s="36"/>
      <c r="CC199" s="36"/>
      <c r="CD199" s="36"/>
      <c r="CE199" s="36"/>
      <c r="CF199" s="36"/>
      <c r="CG199" s="37"/>
      <c r="CH199" s="44"/>
      <c r="CI199" s="36"/>
      <c r="CJ199" s="36"/>
      <c r="CK199" s="36"/>
      <c r="CL199" s="36"/>
      <c r="CM199" s="36"/>
      <c r="CN199" s="36"/>
      <c r="CO199" s="36"/>
      <c r="CP199" s="36"/>
      <c r="CQ199" s="36"/>
      <c r="CR199" s="36"/>
      <c r="CS199" s="36"/>
      <c r="CT199" s="36"/>
      <c r="CU199" s="36"/>
      <c r="CV199" s="36"/>
      <c r="CW199" s="36"/>
      <c r="CX199" s="37"/>
      <c r="CY199" s="44"/>
      <c r="CZ199" s="36"/>
      <c r="DA199" s="36"/>
      <c r="DB199" s="36"/>
      <c r="DC199" s="36"/>
      <c r="DD199" s="36"/>
      <c r="DE199" s="36"/>
      <c r="DF199" s="36"/>
      <c r="DG199" s="36"/>
      <c r="DH199" s="36"/>
      <c r="DI199" s="36"/>
      <c r="DJ199" s="36"/>
      <c r="DK199" s="36"/>
      <c r="DL199" s="36"/>
      <c r="DM199" s="36"/>
      <c r="DN199" s="36"/>
      <c r="DO199" s="37"/>
      <c r="DP199" s="44"/>
      <c r="DQ199" s="36"/>
      <c r="DR199" s="36"/>
      <c r="DS199" s="36"/>
      <c r="DT199" s="36"/>
      <c r="DU199" s="36"/>
      <c r="DV199" s="36"/>
      <c r="DW199" s="36"/>
      <c r="DX199" s="36"/>
      <c r="DY199" s="36"/>
      <c r="DZ199" s="36"/>
      <c r="EA199" s="36"/>
      <c r="EB199" s="36"/>
      <c r="EC199" s="36"/>
      <c r="ED199" s="36"/>
      <c r="EE199" s="36"/>
      <c r="EF199" s="37"/>
      <c r="EG199" s="44"/>
      <c r="EH199" s="36"/>
      <c r="EI199" s="36"/>
      <c r="EJ199" s="36"/>
      <c r="EK199" s="36"/>
      <c r="EL199" s="36"/>
      <c r="EM199" s="36"/>
      <c r="EN199" s="36"/>
      <c r="EO199" s="36"/>
      <c r="EP199" s="36"/>
      <c r="EQ199" s="36"/>
      <c r="ER199" s="36"/>
      <c r="ES199" s="36"/>
      <c r="ET199" s="36"/>
      <c r="EU199" s="36"/>
      <c r="EV199" s="36"/>
      <c r="EW199" s="37"/>
      <c r="EX199" s="44"/>
      <c r="EY199" s="36"/>
      <c r="EZ199" s="36"/>
      <c r="FA199" s="36"/>
      <c r="FB199" s="36"/>
      <c r="FC199" s="36"/>
      <c r="FD199" s="36"/>
      <c r="FE199" s="36"/>
      <c r="FF199" s="36"/>
      <c r="FG199" s="36"/>
      <c r="FH199" s="36"/>
      <c r="FI199" s="36"/>
      <c r="FJ199" s="36"/>
      <c r="FK199" s="36"/>
      <c r="FL199" s="36"/>
      <c r="FM199" s="36"/>
      <c r="FN199" s="37"/>
      <c r="FO199" s="44"/>
      <c r="FP199" s="36"/>
      <c r="FQ199" s="36"/>
      <c r="FR199" s="36"/>
      <c r="FS199" s="36"/>
      <c r="FT199" s="36"/>
      <c r="FU199" s="36"/>
      <c r="FV199" s="36"/>
      <c r="FW199" s="36"/>
      <c r="FX199" s="36"/>
      <c r="FY199" s="36"/>
      <c r="FZ199" s="36"/>
      <c r="GA199" s="36"/>
      <c r="GB199" s="36"/>
      <c r="GC199" s="36"/>
      <c r="GD199" s="36"/>
      <c r="GE199" s="37"/>
      <c r="GF199" s="44"/>
      <c r="GG199" s="36"/>
      <c r="GH199" s="36"/>
      <c r="GI199" s="36"/>
      <c r="GJ199" s="36"/>
      <c r="GK199" s="36"/>
      <c r="GL199" s="36"/>
      <c r="GM199" s="36"/>
      <c r="GN199" s="36"/>
      <c r="GO199" s="36"/>
      <c r="GP199" s="36"/>
      <c r="GQ199" s="36"/>
      <c r="GR199" s="36"/>
      <c r="GS199" s="36"/>
      <c r="GT199" s="36"/>
      <c r="GU199" s="36"/>
      <c r="GV199" s="37"/>
      <c r="GW199" s="44"/>
      <c r="GX199" s="36"/>
      <c r="GY199" s="36"/>
      <c r="GZ199" s="36"/>
      <c r="HA199" s="36"/>
      <c r="HB199" s="36"/>
      <c r="HC199" s="36"/>
      <c r="HD199" s="36"/>
      <c r="HE199" s="36"/>
      <c r="HF199" s="36"/>
      <c r="HG199" s="36"/>
      <c r="HH199" s="36"/>
      <c r="HI199" s="36"/>
      <c r="HJ199" s="36"/>
      <c r="HK199" s="36"/>
      <c r="HL199" s="36"/>
      <c r="HM199" s="37"/>
      <c r="HN199" s="44"/>
      <c r="HO199" s="36"/>
      <c r="HP199" s="36"/>
      <c r="HQ199" s="36"/>
      <c r="HR199" s="36"/>
      <c r="HS199" s="36"/>
      <c r="HT199" s="36"/>
      <c r="HU199" s="36"/>
      <c r="HV199" s="36"/>
      <c r="HW199" s="36"/>
      <c r="HX199" s="36"/>
      <c r="HY199" s="36"/>
      <c r="HZ199" s="36"/>
      <c r="IA199" s="36"/>
      <c r="IB199" s="36"/>
      <c r="IC199" s="36"/>
      <c r="ID199" s="37"/>
      <c r="IE199" s="44"/>
      <c r="IF199" s="36"/>
      <c r="IG199" s="36"/>
      <c r="IH199" s="36"/>
      <c r="II199" s="36"/>
      <c r="IJ199" s="36"/>
      <c r="IK199" s="36"/>
      <c r="IL199" s="36"/>
      <c r="IM199" s="36"/>
      <c r="IN199" s="36"/>
      <c r="IO199" s="36"/>
      <c r="IP199" s="36"/>
      <c r="IQ199" s="36"/>
      <c r="IR199" s="36"/>
      <c r="IS199" s="36"/>
      <c r="IT199" s="36"/>
      <c r="IU199" s="37"/>
      <c r="IV199" s="44"/>
      <c r="IW199" s="36"/>
      <c r="IX199" s="36"/>
      <c r="IY199" s="36"/>
      <c r="IZ199" s="36"/>
      <c r="JA199" s="36"/>
      <c r="JB199" s="36"/>
      <c r="JC199" s="36"/>
      <c r="JD199" s="36"/>
      <c r="JE199" s="36"/>
      <c r="JF199" s="36"/>
      <c r="JG199" s="36"/>
      <c r="JH199" s="36"/>
      <c r="JI199" s="36"/>
      <c r="JJ199" s="36"/>
      <c r="JK199" s="36"/>
      <c r="JL199" s="37"/>
      <c r="JM199" s="44"/>
      <c r="JN199" s="36"/>
      <c r="JO199" s="36"/>
      <c r="JP199" s="36"/>
      <c r="JQ199" s="36"/>
      <c r="JR199" s="36"/>
      <c r="JS199" s="36"/>
      <c r="JT199" s="36"/>
      <c r="JU199" s="36"/>
      <c r="JV199" s="36"/>
      <c r="JW199" s="36"/>
      <c r="JX199" s="36"/>
      <c r="JY199" s="36"/>
      <c r="JZ199" s="36"/>
      <c r="KA199" s="36"/>
      <c r="KB199" s="36"/>
      <c r="KC199" s="37"/>
      <c r="KD199" s="44"/>
      <c r="KE199" s="36"/>
      <c r="KF199" s="36"/>
      <c r="KG199" s="36"/>
      <c r="KH199" s="36"/>
      <c r="KI199" s="36"/>
      <c r="KJ199" s="36"/>
      <c r="KK199" s="36"/>
      <c r="KL199" s="36"/>
      <c r="KM199" s="36"/>
      <c r="KN199" s="36"/>
      <c r="KO199" s="36"/>
      <c r="KP199" s="36"/>
      <c r="KQ199" s="36"/>
      <c r="KR199" s="36"/>
      <c r="KS199" s="36"/>
      <c r="KT199" s="37"/>
      <c r="KU199" s="36"/>
    </row>
    <row r="200" ht="15.0" customHeight="1">
      <c r="A200" s="44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7"/>
      <c r="R200" s="44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7"/>
      <c r="AI200" s="44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  <c r="AU200" s="36"/>
      <c r="AV200" s="36"/>
      <c r="AW200" s="36"/>
      <c r="AX200" s="36"/>
      <c r="AY200" s="37"/>
      <c r="AZ200" s="44"/>
      <c r="BA200" s="36"/>
      <c r="BB200" s="36"/>
      <c r="BC200" s="36"/>
      <c r="BD200" s="36"/>
      <c r="BE200" s="36"/>
      <c r="BF200" s="36"/>
      <c r="BG200" s="36"/>
      <c r="BH200" s="36"/>
      <c r="BI200" s="36"/>
      <c r="BJ200" s="36"/>
      <c r="BK200" s="36"/>
      <c r="BL200" s="36"/>
      <c r="BM200" s="36"/>
      <c r="BN200" s="36"/>
      <c r="BO200" s="36"/>
      <c r="BP200" s="37"/>
      <c r="BQ200" s="44"/>
      <c r="BR200" s="36"/>
      <c r="BS200" s="36"/>
      <c r="BT200" s="36"/>
      <c r="BU200" s="36"/>
      <c r="BV200" s="36"/>
      <c r="BW200" s="36"/>
      <c r="BX200" s="36"/>
      <c r="BY200" s="36"/>
      <c r="BZ200" s="36"/>
      <c r="CA200" s="36"/>
      <c r="CB200" s="36"/>
      <c r="CC200" s="36"/>
      <c r="CD200" s="36"/>
      <c r="CE200" s="36"/>
      <c r="CF200" s="36"/>
      <c r="CG200" s="37"/>
      <c r="CH200" s="44"/>
      <c r="CI200" s="36"/>
      <c r="CJ200" s="36"/>
      <c r="CK200" s="36"/>
      <c r="CL200" s="36"/>
      <c r="CM200" s="36"/>
      <c r="CN200" s="36"/>
      <c r="CO200" s="36"/>
      <c r="CP200" s="36"/>
      <c r="CQ200" s="36"/>
      <c r="CR200" s="36"/>
      <c r="CS200" s="36"/>
      <c r="CT200" s="36"/>
      <c r="CU200" s="36"/>
      <c r="CV200" s="36"/>
      <c r="CW200" s="36"/>
      <c r="CX200" s="37"/>
      <c r="CY200" s="44"/>
      <c r="CZ200" s="36"/>
      <c r="DA200" s="36"/>
      <c r="DB200" s="36"/>
      <c r="DC200" s="36"/>
      <c r="DD200" s="36"/>
      <c r="DE200" s="36"/>
      <c r="DF200" s="36"/>
      <c r="DG200" s="36"/>
      <c r="DH200" s="36"/>
      <c r="DI200" s="36"/>
      <c r="DJ200" s="36"/>
      <c r="DK200" s="36"/>
      <c r="DL200" s="36"/>
      <c r="DM200" s="36"/>
      <c r="DN200" s="36"/>
      <c r="DO200" s="37"/>
      <c r="DP200" s="44"/>
      <c r="DQ200" s="36"/>
      <c r="DR200" s="36"/>
      <c r="DS200" s="36"/>
      <c r="DT200" s="36"/>
      <c r="DU200" s="36"/>
      <c r="DV200" s="36"/>
      <c r="DW200" s="36"/>
      <c r="DX200" s="36"/>
      <c r="DY200" s="36"/>
      <c r="DZ200" s="36"/>
      <c r="EA200" s="36"/>
      <c r="EB200" s="36"/>
      <c r="EC200" s="36"/>
      <c r="ED200" s="36"/>
      <c r="EE200" s="36"/>
      <c r="EF200" s="37"/>
      <c r="EG200" s="44"/>
      <c r="EH200" s="36"/>
      <c r="EI200" s="36"/>
      <c r="EJ200" s="36"/>
      <c r="EK200" s="36"/>
      <c r="EL200" s="36"/>
      <c r="EM200" s="36"/>
      <c r="EN200" s="36"/>
      <c r="EO200" s="36"/>
      <c r="EP200" s="36"/>
      <c r="EQ200" s="36"/>
      <c r="ER200" s="36"/>
      <c r="ES200" s="36"/>
      <c r="ET200" s="36"/>
      <c r="EU200" s="36"/>
      <c r="EV200" s="36"/>
      <c r="EW200" s="37"/>
      <c r="EX200" s="44"/>
      <c r="EY200" s="36"/>
      <c r="EZ200" s="36"/>
      <c r="FA200" s="36"/>
      <c r="FB200" s="36"/>
      <c r="FC200" s="36"/>
      <c r="FD200" s="36"/>
      <c r="FE200" s="36"/>
      <c r="FF200" s="36"/>
      <c r="FG200" s="36"/>
      <c r="FH200" s="36"/>
      <c r="FI200" s="36"/>
      <c r="FJ200" s="36"/>
      <c r="FK200" s="36"/>
      <c r="FL200" s="36"/>
      <c r="FM200" s="36"/>
      <c r="FN200" s="37"/>
      <c r="FO200" s="44"/>
      <c r="FP200" s="36"/>
      <c r="FQ200" s="36"/>
      <c r="FR200" s="36"/>
      <c r="FS200" s="36"/>
      <c r="FT200" s="36"/>
      <c r="FU200" s="36"/>
      <c r="FV200" s="36"/>
      <c r="FW200" s="36"/>
      <c r="FX200" s="36"/>
      <c r="FY200" s="36"/>
      <c r="FZ200" s="36"/>
      <c r="GA200" s="36"/>
      <c r="GB200" s="36"/>
      <c r="GC200" s="36"/>
      <c r="GD200" s="36"/>
      <c r="GE200" s="37"/>
      <c r="GF200" s="44"/>
      <c r="GG200" s="36"/>
      <c r="GH200" s="36"/>
      <c r="GI200" s="36"/>
      <c r="GJ200" s="36"/>
      <c r="GK200" s="36"/>
      <c r="GL200" s="36"/>
      <c r="GM200" s="36"/>
      <c r="GN200" s="36"/>
      <c r="GO200" s="36"/>
      <c r="GP200" s="36"/>
      <c r="GQ200" s="36"/>
      <c r="GR200" s="36"/>
      <c r="GS200" s="36"/>
      <c r="GT200" s="36"/>
      <c r="GU200" s="36"/>
      <c r="GV200" s="37"/>
      <c r="GW200" s="44"/>
      <c r="GX200" s="36"/>
      <c r="GY200" s="36"/>
      <c r="GZ200" s="36"/>
      <c r="HA200" s="36"/>
      <c r="HB200" s="36"/>
      <c r="HC200" s="36"/>
      <c r="HD200" s="36"/>
      <c r="HE200" s="36"/>
      <c r="HF200" s="36"/>
      <c r="HG200" s="36"/>
      <c r="HH200" s="36"/>
      <c r="HI200" s="36"/>
      <c r="HJ200" s="36"/>
      <c r="HK200" s="36"/>
      <c r="HL200" s="36"/>
      <c r="HM200" s="37"/>
      <c r="HN200" s="44"/>
      <c r="HO200" s="36"/>
      <c r="HP200" s="36"/>
      <c r="HQ200" s="36"/>
      <c r="HR200" s="36"/>
      <c r="HS200" s="36"/>
      <c r="HT200" s="36"/>
      <c r="HU200" s="36"/>
      <c r="HV200" s="36"/>
      <c r="HW200" s="36"/>
      <c r="HX200" s="36"/>
      <c r="HY200" s="36"/>
      <c r="HZ200" s="36"/>
      <c r="IA200" s="36"/>
      <c r="IB200" s="36"/>
      <c r="IC200" s="36"/>
      <c r="ID200" s="37"/>
      <c r="IE200" s="44"/>
      <c r="IF200" s="36"/>
      <c r="IG200" s="36"/>
      <c r="IH200" s="36"/>
      <c r="II200" s="36"/>
      <c r="IJ200" s="36"/>
      <c r="IK200" s="36"/>
      <c r="IL200" s="36"/>
      <c r="IM200" s="36"/>
      <c r="IN200" s="36"/>
      <c r="IO200" s="36"/>
      <c r="IP200" s="36"/>
      <c r="IQ200" s="36"/>
      <c r="IR200" s="36"/>
      <c r="IS200" s="36"/>
      <c r="IT200" s="36"/>
      <c r="IU200" s="37"/>
      <c r="IV200" s="44"/>
      <c r="IW200" s="36"/>
      <c r="IX200" s="36"/>
      <c r="IY200" s="36"/>
      <c r="IZ200" s="36"/>
      <c r="JA200" s="36"/>
      <c r="JB200" s="36"/>
      <c r="JC200" s="36"/>
      <c r="JD200" s="36"/>
      <c r="JE200" s="36"/>
      <c r="JF200" s="36"/>
      <c r="JG200" s="36"/>
      <c r="JH200" s="36"/>
      <c r="JI200" s="36"/>
      <c r="JJ200" s="36"/>
      <c r="JK200" s="36"/>
      <c r="JL200" s="37"/>
      <c r="JM200" s="44"/>
      <c r="JN200" s="36"/>
      <c r="JO200" s="36"/>
      <c r="JP200" s="36"/>
      <c r="JQ200" s="36"/>
      <c r="JR200" s="36"/>
      <c r="JS200" s="36"/>
      <c r="JT200" s="36"/>
      <c r="JU200" s="36"/>
      <c r="JV200" s="36"/>
      <c r="JW200" s="36"/>
      <c r="JX200" s="36"/>
      <c r="JY200" s="36"/>
      <c r="JZ200" s="36"/>
      <c r="KA200" s="36"/>
      <c r="KB200" s="36"/>
      <c r="KC200" s="37"/>
      <c r="KD200" s="44"/>
      <c r="KE200" s="36"/>
      <c r="KF200" s="36"/>
      <c r="KG200" s="36"/>
      <c r="KH200" s="36"/>
      <c r="KI200" s="36"/>
      <c r="KJ200" s="36"/>
      <c r="KK200" s="36"/>
      <c r="KL200" s="36"/>
      <c r="KM200" s="36"/>
      <c r="KN200" s="36"/>
      <c r="KO200" s="36"/>
      <c r="KP200" s="36"/>
      <c r="KQ200" s="36"/>
      <c r="KR200" s="36"/>
      <c r="KS200" s="36"/>
      <c r="KT200" s="37"/>
      <c r="KU200" s="36"/>
    </row>
    <row r="201" ht="15.0" customHeight="1">
      <c r="A201" s="44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7"/>
      <c r="R201" s="44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7"/>
      <c r="AI201" s="44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  <c r="AU201" s="36"/>
      <c r="AV201" s="36"/>
      <c r="AW201" s="36"/>
      <c r="AX201" s="36"/>
      <c r="AY201" s="37"/>
      <c r="AZ201" s="44"/>
      <c r="BA201" s="36"/>
      <c r="BB201" s="36"/>
      <c r="BC201" s="36"/>
      <c r="BD201" s="36"/>
      <c r="BE201" s="36"/>
      <c r="BF201" s="36"/>
      <c r="BG201" s="36"/>
      <c r="BH201" s="36"/>
      <c r="BI201" s="36"/>
      <c r="BJ201" s="36"/>
      <c r="BK201" s="36"/>
      <c r="BL201" s="36"/>
      <c r="BM201" s="36"/>
      <c r="BN201" s="36"/>
      <c r="BO201" s="36"/>
      <c r="BP201" s="37"/>
      <c r="BQ201" s="44"/>
      <c r="BR201" s="36"/>
      <c r="BS201" s="36"/>
      <c r="BT201" s="36"/>
      <c r="BU201" s="36"/>
      <c r="BV201" s="36"/>
      <c r="BW201" s="36"/>
      <c r="BX201" s="36"/>
      <c r="BY201" s="36"/>
      <c r="BZ201" s="36"/>
      <c r="CA201" s="36"/>
      <c r="CB201" s="36"/>
      <c r="CC201" s="36"/>
      <c r="CD201" s="36"/>
      <c r="CE201" s="36"/>
      <c r="CF201" s="36"/>
      <c r="CG201" s="37"/>
      <c r="CH201" s="44"/>
      <c r="CI201" s="36"/>
      <c r="CJ201" s="36"/>
      <c r="CK201" s="36"/>
      <c r="CL201" s="36"/>
      <c r="CM201" s="36"/>
      <c r="CN201" s="36"/>
      <c r="CO201" s="36"/>
      <c r="CP201" s="36"/>
      <c r="CQ201" s="36"/>
      <c r="CR201" s="36"/>
      <c r="CS201" s="36"/>
      <c r="CT201" s="36"/>
      <c r="CU201" s="36"/>
      <c r="CV201" s="36"/>
      <c r="CW201" s="36"/>
      <c r="CX201" s="37"/>
      <c r="CY201" s="44"/>
      <c r="CZ201" s="36"/>
      <c r="DA201" s="36"/>
      <c r="DB201" s="36"/>
      <c r="DC201" s="36"/>
      <c r="DD201" s="36"/>
      <c r="DE201" s="36"/>
      <c r="DF201" s="36"/>
      <c r="DG201" s="36"/>
      <c r="DH201" s="36"/>
      <c r="DI201" s="36"/>
      <c r="DJ201" s="36"/>
      <c r="DK201" s="36"/>
      <c r="DL201" s="36"/>
      <c r="DM201" s="36"/>
      <c r="DN201" s="36"/>
      <c r="DO201" s="37"/>
      <c r="DP201" s="44"/>
      <c r="DQ201" s="36"/>
      <c r="DR201" s="36"/>
      <c r="DS201" s="36"/>
      <c r="DT201" s="36"/>
      <c r="DU201" s="36"/>
      <c r="DV201" s="36"/>
      <c r="DW201" s="36"/>
      <c r="DX201" s="36"/>
      <c r="DY201" s="36"/>
      <c r="DZ201" s="36"/>
      <c r="EA201" s="36"/>
      <c r="EB201" s="36"/>
      <c r="EC201" s="36"/>
      <c r="ED201" s="36"/>
      <c r="EE201" s="36"/>
      <c r="EF201" s="37"/>
      <c r="EG201" s="44"/>
      <c r="EH201" s="36"/>
      <c r="EI201" s="36"/>
      <c r="EJ201" s="36"/>
      <c r="EK201" s="36"/>
      <c r="EL201" s="36"/>
      <c r="EM201" s="36"/>
      <c r="EN201" s="36"/>
      <c r="EO201" s="36"/>
      <c r="EP201" s="36"/>
      <c r="EQ201" s="36"/>
      <c r="ER201" s="36"/>
      <c r="ES201" s="36"/>
      <c r="ET201" s="36"/>
      <c r="EU201" s="36"/>
      <c r="EV201" s="36"/>
      <c r="EW201" s="37"/>
      <c r="EX201" s="44"/>
      <c r="EY201" s="36"/>
      <c r="EZ201" s="36"/>
      <c r="FA201" s="36"/>
      <c r="FB201" s="36"/>
      <c r="FC201" s="36"/>
      <c r="FD201" s="36"/>
      <c r="FE201" s="36"/>
      <c r="FF201" s="36"/>
      <c r="FG201" s="36"/>
      <c r="FH201" s="36"/>
      <c r="FI201" s="36"/>
      <c r="FJ201" s="36"/>
      <c r="FK201" s="36"/>
      <c r="FL201" s="36"/>
      <c r="FM201" s="36"/>
      <c r="FN201" s="37"/>
      <c r="FO201" s="44"/>
      <c r="FP201" s="36"/>
      <c r="FQ201" s="36"/>
      <c r="FR201" s="36"/>
      <c r="FS201" s="36"/>
      <c r="FT201" s="36"/>
      <c r="FU201" s="36"/>
      <c r="FV201" s="36"/>
      <c r="FW201" s="36"/>
      <c r="FX201" s="36"/>
      <c r="FY201" s="36"/>
      <c r="FZ201" s="36"/>
      <c r="GA201" s="36"/>
      <c r="GB201" s="36"/>
      <c r="GC201" s="36"/>
      <c r="GD201" s="36"/>
      <c r="GE201" s="37"/>
      <c r="GF201" s="44"/>
      <c r="GG201" s="36"/>
      <c r="GH201" s="36"/>
      <c r="GI201" s="36"/>
      <c r="GJ201" s="36"/>
      <c r="GK201" s="36"/>
      <c r="GL201" s="36"/>
      <c r="GM201" s="36"/>
      <c r="GN201" s="36"/>
      <c r="GO201" s="36"/>
      <c r="GP201" s="36"/>
      <c r="GQ201" s="36"/>
      <c r="GR201" s="36"/>
      <c r="GS201" s="36"/>
      <c r="GT201" s="36"/>
      <c r="GU201" s="36"/>
      <c r="GV201" s="37"/>
      <c r="GW201" s="44"/>
      <c r="GX201" s="36"/>
      <c r="GY201" s="36"/>
      <c r="GZ201" s="36"/>
      <c r="HA201" s="36"/>
      <c r="HB201" s="36"/>
      <c r="HC201" s="36"/>
      <c r="HD201" s="36"/>
      <c r="HE201" s="36"/>
      <c r="HF201" s="36"/>
      <c r="HG201" s="36"/>
      <c r="HH201" s="36"/>
      <c r="HI201" s="36"/>
      <c r="HJ201" s="36"/>
      <c r="HK201" s="36"/>
      <c r="HL201" s="36"/>
      <c r="HM201" s="37"/>
      <c r="HN201" s="44"/>
      <c r="HO201" s="36"/>
      <c r="HP201" s="36"/>
      <c r="HQ201" s="36"/>
      <c r="HR201" s="36"/>
      <c r="HS201" s="36"/>
      <c r="HT201" s="36"/>
      <c r="HU201" s="36"/>
      <c r="HV201" s="36"/>
      <c r="HW201" s="36"/>
      <c r="HX201" s="36"/>
      <c r="HY201" s="36"/>
      <c r="HZ201" s="36"/>
      <c r="IA201" s="36"/>
      <c r="IB201" s="36"/>
      <c r="IC201" s="36"/>
      <c r="ID201" s="37"/>
      <c r="IE201" s="44"/>
      <c r="IF201" s="36"/>
      <c r="IG201" s="36"/>
      <c r="IH201" s="36"/>
      <c r="II201" s="36"/>
      <c r="IJ201" s="36"/>
      <c r="IK201" s="36"/>
      <c r="IL201" s="36"/>
      <c r="IM201" s="36"/>
      <c r="IN201" s="36"/>
      <c r="IO201" s="36"/>
      <c r="IP201" s="36"/>
      <c r="IQ201" s="36"/>
      <c r="IR201" s="36"/>
      <c r="IS201" s="36"/>
      <c r="IT201" s="36"/>
      <c r="IU201" s="37"/>
      <c r="IV201" s="44"/>
      <c r="IW201" s="36"/>
      <c r="IX201" s="36"/>
      <c r="IY201" s="36"/>
      <c r="IZ201" s="36"/>
      <c r="JA201" s="36"/>
      <c r="JB201" s="36"/>
      <c r="JC201" s="36"/>
      <c r="JD201" s="36"/>
      <c r="JE201" s="36"/>
      <c r="JF201" s="36"/>
      <c r="JG201" s="36"/>
      <c r="JH201" s="36"/>
      <c r="JI201" s="36"/>
      <c r="JJ201" s="36"/>
      <c r="JK201" s="36"/>
      <c r="JL201" s="37"/>
      <c r="JM201" s="44"/>
      <c r="JN201" s="36"/>
      <c r="JO201" s="36"/>
      <c r="JP201" s="36"/>
      <c r="JQ201" s="36"/>
      <c r="JR201" s="36"/>
      <c r="JS201" s="36"/>
      <c r="JT201" s="36"/>
      <c r="JU201" s="36"/>
      <c r="JV201" s="36"/>
      <c r="JW201" s="36"/>
      <c r="JX201" s="36"/>
      <c r="JY201" s="36"/>
      <c r="JZ201" s="36"/>
      <c r="KA201" s="36"/>
      <c r="KB201" s="36"/>
      <c r="KC201" s="37"/>
      <c r="KD201" s="44"/>
      <c r="KE201" s="36"/>
      <c r="KF201" s="36"/>
      <c r="KG201" s="36"/>
      <c r="KH201" s="36"/>
      <c r="KI201" s="36"/>
      <c r="KJ201" s="36"/>
      <c r="KK201" s="36"/>
      <c r="KL201" s="36"/>
      <c r="KM201" s="36"/>
      <c r="KN201" s="36"/>
      <c r="KO201" s="36"/>
      <c r="KP201" s="36"/>
      <c r="KQ201" s="36"/>
      <c r="KR201" s="36"/>
      <c r="KS201" s="36"/>
      <c r="KT201" s="37"/>
      <c r="KU201" s="36"/>
    </row>
    <row r="202" ht="15.0" customHeight="1">
      <c r="A202" s="44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7"/>
      <c r="R202" s="44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7"/>
      <c r="AI202" s="44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  <c r="AU202" s="36"/>
      <c r="AV202" s="36"/>
      <c r="AW202" s="36"/>
      <c r="AX202" s="36"/>
      <c r="AY202" s="37"/>
      <c r="AZ202" s="44"/>
      <c r="BA202" s="36"/>
      <c r="BB202" s="36"/>
      <c r="BC202" s="36"/>
      <c r="BD202" s="36"/>
      <c r="BE202" s="36"/>
      <c r="BF202" s="36"/>
      <c r="BG202" s="36"/>
      <c r="BH202" s="36"/>
      <c r="BI202" s="36"/>
      <c r="BJ202" s="36"/>
      <c r="BK202" s="36"/>
      <c r="BL202" s="36"/>
      <c r="BM202" s="36"/>
      <c r="BN202" s="36"/>
      <c r="BO202" s="36"/>
      <c r="BP202" s="37"/>
      <c r="BQ202" s="44"/>
      <c r="BR202" s="36"/>
      <c r="BS202" s="36"/>
      <c r="BT202" s="36"/>
      <c r="BU202" s="36"/>
      <c r="BV202" s="36"/>
      <c r="BW202" s="36"/>
      <c r="BX202" s="36"/>
      <c r="BY202" s="36"/>
      <c r="BZ202" s="36"/>
      <c r="CA202" s="36"/>
      <c r="CB202" s="36"/>
      <c r="CC202" s="36"/>
      <c r="CD202" s="36"/>
      <c r="CE202" s="36"/>
      <c r="CF202" s="36"/>
      <c r="CG202" s="37"/>
      <c r="CH202" s="44"/>
      <c r="CI202" s="36"/>
      <c r="CJ202" s="36"/>
      <c r="CK202" s="36"/>
      <c r="CL202" s="36"/>
      <c r="CM202" s="36"/>
      <c r="CN202" s="36"/>
      <c r="CO202" s="36"/>
      <c r="CP202" s="36"/>
      <c r="CQ202" s="36"/>
      <c r="CR202" s="36"/>
      <c r="CS202" s="36"/>
      <c r="CT202" s="36"/>
      <c r="CU202" s="36"/>
      <c r="CV202" s="36"/>
      <c r="CW202" s="36"/>
      <c r="CX202" s="37"/>
      <c r="CY202" s="44"/>
      <c r="CZ202" s="36"/>
      <c r="DA202" s="36"/>
      <c r="DB202" s="36"/>
      <c r="DC202" s="36"/>
      <c r="DD202" s="36"/>
      <c r="DE202" s="36"/>
      <c r="DF202" s="36"/>
      <c r="DG202" s="36"/>
      <c r="DH202" s="36"/>
      <c r="DI202" s="36"/>
      <c r="DJ202" s="36"/>
      <c r="DK202" s="36"/>
      <c r="DL202" s="36"/>
      <c r="DM202" s="36"/>
      <c r="DN202" s="36"/>
      <c r="DO202" s="37"/>
      <c r="DP202" s="44"/>
      <c r="DQ202" s="36"/>
      <c r="DR202" s="36"/>
      <c r="DS202" s="36"/>
      <c r="DT202" s="36"/>
      <c r="DU202" s="36"/>
      <c r="DV202" s="36"/>
      <c r="DW202" s="36"/>
      <c r="DX202" s="36"/>
      <c r="DY202" s="36"/>
      <c r="DZ202" s="36"/>
      <c r="EA202" s="36"/>
      <c r="EB202" s="36"/>
      <c r="EC202" s="36"/>
      <c r="ED202" s="36"/>
      <c r="EE202" s="36"/>
      <c r="EF202" s="37"/>
      <c r="EG202" s="44"/>
      <c r="EH202" s="36"/>
      <c r="EI202" s="36"/>
      <c r="EJ202" s="36"/>
      <c r="EK202" s="36"/>
      <c r="EL202" s="36"/>
      <c r="EM202" s="36"/>
      <c r="EN202" s="36"/>
      <c r="EO202" s="36"/>
      <c r="EP202" s="36"/>
      <c r="EQ202" s="36"/>
      <c r="ER202" s="36"/>
      <c r="ES202" s="36"/>
      <c r="ET202" s="36"/>
      <c r="EU202" s="36"/>
      <c r="EV202" s="36"/>
      <c r="EW202" s="37"/>
      <c r="EX202" s="44"/>
      <c r="EY202" s="36"/>
      <c r="EZ202" s="36"/>
      <c r="FA202" s="36"/>
      <c r="FB202" s="36"/>
      <c r="FC202" s="36"/>
      <c r="FD202" s="36"/>
      <c r="FE202" s="36"/>
      <c r="FF202" s="36"/>
      <c r="FG202" s="36"/>
      <c r="FH202" s="36"/>
      <c r="FI202" s="36"/>
      <c r="FJ202" s="36"/>
      <c r="FK202" s="36"/>
      <c r="FL202" s="36"/>
      <c r="FM202" s="36"/>
      <c r="FN202" s="37"/>
      <c r="FO202" s="44"/>
      <c r="FP202" s="36"/>
      <c r="FQ202" s="36"/>
      <c r="FR202" s="36"/>
      <c r="FS202" s="36"/>
      <c r="FT202" s="36"/>
      <c r="FU202" s="36"/>
      <c r="FV202" s="36"/>
      <c r="FW202" s="36"/>
      <c r="FX202" s="36"/>
      <c r="FY202" s="36"/>
      <c r="FZ202" s="36"/>
      <c r="GA202" s="36"/>
      <c r="GB202" s="36"/>
      <c r="GC202" s="36"/>
      <c r="GD202" s="36"/>
      <c r="GE202" s="37"/>
      <c r="GF202" s="44"/>
      <c r="GG202" s="36"/>
      <c r="GH202" s="36"/>
      <c r="GI202" s="36"/>
      <c r="GJ202" s="36"/>
      <c r="GK202" s="36"/>
      <c r="GL202" s="36"/>
      <c r="GM202" s="36"/>
      <c r="GN202" s="36"/>
      <c r="GO202" s="36"/>
      <c r="GP202" s="36"/>
      <c r="GQ202" s="36"/>
      <c r="GR202" s="36"/>
      <c r="GS202" s="36"/>
      <c r="GT202" s="36"/>
      <c r="GU202" s="36"/>
      <c r="GV202" s="37"/>
      <c r="GW202" s="44"/>
      <c r="GX202" s="36"/>
      <c r="GY202" s="36"/>
      <c r="GZ202" s="36"/>
      <c r="HA202" s="36"/>
      <c r="HB202" s="36"/>
      <c r="HC202" s="36"/>
      <c r="HD202" s="36"/>
      <c r="HE202" s="36"/>
      <c r="HF202" s="36"/>
      <c r="HG202" s="36"/>
      <c r="HH202" s="36"/>
      <c r="HI202" s="36"/>
      <c r="HJ202" s="36"/>
      <c r="HK202" s="36"/>
      <c r="HL202" s="36"/>
      <c r="HM202" s="37"/>
      <c r="HN202" s="44"/>
      <c r="HO202" s="36"/>
      <c r="HP202" s="36"/>
      <c r="HQ202" s="36"/>
      <c r="HR202" s="36"/>
      <c r="HS202" s="36"/>
      <c r="HT202" s="36"/>
      <c r="HU202" s="36"/>
      <c r="HV202" s="36"/>
      <c r="HW202" s="36"/>
      <c r="HX202" s="36"/>
      <c r="HY202" s="36"/>
      <c r="HZ202" s="36"/>
      <c r="IA202" s="36"/>
      <c r="IB202" s="36"/>
      <c r="IC202" s="36"/>
      <c r="ID202" s="37"/>
      <c r="IE202" s="44"/>
      <c r="IF202" s="36"/>
      <c r="IG202" s="36"/>
      <c r="IH202" s="36"/>
      <c r="II202" s="36"/>
      <c r="IJ202" s="36"/>
      <c r="IK202" s="36"/>
      <c r="IL202" s="36"/>
      <c r="IM202" s="36"/>
      <c r="IN202" s="36"/>
      <c r="IO202" s="36"/>
      <c r="IP202" s="36"/>
      <c r="IQ202" s="36"/>
      <c r="IR202" s="36"/>
      <c r="IS202" s="36"/>
      <c r="IT202" s="36"/>
      <c r="IU202" s="37"/>
      <c r="IV202" s="44"/>
      <c r="IW202" s="36"/>
      <c r="IX202" s="36"/>
      <c r="IY202" s="36"/>
      <c r="IZ202" s="36"/>
      <c r="JA202" s="36"/>
      <c r="JB202" s="36"/>
      <c r="JC202" s="36"/>
      <c r="JD202" s="36"/>
      <c r="JE202" s="36"/>
      <c r="JF202" s="36"/>
      <c r="JG202" s="36"/>
      <c r="JH202" s="36"/>
      <c r="JI202" s="36"/>
      <c r="JJ202" s="36"/>
      <c r="JK202" s="36"/>
      <c r="JL202" s="37"/>
      <c r="JM202" s="44"/>
      <c r="JN202" s="36"/>
      <c r="JO202" s="36"/>
      <c r="JP202" s="36"/>
      <c r="JQ202" s="36"/>
      <c r="JR202" s="36"/>
      <c r="JS202" s="36"/>
      <c r="JT202" s="36"/>
      <c r="JU202" s="36"/>
      <c r="JV202" s="36"/>
      <c r="JW202" s="36"/>
      <c r="JX202" s="36"/>
      <c r="JY202" s="36"/>
      <c r="JZ202" s="36"/>
      <c r="KA202" s="36"/>
      <c r="KB202" s="36"/>
      <c r="KC202" s="37"/>
      <c r="KD202" s="44"/>
      <c r="KE202" s="36"/>
      <c r="KF202" s="36"/>
      <c r="KG202" s="36"/>
      <c r="KH202" s="36"/>
      <c r="KI202" s="36"/>
      <c r="KJ202" s="36"/>
      <c r="KK202" s="36"/>
      <c r="KL202" s="36"/>
      <c r="KM202" s="36"/>
      <c r="KN202" s="36"/>
      <c r="KO202" s="36"/>
      <c r="KP202" s="36"/>
      <c r="KQ202" s="36"/>
      <c r="KR202" s="36"/>
      <c r="KS202" s="36"/>
      <c r="KT202" s="37"/>
      <c r="KU202" s="36"/>
    </row>
    <row r="203" ht="15.0" customHeight="1">
      <c r="A203" s="44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7"/>
      <c r="R203" s="44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7"/>
      <c r="AI203" s="44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  <c r="AU203" s="36"/>
      <c r="AV203" s="36"/>
      <c r="AW203" s="36"/>
      <c r="AX203" s="36"/>
      <c r="AY203" s="37"/>
      <c r="AZ203" s="44"/>
      <c r="BA203" s="36"/>
      <c r="BB203" s="36"/>
      <c r="BC203" s="36"/>
      <c r="BD203" s="36"/>
      <c r="BE203" s="36"/>
      <c r="BF203" s="36"/>
      <c r="BG203" s="36"/>
      <c r="BH203" s="36"/>
      <c r="BI203" s="36"/>
      <c r="BJ203" s="36"/>
      <c r="BK203" s="36"/>
      <c r="BL203" s="36"/>
      <c r="BM203" s="36"/>
      <c r="BN203" s="36"/>
      <c r="BO203" s="36"/>
      <c r="BP203" s="37"/>
      <c r="BQ203" s="44"/>
      <c r="BR203" s="36"/>
      <c r="BS203" s="36"/>
      <c r="BT203" s="36"/>
      <c r="BU203" s="36"/>
      <c r="BV203" s="36"/>
      <c r="BW203" s="36"/>
      <c r="BX203" s="36"/>
      <c r="BY203" s="36"/>
      <c r="BZ203" s="36"/>
      <c r="CA203" s="36"/>
      <c r="CB203" s="36"/>
      <c r="CC203" s="36"/>
      <c r="CD203" s="36"/>
      <c r="CE203" s="36"/>
      <c r="CF203" s="36"/>
      <c r="CG203" s="37"/>
      <c r="CH203" s="44"/>
      <c r="CI203" s="36"/>
      <c r="CJ203" s="36"/>
      <c r="CK203" s="36"/>
      <c r="CL203" s="36"/>
      <c r="CM203" s="36"/>
      <c r="CN203" s="36"/>
      <c r="CO203" s="36"/>
      <c r="CP203" s="36"/>
      <c r="CQ203" s="36"/>
      <c r="CR203" s="36"/>
      <c r="CS203" s="36"/>
      <c r="CT203" s="36"/>
      <c r="CU203" s="36"/>
      <c r="CV203" s="36"/>
      <c r="CW203" s="36"/>
      <c r="CX203" s="37"/>
      <c r="CY203" s="44"/>
      <c r="CZ203" s="36"/>
      <c r="DA203" s="36"/>
      <c r="DB203" s="36"/>
      <c r="DC203" s="36"/>
      <c r="DD203" s="36"/>
      <c r="DE203" s="36"/>
      <c r="DF203" s="36"/>
      <c r="DG203" s="36"/>
      <c r="DH203" s="36"/>
      <c r="DI203" s="36"/>
      <c r="DJ203" s="36"/>
      <c r="DK203" s="36"/>
      <c r="DL203" s="36"/>
      <c r="DM203" s="36"/>
      <c r="DN203" s="36"/>
      <c r="DO203" s="37"/>
      <c r="DP203" s="44"/>
      <c r="DQ203" s="36"/>
      <c r="DR203" s="36"/>
      <c r="DS203" s="36"/>
      <c r="DT203" s="36"/>
      <c r="DU203" s="36"/>
      <c r="DV203" s="36"/>
      <c r="DW203" s="36"/>
      <c r="DX203" s="36"/>
      <c r="DY203" s="36"/>
      <c r="DZ203" s="36"/>
      <c r="EA203" s="36"/>
      <c r="EB203" s="36"/>
      <c r="EC203" s="36"/>
      <c r="ED203" s="36"/>
      <c r="EE203" s="36"/>
      <c r="EF203" s="37"/>
      <c r="EG203" s="44"/>
      <c r="EH203" s="36"/>
      <c r="EI203" s="36"/>
      <c r="EJ203" s="36"/>
      <c r="EK203" s="36"/>
      <c r="EL203" s="36"/>
      <c r="EM203" s="36"/>
      <c r="EN203" s="36"/>
      <c r="EO203" s="36"/>
      <c r="EP203" s="36"/>
      <c r="EQ203" s="36"/>
      <c r="ER203" s="36"/>
      <c r="ES203" s="36"/>
      <c r="ET203" s="36"/>
      <c r="EU203" s="36"/>
      <c r="EV203" s="36"/>
      <c r="EW203" s="37"/>
      <c r="EX203" s="44"/>
      <c r="EY203" s="36"/>
      <c r="EZ203" s="36"/>
      <c r="FA203" s="36"/>
      <c r="FB203" s="36"/>
      <c r="FC203" s="36"/>
      <c r="FD203" s="36"/>
      <c r="FE203" s="36"/>
      <c r="FF203" s="36"/>
      <c r="FG203" s="36"/>
      <c r="FH203" s="36"/>
      <c r="FI203" s="36"/>
      <c r="FJ203" s="36"/>
      <c r="FK203" s="36"/>
      <c r="FL203" s="36"/>
      <c r="FM203" s="36"/>
      <c r="FN203" s="37"/>
      <c r="FO203" s="44"/>
      <c r="FP203" s="36"/>
      <c r="FQ203" s="36"/>
      <c r="FR203" s="36"/>
      <c r="FS203" s="36"/>
      <c r="FT203" s="36"/>
      <c r="FU203" s="36"/>
      <c r="FV203" s="36"/>
      <c r="FW203" s="36"/>
      <c r="FX203" s="36"/>
      <c r="FY203" s="36"/>
      <c r="FZ203" s="36"/>
      <c r="GA203" s="36"/>
      <c r="GB203" s="36"/>
      <c r="GC203" s="36"/>
      <c r="GD203" s="36"/>
      <c r="GE203" s="37"/>
      <c r="GF203" s="44"/>
      <c r="GG203" s="36"/>
      <c r="GH203" s="36"/>
      <c r="GI203" s="36"/>
      <c r="GJ203" s="36"/>
      <c r="GK203" s="36"/>
      <c r="GL203" s="36"/>
      <c r="GM203" s="36"/>
      <c r="GN203" s="36"/>
      <c r="GO203" s="36"/>
      <c r="GP203" s="36"/>
      <c r="GQ203" s="36"/>
      <c r="GR203" s="36"/>
      <c r="GS203" s="36"/>
      <c r="GT203" s="36"/>
      <c r="GU203" s="36"/>
      <c r="GV203" s="37"/>
      <c r="GW203" s="44"/>
      <c r="GX203" s="36"/>
      <c r="GY203" s="36"/>
      <c r="GZ203" s="36"/>
      <c r="HA203" s="36"/>
      <c r="HB203" s="36"/>
      <c r="HC203" s="36"/>
      <c r="HD203" s="36"/>
      <c r="HE203" s="36"/>
      <c r="HF203" s="36"/>
      <c r="HG203" s="36"/>
      <c r="HH203" s="36"/>
      <c r="HI203" s="36"/>
      <c r="HJ203" s="36"/>
      <c r="HK203" s="36"/>
      <c r="HL203" s="36"/>
      <c r="HM203" s="37"/>
      <c r="HN203" s="44"/>
      <c r="HO203" s="36"/>
      <c r="HP203" s="36"/>
      <c r="HQ203" s="36"/>
      <c r="HR203" s="36"/>
      <c r="HS203" s="36"/>
      <c r="HT203" s="36"/>
      <c r="HU203" s="36"/>
      <c r="HV203" s="36"/>
      <c r="HW203" s="36"/>
      <c r="HX203" s="36"/>
      <c r="HY203" s="36"/>
      <c r="HZ203" s="36"/>
      <c r="IA203" s="36"/>
      <c r="IB203" s="36"/>
      <c r="IC203" s="36"/>
      <c r="ID203" s="37"/>
      <c r="IE203" s="44"/>
      <c r="IF203" s="36"/>
      <c r="IG203" s="36"/>
      <c r="IH203" s="36"/>
      <c r="II203" s="36"/>
      <c r="IJ203" s="36"/>
      <c r="IK203" s="36"/>
      <c r="IL203" s="36"/>
      <c r="IM203" s="36"/>
      <c r="IN203" s="36"/>
      <c r="IO203" s="36"/>
      <c r="IP203" s="36"/>
      <c r="IQ203" s="36"/>
      <c r="IR203" s="36"/>
      <c r="IS203" s="36"/>
      <c r="IT203" s="36"/>
      <c r="IU203" s="37"/>
      <c r="IV203" s="44"/>
      <c r="IW203" s="36"/>
      <c r="IX203" s="36"/>
      <c r="IY203" s="36"/>
      <c r="IZ203" s="36"/>
      <c r="JA203" s="36"/>
      <c r="JB203" s="36"/>
      <c r="JC203" s="36"/>
      <c r="JD203" s="36"/>
      <c r="JE203" s="36"/>
      <c r="JF203" s="36"/>
      <c r="JG203" s="36"/>
      <c r="JH203" s="36"/>
      <c r="JI203" s="36"/>
      <c r="JJ203" s="36"/>
      <c r="JK203" s="36"/>
      <c r="JL203" s="37"/>
      <c r="JM203" s="44"/>
      <c r="JN203" s="36"/>
      <c r="JO203" s="36"/>
      <c r="JP203" s="36"/>
      <c r="JQ203" s="36"/>
      <c r="JR203" s="36"/>
      <c r="JS203" s="36"/>
      <c r="JT203" s="36"/>
      <c r="JU203" s="36"/>
      <c r="JV203" s="36"/>
      <c r="JW203" s="36"/>
      <c r="JX203" s="36"/>
      <c r="JY203" s="36"/>
      <c r="JZ203" s="36"/>
      <c r="KA203" s="36"/>
      <c r="KB203" s="36"/>
      <c r="KC203" s="37"/>
      <c r="KD203" s="44"/>
      <c r="KE203" s="36"/>
      <c r="KF203" s="36"/>
      <c r="KG203" s="36"/>
      <c r="KH203" s="36"/>
      <c r="KI203" s="36"/>
      <c r="KJ203" s="36"/>
      <c r="KK203" s="36"/>
      <c r="KL203" s="36"/>
      <c r="KM203" s="36"/>
      <c r="KN203" s="36"/>
      <c r="KO203" s="36"/>
      <c r="KP203" s="36"/>
      <c r="KQ203" s="36"/>
      <c r="KR203" s="36"/>
      <c r="KS203" s="36"/>
      <c r="KT203" s="37"/>
      <c r="KU203" s="36"/>
    </row>
    <row r="204" ht="15.0" customHeight="1">
      <c r="A204" s="44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7"/>
      <c r="R204" s="44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7"/>
      <c r="AI204" s="44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  <c r="AU204" s="36"/>
      <c r="AV204" s="36"/>
      <c r="AW204" s="36"/>
      <c r="AX204" s="36"/>
      <c r="AY204" s="37"/>
      <c r="AZ204" s="44"/>
      <c r="BA204" s="36"/>
      <c r="BB204" s="36"/>
      <c r="BC204" s="36"/>
      <c r="BD204" s="36"/>
      <c r="BE204" s="36"/>
      <c r="BF204" s="36"/>
      <c r="BG204" s="36"/>
      <c r="BH204" s="36"/>
      <c r="BI204" s="36"/>
      <c r="BJ204" s="36"/>
      <c r="BK204" s="36"/>
      <c r="BL204" s="36"/>
      <c r="BM204" s="36"/>
      <c r="BN204" s="36"/>
      <c r="BO204" s="36"/>
      <c r="BP204" s="37"/>
      <c r="BQ204" s="44"/>
      <c r="BR204" s="36"/>
      <c r="BS204" s="36"/>
      <c r="BT204" s="36"/>
      <c r="BU204" s="36"/>
      <c r="BV204" s="36"/>
      <c r="BW204" s="36"/>
      <c r="BX204" s="36"/>
      <c r="BY204" s="36"/>
      <c r="BZ204" s="36"/>
      <c r="CA204" s="36"/>
      <c r="CB204" s="36"/>
      <c r="CC204" s="36"/>
      <c r="CD204" s="36"/>
      <c r="CE204" s="36"/>
      <c r="CF204" s="36"/>
      <c r="CG204" s="37"/>
      <c r="CH204" s="44"/>
      <c r="CI204" s="36"/>
      <c r="CJ204" s="36"/>
      <c r="CK204" s="36"/>
      <c r="CL204" s="36"/>
      <c r="CM204" s="36"/>
      <c r="CN204" s="36"/>
      <c r="CO204" s="36"/>
      <c r="CP204" s="36"/>
      <c r="CQ204" s="36"/>
      <c r="CR204" s="36"/>
      <c r="CS204" s="36"/>
      <c r="CT204" s="36"/>
      <c r="CU204" s="36"/>
      <c r="CV204" s="36"/>
      <c r="CW204" s="36"/>
      <c r="CX204" s="37"/>
      <c r="CY204" s="44"/>
      <c r="CZ204" s="36"/>
      <c r="DA204" s="36"/>
      <c r="DB204" s="36"/>
      <c r="DC204" s="36"/>
      <c r="DD204" s="36"/>
      <c r="DE204" s="36"/>
      <c r="DF204" s="36"/>
      <c r="DG204" s="36"/>
      <c r="DH204" s="36"/>
      <c r="DI204" s="36"/>
      <c r="DJ204" s="36"/>
      <c r="DK204" s="36"/>
      <c r="DL204" s="36"/>
      <c r="DM204" s="36"/>
      <c r="DN204" s="36"/>
      <c r="DO204" s="37"/>
      <c r="DP204" s="44"/>
      <c r="DQ204" s="36"/>
      <c r="DR204" s="36"/>
      <c r="DS204" s="36"/>
      <c r="DT204" s="36"/>
      <c r="DU204" s="36"/>
      <c r="DV204" s="36"/>
      <c r="DW204" s="36"/>
      <c r="DX204" s="36"/>
      <c r="DY204" s="36"/>
      <c r="DZ204" s="36"/>
      <c r="EA204" s="36"/>
      <c r="EB204" s="36"/>
      <c r="EC204" s="36"/>
      <c r="ED204" s="36"/>
      <c r="EE204" s="36"/>
      <c r="EF204" s="37"/>
      <c r="EG204" s="44"/>
      <c r="EH204" s="36"/>
      <c r="EI204" s="36"/>
      <c r="EJ204" s="36"/>
      <c r="EK204" s="36"/>
      <c r="EL204" s="36"/>
      <c r="EM204" s="36"/>
      <c r="EN204" s="36"/>
      <c r="EO204" s="36"/>
      <c r="EP204" s="36"/>
      <c r="EQ204" s="36"/>
      <c r="ER204" s="36"/>
      <c r="ES204" s="36"/>
      <c r="ET204" s="36"/>
      <c r="EU204" s="36"/>
      <c r="EV204" s="36"/>
      <c r="EW204" s="37"/>
      <c r="EX204" s="44"/>
      <c r="EY204" s="36"/>
      <c r="EZ204" s="36"/>
      <c r="FA204" s="36"/>
      <c r="FB204" s="36"/>
      <c r="FC204" s="36"/>
      <c r="FD204" s="36"/>
      <c r="FE204" s="36"/>
      <c r="FF204" s="36"/>
      <c r="FG204" s="36"/>
      <c r="FH204" s="36"/>
      <c r="FI204" s="36"/>
      <c r="FJ204" s="36"/>
      <c r="FK204" s="36"/>
      <c r="FL204" s="36"/>
      <c r="FM204" s="36"/>
      <c r="FN204" s="37"/>
      <c r="FO204" s="44"/>
      <c r="FP204" s="36"/>
      <c r="FQ204" s="36"/>
      <c r="FR204" s="36"/>
      <c r="FS204" s="36"/>
      <c r="FT204" s="36"/>
      <c r="FU204" s="36"/>
      <c r="FV204" s="36"/>
      <c r="FW204" s="36"/>
      <c r="FX204" s="36"/>
      <c r="FY204" s="36"/>
      <c r="FZ204" s="36"/>
      <c r="GA204" s="36"/>
      <c r="GB204" s="36"/>
      <c r="GC204" s="36"/>
      <c r="GD204" s="36"/>
      <c r="GE204" s="37"/>
      <c r="GF204" s="44"/>
      <c r="GG204" s="36"/>
      <c r="GH204" s="36"/>
      <c r="GI204" s="36"/>
      <c r="GJ204" s="36"/>
      <c r="GK204" s="36"/>
      <c r="GL204" s="36"/>
      <c r="GM204" s="36"/>
      <c r="GN204" s="36"/>
      <c r="GO204" s="36"/>
      <c r="GP204" s="36"/>
      <c r="GQ204" s="36"/>
      <c r="GR204" s="36"/>
      <c r="GS204" s="36"/>
      <c r="GT204" s="36"/>
      <c r="GU204" s="36"/>
      <c r="GV204" s="37"/>
      <c r="GW204" s="44"/>
      <c r="GX204" s="36"/>
      <c r="GY204" s="36"/>
      <c r="GZ204" s="36"/>
      <c r="HA204" s="36"/>
      <c r="HB204" s="36"/>
      <c r="HC204" s="36"/>
      <c r="HD204" s="36"/>
      <c r="HE204" s="36"/>
      <c r="HF204" s="36"/>
      <c r="HG204" s="36"/>
      <c r="HH204" s="36"/>
      <c r="HI204" s="36"/>
      <c r="HJ204" s="36"/>
      <c r="HK204" s="36"/>
      <c r="HL204" s="36"/>
      <c r="HM204" s="37"/>
      <c r="HN204" s="44"/>
      <c r="HO204" s="36"/>
      <c r="HP204" s="36"/>
      <c r="HQ204" s="36"/>
      <c r="HR204" s="36"/>
      <c r="HS204" s="36"/>
      <c r="HT204" s="36"/>
      <c r="HU204" s="36"/>
      <c r="HV204" s="36"/>
      <c r="HW204" s="36"/>
      <c r="HX204" s="36"/>
      <c r="HY204" s="36"/>
      <c r="HZ204" s="36"/>
      <c r="IA204" s="36"/>
      <c r="IB204" s="36"/>
      <c r="IC204" s="36"/>
      <c r="ID204" s="37"/>
      <c r="IE204" s="44"/>
      <c r="IF204" s="36"/>
      <c r="IG204" s="36"/>
      <c r="IH204" s="36"/>
      <c r="II204" s="36"/>
      <c r="IJ204" s="36"/>
      <c r="IK204" s="36"/>
      <c r="IL204" s="36"/>
      <c r="IM204" s="36"/>
      <c r="IN204" s="36"/>
      <c r="IO204" s="36"/>
      <c r="IP204" s="36"/>
      <c r="IQ204" s="36"/>
      <c r="IR204" s="36"/>
      <c r="IS204" s="36"/>
      <c r="IT204" s="36"/>
      <c r="IU204" s="37"/>
      <c r="IV204" s="44"/>
      <c r="IW204" s="36"/>
      <c r="IX204" s="36"/>
      <c r="IY204" s="36"/>
      <c r="IZ204" s="36"/>
      <c r="JA204" s="36"/>
      <c r="JB204" s="36"/>
      <c r="JC204" s="36"/>
      <c r="JD204" s="36"/>
      <c r="JE204" s="36"/>
      <c r="JF204" s="36"/>
      <c r="JG204" s="36"/>
      <c r="JH204" s="36"/>
      <c r="JI204" s="36"/>
      <c r="JJ204" s="36"/>
      <c r="JK204" s="36"/>
      <c r="JL204" s="37"/>
      <c r="JM204" s="44"/>
      <c r="JN204" s="36"/>
      <c r="JO204" s="36"/>
      <c r="JP204" s="36"/>
      <c r="JQ204" s="36"/>
      <c r="JR204" s="36"/>
      <c r="JS204" s="36"/>
      <c r="JT204" s="36"/>
      <c r="JU204" s="36"/>
      <c r="JV204" s="36"/>
      <c r="JW204" s="36"/>
      <c r="JX204" s="36"/>
      <c r="JY204" s="36"/>
      <c r="JZ204" s="36"/>
      <c r="KA204" s="36"/>
      <c r="KB204" s="36"/>
      <c r="KC204" s="37"/>
      <c r="KD204" s="44"/>
      <c r="KE204" s="36"/>
      <c r="KF204" s="36"/>
      <c r="KG204" s="36"/>
      <c r="KH204" s="36"/>
      <c r="KI204" s="36"/>
      <c r="KJ204" s="36"/>
      <c r="KK204" s="36"/>
      <c r="KL204" s="36"/>
      <c r="KM204" s="36"/>
      <c r="KN204" s="36"/>
      <c r="KO204" s="36"/>
      <c r="KP204" s="36"/>
      <c r="KQ204" s="36"/>
      <c r="KR204" s="36"/>
      <c r="KS204" s="36"/>
      <c r="KT204" s="37"/>
      <c r="KU204" s="36"/>
    </row>
    <row r="205" ht="15.0" customHeight="1">
      <c r="A205" s="44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7"/>
      <c r="R205" s="44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7"/>
      <c r="AI205" s="44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  <c r="AU205" s="36"/>
      <c r="AV205" s="36"/>
      <c r="AW205" s="36"/>
      <c r="AX205" s="36"/>
      <c r="AY205" s="37"/>
      <c r="AZ205" s="44"/>
      <c r="BA205" s="36"/>
      <c r="BB205" s="36"/>
      <c r="BC205" s="36"/>
      <c r="BD205" s="36"/>
      <c r="BE205" s="36"/>
      <c r="BF205" s="36"/>
      <c r="BG205" s="36"/>
      <c r="BH205" s="36"/>
      <c r="BI205" s="36"/>
      <c r="BJ205" s="36"/>
      <c r="BK205" s="36"/>
      <c r="BL205" s="36"/>
      <c r="BM205" s="36"/>
      <c r="BN205" s="36"/>
      <c r="BO205" s="36"/>
      <c r="BP205" s="37"/>
      <c r="BQ205" s="44"/>
      <c r="BR205" s="36"/>
      <c r="BS205" s="36"/>
      <c r="BT205" s="36"/>
      <c r="BU205" s="36"/>
      <c r="BV205" s="36"/>
      <c r="BW205" s="36"/>
      <c r="BX205" s="36"/>
      <c r="BY205" s="36"/>
      <c r="BZ205" s="36"/>
      <c r="CA205" s="36"/>
      <c r="CB205" s="36"/>
      <c r="CC205" s="36"/>
      <c r="CD205" s="36"/>
      <c r="CE205" s="36"/>
      <c r="CF205" s="36"/>
      <c r="CG205" s="37"/>
      <c r="CH205" s="44"/>
      <c r="CI205" s="36"/>
      <c r="CJ205" s="36"/>
      <c r="CK205" s="36"/>
      <c r="CL205" s="36"/>
      <c r="CM205" s="36"/>
      <c r="CN205" s="36"/>
      <c r="CO205" s="36"/>
      <c r="CP205" s="36"/>
      <c r="CQ205" s="36"/>
      <c r="CR205" s="36"/>
      <c r="CS205" s="36"/>
      <c r="CT205" s="36"/>
      <c r="CU205" s="36"/>
      <c r="CV205" s="36"/>
      <c r="CW205" s="36"/>
      <c r="CX205" s="37"/>
      <c r="CY205" s="44"/>
      <c r="CZ205" s="36"/>
      <c r="DA205" s="36"/>
      <c r="DB205" s="36"/>
      <c r="DC205" s="36"/>
      <c r="DD205" s="36"/>
      <c r="DE205" s="36"/>
      <c r="DF205" s="36"/>
      <c r="DG205" s="36"/>
      <c r="DH205" s="36"/>
      <c r="DI205" s="36"/>
      <c r="DJ205" s="36"/>
      <c r="DK205" s="36"/>
      <c r="DL205" s="36"/>
      <c r="DM205" s="36"/>
      <c r="DN205" s="36"/>
      <c r="DO205" s="37"/>
      <c r="DP205" s="44"/>
      <c r="DQ205" s="36"/>
      <c r="DR205" s="36"/>
      <c r="DS205" s="36"/>
      <c r="DT205" s="36"/>
      <c r="DU205" s="36"/>
      <c r="DV205" s="36"/>
      <c r="DW205" s="36"/>
      <c r="DX205" s="36"/>
      <c r="DY205" s="36"/>
      <c r="DZ205" s="36"/>
      <c r="EA205" s="36"/>
      <c r="EB205" s="36"/>
      <c r="EC205" s="36"/>
      <c r="ED205" s="36"/>
      <c r="EE205" s="36"/>
      <c r="EF205" s="37"/>
      <c r="EG205" s="44"/>
      <c r="EH205" s="36"/>
      <c r="EI205" s="36"/>
      <c r="EJ205" s="36"/>
      <c r="EK205" s="36"/>
      <c r="EL205" s="36"/>
      <c r="EM205" s="36"/>
      <c r="EN205" s="36"/>
      <c r="EO205" s="36"/>
      <c r="EP205" s="36"/>
      <c r="EQ205" s="36"/>
      <c r="ER205" s="36"/>
      <c r="ES205" s="36"/>
      <c r="ET205" s="36"/>
      <c r="EU205" s="36"/>
      <c r="EV205" s="36"/>
      <c r="EW205" s="37"/>
      <c r="EX205" s="44"/>
      <c r="EY205" s="36"/>
      <c r="EZ205" s="36"/>
      <c r="FA205" s="36"/>
      <c r="FB205" s="36"/>
      <c r="FC205" s="36"/>
      <c r="FD205" s="36"/>
      <c r="FE205" s="36"/>
      <c r="FF205" s="36"/>
      <c r="FG205" s="36"/>
      <c r="FH205" s="36"/>
      <c r="FI205" s="36"/>
      <c r="FJ205" s="36"/>
      <c r="FK205" s="36"/>
      <c r="FL205" s="36"/>
      <c r="FM205" s="36"/>
      <c r="FN205" s="37"/>
      <c r="FO205" s="44"/>
      <c r="FP205" s="36"/>
      <c r="FQ205" s="36"/>
      <c r="FR205" s="36"/>
      <c r="FS205" s="36"/>
      <c r="FT205" s="36"/>
      <c r="FU205" s="36"/>
      <c r="FV205" s="36"/>
      <c r="FW205" s="36"/>
      <c r="FX205" s="36"/>
      <c r="FY205" s="36"/>
      <c r="FZ205" s="36"/>
      <c r="GA205" s="36"/>
      <c r="GB205" s="36"/>
      <c r="GC205" s="36"/>
      <c r="GD205" s="36"/>
      <c r="GE205" s="37"/>
      <c r="GF205" s="44"/>
      <c r="GG205" s="36"/>
      <c r="GH205" s="36"/>
      <c r="GI205" s="36"/>
      <c r="GJ205" s="36"/>
      <c r="GK205" s="36"/>
      <c r="GL205" s="36"/>
      <c r="GM205" s="36"/>
      <c r="GN205" s="36"/>
      <c r="GO205" s="36"/>
      <c r="GP205" s="36"/>
      <c r="GQ205" s="36"/>
      <c r="GR205" s="36"/>
      <c r="GS205" s="36"/>
      <c r="GT205" s="36"/>
      <c r="GU205" s="36"/>
      <c r="GV205" s="37"/>
      <c r="GW205" s="44"/>
      <c r="GX205" s="36"/>
      <c r="GY205" s="36"/>
      <c r="GZ205" s="36"/>
      <c r="HA205" s="36"/>
      <c r="HB205" s="36"/>
      <c r="HC205" s="36"/>
      <c r="HD205" s="36"/>
      <c r="HE205" s="36"/>
      <c r="HF205" s="36"/>
      <c r="HG205" s="36"/>
      <c r="HH205" s="36"/>
      <c r="HI205" s="36"/>
      <c r="HJ205" s="36"/>
      <c r="HK205" s="36"/>
      <c r="HL205" s="36"/>
      <c r="HM205" s="37"/>
      <c r="HN205" s="44"/>
      <c r="HO205" s="36"/>
      <c r="HP205" s="36"/>
      <c r="HQ205" s="36"/>
      <c r="HR205" s="36"/>
      <c r="HS205" s="36"/>
      <c r="HT205" s="36"/>
      <c r="HU205" s="36"/>
      <c r="HV205" s="36"/>
      <c r="HW205" s="36"/>
      <c r="HX205" s="36"/>
      <c r="HY205" s="36"/>
      <c r="HZ205" s="36"/>
      <c r="IA205" s="36"/>
      <c r="IB205" s="36"/>
      <c r="IC205" s="36"/>
      <c r="ID205" s="37"/>
      <c r="IE205" s="44"/>
      <c r="IF205" s="36"/>
      <c r="IG205" s="36"/>
      <c r="IH205" s="36"/>
      <c r="II205" s="36"/>
      <c r="IJ205" s="36"/>
      <c r="IK205" s="36"/>
      <c r="IL205" s="36"/>
      <c r="IM205" s="36"/>
      <c r="IN205" s="36"/>
      <c r="IO205" s="36"/>
      <c r="IP205" s="36"/>
      <c r="IQ205" s="36"/>
      <c r="IR205" s="36"/>
      <c r="IS205" s="36"/>
      <c r="IT205" s="36"/>
      <c r="IU205" s="37"/>
      <c r="IV205" s="44"/>
      <c r="IW205" s="36"/>
      <c r="IX205" s="36"/>
      <c r="IY205" s="36"/>
      <c r="IZ205" s="36"/>
      <c r="JA205" s="36"/>
      <c r="JB205" s="36"/>
      <c r="JC205" s="36"/>
      <c r="JD205" s="36"/>
      <c r="JE205" s="36"/>
      <c r="JF205" s="36"/>
      <c r="JG205" s="36"/>
      <c r="JH205" s="36"/>
      <c r="JI205" s="36"/>
      <c r="JJ205" s="36"/>
      <c r="JK205" s="36"/>
      <c r="JL205" s="37"/>
      <c r="JM205" s="44"/>
      <c r="JN205" s="36"/>
      <c r="JO205" s="36"/>
      <c r="JP205" s="36"/>
      <c r="JQ205" s="36"/>
      <c r="JR205" s="36"/>
      <c r="JS205" s="36"/>
      <c r="JT205" s="36"/>
      <c r="JU205" s="36"/>
      <c r="JV205" s="36"/>
      <c r="JW205" s="36"/>
      <c r="JX205" s="36"/>
      <c r="JY205" s="36"/>
      <c r="JZ205" s="36"/>
      <c r="KA205" s="36"/>
      <c r="KB205" s="36"/>
      <c r="KC205" s="37"/>
      <c r="KD205" s="44"/>
      <c r="KE205" s="36"/>
      <c r="KF205" s="36"/>
      <c r="KG205" s="36"/>
      <c r="KH205" s="36"/>
      <c r="KI205" s="36"/>
      <c r="KJ205" s="36"/>
      <c r="KK205" s="36"/>
      <c r="KL205" s="36"/>
      <c r="KM205" s="36"/>
      <c r="KN205" s="36"/>
      <c r="KO205" s="36"/>
      <c r="KP205" s="36"/>
      <c r="KQ205" s="36"/>
      <c r="KR205" s="36"/>
      <c r="KS205" s="36"/>
      <c r="KT205" s="37"/>
      <c r="KU205" s="36"/>
    </row>
    <row r="206" ht="15.0" customHeight="1">
      <c r="A206" s="44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7"/>
      <c r="R206" s="44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7"/>
      <c r="AI206" s="44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  <c r="AU206" s="36"/>
      <c r="AV206" s="36"/>
      <c r="AW206" s="36"/>
      <c r="AX206" s="36"/>
      <c r="AY206" s="37"/>
      <c r="AZ206" s="44"/>
      <c r="BA206" s="36"/>
      <c r="BB206" s="36"/>
      <c r="BC206" s="36"/>
      <c r="BD206" s="36"/>
      <c r="BE206" s="36"/>
      <c r="BF206" s="36"/>
      <c r="BG206" s="36"/>
      <c r="BH206" s="36"/>
      <c r="BI206" s="36"/>
      <c r="BJ206" s="36"/>
      <c r="BK206" s="36"/>
      <c r="BL206" s="36"/>
      <c r="BM206" s="36"/>
      <c r="BN206" s="36"/>
      <c r="BO206" s="36"/>
      <c r="BP206" s="37"/>
      <c r="BQ206" s="44"/>
      <c r="BR206" s="36"/>
      <c r="BS206" s="36"/>
      <c r="BT206" s="36"/>
      <c r="BU206" s="36"/>
      <c r="BV206" s="36"/>
      <c r="BW206" s="36"/>
      <c r="BX206" s="36"/>
      <c r="BY206" s="36"/>
      <c r="BZ206" s="36"/>
      <c r="CA206" s="36"/>
      <c r="CB206" s="36"/>
      <c r="CC206" s="36"/>
      <c r="CD206" s="36"/>
      <c r="CE206" s="36"/>
      <c r="CF206" s="36"/>
      <c r="CG206" s="37"/>
      <c r="CH206" s="44"/>
      <c r="CI206" s="36"/>
      <c r="CJ206" s="36"/>
      <c r="CK206" s="36"/>
      <c r="CL206" s="36"/>
      <c r="CM206" s="36"/>
      <c r="CN206" s="36"/>
      <c r="CO206" s="36"/>
      <c r="CP206" s="36"/>
      <c r="CQ206" s="36"/>
      <c r="CR206" s="36"/>
      <c r="CS206" s="36"/>
      <c r="CT206" s="36"/>
      <c r="CU206" s="36"/>
      <c r="CV206" s="36"/>
      <c r="CW206" s="36"/>
      <c r="CX206" s="37"/>
      <c r="CY206" s="44"/>
      <c r="CZ206" s="36"/>
      <c r="DA206" s="36"/>
      <c r="DB206" s="36"/>
      <c r="DC206" s="36"/>
      <c r="DD206" s="36"/>
      <c r="DE206" s="36"/>
      <c r="DF206" s="36"/>
      <c r="DG206" s="36"/>
      <c r="DH206" s="36"/>
      <c r="DI206" s="36"/>
      <c r="DJ206" s="36"/>
      <c r="DK206" s="36"/>
      <c r="DL206" s="36"/>
      <c r="DM206" s="36"/>
      <c r="DN206" s="36"/>
      <c r="DO206" s="37"/>
      <c r="DP206" s="44"/>
      <c r="DQ206" s="36"/>
      <c r="DR206" s="36"/>
      <c r="DS206" s="36"/>
      <c r="DT206" s="36"/>
      <c r="DU206" s="36"/>
      <c r="DV206" s="36"/>
      <c r="DW206" s="36"/>
      <c r="DX206" s="36"/>
      <c r="DY206" s="36"/>
      <c r="DZ206" s="36"/>
      <c r="EA206" s="36"/>
      <c r="EB206" s="36"/>
      <c r="EC206" s="36"/>
      <c r="ED206" s="36"/>
      <c r="EE206" s="36"/>
      <c r="EF206" s="37"/>
      <c r="EG206" s="44"/>
      <c r="EH206" s="36"/>
      <c r="EI206" s="36"/>
      <c r="EJ206" s="36"/>
      <c r="EK206" s="36"/>
      <c r="EL206" s="36"/>
      <c r="EM206" s="36"/>
      <c r="EN206" s="36"/>
      <c r="EO206" s="36"/>
      <c r="EP206" s="36"/>
      <c r="EQ206" s="36"/>
      <c r="ER206" s="36"/>
      <c r="ES206" s="36"/>
      <c r="ET206" s="36"/>
      <c r="EU206" s="36"/>
      <c r="EV206" s="36"/>
      <c r="EW206" s="37"/>
      <c r="EX206" s="44"/>
      <c r="EY206" s="36"/>
      <c r="EZ206" s="36"/>
      <c r="FA206" s="36"/>
      <c r="FB206" s="36"/>
      <c r="FC206" s="36"/>
      <c r="FD206" s="36"/>
      <c r="FE206" s="36"/>
      <c r="FF206" s="36"/>
      <c r="FG206" s="36"/>
      <c r="FH206" s="36"/>
      <c r="FI206" s="36"/>
      <c r="FJ206" s="36"/>
      <c r="FK206" s="36"/>
      <c r="FL206" s="36"/>
      <c r="FM206" s="36"/>
      <c r="FN206" s="37"/>
      <c r="FO206" s="44"/>
      <c r="FP206" s="36"/>
      <c r="FQ206" s="36"/>
      <c r="FR206" s="36"/>
      <c r="FS206" s="36"/>
      <c r="FT206" s="36"/>
      <c r="FU206" s="36"/>
      <c r="FV206" s="36"/>
      <c r="FW206" s="36"/>
      <c r="FX206" s="36"/>
      <c r="FY206" s="36"/>
      <c r="FZ206" s="36"/>
      <c r="GA206" s="36"/>
      <c r="GB206" s="36"/>
      <c r="GC206" s="36"/>
      <c r="GD206" s="36"/>
      <c r="GE206" s="37"/>
      <c r="GF206" s="44"/>
      <c r="GG206" s="36"/>
      <c r="GH206" s="36"/>
      <c r="GI206" s="36"/>
      <c r="GJ206" s="36"/>
      <c r="GK206" s="36"/>
      <c r="GL206" s="36"/>
      <c r="GM206" s="36"/>
      <c r="GN206" s="36"/>
      <c r="GO206" s="36"/>
      <c r="GP206" s="36"/>
      <c r="GQ206" s="36"/>
      <c r="GR206" s="36"/>
      <c r="GS206" s="36"/>
      <c r="GT206" s="36"/>
      <c r="GU206" s="36"/>
      <c r="GV206" s="37"/>
      <c r="GW206" s="44"/>
      <c r="GX206" s="36"/>
      <c r="GY206" s="36"/>
      <c r="GZ206" s="36"/>
      <c r="HA206" s="36"/>
      <c r="HB206" s="36"/>
      <c r="HC206" s="36"/>
      <c r="HD206" s="36"/>
      <c r="HE206" s="36"/>
      <c r="HF206" s="36"/>
      <c r="HG206" s="36"/>
      <c r="HH206" s="36"/>
      <c r="HI206" s="36"/>
      <c r="HJ206" s="36"/>
      <c r="HK206" s="36"/>
      <c r="HL206" s="36"/>
      <c r="HM206" s="37"/>
      <c r="HN206" s="44"/>
      <c r="HO206" s="36"/>
      <c r="HP206" s="36"/>
      <c r="HQ206" s="36"/>
      <c r="HR206" s="36"/>
      <c r="HS206" s="36"/>
      <c r="HT206" s="36"/>
      <c r="HU206" s="36"/>
      <c r="HV206" s="36"/>
      <c r="HW206" s="36"/>
      <c r="HX206" s="36"/>
      <c r="HY206" s="36"/>
      <c r="HZ206" s="36"/>
      <c r="IA206" s="36"/>
      <c r="IB206" s="36"/>
      <c r="IC206" s="36"/>
      <c r="ID206" s="37"/>
      <c r="IE206" s="44"/>
      <c r="IF206" s="36"/>
      <c r="IG206" s="36"/>
      <c r="IH206" s="36"/>
      <c r="II206" s="36"/>
      <c r="IJ206" s="36"/>
      <c r="IK206" s="36"/>
      <c r="IL206" s="36"/>
      <c r="IM206" s="36"/>
      <c r="IN206" s="36"/>
      <c r="IO206" s="36"/>
      <c r="IP206" s="36"/>
      <c r="IQ206" s="36"/>
      <c r="IR206" s="36"/>
      <c r="IS206" s="36"/>
      <c r="IT206" s="36"/>
      <c r="IU206" s="37"/>
      <c r="IV206" s="44"/>
      <c r="IW206" s="36"/>
      <c r="IX206" s="36"/>
      <c r="IY206" s="36"/>
      <c r="IZ206" s="36"/>
      <c r="JA206" s="36"/>
      <c r="JB206" s="36"/>
      <c r="JC206" s="36"/>
      <c r="JD206" s="36"/>
      <c r="JE206" s="36"/>
      <c r="JF206" s="36"/>
      <c r="JG206" s="36"/>
      <c r="JH206" s="36"/>
      <c r="JI206" s="36"/>
      <c r="JJ206" s="36"/>
      <c r="JK206" s="36"/>
      <c r="JL206" s="37"/>
      <c r="JM206" s="44"/>
      <c r="JN206" s="36"/>
      <c r="JO206" s="36"/>
      <c r="JP206" s="36"/>
      <c r="JQ206" s="36"/>
      <c r="JR206" s="36"/>
      <c r="JS206" s="36"/>
      <c r="JT206" s="36"/>
      <c r="JU206" s="36"/>
      <c r="JV206" s="36"/>
      <c r="JW206" s="36"/>
      <c r="JX206" s="36"/>
      <c r="JY206" s="36"/>
      <c r="JZ206" s="36"/>
      <c r="KA206" s="36"/>
      <c r="KB206" s="36"/>
      <c r="KC206" s="37"/>
      <c r="KD206" s="44"/>
      <c r="KE206" s="36"/>
      <c r="KF206" s="36"/>
      <c r="KG206" s="36"/>
      <c r="KH206" s="36"/>
      <c r="KI206" s="36"/>
      <c r="KJ206" s="36"/>
      <c r="KK206" s="36"/>
      <c r="KL206" s="36"/>
      <c r="KM206" s="36"/>
      <c r="KN206" s="36"/>
      <c r="KO206" s="36"/>
      <c r="KP206" s="36"/>
      <c r="KQ206" s="36"/>
      <c r="KR206" s="36"/>
      <c r="KS206" s="36"/>
      <c r="KT206" s="37"/>
      <c r="KU206" s="36"/>
    </row>
    <row r="207" ht="15.0" customHeight="1">
      <c r="A207" s="44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7"/>
      <c r="R207" s="44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7"/>
      <c r="AI207" s="44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  <c r="AU207" s="36"/>
      <c r="AV207" s="36"/>
      <c r="AW207" s="36"/>
      <c r="AX207" s="36"/>
      <c r="AY207" s="37"/>
      <c r="AZ207" s="44"/>
      <c r="BA207" s="36"/>
      <c r="BB207" s="36"/>
      <c r="BC207" s="36"/>
      <c r="BD207" s="36"/>
      <c r="BE207" s="36"/>
      <c r="BF207" s="36"/>
      <c r="BG207" s="36"/>
      <c r="BH207" s="36"/>
      <c r="BI207" s="36"/>
      <c r="BJ207" s="36"/>
      <c r="BK207" s="36"/>
      <c r="BL207" s="36"/>
      <c r="BM207" s="36"/>
      <c r="BN207" s="36"/>
      <c r="BO207" s="36"/>
      <c r="BP207" s="37"/>
      <c r="BQ207" s="44"/>
      <c r="BR207" s="36"/>
      <c r="BS207" s="36"/>
      <c r="BT207" s="36"/>
      <c r="BU207" s="36"/>
      <c r="BV207" s="36"/>
      <c r="BW207" s="36"/>
      <c r="BX207" s="36"/>
      <c r="BY207" s="36"/>
      <c r="BZ207" s="36"/>
      <c r="CA207" s="36"/>
      <c r="CB207" s="36"/>
      <c r="CC207" s="36"/>
      <c r="CD207" s="36"/>
      <c r="CE207" s="36"/>
      <c r="CF207" s="36"/>
      <c r="CG207" s="37"/>
      <c r="CH207" s="44"/>
      <c r="CI207" s="36"/>
      <c r="CJ207" s="36"/>
      <c r="CK207" s="36"/>
      <c r="CL207" s="36"/>
      <c r="CM207" s="36"/>
      <c r="CN207" s="36"/>
      <c r="CO207" s="36"/>
      <c r="CP207" s="36"/>
      <c r="CQ207" s="36"/>
      <c r="CR207" s="36"/>
      <c r="CS207" s="36"/>
      <c r="CT207" s="36"/>
      <c r="CU207" s="36"/>
      <c r="CV207" s="36"/>
      <c r="CW207" s="36"/>
      <c r="CX207" s="37"/>
      <c r="CY207" s="44"/>
      <c r="CZ207" s="36"/>
      <c r="DA207" s="36"/>
      <c r="DB207" s="36"/>
      <c r="DC207" s="36"/>
      <c r="DD207" s="36"/>
      <c r="DE207" s="36"/>
      <c r="DF207" s="36"/>
      <c r="DG207" s="36"/>
      <c r="DH207" s="36"/>
      <c r="DI207" s="36"/>
      <c r="DJ207" s="36"/>
      <c r="DK207" s="36"/>
      <c r="DL207" s="36"/>
      <c r="DM207" s="36"/>
      <c r="DN207" s="36"/>
      <c r="DO207" s="37"/>
      <c r="DP207" s="44"/>
      <c r="DQ207" s="36"/>
      <c r="DR207" s="36"/>
      <c r="DS207" s="36"/>
      <c r="DT207" s="36"/>
      <c r="DU207" s="36"/>
      <c r="DV207" s="36"/>
      <c r="DW207" s="36"/>
      <c r="DX207" s="36"/>
      <c r="DY207" s="36"/>
      <c r="DZ207" s="36"/>
      <c r="EA207" s="36"/>
      <c r="EB207" s="36"/>
      <c r="EC207" s="36"/>
      <c r="ED207" s="36"/>
      <c r="EE207" s="36"/>
      <c r="EF207" s="37"/>
      <c r="EG207" s="44"/>
      <c r="EH207" s="36"/>
      <c r="EI207" s="36"/>
      <c r="EJ207" s="36"/>
      <c r="EK207" s="36"/>
      <c r="EL207" s="36"/>
      <c r="EM207" s="36"/>
      <c r="EN207" s="36"/>
      <c r="EO207" s="36"/>
      <c r="EP207" s="36"/>
      <c r="EQ207" s="36"/>
      <c r="ER207" s="36"/>
      <c r="ES207" s="36"/>
      <c r="ET207" s="36"/>
      <c r="EU207" s="36"/>
      <c r="EV207" s="36"/>
      <c r="EW207" s="37"/>
      <c r="EX207" s="44"/>
      <c r="EY207" s="36"/>
      <c r="EZ207" s="36"/>
      <c r="FA207" s="36"/>
      <c r="FB207" s="36"/>
      <c r="FC207" s="36"/>
      <c r="FD207" s="36"/>
      <c r="FE207" s="36"/>
      <c r="FF207" s="36"/>
      <c r="FG207" s="36"/>
      <c r="FH207" s="36"/>
      <c r="FI207" s="36"/>
      <c r="FJ207" s="36"/>
      <c r="FK207" s="36"/>
      <c r="FL207" s="36"/>
      <c r="FM207" s="36"/>
      <c r="FN207" s="37"/>
      <c r="FO207" s="44"/>
      <c r="FP207" s="36"/>
      <c r="FQ207" s="36"/>
      <c r="FR207" s="36"/>
      <c r="FS207" s="36"/>
      <c r="FT207" s="36"/>
      <c r="FU207" s="36"/>
      <c r="FV207" s="36"/>
      <c r="FW207" s="36"/>
      <c r="FX207" s="36"/>
      <c r="FY207" s="36"/>
      <c r="FZ207" s="36"/>
      <c r="GA207" s="36"/>
      <c r="GB207" s="36"/>
      <c r="GC207" s="36"/>
      <c r="GD207" s="36"/>
      <c r="GE207" s="37"/>
      <c r="GF207" s="44"/>
      <c r="GG207" s="36"/>
      <c r="GH207" s="36"/>
      <c r="GI207" s="36"/>
      <c r="GJ207" s="36"/>
      <c r="GK207" s="36"/>
      <c r="GL207" s="36"/>
      <c r="GM207" s="36"/>
      <c r="GN207" s="36"/>
      <c r="GO207" s="36"/>
      <c r="GP207" s="36"/>
      <c r="GQ207" s="36"/>
      <c r="GR207" s="36"/>
      <c r="GS207" s="36"/>
      <c r="GT207" s="36"/>
      <c r="GU207" s="36"/>
      <c r="GV207" s="37"/>
      <c r="GW207" s="44"/>
      <c r="GX207" s="36"/>
      <c r="GY207" s="36"/>
      <c r="GZ207" s="36"/>
      <c r="HA207" s="36"/>
      <c r="HB207" s="36"/>
      <c r="HC207" s="36"/>
      <c r="HD207" s="36"/>
      <c r="HE207" s="36"/>
      <c r="HF207" s="36"/>
      <c r="HG207" s="36"/>
      <c r="HH207" s="36"/>
      <c r="HI207" s="36"/>
      <c r="HJ207" s="36"/>
      <c r="HK207" s="36"/>
      <c r="HL207" s="36"/>
      <c r="HM207" s="37"/>
      <c r="HN207" s="44"/>
      <c r="HO207" s="36"/>
      <c r="HP207" s="36"/>
      <c r="HQ207" s="36"/>
      <c r="HR207" s="36"/>
      <c r="HS207" s="36"/>
      <c r="HT207" s="36"/>
      <c r="HU207" s="36"/>
      <c r="HV207" s="36"/>
      <c r="HW207" s="36"/>
      <c r="HX207" s="36"/>
      <c r="HY207" s="36"/>
      <c r="HZ207" s="36"/>
      <c r="IA207" s="36"/>
      <c r="IB207" s="36"/>
      <c r="IC207" s="36"/>
      <c r="ID207" s="37"/>
      <c r="IE207" s="44"/>
      <c r="IF207" s="36"/>
      <c r="IG207" s="36"/>
      <c r="IH207" s="36"/>
      <c r="II207" s="36"/>
      <c r="IJ207" s="36"/>
      <c r="IK207" s="36"/>
      <c r="IL207" s="36"/>
      <c r="IM207" s="36"/>
      <c r="IN207" s="36"/>
      <c r="IO207" s="36"/>
      <c r="IP207" s="36"/>
      <c r="IQ207" s="36"/>
      <c r="IR207" s="36"/>
      <c r="IS207" s="36"/>
      <c r="IT207" s="36"/>
      <c r="IU207" s="37"/>
      <c r="IV207" s="44"/>
      <c r="IW207" s="36"/>
      <c r="IX207" s="36"/>
      <c r="IY207" s="36"/>
      <c r="IZ207" s="36"/>
      <c r="JA207" s="36"/>
      <c r="JB207" s="36"/>
      <c r="JC207" s="36"/>
      <c r="JD207" s="36"/>
      <c r="JE207" s="36"/>
      <c r="JF207" s="36"/>
      <c r="JG207" s="36"/>
      <c r="JH207" s="36"/>
      <c r="JI207" s="36"/>
      <c r="JJ207" s="36"/>
      <c r="JK207" s="36"/>
      <c r="JL207" s="37"/>
      <c r="JM207" s="44"/>
      <c r="JN207" s="36"/>
      <c r="JO207" s="36"/>
      <c r="JP207" s="36"/>
      <c r="JQ207" s="36"/>
      <c r="JR207" s="36"/>
      <c r="JS207" s="36"/>
      <c r="JT207" s="36"/>
      <c r="JU207" s="36"/>
      <c r="JV207" s="36"/>
      <c r="JW207" s="36"/>
      <c r="JX207" s="36"/>
      <c r="JY207" s="36"/>
      <c r="JZ207" s="36"/>
      <c r="KA207" s="36"/>
      <c r="KB207" s="36"/>
      <c r="KC207" s="37"/>
      <c r="KD207" s="44"/>
      <c r="KE207" s="36"/>
      <c r="KF207" s="36"/>
      <c r="KG207" s="36"/>
      <c r="KH207" s="36"/>
      <c r="KI207" s="36"/>
      <c r="KJ207" s="36"/>
      <c r="KK207" s="36"/>
      <c r="KL207" s="36"/>
      <c r="KM207" s="36"/>
      <c r="KN207" s="36"/>
      <c r="KO207" s="36"/>
      <c r="KP207" s="36"/>
      <c r="KQ207" s="36"/>
      <c r="KR207" s="36"/>
      <c r="KS207" s="36"/>
      <c r="KT207" s="37"/>
      <c r="KU207" s="36"/>
    </row>
    <row r="208" ht="15.0" customHeight="1">
      <c r="A208" s="44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7"/>
      <c r="R208" s="44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7"/>
      <c r="AI208" s="44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  <c r="AU208" s="36"/>
      <c r="AV208" s="36"/>
      <c r="AW208" s="36"/>
      <c r="AX208" s="36"/>
      <c r="AY208" s="37"/>
      <c r="AZ208" s="44"/>
      <c r="BA208" s="36"/>
      <c r="BB208" s="36"/>
      <c r="BC208" s="36"/>
      <c r="BD208" s="36"/>
      <c r="BE208" s="36"/>
      <c r="BF208" s="36"/>
      <c r="BG208" s="36"/>
      <c r="BH208" s="36"/>
      <c r="BI208" s="36"/>
      <c r="BJ208" s="36"/>
      <c r="BK208" s="36"/>
      <c r="BL208" s="36"/>
      <c r="BM208" s="36"/>
      <c r="BN208" s="36"/>
      <c r="BO208" s="36"/>
      <c r="BP208" s="37"/>
      <c r="BQ208" s="44"/>
      <c r="BR208" s="36"/>
      <c r="BS208" s="36"/>
      <c r="BT208" s="36"/>
      <c r="BU208" s="36"/>
      <c r="BV208" s="36"/>
      <c r="BW208" s="36"/>
      <c r="BX208" s="36"/>
      <c r="BY208" s="36"/>
      <c r="BZ208" s="36"/>
      <c r="CA208" s="36"/>
      <c r="CB208" s="36"/>
      <c r="CC208" s="36"/>
      <c r="CD208" s="36"/>
      <c r="CE208" s="36"/>
      <c r="CF208" s="36"/>
      <c r="CG208" s="37"/>
      <c r="CH208" s="44"/>
      <c r="CI208" s="36"/>
      <c r="CJ208" s="36"/>
      <c r="CK208" s="36"/>
      <c r="CL208" s="36"/>
      <c r="CM208" s="36"/>
      <c r="CN208" s="36"/>
      <c r="CO208" s="36"/>
      <c r="CP208" s="36"/>
      <c r="CQ208" s="36"/>
      <c r="CR208" s="36"/>
      <c r="CS208" s="36"/>
      <c r="CT208" s="36"/>
      <c r="CU208" s="36"/>
      <c r="CV208" s="36"/>
      <c r="CW208" s="36"/>
      <c r="CX208" s="37"/>
      <c r="CY208" s="44"/>
      <c r="CZ208" s="36"/>
      <c r="DA208" s="36"/>
      <c r="DB208" s="36"/>
      <c r="DC208" s="36"/>
      <c r="DD208" s="36"/>
      <c r="DE208" s="36"/>
      <c r="DF208" s="36"/>
      <c r="DG208" s="36"/>
      <c r="DH208" s="36"/>
      <c r="DI208" s="36"/>
      <c r="DJ208" s="36"/>
      <c r="DK208" s="36"/>
      <c r="DL208" s="36"/>
      <c r="DM208" s="36"/>
      <c r="DN208" s="36"/>
      <c r="DO208" s="37"/>
      <c r="DP208" s="44"/>
      <c r="DQ208" s="36"/>
      <c r="DR208" s="36"/>
      <c r="DS208" s="36"/>
      <c r="DT208" s="36"/>
      <c r="DU208" s="36"/>
      <c r="DV208" s="36"/>
      <c r="DW208" s="36"/>
      <c r="DX208" s="36"/>
      <c r="DY208" s="36"/>
      <c r="DZ208" s="36"/>
      <c r="EA208" s="36"/>
      <c r="EB208" s="36"/>
      <c r="EC208" s="36"/>
      <c r="ED208" s="36"/>
      <c r="EE208" s="36"/>
      <c r="EF208" s="37"/>
      <c r="EG208" s="44"/>
      <c r="EH208" s="36"/>
      <c r="EI208" s="36"/>
      <c r="EJ208" s="36"/>
      <c r="EK208" s="36"/>
      <c r="EL208" s="36"/>
      <c r="EM208" s="36"/>
      <c r="EN208" s="36"/>
      <c r="EO208" s="36"/>
      <c r="EP208" s="36"/>
      <c r="EQ208" s="36"/>
      <c r="ER208" s="36"/>
      <c r="ES208" s="36"/>
      <c r="ET208" s="36"/>
      <c r="EU208" s="36"/>
      <c r="EV208" s="36"/>
      <c r="EW208" s="37"/>
      <c r="EX208" s="44"/>
      <c r="EY208" s="36"/>
      <c r="EZ208" s="36"/>
      <c r="FA208" s="36"/>
      <c r="FB208" s="36"/>
      <c r="FC208" s="36"/>
      <c r="FD208" s="36"/>
      <c r="FE208" s="36"/>
      <c r="FF208" s="36"/>
      <c r="FG208" s="36"/>
      <c r="FH208" s="36"/>
      <c r="FI208" s="36"/>
      <c r="FJ208" s="36"/>
      <c r="FK208" s="36"/>
      <c r="FL208" s="36"/>
      <c r="FM208" s="36"/>
      <c r="FN208" s="37"/>
      <c r="FO208" s="44"/>
      <c r="FP208" s="36"/>
      <c r="FQ208" s="36"/>
      <c r="FR208" s="36"/>
      <c r="FS208" s="36"/>
      <c r="FT208" s="36"/>
      <c r="FU208" s="36"/>
      <c r="FV208" s="36"/>
      <c r="FW208" s="36"/>
      <c r="FX208" s="36"/>
      <c r="FY208" s="36"/>
      <c r="FZ208" s="36"/>
      <c r="GA208" s="36"/>
      <c r="GB208" s="36"/>
      <c r="GC208" s="36"/>
      <c r="GD208" s="36"/>
      <c r="GE208" s="37"/>
      <c r="GF208" s="44"/>
      <c r="GG208" s="36"/>
      <c r="GH208" s="36"/>
      <c r="GI208" s="36"/>
      <c r="GJ208" s="36"/>
      <c r="GK208" s="36"/>
      <c r="GL208" s="36"/>
      <c r="GM208" s="36"/>
      <c r="GN208" s="36"/>
      <c r="GO208" s="36"/>
      <c r="GP208" s="36"/>
      <c r="GQ208" s="36"/>
      <c r="GR208" s="36"/>
      <c r="GS208" s="36"/>
      <c r="GT208" s="36"/>
      <c r="GU208" s="36"/>
      <c r="GV208" s="37"/>
      <c r="GW208" s="44"/>
      <c r="GX208" s="36"/>
      <c r="GY208" s="36"/>
      <c r="GZ208" s="36"/>
      <c r="HA208" s="36"/>
      <c r="HB208" s="36"/>
      <c r="HC208" s="36"/>
      <c r="HD208" s="36"/>
      <c r="HE208" s="36"/>
      <c r="HF208" s="36"/>
      <c r="HG208" s="36"/>
      <c r="HH208" s="36"/>
      <c r="HI208" s="36"/>
      <c r="HJ208" s="36"/>
      <c r="HK208" s="36"/>
      <c r="HL208" s="36"/>
      <c r="HM208" s="37"/>
      <c r="HN208" s="44"/>
      <c r="HO208" s="36"/>
      <c r="HP208" s="36"/>
      <c r="HQ208" s="36"/>
      <c r="HR208" s="36"/>
      <c r="HS208" s="36"/>
      <c r="HT208" s="36"/>
      <c r="HU208" s="36"/>
      <c r="HV208" s="36"/>
      <c r="HW208" s="36"/>
      <c r="HX208" s="36"/>
      <c r="HY208" s="36"/>
      <c r="HZ208" s="36"/>
      <c r="IA208" s="36"/>
      <c r="IB208" s="36"/>
      <c r="IC208" s="36"/>
      <c r="ID208" s="37"/>
      <c r="IE208" s="44"/>
      <c r="IF208" s="36"/>
      <c r="IG208" s="36"/>
      <c r="IH208" s="36"/>
      <c r="II208" s="36"/>
      <c r="IJ208" s="36"/>
      <c r="IK208" s="36"/>
      <c r="IL208" s="36"/>
      <c r="IM208" s="36"/>
      <c r="IN208" s="36"/>
      <c r="IO208" s="36"/>
      <c r="IP208" s="36"/>
      <c r="IQ208" s="36"/>
      <c r="IR208" s="36"/>
      <c r="IS208" s="36"/>
      <c r="IT208" s="36"/>
      <c r="IU208" s="37"/>
      <c r="IV208" s="44"/>
      <c r="IW208" s="36"/>
      <c r="IX208" s="36"/>
      <c r="IY208" s="36"/>
      <c r="IZ208" s="36"/>
      <c r="JA208" s="36"/>
      <c r="JB208" s="36"/>
      <c r="JC208" s="36"/>
      <c r="JD208" s="36"/>
      <c r="JE208" s="36"/>
      <c r="JF208" s="36"/>
      <c r="JG208" s="36"/>
      <c r="JH208" s="36"/>
      <c r="JI208" s="36"/>
      <c r="JJ208" s="36"/>
      <c r="JK208" s="36"/>
      <c r="JL208" s="37"/>
      <c r="JM208" s="44"/>
      <c r="JN208" s="36"/>
      <c r="JO208" s="36"/>
      <c r="JP208" s="36"/>
      <c r="JQ208" s="36"/>
      <c r="JR208" s="36"/>
      <c r="JS208" s="36"/>
      <c r="JT208" s="36"/>
      <c r="JU208" s="36"/>
      <c r="JV208" s="36"/>
      <c r="JW208" s="36"/>
      <c r="JX208" s="36"/>
      <c r="JY208" s="36"/>
      <c r="JZ208" s="36"/>
      <c r="KA208" s="36"/>
      <c r="KB208" s="36"/>
      <c r="KC208" s="37"/>
      <c r="KD208" s="44"/>
      <c r="KE208" s="36"/>
      <c r="KF208" s="36"/>
      <c r="KG208" s="36"/>
      <c r="KH208" s="36"/>
      <c r="KI208" s="36"/>
      <c r="KJ208" s="36"/>
      <c r="KK208" s="36"/>
      <c r="KL208" s="36"/>
      <c r="KM208" s="36"/>
      <c r="KN208" s="36"/>
      <c r="KO208" s="36"/>
      <c r="KP208" s="36"/>
      <c r="KQ208" s="36"/>
      <c r="KR208" s="36"/>
      <c r="KS208" s="36"/>
      <c r="KT208" s="37"/>
      <c r="KU208" s="36"/>
    </row>
    <row r="209" ht="15.0" customHeight="1">
      <c r="A209" s="44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7"/>
      <c r="R209" s="44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7"/>
      <c r="AI209" s="44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  <c r="AU209" s="36"/>
      <c r="AV209" s="36"/>
      <c r="AW209" s="36"/>
      <c r="AX209" s="36"/>
      <c r="AY209" s="37"/>
      <c r="AZ209" s="44"/>
      <c r="BA209" s="36"/>
      <c r="BB209" s="36"/>
      <c r="BC209" s="36"/>
      <c r="BD209" s="36"/>
      <c r="BE209" s="36"/>
      <c r="BF209" s="36"/>
      <c r="BG209" s="36"/>
      <c r="BH209" s="36"/>
      <c r="BI209" s="36"/>
      <c r="BJ209" s="36"/>
      <c r="BK209" s="36"/>
      <c r="BL209" s="36"/>
      <c r="BM209" s="36"/>
      <c r="BN209" s="36"/>
      <c r="BO209" s="36"/>
      <c r="BP209" s="37"/>
      <c r="BQ209" s="44"/>
      <c r="BR209" s="36"/>
      <c r="BS209" s="36"/>
      <c r="BT209" s="36"/>
      <c r="BU209" s="36"/>
      <c r="BV209" s="36"/>
      <c r="BW209" s="36"/>
      <c r="BX209" s="36"/>
      <c r="BY209" s="36"/>
      <c r="BZ209" s="36"/>
      <c r="CA209" s="36"/>
      <c r="CB209" s="36"/>
      <c r="CC209" s="36"/>
      <c r="CD209" s="36"/>
      <c r="CE209" s="36"/>
      <c r="CF209" s="36"/>
      <c r="CG209" s="37"/>
      <c r="CH209" s="44"/>
      <c r="CI209" s="36"/>
      <c r="CJ209" s="36"/>
      <c r="CK209" s="36"/>
      <c r="CL209" s="36"/>
      <c r="CM209" s="36"/>
      <c r="CN209" s="36"/>
      <c r="CO209" s="36"/>
      <c r="CP209" s="36"/>
      <c r="CQ209" s="36"/>
      <c r="CR209" s="36"/>
      <c r="CS209" s="36"/>
      <c r="CT209" s="36"/>
      <c r="CU209" s="36"/>
      <c r="CV209" s="36"/>
      <c r="CW209" s="36"/>
      <c r="CX209" s="37"/>
      <c r="CY209" s="44"/>
      <c r="CZ209" s="36"/>
      <c r="DA209" s="36"/>
      <c r="DB209" s="36"/>
      <c r="DC209" s="36"/>
      <c r="DD209" s="36"/>
      <c r="DE209" s="36"/>
      <c r="DF209" s="36"/>
      <c r="DG209" s="36"/>
      <c r="DH209" s="36"/>
      <c r="DI209" s="36"/>
      <c r="DJ209" s="36"/>
      <c r="DK209" s="36"/>
      <c r="DL209" s="36"/>
      <c r="DM209" s="36"/>
      <c r="DN209" s="36"/>
      <c r="DO209" s="37"/>
      <c r="DP209" s="44"/>
      <c r="DQ209" s="36"/>
      <c r="DR209" s="36"/>
      <c r="DS209" s="36"/>
      <c r="DT209" s="36"/>
      <c r="DU209" s="36"/>
      <c r="DV209" s="36"/>
      <c r="DW209" s="36"/>
      <c r="DX209" s="36"/>
      <c r="DY209" s="36"/>
      <c r="DZ209" s="36"/>
      <c r="EA209" s="36"/>
      <c r="EB209" s="36"/>
      <c r="EC209" s="36"/>
      <c r="ED209" s="36"/>
      <c r="EE209" s="36"/>
      <c r="EF209" s="37"/>
      <c r="EG209" s="44"/>
      <c r="EH209" s="36"/>
      <c r="EI209" s="36"/>
      <c r="EJ209" s="36"/>
      <c r="EK209" s="36"/>
      <c r="EL209" s="36"/>
      <c r="EM209" s="36"/>
      <c r="EN209" s="36"/>
      <c r="EO209" s="36"/>
      <c r="EP209" s="36"/>
      <c r="EQ209" s="36"/>
      <c r="ER209" s="36"/>
      <c r="ES209" s="36"/>
      <c r="ET209" s="36"/>
      <c r="EU209" s="36"/>
      <c r="EV209" s="36"/>
      <c r="EW209" s="37"/>
      <c r="EX209" s="44"/>
      <c r="EY209" s="36"/>
      <c r="EZ209" s="36"/>
      <c r="FA209" s="36"/>
      <c r="FB209" s="36"/>
      <c r="FC209" s="36"/>
      <c r="FD209" s="36"/>
      <c r="FE209" s="36"/>
      <c r="FF209" s="36"/>
      <c r="FG209" s="36"/>
      <c r="FH209" s="36"/>
      <c r="FI209" s="36"/>
      <c r="FJ209" s="36"/>
      <c r="FK209" s="36"/>
      <c r="FL209" s="36"/>
      <c r="FM209" s="36"/>
      <c r="FN209" s="37"/>
      <c r="FO209" s="44"/>
      <c r="FP209" s="36"/>
      <c r="FQ209" s="36"/>
      <c r="FR209" s="36"/>
      <c r="FS209" s="36"/>
      <c r="FT209" s="36"/>
      <c r="FU209" s="36"/>
      <c r="FV209" s="36"/>
      <c r="FW209" s="36"/>
      <c r="FX209" s="36"/>
      <c r="FY209" s="36"/>
      <c r="FZ209" s="36"/>
      <c r="GA209" s="36"/>
      <c r="GB209" s="36"/>
      <c r="GC209" s="36"/>
      <c r="GD209" s="36"/>
      <c r="GE209" s="37"/>
      <c r="GF209" s="44"/>
      <c r="GG209" s="36"/>
      <c r="GH209" s="36"/>
      <c r="GI209" s="36"/>
      <c r="GJ209" s="36"/>
      <c r="GK209" s="36"/>
      <c r="GL209" s="36"/>
      <c r="GM209" s="36"/>
      <c r="GN209" s="36"/>
      <c r="GO209" s="36"/>
      <c r="GP209" s="36"/>
      <c r="GQ209" s="36"/>
      <c r="GR209" s="36"/>
      <c r="GS209" s="36"/>
      <c r="GT209" s="36"/>
      <c r="GU209" s="36"/>
      <c r="GV209" s="37"/>
      <c r="GW209" s="44"/>
      <c r="GX209" s="36"/>
      <c r="GY209" s="36"/>
      <c r="GZ209" s="36"/>
      <c r="HA209" s="36"/>
      <c r="HB209" s="36"/>
      <c r="HC209" s="36"/>
      <c r="HD209" s="36"/>
      <c r="HE209" s="36"/>
      <c r="HF209" s="36"/>
      <c r="HG209" s="36"/>
      <c r="HH209" s="36"/>
      <c r="HI209" s="36"/>
      <c r="HJ209" s="36"/>
      <c r="HK209" s="36"/>
      <c r="HL209" s="36"/>
      <c r="HM209" s="37"/>
      <c r="HN209" s="44"/>
      <c r="HO209" s="36"/>
      <c r="HP209" s="36"/>
      <c r="HQ209" s="36"/>
      <c r="HR209" s="36"/>
      <c r="HS209" s="36"/>
      <c r="HT209" s="36"/>
      <c r="HU209" s="36"/>
      <c r="HV209" s="36"/>
      <c r="HW209" s="36"/>
      <c r="HX209" s="36"/>
      <c r="HY209" s="36"/>
      <c r="HZ209" s="36"/>
      <c r="IA209" s="36"/>
      <c r="IB209" s="36"/>
      <c r="IC209" s="36"/>
      <c r="ID209" s="37"/>
      <c r="IE209" s="44"/>
      <c r="IF209" s="36"/>
      <c r="IG209" s="36"/>
      <c r="IH209" s="36"/>
      <c r="II209" s="36"/>
      <c r="IJ209" s="36"/>
      <c r="IK209" s="36"/>
      <c r="IL209" s="36"/>
      <c r="IM209" s="36"/>
      <c r="IN209" s="36"/>
      <c r="IO209" s="36"/>
      <c r="IP209" s="36"/>
      <c r="IQ209" s="36"/>
      <c r="IR209" s="36"/>
      <c r="IS209" s="36"/>
      <c r="IT209" s="36"/>
      <c r="IU209" s="37"/>
      <c r="IV209" s="44"/>
      <c r="IW209" s="36"/>
      <c r="IX209" s="36"/>
      <c r="IY209" s="36"/>
      <c r="IZ209" s="36"/>
      <c r="JA209" s="36"/>
      <c r="JB209" s="36"/>
      <c r="JC209" s="36"/>
      <c r="JD209" s="36"/>
      <c r="JE209" s="36"/>
      <c r="JF209" s="36"/>
      <c r="JG209" s="36"/>
      <c r="JH209" s="36"/>
      <c r="JI209" s="36"/>
      <c r="JJ209" s="36"/>
      <c r="JK209" s="36"/>
      <c r="JL209" s="37"/>
      <c r="JM209" s="44"/>
      <c r="JN209" s="36"/>
      <c r="JO209" s="36"/>
      <c r="JP209" s="36"/>
      <c r="JQ209" s="36"/>
      <c r="JR209" s="36"/>
      <c r="JS209" s="36"/>
      <c r="JT209" s="36"/>
      <c r="JU209" s="36"/>
      <c r="JV209" s="36"/>
      <c r="JW209" s="36"/>
      <c r="JX209" s="36"/>
      <c r="JY209" s="36"/>
      <c r="JZ209" s="36"/>
      <c r="KA209" s="36"/>
      <c r="KB209" s="36"/>
      <c r="KC209" s="37"/>
      <c r="KD209" s="44"/>
      <c r="KE209" s="36"/>
      <c r="KF209" s="36"/>
      <c r="KG209" s="36"/>
      <c r="KH209" s="36"/>
      <c r="KI209" s="36"/>
      <c r="KJ209" s="36"/>
      <c r="KK209" s="36"/>
      <c r="KL209" s="36"/>
      <c r="KM209" s="36"/>
      <c r="KN209" s="36"/>
      <c r="KO209" s="36"/>
      <c r="KP209" s="36"/>
      <c r="KQ209" s="36"/>
      <c r="KR209" s="36"/>
      <c r="KS209" s="36"/>
      <c r="KT209" s="37"/>
      <c r="KU209" s="36"/>
    </row>
    <row r="210" ht="15.0" customHeight="1">
      <c r="A210" s="44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7"/>
      <c r="R210" s="44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7"/>
      <c r="AI210" s="44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  <c r="AU210" s="36"/>
      <c r="AV210" s="36"/>
      <c r="AW210" s="36"/>
      <c r="AX210" s="36"/>
      <c r="AY210" s="37"/>
      <c r="AZ210" s="44"/>
      <c r="BA210" s="36"/>
      <c r="BB210" s="36"/>
      <c r="BC210" s="36"/>
      <c r="BD210" s="36"/>
      <c r="BE210" s="36"/>
      <c r="BF210" s="36"/>
      <c r="BG210" s="36"/>
      <c r="BH210" s="36"/>
      <c r="BI210" s="36"/>
      <c r="BJ210" s="36"/>
      <c r="BK210" s="36"/>
      <c r="BL210" s="36"/>
      <c r="BM210" s="36"/>
      <c r="BN210" s="36"/>
      <c r="BO210" s="36"/>
      <c r="BP210" s="37"/>
      <c r="BQ210" s="44"/>
      <c r="BR210" s="36"/>
      <c r="BS210" s="36"/>
      <c r="BT210" s="36"/>
      <c r="BU210" s="36"/>
      <c r="BV210" s="36"/>
      <c r="BW210" s="36"/>
      <c r="BX210" s="36"/>
      <c r="BY210" s="36"/>
      <c r="BZ210" s="36"/>
      <c r="CA210" s="36"/>
      <c r="CB210" s="36"/>
      <c r="CC210" s="36"/>
      <c r="CD210" s="36"/>
      <c r="CE210" s="36"/>
      <c r="CF210" s="36"/>
      <c r="CG210" s="37"/>
      <c r="CH210" s="44"/>
      <c r="CI210" s="36"/>
      <c r="CJ210" s="36"/>
      <c r="CK210" s="36"/>
      <c r="CL210" s="36"/>
      <c r="CM210" s="36"/>
      <c r="CN210" s="36"/>
      <c r="CO210" s="36"/>
      <c r="CP210" s="36"/>
      <c r="CQ210" s="36"/>
      <c r="CR210" s="36"/>
      <c r="CS210" s="36"/>
      <c r="CT210" s="36"/>
      <c r="CU210" s="36"/>
      <c r="CV210" s="36"/>
      <c r="CW210" s="36"/>
      <c r="CX210" s="37"/>
      <c r="CY210" s="44"/>
      <c r="CZ210" s="36"/>
      <c r="DA210" s="36"/>
      <c r="DB210" s="36"/>
      <c r="DC210" s="36"/>
      <c r="DD210" s="36"/>
      <c r="DE210" s="36"/>
      <c r="DF210" s="36"/>
      <c r="DG210" s="36"/>
      <c r="DH210" s="36"/>
      <c r="DI210" s="36"/>
      <c r="DJ210" s="36"/>
      <c r="DK210" s="36"/>
      <c r="DL210" s="36"/>
      <c r="DM210" s="36"/>
      <c r="DN210" s="36"/>
      <c r="DO210" s="37"/>
      <c r="DP210" s="44"/>
      <c r="DQ210" s="36"/>
      <c r="DR210" s="36"/>
      <c r="DS210" s="36"/>
      <c r="DT210" s="36"/>
      <c r="DU210" s="36"/>
      <c r="DV210" s="36"/>
      <c r="DW210" s="36"/>
      <c r="DX210" s="36"/>
      <c r="DY210" s="36"/>
      <c r="DZ210" s="36"/>
      <c r="EA210" s="36"/>
      <c r="EB210" s="36"/>
      <c r="EC210" s="36"/>
      <c r="ED210" s="36"/>
      <c r="EE210" s="36"/>
      <c r="EF210" s="37"/>
      <c r="EG210" s="44"/>
      <c r="EH210" s="36"/>
      <c r="EI210" s="36"/>
      <c r="EJ210" s="36"/>
      <c r="EK210" s="36"/>
      <c r="EL210" s="36"/>
      <c r="EM210" s="36"/>
      <c r="EN210" s="36"/>
      <c r="EO210" s="36"/>
      <c r="EP210" s="36"/>
      <c r="EQ210" s="36"/>
      <c r="ER210" s="36"/>
      <c r="ES210" s="36"/>
      <c r="ET210" s="36"/>
      <c r="EU210" s="36"/>
      <c r="EV210" s="36"/>
      <c r="EW210" s="37"/>
      <c r="EX210" s="44"/>
      <c r="EY210" s="36"/>
      <c r="EZ210" s="36"/>
      <c r="FA210" s="36"/>
      <c r="FB210" s="36"/>
      <c r="FC210" s="36"/>
      <c r="FD210" s="36"/>
      <c r="FE210" s="36"/>
      <c r="FF210" s="36"/>
      <c r="FG210" s="36"/>
      <c r="FH210" s="36"/>
      <c r="FI210" s="36"/>
      <c r="FJ210" s="36"/>
      <c r="FK210" s="36"/>
      <c r="FL210" s="36"/>
      <c r="FM210" s="36"/>
      <c r="FN210" s="37"/>
      <c r="FO210" s="44"/>
      <c r="FP210" s="36"/>
      <c r="FQ210" s="36"/>
      <c r="FR210" s="36"/>
      <c r="FS210" s="36"/>
      <c r="FT210" s="36"/>
      <c r="FU210" s="36"/>
      <c r="FV210" s="36"/>
      <c r="FW210" s="36"/>
      <c r="FX210" s="36"/>
      <c r="FY210" s="36"/>
      <c r="FZ210" s="36"/>
      <c r="GA210" s="36"/>
      <c r="GB210" s="36"/>
      <c r="GC210" s="36"/>
      <c r="GD210" s="36"/>
      <c r="GE210" s="37"/>
      <c r="GF210" s="44"/>
      <c r="GG210" s="36"/>
      <c r="GH210" s="36"/>
      <c r="GI210" s="36"/>
      <c r="GJ210" s="36"/>
      <c r="GK210" s="36"/>
      <c r="GL210" s="36"/>
      <c r="GM210" s="36"/>
      <c r="GN210" s="36"/>
      <c r="GO210" s="36"/>
      <c r="GP210" s="36"/>
      <c r="GQ210" s="36"/>
      <c r="GR210" s="36"/>
      <c r="GS210" s="36"/>
      <c r="GT210" s="36"/>
      <c r="GU210" s="36"/>
      <c r="GV210" s="37"/>
      <c r="GW210" s="44"/>
      <c r="GX210" s="36"/>
      <c r="GY210" s="36"/>
      <c r="GZ210" s="36"/>
      <c r="HA210" s="36"/>
      <c r="HB210" s="36"/>
      <c r="HC210" s="36"/>
      <c r="HD210" s="36"/>
      <c r="HE210" s="36"/>
      <c r="HF210" s="36"/>
      <c r="HG210" s="36"/>
      <c r="HH210" s="36"/>
      <c r="HI210" s="36"/>
      <c r="HJ210" s="36"/>
      <c r="HK210" s="36"/>
      <c r="HL210" s="36"/>
      <c r="HM210" s="37"/>
      <c r="HN210" s="44"/>
      <c r="HO210" s="36"/>
      <c r="HP210" s="36"/>
      <c r="HQ210" s="36"/>
      <c r="HR210" s="36"/>
      <c r="HS210" s="36"/>
      <c r="HT210" s="36"/>
      <c r="HU210" s="36"/>
      <c r="HV210" s="36"/>
      <c r="HW210" s="36"/>
      <c r="HX210" s="36"/>
      <c r="HY210" s="36"/>
      <c r="HZ210" s="36"/>
      <c r="IA210" s="36"/>
      <c r="IB210" s="36"/>
      <c r="IC210" s="36"/>
      <c r="ID210" s="37"/>
      <c r="IE210" s="44"/>
      <c r="IF210" s="36"/>
      <c r="IG210" s="36"/>
      <c r="IH210" s="36"/>
      <c r="II210" s="36"/>
      <c r="IJ210" s="36"/>
      <c r="IK210" s="36"/>
      <c r="IL210" s="36"/>
      <c r="IM210" s="36"/>
      <c r="IN210" s="36"/>
      <c r="IO210" s="36"/>
      <c r="IP210" s="36"/>
      <c r="IQ210" s="36"/>
      <c r="IR210" s="36"/>
      <c r="IS210" s="36"/>
      <c r="IT210" s="36"/>
      <c r="IU210" s="37"/>
      <c r="IV210" s="44"/>
      <c r="IW210" s="36"/>
      <c r="IX210" s="36"/>
      <c r="IY210" s="36"/>
      <c r="IZ210" s="36"/>
      <c r="JA210" s="36"/>
      <c r="JB210" s="36"/>
      <c r="JC210" s="36"/>
      <c r="JD210" s="36"/>
      <c r="JE210" s="36"/>
      <c r="JF210" s="36"/>
      <c r="JG210" s="36"/>
      <c r="JH210" s="36"/>
      <c r="JI210" s="36"/>
      <c r="JJ210" s="36"/>
      <c r="JK210" s="36"/>
      <c r="JL210" s="37"/>
      <c r="JM210" s="44"/>
      <c r="JN210" s="36"/>
      <c r="JO210" s="36"/>
      <c r="JP210" s="36"/>
      <c r="JQ210" s="36"/>
      <c r="JR210" s="36"/>
      <c r="JS210" s="36"/>
      <c r="JT210" s="36"/>
      <c r="JU210" s="36"/>
      <c r="JV210" s="36"/>
      <c r="JW210" s="36"/>
      <c r="JX210" s="36"/>
      <c r="JY210" s="36"/>
      <c r="JZ210" s="36"/>
      <c r="KA210" s="36"/>
      <c r="KB210" s="36"/>
      <c r="KC210" s="37"/>
      <c r="KD210" s="44"/>
      <c r="KE210" s="36"/>
      <c r="KF210" s="36"/>
      <c r="KG210" s="36"/>
      <c r="KH210" s="36"/>
      <c r="KI210" s="36"/>
      <c r="KJ210" s="36"/>
      <c r="KK210" s="36"/>
      <c r="KL210" s="36"/>
      <c r="KM210" s="36"/>
      <c r="KN210" s="36"/>
      <c r="KO210" s="36"/>
      <c r="KP210" s="36"/>
      <c r="KQ210" s="36"/>
      <c r="KR210" s="36"/>
      <c r="KS210" s="36"/>
      <c r="KT210" s="37"/>
      <c r="KU210" s="36"/>
    </row>
    <row r="211" ht="15.0" customHeight="1">
      <c r="A211" s="44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7"/>
      <c r="R211" s="44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7"/>
      <c r="AI211" s="44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  <c r="AU211" s="36"/>
      <c r="AV211" s="36"/>
      <c r="AW211" s="36"/>
      <c r="AX211" s="36"/>
      <c r="AY211" s="37"/>
      <c r="AZ211" s="44"/>
      <c r="BA211" s="36"/>
      <c r="BB211" s="36"/>
      <c r="BC211" s="36"/>
      <c r="BD211" s="36"/>
      <c r="BE211" s="36"/>
      <c r="BF211" s="36"/>
      <c r="BG211" s="36"/>
      <c r="BH211" s="36"/>
      <c r="BI211" s="36"/>
      <c r="BJ211" s="36"/>
      <c r="BK211" s="36"/>
      <c r="BL211" s="36"/>
      <c r="BM211" s="36"/>
      <c r="BN211" s="36"/>
      <c r="BO211" s="36"/>
      <c r="BP211" s="37"/>
      <c r="BQ211" s="44"/>
      <c r="BR211" s="36"/>
      <c r="BS211" s="36"/>
      <c r="BT211" s="36"/>
      <c r="BU211" s="36"/>
      <c r="BV211" s="36"/>
      <c r="BW211" s="36"/>
      <c r="BX211" s="36"/>
      <c r="BY211" s="36"/>
      <c r="BZ211" s="36"/>
      <c r="CA211" s="36"/>
      <c r="CB211" s="36"/>
      <c r="CC211" s="36"/>
      <c r="CD211" s="36"/>
      <c r="CE211" s="36"/>
      <c r="CF211" s="36"/>
      <c r="CG211" s="37"/>
      <c r="CH211" s="44"/>
      <c r="CI211" s="36"/>
      <c r="CJ211" s="36"/>
      <c r="CK211" s="36"/>
      <c r="CL211" s="36"/>
      <c r="CM211" s="36"/>
      <c r="CN211" s="36"/>
      <c r="CO211" s="36"/>
      <c r="CP211" s="36"/>
      <c r="CQ211" s="36"/>
      <c r="CR211" s="36"/>
      <c r="CS211" s="36"/>
      <c r="CT211" s="36"/>
      <c r="CU211" s="36"/>
      <c r="CV211" s="36"/>
      <c r="CW211" s="36"/>
      <c r="CX211" s="37"/>
      <c r="CY211" s="44"/>
      <c r="CZ211" s="36"/>
      <c r="DA211" s="36"/>
      <c r="DB211" s="36"/>
      <c r="DC211" s="36"/>
      <c r="DD211" s="36"/>
      <c r="DE211" s="36"/>
      <c r="DF211" s="36"/>
      <c r="DG211" s="36"/>
      <c r="DH211" s="36"/>
      <c r="DI211" s="36"/>
      <c r="DJ211" s="36"/>
      <c r="DK211" s="36"/>
      <c r="DL211" s="36"/>
      <c r="DM211" s="36"/>
      <c r="DN211" s="36"/>
      <c r="DO211" s="37"/>
      <c r="DP211" s="44"/>
      <c r="DQ211" s="36"/>
      <c r="DR211" s="36"/>
      <c r="DS211" s="36"/>
      <c r="DT211" s="36"/>
      <c r="DU211" s="36"/>
      <c r="DV211" s="36"/>
      <c r="DW211" s="36"/>
      <c r="DX211" s="36"/>
      <c r="DY211" s="36"/>
      <c r="DZ211" s="36"/>
      <c r="EA211" s="36"/>
      <c r="EB211" s="36"/>
      <c r="EC211" s="36"/>
      <c r="ED211" s="36"/>
      <c r="EE211" s="36"/>
      <c r="EF211" s="37"/>
      <c r="EG211" s="44"/>
      <c r="EH211" s="36"/>
      <c r="EI211" s="36"/>
      <c r="EJ211" s="36"/>
      <c r="EK211" s="36"/>
      <c r="EL211" s="36"/>
      <c r="EM211" s="36"/>
      <c r="EN211" s="36"/>
      <c r="EO211" s="36"/>
      <c r="EP211" s="36"/>
      <c r="EQ211" s="36"/>
      <c r="ER211" s="36"/>
      <c r="ES211" s="36"/>
      <c r="ET211" s="36"/>
      <c r="EU211" s="36"/>
      <c r="EV211" s="36"/>
      <c r="EW211" s="37"/>
      <c r="EX211" s="44"/>
      <c r="EY211" s="36"/>
      <c r="EZ211" s="36"/>
      <c r="FA211" s="36"/>
      <c r="FB211" s="36"/>
      <c r="FC211" s="36"/>
      <c r="FD211" s="36"/>
      <c r="FE211" s="36"/>
      <c r="FF211" s="36"/>
      <c r="FG211" s="36"/>
      <c r="FH211" s="36"/>
      <c r="FI211" s="36"/>
      <c r="FJ211" s="36"/>
      <c r="FK211" s="36"/>
      <c r="FL211" s="36"/>
      <c r="FM211" s="36"/>
      <c r="FN211" s="37"/>
      <c r="FO211" s="44"/>
      <c r="FP211" s="36"/>
      <c r="FQ211" s="36"/>
      <c r="FR211" s="36"/>
      <c r="FS211" s="36"/>
      <c r="FT211" s="36"/>
      <c r="FU211" s="36"/>
      <c r="FV211" s="36"/>
      <c r="FW211" s="36"/>
      <c r="FX211" s="36"/>
      <c r="FY211" s="36"/>
      <c r="FZ211" s="36"/>
      <c r="GA211" s="36"/>
      <c r="GB211" s="36"/>
      <c r="GC211" s="36"/>
      <c r="GD211" s="36"/>
      <c r="GE211" s="37"/>
      <c r="GF211" s="44"/>
      <c r="GG211" s="36"/>
      <c r="GH211" s="36"/>
      <c r="GI211" s="36"/>
      <c r="GJ211" s="36"/>
      <c r="GK211" s="36"/>
      <c r="GL211" s="36"/>
      <c r="GM211" s="36"/>
      <c r="GN211" s="36"/>
      <c r="GO211" s="36"/>
      <c r="GP211" s="36"/>
      <c r="GQ211" s="36"/>
      <c r="GR211" s="36"/>
      <c r="GS211" s="36"/>
      <c r="GT211" s="36"/>
      <c r="GU211" s="36"/>
      <c r="GV211" s="37"/>
      <c r="GW211" s="44"/>
      <c r="GX211" s="36"/>
      <c r="GY211" s="36"/>
      <c r="GZ211" s="36"/>
      <c r="HA211" s="36"/>
      <c r="HB211" s="36"/>
      <c r="HC211" s="36"/>
      <c r="HD211" s="36"/>
      <c r="HE211" s="36"/>
      <c r="HF211" s="36"/>
      <c r="HG211" s="36"/>
      <c r="HH211" s="36"/>
      <c r="HI211" s="36"/>
      <c r="HJ211" s="36"/>
      <c r="HK211" s="36"/>
      <c r="HL211" s="36"/>
      <c r="HM211" s="37"/>
      <c r="HN211" s="44"/>
      <c r="HO211" s="36"/>
      <c r="HP211" s="36"/>
      <c r="HQ211" s="36"/>
      <c r="HR211" s="36"/>
      <c r="HS211" s="36"/>
      <c r="HT211" s="36"/>
      <c r="HU211" s="36"/>
      <c r="HV211" s="36"/>
      <c r="HW211" s="36"/>
      <c r="HX211" s="36"/>
      <c r="HY211" s="36"/>
      <c r="HZ211" s="36"/>
      <c r="IA211" s="36"/>
      <c r="IB211" s="36"/>
      <c r="IC211" s="36"/>
      <c r="ID211" s="37"/>
      <c r="IE211" s="44"/>
      <c r="IF211" s="36"/>
      <c r="IG211" s="36"/>
      <c r="IH211" s="36"/>
      <c r="II211" s="36"/>
      <c r="IJ211" s="36"/>
      <c r="IK211" s="36"/>
      <c r="IL211" s="36"/>
      <c r="IM211" s="36"/>
      <c r="IN211" s="36"/>
      <c r="IO211" s="36"/>
      <c r="IP211" s="36"/>
      <c r="IQ211" s="36"/>
      <c r="IR211" s="36"/>
      <c r="IS211" s="36"/>
      <c r="IT211" s="36"/>
      <c r="IU211" s="37"/>
      <c r="IV211" s="44"/>
      <c r="IW211" s="36"/>
      <c r="IX211" s="36"/>
      <c r="IY211" s="36"/>
      <c r="IZ211" s="36"/>
      <c r="JA211" s="36"/>
      <c r="JB211" s="36"/>
      <c r="JC211" s="36"/>
      <c r="JD211" s="36"/>
      <c r="JE211" s="36"/>
      <c r="JF211" s="36"/>
      <c r="JG211" s="36"/>
      <c r="JH211" s="36"/>
      <c r="JI211" s="36"/>
      <c r="JJ211" s="36"/>
      <c r="JK211" s="36"/>
      <c r="JL211" s="37"/>
      <c r="JM211" s="44"/>
      <c r="JN211" s="36"/>
      <c r="JO211" s="36"/>
      <c r="JP211" s="36"/>
      <c r="JQ211" s="36"/>
      <c r="JR211" s="36"/>
      <c r="JS211" s="36"/>
      <c r="JT211" s="36"/>
      <c r="JU211" s="36"/>
      <c r="JV211" s="36"/>
      <c r="JW211" s="36"/>
      <c r="JX211" s="36"/>
      <c r="JY211" s="36"/>
      <c r="JZ211" s="36"/>
      <c r="KA211" s="36"/>
      <c r="KB211" s="36"/>
      <c r="KC211" s="37"/>
      <c r="KD211" s="44"/>
      <c r="KE211" s="36"/>
      <c r="KF211" s="36"/>
      <c r="KG211" s="36"/>
      <c r="KH211" s="36"/>
      <c r="KI211" s="36"/>
      <c r="KJ211" s="36"/>
      <c r="KK211" s="36"/>
      <c r="KL211" s="36"/>
      <c r="KM211" s="36"/>
      <c r="KN211" s="36"/>
      <c r="KO211" s="36"/>
      <c r="KP211" s="36"/>
      <c r="KQ211" s="36"/>
      <c r="KR211" s="36"/>
      <c r="KS211" s="36"/>
      <c r="KT211" s="37"/>
      <c r="KU211" s="36"/>
    </row>
    <row r="212" ht="15.0" customHeight="1">
      <c r="A212" s="44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7"/>
      <c r="R212" s="44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7"/>
      <c r="AI212" s="44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  <c r="AU212" s="36"/>
      <c r="AV212" s="36"/>
      <c r="AW212" s="36"/>
      <c r="AX212" s="36"/>
      <c r="AY212" s="37"/>
      <c r="AZ212" s="44"/>
      <c r="BA212" s="36"/>
      <c r="BB212" s="36"/>
      <c r="BC212" s="36"/>
      <c r="BD212" s="36"/>
      <c r="BE212" s="36"/>
      <c r="BF212" s="36"/>
      <c r="BG212" s="36"/>
      <c r="BH212" s="36"/>
      <c r="BI212" s="36"/>
      <c r="BJ212" s="36"/>
      <c r="BK212" s="36"/>
      <c r="BL212" s="36"/>
      <c r="BM212" s="36"/>
      <c r="BN212" s="36"/>
      <c r="BO212" s="36"/>
      <c r="BP212" s="37"/>
      <c r="BQ212" s="44"/>
      <c r="BR212" s="36"/>
      <c r="BS212" s="36"/>
      <c r="BT212" s="36"/>
      <c r="BU212" s="36"/>
      <c r="BV212" s="36"/>
      <c r="BW212" s="36"/>
      <c r="BX212" s="36"/>
      <c r="BY212" s="36"/>
      <c r="BZ212" s="36"/>
      <c r="CA212" s="36"/>
      <c r="CB212" s="36"/>
      <c r="CC212" s="36"/>
      <c r="CD212" s="36"/>
      <c r="CE212" s="36"/>
      <c r="CF212" s="36"/>
      <c r="CG212" s="37"/>
      <c r="CH212" s="44"/>
      <c r="CI212" s="36"/>
      <c r="CJ212" s="36"/>
      <c r="CK212" s="36"/>
      <c r="CL212" s="36"/>
      <c r="CM212" s="36"/>
      <c r="CN212" s="36"/>
      <c r="CO212" s="36"/>
      <c r="CP212" s="36"/>
      <c r="CQ212" s="36"/>
      <c r="CR212" s="36"/>
      <c r="CS212" s="36"/>
      <c r="CT212" s="36"/>
      <c r="CU212" s="36"/>
      <c r="CV212" s="36"/>
      <c r="CW212" s="36"/>
      <c r="CX212" s="37"/>
      <c r="CY212" s="44"/>
      <c r="CZ212" s="36"/>
      <c r="DA212" s="36"/>
      <c r="DB212" s="36"/>
      <c r="DC212" s="36"/>
      <c r="DD212" s="36"/>
      <c r="DE212" s="36"/>
      <c r="DF212" s="36"/>
      <c r="DG212" s="36"/>
      <c r="DH212" s="36"/>
      <c r="DI212" s="36"/>
      <c r="DJ212" s="36"/>
      <c r="DK212" s="36"/>
      <c r="DL212" s="36"/>
      <c r="DM212" s="36"/>
      <c r="DN212" s="36"/>
      <c r="DO212" s="37"/>
      <c r="DP212" s="44"/>
      <c r="DQ212" s="36"/>
      <c r="DR212" s="36"/>
      <c r="DS212" s="36"/>
      <c r="DT212" s="36"/>
      <c r="DU212" s="36"/>
      <c r="DV212" s="36"/>
      <c r="DW212" s="36"/>
      <c r="DX212" s="36"/>
      <c r="DY212" s="36"/>
      <c r="DZ212" s="36"/>
      <c r="EA212" s="36"/>
      <c r="EB212" s="36"/>
      <c r="EC212" s="36"/>
      <c r="ED212" s="36"/>
      <c r="EE212" s="36"/>
      <c r="EF212" s="37"/>
      <c r="EG212" s="44"/>
      <c r="EH212" s="36"/>
      <c r="EI212" s="36"/>
      <c r="EJ212" s="36"/>
      <c r="EK212" s="36"/>
      <c r="EL212" s="36"/>
      <c r="EM212" s="36"/>
      <c r="EN212" s="36"/>
      <c r="EO212" s="36"/>
      <c r="EP212" s="36"/>
      <c r="EQ212" s="36"/>
      <c r="ER212" s="36"/>
      <c r="ES212" s="36"/>
      <c r="ET212" s="36"/>
      <c r="EU212" s="36"/>
      <c r="EV212" s="36"/>
      <c r="EW212" s="37"/>
      <c r="EX212" s="44"/>
      <c r="EY212" s="36"/>
      <c r="EZ212" s="36"/>
      <c r="FA212" s="36"/>
      <c r="FB212" s="36"/>
      <c r="FC212" s="36"/>
      <c r="FD212" s="36"/>
      <c r="FE212" s="36"/>
      <c r="FF212" s="36"/>
      <c r="FG212" s="36"/>
      <c r="FH212" s="36"/>
      <c r="FI212" s="36"/>
      <c r="FJ212" s="36"/>
      <c r="FK212" s="36"/>
      <c r="FL212" s="36"/>
      <c r="FM212" s="36"/>
      <c r="FN212" s="37"/>
      <c r="FO212" s="44"/>
      <c r="FP212" s="36"/>
      <c r="FQ212" s="36"/>
      <c r="FR212" s="36"/>
      <c r="FS212" s="36"/>
      <c r="FT212" s="36"/>
      <c r="FU212" s="36"/>
      <c r="FV212" s="36"/>
      <c r="FW212" s="36"/>
      <c r="FX212" s="36"/>
      <c r="FY212" s="36"/>
      <c r="FZ212" s="36"/>
      <c r="GA212" s="36"/>
      <c r="GB212" s="36"/>
      <c r="GC212" s="36"/>
      <c r="GD212" s="36"/>
      <c r="GE212" s="37"/>
      <c r="GF212" s="44"/>
      <c r="GG212" s="36"/>
      <c r="GH212" s="36"/>
      <c r="GI212" s="36"/>
      <c r="GJ212" s="36"/>
      <c r="GK212" s="36"/>
      <c r="GL212" s="36"/>
      <c r="GM212" s="36"/>
      <c r="GN212" s="36"/>
      <c r="GO212" s="36"/>
      <c r="GP212" s="36"/>
      <c r="GQ212" s="36"/>
      <c r="GR212" s="36"/>
      <c r="GS212" s="36"/>
      <c r="GT212" s="36"/>
      <c r="GU212" s="36"/>
      <c r="GV212" s="37"/>
      <c r="GW212" s="44"/>
      <c r="GX212" s="36"/>
      <c r="GY212" s="36"/>
      <c r="GZ212" s="36"/>
      <c r="HA212" s="36"/>
      <c r="HB212" s="36"/>
      <c r="HC212" s="36"/>
      <c r="HD212" s="36"/>
      <c r="HE212" s="36"/>
      <c r="HF212" s="36"/>
      <c r="HG212" s="36"/>
      <c r="HH212" s="36"/>
      <c r="HI212" s="36"/>
      <c r="HJ212" s="36"/>
      <c r="HK212" s="36"/>
      <c r="HL212" s="36"/>
      <c r="HM212" s="37"/>
      <c r="HN212" s="44"/>
      <c r="HO212" s="36"/>
      <c r="HP212" s="36"/>
      <c r="HQ212" s="36"/>
      <c r="HR212" s="36"/>
      <c r="HS212" s="36"/>
      <c r="HT212" s="36"/>
      <c r="HU212" s="36"/>
      <c r="HV212" s="36"/>
      <c r="HW212" s="36"/>
      <c r="HX212" s="36"/>
      <c r="HY212" s="36"/>
      <c r="HZ212" s="36"/>
      <c r="IA212" s="36"/>
      <c r="IB212" s="36"/>
      <c r="IC212" s="36"/>
      <c r="ID212" s="37"/>
      <c r="IE212" s="44"/>
      <c r="IF212" s="36"/>
      <c r="IG212" s="36"/>
      <c r="IH212" s="36"/>
      <c r="II212" s="36"/>
      <c r="IJ212" s="36"/>
      <c r="IK212" s="36"/>
      <c r="IL212" s="36"/>
      <c r="IM212" s="36"/>
      <c r="IN212" s="36"/>
      <c r="IO212" s="36"/>
      <c r="IP212" s="36"/>
      <c r="IQ212" s="36"/>
      <c r="IR212" s="36"/>
      <c r="IS212" s="36"/>
      <c r="IT212" s="36"/>
      <c r="IU212" s="37"/>
      <c r="IV212" s="44"/>
      <c r="IW212" s="36"/>
      <c r="IX212" s="36"/>
      <c r="IY212" s="36"/>
      <c r="IZ212" s="36"/>
      <c r="JA212" s="36"/>
      <c r="JB212" s="36"/>
      <c r="JC212" s="36"/>
      <c r="JD212" s="36"/>
      <c r="JE212" s="36"/>
      <c r="JF212" s="36"/>
      <c r="JG212" s="36"/>
      <c r="JH212" s="36"/>
      <c r="JI212" s="36"/>
      <c r="JJ212" s="36"/>
      <c r="JK212" s="36"/>
      <c r="JL212" s="37"/>
      <c r="JM212" s="44"/>
      <c r="JN212" s="36"/>
      <c r="JO212" s="36"/>
      <c r="JP212" s="36"/>
      <c r="JQ212" s="36"/>
      <c r="JR212" s="36"/>
      <c r="JS212" s="36"/>
      <c r="JT212" s="36"/>
      <c r="JU212" s="36"/>
      <c r="JV212" s="36"/>
      <c r="JW212" s="36"/>
      <c r="JX212" s="36"/>
      <c r="JY212" s="36"/>
      <c r="JZ212" s="36"/>
      <c r="KA212" s="36"/>
      <c r="KB212" s="36"/>
      <c r="KC212" s="37"/>
      <c r="KD212" s="44"/>
      <c r="KE212" s="36"/>
      <c r="KF212" s="36"/>
      <c r="KG212" s="36"/>
      <c r="KH212" s="36"/>
      <c r="KI212" s="36"/>
      <c r="KJ212" s="36"/>
      <c r="KK212" s="36"/>
      <c r="KL212" s="36"/>
      <c r="KM212" s="36"/>
      <c r="KN212" s="36"/>
      <c r="KO212" s="36"/>
      <c r="KP212" s="36"/>
      <c r="KQ212" s="36"/>
      <c r="KR212" s="36"/>
      <c r="KS212" s="36"/>
      <c r="KT212" s="37"/>
      <c r="KU212" s="36"/>
    </row>
    <row r="213" ht="15.0" customHeight="1">
      <c r="A213" s="44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7"/>
      <c r="R213" s="44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7"/>
      <c r="AI213" s="44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  <c r="AU213" s="36"/>
      <c r="AV213" s="36"/>
      <c r="AW213" s="36"/>
      <c r="AX213" s="36"/>
      <c r="AY213" s="37"/>
      <c r="AZ213" s="44"/>
      <c r="BA213" s="36"/>
      <c r="BB213" s="36"/>
      <c r="BC213" s="36"/>
      <c r="BD213" s="36"/>
      <c r="BE213" s="36"/>
      <c r="BF213" s="36"/>
      <c r="BG213" s="36"/>
      <c r="BH213" s="36"/>
      <c r="BI213" s="36"/>
      <c r="BJ213" s="36"/>
      <c r="BK213" s="36"/>
      <c r="BL213" s="36"/>
      <c r="BM213" s="36"/>
      <c r="BN213" s="36"/>
      <c r="BO213" s="36"/>
      <c r="BP213" s="37"/>
      <c r="BQ213" s="44"/>
      <c r="BR213" s="36"/>
      <c r="BS213" s="36"/>
      <c r="BT213" s="36"/>
      <c r="BU213" s="36"/>
      <c r="BV213" s="36"/>
      <c r="BW213" s="36"/>
      <c r="BX213" s="36"/>
      <c r="BY213" s="36"/>
      <c r="BZ213" s="36"/>
      <c r="CA213" s="36"/>
      <c r="CB213" s="36"/>
      <c r="CC213" s="36"/>
      <c r="CD213" s="36"/>
      <c r="CE213" s="36"/>
      <c r="CF213" s="36"/>
      <c r="CG213" s="37"/>
      <c r="CH213" s="44"/>
      <c r="CI213" s="36"/>
      <c r="CJ213" s="36"/>
      <c r="CK213" s="36"/>
      <c r="CL213" s="36"/>
      <c r="CM213" s="36"/>
      <c r="CN213" s="36"/>
      <c r="CO213" s="36"/>
      <c r="CP213" s="36"/>
      <c r="CQ213" s="36"/>
      <c r="CR213" s="36"/>
      <c r="CS213" s="36"/>
      <c r="CT213" s="36"/>
      <c r="CU213" s="36"/>
      <c r="CV213" s="36"/>
      <c r="CW213" s="36"/>
      <c r="CX213" s="37"/>
      <c r="CY213" s="44"/>
      <c r="CZ213" s="36"/>
      <c r="DA213" s="36"/>
      <c r="DB213" s="36"/>
      <c r="DC213" s="36"/>
      <c r="DD213" s="36"/>
      <c r="DE213" s="36"/>
      <c r="DF213" s="36"/>
      <c r="DG213" s="36"/>
      <c r="DH213" s="36"/>
      <c r="DI213" s="36"/>
      <c r="DJ213" s="36"/>
      <c r="DK213" s="36"/>
      <c r="DL213" s="36"/>
      <c r="DM213" s="36"/>
      <c r="DN213" s="36"/>
      <c r="DO213" s="37"/>
      <c r="DP213" s="44"/>
      <c r="DQ213" s="36"/>
      <c r="DR213" s="36"/>
      <c r="DS213" s="36"/>
      <c r="DT213" s="36"/>
      <c r="DU213" s="36"/>
      <c r="DV213" s="36"/>
      <c r="DW213" s="36"/>
      <c r="DX213" s="36"/>
      <c r="DY213" s="36"/>
      <c r="DZ213" s="36"/>
      <c r="EA213" s="36"/>
      <c r="EB213" s="36"/>
      <c r="EC213" s="36"/>
      <c r="ED213" s="36"/>
      <c r="EE213" s="36"/>
      <c r="EF213" s="37"/>
      <c r="EG213" s="44"/>
      <c r="EH213" s="36"/>
      <c r="EI213" s="36"/>
      <c r="EJ213" s="36"/>
      <c r="EK213" s="36"/>
      <c r="EL213" s="36"/>
      <c r="EM213" s="36"/>
      <c r="EN213" s="36"/>
      <c r="EO213" s="36"/>
      <c r="EP213" s="36"/>
      <c r="EQ213" s="36"/>
      <c r="ER213" s="36"/>
      <c r="ES213" s="36"/>
      <c r="ET213" s="36"/>
      <c r="EU213" s="36"/>
      <c r="EV213" s="36"/>
      <c r="EW213" s="37"/>
      <c r="EX213" s="44"/>
      <c r="EY213" s="36"/>
      <c r="EZ213" s="36"/>
      <c r="FA213" s="36"/>
      <c r="FB213" s="36"/>
      <c r="FC213" s="36"/>
      <c r="FD213" s="36"/>
      <c r="FE213" s="36"/>
      <c r="FF213" s="36"/>
      <c r="FG213" s="36"/>
      <c r="FH213" s="36"/>
      <c r="FI213" s="36"/>
      <c r="FJ213" s="36"/>
      <c r="FK213" s="36"/>
      <c r="FL213" s="36"/>
      <c r="FM213" s="36"/>
      <c r="FN213" s="37"/>
      <c r="FO213" s="44"/>
      <c r="FP213" s="36"/>
      <c r="FQ213" s="36"/>
      <c r="FR213" s="36"/>
      <c r="FS213" s="36"/>
      <c r="FT213" s="36"/>
      <c r="FU213" s="36"/>
      <c r="FV213" s="36"/>
      <c r="FW213" s="36"/>
      <c r="FX213" s="36"/>
      <c r="FY213" s="36"/>
      <c r="FZ213" s="36"/>
      <c r="GA213" s="36"/>
      <c r="GB213" s="36"/>
      <c r="GC213" s="36"/>
      <c r="GD213" s="36"/>
      <c r="GE213" s="37"/>
      <c r="GF213" s="44"/>
      <c r="GG213" s="36"/>
      <c r="GH213" s="36"/>
      <c r="GI213" s="36"/>
      <c r="GJ213" s="36"/>
      <c r="GK213" s="36"/>
      <c r="GL213" s="36"/>
      <c r="GM213" s="36"/>
      <c r="GN213" s="36"/>
      <c r="GO213" s="36"/>
      <c r="GP213" s="36"/>
      <c r="GQ213" s="36"/>
      <c r="GR213" s="36"/>
      <c r="GS213" s="36"/>
      <c r="GT213" s="36"/>
      <c r="GU213" s="36"/>
      <c r="GV213" s="37"/>
      <c r="GW213" s="44"/>
      <c r="GX213" s="36"/>
      <c r="GY213" s="36"/>
      <c r="GZ213" s="36"/>
      <c r="HA213" s="36"/>
      <c r="HB213" s="36"/>
      <c r="HC213" s="36"/>
      <c r="HD213" s="36"/>
      <c r="HE213" s="36"/>
      <c r="HF213" s="36"/>
      <c r="HG213" s="36"/>
      <c r="HH213" s="36"/>
      <c r="HI213" s="36"/>
      <c r="HJ213" s="36"/>
      <c r="HK213" s="36"/>
      <c r="HL213" s="36"/>
      <c r="HM213" s="37"/>
      <c r="HN213" s="44"/>
      <c r="HO213" s="36"/>
      <c r="HP213" s="36"/>
      <c r="HQ213" s="36"/>
      <c r="HR213" s="36"/>
      <c r="HS213" s="36"/>
      <c r="HT213" s="36"/>
      <c r="HU213" s="36"/>
      <c r="HV213" s="36"/>
      <c r="HW213" s="36"/>
      <c r="HX213" s="36"/>
      <c r="HY213" s="36"/>
      <c r="HZ213" s="36"/>
      <c r="IA213" s="36"/>
      <c r="IB213" s="36"/>
      <c r="IC213" s="36"/>
      <c r="ID213" s="37"/>
      <c r="IE213" s="44"/>
      <c r="IF213" s="36"/>
      <c r="IG213" s="36"/>
      <c r="IH213" s="36"/>
      <c r="II213" s="36"/>
      <c r="IJ213" s="36"/>
      <c r="IK213" s="36"/>
      <c r="IL213" s="36"/>
      <c r="IM213" s="36"/>
      <c r="IN213" s="36"/>
      <c r="IO213" s="36"/>
      <c r="IP213" s="36"/>
      <c r="IQ213" s="36"/>
      <c r="IR213" s="36"/>
      <c r="IS213" s="36"/>
      <c r="IT213" s="36"/>
      <c r="IU213" s="37"/>
      <c r="IV213" s="44"/>
      <c r="IW213" s="36"/>
      <c r="IX213" s="36"/>
      <c r="IY213" s="36"/>
      <c r="IZ213" s="36"/>
      <c r="JA213" s="36"/>
      <c r="JB213" s="36"/>
      <c r="JC213" s="36"/>
      <c r="JD213" s="36"/>
      <c r="JE213" s="36"/>
      <c r="JF213" s="36"/>
      <c r="JG213" s="36"/>
      <c r="JH213" s="36"/>
      <c r="JI213" s="36"/>
      <c r="JJ213" s="36"/>
      <c r="JK213" s="36"/>
      <c r="JL213" s="37"/>
      <c r="JM213" s="44"/>
      <c r="JN213" s="36"/>
      <c r="JO213" s="36"/>
      <c r="JP213" s="36"/>
      <c r="JQ213" s="36"/>
      <c r="JR213" s="36"/>
      <c r="JS213" s="36"/>
      <c r="JT213" s="36"/>
      <c r="JU213" s="36"/>
      <c r="JV213" s="36"/>
      <c r="JW213" s="36"/>
      <c r="JX213" s="36"/>
      <c r="JY213" s="36"/>
      <c r="JZ213" s="36"/>
      <c r="KA213" s="36"/>
      <c r="KB213" s="36"/>
      <c r="KC213" s="37"/>
      <c r="KD213" s="44"/>
      <c r="KE213" s="36"/>
      <c r="KF213" s="36"/>
      <c r="KG213" s="36"/>
      <c r="KH213" s="36"/>
      <c r="KI213" s="36"/>
      <c r="KJ213" s="36"/>
      <c r="KK213" s="36"/>
      <c r="KL213" s="36"/>
      <c r="KM213" s="36"/>
      <c r="KN213" s="36"/>
      <c r="KO213" s="36"/>
      <c r="KP213" s="36"/>
      <c r="KQ213" s="36"/>
      <c r="KR213" s="36"/>
      <c r="KS213" s="36"/>
      <c r="KT213" s="37"/>
      <c r="KU213" s="36"/>
    </row>
    <row r="214" ht="15.0" customHeight="1">
      <c r="A214" s="44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7"/>
      <c r="R214" s="44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7"/>
      <c r="AI214" s="44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  <c r="AU214" s="36"/>
      <c r="AV214" s="36"/>
      <c r="AW214" s="36"/>
      <c r="AX214" s="36"/>
      <c r="AY214" s="37"/>
      <c r="AZ214" s="44"/>
      <c r="BA214" s="36"/>
      <c r="BB214" s="36"/>
      <c r="BC214" s="36"/>
      <c r="BD214" s="36"/>
      <c r="BE214" s="36"/>
      <c r="BF214" s="36"/>
      <c r="BG214" s="36"/>
      <c r="BH214" s="36"/>
      <c r="BI214" s="36"/>
      <c r="BJ214" s="36"/>
      <c r="BK214" s="36"/>
      <c r="BL214" s="36"/>
      <c r="BM214" s="36"/>
      <c r="BN214" s="36"/>
      <c r="BO214" s="36"/>
      <c r="BP214" s="37"/>
      <c r="BQ214" s="44"/>
      <c r="BR214" s="36"/>
      <c r="BS214" s="36"/>
      <c r="BT214" s="36"/>
      <c r="BU214" s="36"/>
      <c r="BV214" s="36"/>
      <c r="BW214" s="36"/>
      <c r="BX214" s="36"/>
      <c r="BY214" s="36"/>
      <c r="BZ214" s="36"/>
      <c r="CA214" s="36"/>
      <c r="CB214" s="36"/>
      <c r="CC214" s="36"/>
      <c r="CD214" s="36"/>
      <c r="CE214" s="36"/>
      <c r="CF214" s="36"/>
      <c r="CG214" s="37"/>
      <c r="CH214" s="44"/>
      <c r="CI214" s="36"/>
      <c r="CJ214" s="36"/>
      <c r="CK214" s="36"/>
      <c r="CL214" s="36"/>
      <c r="CM214" s="36"/>
      <c r="CN214" s="36"/>
      <c r="CO214" s="36"/>
      <c r="CP214" s="36"/>
      <c r="CQ214" s="36"/>
      <c r="CR214" s="36"/>
      <c r="CS214" s="36"/>
      <c r="CT214" s="36"/>
      <c r="CU214" s="36"/>
      <c r="CV214" s="36"/>
      <c r="CW214" s="36"/>
      <c r="CX214" s="37"/>
      <c r="CY214" s="44"/>
      <c r="CZ214" s="36"/>
      <c r="DA214" s="36"/>
      <c r="DB214" s="36"/>
      <c r="DC214" s="36"/>
      <c r="DD214" s="36"/>
      <c r="DE214" s="36"/>
      <c r="DF214" s="36"/>
      <c r="DG214" s="36"/>
      <c r="DH214" s="36"/>
      <c r="DI214" s="36"/>
      <c r="DJ214" s="36"/>
      <c r="DK214" s="36"/>
      <c r="DL214" s="36"/>
      <c r="DM214" s="36"/>
      <c r="DN214" s="36"/>
      <c r="DO214" s="37"/>
      <c r="DP214" s="44"/>
      <c r="DQ214" s="36"/>
      <c r="DR214" s="36"/>
      <c r="DS214" s="36"/>
      <c r="DT214" s="36"/>
      <c r="DU214" s="36"/>
      <c r="DV214" s="36"/>
      <c r="DW214" s="36"/>
      <c r="DX214" s="36"/>
      <c r="DY214" s="36"/>
      <c r="DZ214" s="36"/>
      <c r="EA214" s="36"/>
      <c r="EB214" s="36"/>
      <c r="EC214" s="36"/>
      <c r="ED214" s="36"/>
      <c r="EE214" s="36"/>
      <c r="EF214" s="37"/>
      <c r="EG214" s="44"/>
      <c r="EH214" s="36"/>
      <c r="EI214" s="36"/>
      <c r="EJ214" s="36"/>
      <c r="EK214" s="36"/>
      <c r="EL214" s="36"/>
      <c r="EM214" s="36"/>
      <c r="EN214" s="36"/>
      <c r="EO214" s="36"/>
      <c r="EP214" s="36"/>
      <c r="EQ214" s="36"/>
      <c r="ER214" s="36"/>
      <c r="ES214" s="36"/>
      <c r="ET214" s="36"/>
      <c r="EU214" s="36"/>
      <c r="EV214" s="36"/>
      <c r="EW214" s="37"/>
      <c r="EX214" s="44"/>
      <c r="EY214" s="36"/>
      <c r="EZ214" s="36"/>
      <c r="FA214" s="36"/>
      <c r="FB214" s="36"/>
      <c r="FC214" s="36"/>
      <c r="FD214" s="36"/>
      <c r="FE214" s="36"/>
      <c r="FF214" s="36"/>
      <c r="FG214" s="36"/>
      <c r="FH214" s="36"/>
      <c r="FI214" s="36"/>
      <c r="FJ214" s="36"/>
      <c r="FK214" s="36"/>
      <c r="FL214" s="36"/>
      <c r="FM214" s="36"/>
      <c r="FN214" s="37"/>
      <c r="FO214" s="44"/>
      <c r="FP214" s="36"/>
      <c r="FQ214" s="36"/>
      <c r="FR214" s="36"/>
      <c r="FS214" s="36"/>
      <c r="FT214" s="36"/>
      <c r="FU214" s="36"/>
      <c r="FV214" s="36"/>
      <c r="FW214" s="36"/>
      <c r="FX214" s="36"/>
      <c r="FY214" s="36"/>
      <c r="FZ214" s="36"/>
      <c r="GA214" s="36"/>
      <c r="GB214" s="36"/>
      <c r="GC214" s="36"/>
      <c r="GD214" s="36"/>
      <c r="GE214" s="37"/>
      <c r="GF214" s="44"/>
      <c r="GG214" s="36"/>
      <c r="GH214" s="36"/>
      <c r="GI214" s="36"/>
      <c r="GJ214" s="36"/>
      <c r="GK214" s="36"/>
      <c r="GL214" s="36"/>
      <c r="GM214" s="36"/>
      <c r="GN214" s="36"/>
      <c r="GO214" s="36"/>
      <c r="GP214" s="36"/>
      <c r="GQ214" s="36"/>
      <c r="GR214" s="36"/>
      <c r="GS214" s="36"/>
      <c r="GT214" s="36"/>
      <c r="GU214" s="36"/>
      <c r="GV214" s="37"/>
      <c r="GW214" s="44"/>
      <c r="GX214" s="36"/>
      <c r="GY214" s="36"/>
      <c r="GZ214" s="36"/>
      <c r="HA214" s="36"/>
      <c r="HB214" s="36"/>
      <c r="HC214" s="36"/>
      <c r="HD214" s="36"/>
      <c r="HE214" s="36"/>
      <c r="HF214" s="36"/>
      <c r="HG214" s="36"/>
      <c r="HH214" s="36"/>
      <c r="HI214" s="36"/>
      <c r="HJ214" s="36"/>
      <c r="HK214" s="36"/>
      <c r="HL214" s="36"/>
      <c r="HM214" s="37"/>
      <c r="HN214" s="44"/>
      <c r="HO214" s="36"/>
      <c r="HP214" s="36"/>
      <c r="HQ214" s="36"/>
      <c r="HR214" s="36"/>
      <c r="HS214" s="36"/>
      <c r="HT214" s="36"/>
      <c r="HU214" s="36"/>
      <c r="HV214" s="36"/>
      <c r="HW214" s="36"/>
      <c r="HX214" s="36"/>
      <c r="HY214" s="36"/>
      <c r="HZ214" s="36"/>
      <c r="IA214" s="36"/>
      <c r="IB214" s="36"/>
      <c r="IC214" s="36"/>
      <c r="ID214" s="37"/>
      <c r="IE214" s="44"/>
      <c r="IF214" s="36"/>
      <c r="IG214" s="36"/>
      <c r="IH214" s="36"/>
      <c r="II214" s="36"/>
      <c r="IJ214" s="36"/>
      <c r="IK214" s="36"/>
      <c r="IL214" s="36"/>
      <c r="IM214" s="36"/>
      <c r="IN214" s="36"/>
      <c r="IO214" s="36"/>
      <c r="IP214" s="36"/>
      <c r="IQ214" s="36"/>
      <c r="IR214" s="36"/>
      <c r="IS214" s="36"/>
      <c r="IT214" s="36"/>
      <c r="IU214" s="37"/>
      <c r="IV214" s="44"/>
      <c r="IW214" s="36"/>
      <c r="IX214" s="36"/>
      <c r="IY214" s="36"/>
      <c r="IZ214" s="36"/>
      <c r="JA214" s="36"/>
      <c r="JB214" s="36"/>
      <c r="JC214" s="36"/>
      <c r="JD214" s="36"/>
      <c r="JE214" s="36"/>
      <c r="JF214" s="36"/>
      <c r="JG214" s="36"/>
      <c r="JH214" s="36"/>
      <c r="JI214" s="36"/>
      <c r="JJ214" s="36"/>
      <c r="JK214" s="36"/>
      <c r="JL214" s="37"/>
      <c r="JM214" s="44"/>
      <c r="JN214" s="36"/>
      <c r="JO214" s="36"/>
      <c r="JP214" s="36"/>
      <c r="JQ214" s="36"/>
      <c r="JR214" s="36"/>
      <c r="JS214" s="36"/>
      <c r="JT214" s="36"/>
      <c r="JU214" s="36"/>
      <c r="JV214" s="36"/>
      <c r="JW214" s="36"/>
      <c r="JX214" s="36"/>
      <c r="JY214" s="36"/>
      <c r="JZ214" s="36"/>
      <c r="KA214" s="36"/>
      <c r="KB214" s="36"/>
      <c r="KC214" s="37"/>
      <c r="KD214" s="44"/>
      <c r="KE214" s="36"/>
      <c r="KF214" s="36"/>
      <c r="KG214" s="36"/>
      <c r="KH214" s="36"/>
      <c r="KI214" s="36"/>
      <c r="KJ214" s="36"/>
      <c r="KK214" s="36"/>
      <c r="KL214" s="36"/>
      <c r="KM214" s="36"/>
      <c r="KN214" s="36"/>
      <c r="KO214" s="36"/>
      <c r="KP214" s="36"/>
      <c r="KQ214" s="36"/>
      <c r="KR214" s="36"/>
      <c r="KS214" s="36"/>
      <c r="KT214" s="37"/>
      <c r="KU214" s="36"/>
    </row>
    <row r="215" ht="15.0" customHeight="1">
      <c r="A215" s="44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7"/>
      <c r="R215" s="44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7"/>
      <c r="AI215" s="44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  <c r="AU215" s="36"/>
      <c r="AV215" s="36"/>
      <c r="AW215" s="36"/>
      <c r="AX215" s="36"/>
      <c r="AY215" s="37"/>
      <c r="AZ215" s="44"/>
      <c r="BA215" s="36"/>
      <c r="BB215" s="36"/>
      <c r="BC215" s="36"/>
      <c r="BD215" s="36"/>
      <c r="BE215" s="36"/>
      <c r="BF215" s="36"/>
      <c r="BG215" s="36"/>
      <c r="BH215" s="36"/>
      <c r="BI215" s="36"/>
      <c r="BJ215" s="36"/>
      <c r="BK215" s="36"/>
      <c r="BL215" s="36"/>
      <c r="BM215" s="36"/>
      <c r="BN215" s="36"/>
      <c r="BO215" s="36"/>
      <c r="BP215" s="37"/>
      <c r="BQ215" s="44"/>
      <c r="BR215" s="36"/>
      <c r="BS215" s="36"/>
      <c r="BT215" s="36"/>
      <c r="BU215" s="36"/>
      <c r="BV215" s="36"/>
      <c r="BW215" s="36"/>
      <c r="BX215" s="36"/>
      <c r="BY215" s="36"/>
      <c r="BZ215" s="36"/>
      <c r="CA215" s="36"/>
      <c r="CB215" s="36"/>
      <c r="CC215" s="36"/>
      <c r="CD215" s="36"/>
      <c r="CE215" s="36"/>
      <c r="CF215" s="36"/>
      <c r="CG215" s="37"/>
      <c r="CH215" s="44"/>
      <c r="CI215" s="36"/>
      <c r="CJ215" s="36"/>
      <c r="CK215" s="36"/>
      <c r="CL215" s="36"/>
      <c r="CM215" s="36"/>
      <c r="CN215" s="36"/>
      <c r="CO215" s="36"/>
      <c r="CP215" s="36"/>
      <c r="CQ215" s="36"/>
      <c r="CR215" s="36"/>
      <c r="CS215" s="36"/>
      <c r="CT215" s="36"/>
      <c r="CU215" s="36"/>
      <c r="CV215" s="36"/>
      <c r="CW215" s="36"/>
      <c r="CX215" s="37"/>
      <c r="CY215" s="44"/>
      <c r="CZ215" s="36"/>
      <c r="DA215" s="36"/>
      <c r="DB215" s="36"/>
      <c r="DC215" s="36"/>
      <c r="DD215" s="36"/>
      <c r="DE215" s="36"/>
      <c r="DF215" s="36"/>
      <c r="DG215" s="36"/>
      <c r="DH215" s="36"/>
      <c r="DI215" s="36"/>
      <c r="DJ215" s="36"/>
      <c r="DK215" s="36"/>
      <c r="DL215" s="36"/>
      <c r="DM215" s="36"/>
      <c r="DN215" s="36"/>
      <c r="DO215" s="37"/>
      <c r="DP215" s="44"/>
      <c r="DQ215" s="36"/>
      <c r="DR215" s="36"/>
      <c r="DS215" s="36"/>
      <c r="DT215" s="36"/>
      <c r="DU215" s="36"/>
      <c r="DV215" s="36"/>
      <c r="DW215" s="36"/>
      <c r="DX215" s="36"/>
      <c r="DY215" s="36"/>
      <c r="DZ215" s="36"/>
      <c r="EA215" s="36"/>
      <c r="EB215" s="36"/>
      <c r="EC215" s="36"/>
      <c r="ED215" s="36"/>
      <c r="EE215" s="36"/>
      <c r="EF215" s="37"/>
      <c r="EG215" s="44"/>
      <c r="EH215" s="36"/>
      <c r="EI215" s="36"/>
      <c r="EJ215" s="36"/>
      <c r="EK215" s="36"/>
      <c r="EL215" s="36"/>
      <c r="EM215" s="36"/>
      <c r="EN215" s="36"/>
      <c r="EO215" s="36"/>
      <c r="EP215" s="36"/>
      <c r="EQ215" s="36"/>
      <c r="ER215" s="36"/>
      <c r="ES215" s="36"/>
      <c r="ET215" s="36"/>
      <c r="EU215" s="36"/>
      <c r="EV215" s="36"/>
      <c r="EW215" s="37"/>
      <c r="EX215" s="44"/>
      <c r="EY215" s="36"/>
      <c r="EZ215" s="36"/>
      <c r="FA215" s="36"/>
      <c r="FB215" s="36"/>
      <c r="FC215" s="36"/>
      <c r="FD215" s="36"/>
      <c r="FE215" s="36"/>
      <c r="FF215" s="36"/>
      <c r="FG215" s="36"/>
      <c r="FH215" s="36"/>
      <c r="FI215" s="36"/>
      <c r="FJ215" s="36"/>
      <c r="FK215" s="36"/>
      <c r="FL215" s="36"/>
      <c r="FM215" s="36"/>
      <c r="FN215" s="37"/>
      <c r="FO215" s="44"/>
      <c r="FP215" s="36"/>
      <c r="FQ215" s="36"/>
      <c r="FR215" s="36"/>
      <c r="FS215" s="36"/>
      <c r="FT215" s="36"/>
      <c r="FU215" s="36"/>
      <c r="FV215" s="36"/>
      <c r="FW215" s="36"/>
      <c r="FX215" s="36"/>
      <c r="FY215" s="36"/>
      <c r="FZ215" s="36"/>
      <c r="GA215" s="36"/>
      <c r="GB215" s="36"/>
      <c r="GC215" s="36"/>
      <c r="GD215" s="36"/>
      <c r="GE215" s="37"/>
      <c r="GF215" s="44"/>
      <c r="GG215" s="36"/>
      <c r="GH215" s="36"/>
      <c r="GI215" s="36"/>
      <c r="GJ215" s="36"/>
      <c r="GK215" s="36"/>
      <c r="GL215" s="36"/>
      <c r="GM215" s="36"/>
      <c r="GN215" s="36"/>
      <c r="GO215" s="36"/>
      <c r="GP215" s="36"/>
      <c r="GQ215" s="36"/>
      <c r="GR215" s="36"/>
      <c r="GS215" s="36"/>
      <c r="GT215" s="36"/>
      <c r="GU215" s="36"/>
      <c r="GV215" s="37"/>
      <c r="GW215" s="44"/>
      <c r="GX215" s="36"/>
      <c r="GY215" s="36"/>
      <c r="GZ215" s="36"/>
      <c r="HA215" s="36"/>
      <c r="HB215" s="36"/>
      <c r="HC215" s="36"/>
      <c r="HD215" s="36"/>
      <c r="HE215" s="36"/>
      <c r="HF215" s="36"/>
      <c r="HG215" s="36"/>
      <c r="HH215" s="36"/>
      <c r="HI215" s="36"/>
      <c r="HJ215" s="36"/>
      <c r="HK215" s="36"/>
      <c r="HL215" s="36"/>
      <c r="HM215" s="37"/>
      <c r="HN215" s="44"/>
      <c r="HO215" s="36"/>
      <c r="HP215" s="36"/>
      <c r="HQ215" s="36"/>
      <c r="HR215" s="36"/>
      <c r="HS215" s="36"/>
      <c r="HT215" s="36"/>
      <c r="HU215" s="36"/>
      <c r="HV215" s="36"/>
      <c r="HW215" s="36"/>
      <c r="HX215" s="36"/>
      <c r="HY215" s="36"/>
      <c r="HZ215" s="36"/>
      <c r="IA215" s="36"/>
      <c r="IB215" s="36"/>
      <c r="IC215" s="36"/>
      <c r="ID215" s="37"/>
      <c r="IE215" s="44"/>
      <c r="IF215" s="36"/>
      <c r="IG215" s="36"/>
      <c r="IH215" s="36"/>
      <c r="II215" s="36"/>
      <c r="IJ215" s="36"/>
      <c r="IK215" s="36"/>
      <c r="IL215" s="36"/>
      <c r="IM215" s="36"/>
      <c r="IN215" s="36"/>
      <c r="IO215" s="36"/>
      <c r="IP215" s="36"/>
      <c r="IQ215" s="36"/>
      <c r="IR215" s="36"/>
      <c r="IS215" s="36"/>
      <c r="IT215" s="36"/>
      <c r="IU215" s="37"/>
      <c r="IV215" s="44"/>
      <c r="IW215" s="36"/>
      <c r="IX215" s="36"/>
      <c r="IY215" s="36"/>
      <c r="IZ215" s="36"/>
      <c r="JA215" s="36"/>
      <c r="JB215" s="36"/>
      <c r="JC215" s="36"/>
      <c r="JD215" s="36"/>
      <c r="JE215" s="36"/>
      <c r="JF215" s="36"/>
      <c r="JG215" s="36"/>
      <c r="JH215" s="36"/>
      <c r="JI215" s="36"/>
      <c r="JJ215" s="36"/>
      <c r="JK215" s="36"/>
      <c r="JL215" s="37"/>
      <c r="JM215" s="44"/>
      <c r="JN215" s="36"/>
      <c r="JO215" s="36"/>
      <c r="JP215" s="36"/>
      <c r="JQ215" s="36"/>
      <c r="JR215" s="36"/>
      <c r="JS215" s="36"/>
      <c r="JT215" s="36"/>
      <c r="JU215" s="36"/>
      <c r="JV215" s="36"/>
      <c r="JW215" s="36"/>
      <c r="JX215" s="36"/>
      <c r="JY215" s="36"/>
      <c r="JZ215" s="36"/>
      <c r="KA215" s="36"/>
      <c r="KB215" s="36"/>
      <c r="KC215" s="37"/>
      <c r="KD215" s="44"/>
      <c r="KE215" s="36"/>
      <c r="KF215" s="36"/>
      <c r="KG215" s="36"/>
      <c r="KH215" s="36"/>
      <c r="KI215" s="36"/>
      <c r="KJ215" s="36"/>
      <c r="KK215" s="36"/>
      <c r="KL215" s="36"/>
      <c r="KM215" s="36"/>
      <c r="KN215" s="36"/>
      <c r="KO215" s="36"/>
      <c r="KP215" s="36"/>
      <c r="KQ215" s="36"/>
      <c r="KR215" s="36"/>
      <c r="KS215" s="36"/>
      <c r="KT215" s="37"/>
      <c r="KU215" s="36"/>
    </row>
    <row r="216" ht="15.0" customHeight="1">
      <c r="A216" s="44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7"/>
      <c r="R216" s="44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7"/>
      <c r="AI216" s="44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  <c r="AU216" s="36"/>
      <c r="AV216" s="36"/>
      <c r="AW216" s="36"/>
      <c r="AX216" s="36"/>
      <c r="AY216" s="37"/>
      <c r="AZ216" s="44"/>
      <c r="BA216" s="36"/>
      <c r="BB216" s="36"/>
      <c r="BC216" s="36"/>
      <c r="BD216" s="36"/>
      <c r="BE216" s="36"/>
      <c r="BF216" s="36"/>
      <c r="BG216" s="36"/>
      <c r="BH216" s="36"/>
      <c r="BI216" s="36"/>
      <c r="BJ216" s="36"/>
      <c r="BK216" s="36"/>
      <c r="BL216" s="36"/>
      <c r="BM216" s="36"/>
      <c r="BN216" s="36"/>
      <c r="BO216" s="36"/>
      <c r="BP216" s="37"/>
      <c r="BQ216" s="44"/>
      <c r="BR216" s="36"/>
      <c r="BS216" s="36"/>
      <c r="BT216" s="36"/>
      <c r="BU216" s="36"/>
      <c r="BV216" s="36"/>
      <c r="BW216" s="36"/>
      <c r="BX216" s="36"/>
      <c r="BY216" s="36"/>
      <c r="BZ216" s="36"/>
      <c r="CA216" s="36"/>
      <c r="CB216" s="36"/>
      <c r="CC216" s="36"/>
      <c r="CD216" s="36"/>
      <c r="CE216" s="36"/>
      <c r="CF216" s="36"/>
      <c r="CG216" s="37"/>
      <c r="CH216" s="44"/>
      <c r="CI216" s="36"/>
      <c r="CJ216" s="36"/>
      <c r="CK216" s="36"/>
      <c r="CL216" s="36"/>
      <c r="CM216" s="36"/>
      <c r="CN216" s="36"/>
      <c r="CO216" s="36"/>
      <c r="CP216" s="36"/>
      <c r="CQ216" s="36"/>
      <c r="CR216" s="36"/>
      <c r="CS216" s="36"/>
      <c r="CT216" s="36"/>
      <c r="CU216" s="36"/>
      <c r="CV216" s="36"/>
      <c r="CW216" s="36"/>
      <c r="CX216" s="37"/>
      <c r="CY216" s="44"/>
      <c r="CZ216" s="36"/>
      <c r="DA216" s="36"/>
      <c r="DB216" s="36"/>
      <c r="DC216" s="36"/>
      <c r="DD216" s="36"/>
      <c r="DE216" s="36"/>
      <c r="DF216" s="36"/>
      <c r="DG216" s="36"/>
      <c r="DH216" s="36"/>
      <c r="DI216" s="36"/>
      <c r="DJ216" s="36"/>
      <c r="DK216" s="36"/>
      <c r="DL216" s="36"/>
      <c r="DM216" s="36"/>
      <c r="DN216" s="36"/>
      <c r="DO216" s="37"/>
      <c r="DP216" s="44"/>
      <c r="DQ216" s="36"/>
      <c r="DR216" s="36"/>
      <c r="DS216" s="36"/>
      <c r="DT216" s="36"/>
      <c r="DU216" s="36"/>
      <c r="DV216" s="36"/>
      <c r="DW216" s="36"/>
      <c r="DX216" s="36"/>
      <c r="DY216" s="36"/>
      <c r="DZ216" s="36"/>
      <c r="EA216" s="36"/>
      <c r="EB216" s="36"/>
      <c r="EC216" s="36"/>
      <c r="ED216" s="36"/>
      <c r="EE216" s="36"/>
      <c r="EF216" s="37"/>
      <c r="EG216" s="44"/>
      <c r="EH216" s="36"/>
      <c r="EI216" s="36"/>
      <c r="EJ216" s="36"/>
      <c r="EK216" s="36"/>
      <c r="EL216" s="36"/>
      <c r="EM216" s="36"/>
      <c r="EN216" s="36"/>
      <c r="EO216" s="36"/>
      <c r="EP216" s="36"/>
      <c r="EQ216" s="36"/>
      <c r="ER216" s="36"/>
      <c r="ES216" s="36"/>
      <c r="ET216" s="36"/>
      <c r="EU216" s="36"/>
      <c r="EV216" s="36"/>
      <c r="EW216" s="37"/>
      <c r="EX216" s="44"/>
      <c r="EY216" s="36"/>
      <c r="EZ216" s="36"/>
      <c r="FA216" s="36"/>
      <c r="FB216" s="36"/>
      <c r="FC216" s="36"/>
      <c r="FD216" s="36"/>
      <c r="FE216" s="36"/>
      <c r="FF216" s="36"/>
      <c r="FG216" s="36"/>
      <c r="FH216" s="36"/>
      <c r="FI216" s="36"/>
      <c r="FJ216" s="36"/>
      <c r="FK216" s="36"/>
      <c r="FL216" s="36"/>
      <c r="FM216" s="36"/>
      <c r="FN216" s="37"/>
      <c r="FO216" s="44"/>
      <c r="FP216" s="36"/>
      <c r="FQ216" s="36"/>
      <c r="FR216" s="36"/>
      <c r="FS216" s="36"/>
      <c r="FT216" s="36"/>
      <c r="FU216" s="36"/>
      <c r="FV216" s="36"/>
      <c r="FW216" s="36"/>
      <c r="FX216" s="36"/>
      <c r="FY216" s="36"/>
      <c r="FZ216" s="36"/>
      <c r="GA216" s="36"/>
      <c r="GB216" s="36"/>
      <c r="GC216" s="36"/>
      <c r="GD216" s="36"/>
      <c r="GE216" s="37"/>
      <c r="GF216" s="44"/>
      <c r="GG216" s="36"/>
      <c r="GH216" s="36"/>
      <c r="GI216" s="36"/>
      <c r="GJ216" s="36"/>
      <c r="GK216" s="36"/>
      <c r="GL216" s="36"/>
      <c r="GM216" s="36"/>
      <c r="GN216" s="36"/>
      <c r="GO216" s="36"/>
      <c r="GP216" s="36"/>
      <c r="GQ216" s="36"/>
      <c r="GR216" s="36"/>
      <c r="GS216" s="36"/>
      <c r="GT216" s="36"/>
      <c r="GU216" s="36"/>
      <c r="GV216" s="37"/>
      <c r="GW216" s="44"/>
      <c r="GX216" s="36"/>
      <c r="GY216" s="36"/>
      <c r="GZ216" s="36"/>
      <c r="HA216" s="36"/>
      <c r="HB216" s="36"/>
      <c r="HC216" s="36"/>
      <c r="HD216" s="36"/>
      <c r="HE216" s="36"/>
      <c r="HF216" s="36"/>
      <c r="HG216" s="36"/>
      <c r="HH216" s="36"/>
      <c r="HI216" s="36"/>
      <c r="HJ216" s="36"/>
      <c r="HK216" s="36"/>
      <c r="HL216" s="36"/>
      <c r="HM216" s="37"/>
      <c r="HN216" s="44"/>
      <c r="HO216" s="36"/>
      <c r="HP216" s="36"/>
      <c r="HQ216" s="36"/>
      <c r="HR216" s="36"/>
      <c r="HS216" s="36"/>
      <c r="HT216" s="36"/>
      <c r="HU216" s="36"/>
      <c r="HV216" s="36"/>
      <c r="HW216" s="36"/>
      <c r="HX216" s="36"/>
      <c r="HY216" s="36"/>
      <c r="HZ216" s="36"/>
      <c r="IA216" s="36"/>
      <c r="IB216" s="36"/>
      <c r="IC216" s="36"/>
      <c r="ID216" s="37"/>
      <c r="IE216" s="44"/>
      <c r="IF216" s="36"/>
      <c r="IG216" s="36"/>
      <c r="IH216" s="36"/>
      <c r="II216" s="36"/>
      <c r="IJ216" s="36"/>
      <c r="IK216" s="36"/>
      <c r="IL216" s="36"/>
      <c r="IM216" s="36"/>
      <c r="IN216" s="36"/>
      <c r="IO216" s="36"/>
      <c r="IP216" s="36"/>
      <c r="IQ216" s="36"/>
      <c r="IR216" s="36"/>
      <c r="IS216" s="36"/>
      <c r="IT216" s="36"/>
      <c r="IU216" s="37"/>
      <c r="IV216" s="44"/>
      <c r="IW216" s="36"/>
      <c r="IX216" s="36"/>
      <c r="IY216" s="36"/>
      <c r="IZ216" s="36"/>
      <c r="JA216" s="36"/>
      <c r="JB216" s="36"/>
      <c r="JC216" s="36"/>
      <c r="JD216" s="36"/>
      <c r="JE216" s="36"/>
      <c r="JF216" s="36"/>
      <c r="JG216" s="36"/>
      <c r="JH216" s="36"/>
      <c r="JI216" s="36"/>
      <c r="JJ216" s="36"/>
      <c r="JK216" s="36"/>
      <c r="JL216" s="37"/>
      <c r="JM216" s="44"/>
      <c r="JN216" s="36"/>
      <c r="JO216" s="36"/>
      <c r="JP216" s="36"/>
      <c r="JQ216" s="36"/>
      <c r="JR216" s="36"/>
      <c r="JS216" s="36"/>
      <c r="JT216" s="36"/>
      <c r="JU216" s="36"/>
      <c r="JV216" s="36"/>
      <c r="JW216" s="36"/>
      <c r="JX216" s="36"/>
      <c r="JY216" s="36"/>
      <c r="JZ216" s="36"/>
      <c r="KA216" s="36"/>
      <c r="KB216" s="36"/>
      <c r="KC216" s="37"/>
      <c r="KD216" s="44"/>
      <c r="KE216" s="36"/>
      <c r="KF216" s="36"/>
      <c r="KG216" s="36"/>
      <c r="KH216" s="36"/>
      <c r="KI216" s="36"/>
      <c r="KJ216" s="36"/>
      <c r="KK216" s="36"/>
      <c r="KL216" s="36"/>
      <c r="KM216" s="36"/>
      <c r="KN216" s="36"/>
      <c r="KO216" s="36"/>
      <c r="KP216" s="36"/>
      <c r="KQ216" s="36"/>
      <c r="KR216" s="36"/>
      <c r="KS216" s="36"/>
      <c r="KT216" s="37"/>
      <c r="KU216" s="36"/>
    </row>
    <row r="217" ht="15.0" customHeight="1">
      <c r="A217" s="44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7"/>
      <c r="R217" s="44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7"/>
      <c r="AI217" s="44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  <c r="AU217" s="36"/>
      <c r="AV217" s="36"/>
      <c r="AW217" s="36"/>
      <c r="AX217" s="36"/>
      <c r="AY217" s="37"/>
      <c r="AZ217" s="44"/>
      <c r="BA217" s="36"/>
      <c r="BB217" s="36"/>
      <c r="BC217" s="36"/>
      <c r="BD217" s="36"/>
      <c r="BE217" s="36"/>
      <c r="BF217" s="36"/>
      <c r="BG217" s="36"/>
      <c r="BH217" s="36"/>
      <c r="BI217" s="36"/>
      <c r="BJ217" s="36"/>
      <c r="BK217" s="36"/>
      <c r="BL217" s="36"/>
      <c r="BM217" s="36"/>
      <c r="BN217" s="36"/>
      <c r="BO217" s="36"/>
      <c r="BP217" s="37"/>
      <c r="BQ217" s="44"/>
      <c r="BR217" s="36"/>
      <c r="BS217" s="36"/>
      <c r="BT217" s="36"/>
      <c r="BU217" s="36"/>
      <c r="BV217" s="36"/>
      <c r="BW217" s="36"/>
      <c r="BX217" s="36"/>
      <c r="BY217" s="36"/>
      <c r="BZ217" s="36"/>
      <c r="CA217" s="36"/>
      <c r="CB217" s="36"/>
      <c r="CC217" s="36"/>
      <c r="CD217" s="36"/>
      <c r="CE217" s="36"/>
      <c r="CF217" s="36"/>
      <c r="CG217" s="37"/>
      <c r="CH217" s="44"/>
      <c r="CI217" s="36"/>
      <c r="CJ217" s="36"/>
      <c r="CK217" s="36"/>
      <c r="CL217" s="36"/>
      <c r="CM217" s="36"/>
      <c r="CN217" s="36"/>
      <c r="CO217" s="36"/>
      <c r="CP217" s="36"/>
      <c r="CQ217" s="36"/>
      <c r="CR217" s="36"/>
      <c r="CS217" s="36"/>
      <c r="CT217" s="36"/>
      <c r="CU217" s="36"/>
      <c r="CV217" s="36"/>
      <c r="CW217" s="36"/>
      <c r="CX217" s="37"/>
      <c r="CY217" s="44"/>
      <c r="CZ217" s="36"/>
      <c r="DA217" s="36"/>
      <c r="DB217" s="36"/>
      <c r="DC217" s="36"/>
      <c r="DD217" s="36"/>
      <c r="DE217" s="36"/>
      <c r="DF217" s="36"/>
      <c r="DG217" s="36"/>
      <c r="DH217" s="36"/>
      <c r="DI217" s="36"/>
      <c r="DJ217" s="36"/>
      <c r="DK217" s="36"/>
      <c r="DL217" s="36"/>
      <c r="DM217" s="36"/>
      <c r="DN217" s="36"/>
      <c r="DO217" s="37"/>
      <c r="DP217" s="44"/>
      <c r="DQ217" s="36"/>
      <c r="DR217" s="36"/>
      <c r="DS217" s="36"/>
      <c r="DT217" s="36"/>
      <c r="DU217" s="36"/>
      <c r="DV217" s="36"/>
      <c r="DW217" s="36"/>
      <c r="DX217" s="36"/>
      <c r="DY217" s="36"/>
      <c r="DZ217" s="36"/>
      <c r="EA217" s="36"/>
      <c r="EB217" s="36"/>
      <c r="EC217" s="36"/>
      <c r="ED217" s="36"/>
      <c r="EE217" s="36"/>
      <c r="EF217" s="37"/>
      <c r="EG217" s="44"/>
      <c r="EH217" s="36"/>
      <c r="EI217" s="36"/>
      <c r="EJ217" s="36"/>
      <c r="EK217" s="36"/>
      <c r="EL217" s="36"/>
      <c r="EM217" s="36"/>
      <c r="EN217" s="36"/>
      <c r="EO217" s="36"/>
      <c r="EP217" s="36"/>
      <c r="EQ217" s="36"/>
      <c r="ER217" s="36"/>
      <c r="ES217" s="36"/>
      <c r="ET217" s="36"/>
      <c r="EU217" s="36"/>
      <c r="EV217" s="36"/>
      <c r="EW217" s="37"/>
      <c r="EX217" s="44"/>
      <c r="EY217" s="36"/>
      <c r="EZ217" s="36"/>
      <c r="FA217" s="36"/>
      <c r="FB217" s="36"/>
      <c r="FC217" s="36"/>
      <c r="FD217" s="36"/>
      <c r="FE217" s="36"/>
      <c r="FF217" s="36"/>
      <c r="FG217" s="36"/>
      <c r="FH217" s="36"/>
      <c r="FI217" s="36"/>
      <c r="FJ217" s="36"/>
      <c r="FK217" s="36"/>
      <c r="FL217" s="36"/>
      <c r="FM217" s="36"/>
      <c r="FN217" s="37"/>
      <c r="FO217" s="44"/>
      <c r="FP217" s="36"/>
      <c r="FQ217" s="36"/>
      <c r="FR217" s="36"/>
      <c r="FS217" s="36"/>
      <c r="FT217" s="36"/>
      <c r="FU217" s="36"/>
      <c r="FV217" s="36"/>
      <c r="FW217" s="36"/>
      <c r="FX217" s="36"/>
      <c r="FY217" s="36"/>
      <c r="FZ217" s="36"/>
      <c r="GA217" s="36"/>
      <c r="GB217" s="36"/>
      <c r="GC217" s="36"/>
      <c r="GD217" s="36"/>
      <c r="GE217" s="37"/>
      <c r="GF217" s="44"/>
      <c r="GG217" s="36"/>
      <c r="GH217" s="36"/>
      <c r="GI217" s="36"/>
      <c r="GJ217" s="36"/>
      <c r="GK217" s="36"/>
      <c r="GL217" s="36"/>
      <c r="GM217" s="36"/>
      <c r="GN217" s="36"/>
      <c r="GO217" s="36"/>
      <c r="GP217" s="36"/>
      <c r="GQ217" s="36"/>
      <c r="GR217" s="36"/>
      <c r="GS217" s="36"/>
      <c r="GT217" s="36"/>
      <c r="GU217" s="36"/>
      <c r="GV217" s="37"/>
      <c r="GW217" s="44"/>
      <c r="GX217" s="36"/>
      <c r="GY217" s="36"/>
      <c r="GZ217" s="36"/>
      <c r="HA217" s="36"/>
      <c r="HB217" s="36"/>
      <c r="HC217" s="36"/>
      <c r="HD217" s="36"/>
      <c r="HE217" s="36"/>
      <c r="HF217" s="36"/>
      <c r="HG217" s="36"/>
      <c r="HH217" s="36"/>
      <c r="HI217" s="36"/>
      <c r="HJ217" s="36"/>
      <c r="HK217" s="36"/>
      <c r="HL217" s="36"/>
      <c r="HM217" s="37"/>
      <c r="HN217" s="44"/>
      <c r="HO217" s="36"/>
      <c r="HP217" s="36"/>
      <c r="HQ217" s="36"/>
      <c r="HR217" s="36"/>
      <c r="HS217" s="36"/>
      <c r="HT217" s="36"/>
      <c r="HU217" s="36"/>
      <c r="HV217" s="36"/>
      <c r="HW217" s="36"/>
      <c r="HX217" s="36"/>
      <c r="HY217" s="36"/>
      <c r="HZ217" s="36"/>
      <c r="IA217" s="36"/>
      <c r="IB217" s="36"/>
      <c r="IC217" s="36"/>
      <c r="ID217" s="37"/>
      <c r="IE217" s="44"/>
      <c r="IF217" s="36"/>
      <c r="IG217" s="36"/>
      <c r="IH217" s="36"/>
      <c r="II217" s="36"/>
      <c r="IJ217" s="36"/>
      <c r="IK217" s="36"/>
      <c r="IL217" s="36"/>
      <c r="IM217" s="36"/>
      <c r="IN217" s="36"/>
      <c r="IO217" s="36"/>
      <c r="IP217" s="36"/>
      <c r="IQ217" s="36"/>
      <c r="IR217" s="36"/>
      <c r="IS217" s="36"/>
      <c r="IT217" s="36"/>
      <c r="IU217" s="37"/>
      <c r="IV217" s="44"/>
      <c r="IW217" s="36"/>
      <c r="IX217" s="36"/>
      <c r="IY217" s="36"/>
      <c r="IZ217" s="36"/>
      <c r="JA217" s="36"/>
      <c r="JB217" s="36"/>
      <c r="JC217" s="36"/>
      <c r="JD217" s="36"/>
      <c r="JE217" s="36"/>
      <c r="JF217" s="36"/>
      <c r="JG217" s="36"/>
      <c r="JH217" s="36"/>
      <c r="JI217" s="36"/>
      <c r="JJ217" s="36"/>
      <c r="JK217" s="36"/>
      <c r="JL217" s="37"/>
      <c r="JM217" s="44"/>
      <c r="JN217" s="36"/>
      <c r="JO217" s="36"/>
      <c r="JP217" s="36"/>
      <c r="JQ217" s="36"/>
      <c r="JR217" s="36"/>
      <c r="JS217" s="36"/>
      <c r="JT217" s="36"/>
      <c r="JU217" s="36"/>
      <c r="JV217" s="36"/>
      <c r="JW217" s="36"/>
      <c r="JX217" s="36"/>
      <c r="JY217" s="36"/>
      <c r="JZ217" s="36"/>
      <c r="KA217" s="36"/>
      <c r="KB217" s="36"/>
      <c r="KC217" s="37"/>
      <c r="KD217" s="44"/>
      <c r="KE217" s="36"/>
      <c r="KF217" s="36"/>
      <c r="KG217" s="36"/>
      <c r="KH217" s="36"/>
      <c r="KI217" s="36"/>
      <c r="KJ217" s="36"/>
      <c r="KK217" s="36"/>
      <c r="KL217" s="36"/>
      <c r="KM217" s="36"/>
      <c r="KN217" s="36"/>
      <c r="KO217" s="36"/>
      <c r="KP217" s="36"/>
      <c r="KQ217" s="36"/>
      <c r="KR217" s="36"/>
      <c r="KS217" s="36"/>
      <c r="KT217" s="37"/>
      <c r="KU217" s="36"/>
    </row>
    <row r="218" ht="15.0" customHeight="1">
      <c r="A218" s="44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7"/>
      <c r="R218" s="44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7"/>
      <c r="AI218" s="44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  <c r="AU218" s="36"/>
      <c r="AV218" s="36"/>
      <c r="AW218" s="36"/>
      <c r="AX218" s="36"/>
      <c r="AY218" s="37"/>
      <c r="AZ218" s="44"/>
      <c r="BA218" s="36"/>
      <c r="BB218" s="36"/>
      <c r="BC218" s="36"/>
      <c r="BD218" s="36"/>
      <c r="BE218" s="36"/>
      <c r="BF218" s="36"/>
      <c r="BG218" s="36"/>
      <c r="BH218" s="36"/>
      <c r="BI218" s="36"/>
      <c r="BJ218" s="36"/>
      <c r="BK218" s="36"/>
      <c r="BL218" s="36"/>
      <c r="BM218" s="36"/>
      <c r="BN218" s="36"/>
      <c r="BO218" s="36"/>
      <c r="BP218" s="37"/>
      <c r="BQ218" s="44"/>
      <c r="BR218" s="36"/>
      <c r="BS218" s="36"/>
      <c r="BT218" s="36"/>
      <c r="BU218" s="36"/>
      <c r="BV218" s="36"/>
      <c r="BW218" s="36"/>
      <c r="BX218" s="36"/>
      <c r="BY218" s="36"/>
      <c r="BZ218" s="36"/>
      <c r="CA218" s="36"/>
      <c r="CB218" s="36"/>
      <c r="CC218" s="36"/>
      <c r="CD218" s="36"/>
      <c r="CE218" s="36"/>
      <c r="CF218" s="36"/>
      <c r="CG218" s="37"/>
      <c r="CH218" s="44"/>
      <c r="CI218" s="36"/>
      <c r="CJ218" s="36"/>
      <c r="CK218" s="36"/>
      <c r="CL218" s="36"/>
      <c r="CM218" s="36"/>
      <c r="CN218" s="36"/>
      <c r="CO218" s="36"/>
      <c r="CP218" s="36"/>
      <c r="CQ218" s="36"/>
      <c r="CR218" s="36"/>
      <c r="CS218" s="36"/>
      <c r="CT218" s="36"/>
      <c r="CU218" s="36"/>
      <c r="CV218" s="36"/>
      <c r="CW218" s="36"/>
      <c r="CX218" s="37"/>
      <c r="CY218" s="44"/>
      <c r="CZ218" s="36"/>
      <c r="DA218" s="36"/>
      <c r="DB218" s="36"/>
      <c r="DC218" s="36"/>
      <c r="DD218" s="36"/>
      <c r="DE218" s="36"/>
      <c r="DF218" s="36"/>
      <c r="DG218" s="36"/>
      <c r="DH218" s="36"/>
      <c r="DI218" s="36"/>
      <c r="DJ218" s="36"/>
      <c r="DK218" s="36"/>
      <c r="DL218" s="36"/>
      <c r="DM218" s="36"/>
      <c r="DN218" s="36"/>
      <c r="DO218" s="37"/>
      <c r="DP218" s="44"/>
      <c r="DQ218" s="36"/>
      <c r="DR218" s="36"/>
      <c r="DS218" s="36"/>
      <c r="DT218" s="36"/>
      <c r="DU218" s="36"/>
      <c r="DV218" s="36"/>
      <c r="DW218" s="36"/>
      <c r="DX218" s="36"/>
      <c r="DY218" s="36"/>
      <c r="DZ218" s="36"/>
      <c r="EA218" s="36"/>
      <c r="EB218" s="36"/>
      <c r="EC218" s="36"/>
      <c r="ED218" s="36"/>
      <c r="EE218" s="36"/>
      <c r="EF218" s="37"/>
      <c r="EG218" s="44"/>
      <c r="EH218" s="36"/>
      <c r="EI218" s="36"/>
      <c r="EJ218" s="36"/>
      <c r="EK218" s="36"/>
      <c r="EL218" s="36"/>
      <c r="EM218" s="36"/>
      <c r="EN218" s="36"/>
      <c r="EO218" s="36"/>
      <c r="EP218" s="36"/>
      <c r="EQ218" s="36"/>
      <c r="ER218" s="36"/>
      <c r="ES218" s="36"/>
      <c r="ET218" s="36"/>
      <c r="EU218" s="36"/>
      <c r="EV218" s="36"/>
      <c r="EW218" s="37"/>
      <c r="EX218" s="44"/>
      <c r="EY218" s="36"/>
      <c r="EZ218" s="36"/>
      <c r="FA218" s="36"/>
      <c r="FB218" s="36"/>
      <c r="FC218" s="36"/>
      <c r="FD218" s="36"/>
      <c r="FE218" s="36"/>
      <c r="FF218" s="36"/>
      <c r="FG218" s="36"/>
      <c r="FH218" s="36"/>
      <c r="FI218" s="36"/>
      <c r="FJ218" s="36"/>
      <c r="FK218" s="36"/>
      <c r="FL218" s="36"/>
      <c r="FM218" s="36"/>
      <c r="FN218" s="37"/>
      <c r="FO218" s="44"/>
      <c r="FP218" s="36"/>
      <c r="FQ218" s="36"/>
      <c r="FR218" s="36"/>
      <c r="FS218" s="36"/>
      <c r="FT218" s="36"/>
      <c r="FU218" s="36"/>
      <c r="FV218" s="36"/>
      <c r="FW218" s="36"/>
      <c r="FX218" s="36"/>
      <c r="FY218" s="36"/>
      <c r="FZ218" s="36"/>
      <c r="GA218" s="36"/>
      <c r="GB218" s="36"/>
      <c r="GC218" s="36"/>
      <c r="GD218" s="36"/>
      <c r="GE218" s="37"/>
      <c r="GF218" s="44"/>
      <c r="GG218" s="36"/>
      <c r="GH218" s="36"/>
      <c r="GI218" s="36"/>
      <c r="GJ218" s="36"/>
      <c r="GK218" s="36"/>
      <c r="GL218" s="36"/>
      <c r="GM218" s="36"/>
      <c r="GN218" s="36"/>
      <c r="GO218" s="36"/>
      <c r="GP218" s="36"/>
      <c r="GQ218" s="36"/>
      <c r="GR218" s="36"/>
      <c r="GS218" s="36"/>
      <c r="GT218" s="36"/>
      <c r="GU218" s="36"/>
      <c r="GV218" s="37"/>
      <c r="GW218" s="44"/>
      <c r="GX218" s="36"/>
      <c r="GY218" s="36"/>
      <c r="GZ218" s="36"/>
      <c r="HA218" s="36"/>
      <c r="HB218" s="36"/>
      <c r="HC218" s="36"/>
      <c r="HD218" s="36"/>
      <c r="HE218" s="36"/>
      <c r="HF218" s="36"/>
      <c r="HG218" s="36"/>
      <c r="HH218" s="36"/>
      <c r="HI218" s="36"/>
      <c r="HJ218" s="36"/>
      <c r="HK218" s="36"/>
      <c r="HL218" s="36"/>
      <c r="HM218" s="37"/>
      <c r="HN218" s="44"/>
      <c r="HO218" s="36"/>
      <c r="HP218" s="36"/>
      <c r="HQ218" s="36"/>
      <c r="HR218" s="36"/>
      <c r="HS218" s="36"/>
      <c r="HT218" s="36"/>
      <c r="HU218" s="36"/>
      <c r="HV218" s="36"/>
      <c r="HW218" s="36"/>
      <c r="HX218" s="36"/>
      <c r="HY218" s="36"/>
      <c r="HZ218" s="36"/>
      <c r="IA218" s="36"/>
      <c r="IB218" s="36"/>
      <c r="IC218" s="36"/>
      <c r="ID218" s="37"/>
      <c r="IE218" s="44"/>
      <c r="IF218" s="36"/>
      <c r="IG218" s="36"/>
      <c r="IH218" s="36"/>
      <c r="II218" s="36"/>
      <c r="IJ218" s="36"/>
      <c r="IK218" s="36"/>
      <c r="IL218" s="36"/>
      <c r="IM218" s="36"/>
      <c r="IN218" s="36"/>
      <c r="IO218" s="36"/>
      <c r="IP218" s="36"/>
      <c r="IQ218" s="36"/>
      <c r="IR218" s="36"/>
      <c r="IS218" s="36"/>
      <c r="IT218" s="36"/>
      <c r="IU218" s="37"/>
      <c r="IV218" s="44"/>
      <c r="IW218" s="36"/>
      <c r="IX218" s="36"/>
      <c r="IY218" s="36"/>
      <c r="IZ218" s="36"/>
      <c r="JA218" s="36"/>
      <c r="JB218" s="36"/>
      <c r="JC218" s="36"/>
      <c r="JD218" s="36"/>
      <c r="JE218" s="36"/>
      <c r="JF218" s="36"/>
      <c r="JG218" s="36"/>
      <c r="JH218" s="36"/>
      <c r="JI218" s="36"/>
      <c r="JJ218" s="36"/>
      <c r="JK218" s="36"/>
      <c r="JL218" s="37"/>
      <c r="JM218" s="44"/>
      <c r="JN218" s="36"/>
      <c r="JO218" s="36"/>
      <c r="JP218" s="36"/>
      <c r="JQ218" s="36"/>
      <c r="JR218" s="36"/>
      <c r="JS218" s="36"/>
      <c r="JT218" s="36"/>
      <c r="JU218" s="36"/>
      <c r="JV218" s="36"/>
      <c r="JW218" s="36"/>
      <c r="JX218" s="36"/>
      <c r="JY218" s="36"/>
      <c r="JZ218" s="36"/>
      <c r="KA218" s="36"/>
      <c r="KB218" s="36"/>
      <c r="KC218" s="37"/>
      <c r="KD218" s="44"/>
      <c r="KE218" s="36"/>
      <c r="KF218" s="36"/>
      <c r="KG218" s="36"/>
      <c r="KH218" s="36"/>
      <c r="KI218" s="36"/>
      <c r="KJ218" s="36"/>
      <c r="KK218" s="36"/>
      <c r="KL218" s="36"/>
      <c r="KM218" s="36"/>
      <c r="KN218" s="36"/>
      <c r="KO218" s="36"/>
      <c r="KP218" s="36"/>
      <c r="KQ218" s="36"/>
      <c r="KR218" s="36"/>
      <c r="KS218" s="36"/>
      <c r="KT218" s="37"/>
      <c r="KU218" s="36"/>
    </row>
    <row r="219" ht="15.0" customHeight="1">
      <c r="A219" s="44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7"/>
      <c r="R219" s="44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7"/>
      <c r="AI219" s="44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  <c r="AU219" s="36"/>
      <c r="AV219" s="36"/>
      <c r="AW219" s="36"/>
      <c r="AX219" s="36"/>
      <c r="AY219" s="37"/>
      <c r="AZ219" s="44"/>
      <c r="BA219" s="36"/>
      <c r="BB219" s="36"/>
      <c r="BC219" s="36"/>
      <c r="BD219" s="36"/>
      <c r="BE219" s="36"/>
      <c r="BF219" s="36"/>
      <c r="BG219" s="36"/>
      <c r="BH219" s="36"/>
      <c r="BI219" s="36"/>
      <c r="BJ219" s="36"/>
      <c r="BK219" s="36"/>
      <c r="BL219" s="36"/>
      <c r="BM219" s="36"/>
      <c r="BN219" s="36"/>
      <c r="BO219" s="36"/>
      <c r="BP219" s="37"/>
      <c r="BQ219" s="44"/>
      <c r="BR219" s="36"/>
      <c r="BS219" s="36"/>
      <c r="BT219" s="36"/>
      <c r="BU219" s="36"/>
      <c r="BV219" s="36"/>
      <c r="BW219" s="36"/>
      <c r="BX219" s="36"/>
      <c r="BY219" s="36"/>
      <c r="BZ219" s="36"/>
      <c r="CA219" s="36"/>
      <c r="CB219" s="36"/>
      <c r="CC219" s="36"/>
      <c r="CD219" s="36"/>
      <c r="CE219" s="36"/>
      <c r="CF219" s="36"/>
      <c r="CG219" s="37"/>
      <c r="CH219" s="44"/>
      <c r="CI219" s="36"/>
      <c r="CJ219" s="36"/>
      <c r="CK219" s="36"/>
      <c r="CL219" s="36"/>
      <c r="CM219" s="36"/>
      <c r="CN219" s="36"/>
      <c r="CO219" s="36"/>
      <c r="CP219" s="36"/>
      <c r="CQ219" s="36"/>
      <c r="CR219" s="36"/>
      <c r="CS219" s="36"/>
      <c r="CT219" s="36"/>
      <c r="CU219" s="36"/>
      <c r="CV219" s="36"/>
      <c r="CW219" s="36"/>
      <c r="CX219" s="37"/>
      <c r="CY219" s="44"/>
      <c r="CZ219" s="36"/>
      <c r="DA219" s="36"/>
      <c r="DB219" s="36"/>
      <c r="DC219" s="36"/>
      <c r="DD219" s="36"/>
      <c r="DE219" s="36"/>
      <c r="DF219" s="36"/>
      <c r="DG219" s="36"/>
      <c r="DH219" s="36"/>
      <c r="DI219" s="36"/>
      <c r="DJ219" s="36"/>
      <c r="DK219" s="36"/>
      <c r="DL219" s="36"/>
      <c r="DM219" s="36"/>
      <c r="DN219" s="36"/>
      <c r="DO219" s="37"/>
      <c r="DP219" s="44"/>
      <c r="DQ219" s="36"/>
      <c r="DR219" s="36"/>
      <c r="DS219" s="36"/>
      <c r="DT219" s="36"/>
      <c r="DU219" s="36"/>
      <c r="DV219" s="36"/>
      <c r="DW219" s="36"/>
      <c r="DX219" s="36"/>
      <c r="DY219" s="36"/>
      <c r="DZ219" s="36"/>
      <c r="EA219" s="36"/>
      <c r="EB219" s="36"/>
      <c r="EC219" s="36"/>
      <c r="ED219" s="36"/>
      <c r="EE219" s="36"/>
      <c r="EF219" s="37"/>
      <c r="EG219" s="44"/>
      <c r="EH219" s="36"/>
      <c r="EI219" s="36"/>
      <c r="EJ219" s="36"/>
      <c r="EK219" s="36"/>
      <c r="EL219" s="36"/>
      <c r="EM219" s="36"/>
      <c r="EN219" s="36"/>
      <c r="EO219" s="36"/>
      <c r="EP219" s="36"/>
      <c r="EQ219" s="36"/>
      <c r="ER219" s="36"/>
      <c r="ES219" s="36"/>
      <c r="ET219" s="36"/>
      <c r="EU219" s="36"/>
      <c r="EV219" s="36"/>
      <c r="EW219" s="37"/>
      <c r="EX219" s="44"/>
      <c r="EY219" s="36"/>
      <c r="EZ219" s="36"/>
      <c r="FA219" s="36"/>
      <c r="FB219" s="36"/>
      <c r="FC219" s="36"/>
      <c r="FD219" s="36"/>
      <c r="FE219" s="36"/>
      <c r="FF219" s="36"/>
      <c r="FG219" s="36"/>
      <c r="FH219" s="36"/>
      <c r="FI219" s="36"/>
      <c r="FJ219" s="36"/>
      <c r="FK219" s="36"/>
      <c r="FL219" s="36"/>
      <c r="FM219" s="36"/>
      <c r="FN219" s="37"/>
      <c r="FO219" s="44"/>
      <c r="FP219" s="36"/>
      <c r="FQ219" s="36"/>
      <c r="FR219" s="36"/>
      <c r="FS219" s="36"/>
      <c r="FT219" s="36"/>
      <c r="FU219" s="36"/>
      <c r="FV219" s="36"/>
      <c r="FW219" s="36"/>
      <c r="FX219" s="36"/>
      <c r="FY219" s="36"/>
      <c r="FZ219" s="36"/>
      <c r="GA219" s="36"/>
      <c r="GB219" s="36"/>
      <c r="GC219" s="36"/>
      <c r="GD219" s="36"/>
      <c r="GE219" s="37"/>
      <c r="GF219" s="44"/>
      <c r="GG219" s="36"/>
      <c r="GH219" s="36"/>
      <c r="GI219" s="36"/>
      <c r="GJ219" s="36"/>
      <c r="GK219" s="36"/>
      <c r="GL219" s="36"/>
      <c r="GM219" s="36"/>
      <c r="GN219" s="36"/>
      <c r="GO219" s="36"/>
      <c r="GP219" s="36"/>
      <c r="GQ219" s="36"/>
      <c r="GR219" s="36"/>
      <c r="GS219" s="36"/>
      <c r="GT219" s="36"/>
      <c r="GU219" s="36"/>
      <c r="GV219" s="37"/>
      <c r="GW219" s="44"/>
      <c r="GX219" s="36"/>
      <c r="GY219" s="36"/>
      <c r="GZ219" s="36"/>
      <c r="HA219" s="36"/>
      <c r="HB219" s="36"/>
      <c r="HC219" s="36"/>
      <c r="HD219" s="36"/>
      <c r="HE219" s="36"/>
      <c r="HF219" s="36"/>
      <c r="HG219" s="36"/>
      <c r="HH219" s="36"/>
      <c r="HI219" s="36"/>
      <c r="HJ219" s="36"/>
      <c r="HK219" s="36"/>
      <c r="HL219" s="36"/>
      <c r="HM219" s="37"/>
      <c r="HN219" s="44"/>
      <c r="HO219" s="36"/>
      <c r="HP219" s="36"/>
      <c r="HQ219" s="36"/>
      <c r="HR219" s="36"/>
      <c r="HS219" s="36"/>
      <c r="HT219" s="36"/>
      <c r="HU219" s="36"/>
      <c r="HV219" s="36"/>
      <c r="HW219" s="36"/>
      <c r="HX219" s="36"/>
      <c r="HY219" s="36"/>
      <c r="HZ219" s="36"/>
      <c r="IA219" s="36"/>
      <c r="IB219" s="36"/>
      <c r="IC219" s="36"/>
      <c r="ID219" s="37"/>
      <c r="IE219" s="44"/>
      <c r="IF219" s="36"/>
      <c r="IG219" s="36"/>
      <c r="IH219" s="36"/>
      <c r="II219" s="36"/>
      <c r="IJ219" s="36"/>
      <c r="IK219" s="36"/>
      <c r="IL219" s="36"/>
      <c r="IM219" s="36"/>
      <c r="IN219" s="36"/>
      <c r="IO219" s="36"/>
      <c r="IP219" s="36"/>
      <c r="IQ219" s="36"/>
      <c r="IR219" s="36"/>
      <c r="IS219" s="36"/>
      <c r="IT219" s="36"/>
      <c r="IU219" s="37"/>
      <c r="IV219" s="44"/>
      <c r="IW219" s="36"/>
      <c r="IX219" s="36"/>
      <c r="IY219" s="36"/>
      <c r="IZ219" s="36"/>
      <c r="JA219" s="36"/>
      <c r="JB219" s="36"/>
      <c r="JC219" s="36"/>
      <c r="JD219" s="36"/>
      <c r="JE219" s="36"/>
      <c r="JF219" s="36"/>
      <c r="JG219" s="36"/>
      <c r="JH219" s="36"/>
      <c r="JI219" s="36"/>
      <c r="JJ219" s="36"/>
      <c r="JK219" s="36"/>
      <c r="JL219" s="37"/>
      <c r="JM219" s="44"/>
      <c r="JN219" s="36"/>
      <c r="JO219" s="36"/>
      <c r="JP219" s="36"/>
      <c r="JQ219" s="36"/>
      <c r="JR219" s="36"/>
      <c r="JS219" s="36"/>
      <c r="JT219" s="36"/>
      <c r="JU219" s="36"/>
      <c r="JV219" s="36"/>
      <c r="JW219" s="36"/>
      <c r="JX219" s="36"/>
      <c r="JY219" s="36"/>
      <c r="JZ219" s="36"/>
      <c r="KA219" s="36"/>
      <c r="KB219" s="36"/>
      <c r="KC219" s="37"/>
      <c r="KD219" s="44"/>
      <c r="KE219" s="36"/>
      <c r="KF219" s="36"/>
      <c r="KG219" s="36"/>
      <c r="KH219" s="36"/>
      <c r="KI219" s="36"/>
      <c r="KJ219" s="36"/>
      <c r="KK219" s="36"/>
      <c r="KL219" s="36"/>
      <c r="KM219" s="36"/>
      <c r="KN219" s="36"/>
      <c r="KO219" s="36"/>
      <c r="KP219" s="36"/>
      <c r="KQ219" s="36"/>
      <c r="KR219" s="36"/>
      <c r="KS219" s="36"/>
      <c r="KT219" s="37"/>
      <c r="KU219" s="36"/>
    </row>
    <row r="220" ht="15.0" customHeight="1">
      <c r="A220" s="44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7"/>
      <c r="R220" s="44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7"/>
      <c r="AI220" s="44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  <c r="AU220" s="36"/>
      <c r="AV220" s="36"/>
      <c r="AW220" s="36"/>
      <c r="AX220" s="36"/>
      <c r="AY220" s="37"/>
      <c r="AZ220" s="44"/>
      <c r="BA220" s="36"/>
      <c r="BB220" s="36"/>
      <c r="BC220" s="36"/>
      <c r="BD220" s="36"/>
      <c r="BE220" s="36"/>
      <c r="BF220" s="36"/>
      <c r="BG220" s="36"/>
      <c r="BH220" s="36"/>
      <c r="BI220" s="36"/>
      <c r="BJ220" s="36"/>
      <c r="BK220" s="36"/>
      <c r="BL220" s="36"/>
      <c r="BM220" s="36"/>
      <c r="BN220" s="36"/>
      <c r="BO220" s="36"/>
      <c r="BP220" s="37"/>
      <c r="BQ220" s="44"/>
      <c r="BR220" s="36"/>
      <c r="BS220" s="36"/>
      <c r="BT220" s="36"/>
      <c r="BU220" s="36"/>
      <c r="BV220" s="36"/>
      <c r="BW220" s="36"/>
      <c r="BX220" s="36"/>
      <c r="BY220" s="36"/>
      <c r="BZ220" s="36"/>
      <c r="CA220" s="36"/>
      <c r="CB220" s="36"/>
      <c r="CC220" s="36"/>
      <c r="CD220" s="36"/>
      <c r="CE220" s="36"/>
      <c r="CF220" s="36"/>
      <c r="CG220" s="37"/>
      <c r="CH220" s="44"/>
      <c r="CI220" s="36"/>
      <c r="CJ220" s="36"/>
      <c r="CK220" s="36"/>
      <c r="CL220" s="36"/>
      <c r="CM220" s="36"/>
      <c r="CN220" s="36"/>
      <c r="CO220" s="36"/>
      <c r="CP220" s="36"/>
      <c r="CQ220" s="36"/>
      <c r="CR220" s="36"/>
      <c r="CS220" s="36"/>
      <c r="CT220" s="36"/>
      <c r="CU220" s="36"/>
      <c r="CV220" s="36"/>
      <c r="CW220" s="36"/>
      <c r="CX220" s="37"/>
      <c r="CY220" s="44"/>
      <c r="CZ220" s="36"/>
      <c r="DA220" s="36"/>
      <c r="DB220" s="36"/>
      <c r="DC220" s="36"/>
      <c r="DD220" s="36"/>
      <c r="DE220" s="36"/>
      <c r="DF220" s="36"/>
      <c r="DG220" s="36"/>
      <c r="DH220" s="36"/>
      <c r="DI220" s="36"/>
      <c r="DJ220" s="36"/>
      <c r="DK220" s="36"/>
      <c r="DL220" s="36"/>
      <c r="DM220" s="36"/>
      <c r="DN220" s="36"/>
      <c r="DO220" s="37"/>
      <c r="DP220" s="44"/>
      <c r="DQ220" s="36"/>
      <c r="DR220" s="36"/>
      <c r="DS220" s="36"/>
      <c r="DT220" s="36"/>
      <c r="DU220" s="36"/>
      <c r="DV220" s="36"/>
      <c r="DW220" s="36"/>
      <c r="DX220" s="36"/>
      <c r="DY220" s="36"/>
      <c r="DZ220" s="36"/>
      <c r="EA220" s="36"/>
      <c r="EB220" s="36"/>
      <c r="EC220" s="36"/>
      <c r="ED220" s="36"/>
      <c r="EE220" s="36"/>
      <c r="EF220" s="37"/>
      <c r="EG220" s="44"/>
      <c r="EH220" s="36"/>
      <c r="EI220" s="36"/>
      <c r="EJ220" s="36"/>
      <c r="EK220" s="36"/>
      <c r="EL220" s="36"/>
      <c r="EM220" s="36"/>
      <c r="EN220" s="36"/>
      <c r="EO220" s="36"/>
      <c r="EP220" s="36"/>
      <c r="EQ220" s="36"/>
      <c r="ER220" s="36"/>
      <c r="ES220" s="36"/>
      <c r="ET220" s="36"/>
      <c r="EU220" s="36"/>
      <c r="EV220" s="36"/>
      <c r="EW220" s="37"/>
      <c r="EX220" s="44"/>
      <c r="EY220" s="36"/>
      <c r="EZ220" s="36"/>
      <c r="FA220" s="36"/>
      <c r="FB220" s="36"/>
      <c r="FC220" s="36"/>
      <c r="FD220" s="36"/>
      <c r="FE220" s="36"/>
      <c r="FF220" s="36"/>
      <c r="FG220" s="36"/>
      <c r="FH220" s="36"/>
      <c r="FI220" s="36"/>
      <c r="FJ220" s="36"/>
      <c r="FK220" s="36"/>
      <c r="FL220" s="36"/>
      <c r="FM220" s="36"/>
      <c r="FN220" s="37"/>
      <c r="FO220" s="44"/>
      <c r="FP220" s="36"/>
      <c r="FQ220" s="36"/>
      <c r="FR220" s="36"/>
      <c r="FS220" s="36"/>
      <c r="FT220" s="36"/>
      <c r="FU220" s="36"/>
      <c r="FV220" s="36"/>
      <c r="FW220" s="36"/>
      <c r="FX220" s="36"/>
      <c r="FY220" s="36"/>
      <c r="FZ220" s="36"/>
      <c r="GA220" s="36"/>
      <c r="GB220" s="36"/>
      <c r="GC220" s="36"/>
      <c r="GD220" s="36"/>
      <c r="GE220" s="37"/>
      <c r="GF220" s="44"/>
      <c r="GG220" s="36"/>
      <c r="GH220" s="36"/>
      <c r="GI220" s="36"/>
      <c r="GJ220" s="36"/>
      <c r="GK220" s="36"/>
      <c r="GL220" s="36"/>
      <c r="GM220" s="36"/>
      <c r="GN220" s="36"/>
      <c r="GO220" s="36"/>
      <c r="GP220" s="36"/>
      <c r="GQ220" s="36"/>
      <c r="GR220" s="36"/>
      <c r="GS220" s="36"/>
      <c r="GT220" s="36"/>
      <c r="GU220" s="36"/>
      <c r="GV220" s="37"/>
      <c r="GW220" s="44"/>
      <c r="GX220" s="36"/>
      <c r="GY220" s="36"/>
      <c r="GZ220" s="36"/>
      <c r="HA220" s="36"/>
      <c r="HB220" s="36"/>
      <c r="HC220" s="36"/>
      <c r="HD220" s="36"/>
      <c r="HE220" s="36"/>
      <c r="HF220" s="36"/>
      <c r="HG220" s="36"/>
      <c r="HH220" s="36"/>
      <c r="HI220" s="36"/>
      <c r="HJ220" s="36"/>
      <c r="HK220" s="36"/>
      <c r="HL220" s="36"/>
      <c r="HM220" s="37"/>
      <c r="HN220" s="44"/>
      <c r="HO220" s="36"/>
      <c r="HP220" s="36"/>
      <c r="HQ220" s="36"/>
      <c r="HR220" s="36"/>
      <c r="HS220" s="36"/>
      <c r="HT220" s="36"/>
      <c r="HU220" s="36"/>
      <c r="HV220" s="36"/>
      <c r="HW220" s="36"/>
      <c r="HX220" s="36"/>
      <c r="HY220" s="36"/>
      <c r="HZ220" s="36"/>
      <c r="IA220" s="36"/>
      <c r="IB220" s="36"/>
      <c r="IC220" s="36"/>
      <c r="ID220" s="37"/>
      <c r="IE220" s="44"/>
      <c r="IF220" s="36"/>
      <c r="IG220" s="36"/>
      <c r="IH220" s="36"/>
      <c r="II220" s="36"/>
      <c r="IJ220" s="36"/>
      <c r="IK220" s="36"/>
      <c r="IL220" s="36"/>
      <c r="IM220" s="36"/>
      <c r="IN220" s="36"/>
      <c r="IO220" s="36"/>
      <c r="IP220" s="36"/>
      <c r="IQ220" s="36"/>
      <c r="IR220" s="36"/>
      <c r="IS220" s="36"/>
      <c r="IT220" s="36"/>
      <c r="IU220" s="37"/>
      <c r="IV220" s="44"/>
      <c r="IW220" s="36"/>
      <c r="IX220" s="36"/>
      <c r="IY220" s="36"/>
      <c r="IZ220" s="36"/>
      <c r="JA220" s="36"/>
      <c r="JB220" s="36"/>
      <c r="JC220" s="36"/>
      <c r="JD220" s="36"/>
      <c r="JE220" s="36"/>
      <c r="JF220" s="36"/>
      <c r="JG220" s="36"/>
      <c r="JH220" s="36"/>
      <c r="JI220" s="36"/>
      <c r="JJ220" s="36"/>
      <c r="JK220" s="36"/>
      <c r="JL220" s="37"/>
      <c r="JM220" s="44"/>
      <c r="JN220" s="36"/>
      <c r="JO220" s="36"/>
      <c r="JP220" s="36"/>
      <c r="JQ220" s="36"/>
      <c r="JR220" s="36"/>
      <c r="JS220" s="36"/>
      <c r="JT220" s="36"/>
      <c r="JU220" s="36"/>
      <c r="JV220" s="36"/>
      <c r="JW220" s="36"/>
      <c r="JX220" s="36"/>
      <c r="JY220" s="36"/>
      <c r="JZ220" s="36"/>
      <c r="KA220" s="36"/>
      <c r="KB220" s="36"/>
      <c r="KC220" s="37"/>
      <c r="KD220" s="44"/>
      <c r="KE220" s="36"/>
      <c r="KF220" s="36"/>
      <c r="KG220" s="36"/>
      <c r="KH220" s="36"/>
      <c r="KI220" s="36"/>
      <c r="KJ220" s="36"/>
      <c r="KK220" s="36"/>
      <c r="KL220" s="36"/>
      <c r="KM220" s="36"/>
      <c r="KN220" s="36"/>
      <c r="KO220" s="36"/>
      <c r="KP220" s="36"/>
      <c r="KQ220" s="36"/>
      <c r="KR220" s="36"/>
      <c r="KS220" s="36"/>
      <c r="KT220" s="37"/>
      <c r="KU220" s="36"/>
    </row>
    <row r="221" ht="15.0" customHeight="1">
      <c r="A221" s="44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7"/>
      <c r="R221" s="44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7"/>
      <c r="AI221" s="44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  <c r="AU221" s="36"/>
      <c r="AV221" s="36"/>
      <c r="AW221" s="36"/>
      <c r="AX221" s="36"/>
      <c r="AY221" s="37"/>
      <c r="AZ221" s="44"/>
      <c r="BA221" s="36"/>
      <c r="BB221" s="36"/>
      <c r="BC221" s="36"/>
      <c r="BD221" s="36"/>
      <c r="BE221" s="36"/>
      <c r="BF221" s="36"/>
      <c r="BG221" s="36"/>
      <c r="BH221" s="36"/>
      <c r="BI221" s="36"/>
      <c r="BJ221" s="36"/>
      <c r="BK221" s="36"/>
      <c r="BL221" s="36"/>
      <c r="BM221" s="36"/>
      <c r="BN221" s="36"/>
      <c r="BO221" s="36"/>
      <c r="BP221" s="37"/>
      <c r="BQ221" s="44"/>
      <c r="BR221" s="36"/>
      <c r="BS221" s="36"/>
      <c r="BT221" s="36"/>
      <c r="BU221" s="36"/>
      <c r="BV221" s="36"/>
      <c r="BW221" s="36"/>
      <c r="BX221" s="36"/>
      <c r="BY221" s="36"/>
      <c r="BZ221" s="36"/>
      <c r="CA221" s="36"/>
      <c r="CB221" s="36"/>
      <c r="CC221" s="36"/>
      <c r="CD221" s="36"/>
      <c r="CE221" s="36"/>
      <c r="CF221" s="36"/>
      <c r="CG221" s="37"/>
      <c r="CH221" s="44"/>
      <c r="CI221" s="36"/>
      <c r="CJ221" s="36"/>
      <c r="CK221" s="36"/>
      <c r="CL221" s="36"/>
      <c r="CM221" s="36"/>
      <c r="CN221" s="36"/>
      <c r="CO221" s="36"/>
      <c r="CP221" s="36"/>
      <c r="CQ221" s="36"/>
      <c r="CR221" s="36"/>
      <c r="CS221" s="36"/>
      <c r="CT221" s="36"/>
      <c r="CU221" s="36"/>
      <c r="CV221" s="36"/>
      <c r="CW221" s="36"/>
      <c r="CX221" s="37"/>
      <c r="CY221" s="44"/>
      <c r="CZ221" s="36"/>
      <c r="DA221" s="36"/>
      <c r="DB221" s="36"/>
      <c r="DC221" s="36"/>
      <c r="DD221" s="36"/>
      <c r="DE221" s="36"/>
      <c r="DF221" s="36"/>
      <c r="DG221" s="36"/>
      <c r="DH221" s="36"/>
      <c r="DI221" s="36"/>
      <c r="DJ221" s="36"/>
      <c r="DK221" s="36"/>
      <c r="DL221" s="36"/>
      <c r="DM221" s="36"/>
      <c r="DN221" s="36"/>
      <c r="DO221" s="37"/>
      <c r="DP221" s="44"/>
      <c r="DQ221" s="36"/>
      <c r="DR221" s="36"/>
      <c r="DS221" s="36"/>
      <c r="DT221" s="36"/>
      <c r="DU221" s="36"/>
      <c r="DV221" s="36"/>
      <c r="DW221" s="36"/>
      <c r="DX221" s="36"/>
      <c r="DY221" s="36"/>
      <c r="DZ221" s="36"/>
      <c r="EA221" s="36"/>
      <c r="EB221" s="36"/>
      <c r="EC221" s="36"/>
      <c r="ED221" s="36"/>
      <c r="EE221" s="36"/>
      <c r="EF221" s="37"/>
      <c r="EG221" s="44"/>
      <c r="EH221" s="36"/>
      <c r="EI221" s="36"/>
      <c r="EJ221" s="36"/>
      <c r="EK221" s="36"/>
      <c r="EL221" s="36"/>
      <c r="EM221" s="36"/>
      <c r="EN221" s="36"/>
      <c r="EO221" s="36"/>
      <c r="EP221" s="36"/>
      <c r="EQ221" s="36"/>
      <c r="ER221" s="36"/>
      <c r="ES221" s="36"/>
      <c r="ET221" s="36"/>
      <c r="EU221" s="36"/>
      <c r="EV221" s="36"/>
      <c r="EW221" s="37"/>
      <c r="EX221" s="44"/>
      <c r="EY221" s="36"/>
      <c r="EZ221" s="36"/>
      <c r="FA221" s="36"/>
      <c r="FB221" s="36"/>
      <c r="FC221" s="36"/>
      <c r="FD221" s="36"/>
      <c r="FE221" s="36"/>
      <c r="FF221" s="36"/>
      <c r="FG221" s="36"/>
      <c r="FH221" s="36"/>
      <c r="FI221" s="36"/>
      <c r="FJ221" s="36"/>
      <c r="FK221" s="36"/>
      <c r="FL221" s="36"/>
      <c r="FM221" s="36"/>
      <c r="FN221" s="37"/>
      <c r="FO221" s="44"/>
      <c r="FP221" s="36"/>
      <c r="FQ221" s="36"/>
      <c r="FR221" s="36"/>
      <c r="FS221" s="36"/>
      <c r="FT221" s="36"/>
      <c r="FU221" s="36"/>
      <c r="FV221" s="36"/>
      <c r="FW221" s="36"/>
      <c r="FX221" s="36"/>
      <c r="FY221" s="36"/>
      <c r="FZ221" s="36"/>
      <c r="GA221" s="36"/>
      <c r="GB221" s="36"/>
      <c r="GC221" s="36"/>
      <c r="GD221" s="36"/>
      <c r="GE221" s="37"/>
      <c r="GF221" s="44"/>
      <c r="GG221" s="36"/>
      <c r="GH221" s="36"/>
      <c r="GI221" s="36"/>
      <c r="GJ221" s="36"/>
      <c r="GK221" s="36"/>
      <c r="GL221" s="36"/>
      <c r="GM221" s="36"/>
      <c r="GN221" s="36"/>
      <c r="GO221" s="36"/>
      <c r="GP221" s="36"/>
      <c r="GQ221" s="36"/>
      <c r="GR221" s="36"/>
      <c r="GS221" s="36"/>
      <c r="GT221" s="36"/>
      <c r="GU221" s="36"/>
      <c r="GV221" s="37"/>
      <c r="GW221" s="44"/>
      <c r="GX221" s="36"/>
      <c r="GY221" s="36"/>
      <c r="GZ221" s="36"/>
      <c r="HA221" s="36"/>
      <c r="HB221" s="36"/>
      <c r="HC221" s="36"/>
      <c r="HD221" s="36"/>
      <c r="HE221" s="36"/>
      <c r="HF221" s="36"/>
      <c r="HG221" s="36"/>
      <c r="HH221" s="36"/>
      <c r="HI221" s="36"/>
      <c r="HJ221" s="36"/>
      <c r="HK221" s="36"/>
      <c r="HL221" s="36"/>
      <c r="HM221" s="37"/>
      <c r="HN221" s="44"/>
      <c r="HO221" s="36"/>
      <c r="HP221" s="36"/>
      <c r="HQ221" s="36"/>
      <c r="HR221" s="36"/>
      <c r="HS221" s="36"/>
      <c r="HT221" s="36"/>
      <c r="HU221" s="36"/>
      <c r="HV221" s="36"/>
      <c r="HW221" s="36"/>
      <c r="HX221" s="36"/>
      <c r="HY221" s="36"/>
      <c r="HZ221" s="36"/>
      <c r="IA221" s="36"/>
      <c r="IB221" s="36"/>
      <c r="IC221" s="36"/>
      <c r="ID221" s="37"/>
      <c r="IE221" s="44"/>
      <c r="IF221" s="36"/>
      <c r="IG221" s="36"/>
      <c r="IH221" s="36"/>
      <c r="II221" s="36"/>
      <c r="IJ221" s="36"/>
      <c r="IK221" s="36"/>
      <c r="IL221" s="36"/>
      <c r="IM221" s="36"/>
      <c r="IN221" s="36"/>
      <c r="IO221" s="36"/>
      <c r="IP221" s="36"/>
      <c r="IQ221" s="36"/>
      <c r="IR221" s="36"/>
      <c r="IS221" s="36"/>
      <c r="IT221" s="36"/>
      <c r="IU221" s="37"/>
      <c r="IV221" s="44"/>
      <c r="IW221" s="36"/>
      <c r="IX221" s="36"/>
      <c r="IY221" s="36"/>
      <c r="IZ221" s="36"/>
      <c r="JA221" s="36"/>
      <c r="JB221" s="36"/>
      <c r="JC221" s="36"/>
      <c r="JD221" s="36"/>
      <c r="JE221" s="36"/>
      <c r="JF221" s="36"/>
      <c r="JG221" s="36"/>
      <c r="JH221" s="36"/>
      <c r="JI221" s="36"/>
      <c r="JJ221" s="36"/>
      <c r="JK221" s="36"/>
      <c r="JL221" s="37"/>
      <c r="JM221" s="44"/>
      <c r="JN221" s="36"/>
      <c r="JO221" s="36"/>
      <c r="JP221" s="36"/>
      <c r="JQ221" s="36"/>
      <c r="JR221" s="36"/>
      <c r="JS221" s="36"/>
      <c r="JT221" s="36"/>
      <c r="JU221" s="36"/>
      <c r="JV221" s="36"/>
      <c r="JW221" s="36"/>
      <c r="JX221" s="36"/>
      <c r="JY221" s="36"/>
      <c r="JZ221" s="36"/>
      <c r="KA221" s="36"/>
      <c r="KB221" s="36"/>
      <c r="KC221" s="37"/>
      <c r="KD221" s="44"/>
      <c r="KE221" s="36"/>
      <c r="KF221" s="36"/>
      <c r="KG221" s="36"/>
      <c r="KH221" s="36"/>
      <c r="KI221" s="36"/>
      <c r="KJ221" s="36"/>
      <c r="KK221" s="36"/>
      <c r="KL221" s="36"/>
      <c r="KM221" s="36"/>
      <c r="KN221" s="36"/>
      <c r="KO221" s="36"/>
      <c r="KP221" s="36"/>
      <c r="KQ221" s="36"/>
      <c r="KR221" s="36"/>
      <c r="KS221" s="36"/>
      <c r="KT221" s="37"/>
      <c r="KU221" s="36"/>
    </row>
    <row r="222" ht="15.0" customHeight="1">
      <c r="A222" s="44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7"/>
      <c r="R222" s="44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7"/>
      <c r="AI222" s="44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  <c r="AU222" s="36"/>
      <c r="AV222" s="36"/>
      <c r="AW222" s="36"/>
      <c r="AX222" s="36"/>
      <c r="AY222" s="37"/>
      <c r="AZ222" s="44"/>
      <c r="BA222" s="36"/>
      <c r="BB222" s="36"/>
      <c r="BC222" s="36"/>
      <c r="BD222" s="36"/>
      <c r="BE222" s="36"/>
      <c r="BF222" s="36"/>
      <c r="BG222" s="36"/>
      <c r="BH222" s="36"/>
      <c r="BI222" s="36"/>
      <c r="BJ222" s="36"/>
      <c r="BK222" s="36"/>
      <c r="BL222" s="36"/>
      <c r="BM222" s="36"/>
      <c r="BN222" s="36"/>
      <c r="BO222" s="36"/>
      <c r="BP222" s="37"/>
      <c r="BQ222" s="44"/>
      <c r="BR222" s="36"/>
      <c r="BS222" s="36"/>
      <c r="BT222" s="36"/>
      <c r="BU222" s="36"/>
      <c r="BV222" s="36"/>
      <c r="BW222" s="36"/>
      <c r="BX222" s="36"/>
      <c r="BY222" s="36"/>
      <c r="BZ222" s="36"/>
      <c r="CA222" s="36"/>
      <c r="CB222" s="36"/>
      <c r="CC222" s="36"/>
      <c r="CD222" s="36"/>
      <c r="CE222" s="36"/>
      <c r="CF222" s="36"/>
      <c r="CG222" s="37"/>
      <c r="CH222" s="44"/>
      <c r="CI222" s="36"/>
      <c r="CJ222" s="36"/>
      <c r="CK222" s="36"/>
      <c r="CL222" s="36"/>
      <c r="CM222" s="36"/>
      <c r="CN222" s="36"/>
      <c r="CO222" s="36"/>
      <c r="CP222" s="36"/>
      <c r="CQ222" s="36"/>
      <c r="CR222" s="36"/>
      <c r="CS222" s="36"/>
      <c r="CT222" s="36"/>
      <c r="CU222" s="36"/>
      <c r="CV222" s="36"/>
      <c r="CW222" s="36"/>
      <c r="CX222" s="37"/>
      <c r="CY222" s="44"/>
      <c r="CZ222" s="36"/>
      <c r="DA222" s="36"/>
      <c r="DB222" s="36"/>
      <c r="DC222" s="36"/>
      <c r="DD222" s="36"/>
      <c r="DE222" s="36"/>
      <c r="DF222" s="36"/>
      <c r="DG222" s="36"/>
      <c r="DH222" s="36"/>
      <c r="DI222" s="36"/>
      <c r="DJ222" s="36"/>
      <c r="DK222" s="36"/>
      <c r="DL222" s="36"/>
      <c r="DM222" s="36"/>
      <c r="DN222" s="36"/>
      <c r="DO222" s="37"/>
      <c r="DP222" s="44"/>
      <c r="DQ222" s="36"/>
      <c r="DR222" s="36"/>
      <c r="DS222" s="36"/>
      <c r="DT222" s="36"/>
      <c r="DU222" s="36"/>
      <c r="DV222" s="36"/>
      <c r="DW222" s="36"/>
      <c r="DX222" s="36"/>
      <c r="DY222" s="36"/>
      <c r="DZ222" s="36"/>
      <c r="EA222" s="36"/>
      <c r="EB222" s="36"/>
      <c r="EC222" s="36"/>
      <c r="ED222" s="36"/>
      <c r="EE222" s="36"/>
      <c r="EF222" s="37"/>
      <c r="EG222" s="44"/>
      <c r="EH222" s="36"/>
      <c r="EI222" s="36"/>
      <c r="EJ222" s="36"/>
      <c r="EK222" s="36"/>
      <c r="EL222" s="36"/>
      <c r="EM222" s="36"/>
      <c r="EN222" s="36"/>
      <c r="EO222" s="36"/>
      <c r="EP222" s="36"/>
      <c r="EQ222" s="36"/>
      <c r="ER222" s="36"/>
      <c r="ES222" s="36"/>
      <c r="ET222" s="36"/>
      <c r="EU222" s="36"/>
      <c r="EV222" s="36"/>
      <c r="EW222" s="37"/>
      <c r="EX222" s="44"/>
      <c r="EY222" s="36"/>
      <c r="EZ222" s="36"/>
      <c r="FA222" s="36"/>
      <c r="FB222" s="36"/>
      <c r="FC222" s="36"/>
      <c r="FD222" s="36"/>
      <c r="FE222" s="36"/>
      <c r="FF222" s="36"/>
      <c r="FG222" s="36"/>
      <c r="FH222" s="36"/>
      <c r="FI222" s="36"/>
      <c r="FJ222" s="36"/>
      <c r="FK222" s="36"/>
      <c r="FL222" s="36"/>
      <c r="FM222" s="36"/>
      <c r="FN222" s="37"/>
      <c r="FO222" s="44"/>
      <c r="FP222" s="36"/>
      <c r="FQ222" s="36"/>
      <c r="FR222" s="36"/>
      <c r="FS222" s="36"/>
      <c r="FT222" s="36"/>
      <c r="FU222" s="36"/>
      <c r="FV222" s="36"/>
      <c r="FW222" s="36"/>
      <c r="FX222" s="36"/>
      <c r="FY222" s="36"/>
      <c r="FZ222" s="36"/>
      <c r="GA222" s="36"/>
      <c r="GB222" s="36"/>
      <c r="GC222" s="36"/>
      <c r="GD222" s="36"/>
      <c r="GE222" s="37"/>
      <c r="GF222" s="44"/>
      <c r="GG222" s="36"/>
      <c r="GH222" s="36"/>
      <c r="GI222" s="36"/>
      <c r="GJ222" s="36"/>
      <c r="GK222" s="36"/>
      <c r="GL222" s="36"/>
      <c r="GM222" s="36"/>
      <c r="GN222" s="36"/>
      <c r="GO222" s="36"/>
      <c r="GP222" s="36"/>
      <c r="GQ222" s="36"/>
      <c r="GR222" s="36"/>
      <c r="GS222" s="36"/>
      <c r="GT222" s="36"/>
      <c r="GU222" s="36"/>
      <c r="GV222" s="37"/>
      <c r="GW222" s="44"/>
      <c r="GX222" s="36"/>
      <c r="GY222" s="36"/>
      <c r="GZ222" s="36"/>
      <c r="HA222" s="36"/>
      <c r="HB222" s="36"/>
      <c r="HC222" s="36"/>
      <c r="HD222" s="36"/>
      <c r="HE222" s="36"/>
      <c r="HF222" s="36"/>
      <c r="HG222" s="36"/>
      <c r="HH222" s="36"/>
      <c r="HI222" s="36"/>
      <c r="HJ222" s="36"/>
      <c r="HK222" s="36"/>
      <c r="HL222" s="36"/>
      <c r="HM222" s="37"/>
      <c r="HN222" s="44"/>
      <c r="HO222" s="36"/>
      <c r="HP222" s="36"/>
      <c r="HQ222" s="36"/>
      <c r="HR222" s="36"/>
      <c r="HS222" s="36"/>
      <c r="HT222" s="36"/>
      <c r="HU222" s="36"/>
      <c r="HV222" s="36"/>
      <c r="HW222" s="36"/>
      <c r="HX222" s="36"/>
      <c r="HY222" s="36"/>
      <c r="HZ222" s="36"/>
      <c r="IA222" s="36"/>
      <c r="IB222" s="36"/>
      <c r="IC222" s="36"/>
      <c r="ID222" s="37"/>
      <c r="IE222" s="44"/>
      <c r="IF222" s="36"/>
      <c r="IG222" s="36"/>
      <c r="IH222" s="36"/>
      <c r="II222" s="36"/>
      <c r="IJ222" s="36"/>
      <c r="IK222" s="36"/>
      <c r="IL222" s="36"/>
      <c r="IM222" s="36"/>
      <c r="IN222" s="36"/>
      <c r="IO222" s="36"/>
      <c r="IP222" s="36"/>
      <c r="IQ222" s="36"/>
      <c r="IR222" s="36"/>
      <c r="IS222" s="36"/>
      <c r="IT222" s="36"/>
      <c r="IU222" s="37"/>
      <c r="IV222" s="44"/>
      <c r="IW222" s="36"/>
      <c r="IX222" s="36"/>
      <c r="IY222" s="36"/>
      <c r="IZ222" s="36"/>
      <c r="JA222" s="36"/>
      <c r="JB222" s="36"/>
      <c r="JC222" s="36"/>
      <c r="JD222" s="36"/>
      <c r="JE222" s="36"/>
      <c r="JF222" s="36"/>
      <c r="JG222" s="36"/>
      <c r="JH222" s="36"/>
      <c r="JI222" s="36"/>
      <c r="JJ222" s="36"/>
      <c r="JK222" s="36"/>
      <c r="JL222" s="37"/>
      <c r="JM222" s="44"/>
      <c r="JN222" s="36"/>
      <c r="JO222" s="36"/>
      <c r="JP222" s="36"/>
      <c r="JQ222" s="36"/>
      <c r="JR222" s="36"/>
      <c r="JS222" s="36"/>
      <c r="JT222" s="36"/>
      <c r="JU222" s="36"/>
      <c r="JV222" s="36"/>
      <c r="JW222" s="36"/>
      <c r="JX222" s="36"/>
      <c r="JY222" s="36"/>
      <c r="JZ222" s="36"/>
      <c r="KA222" s="36"/>
      <c r="KB222" s="36"/>
      <c r="KC222" s="37"/>
      <c r="KD222" s="44"/>
      <c r="KE222" s="36"/>
      <c r="KF222" s="36"/>
      <c r="KG222" s="36"/>
      <c r="KH222" s="36"/>
      <c r="KI222" s="36"/>
      <c r="KJ222" s="36"/>
      <c r="KK222" s="36"/>
      <c r="KL222" s="36"/>
      <c r="KM222" s="36"/>
      <c r="KN222" s="36"/>
      <c r="KO222" s="36"/>
      <c r="KP222" s="36"/>
      <c r="KQ222" s="36"/>
      <c r="KR222" s="36"/>
      <c r="KS222" s="36"/>
      <c r="KT222" s="37"/>
      <c r="KU222" s="36"/>
    </row>
    <row r="223" ht="15.0" customHeight="1">
      <c r="A223" s="44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7"/>
      <c r="R223" s="44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7"/>
      <c r="AI223" s="44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  <c r="AU223" s="36"/>
      <c r="AV223" s="36"/>
      <c r="AW223" s="36"/>
      <c r="AX223" s="36"/>
      <c r="AY223" s="37"/>
      <c r="AZ223" s="44"/>
      <c r="BA223" s="36"/>
      <c r="BB223" s="36"/>
      <c r="BC223" s="36"/>
      <c r="BD223" s="36"/>
      <c r="BE223" s="36"/>
      <c r="BF223" s="36"/>
      <c r="BG223" s="36"/>
      <c r="BH223" s="36"/>
      <c r="BI223" s="36"/>
      <c r="BJ223" s="36"/>
      <c r="BK223" s="36"/>
      <c r="BL223" s="36"/>
      <c r="BM223" s="36"/>
      <c r="BN223" s="36"/>
      <c r="BO223" s="36"/>
      <c r="BP223" s="37"/>
      <c r="BQ223" s="44"/>
      <c r="BR223" s="36"/>
      <c r="BS223" s="36"/>
      <c r="BT223" s="36"/>
      <c r="BU223" s="36"/>
      <c r="BV223" s="36"/>
      <c r="BW223" s="36"/>
      <c r="BX223" s="36"/>
      <c r="BY223" s="36"/>
      <c r="BZ223" s="36"/>
      <c r="CA223" s="36"/>
      <c r="CB223" s="36"/>
      <c r="CC223" s="36"/>
      <c r="CD223" s="36"/>
      <c r="CE223" s="36"/>
      <c r="CF223" s="36"/>
      <c r="CG223" s="37"/>
      <c r="CH223" s="44"/>
      <c r="CI223" s="36"/>
      <c r="CJ223" s="36"/>
      <c r="CK223" s="36"/>
      <c r="CL223" s="36"/>
      <c r="CM223" s="36"/>
      <c r="CN223" s="36"/>
      <c r="CO223" s="36"/>
      <c r="CP223" s="36"/>
      <c r="CQ223" s="36"/>
      <c r="CR223" s="36"/>
      <c r="CS223" s="36"/>
      <c r="CT223" s="36"/>
      <c r="CU223" s="36"/>
      <c r="CV223" s="36"/>
      <c r="CW223" s="36"/>
      <c r="CX223" s="37"/>
      <c r="CY223" s="44"/>
      <c r="CZ223" s="36"/>
      <c r="DA223" s="36"/>
      <c r="DB223" s="36"/>
      <c r="DC223" s="36"/>
      <c r="DD223" s="36"/>
      <c r="DE223" s="36"/>
      <c r="DF223" s="36"/>
      <c r="DG223" s="36"/>
      <c r="DH223" s="36"/>
      <c r="DI223" s="36"/>
      <c r="DJ223" s="36"/>
      <c r="DK223" s="36"/>
      <c r="DL223" s="36"/>
      <c r="DM223" s="36"/>
      <c r="DN223" s="36"/>
      <c r="DO223" s="37"/>
      <c r="DP223" s="44"/>
      <c r="DQ223" s="36"/>
      <c r="DR223" s="36"/>
      <c r="DS223" s="36"/>
      <c r="DT223" s="36"/>
      <c r="DU223" s="36"/>
      <c r="DV223" s="36"/>
      <c r="DW223" s="36"/>
      <c r="DX223" s="36"/>
      <c r="DY223" s="36"/>
      <c r="DZ223" s="36"/>
      <c r="EA223" s="36"/>
      <c r="EB223" s="36"/>
      <c r="EC223" s="36"/>
      <c r="ED223" s="36"/>
      <c r="EE223" s="36"/>
      <c r="EF223" s="37"/>
      <c r="EG223" s="44"/>
      <c r="EH223" s="36"/>
      <c r="EI223" s="36"/>
      <c r="EJ223" s="36"/>
      <c r="EK223" s="36"/>
      <c r="EL223" s="36"/>
      <c r="EM223" s="36"/>
      <c r="EN223" s="36"/>
      <c r="EO223" s="36"/>
      <c r="EP223" s="36"/>
      <c r="EQ223" s="36"/>
      <c r="ER223" s="36"/>
      <c r="ES223" s="36"/>
      <c r="ET223" s="36"/>
      <c r="EU223" s="36"/>
      <c r="EV223" s="36"/>
      <c r="EW223" s="37"/>
      <c r="EX223" s="44"/>
      <c r="EY223" s="36"/>
      <c r="EZ223" s="36"/>
      <c r="FA223" s="36"/>
      <c r="FB223" s="36"/>
      <c r="FC223" s="36"/>
      <c r="FD223" s="36"/>
      <c r="FE223" s="36"/>
      <c r="FF223" s="36"/>
      <c r="FG223" s="36"/>
      <c r="FH223" s="36"/>
      <c r="FI223" s="36"/>
      <c r="FJ223" s="36"/>
      <c r="FK223" s="36"/>
      <c r="FL223" s="36"/>
      <c r="FM223" s="36"/>
      <c r="FN223" s="37"/>
      <c r="FO223" s="44"/>
      <c r="FP223" s="36"/>
      <c r="FQ223" s="36"/>
      <c r="FR223" s="36"/>
      <c r="FS223" s="36"/>
      <c r="FT223" s="36"/>
      <c r="FU223" s="36"/>
      <c r="FV223" s="36"/>
      <c r="FW223" s="36"/>
      <c r="FX223" s="36"/>
      <c r="FY223" s="36"/>
      <c r="FZ223" s="36"/>
      <c r="GA223" s="36"/>
      <c r="GB223" s="36"/>
      <c r="GC223" s="36"/>
      <c r="GD223" s="36"/>
      <c r="GE223" s="37"/>
      <c r="GF223" s="44"/>
      <c r="GG223" s="36"/>
      <c r="GH223" s="36"/>
      <c r="GI223" s="36"/>
      <c r="GJ223" s="36"/>
      <c r="GK223" s="36"/>
      <c r="GL223" s="36"/>
      <c r="GM223" s="36"/>
      <c r="GN223" s="36"/>
      <c r="GO223" s="36"/>
      <c r="GP223" s="36"/>
      <c r="GQ223" s="36"/>
      <c r="GR223" s="36"/>
      <c r="GS223" s="36"/>
      <c r="GT223" s="36"/>
      <c r="GU223" s="36"/>
      <c r="GV223" s="37"/>
      <c r="GW223" s="44"/>
      <c r="GX223" s="36"/>
      <c r="GY223" s="36"/>
      <c r="GZ223" s="36"/>
      <c r="HA223" s="36"/>
      <c r="HB223" s="36"/>
      <c r="HC223" s="36"/>
      <c r="HD223" s="36"/>
      <c r="HE223" s="36"/>
      <c r="HF223" s="36"/>
      <c r="HG223" s="36"/>
      <c r="HH223" s="36"/>
      <c r="HI223" s="36"/>
      <c r="HJ223" s="36"/>
      <c r="HK223" s="36"/>
      <c r="HL223" s="36"/>
      <c r="HM223" s="37"/>
      <c r="HN223" s="44"/>
      <c r="HO223" s="36"/>
      <c r="HP223" s="36"/>
      <c r="HQ223" s="36"/>
      <c r="HR223" s="36"/>
      <c r="HS223" s="36"/>
      <c r="HT223" s="36"/>
      <c r="HU223" s="36"/>
      <c r="HV223" s="36"/>
      <c r="HW223" s="36"/>
      <c r="HX223" s="36"/>
      <c r="HY223" s="36"/>
      <c r="HZ223" s="36"/>
      <c r="IA223" s="36"/>
      <c r="IB223" s="36"/>
      <c r="IC223" s="36"/>
      <c r="ID223" s="37"/>
      <c r="IE223" s="44"/>
      <c r="IF223" s="36"/>
      <c r="IG223" s="36"/>
      <c r="IH223" s="36"/>
      <c r="II223" s="36"/>
      <c r="IJ223" s="36"/>
      <c r="IK223" s="36"/>
      <c r="IL223" s="36"/>
      <c r="IM223" s="36"/>
      <c r="IN223" s="36"/>
      <c r="IO223" s="36"/>
      <c r="IP223" s="36"/>
      <c r="IQ223" s="36"/>
      <c r="IR223" s="36"/>
      <c r="IS223" s="36"/>
      <c r="IT223" s="36"/>
      <c r="IU223" s="37"/>
      <c r="IV223" s="44"/>
      <c r="IW223" s="36"/>
      <c r="IX223" s="36"/>
      <c r="IY223" s="36"/>
      <c r="IZ223" s="36"/>
      <c r="JA223" s="36"/>
      <c r="JB223" s="36"/>
      <c r="JC223" s="36"/>
      <c r="JD223" s="36"/>
      <c r="JE223" s="36"/>
      <c r="JF223" s="36"/>
      <c r="JG223" s="36"/>
      <c r="JH223" s="36"/>
      <c r="JI223" s="36"/>
      <c r="JJ223" s="36"/>
      <c r="JK223" s="36"/>
      <c r="JL223" s="37"/>
      <c r="JM223" s="44"/>
      <c r="JN223" s="36"/>
      <c r="JO223" s="36"/>
      <c r="JP223" s="36"/>
      <c r="JQ223" s="36"/>
      <c r="JR223" s="36"/>
      <c r="JS223" s="36"/>
      <c r="JT223" s="36"/>
      <c r="JU223" s="36"/>
      <c r="JV223" s="36"/>
      <c r="JW223" s="36"/>
      <c r="JX223" s="36"/>
      <c r="JY223" s="36"/>
      <c r="JZ223" s="36"/>
      <c r="KA223" s="36"/>
      <c r="KB223" s="36"/>
      <c r="KC223" s="37"/>
      <c r="KD223" s="44"/>
      <c r="KE223" s="36"/>
      <c r="KF223" s="36"/>
      <c r="KG223" s="36"/>
      <c r="KH223" s="36"/>
      <c r="KI223" s="36"/>
      <c r="KJ223" s="36"/>
      <c r="KK223" s="36"/>
      <c r="KL223" s="36"/>
      <c r="KM223" s="36"/>
      <c r="KN223" s="36"/>
      <c r="KO223" s="36"/>
      <c r="KP223" s="36"/>
      <c r="KQ223" s="36"/>
      <c r="KR223" s="36"/>
      <c r="KS223" s="36"/>
      <c r="KT223" s="37"/>
      <c r="KU223" s="36"/>
    </row>
    <row r="224" ht="15.0" customHeight="1">
      <c r="A224" s="44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7"/>
      <c r="R224" s="44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7"/>
      <c r="AI224" s="44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  <c r="AU224" s="36"/>
      <c r="AV224" s="36"/>
      <c r="AW224" s="36"/>
      <c r="AX224" s="36"/>
      <c r="AY224" s="37"/>
      <c r="AZ224" s="44"/>
      <c r="BA224" s="36"/>
      <c r="BB224" s="36"/>
      <c r="BC224" s="36"/>
      <c r="BD224" s="36"/>
      <c r="BE224" s="36"/>
      <c r="BF224" s="36"/>
      <c r="BG224" s="36"/>
      <c r="BH224" s="36"/>
      <c r="BI224" s="36"/>
      <c r="BJ224" s="36"/>
      <c r="BK224" s="36"/>
      <c r="BL224" s="36"/>
      <c r="BM224" s="36"/>
      <c r="BN224" s="36"/>
      <c r="BO224" s="36"/>
      <c r="BP224" s="37"/>
      <c r="BQ224" s="44"/>
      <c r="BR224" s="36"/>
      <c r="BS224" s="36"/>
      <c r="BT224" s="36"/>
      <c r="BU224" s="36"/>
      <c r="BV224" s="36"/>
      <c r="BW224" s="36"/>
      <c r="BX224" s="36"/>
      <c r="BY224" s="36"/>
      <c r="BZ224" s="36"/>
      <c r="CA224" s="36"/>
      <c r="CB224" s="36"/>
      <c r="CC224" s="36"/>
      <c r="CD224" s="36"/>
      <c r="CE224" s="36"/>
      <c r="CF224" s="36"/>
      <c r="CG224" s="37"/>
      <c r="CH224" s="44"/>
      <c r="CI224" s="36"/>
      <c r="CJ224" s="36"/>
      <c r="CK224" s="36"/>
      <c r="CL224" s="36"/>
      <c r="CM224" s="36"/>
      <c r="CN224" s="36"/>
      <c r="CO224" s="36"/>
      <c r="CP224" s="36"/>
      <c r="CQ224" s="36"/>
      <c r="CR224" s="36"/>
      <c r="CS224" s="36"/>
      <c r="CT224" s="36"/>
      <c r="CU224" s="36"/>
      <c r="CV224" s="36"/>
      <c r="CW224" s="36"/>
      <c r="CX224" s="37"/>
      <c r="CY224" s="44"/>
      <c r="CZ224" s="36"/>
      <c r="DA224" s="36"/>
      <c r="DB224" s="36"/>
      <c r="DC224" s="36"/>
      <c r="DD224" s="36"/>
      <c r="DE224" s="36"/>
      <c r="DF224" s="36"/>
      <c r="DG224" s="36"/>
      <c r="DH224" s="36"/>
      <c r="DI224" s="36"/>
      <c r="DJ224" s="36"/>
      <c r="DK224" s="36"/>
      <c r="DL224" s="36"/>
      <c r="DM224" s="36"/>
      <c r="DN224" s="36"/>
      <c r="DO224" s="37"/>
      <c r="DP224" s="44"/>
      <c r="DQ224" s="36"/>
      <c r="DR224" s="36"/>
      <c r="DS224" s="36"/>
      <c r="DT224" s="36"/>
      <c r="DU224" s="36"/>
      <c r="DV224" s="36"/>
      <c r="DW224" s="36"/>
      <c r="DX224" s="36"/>
      <c r="DY224" s="36"/>
      <c r="DZ224" s="36"/>
      <c r="EA224" s="36"/>
      <c r="EB224" s="36"/>
      <c r="EC224" s="36"/>
      <c r="ED224" s="36"/>
      <c r="EE224" s="36"/>
      <c r="EF224" s="37"/>
      <c r="EG224" s="44"/>
      <c r="EH224" s="36"/>
      <c r="EI224" s="36"/>
      <c r="EJ224" s="36"/>
      <c r="EK224" s="36"/>
      <c r="EL224" s="36"/>
      <c r="EM224" s="36"/>
      <c r="EN224" s="36"/>
      <c r="EO224" s="36"/>
      <c r="EP224" s="36"/>
      <c r="EQ224" s="36"/>
      <c r="ER224" s="36"/>
      <c r="ES224" s="36"/>
      <c r="ET224" s="36"/>
      <c r="EU224" s="36"/>
      <c r="EV224" s="36"/>
      <c r="EW224" s="37"/>
      <c r="EX224" s="44"/>
      <c r="EY224" s="36"/>
      <c r="EZ224" s="36"/>
      <c r="FA224" s="36"/>
      <c r="FB224" s="36"/>
      <c r="FC224" s="36"/>
      <c r="FD224" s="36"/>
      <c r="FE224" s="36"/>
      <c r="FF224" s="36"/>
      <c r="FG224" s="36"/>
      <c r="FH224" s="36"/>
      <c r="FI224" s="36"/>
      <c r="FJ224" s="36"/>
      <c r="FK224" s="36"/>
      <c r="FL224" s="36"/>
      <c r="FM224" s="36"/>
      <c r="FN224" s="37"/>
      <c r="FO224" s="44"/>
      <c r="FP224" s="36"/>
      <c r="FQ224" s="36"/>
      <c r="FR224" s="36"/>
      <c r="FS224" s="36"/>
      <c r="FT224" s="36"/>
      <c r="FU224" s="36"/>
      <c r="FV224" s="36"/>
      <c r="FW224" s="36"/>
      <c r="FX224" s="36"/>
      <c r="FY224" s="36"/>
      <c r="FZ224" s="36"/>
      <c r="GA224" s="36"/>
      <c r="GB224" s="36"/>
      <c r="GC224" s="36"/>
      <c r="GD224" s="36"/>
      <c r="GE224" s="37"/>
      <c r="GF224" s="44"/>
      <c r="GG224" s="36"/>
      <c r="GH224" s="36"/>
      <c r="GI224" s="36"/>
      <c r="GJ224" s="36"/>
      <c r="GK224" s="36"/>
      <c r="GL224" s="36"/>
      <c r="GM224" s="36"/>
      <c r="GN224" s="36"/>
      <c r="GO224" s="36"/>
      <c r="GP224" s="36"/>
      <c r="GQ224" s="36"/>
      <c r="GR224" s="36"/>
      <c r="GS224" s="36"/>
      <c r="GT224" s="36"/>
      <c r="GU224" s="36"/>
      <c r="GV224" s="37"/>
      <c r="GW224" s="44"/>
      <c r="GX224" s="36"/>
      <c r="GY224" s="36"/>
      <c r="GZ224" s="36"/>
      <c r="HA224" s="36"/>
      <c r="HB224" s="36"/>
      <c r="HC224" s="36"/>
      <c r="HD224" s="36"/>
      <c r="HE224" s="36"/>
      <c r="HF224" s="36"/>
      <c r="HG224" s="36"/>
      <c r="HH224" s="36"/>
      <c r="HI224" s="36"/>
      <c r="HJ224" s="36"/>
      <c r="HK224" s="36"/>
      <c r="HL224" s="36"/>
      <c r="HM224" s="37"/>
      <c r="HN224" s="44"/>
      <c r="HO224" s="36"/>
      <c r="HP224" s="36"/>
      <c r="HQ224" s="36"/>
      <c r="HR224" s="36"/>
      <c r="HS224" s="36"/>
      <c r="HT224" s="36"/>
      <c r="HU224" s="36"/>
      <c r="HV224" s="36"/>
      <c r="HW224" s="36"/>
      <c r="HX224" s="36"/>
      <c r="HY224" s="36"/>
      <c r="HZ224" s="36"/>
      <c r="IA224" s="36"/>
      <c r="IB224" s="36"/>
      <c r="IC224" s="36"/>
      <c r="ID224" s="37"/>
      <c r="IE224" s="44"/>
      <c r="IF224" s="36"/>
      <c r="IG224" s="36"/>
      <c r="IH224" s="36"/>
      <c r="II224" s="36"/>
      <c r="IJ224" s="36"/>
      <c r="IK224" s="36"/>
      <c r="IL224" s="36"/>
      <c r="IM224" s="36"/>
      <c r="IN224" s="36"/>
      <c r="IO224" s="36"/>
      <c r="IP224" s="36"/>
      <c r="IQ224" s="36"/>
      <c r="IR224" s="36"/>
      <c r="IS224" s="36"/>
      <c r="IT224" s="36"/>
      <c r="IU224" s="37"/>
      <c r="IV224" s="44"/>
      <c r="IW224" s="36"/>
      <c r="IX224" s="36"/>
      <c r="IY224" s="36"/>
      <c r="IZ224" s="36"/>
      <c r="JA224" s="36"/>
      <c r="JB224" s="36"/>
      <c r="JC224" s="36"/>
      <c r="JD224" s="36"/>
      <c r="JE224" s="36"/>
      <c r="JF224" s="36"/>
      <c r="JG224" s="36"/>
      <c r="JH224" s="36"/>
      <c r="JI224" s="36"/>
      <c r="JJ224" s="36"/>
      <c r="JK224" s="36"/>
      <c r="JL224" s="37"/>
      <c r="JM224" s="44"/>
      <c r="JN224" s="36"/>
      <c r="JO224" s="36"/>
      <c r="JP224" s="36"/>
      <c r="JQ224" s="36"/>
      <c r="JR224" s="36"/>
      <c r="JS224" s="36"/>
      <c r="JT224" s="36"/>
      <c r="JU224" s="36"/>
      <c r="JV224" s="36"/>
      <c r="JW224" s="36"/>
      <c r="JX224" s="36"/>
      <c r="JY224" s="36"/>
      <c r="JZ224" s="36"/>
      <c r="KA224" s="36"/>
      <c r="KB224" s="36"/>
      <c r="KC224" s="37"/>
      <c r="KD224" s="44"/>
      <c r="KE224" s="36"/>
      <c r="KF224" s="36"/>
      <c r="KG224" s="36"/>
      <c r="KH224" s="36"/>
      <c r="KI224" s="36"/>
      <c r="KJ224" s="36"/>
      <c r="KK224" s="36"/>
      <c r="KL224" s="36"/>
      <c r="KM224" s="36"/>
      <c r="KN224" s="36"/>
      <c r="KO224" s="36"/>
      <c r="KP224" s="36"/>
      <c r="KQ224" s="36"/>
      <c r="KR224" s="36"/>
      <c r="KS224" s="36"/>
      <c r="KT224" s="37"/>
      <c r="KU224" s="36"/>
    </row>
    <row r="225" ht="15.0" customHeight="1">
      <c r="A225" s="44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7"/>
      <c r="R225" s="44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7"/>
      <c r="AI225" s="44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  <c r="AU225" s="36"/>
      <c r="AV225" s="36"/>
      <c r="AW225" s="36"/>
      <c r="AX225" s="36"/>
      <c r="AY225" s="37"/>
      <c r="AZ225" s="44"/>
      <c r="BA225" s="36"/>
      <c r="BB225" s="36"/>
      <c r="BC225" s="36"/>
      <c r="BD225" s="36"/>
      <c r="BE225" s="36"/>
      <c r="BF225" s="36"/>
      <c r="BG225" s="36"/>
      <c r="BH225" s="36"/>
      <c r="BI225" s="36"/>
      <c r="BJ225" s="36"/>
      <c r="BK225" s="36"/>
      <c r="BL225" s="36"/>
      <c r="BM225" s="36"/>
      <c r="BN225" s="36"/>
      <c r="BO225" s="36"/>
      <c r="BP225" s="37"/>
      <c r="BQ225" s="44"/>
      <c r="BR225" s="36"/>
      <c r="BS225" s="36"/>
      <c r="BT225" s="36"/>
      <c r="BU225" s="36"/>
      <c r="BV225" s="36"/>
      <c r="BW225" s="36"/>
      <c r="BX225" s="36"/>
      <c r="BY225" s="36"/>
      <c r="BZ225" s="36"/>
      <c r="CA225" s="36"/>
      <c r="CB225" s="36"/>
      <c r="CC225" s="36"/>
      <c r="CD225" s="36"/>
      <c r="CE225" s="36"/>
      <c r="CF225" s="36"/>
      <c r="CG225" s="37"/>
      <c r="CH225" s="44"/>
      <c r="CI225" s="36"/>
      <c r="CJ225" s="36"/>
      <c r="CK225" s="36"/>
      <c r="CL225" s="36"/>
      <c r="CM225" s="36"/>
      <c r="CN225" s="36"/>
      <c r="CO225" s="36"/>
      <c r="CP225" s="36"/>
      <c r="CQ225" s="36"/>
      <c r="CR225" s="36"/>
      <c r="CS225" s="36"/>
      <c r="CT225" s="36"/>
      <c r="CU225" s="36"/>
      <c r="CV225" s="36"/>
      <c r="CW225" s="36"/>
      <c r="CX225" s="37"/>
      <c r="CY225" s="44"/>
      <c r="CZ225" s="36"/>
      <c r="DA225" s="36"/>
      <c r="DB225" s="36"/>
      <c r="DC225" s="36"/>
      <c r="DD225" s="36"/>
      <c r="DE225" s="36"/>
      <c r="DF225" s="36"/>
      <c r="DG225" s="36"/>
      <c r="DH225" s="36"/>
      <c r="DI225" s="36"/>
      <c r="DJ225" s="36"/>
      <c r="DK225" s="36"/>
      <c r="DL225" s="36"/>
      <c r="DM225" s="36"/>
      <c r="DN225" s="36"/>
      <c r="DO225" s="37"/>
      <c r="DP225" s="44"/>
      <c r="DQ225" s="36"/>
      <c r="DR225" s="36"/>
      <c r="DS225" s="36"/>
      <c r="DT225" s="36"/>
      <c r="DU225" s="36"/>
      <c r="DV225" s="36"/>
      <c r="DW225" s="36"/>
      <c r="DX225" s="36"/>
      <c r="DY225" s="36"/>
      <c r="DZ225" s="36"/>
      <c r="EA225" s="36"/>
      <c r="EB225" s="36"/>
      <c r="EC225" s="36"/>
      <c r="ED225" s="36"/>
      <c r="EE225" s="36"/>
      <c r="EF225" s="37"/>
      <c r="EG225" s="44"/>
      <c r="EH225" s="36"/>
      <c r="EI225" s="36"/>
      <c r="EJ225" s="36"/>
      <c r="EK225" s="36"/>
      <c r="EL225" s="36"/>
      <c r="EM225" s="36"/>
      <c r="EN225" s="36"/>
      <c r="EO225" s="36"/>
      <c r="EP225" s="36"/>
      <c r="EQ225" s="36"/>
      <c r="ER225" s="36"/>
      <c r="ES225" s="36"/>
      <c r="ET225" s="36"/>
      <c r="EU225" s="36"/>
      <c r="EV225" s="36"/>
      <c r="EW225" s="37"/>
      <c r="EX225" s="44"/>
      <c r="EY225" s="36"/>
      <c r="EZ225" s="36"/>
      <c r="FA225" s="36"/>
      <c r="FB225" s="36"/>
      <c r="FC225" s="36"/>
      <c r="FD225" s="36"/>
      <c r="FE225" s="36"/>
      <c r="FF225" s="36"/>
      <c r="FG225" s="36"/>
      <c r="FH225" s="36"/>
      <c r="FI225" s="36"/>
      <c r="FJ225" s="36"/>
      <c r="FK225" s="36"/>
      <c r="FL225" s="36"/>
      <c r="FM225" s="36"/>
      <c r="FN225" s="37"/>
      <c r="FO225" s="44"/>
      <c r="FP225" s="36"/>
      <c r="FQ225" s="36"/>
      <c r="FR225" s="36"/>
      <c r="FS225" s="36"/>
      <c r="FT225" s="36"/>
      <c r="FU225" s="36"/>
      <c r="FV225" s="36"/>
      <c r="FW225" s="36"/>
      <c r="FX225" s="36"/>
      <c r="FY225" s="36"/>
      <c r="FZ225" s="36"/>
      <c r="GA225" s="36"/>
      <c r="GB225" s="36"/>
      <c r="GC225" s="36"/>
      <c r="GD225" s="36"/>
      <c r="GE225" s="37"/>
      <c r="GF225" s="44"/>
      <c r="GG225" s="36"/>
      <c r="GH225" s="36"/>
      <c r="GI225" s="36"/>
      <c r="GJ225" s="36"/>
      <c r="GK225" s="36"/>
      <c r="GL225" s="36"/>
      <c r="GM225" s="36"/>
      <c r="GN225" s="36"/>
      <c r="GO225" s="36"/>
      <c r="GP225" s="36"/>
      <c r="GQ225" s="36"/>
      <c r="GR225" s="36"/>
      <c r="GS225" s="36"/>
      <c r="GT225" s="36"/>
      <c r="GU225" s="36"/>
      <c r="GV225" s="37"/>
      <c r="GW225" s="44"/>
      <c r="GX225" s="36"/>
      <c r="GY225" s="36"/>
      <c r="GZ225" s="36"/>
      <c r="HA225" s="36"/>
      <c r="HB225" s="36"/>
      <c r="HC225" s="36"/>
      <c r="HD225" s="36"/>
      <c r="HE225" s="36"/>
      <c r="HF225" s="36"/>
      <c r="HG225" s="36"/>
      <c r="HH225" s="36"/>
      <c r="HI225" s="36"/>
      <c r="HJ225" s="36"/>
      <c r="HK225" s="36"/>
      <c r="HL225" s="36"/>
      <c r="HM225" s="37"/>
      <c r="HN225" s="44"/>
      <c r="HO225" s="36"/>
      <c r="HP225" s="36"/>
      <c r="HQ225" s="36"/>
      <c r="HR225" s="36"/>
      <c r="HS225" s="36"/>
      <c r="HT225" s="36"/>
      <c r="HU225" s="36"/>
      <c r="HV225" s="36"/>
      <c r="HW225" s="36"/>
      <c r="HX225" s="36"/>
      <c r="HY225" s="36"/>
      <c r="HZ225" s="36"/>
      <c r="IA225" s="36"/>
      <c r="IB225" s="36"/>
      <c r="IC225" s="36"/>
      <c r="ID225" s="37"/>
      <c r="IE225" s="44"/>
      <c r="IF225" s="36"/>
      <c r="IG225" s="36"/>
      <c r="IH225" s="36"/>
      <c r="II225" s="36"/>
      <c r="IJ225" s="36"/>
      <c r="IK225" s="36"/>
      <c r="IL225" s="36"/>
      <c r="IM225" s="36"/>
      <c r="IN225" s="36"/>
      <c r="IO225" s="36"/>
      <c r="IP225" s="36"/>
      <c r="IQ225" s="36"/>
      <c r="IR225" s="36"/>
      <c r="IS225" s="36"/>
      <c r="IT225" s="36"/>
      <c r="IU225" s="37"/>
      <c r="IV225" s="44"/>
      <c r="IW225" s="36"/>
      <c r="IX225" s="36"/>
      <c r="IY225" s="36"/>
      <c r="IZ225" s="36"/>
      <c r="JA225" s="36"/>
      <c r="JB225" s="36"/>
      <c r="JC225" s="36"/>
      <c r="JD225" s="36"/>
      <c r="JE225" s="36"/>
      <c r="JF225" s="36"/>
      <c r="JG225" s="36"/>
      <c r="JH225" s="36"/>
      <c r="JI225" s="36"/>
      <c r="JJ225" s="36"/>
      <c r="JK225" s="36"/>
      <c r="JL225" s="37"/>
      <c r="JM225" s="44"/>
      <c r="JN225" s="36"/>
      <c r="JO225" s="36"/>
      <c r="JP225" s="36"/>
      <c r="JQ225" s="36"/>
      <c r="JR225" s="36"/>
      <c r="JS225" s="36"/>
      <c r="JT225" s="36"/>
      <c r="JU225" s="36"/>
      <c r="JV225" s="36"/>
      <c r="JW225" s="36"/>
      <c r="JX225" s="36"/>
      <c r="JY225" s="36"/>
      <c r="JZ225" s="36"/>
      <c r="KA225" s="36"/>
      <c r="KB225" s="36"/>
      <c r="KC225" s="37"/>
      <c r="KD225" s="44"/>
      <c r="KE225" s="36"/>
      <c r="KF225" s="36"/>
      <c r="KG225" s="36"/>
      <c r="KH225" s="36"/>
      <c r="KI225" s="36"/>
      <c r="KJ225" s="36"/>
      <c r="KK225" s="36"/>
      <c r="KL225" s="36"/>
      <c r="KM225" s="36"/>
      <c r="KN225" s="36"/>
      <c r="KO225" s="36"/>
      <c r="KP225" s="36"/>
      <c r="KQ225" s="36"/>
      <c r="KR225" s="36"/>
      <c r="KS225" s="36"/>
      <c r="KT225" s="37"/>
      <c r="KU225" s="36"/>
    </row>
    <row r="226" ht="15.0" customHeight="1">
      <c r="A226" s="44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7"/>
      <c r="R226" s="44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7"/>
      <c r="AI226" s="44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  <c r="AU226" s="36"/>
      <c r="AV226" s="36"/>
      <c r="AW226" s="36"/>
      <c r="AX226" s="36"/>
      <c r="AY226" s="37"/>
      <c r="AZ226" s="44"/>
      <c r="BA226" s="36"/>
      <c r="BB226" s="36"/>
      <c r="BC226" s="36"/>
      <c r="BD226" s="36"/>
      <c r="BE226" s="36"/>
      <c r="BF226" s="36"/>
      <c r="BG226" s="36"/>
      <c r="BH226" s="36"/>
      <c r="BI226" s="36"/>
      <c r="BJ226" s="36"/>
      <c r="BK226" s="36"/>
      <c r="BL226" s="36"/>
      <c r="BM226" s="36"/>
      <c r="BN226" s="36"/>
      <c r="BO226" s="36"/>
      <c r="BP226" s="37"/>
      <c r="BQ226" s="44"/>
      <c r="BR226" s="36"/>
      <c r="BS226" s="36"/>
      <c r="BT226" s="36"/>
      <c r="BU226" s="36"/>
      <c r="BV226" s="36"/>
      <c r="BW226" s="36"/>
      <c r="BX226" s="36"/>
      <c r="BY226" s="36"/>
      <c r="BZ226" s="36"/>
      <c r="CA226" s="36"/>
      <c r="CB226" s="36"/>
      <c r="CC226" s="36"/>
      <c r="CD226" s="36"/>
      <c r="CE226" s="36"/>
      <c r="CF226" s="36"/>
      <c r="CG226" s="37"/>
      <c r="CH226" s="44"/>
      <c r="CI226" s="36"/>
      <c r="CJ226" s="36"/>
      <c r="CK226" s="36"/>
      <c r="CL226" s="36"/>
      <c r="CM226" s="36"/>
      <c r="CN226" s="36"/>
      <c r="CO226" s="36"/>
      <c r="CP226" s="36"/>
      <c r="CQ226" s="36"/>
      <c r="CR226" s="36"/>
      <c r="CS226" s="36"/>
      <c r="CT226" s="36"/>
      <c r="CU226" s="36"/>
      <c r="CV226" s="36"/>
      <c r="CW226" s="36"/>
      <c r="CX226" s="37"/>
      <c r="CY226" s="44"/>
      <c r="CZ226" s="36"/>
      <c r="DA226" s="36"/>
      <c r="DB226" s="36"/>
      <c r="DC226" s="36"/>
      <c r="DD226" s="36"/>
      <c r="DE226" s="36"/>
      <c r="DF226" s="36"/>
      <c r="DG226" s="36"/>
      <c r="DH226" s="36"/>
      <c r="DI226" s="36"/>
      <c r="DJ226" s="36"/>
      <c r="DK226" s="36"/>
      <c r="DL226" s="36"/>
      <c r="DM226" s="36"/>
      <c r="DN226" s="36"/>
      <c r="DO226" s="37"/>
      <c r="DP226" s="44"/>
      <c r="DQ226" s="36"/>
      <c r="DR226" s="36"/>
      <c r="DS226" s="36"/>
      <c r="DT226" s="36"/>
      <c r="DU226" s="36"/>
      <c r="DV226" s="36"/>
      <c r="DW226" s="36"/>
      <c r="DX226" s="36"/>
      <c r="DY226" s="36"/>
      <c r="DZ226" s="36"/>
      <c r="EA226" s="36"/>
      <c r="EB226" s="36"/>
      <c r="EC226" s="36"/>
      <c r="ED226" s="36"/>
      <c r="EE226" s="36"/>
      <c r="EF226" s="37"/>
      <c r="EG226" s="44"/>
      <c r="EH226" s="36"/>
      <c r="EI226" s="36"/>
      <c r="EJ226" s="36"/>
      <c r="EK226" s="36"/>
      <c r="EL226" s="36"/>
      <c r="EM226" s="36"/>
      <c r="EN226" s="36"/>
      <c r="EO226" s="36"/>
      <c r="EP226" s="36"/>
      <c r="EQ226" s="36"/>
      <c r="ER226" s="36"/>
      <c r="ES226" s="36"/>
      <c r="ET226" s="36"/>
      <c r="EU226" s="36"/>
      <c r="EV226" s="36"/>
      <c r="EW226" s="37"/>
      <c r="EX226" s="44"/>
      <c r="EY226" s="36"/>
      <c r="EZ226" s="36"/>
      <c r="FA226" s="36"/>
      <c r="FB226" s="36"/>
      <c r="FC226" s="36"/>
      <c r="FD226" s="36"/>
      <c r="FE226" s="36"/>
      <c r="FF226" s="36"/>
      <c r="FG226" s="36"/>
      <c r="FH226" s="36"/>
      <c r="FI226" s="36"/>
      <c r="FJ226" s="36"/>
      <c r="FK226" s="36"/>
      <c r="FL226" s="36"/>
      <c r="FM226" s="36"/>
      <c r="FN226" s="37"/>
      <c r="FO226" s="44"/>
      <c r="FP226" s="36"/>
      <c r="FQ226" s="36"/>
      <c r="FR226" s="36"/>
      <c r="FS226" s="36"/>
      <c r="FT226" s="36"/>
      <c r="FU226" s="36"/>
      <c r="FV226" s="36"/>
      <c r="FW226" s="36"/>
      <c r="FX226" s="36"/>
      <c r="FY226" s="36"/>
      <c r="FZ226" s="36"/>
      <c r="GA226" s="36"/>
      <c r="GB226" s="36"/>
      <c r="GC226" s="36"/>
      <c r="GD226" s="36"/>
      <c r="GE226" s="37"/>
      <c r="GF226" s="44"/>
      <c r="GG226" s="36"/>
      <c r="GH226" s="36"/>
      <c r="GI226" s="36"/>
      <c r="GJ226" s="36"/>
      <c r="GK226" s="36"/>
      <c r="GL226" s="36"/>
      <c r="GM226" s="36"/>
      <c r="GN226" s="36"/>
      <c r="GO226" s="36"/>
      <c r="GP226" s="36"/>
      <c r="GQ226" s="36"/>
      <c r="GR226" s="36"/>
      <c r="GS226" s="36"/>
      <c r="GT226" s="36"/>
      <c r="GU226" s="36"/>
      <c r="GV226" s="37"/>
      <c r="GW226" s="44"/>
      <c r="GX226" s="36"/>
      <c r="GY226" s="36"/>
      <c r="GZ226" s="36"/>
      <c r="HA226" s="36"/>
      <c r="HB226" s="36"/>
      <c r="HC226" s="36"/>
      <c r="HD226" s="36"/>
      <c r="HE226" s="36"/>
      <c r="HF226" s="36"/>
      <c r="HG226" s="36"/>
      <c r="HH226" s="36"/>
      <c r="HI226" s="36"/>
      <c r="HJ226" s="36"/>
      <c r="HK226" s="36"/>
      <c r="HL226" s="36"/>
      <c r="HM226" s="37"/>
      <c r="HN226" s="44"/>
      <c r="HO226" s="36"/>
      <c r="HP226" s="36"/>
      <c r="HQ226" s="36"/>
      <c r="HR226" s="36"/>
      <c r="HS226" s="36"/>
      <c r="HT226" s="36"/>
      <c r="HU226" s="36"/>
      <c r="HV226" s="36"/>
      <c r="HW226" s="36"/>
      <c r="HX226" s="36"/>
      <c r="HY226" s="36"/>
      <c r="HZ226" s="36"/>
      <c r="IA226" s="36"/>
      <c r="IB226" s="36"/>
      <c r="IC226" s="36"/>
      <c r="ID226" s="37"/>
      <c r="IE226" s="44"/>
      <c r="IF226" s="36"/>
      <c r="IG226" s="36"/>
      <c r="IH226" s="36"/>
      <c r="II226" s="36"/>
      <c r="IJ226" s="36"/>
      <c r="IK226" s="36"/>
      <c r="IL226" s="36"/>
      <c r="IM226" s="36"/>
      <c r="IN226" s="36"/>
      <c r="IO226" s="36"/>
      <c r="IP226" s="36"/>
      <c r="IQ226" s="36"/>
      <c r="IR226" s="36"/>
      <c r="IS226" s="36"/>
      <c r="IT226" s="36"/>
      <c r="IU226" s="37"/>
      <c r="IV226" s="44"/>
      <c r="IW226" s="36"/>
      <c r="IX226" s="36"/>
      <c r="IY226" s="36"/>
      <c r="IZ226" s="36"/>
      <c r="JA226" s="36"/>
      <c r="JB226" s="36"/>
      <c r="JC226" s="36"/>
      <c r="JD226" s="36"/>
      <c r="JE226" s="36"/>
      <c r="JF226" s="36"/>
      <c r="JG226" s="36"/>
      <c r="JH226" s="36"/>
      <c r="JI226" s="36"/>
      <c r="JJ226" s="36"/>
      <c r="JK226" s="36"/>
      <c r="JL226" s="37"/>
      <c r="JM226" s="44"/>
      <c r="JN226" s="36"/>
      <c r="JO226" s="36"/>
      <c r="JP226" s="36"/>
      <c r="JQ226" s="36"/>
      <c r="JR226" s="36"/>
      <c r="JS226" s="36"/>
      <c r="JT226" s="36"/>
      <c r="JU226" s="36"/>
      <c r="JV226" s="36"/>
      <c r="JW226" s="36"/>
      <c r="JX226" s="36"/>
      <c r="JY226" s="36"/>
      <c r="JZ226" s="36"/>
      <c r="KA226" s="36"/>
      <c r="KB226" s="36"/>
      <c r="KC226" s="37"/>
      <c r="KD226" s="44"/>
      <c r="KE226" s="36"/>
      <c r="KF226" s="36"/>
      <c r="KG226" s="36"/>
      <c r="KH226" s="36"/>
      <c r="KI226" s="36"/>
      <c r="KJ226" s="36"/>
      <c r="KK226" s="36"/>
      <c r="KL226" s="36"/>
      <c r="KM226" s="36"/>
      <c r="KN226" s="36"/>
      <c r="KO226" s="36"/>
      <c r="KP226" s="36"/>
      <c r="KQ226" s="36"/>
      <c r="KR226" s="36"/>
      <c r="KS226" s="36"/>
      <c r="KT226" s="37"/>
      <c r="KU226" s="36"/>
    </row>
    <row r="227" ht="15.0" customHeight="1">
      <c r="A227" s="44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7"/>
      <c r="R227" s="44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7"/>
      <c r="AI227" s="44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  <c r="AU227" s="36"/>
      <c r="AV227" s="36"/>
      <c r="AW227" s="36"/>
      <c r="AX227" s="36"/>
      <c r="AY227" s="37"/>
      <c r="AZ227" s="44"/>
      <c r="BA227" s="36"/>
      <c r="BB227" s="36"/>
      <c r="BC227" s="36"/>
      <c r="BD227" s="36"/>
      <c r="BE227" s="36"/>
      <c r="BF227" s="36"/>
      <c r="BG227" s="36"/>
      <c r="BH227" s="36"/>
      <c r="BI227" s="36"/>
      <c r="BJ227" s="36"/>
      <c r="BK227" s="36"/>
      <c r="BL227" s="36"/>
      <c r="BM227" s="36"/>
      <c r="BN227" s="36"/>
      <c r="BO227" s="36"/>
      <c r="BP227" s="37"/>
      <c r="BQ227" s="44"/>
      <c r="BR227" s="36"/>
      <c r="BS227" s="36"/>
      <c r="BT227" s="36"/>
      <c r="BU227" s="36"/>
      <c r="BV227" s="36"/>
      <c r="BW227" s="36"/>
      <c r="BX227" s="36"/>
      <c r="BY227" s="36"/>
      <c r="BZ227" s="36"/>
      <c r="CA227" s="36"/>
      <c r="CB227" s="36"/>
      <c r="CC227" s="36"/>
      <c r="CD227" s="36"/>
      <c r="CE227" s="36"/>
      <c r="CF227" s="36"/>
      <c r="CG227" s="37"/>
      <c r="CH227" s="44"/>
      <c r="CI227" s="36"/>
      <c r="CJ227" s="36"/>
      <c r="CK227" s="36"/>
      <c r="CL227" s="36"/>
      <c r="CM227" s="36"/>
      <c r="CN227" s="36"/>
      <c r="CO227" s="36"/>
      <c r="CP227" s="36"/>
      <c r="CQ227" s="36"/>
      <c r="CR227" s="36"/>
      <c r="CS227" s="36"/>
      <c r="CT227" s="36"/>
      <c r="CU227" s="36"/>
      <c r="CV227" s="36"/>
      <c r="CW227" s="36"/>
      <c r="CX227" s="37"/>
      <c r="CY227" s="44"/>
      <c r="CZ227" s="36"/>
      <c r="DA227" s="36"/>
      <c r="DB227" s="36"/>
      <c r="DC227" s="36"/>
      <c r="DD227" s="36"/>
      <c r="DE227" s="36"/>
      <c r="DF227" s="36"/>
      <c r="DG227" s="36"/>
      <c r="DH227" s="36"/>
      <c r="DI227" s="36"/>
      <c r="DJ227" s="36"/>
      <c r="DK227" s="36"/>
      <c r="DL227" s="36"/>
      <c r="DM227" s="36"/>
      <c r="DN227" s="36"/>
      <c r="DO227" s="37"/>
      <c r="DP227" s="44"/>
      <c r="DQ227" s="36"/>
      <c r="DR227" s="36"/>
      <c r="DS227" s="36"/>
      <c r="DT227" s="36"/>
      <c r="DU227" s="36"/>
      <c r="DV227" s="36"/>
      <c r="DW227" s="36"/>
      <c r="DX227" s="36"/>
      <c r="DY227" s="36"/>
      <c r="DZ227" s="36"/>
      <c r="EA227" s="36"/>
      <c r="EB227" s="36"/>
      <c r="EC227" s="36"/>
      <c r="ED227" s="36"/>
      <c r="EE227" s="36"/>
      <c r="EF227" s="37"/>
      <c r="EG227" s="44"/>
      <c r="EH227" s="36"/>
      <c r="EI227" s="36"/>
      <c r="EJ227" s="36"/>
      <c r="EK227" s="36"/>
      <c r="EL227" s="36"/>
      <c r="EM227" s="36"/>
      <c r="EN227" s="36"/>
      <c r="EO227" s="36"/>
      <c r="EP227" s="36"/>
      <c r="EQ227" s="36"/>
      <c r="ER227" s="36"/>
      <c r="ES227" s="36"/>
      <c r="ET227" s="36"/>
      <c r="EU227" s="36"/>
      <c r="EV227" s="36"/>
      <c r="EW227" s="37"/>
      <c r="EX227" s="44"/>
      <c r="EY227" s="36"/>
      <c r="EZ227" s="36"/>
      <c r="FA227" s="36"/>
      <c r="FB227" s="36"/>
      <c r="FC227" s="36"/>
      <c r="FD227" s="36"/>
      <c r="FE227" s="36"/>
      <c r="FF227" s="36"/>
      <c r="FG227" s="36"/>
      <c r="FH227" s="36"/>
      <c r="FI227" s="36"/>
      <c r="FJ227" s="36"/>
      <c r="FK227" s="36"/>
      <c r="FL227" s="36"/>
      <c r="FM227" s="36"/>
      <c r="FN227" s="37"/>
      <c r="FO227" s="44"/>
      <c r="FP227" s="36"/>
      <c r="FQ227" s="36"/>
      <c r="FR227" s="36"/>
      <c r="FS227" s="36"/>
      <c r="FT227" s="36"/>
      <c r="FU227" s="36"/>
      <c r="FV227" s="36"/>
      <c r="FW227" s="36"/>
      <c r="FX227" s="36"/>
      <c r="FY227" s="36"/>
      <c r="FZ227" s="36"/>
      <c r="GA227" s="36"/>
      <c r="GB227" s="36"/>
      <c r="GC227" s="36"/>
      <c r="GD227" s="36"/>
      <c r="GE227" s="37"/>
      <c r="GF227" s="44"/>
      <c r="GG227" s="36"/>
      <c r="GH227" s="36"/>
      <c r="GI227" s="36"/>
      <c r="GJ227" s="36"/>
      <c r="GK227" s="36"/>
      <c r="GL227" s="36"/>
      <c r="GM227" s="36"/>
      <c r="GN227" s="36"/>
      <c r="GO227" s="36"/>
      <c r="GP227" s="36"/>
      <c r="GQ227" s="36"/>
      <c r="GR227" s="36"/>
      <c r="GS227" s="36"/>
      <c r="GT227" s="36"/>
      <c r="GU227" s="36"/>
      <c r="GV227" s="37"/>
      <c r="GW227" s="44"/>
      <c r="GX227" s="36"/>
      <c r="GY227" s="36"/>
      <c r="GZ227" s="36"/>
      <c r="HA227" s="36"/>
      <c r="HB227" s="36"/>
      <c r="HC227" s="36"/>
      <c r="HD227" s="36"/>
      <c r="HE227" s="36"/>
      <c r="HF227" s="36"/>
      <c r="HG227" s="36"/>
      <c r="HH227" s="36"/>
      <c r="HI227" s="36"/>
      <c r="HJ227" s="36"/>
      <c r="HK227" s="36"/>
      <c r="HL227" s="36"/>
      <c r="HM227" s="37"/>
      <c r="HN227" s="44"/>
      <c r="HO227" s="36"/>
      <c r="HP227" s="36"/>
      <c r="HQ227" s="36"/>
      <c r="HR227" s="36"/>
      <c r="HS227" s="36"/>
      <c r="HT227" s="36"/>
      <c r="HU227" s="36"/>
      <c r="HV227" s="36"/>
      <c r="HW227" s="36"/>
      <c r="HX227" s="36"/>
      <c r="HY227" s="36"/>
      <c r="HZ227" s="36"/>
      <c r="IA227" s="36"/>
      <c r="IB227" s="36"/>
      <c r="IC227" s="36"/>
      <c r="ID227" s="37"/>
      <c r="IE227" s="44"/>
      <c r="IF227" s="36"/>
      <c r="IG227" s="36"/>
      <c r="IH227" s="36"/>
      <c r="II227" s="36"/>
      <c r="IJ227" s="36"/>
      <c r="IK227" s="36"/>
      <c r="IL227" s="36"/>
      <c r="IM227" s="36"/>
      <c r="IN227" s="36"/>
      <c r="IO227" s="36"/>
      <c r="IP227" s="36"/>
      <c r="IQ227" s="36"/>
      <c r="IR227" s="36"/>
      <c r="IS227" s="36"/>
      <c r="IT227" s="36"/>
      <c r="IU227" s="37"/>
      <c r="IV227" s="44"/>
      <c r="IW227" s="36"/>
      <c r="IX227" s="36"/>
      <c r="IY227" s="36"/>
      <c r="IZ227" s="36"/>
      <c r="JA227" s="36"/>
      <c r="JB227" s="36"/>
      <c r="JC227" s="36"/>
      <c r="JD227" s="36"/>
      <c r="JE227" s="36"/>
      <c r="JF227" s="36"/>
      <c r="JG227" s="36"/>
      <c r="JH227" s="36"/>
      <c r="JI227" s="36"/>
      <c r="JJ227" s="36"/>
      <c r="JK227" s="36"/>
      <c r="JL227" s="37"/>
      <c r="JM227" s="44"/>
      <c r="JN227" s="36"/>
      <c r="JO227" s="36"/>
      <c r="JP227" s="36"/>
      <c r="JQ227" s="36"/>
      <c r="JR227" s="36"/>
      <c r="JS227" s="36"/>
      <c r="JT227" s="36"/>
      <c r="JU227" s="36"/>
      <c r="JV227" s="36"/>
      <c r="JW227" s="36"/>
      <c r="JX227" s="36"/>
      <c r="JY227" s="36"/>
      <c r="JZ227" s="36"/>
      <c r="KA227" s="36"/>
      <c r="KB227" s="36"/>
      <c r="KC227" s="37"/>
      <c r="KD227" s="44"/>
      <c r="KE227" s="36"/>
      <c r="KF227" s="36"/>
      <c r="KG227" s="36"/>
      <c r="KH227" s="36"/>
      <c r="KI227" s="36"/>
      <c r="KJ227" s="36"/>
      <c r="KK227" s="36"/>
      <c r="KL227" s="36"/>
      <c r="KM227" s="36"/>
      <c r="KN227" s="36"/>
      <c r="KO227" s="36"/>
      <c r="KP227" s="36"/>
      <c r="KQ227" s="36"/>
      <c r="KR227" s="36"/>
      <c r="KS227" s="36"/>
      <c r="KT227" s="37"/>
      <c r="KU227" s="36"/>
    </row>
    <row r="228" ht="15.0" customHeight="1">
      <c r="A228" s="44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7"/>
      <c r="R228" s="44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7"/>
      <c r="AI228" s="44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  <c r="AU228" s="36"/>
      <c r="AV228" s="36"/>
      <c r="AW228" s="36"/>
      <c r="AX228" s="36"/>
      <c r="AY228" s="37"/>
      <c r="AZ228" s="44"/>
      <c r="BA228" s="36"/>
      <c r="BB228" s="36"/>
      <c r="BC228" s="36"/>
      <c r="BD228" s="36"/>
      <c r="BE228" s="36"/>
      <c r="BF228" s="36"/>
      <c r="BG228" s="36"/>
      <c r="BH228" s="36"/>
      <c r="BI228" s="36"/>
      <c r="BJ228" s="36"/>
      <c r="BK228" s="36"/>
      <c r="BL228" s="36"/>
      <c r="BM228" s="36"/>
      <c r="BN228" s="36"/>
      <c r="BO228" s="36"/>
      <c r="BP228" s="37"/>
      <c r="BQ228" s="44"/>
      <c r="BR228" s="36"/>
      <c r="BS228" s="36"/>
      <c r="BT228" s="36"/>
      <c r="BU228" s="36"/>
      <c r="BV228" s="36"/>
      <c r="BW228" s="36"/>
      <c r="BX228" s="36"/>
      <c r="BY228" s="36"/>
      <c r="BZ228" s="36"/>
      <c r="CA228" s="36"/>
      <c r="CB228" s="36"/>
      <c r="CC228" s="36"/>
      <c r="CD228" s="36"/>
      <c r="CE228" s="36"/>
      <c r="CF228" s="36"/>
      <c r="CG228" s="37"/>
      <c r="CH228" s="44"/>
      <c r="CI228" s="36"/>
      <c r="CJ228" s="36"/>
      <c r="CK228" s="36"/>
      <c r="CL228" s="36"/>
      <c r="CM228" s="36"/>
      <c r="CN228" s="36"/>
      <c r="CO228" s="36"/>
      <c r="CP228" s="36"/>
      <c r="CQ228" s="36"/>
      <c r="CR228" s="36"/>
      <c r="CS228" s="36"/>
      <c r="CT228" s="36"/>
      <c r="CU228" s="36"/>
      <c r="CV228" s="36"/>
      <c r="CW228" s="36"/>
      <c r="CX228" s="37"/>
      <c r="CY228" s="44"/>
      <c r="CZ228" s="36"/>
      <c r="DA228" s="36"/>
      <c r="DB228" s="36"/>
      <c r="DC228" s="36"/>
      <c r="DD228" s="36"/>
      <c r="DE228" s="36"/>
      <c r="DF228" s="36"/>
      <c r="DG228" s="36"/>
      <c r="DH228" s="36"/>
      <c r="DI228" s="36"/>
      <c r="DJ228" s="36"/>
      <c r="DK228" s="36"/>
      <c r="DL228" s="36"/>
      <c r="DM228" s="36"/>
      <c r="DN228" s="36"/>
      <c r="DO228" s="37"/>
      <c r="DP228" s="44"/>
      <c r="DQ228" s="36"/>
      <c r="DR228" s="36"/>
      <c r="DS228" s="36"/>
      <c r="DT228" s="36"/>
      <c r="DU228" s="36"/>
      <c r="DV228" s="36"/>
      <c r="DW228" s="36"/>
      <c r="DX228" s="36"/>
      <c r="DY228" s="36"/>
      <c r="DZ228" s="36"/>
      <c r="EA228" s="36"/>
      <c r="EB228" s="36"/>
      <c r="EC228" s="36"/>
      <c r="ED228" s="36"/>
      <c r="EE228" s="36"/>
      <c r="EF228" s="37"/>
      <c r="EG228" s="44"/>
      <c r="EH228" s="36"/>
      <c r="EI228" s="36"/>
      <c r="EJ228" s="36"/>
      <c r="EK228" s="36"/>
      <c r="EL228" s="36"/>
      <c r="EM228" s="36"/>
      <c r="EN228" s="36"/>
      <c r="EO228" s="36"/>
      <c r="EP228" s="36"/>
      <c r="EQ228" s="36"/>
      <c r="ER228" s="36"/>
      <c r="ES228" s="36"/>
      <c r="ET228" s="36"/>
      <c r="EU228" s="36"/>
      <c r="EV228" s="36"/>
      <c r="EW228" s="37"/>
      <c r="EX228" s="44"/>
      <c r="EY228" s="36"/>
      <c r="EZ228" s="36"/>
      <c r="FA228" s="36"/>
      <c r="FB228" s="36"/>
      <c r="FC228" s="36"/>
      <c r="FD228" s="36"/>
      <c r="FE228" s="36"/>
      <c r="FF228" s="36"/>
      <c r="FG228" s="36"/>
      <c r="FH228" s="36"/>
      <c r="FI228" s="36"/>
      <c r="FJ228" s="36"/>
      <c r="FK228" s="36"/>
      <c r="FL228" s="36"/>
      <c r="FM228" s="36"/>
      <c r="FN228" s="37"/>
      <c r="FO228" s="44"/>
      <c r="FP228" s="36"/>
      <c r="FQ228" s="36"/>
      <c r="FR228" s="36"/>
      <c r="FS228" s="36"/>
      <c r="FT228" s="36"/>
      <c r="FU228" s="36"/>
      <c r="FV228" s="36"/>
      <c r="FW228" s="36"/>
      <c r="FX228" s="36"/>
      <c r="FY228" s="36"/>
      <c r="FZ228" s="36"/>
      <c r="GA228" s="36"/>
      <c r="GB228" s="36"/>
      <c r="GC228" s="36"/>
      <c r="GD228" s="36"/>
      <c r="GE228" s="37"/>
      <c r="GF228" s="44"/>
      <c r="GG228" s="36"/>
      <c r="GH228" s="36"/>
      <c r="GI228" s="36"/>
      <c r="GJ228" s="36"/>
      <c r="GK228" s="36"/>
      <c r="GL228" s="36"/>
      <c r="GM228" s="36"/>
      <c r="GN228" s="36"/>
      <c r="GO228" s="36"/>
      <c r="GP228" s="36"/>
      <c r="GQ228" s="36"/>
      <c r="GR228" s="36"/>
      <c r="GS228" s="36"/>
      <c r="GT228" s="36"/>
      <c r="GU228" s="36"/>
      <c r="GV228" s="37"/>
      <c r="GW228" s="44"/>
      <c r="GX228" s="36"/>
      <c r="GY228" s="36"/>
      <c r="GZ228" s="36"/>
      <c r="HA228" s="36"/>
      <c r="HB228" s="36"/>
      <c r="HC228" s="36"/>
      <c r="HD228" s="36"/>
      <c r="HE228" s="36"/>
      <c r="HF228" s="36"/>
      <c r="HG228" s="36"/>
      <c r="HH228" s="36"/>
      <c r="HI228" s="36"/>
      <c r="HJ228" s="36"/>
      <c r="HK228" s="36"/>
      <c r="HL228" s="36"/>
      <c r="HM228" s="37"/>
      <c r="HN228" s="44"/>
      <c r="HO228" s="36"/>
      <c r="HP228" s="36"/>
      <c r="HQ228" s="36"/>
      <c r="HR228" s="36"/>
      <c r="HS228" s="36"/>
      <c r="HT228" s="36"/>
      <c r="HU228" s="36"/>
      <c r="HV228" s="36"/>
      <c r="HW228" s="36"/>
      <c r="HX228" s="36"/>
      <c r="HY228" s="36"/>
      <c r="HZ228" s="36"/>
      <c r="IA228" s="36"/>
      <c r="IB228" s="36"/>
      <c r="IC228" s="36"/>
      <c r="ID228" s="37"/>
      <c r="IE228" s="44"/>
      <c r="IF228" s="36"/>
      <c r="IG228" s="36"/>
      <c r="IH228" s="36"/>
      <c r="II228" s="36"/>
      <c r="IJ228" s="36"/>
      <c r="IK228" s="36"/>
      <c r="IL228" s="36"/>
      <c r="IM228" s="36"/>
      <c r="IN228" s="36"/>
      <c r="IO228" s="36"/>
      <c r="IP228" s="36"/>
      <c r="IQ228" s="36"/>
      <c r="IR228" s="36"/>
      <c r="IS228" s="36"/>
      <c r="IT228" s="36"/>
      <c r="IU228" s="37"/>
      <c r="IV228" s="44"/>
      <c r="IW228" s="36"/>
      <c r="IX228" s="36"/>
      <c r="IY228" s="36"/>
      <c r="IZ228" s="36"/>
      <c r="JA228" s="36"/>
      <c r="JB228" s="36"/>
      <c r="JC228" s="36"/>
      <c r="JD228" s="36"/>
      <c r="JE228" s="36"/>
      <c r="JF228" s="36"/>
      <c r="JG228" s="36"/>
      <c r="JH228" s="36"/>
      <c r="JI228" s="36"/>
      <c r="JJ228" s="36"/>
      <c r="JK228" s="36"/>
      <c r="JL228" s="37"/>
      <c r="JM228" s="44"/>
      <c r="JN228" s="36"/>
      <c r="JO228" s="36"/>
      <c r="JP228" s="36"/>
      <c r="JQ228" s="36"/>
      <c r="JR228" s="36"/>
      <c r="JS228" s="36"/>
      <c r="JT228" s="36"/>
      <c r="JU228" s="36"/>
      <c r="JV228" s="36"/>
      <c r="JW228" s="36"/>
      <c r="JX228" s="36"/>
      <c r="JY228" s="36"/>
      <c r="JZ228" s="36"/>
      <c r="KA228" s="36"/>
      <c r="KB228" s="36"/>
      <c r="KC228" s="37"/>
      <c r="KD228" s="44"/>
      <c r="KE228" s="36"/>
      <c r="KF228" s="36"/>
      <c r="KG228" s="36"/>
      <c r="KH228" s="36"/>
      <c r="KI228" s="36"/>
      <c r="KJ228" s="36"/>
      <c r="KK228" s="36"/>
      <c r="KL228" s="36"/>
      <c r="KM228" s="36"/>
      <c r="KN228" s="36"/>
      <c r="KO228" s="36"/>
      <c r="KP228" s="36"/>
      <c r="KQ228" s="36"/>
      <c r="KR228" s="36"/>
      <c r="KS228" s="36"/>
      <c r="KT228" s="37"/>
      <c r="KU228" s="36"/>
    </row>
    <row r="229" ht="15.0" customHeight="1">
      <c r="A229" s="44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7"/>
      <c r="R229" s="44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7"/>
      <c r="AI229" s="44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  <c r="AU229" s="36"/>
      <c r="AV229" s="36"/>
      <c r="AW229" s="36"/>
      <c r="AX229" s="36"/>
      <c r="AY229" s="37"/>
      <c r="AZ229" s="44"/>
      <c r="BA229" s="36"/>
      <c r="BB229" s="36"/>
      <c r="BC229" s="36"/>
      <c r="BD229" s="36"/>
      <c r="BE229" s="36"/>
      <c r="BF229" s="36"/>
      <c r="BG229" s="36"/>
      <c r="BH229" s="36"/>
      <c r="BI229" s="36"/>
      <c r="BJ229" s="36"/>
      <c r="BK229" s="36"/>
      <c r="BL229" s="36"/>
      <c r="BM229" s="36"/>
      <c r="BN229" s="36"/>
      <c r="BO229" s="36"/>
      <c r="BP229" s="37"/>
      <c r="BQ229" s="44"/>
      <c r="BR229" s="36"/>
      <c r="BS229" s="36"/>
      <c r="BT229" s="36"/>
      <c r="BU229" s="36"/>
      <c r="BV229" s="36"/>
      <c r="BW229" s="36"/>
      <c r="BX229" s="36"/>
      <c r="BY229" s="36"/>
      <c r="BZ229" s="36"/>
      <c r="CA229" s="36"/>
      <c r="CB229" s="36"/>
      <c r="CC229" s="36"/>
      <c r="CD229" s="36"/>
      <c r="CE229" s="36"/>
      <c r="CF229" s="36"/>
      <c r="CG229" s="37"/>
      <c r="CH229" s="44"/>
      <c r="CI229" s="36"/>
      <c r="CJ229" s="36"/>
      <c r="CK229" s="36"/>
      <c r="CL229" s="36"/>
      <c r="CM229" s="36"/>
      <c r="CN229" s="36"/>
      <c r="CO229" s="36"/>
      <c r="CP229" s="36"/>
      <c r="CQ229" s="36"/>
      <c r="CR229" s="36"/>
      <c r="CS229" s="36"/>
      <c r="CT229" s="36"/>
      <c r="CU229" s="36"/>
      <c r="CV229" s="36"/>
      <c r="CW229" s="36"/>
      <c r="CX229" s="37"/>
      <c r="CY229" s="44"/>
      <c r="CZ229" s="36"/>
      <c r="DA229" s="36"/>
      <c r="DB229" s="36"/>
      <c r="DC229" s="36"/>
      <c r="DD229" s="36"/>
      <c r="DE229" s="36"/>
      <c r="DF229" s="36"/>
      <c r="DG229" s="36"/>
      <c r="DH229" s="36"/>
      <c r="DI229" s="36"/>
      <c r="DJ229" s="36"/>
      <c r="DK229" s="36"/>
      <c r="DL229" s="36"/>
      <c r="DM229" s="36"/>
      <c r="DN229" s="36"/>
      <c r="DO229" s="37"/>
      <c r="DP229" s="44"/>
      <c r="DQ229" s="36"/>
      <c r="DR229" s="36"/>
      <c r="DS229" s="36"/>
      <c r="DT229" s="36"/>
      <c r="DU229" s="36"/>
      <c r="DV229" s="36"/>
      <c r="DW229" s="36"/>
      <c r="DX229" s="36"/>
      <c r="DY229" s="36"/>
      <c r="DZ229" s="36"/>
      <c r="EA229" s="36"/>
      <c r="EB229" s="36"/>
      <c r="EC229" s="36"/>
      <c r="ED229" s="36"/>
      <c r="EE229" s="36"/>
      <c r="EF229" s="37"/>
      <c r="EG229" s="44"/>
      <c r="EH229" s="36"/>
      <c r="EI229" s="36"/>
      <c r="EJ229" s="36"/>
      <c r="EK229" s="36"/>
      <c r="EL229" s="36"/>
      <c r="EM229" s="36"/>
      <c r="EN229" s="36"/>
      <c r="EO229" s="36"/>
      <c r="EP229" s="36"/>
      <c r="EQ229" s="36"/>
      <c r="ER229" s="36"/>
      <c r="ES229" s="36"/>
      <c r="ET229" s="36"/>
      <c r="EU229" s="36"/>
      <c r="EV229" s="36"/>
      <c r="EW229" s="37"/>
      <c r="EX229" s="44"/>
      <c r="EY229" s="36"/>
      <c r="EZ229" s="36"/>
      <c r="FA229" s="36"/>
      <c r="FB229" s="36"/>
      <c r="FC229" s="36"/>
      <c r="FD229" s="36"/>
      <c r="FE229" s="36"/>
      <c r="FF229" s="36"/>
      <c r="FG229" s="36"/>
      <c r="FH229" s="36"/>
      <c r="FI229" s="36"/>
      <c r="FJ229" s="36"/>
      <c r="FK229" s="36"/>
      <c r="FL229" s="36"/>
      <c r="FM229" s="36"/>
      <c r="FN229" s="37"/>
      <c r="FO229" s="44"/>
      <c r="FP229" s="36"/>
      <c r="FQ229" s="36"/>
      <c r="FR229" s="36"/>
      <c r="FS229" s="36"/>
      <c r="FT229" s="36"/>
      <c r="FU229" s="36"/>
      <c r="FV229" s="36"/>
      <c r="FW229" s="36"/>
      <c r="FX229" s="36"/>
      <c r="FY229" s="36"/>
      <c r="FZ229" s="36"/>
      <c r="GA229" s="36"/>
      <c r="GB229" s="36"/>
      <c r="GC229" s="36"/>
      <c r="GD229" s="36"/>
      <c r="GE229" s="37"/>
      <c r="GF229" s="44"/>
      <c r="GG229" s="36"/>
      <c r="GH229" s="36"/>
      <c r="GI229" s="36"/>
      <c r="GJ229" s="36"/>
      <c r="GK229" s="36"/>
      <c r="GL229" s="36"/>
      <c r="GM229" s="36"/>
      <c r="GN229" s="36"/>
      <c r="GO229" s="36"/>
      <c r="GP229" s="36"/>
      <c r="GQ229" s="36"/>
      <c r="GR229" s="36"/>
      <c r="GS229" s="36"/>
      <c r="GT229" s="36"/>
      <c r="GU229" s="36"/>
      <c r="GV229" s="37"/>
      <c r="GW229" s="44"/>
      <c r="GX229" s="36"/>
      <c r="GY229" s="36"/>
      <c r="GZ229" s="36"/>
      <c r="HA229" s="36"/>
      <c r="HB229" s="36"/>
      <c r="HC229" s="36"/>
      <c r="HD229" s="36"/>
      <c r="HE229" s="36"/>
      <c r="HF229" s="36"/>
      <c r="HG229" s="36"/>
      <c r="HH229" s="36"/>
      <c r="HI229" s="36"/>
      <c r="HJ229" s="36"/>
      <c r="HK229" s="36"/>
      <c r="HL229" s="36"/>
      <c r="HM229" s="37"/>
      <c r="HN229" s="44"/>
      <c r="HO229" s="36"/>
      <c r="HP229" s="36"/>
      <c r="HQ229" s="36"/>
      <c r="HR229" s="36"/>
      <c r="HS229" s="36"/>
      <c r="HT229" s="36"/>
      <c r="HU229" s="36"/>
      <c r="HV229" s="36"/>
      <c r="HW229" s="36"/>
      <c r="HX229" s="36"/>
      <c r="HY229" s="36"/>
      <c r="HZ229" s="36"/>
      <c r="IA229" s="36"/>
      <c r="IB229" s="36"/>
      <c r="IC229" s="36"/>
      <c r="ID229" s="37"/>
      <c r="IE229" s="44"/>
      <c r="IF229" s="36"/>
      <c r="IG229" s="36"/>
      <c r="IH229" s="36"/>
      <c r="II229" s="36"/>
      <c r="IJ229" s="36"/>
      <c r="IK229" s="36"/>
      <c r="IL229" s="36"/>
      <c r="IM229" s="36"/>
      <c r="IN229" s="36"/>
      <c r="IO229" s="36"/>
      <c r="IP229" s="36"/>
      <c r="IQ229" s="36"/>
      <c r="IR229" s="36"/>
      <c r="IS229" s="36"/>
      <c r="IT229" s="36"/>
      <c r="IU229" s="37"/>
      <c r="IV229" s="44"/>
      <c r="IW229" s="36"/>
      <c r="IX229" s="36"/>
      <c r="IY229" s="36"/>
      <c r="IZ229" s="36"/>
      <c r="JA229" s="36"/>
      <c r="JB229" s="36"/>
      <c r="JC229" s="36"/>
      <c r="JD229" s="36"/>
      <c r="JE229" s="36"/>
      <c r="JF229" s="36"/>
      <c r="JG229" s="36"/>
      <c r="JH229" s="36"/>
      <c r="JI229" s="36"/>
      <c r="JJ229" s="36"/>
      <c r="JK229" s="36"/>
      <c r="JL229" s="37"/>
      <c r="JM229" s="44"/>
      <c r="JN229" s="36"/>
      <c r="JO229" s="36"/>
      <c r="JP229" s="36"/>
      <c r="JQ229" s="36"/>
      <c r="JR229" s="36"/>
      <c r="JS229" s="36"/>
      <c r="JT229" s="36"/>
      <c r="JU229" s="36"/>
      <c r="JV229" s="36"/>
      <c r="JW229" s="36"/>
      <c r="JX229" s="36"/>
      <c r="JY229" s="36"/>
      <c r="JZ229" s="36"/>
      <c r="KA229" s="36"/>
      <c r="KB229" s="36"/>
      <c r="KC229" s="37"/>
      <c r="KD229" s="44"/>
      <c r="KE229" s="36"/>
      <c r="KF229" s="36"/>
      <c r="KG229" s="36"/>
      <c r="KH229" s="36"/>
      <c r="KI229" s="36"/>
      <c r="KJ229" s="36"/>
      <c r="KK229" s="36"/>
      <c r="KL229" s="36"/>
      <c r="KM229" s="36"/>
      <c r="KN229" s="36"/>
      <c r="KO229" s="36"/>
      <c r="KP229" s="36"/>
      <c r="KQ229" s="36"/>
      <c r="KR229" s="36"/>
      <c r="KS229" s="36"/>
      <c r="KT229" s="37"/>
      <c r="KU229" s="36"/>
    </row>
    <row r="230" ht="15.0" customHeight="1">
      <c r="A230" s="44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7"/>
      <c r="R230" s="44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7"/>
      <c r="AI230" s="44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  <c r="AU230" s="36"/>
      <c r="AV230" s="36"/>
      <c r="AW230" s="36"/>
      <c r="AX230" s="36"/>
      <c r="AY230" s="37"/>
      <c r="AZ230" s="44"/>
      <c r="BA230" s="36"/>
      <c r="BB230" s="36"/>
      <c r="BC230" s="36"/>
      <c r="BD230" s="36"/>
      <c r="BE230" s="36"/>
      <c r="BF230" s="36"/>
      <c r="BG230" s="36"/>
      <c r="BH230" s="36"/>
      <c r="BI230" s="36"/>
      <c r="BJ230" s="36"/>
      <c r="BK230" s="36"/>
      <c r="BL230" s="36"/>
      <c r="BM230" s="36"/>
      <c r="BN230" s="36"/>
      <c r="BO230" s="36"/>
      <c r="BP230" s="37"/>
      <c r="BQ230" s="44"/>
      <c r="BR230" s="36"/>
      <c r="BS230" s="36"/>
      <c r="BT230" s="36"/>
      <c r="BU230" s="36"/>
      <c r="BV230" s="36"/>
      <c r="BW230" s="36"/>
      <c r="BX230" s="36"/>
      <c r="BY230" s="36"/>
      <c r="BZ230" s="36"/>
      <c r="CA230" s="36"/>
      <c r="CB230" s="36"/>
      <c r="CC230" s="36"/>
      <c r="CD230" s="36"/>
      <c r="CE230" s="36"/>
      <c r="CF230" s="36"/>
      <c r="CG230" s="37"/>
      <c r="CH230" s="44"/>
      <c r="CI230" s="36"/>
      <c r="CJ230" s="36"/>
      <c r="CK230" s="36"/>
      <c r="CL230" s="36"/>
      <c r="CM230" s="36"/>
      <c r="CN230" s="36"/>
      <c r="CO230" s="36"/>
      <c r="CP230" s="36"/>
      <c r="CQ230" s="36"/>
      <c r="CR230" s="36"/>
      <c r="CS230" s="36"/>
      <c r="CT230" s="36"/>
      <c r="CU230" s="36"/>
      <c r="CV230" s="36"/>
      <c r="CW230" s="36"/>
      <c r="CX230" s="37"/>
      <c r="CY230" s="44"/>
      <c r="CZ230" s="36"/>
      <c r="DA230" s="36"/>
      <c r="DB230" s="36"/>
      <c r="DC230" s="36"/>
      <c r="DD230" s="36"/>
      <c r="DE230" s="36"/>
      <c r="DF230" s="36"/>
      <c r="DG230" s="36"/>
      <c r="DH230" s="36"/>
      <c r="DI230" s="36"/>
      <c r="DJ230" s="36"/>
      <c r="DK230" s="36"/>
      <c r="DL230" s="36"/>
      <c r="DM230" s="36"/>
      <c r="DN230" s="36"/>
      <c r="DO230" s="37"/>
      <c r="DP230" s="44"/>
      <c r="DQ230" s="36"/>
      <c r="DR230" s="36"/>
      <c r="DS230" s="36"/>
      <c r="DT230" s="36"/>
      <c r="DU230" s="36"/>
      <c r="DV230" s="36"/>
      <c r="DW230" s="36"/>
      <c r="DX230" s="36"/>
      <c r="DY230" s="36"/>
      <c r="DZ230" s="36"/>
      <c r="EA230" s="36"/>
      <c r="EB230" s="36"/>
      <c r="EC230" s="36"/>
      <c r="ED230" s="36"/>
      <c r="EE230" s="36"/>
      <c r="EF230" s="37"/>
      <c r="EG230" s="44"/>
      <c r="EH230" s="36"/>
      <c r="EI230" s="36"/>
      <c r="EJ230" s="36"/>
      <c r="EK230" s="36"/>
      <c r="EL230" s="36"/>
      <c r="EM230" s="36"/>
      <c r="EN230" s="36"/>
      <c r="EO230" s="36"/>
      <c r="EP230" s="36"/>
      <c r="EQ230" s="36"/>
      <c r="ER230" s="36"/>
      <c r="ES230" s="36"/>
      <c r="ET230" s="36"/>
      <c r="EU230" s="36"/>
      <c r="EV230" s="36"/>
      <c r="EW230" s="37"/>
      <c r="EX230" s="44"/>
      <c r="EY230" s="36"/>
      <c r="EZ230" s="36"/>
      <c r="FA230" s="36"/>
      <c r="FB230" s="36"/>
      <c r="FC230" s="36"/>
      <c r="FD230" s="36"/>
      <c r="FE230" s="36"/>
      <c r="FF230" s="36"/>
      <c r="FG230" s="36"/>
      <c r="FH230" s="36"/>
      <c r="FI230" s="36"/>
      <c r="FJ230" s="36"/>
      <c r="FK230" s="36"/>
      <c r="FL230" s="36"/>
      <c r="FM230" s="36"/>
      <c r="FN230" s="37"/>
      <c r="FO230" s="44"/>
      <c r="FP230" s="36"/>
      <c r="FQ230" s="36"/>
      <c r="FR230" s="36"/>
      <c r="FS230" s="36"/>
      <c r="FT230" s="36"/>
      <c r="FU230" s="36"/>
      <c r="FV230" s="36"/>
      <c r="FW230" s="36"/>
      <c r="FX230" s="36"/>
      <c r="FY230" s="36"/>
      <c r="FZ230" s="36"/>
      <c r="GA230" s="36"/>
      <c r="GB230" s="36"/>
      <c r="GC230" s="36"/>
      <c r="GD230" s="36"/>
      <c r="GE230" s="37"/>
      <c r="GF230" s="44"/>
      <c r="GG230" s="36"/>
      <c r="GH230" s="36"/>
      <c r="GI230" s="36"/>
      <c r="GJ230" s="36"/>
      <c r="GK230" s="36"/>
      <c r="GL230" s="36"/>
      <c r="GM230" s="36"/>
      <c r="GN230" s="36"/>
      <c r="GO230" s="36"/>
      <c r="GP230" s="36"/>
      <c r="GQ230" s="36"/>
      <c r="GR230" s="36"/>
      <c r="GS230" s="36"/>
      <c r="GT230" s="36"/>
      <c r="GU230" s="36"/>
      <c r="GV230" s="37"/>
      <c r="GW230" s="44"/>
      <c r="GX230" s="36"/>
      <c r="GY230" s="36"/>
      <c r="GZ230" s="36"/>
      <c r="HA230" s="36"/>
      <c r="HB230" s="36"/>
      <c r="HC230" s="36"/>
      <c r="HD230" s="36"/>
      <c r="HE230" s="36"/>
      <c r="HF230" s="36"/>
      <c r="HG230" s="36"/>
      <c r="HH230" s="36"/>
      <c r="HI230" s="36"/>
      <c r="HJ230" s="36"/>
      <c r="HK230" s="36"/>
      <c r="HL230" s="36"/>
      <c r="HM230" s="37"/>
      <c r="HN230" s="44"/>
      <c r="HO230" s="36"/>
      <c r="HP230" s="36"/>
      <c r="HQ230" s="36"/>
      <c r="HR230" s="36"/>
      <c r="HS230" s="36"/>
      <c r="HT230" s="36"/>
      <c r="HU230" s="36"/>
      <c r="HV230" s="36"/>
      <c r="HW230" s="36"/>
      <c r="HX230" s="36"/>
      <c r="HY230" s="36"/>
      <c r="HZ230" s="36"/>
      <c r="IA230" s="36"/>
      <c r="IB230" s="36"/>
      <c r="IC230" s="36"/>
      <c r="ID230" s="37"/>
      <c r="IE230" s="44"/>
      <c r="IF230" s="36"/>
      <c r="IG230" s="36"/>
      <c r="IH230" s="36"/>
      <c r="II230" s="36"/>
      <c r="IJ230" s="36"/>
      <c r="IK230" s="36"/>
      <c r="IL230" s="36"/>
      <c r="IM230" s="36"/>
      <c r="IN230" s="36"/>
      <c r="IO230" s="36"/>
      <c r="IP230" s="36"/>
      <c r="IQ230" s="36"/>
      <c r="IR230" s="36"/>
      <c r="IS230" s="36"/>
      <c r="IT230" s="36"/>
      <c r="IU230" s="37"/>
      <c r="IV230" s="44"/>
      <c r="IW230" s="36"/>
      <c r="IX230" s="36"/>
      <c r="IY230" s="36"/>
      <c r="IZ230" s="36"/>
      <c r="JA230" s="36"/>
      <c r="JB230" s="36"/>
      <c r="JC230" s="36"/>
      <c r="JD230" s="36"/>
      <c r="JE230" s="36"/>
      <c r="JF230" s="36"/>
      <c r="JG230" s="36"/>
      <c r="JH230" s="36"/>
      <c r="JI230" s="36"/>
      <c r="JJ230" s="36"/>
      <c r="JK230" s="36"/>
      <c r="JL230" s="37"/>
      <c r="JM230" s="44"/>
      <c r="JN230" s="36"/>
      <c r="JO230" s="36"/>
      <c r="JP230" s="36"/>
      <c r="JQ230" s="36"/>
      <c r="JR230" s="36"/>
      <c r="JS230" s="36"/>
      <c r="JT230" s="36"/>
      <c r="JU230" s="36"/>
      <c r="JV230" s="36"/>
      <c r="JW230" s="36"/>
      <c r="JX230" s="36"/>
      <c r="JY230" s="36"/>
      <c r="JZ230" s="36"/>
      <c r="KA230" s="36"/>
      <c r="KB230" s="36"/>
      <c r="KC230" s="37"/>
      <c r="KD230" s="44"/>
      <c r="KE230" s="36"/>
      <c r="KF230" s="36"/>
      <c r="KG230" s="36"/>
      <c r="KH230" s="36"/>
      <c r="KI230" s="36"/>
      <c r="KJ230" s="36"/>
      <c r="KK230" s="36"/>
      <c r="KL230" s="36"/>
      <c r="KM230" s="36"/>
      <c r="KN230" s="36"/>
      <c r="KO230" s="36"/>
      <c r="KP230" s="36"/>
      <c r="KQ230" s="36"/>
      <c r="KR230" s="36"/>
      <c r="KS230" s="36"/>
      <c r="KT230" s="37"/>
      <c r="KU230" s="36"/>
    </row>
    <row r="231" ht="15.0" customHeight="1">
      <c r="A231" s="44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7"/>
      <c r="R231" s="44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7"/>
      <c r="AI231" s="44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  <c r="AU231" s="36"/>
      <c r="AV231" s="36"/>
      <c r="AW231" s="36"/>
      <c r="AX231" s="36"/>
      <c r="AY231" s="37"/>
      <c r="AZ231" s="44"/>
      <c r="BA231" s="36"/>
      <c r="BB231" s="36"/>
      <c r="BC231" s="36"/>
      <c r="BD231" s="36"/>
      <c r="BE231" s="36"/>
      <c r="BF231" s="36"/>
      <c r="BG231" s="36"/>
      <c r="BH231" s="36"/>
      <c r="BI231" s="36"/>
      <c r="BJ231" s="36"/>
      <c r="BK231" s="36"/>
      <c r="BL231" s="36"/>
      <c r="BM231" s="36"/>
      <c r="BN231" s="36"/>
      <c r="BO231" s="36"/>
      <c r="BP231" s="37"/>
      <c r="BQ231" s="44"/>
      <c r="BR231" s="36"/>
      <c r="BS231" s="36"/>
      <c r="BT231" s="36"/>
      <c r="BU231" s="36"/>
      <c r="BV231" s="36"/>
      <c r="BW231" s="36"/>
      <c r="BX231" s="36"/>
      <c r="BY231" s="36"/>
      <c r="BZ231" s="36"/>
      <c r="CA231" s="36"/>
      <c r="CB231" s="36"/>
      <c r="CC231" s="36"/>
      <c r="CD231" s="36"/>
      <c r="CE231" s="36"/>
      <c r="CF231" s="36"/>
      <c r="CG231" s="37"/>
      <c r="CH231" s="44"/>
      <c r="CI231" s="36"/>
      <c r="CJ231" s="36"/>
      <c r="CK231" s="36"/>
      <c r="CL231" s="36"/>
      <c r="CM231" s="36"/>
      <c r="CN231" s="36"/>
      <c r="CO231" s="36"/>
      <c r="CP231" s="36"/>
      <c r="CQ231" s="36"/>
      <c r="CR231" s="36"/>
      <c r="CS231" s="36"/>
      <c r="CT231" s="36"/>
      <c r="CU231" s="36"/>
      <c r="CV231" s="36"/>
      <c r="CW231" s="36"/>
      <c r="CX231" s="37"/>
      <c r="CY231" s="44"/>
      <c r="CZ231" s="36"/>
      <c r="DA231" s="36"/>
      <c r="DB231" s="36"/>
      <c r="DC231" s="36"/>
      <c r="DD231" s="36"/>
      <c r="DE231" s="36"/>
      <c r="DF231" s="36"/>
      <c r="DG231" s="36"/>
      <c r="DH231" s="36"/>
      <c r="DI231" s="36"/>
      <c r="DJ231" s="36"/>
      <c r="DK231" s="36"/>
      <c r="DL231" s="36"/>
      <c r="DM231" s="36"/>
      <c r="DN231" s="36"/>
      <c r="DO231" s="37"/>
      <c r="DP231" s="44"/>
      <c r="DQ231" s="36"/>
      <c r="DR231" s="36"/>
      <c r="DS231" s="36"/>
      <c r="DT231" s="36"/>
      <c r="DU231" s="36"/>
      <c r="DV231" s="36"/>
      <c r="DW231" s="36"/>
      <c r="DX231" s="36"/>
      <c r="DY231" s="36"/>
      <c r="DZ231" s="36"/>
      <c r="EA231" s="36"/>
      <c r="EB231" s="36"/>
      <c r="EC231" s="36"/>
      <c r="ED231" s="36"/>
      <c r="EE231" s="36"/>
      <c r="EF231" s="37"/>
      <c r="EG231" s="44"/>
      <c r="EH231" s="36"/>
      <c r="EI231" s="36"/>
      <c r="EJ231" s="36"/>
      <c r="EK231" s="36"/>
      <c r="EL231" s="36"/>
      <c r="EM231" s="36"/>
      <c r="EN231" s="36"/>
      <c r="EO231" s="36"/>
      <c r="EP231" s="36"/>
      <c r="EQ231" s="36"/>
      <c r="ER231" s="36"/>
      <c r="ES231" s="36"/>
      <c r="ET231" s="36"/>
      <c r="EU231" s="36"/>
      <c r="EV231" s="36"/>
      <c r="EW231" s="37"/>
      <c r="EX231" s="44"/>
      <c r="EY231" s="36"/>
      <c r="EZ231" s="36"/>
      <c r="FA231" s="36"/>
      <c r="FB231" s="36"/>
      <c r="FC231" s="36"/>
      <c r="FD231" s="36"/>
      <c r="FE231" s="36"/>
      <c r="FF231" s="36"/>
      <c r="FG231" s="36"/>
      <c r="FH231" s="36"/>
      <c r="FI231" s="36"/>
      <c r="FJ231" s="36"/>
      <c r="FK231" s="36"/>
      <c r="FL231" s="36"/>
      <c r="FM231" s="36"/>
      <c r="FN231" s="37"/>
      <c r="FO231" s="44"/>
      <c r="FP231" s="36"/>
      <c r="FQ231" s="36"/>
      <c r="FR231" s="36"/>
      <c r="FS231" s="36"/>
      <c r="FT231" s="36"/>
      <c r="FU231" s="36"/>
      <c r="FV231" s="36"/>
      <c r="FW231" s="36"/>
      <c r="FX231" s="36"/>
      <c r="FY231" s="36"/>
      <c r="FZ231" s="36"/>
      <c r="GA231" s="36"/>
      <c r="GB231" s="36"/>
      <c r="GC231" s="36"/>
      <c r="GD231" s="36"/>
      <c r="GE231" s="37"/>
      <c r="GF231" s="44"/>
      <c r="GG231" s="36"/>
      <c r="GH231" s="36"/>
      <c r="GI231" s="36"/>
      <c r="GJ231" s="36"/>
      <c r="GK231" s="36"/>
      <c r="GL231" s="36"/>
      <c r="GM231" s="36"/>
      <c r="GN231" s="36"/>
      <c r="GO231" s="36"/>
      <c r="GP231" s="36"/>
      <c r="GQ231" s="36"/>
      <c r="GR231" s="36"/>
      <c r="GS231" s="36"/>
      <c r="GT231" s="36"/>
      <c r="GU231" s="36"/>
      <c r="GV231" s="37"/>
      <c r="GW231" s="44"/>
      <c r="GX231" s="36"/>
      <c r="GY231" s="36"/>
      <c r="GZ231" s="36"/>
      <c r="HA231" s="36"/>
      <c r="HB231" s="36"/>
      <c r="HC231" s="36"/>
      <c r="HD231" s="36"/>
      <c r="HE231" s="36"/>
      <c r="HF231" s="36"/>
      <c r="HG231" s="36"/>
      <c r="HH231" s="36"/>
      <c r="HI231" s="36"/>
      <c r="HJ231" s="36"/>
      <c r="HK231" s="36"/>
      <c r="HL231" s="36"/>
      <c r="HM231" s="37"/>
      <c r="HN231" s="44"/>
      <c r="HO231" s="36"/>
      <c r="HP231" s="36"/>
      <c r="HQ231" s="36"/>
      <c r="HR231" s="36"/>
      <c r="HS231" s="36"/>
      <c r="HT231" s="36"/>
      <c r="HU231" s="36"/>
      <c r="HV231" s="36"/>
      <c r="HW231" s="36"/>
      <c r="HX231" s="36"/>
      <c r="HY231" s="36"/>
      <c r="HZ231" s="36"/>
      <c r="IA231" s="36"/>
      <c r="IB231" s="36"/>
      <c r="IC231" s="36"/>
      <c r="ID231" s="37"/>
      <c r="IE231" s="44"/>
      <c r="IF231" s="36"/>
      <c r="IG231" s="36"/>
      <c r="IH231" s="36"/>
      <c r="II231" s="36"/>
      <c r="IJ231" s="36"/>
      <c r="IK231" s="36"/>
      <c r="IL231" s="36"/>
      <c r="IM231" s="36"/>
      <c r="IN231" s="36"/>
      <c r="IO231" s="36"/>
      <c r="IP231" s="36"/>
      <c r="IQ231" s="36"/>
      <c r="IR231" s="36"/>
      <c r="IS231" s="36"/>
      <c r="IT231" s="36"/>
      <c r="IU231" s="37"/>
      <c r="IV231" s="44"/>
      <c r="IW231" s="36"/>
      <c r="IX231" s="36"/>
      <c r="IY231" s="36"/>
      <c r="IZ231" s="36"/>
      <c r="JA231" s="36"/>
      <c r="JB231" s="36"/>
      <c r="JC231" s="36"/>
      <c r="JD231" s="36"/>
      <c r="JE231" s="36"/>
      <c r="JF231" s="36"/>
      <c r="JG231" s="36"/>
      <c r="JH231" s="36"/>
      <c r="JI231" s="36"/>
      <c r="JJ231" s="36"/>
      <c r="JK231" s="36"/>
      <c r="JL231" s="37"/>
      <c r="JM231" s="44"/>
      <c r="JN231" s="36"/>
      <c r="JO231" s="36"/>
      <c r="JP231" s="36"/>
      <c r="JQ231" s="36"/>
      <c r="JR231" s="36"/>
      <c r="JS231" s="36"/>
      <c r="JT231" s="36"/>
      <c r="JU231" s="36"/>
      <c r="JV231" s="36"/>
      <c r="JW231" s="36"/>
      <c r="JX231" s="36"/>
      <c r="JY231" s="36"/>
      <c r="JZ231" s="36"/>
      <c r="KA231" s="36"/>
      <c r="KB231" s="36"/>
      <c r="KC231" s="37"/>
      <c r="KD231" s="44"/>
      <c r="KE231" s="36"/>
      <c r="KF231" s="36"/>
      <c r="KG231" s="36"/>
      <c r="KH231" s="36"/>
      <c r="KI231" s="36"/>
      <c r="KJ231" s="36"/>
      <c r="KK231" s="36"/>
      <c r="KL231" s="36"/>
      <c r="KM231" s="36"/>
      <c r="KN231" s="36"/>
      <c r="KO231" s="36"/>
      <c r="KP231" s="36"/>
      <c r="KQ231" s="36"/>
      <c r="KR231" s="36"/>
      <c r="KS231" s="36"/>
      <c r="KT231" s="37"/>
      <c r="KU231" s="36"/>
    </row>
    <row r="232" ht="15.0" customHeight="1">
      <c r="A232" s="44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7"/>
      <c r="R232" s="44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7"/>
      <c r="AI232" s="44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  <c r="AU232" s="36"/>
      <c r="AV232" s="36"/>
      <c r="AW232" s="36"/>
      <c r="AX232" s="36"/>
      <c r="AY232" s="37"/>
      <c r="AZ232" s="44"/>
      <c r="BA232" s="36"/>
      <c r="BB232" s="36"/>
      <c r="BC232" s="36"/>
      <c r="BD232" s="36"/>
      <c r="BE232" s="36"/>
      <c r="BF232" s="36"/>
      <c r="BG232" s="36"/>
      <c r="BH232" s="36"/>
      <c r="BI232" s="36"/>
      <c r="BJ232" s="36"/>
      <c r="BK232" s="36"/>
      <c r="BL232" s="36"/>
      <c r="BM232" s="36"/>
      <c r="BN232" s="36"/>
      <c r="BO232" s="36"/>
      <c r="BP232" s="37"/>
      <c r="BQ232" s="44"/>
      <c r="BR232" s="36"/>
      <c r="BS232" s="36"/>
      <c r="BT232" s="36"/>
      <c r="BU232" s="36"/>
      <c r="BV232" s="36"/>
      <c r="BW232" s="36"/>
      <c r="BX232" s="36"/>
      <c r="BY232" s="36"/>
      <c r="BZ232" s="36"/>
      <c r="CA232" s="36"/>
      <c r="CB232" s="36"/>
      <c r="CC232" s="36"/>
      <c r="CD232" s="36"/>
      <c r="CE232" s="36"/>
      <c r="CF232" s="36"/>
      <c r="CG232" s="37"/>
      <c r="CH232" s="44"/>
      <c r="CI232" s="36"/>
      <c r="CJ232" s="36"/>
      <c r="CK232" s="36"/>
      <c r="CL232" s="36"/>
      <c r="CM232" s="36"/>
      <c r="CN232" s="36"/>
      <c r="CO232" s="36"/>
      <c r="CP232" s="36"/>
      <c r="CQ232" s="36"/>
      <c r="CR232" s="36"/>
      <c r="CS232" s="36"/>
      <c r="CT232" s="36"/>
      <c r="CU232" s="36"/>
      <c r="CV232" s="36"/>
      <c r="CW232" s="36"/>
      <c r="CX232" s="37"/>
      <c r="CY232" s="44"/>
      <c r="CZ232" s="36"/>
      <c r="DA232" s="36"/>
      <c r="DB232" s="36"/>
      <c r="DC232" s="36"/>
      <c r="DD232" s="36"/>
      <c r="DE232" s="36"/>
      <c r="DF232" s="36"/>
      <c r="DG232" s="36"/>
      <c r="DH232" s="36"/>
      <c r="DI232" s="36"/>
      <c r="DJ232" s="36"/>
      <c r="DK232" s="36"/>
      <c r="DL232" s="36"/>
      <c r="DM232" s="36"/>
      <c r="DN232" s="36"/>
      <c r="DO232" s="37"/>
      <c r="DP232" s="44"/>
      <c r="DQ232" s="36"/>
      <c r="DR232" s="36"/>
      <c r="DS232" s="36"/>
      <c r="DT232" s="36"/>
      <c r="DU232" s="36"/>
      <c r="DV232" s="36"/>
      <c r="DW232" s="36"/>
      <c r="DX232" s="36"/>
      <c r="DY232" s="36"/>
      <c r="DZ232" s="36"/>
      <c r="EA232" s="36"/>
      <c r="EB232" s="36"/>
      <c r="EC232" s="36"/>
      <c r="ED232" s="36"/>
      <c r="EE232" s="36"/>
      <c r="EF232" s="37"/>
      <c r="EG232" s="44"/>
      <c r="EH232" s="36"/>
      <c r="EI232" s="36"/>
      <c r="EJ232" s="36"/>
      <c r="EK232" s="36"/>
      <c r="EL232" s="36"/>
      <c r="EM232" s="36"/>
      <c r="EN232" s="36"/>
      <c r="EO232" s="36"/>
      <c r="EP232" s="36"/>
      <c r="EQ232" s="36"/>
      <c r="ER232" s="36"/>
      <c r="ES232" s="36"/>
      <c r="ET232" s="36"/>
      <c r="EU232" s="36"/>
      <c r="EV232" s="36"/>
      <c r="EW232" s="37"/>
      <c r="EX232" s="44"/>
      <c r="EY232" s="36"/>
      <c r="EZ232" s="36"/>
      <c r="FA232" s="36"/>
      <c r="FB232" s="36"/>
      <c r="FC232" s="36"/>
      <c r="FD232" s="36"/>
      <c r="FE232" s="36"/>
      <c r="FF232" s="36"/>
      <c r="FG232" s="36"/>
      <c r="FH232" s="36"/>
      <c r="FI232" s="36"/>
      <c r="FJ232" s="36"/>
      <c r="FK232" s="36"/>
      <c r="FL232" s="36"/>
      <c r="FM232" s="36"/>
      <c r="FN232" s="37"/>
      <c r="FO232" s="44"/>
      <c r="FP232" s="36"/>
      <c r="FQ232" s="36"/>
      <c r="FR232" s="36"/>
      <c r="FS232" s="36"/>
      <c r="FT232" s="36"/>
      <c r="FU232" s="36"/>
      <c r="FV232" s="36"/>
      <c r="FW232" s="36"/>
      <c r="FX232" s="36"/>
      <c r="FY232" s="36"/>
      <c r="FZ232" s="36"/>
      <c r="GA232" s="36"/>
      <c r="GB232" s="36"/>
      <c r="GC232" s="36"/>
      <c r="GD232" s="36"/>
      <c r="GE232" s="37"/>
      <c r="GF232" s="44"/>
      <c r="GG232" s="36"/>
      <c r="GH232" s="36"/>
      <c r="GI232" s="36"/>
      <c r="GJ232" s="36"/>
      <c r="GK232" s="36"/>
      <c r="GL232" s="36"/>
      <c r="GM232" s="36"/>
      <c r="GN232" s="36"/>
      <c r="GO232" s="36"/>
      <c r="GP232" s="36"/>
      <c r="GQ232" s="36"/>
      <c r="GR232" s="36"/>
      <c r="GS232" s="36"/>
      <c r="GT232" s="36"/>
      <c r="GU232" s="36"/>
      <c r="GV232" s="37"/>
      <c r="GW232" s="44"/>
      <c r="GX232" s="36"/>
      <c r="GY232" s="36"/>
      <c r="GZ232" s="36"/>
      <c r="HA232" s="36"/>
      <c r="HB232" s="36"/>
      <c r="HC232" s="36"/>
      <c r="HD232" s="36"/>
      <c r="HE232" s="36"/>
      <c r="HF232" s="36"/>
      <c r="HG232" s="36"/>
      <c r="HH232" s="36"/>
      <c r="HI232" s="36"/>
      <c r="HJ232" s="36"/>
      <c r="HK232" s="36"/>
      <c r="HL232" s="36"/>
      <c r="HM232" s="37"/>
      <c r="HN232" s="44"/>
      <c r="HO232" s="36"/>
      <c r="HP232" s="36"/>
      <c r="HQ232" s="36"/>
      <c r="HR232" s="36"/>
      <c r="HS232" s="36"/>
      <c r="HT232" s="36"/>
      <c r="HU232" s="36"/>
      <c r="HV232" s="36"/>
      <c r="HW232" s="36"/>
      <c r="HX232" s="36"/>
      <c r="HY232" s="36"/>
      <c r="HZ232" s="36"/>
      <c r="IA232" s="36"/>
      <c r="IB232" s="36"/>
      <c r="IC232" s="36"/>
      <c r="ID232" s="37"/>
      <c r="IE232" s="44"/>
      <c r="IF232" s="36"/>
      <c r="IG232" s="36"/>
      <c r="IH232" s="36"/>
      <c r="II232" s="36"/>
      <c r="IJ232" s="36"/>
      <c r="IK232" s="36"/>
      <c r="IL232" s="36"/>
      <c r="IM232" s="36"/>
      <c r="IN232" s="36"/>
      <c r="IO232" s="36"/>
      <c r="IP232" s="36"/>
      <c r="IQ232" s="36"/>
      <c r="IR232" s="36"/>
      <c r="IS232" s="36"/>
      <c r="IT232" s="36"/>
      <c r="IU232" s="37"/>
      <c r="IV232" s="44"/>
      <c r="IW232" s="36"/>
      <c r="IX232" s="36"/>
      <c r="IY232" s="36"/>
      <c r="IZ232" s="36"/>
      <c r="JA232" s="36"/>
      <c r="JB232" s="36"/>
      <c r="JC232" s="36"/>
      <c r="JD232" s="36"/>
      <c r="JE232" s="36"/>
      <c r="JF232" s="36"/>
      <c r="JG232" s="36"/>
      <c r="JH232" s="36"/>
      <c r="JI232" s="36"/>
      <c r="JJ232" s="36"/>
      <c r="JK232" s="36"/>
      <c r="JL232" s="37"/>
      <c r="JM232" s="44"/>
      <c r="JN232" s="36"/>
      <c r="JO232" s="36"/>
      <c r="JP232" s="36"/>
      <c r="JQ232" s="36"/>
      <c r="JR232" s="36"/>
      <c r="JS232" s="36"/>
      <c r="JT232" s="36"/>
      <c r="JU232" s="36"/>
      <c r="JV232" s="36"/>
      <c r="JW232" s="36"/>
      <c r="JX232" s="36"/>
      <c r="JY232" s="36"/>
      <c r="JZ232" s="36"/>
      <c r="KA232" s="36"/>
      <c r="KB232" s="36"/>
      <c r="KC232" s="37"/>
      <c r="KD232" s="44"/>
      <c r="KE232" s="36"/>
      <c r="KF232" s="36"/>
      <c r="KG232" s="36"/>
      <c r="KH232" s="36"/>
      <c r="KI232" s="36"/>
      <c r="KJ232" s="36"/>
      <c r="KK232" s="36"/>
      <c r="KL232" s="36"/>
      <c r="KM232" s="36"/>
      <c r="KN232" s="36"/>
      <c r="KO232" s="36"/>
      <c r="KP232" s="36"/>
      <c r="KQ232" s="36"/>
      <c r="KR232" s="36"/>
      <c r="KS232" s="36"/>
      <c r="KT232" s="37"/>
      <c r="KU232" s="36"/>
    </row>
    <row r="233" ht="15.0" customHeight="1">
      <c r="A233" s="44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7"/>
      <c r="R233" s="44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7"/>
      <c r="AI233" s="44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  <c r="AU233" s="36"/>
      <c r="AV233" s="36"/>
      <c r="AW233" s="36"/>
      <c r="AX233" s="36"/>
      <c r="AY233" s="37"/>
      <c r="AZ233" s="44"/>
      <c r="BA233" s="36"/>
      <c r="BB233" s="36"/>
      <c r="BC233" s="36"/>
      <c r="BD233" s="36"/>
      <c r="BE233" s="36"/>
      <c r="BF233" s="36"/>
      <c r="BG233" s="36"/>
      <c r="BH233" s="36"/>
      <c r="BI233" s="36"/>
      <c r="BJ233" s="36"/>
      <c r="BK233" s="36"/>
      <c r="BL233" s="36"/>
      <c r="BM233" s="36"/>
      <c r="BN233" s="36"/>
      <c r="BO233" s="36"/>
      <c r="BP233" s="37"/>
      <c r="BQ233" s="44"/>
      <c r="BR233" s="36"/>
      <c r="BS233" s="36"/>
      <c r="BT233" s="36"/>
      <c r="BU233" s="36"/>
      <c r="BV233" s="36"/>
      <c r="BW233" s="36"/>
      <c r="BX233" s="36"/>
      <c r="BY233" s="36"/>
      <c r="BZ233" s="36"/>
      <c r="CA233" s="36"/>
      <c r="CB233" s="36"/>
      <c r="CC233" s="36"/>
      <c r="CD233" s="36"/>
      <c r="CE233" s="36"/>
      <c r="CF233" s="36"/>
      <c r="CG233" s="37"/>
      <c r="CH233" s="44"/>
      <c r="CI233" s="36"/>
      <c r="CJ233" s="36"/>
      <c r="CK233" s="36"/>
      <c r="CL233" s="36"/>
      <c r="CM233" s="36"/>
      <c r="CN233" s="36"/>
      <c r="CO233" s="36"/>
      <c r="CP233" s="36"/>
      <c r="CQ233" s="36"/>
      <c r="CR233" s="36"/>
      <c r="CS233" s="36"/>
      <c r="CT233" s="36"/>
      <c r="CU233" s="36"/>
      <c r="CV233" s="36"/>
      <c r="CW233" s="36"/>
      <c r="CX233" s="37"/>
      <c r="CY233" s="44"/>
      <c r="CZ233" s="36"/>
      <c r="DA233" s="36"/>
      <c r="DB233" s="36"/>
      <c r="DC233" s="36"/>
      <c r="DD233" s="36"/>
      <c r="DE233" s="36"/>
      <c r="DF233" s="36"/>
      <c r="DG233" s="36"/>
      <c r="DH233" s="36"/>
      <c r="DI233" s="36"/>
      <c r="DJ233" s="36"/>
      <c r="DK233" s="36"/>
      <c r="DL233" s="36"/>
      <c r="DM233" s="36"/>
      <c r="DN233" s="36"/>
      <c r="DO233" s="37"/>
      <c r="DP233" s="44"/>
      <c r="DQ233" s="36"/>
      <c r="DR233" s="36"/>
      <c r="DS233" s="36"/>
      <c r="DT233" s="36"/>
      <c r="DU233" s="36"/>
      <c r="DV233" s="36"/>
      <c r="DW233" s="36"/>
      <c r="DX233" s="36"/>
      <c r="DY233" s="36"/>
      <c r="DZ233" s="36"/>
      <c r="EA233" s="36"/>
      <c r="EB233" s="36"/>
      <c r="EC233" s="36"/>
      <c r="ED233" s="36"/>
      <c r="EE233" s="36"/>
      <c r="EF233" s="37"/>
      <c r="EG233" s="44"/>
      <c r="EH233" s="36"/>
      <c r="EI233" s="36"/>
      <c r="EJ233" s="36"/>
      <c r="EK233" s="36"/>
      <c r="EL233" s="36"/>
      <c r="EM233" s="36"/>
      <c r="EN233" s="36"/>
      <c r="EO233" s="36"/>
      <c r="EP233" s="36"/>
      <c r="EQ233" s="36"/>
      <c r="ER233" s="36"/>
      <c r="ES233" s="36"/>
      <c r="ET233" s="36"/>
      <c r="EU233" s="36"/>
      <c r="EV233" s="36"/>
      <c r="EW233" s="37"/>
      <c r="EX233" s="44"/>
      <c r="EY233" s="36"/>
      <c r="EZ233" s="36"/>
      <c r="FA233" s="36"/>
      <c r="FB233" s="36"/>
      <c r="FC233" s="36"/>
      <c r="FD233" s="36"/>
      <c r="FE233" s="36"/>
      <c r="FF233" s="36"/>
      <c r="FG233" s="36"/>
      <c r="FH233" s="36"/>
      <c r="FI233" s="36"/>
      <c r="FJ233" s="36"/>
      <c r="FK233" s="36"/>
      <c r="FL233" s="36"/>
      <c r="FM233" s="36"/>
      <c r="FN233" s="37"/>
      <c r="FO233" s="44"/>
      <c r="FP233" s="36"/>
      <c r="FQ233" s="36"/>
      <c r="FR233" s="36"/>
      <c r="FS233" s="36"/>
      <c r="FT233" s="36"/>
      <c r="FU233" s="36"/>
      <c r="FV233" s="36"/>
      <c r="FW233" s="36"/>
      <c r="FX233" s="36"/>
      <c r="FY233" s="36"/>
      <c r="FZ233" s="36"/>
      <c r="GA233" s="36"/>
      <c r="GB233" s="36"/>
      <c r="GC233" s="36"/>
      <c r="GD233" s="36"/>
      <c r="GE233" s="37"/>
      <c r="GF233" s="44"/>
      <c r="GG233" s="36"/>
      <c r="GH233" s="36"/>
      <c r="GI233" s="36"/>
      <c r="GJ233" s="36"/>
      <c r="GK233" s="36"/>
      <c r="GL233" s="36"/>
      <c r="GM233" s="36"/>
      <c r="GN233" s="36"/>
      <c r="GO233" s="36"/>
      <c r="GP233" s="36"/>
      <c r="GQ233" s="36"/>
      <c r="GR233" s="36"/>
      <c r="GS233" s="36"/>
      <c r="GT233" s="36"/>
      <c r="GU233" s="36"/>
      <c r="GV233" s="37"/>
      <c r="GW233" s="44"/>
      <c r="GX233" s="36"/>
      <c r="GY233" s="36"/>
      <c r="GZ233" s="36"/>
      <c r="HA233" s="36"/>
      <c r="HB233" s="36"/>
      <c r="HC233" s="36"/>
      <c r="HD233" s="36"/>
      <c r="HE233" s="36"/>
      <c r="HF233" s="36"/>
      <c r="HG233" s="36"/>
      <c r="HH233" s="36"/>
      <c r="HI233" s="36"/>
      <c r="HJ233" s="36"/>
      <c r="HK233" s="36"/>
      <c r="HL233" s="36"/>
      <c r="HM233" s="37"/>
      <c r="HN233" s="44"/>
      <c r="HO233" s="36"/>
      <c r="HP233" s="36"/>
      <c r="HQ233" s="36"/>
      <c r="HR233" s="36"/>
      <c r="HS233" s="36"/>
      <c r="HT233" s="36"/>
      <c r="HU233" s="36"/>
      <c r="HV233" s="36"/>
      <c r="HW233" s="36"/>
      <c r="HX233" s="36"/>
      <c r="HY233" s="36"/>
      <c r="HZ233" s="36"/>
      <c r="IA233" s="36"/>
      <c r="IB233" s="36"/>
      <c r="IC233" s="36"/>
      <c r="ID233" s="37"/>
      <c r="IE233" s="44"/>
      <c r="IF233" s="36"/>
      <c r="IG233" s="36"/>
      <c r="IH233" s="36"/>
      <c r="II233" s="36"/>
      <c r="IJ233" s="36"/>
      <c r="IK233" s="36"/>
      <c r="IL233" s="36"/>
      <c r="IM233" s="36"/>
      <c r="IN233" s="36"/>
      <c r="IO233" s="36"/>
      <c r="IP233" s="36"/>
      <c r="IQ233" s="36"/>
      <c r="IR233" s="36"/>
      <c r="IS233" s="36"/>
      <c r="IT233" s="36"/>
      <c r="IU233" s="37"/>
      <c r="IV233" s="44"/>
      <c r="IW233" s="36"/>
      <c r="IX233" s="36"/>
      <c r="IY233" s="36"/>
      <c r="IZ233" s="36"/>
      <c r="JA233" s="36"/>
      <c r="JB233" s="36"/>
      <c r="JC233" s="36"/>
      <c r="JD233" s="36"/>
      <c r="JE233" s="36"/>
      <c r="JF233" s="36"/>
      <c r="JG233" s="36"/>
      <c r="JH233" s="36"/>
      <c r="JI233" s="36"/>
      <c r="JJ233" s="36"/>
      <c r="JK233" s="36"/>
      <c r="JL233" s="37"/>
      <c r="JM233" s="44"/>
      <c r="JN233" s="36"/>
      <c r="JO233" s="36"/>
      <c r="JP233" s="36"/>
      <c r="JQ233" s="36"/>
      <c r="JR233" s="36"/>
      <c r="JS233" s="36"/>
      <c r="JT233" s="36"/>
      <c r="JU233" s="36"/>
      <c r="JV233" s="36"/>
      <c r="JW233" s="36"/>
      <c r="JX233" s="36"/>
      <c r="JY233" s="36"/>
      <c r="JZ233" s="36"/>
      <c r="KA233" s="36"/>
      <c r="KB233" s="36"/>
      <c r="KC233" s="37"/>
      <c r="KD233" s="44"/>
      <c r="KE233" s="36"/>
      <c r="KF233" s="36"/>
      <c r="KG233" s="36"/>
      <c r="KH233" s="36"/>
      <c r="KI233" s="36"/>
      <c r="KJ233" s="36"/>
      <c r="KK233" s="36"/>
      <c r="KL233" s="36"/>
      <c r="KM233" s="36"/>
      <c r="KN233" s="36"/>
      <c r="KO233" s="36"/>
      <c r="KP233" s="36"/>
      <c r="KQ233" s="36"/>
      <c r="KR233" s="36"/>
      <c r="KS233" s="36"/>
      <c r="KT233" s="37"/>
      <c r="KU233" s="36"/>
    </row>
    <row r="234" ht="15.0" customHeight="1">
      <c r="A234" s="44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7"/>
      <c r="R234" s="44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7"/>
      <c r="AI234" s="44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  <c r="AU234" s="36"/>
      <c r="AV234" s="36"/>
      <c r="AW234" s="36"/>
      <c r="AX234" s="36"/>
      <c r="AY234" s="37"/>
      <c r="AZ234" s="44"/>
      <c r="BA234" s="36"/>
      <c r="BB234" s="36"/>
      <c r="BC234" s="36"/>
      <c r="BD234" s="36"/>
      <c r="BE234" s="36"/>
      <c r="BF234" s="36"/>
      <c r="BG234" s="36"/>
      <c r="BH234" s="36"/>
      <c r="BI234" s="36"/>
      <c r="BJ234" s="36"/>
      <c r="BK234" s="36"/>
      <c r="BL234" s="36"/>
      <c r="BM234" s="36"/>
      <c r="BN234" s="36"/>
      <c r="BO234" s="36"/>
      <c r="BP234" s="37"/>
      <c r="BQ234" s="44"/>
      <c r="BR234" s="36"/>
      <c r="BS234" s="36"/>
      <c r="BT234" s="36"/>
      <c r="BU234" s="36"/>
      <c r="BV234" s="36"/>
      <c r="BW234" s="36"/>
      <c r="BX234" s="36"/>
      <c r="BY234" s="36"/>
      <c r="BZ234" s="36"/>
      <c r="CA234" s="36"/>
      <c r="CB234" s="36"/>
      <c r="CC234" s="36"/>
      <c r="CD234" s="36"/>
      <c r="CE234" s="36"/>
      <c r="CF234" s="36"/>
      <c r="CG234" s="37"/>
      <c r="CH234" s="44"/>
      <c r="CI234" s="36"/>
      <c r="CJ234" s="36"/>
      <c r="CK234" s="36"/>
      <c r="CL234" s="36"/>
      <c r="CM234" s="36"/>
      <c r="CN234" s="36"/>
      <c r="CO234" s="36"/>
      <c r="CP234" s="36"/>
      <c r="CQ234" s="36"/>
      <c r="CR234" s="36"/>
      <c r="CS234" s="36"/>
      <c r="CT234" s="36"/>
      <c r="CU234" s="36"/>
      <c r="CV234" s="36"/>
      <c r="CW234" s="36"/>
      <c r="CX234" s="37"/>
      <c r="CY234" s="44"/>
      <c r="CZ234" s="36"/>
      <c r="DA234" s="36"/>
      <c r="DB234" s="36"/>
      <c r="DC234" s="36"/>
      <c r="DD234" s="36"/>
      <c r="DE234" s="36"/>
      <c r="DF234" s="36"/>
      <c r="DG234" s="36"/>
      <c r="DH234" s="36"/>
      <c r="DI234" s="36"/>
      <c r="DJ234" s="36"/>
      <c r="DK234" s="36"/>
      <c r="DL234" s="36"/>
      <c r="DM234" s="36"/>
      <c r="DN234" s="36"/>
      <c r="DO234" s="37"/>
      <c r="DP234" s="44"/>
      <c r="DQ234" s="36"/>
      <c r="DR234" s="36"/>
      <c r="DS234" s="36"/>
      <c r="DT234" s="36"/>
      <c r="DU234" s="36"/>
      <c r="DV234" s="36"/>
      <c r="DW234" s="36"/>
      <c r="DX234" s="36"/>
      <c r="DY234" s="36"/>
      <c r="DZ234" s="36"/>
      <c r="EA234" s="36"/>
      <c r="EB234" s="36"/>
      <c r="EC234" s="36"/>
      <c r="ED234" s="36"/>
      <c r="EE234" s="36"/>
      <c r="EF234" s="37"/>
      <c r="EG234" s="44"/>
      <c r="EH234" s="36"/>
      <c r="EI234" s="36"/>
      <c r="EJ234" s="36"/>
      <c r="EK234" s="36"/>
      <c r="EL234" s="36"/>
      <c r="EM234" s="36"/>
      <c r="EN234" s="36"/>
      <c r="EO234" s="36"/>
      <c r="EP234" s="36"/>
      <c r="EQ234" s="36"/>
      <c r="ER234" s="36"/>
      <c r="ES234" s="36"/>
      <c r="ET234" s="36"/>
      <c r="EU234" s="36"/>
      <c r="EV234" s="36"/>
      <c r="EW234" s="37"/>
      <c r="EX234" s="44"/>
      <c r="EY234" s="36"/>
      <c r="EZ234" s="36"/>
      <c r="FA234" s="36"/>
      <c r="FB234" s="36"/>
      <c r="FC234" s="36"/>
      <c r="FD234" s="36"/>
      <c r="FE234" s="36"/>
      <c r="FF234" s="36"/>
      <c r="FG234" s="36"/>
      <c r="FH234" s="36"/>
      <c r="FI234" s="36"/>
      <c r="FJ234" s="36"/>
      <c r="FK234" s="36"/>
      <c r="FL234" s="36"/>
      <c r="FM234" s="36"/>
      <c r="FN234" s="37"/>
      <c r="FO234" s="44"/>
      <c r="FP234" s="36"/>
      <c r="FQ234" s="36"/>
      <c r="FR234" s="36"/>
      <c r="FS234" s="36"/>
      <c r="FT234" s="36"/>
      <c r="FU234" s="36"/>
      <c r="FV234" s="36"/>
      <c r="FW234" s="36"/>
      <c r="FX234" s="36"/>
      <c r="FY234" s="36"/>
      <c r="FZ234" s="36"/>
      <c r="GA234" s="36"/>
      <c r="GB234" s="36"/>
      <c r="GC234" s="36"/>
      <c r="GD234" s="36"/>
      <c r="GE234" s="37"/>
      <c r="GF234" s="44"/>
      <c r="GG234" s="36"/>
      <c r="GH234" s="36"/>
      <c r="GI234" s="36"/>
      <c r="GJ234" s="36"/>
      <c r="GK234" s="36"/>
      <c r="GL234" s="36"/>
      <c r="GM234" s="36"/>
      <c r="GN234" s="36"/>
      <c r="GO234" s="36"/>
      <c r="GP234" s="36"/>
      <c r="GQ234" s="36"/>
      <c r="GR234" s="36"/>
      <c r="GS234" s="36"/>
      <c r="GT234" s="36"/>
      <c r="GU234" s="36"/>
      <c r="GV234" s="37"/>
      <c r="GW234" s="44"/>
      <c r="GX234" s="36"/>
      <c r="GY234" s="36"/>
      <c r="GZ234" s="36"/>
      <c r="HA234" s="36"/>
      <c r="HB234" s="36"/>
      <c r="HC234" s="36"/>
      <c r="HD234" s="36"/>
      <c r="HE234" s="36"/>
      <c r="HF234" s="36"/>
      <c r="HG234" s="36"/>
      <c r="HH234" s="36"/>
      <c r="HI234" s="36"/>
      <c r="HJ234" s="36"/>
      <c r="HK234" s="36"/>
      <c r="HL234" s="36"/>
      <c r="HM234" s="37"/>
      <c r="HN234" s="44"/>
      <c r="HO234" s="36"/>
      <c r="HP234" s="36"/>
      <c r="HQ234" s="36"/>
      <c r="HR234" s="36"/>
      <c r="HS234" s="36"/>
      <c r="HT234" s="36"/>
      <c r="HU234" s="36"/>
      <c r="HV234" s="36"/>
      <c r="HW234" s="36"/>
      <c r="HX234" s="36"/>
      <c r="HY234" s="36"/>
      <c r="HZ234" s="36"/>
      <c r="IA234" s="36"/>
      <c r="IB234" s="36"/>
      <c r="IC234" s="36"/>
      <c r="ID234" s="37"/>
      <c r="IE234" s="44"/>
      <c r="IF234" s="36"/>
      <c r="IG234" s="36"/>
      <c r="IH234" s="36"/>
      <c r="II234" s="36"/>
      <c r="IJ234" s="36"/>
      <c r="IK234" s="36"/>
      <c r="IL234" s="36"/>
      <c r="IM234" s="36"/>
      <c r="IN234" s="36"/>
      <c r="IO234" s="36"/>
      <c r="IP234" s="36"/>
      <c r="IQ234" s="36"/>
      <c r="IR234" s="36"/>
      <c r="IS234" s="36"/>
      <c r="IT234" s="36"/>
      <c r="IU234" s="37"/>
      <c r="IV234" s="44"/>
      <c r="IW234" s="36"/>
      <c r="IX234" s="36"/>
      <c r="IY234" s="36"/>
      <c r="IZ234" s="36"/>
      <c r="JA234" s="36"/>
      <c r="JB234" s="36"/>
      <c r="JC234" s="36"/>
      <c r="JD234" s="36"/>
      <c r="JE234" s="36"/>
      <c r="JF234" s="36"/>
      <c r="JG234" s="36"/>
      <c r="JH234" s="36"/>
      <c r="JI234" s="36"/>
      <c r="JJ234" s="36"/>
      <c r="JK234" s="36"/>
      <c r="JL234" s="37"/>
      <c r="JM234" s="44"/>
      <c r="JN234" s="36"/>
      <c r="JO234" s="36"/>
      <c r="JP234" s="36"/>
      <c r="JQ234" s="36"/>
      <c r="JR234" s="36"/>
      <c r="JS234" s="36"/>
      <c r="JT234" s="36"/>
      <c r="JU234" s="36"/>
      <c r="JV234" s="36"/>
      <c r="JW234" s="36"/>
      <c r="JX234" s="36"/>
      <c r="JY234" s="36"/>
      <c r="JZ234" s="36"/>
      <c r="KA234" s="36"/>
      <c r="KB234" s="36"/>
      <c r="KC234" s="37"/>
      <c r="KD234" s="44"/>
      <c r="KE234" s="36"/>
      <c r="KF234" s="36"/>
      <c r="KG234" s="36"/>
      <c r="KH234" s="36"/>
      <c r="KI234" s="36"/>
      <c r="KJ234" s="36"/>
      <c r="KK234" s="36"/>
      <c r="KL234" s="36"/>
      <c r="KM234" s="36"/>
      <c r="KN234" s="36"/>
      <c r="KO234" s="36"/>
      <c r="KP234" s="36"/>
      <c r="KQ234" s="36"/>
      <c r="KR234" s="36"/>
      <c r="KS234" s="36"/>
      <c r="KT234" s="37"/>
      <c r="KU234" s="36"/>
    </row>
    <row r="235" ht="15.0" customHeight="1">
      <c r="A235" s="44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7"/>
      <c r="R235" s="44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7"/>
      <c r="AI235" s="44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  <c r="AU235" s="36"/>
      <c r="AV235" s="36"/>
      <c r="AW235" s="36"/>
      <c r="AX235" s="36"/>
      <c r="AY235" s="37"/>
      <c r="AZ235" s="44"/>
      <c r="BA235" s="36"/>
      <c r="BB235" s="36"/>
      <c r="BC235" s="36"/>
      <c r="BD235" s="36"/>
      <c r="BE235" s="36"/>
      <c r="BF235" s="36"/>
      <c r="BG235" s="36"/>
      <c r="BH235" s="36"/>
      <c r="BI235" s="36"/>
      <c r="BJ235" s="36"/>
      <c r="BK235" s="36"/>
      <c r="BL235" s="36"/>
      <c r="BM235" s="36"/>
      <c r="BN235" s="36"/>
      <c r="BO235" s="36"/>
      <c r="BP235" s="37"/>
      <c r="BQ235" s="44"/>
      <c r="BR235" s="36"/>
      <c r="BS235" s="36"/>
      <c r="BT235" s="36"/>
      <c r="BU235" s="36"/>
      <c r="BV235" s="36"/>
      <c r="BW235" s="36"/>
      <c r="BX235" s="36"/>
      <c r="BY235" s="36"/>
      <c r="BZ235" s="36"/>
      <c r="CA235" s="36"/>
      <c r="CB235" s="36"/>
      <c r="CC235" s="36"/>
      <c r="CD235" s="36"/>
      <c r="CE235" s="36"/>
      <c r="CF235" s="36"/>
      <c r="CG235" s="37"/>
      <c r="CH235" s="44"/>
      <c r="CI235" s="36"/>
      <c r="CJ235" s="36"/>
      <c r="CK235" s="36"/>
      <c r="CL235" s="36"/>
      <c r="CM235" s="36"/>
      <c r="CN235" s="36"/>
      <c r="CO235" s="36"/>
      <c r="CP235" s="36"/>
      <c r="CQ235" s="36"/>
      <c r="CR235" s="36"/>
      <c r="CS235" s="36"/>
      <c r="CT235" s="36"/>
      <c r="CU235" s="36"/>
      <c r="CV235" s="36"/>
      <c r="CW235" s="36"/>
      <c r="CX235" s="37"/>
      <c r="CY235" s="44"/>
      <c r="CZ235" s="36"/>
      <c r="DA235" s="36"/>
      <c r="DB235" s="36"/>
      <c r="DC235" s="36"/>
      <c r="DD235" s="36"/>
      <c r="DE235" s="36"/>
      <c r="DF235" s="36"/>
      <c r="DG235" s="36"/>
      <c r="DH235" s="36"/>
      <c r="DI235" s="36"/>
      <c r="DJ235" s="36"/>
      <c r="DK235" s="36"/>
      <c r="DL235" s="36"/>
      <c r="DM235" s="36"/>
      <c r="DN235" s="36"/>
      <c r="DO235" s="37"/>
      <c r="DP235" s="44"/>
      <c r="DQ235" s="36"/>
      <c r="DR235" s="36"/>
      <c r="DS235" s="36"/>
      <c r="DT235" s="36"/>
      <c r="DU235" s="36"/>
      <c r="DV235" s="36"/>
      <c r="DW235" s="36"/>
      <c r="DX235" s="36"/>
      <c r="DY235" s="36"/>
      <c r="DZ235" s="36"/>
      <c r="EA235" s="36"/>
      <c r="EB235" s="36"/>
      <c r="EC235" s="36"/>
      <c r="ED235" s="36"/>
      <c r="EE235" s="36"/>
      <c r="EF235" s="37"/>
      <c r="EG235" s="44"/>
      <c r="EH235" s="36"/>
      <c r="EI235" s="36"/>
      <c r="EJ235" s="36"/>
      <c r="EK235" s="36"/>
      <c r="EL235" s="36"/>
      <c r="EM235" s="36"/>
      <c r="EN235" s="36"/>
      <c r="EO235" s="36"/>
      <c r="EP235" s="36"/>
      <c r="EQ235" s="36"/>
      <c r="ER235" s="36"/>
      <c r="ES235" s="36"/>
      <c r="ET235" s="36"/>
      <c r="EU235" s="36"/>
      <c r="EV235" s="36"/>
      <c r="EW235" s="37"/>
      <c r="EX235" s="44"/>
      <c r="EY235" s="36"/>
      <c r="EZ235" s="36"/>
      <c r="FA235" s="36"/>
      <c r="FB235" s="36"/>
      <c r="FC235" s="36"/>
      <c r="FD235" s="36"/>
      <c r="FE235" s="36"/>
      <c r="FF235" s="36"/>
      <c r="FG235" s="36"/>
      <c r="FH235" s="36"/>
      <c r="FI235" s="36"/>
      <c r="FJ235" s="36"/>
      <c r="FK235" s="36"/>
      <c r="FL235" s="36"/>
      <c r="FM235" s="36"/>
      <c r="FN235" s="37"/>
      <c r="FO235" s="44"/>
      <c r="FP235" s="36"/>
      <c r="FQ235" s="36"/>
      <c r="FR235" s="36"/>
      <c r="FS235" s="36"/>
      <c r="FT235" s="36"/>
      <c r="FU235" s="36"/>
      <c r="FV235" s="36"/>
      <c r="FW235" s="36"/>
      <c r="FX235" s="36"/>
      <c r="FY235" s="36"/>
      <c r="FZ235" s="36"/>
      <c r="GA235" s="36"/>
      <c r="GB235" s="36"/>
      <c r="GC235" s="36"/>
      <c r="GD235" s="36"/>
      <c r="GE235" s="37"/>
      <c r="GF235" s="44"/>
      <c r="GG235" s="36"/>
      <c r="GH235" s="36"/>
      <c r="GI235" s="36"/>
      <c r="GJ235" s="36"/>
      <c r="GK235" s="36"/>
      <c r="GL235" s="36"/>
      <c r="GM235" s="36"/>
      <c r="GN235" s="36"/>
      <c r="GO235" s="36"/>
      <c r="GP235" s="36"/>
      <c r="GQ235" s="36"/>
      <c r="GR235" s="36"/>
      <c r="GS235" s="36"/>
      <c r="GT235" s="36"/>
      <c r="GU235" s="36"/>
      <c r="GV235" s="37"/>
      <c r="GW235" s="44"/>
      <c r="GX235" s="36"/>
      <c r="GY235" s="36"/>
      <c r="GZ235" s="36"/>
      <c r="HA235" s="36"/>
      <c r="HB235" s="36"/>
      <c r="HC235" s="36"/>
      <c r="HD235" s="36"/>
      <c r="HE235" s="36"/>
      <c r="HF235" s="36"/>
      <c r="HG235" s="36"/>
      <c r="HH235" s="36"/>
      <c r="HI235" s="36"/>
      <c r="HJ235" s="36"/>
      <c r="HK235" s="36"/>
      <c r="HL235" s="36"/>
      <c r="HM235" s="37"/>
      <c r="HN235" s="44"/>
      <c r="HO235" s="36"/>
      <c r="HP235" s="36"/>
      <c r="HQ235" s="36"/>
      <c r="HR235" s="36"/>
      <c r="HS235" s="36"/>
      <c r="HT235" s="36"/>
      <c r="HU235" s="36"/>
      <c r="HV235" s="36"/>
      <c r="HW235" s="36"/>
      <c r="HX235" s="36"/>
      <c r="HY235" s="36"/>
      <c r="HZ235" s="36"/>
      <c r="IA235" s="36"/>
      <c r="IB235" s="36"/>
      <c r="IC235" s="36"/>
      <c r="ID235" s="37"/>
      <c r="IE235" s="44"/>
      <c r="IF235" s="36"/>
      <c r="IG235" s="36"/>
      <c r="IH235" s="36"/>
      <c r="II235" s="36"/>
      <c r="IJ235" s="36"/>
      <c r="IK235" s="36"/>
      <c r="IL235" s="36"/>
      <c r="IM235" s="36"/>
      <c r="IN235" s="36"/>
      <c r="IO235" s="36"/>
      <c r="IP235" s="36"/>
      <c r="IQ235" s="36"/>
      <c r="IR235" s="36"/>
      <c r="IS235" s="36"/>
      <c r="IT235" s="36"/>
      <c r="IU235" s="37"/>
      <c r="IV235" s="44"/>
      <c r="IW235" s="36"/>
      <c r="IX235" s="36"/>
      <c r="IY235" s="36"/>
      <c r="IZ235" s="36"/>
      <c r="JA235" s="36"/>
      <c r="JB235" s="36"/>
      <c r="JC235" s="36"/>
      <c r="JD235" s="36"/>
      <c r="JE235" s="36"/>
      <c r="JF235" s="36"/>
      <c r="JG235" s="36"/>
      <c r="JH235" s="36"/>
      <c r="JI235" s="36"/>
      <c r="JJ235" s="36"/>
      <c r="JK235" s="36"/>
      <c r="JL235" s="37"/>
      <c r="JM235" s="44"/>
      <c r="JN235" s="36"/>
      <c r="JO235" s="36"/>
      <c r="JP235" s="36"/>
      <c r="JQ235" s="36"/>
      <c r="JR235" s="36"/>
      <c r="JS235" s="36"/>
      <c r="JT235" s="36"/>
      <c r="JU235" s="36"/>
      <c r="JV235" s="36"/>
      <c r="JW235" s="36"/>
      <c r="JX235" s="36"/>
      <c r="JY235" s="36"/>
      <c r="JZ235" s="36"/>
      <c r="KA235" s="36"/>
      <c r="KB235" s="36"/>
      <c r="KC235" s="37"/>
      <c r="KD235" s="44"/>
      <c r="KE235" s="36"/>
      <c r="KF235" s="36"/>
      <c r="KG235" s="36"/>
      <c r="KH235" s="36"/>
      <c r="KI235" s="36"/>
      <c r="KJ235" s="36"/>
      <c r="KK235" s="36"/>
      <c r="KL235" s="36"/>
      <c r="KM235" s="36"/>
      <c r="KN235" s="36"/>
      <c r="KO235" s="36"/>
      <c r="KP235" s="36"/>
      <c r="KQ235" s="36"/>
      <c r="KR235" s="36"/>
      <c r="KS235" s="36"/>
      <c r="KT235" s="37"/>
      <c r="KU235" s="36"/>
    </row>
    <row r="236" ht="15.0" customHeight="1">
      <c r="A236" s="44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7"/>
      <c r="R236" s="44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7"/>
      <c r="AI236" s="44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  <c r="AU236" s="36"/>
      <c r="AV236" s="36"/>
      <c r="AW236" s="36"/>
      <c r="AX236" s="36"/>
      <c r="AY236" s="37"/>
      <c r="AZ236" s="44"/>
      <c r="BA236" s="36"/>
      <c r="BB236" s="36"/>
      <c r="BC236" s="36"/>
      <c r="BD236" s="36"/>
      <c r="BE236" s="36"/>
      <c r="BF236" s="36"/>
      <c r="BG236" s="36"/>
      <c r="BH236" s="36"/>
      <c r="BI236" s="36"/>
      <c r="BJ236" s="36"/>
      <c r="BK236" s="36"/>
      <c r="BL236" s="36"/>
      <c r="BM236" s="36"/>
      <c r="BN236" s="36"/>
      <c r="BO236" s="36"/>
      <c r="BP236" s="37"/>
      <c r="BQ236" s="44"/>
      <c r="BR236" s="36"/>
      <c r="BS236" s="36"/>
      <c r="BT236" s="36"/>
      <c r="BU236" s="36"/>
      <c r="BV236" s="36"/>
      <c r="BW236" s="36"/>
      <c r="BX236" s="36"/>
      <c r="BY236" s="36"/>
      <c r="BZ236" s="36"/>
      <c r="CA236" s="36"/>
      <c r="CB236" s="36"/>
      <c r="CC236" s="36"/>
      <c r="CD236" s="36"/>
      <c r="CE236" s="36"/>
      <c r="CF236" s="36"/>
      <c r="CG236" s="37"/>
      <c r="CH236" s="44"/>
      <c r="CI236" s="36"/>
      <c r="CJ236" s="36"/>
      <c r="CK236" s="36"/>
      <c r="CL236" s="36"/>
      <c r="CM236" s="36"/>
      <c r="CN236" s="36"/>
      <c r="CO236" s="36"/>
      <c r="CP236" s="36"/>
      <c r="CQ236" s="36"/>
      <c r="CR236" s="36"/>
      <c r="CS236" s="36"/>
      <c r="CT236" s="36"/>
      <c r="CU236" s="36"/>
      <c r="CV236" s="36"/>
      <c r="CW236" s="36"/>
      <c r="CX236" s="37"/>
      <c r="CY236" s="44"/>
      <c r="CZ236" s="36"/>
      <c r="DA236" s="36"/>
      <c r="DB236" s="36"/>
      <c r="DC236" s="36"/>
      <c r="DD236" s="36"/>
      <c r="DE236" s="36"/>
      <c r="DF236" s="36"/>
      <c r="DG236" s="36"/>
      <c r="DH236" s="36"/>
      <c r="DI236" s="36"/>
      <c r="DJ236" s="36"/>
      <c r="DK236" s="36"/>
      <c r="DL236" s="36"/>
      <c r="DM236" s="36"/>
      <c r="DN236" s="36"/>
      <c r="DO236" s="37"/>
      <c r="DP236" s="44"/>
      <c r="DQ236" s="36"/>
      <c r="DR236" s="36"/>
      <c r="DS236" s="36"/>
      <c r="DT236" s="36"/>
      <c r="DU236" s="36"/>
      <c r="DV236" s="36"/>
      <c r="DW236" s="36"/>
      <c r="DX236" s="36"/>
      <c r="DY236" s="36"/>
      <c r="DZ236" s="36"/>
      <c r="EA236" s="36"/>
      <c r="EB236" s="36"/>
      <c r="EC236" s="36"/>
      <c r="ED236" s="36"/>
      <c r="EE236" s="36"/>
      <c r="EF236" s="37"/>
      <c r="EG236" s="44"/>
      <c r="EH236" s="36"/>
      <c r="EI236" s="36"/>
      <c r="EJ236" s="36"/>
      <c r="EK236" s="36"/>
      <c r="EL236" s="36"/>
      <c r="EM236" s="36"/>
      <c r="EN236" s="36"/>
      <c r="EO236" s="36"/>
      <c r="EP236" s="36"/>
      <c r="EQ236" s="36"/>
      <c r="ER236" s="36"/>
      <c r="ES236" s="36"/>
      <c r="ET236" s="36"/>
      <c r="EU236" s="36"/>
      <c r="EV236" s="36"/>
      <c r="EW236" s="37"/>
      <c r="EX236" s="44"/>
      <c r="EY236" s="36"/>
      <c r="EZ236" s="36"/>
      <c r="FA236" s="36"/>
      <c r="FB236" s="36"/>
      <c r="FC236" s="36"/>
      <c r="FD236" s="36"/>
      <c r="FE236" s="36"/>
      <c r="FF236" s="36"/>
      <c r="FG236" s="36"/>
      <c r="FH236" s="36"/>
      <c r="FI236" s="36"/>
      <c r="FJ236" s="36"/>
      <c r="FK236" s="36"/>
      <c r="FL236" s="36"/>
      <c r="FM236" s="36"/>
      <c r="FN236" s="37"/>
      <c r="FO236" s="44"/>
      <c r="FP236" s="36"/>
      <c r="FQ236" s="36"/>
      <c r="FR236" s="36"/>
      <c r="FS236" s="36"/>
      <c r="FT236" s="36"/>
      <c r="FU236" s="36"/>
      <c r="FV236" s="36"/>
      <c r="FW236" s="36"/>
      <c r="FX236" s="36"/>
      <c r="FY236" s="36"/>
      <c r="FZ236" s="36"/>
      <c r="GA236" s="36"/>
      <c r="GB236" s="36"/>
      <c r="GC236" s="36"/>
      <c r="GD236" s="36"/>
      <c r="GE236" s="37"/>
      <c r="GF236" s="44"/>
      <c r="GG236" s="36"/>
      <c r="GH236" s="36"/>
      <c r="GI236" s="36"/>
      <c r="GJ236" s="36"/>
      <c r="GK236" s="36"/>
      <c r="GL236" s="36"/>
      <c r="GM236" s="36"/>
      <c r="GN236" s="36"/>
      <c r="GO236" s="36"/>
      <c r="GP236" s="36"/>
      <c r="GQ236" s="36"/>
      <c r="GR236" s="36"/>
      <c r="GS236" s="36"/>
      <c r="GT236" s="36"/>
      <c r="GU236" s="36"/>
      <c r="GV236" s="37"/>
      <c r="GW236" s="44"/>
      <c r="GX236" s="36"/>
      <c r="GY236" s="36"/>
      <c r="GZ236" s="36"/>
      <c r="HA236" s="36"/>
      <c r="HB236" s="36"/>
      <c r="HC236" s="36"/>
      <c r="HD236" s="36"/>
      <c r="HE236" s="36"/>
      <c r="HF236" s="36"/>
      <c r="HG236" s="36"/>
      <c r="HH236" s="36"/>
      <c r="HI236" s="36"/>
      <c r="HJ236" s="36"/>
      <c r="HK236" s="36"/>
      <c r="HL236" s="36"/>
      <c r="HM236" s="37"/>
      <c r="HN236" s="44"/>
      <c r="HO236" s="36"/>
      <c r="HP236" s="36"/>
      <c r="HQ236" s="36"/>
      <c r="HR236" s="36"/>
      <c r="HS236" s="36"/>
      <c r="HT236" s="36"/>
      <c r="HU236" s="36"/>
      <c r="HV236" s="36"/>
      <c r="HW236" s="36"/>
      <c r="HX236" s="36"/>
      <c r="HY236" s="36"/>
      <c r="HZ236" s="36"/>
      <c r="IA236" s="36"/>
      <c r="IB236" s="36"/>
      <c r="IC236" s="36"/>
      <c r="ID236" s="37"/>
      <c r="IE236" s="44"/>
      <c r="IF236" s="36"/>
      <c r="IG236" s="36"/>
      <c r="IH236" s="36"/>
      <c r="II236" s="36"/>
      <c r="IJ236" s="36"/>
      <c r="IK236" s="36"/>
      <c r="IL236" s="36"/>
      <c r="IM236" s="36"/>
      <c r="IN236" s="36"/>
      <c r="IO236" s="36"/>
      <c r="IP236" s="36"/>
      <c r="IQ236" s="36"/>
      <c r="IR236" s="36"/>
      <c r="IS236" s="36"/>
      <c r="IT236" s="36"/>
      <c r="IU236" s="37"/>
      <c r="IV236" s="44"/>
      <c r="IW236" s="36"/>
      <c r="IX236" s="36"/>
      <c r="IY236" s="36"/>
      <c r="IZ236" s="36"/>
      <c r="JA236" s="36"/>
      <c r="JB236" s="36"/>
      <c r="JC236" s="36"/>
      <c r="JD236" s="36"/>
      <c r="JE236" s="36"/>
      <c r="JF236" s="36"/>
      <c r="JG236" s="36"/>
      <c r="JH236" s="36"/>
      <c r="JI236" s="36"/>
      <c r="JJ236" s="36"/>
      <c r="JK236" s="36"/>
      <c r="JL236" s="37"/>
      <c r="JM236" s="44"/>
      <c r="JN236" s="36"/>
      <c r="JO236" s="36"/>
      <c r="JP236" s="36"/>
      <c r="JQ236" s="36"/>
      <c r="JR236" s="36"/>
      <c r="JS236" s="36"/>
      <c r="JT236" s="36"/>
      <c r="JU236" s="36"/>
      <c r="JV236" s="36"/>
      <c r="JW236" s="36"/>
      <c r="JX236" s="36"/>
      <c r="JY236" s="36"/>
      <c r="JZ236" s="36"/>
      <c r="KA236" s="36"/>
      <c r="KB236" s="36"/>
      <c r="KC236" s="37"/>
      <c r="KD236" s="44"/>
      <c r="KE236" s="36"/>
      <c r="KF236" s="36"/>
      <c r="KG236" s="36"/>
      <c r="KH236" s="36"/>
      <c r="KI236" s="36"/>
      <c r="KJ236" s="36"/>
      <c r="KK236" s="36"/>
      <c r="KL236" s="36"/>
      <c r="KM236" s="36"/>
      <c r="KN236" s="36"/>
      <c r="KO236" s="36"/>
      <c r="KP236" s="36"/>
      <c r="KQ236" s="36"/>
      <c r="KR236" s="36"/>
      <c r="KS236" s="36"/>
      <c r="KT236" s="37"/>
      <c r="KU236" s="36"/>
    </row>
    <row r="237" ht="15.0" customHeight="1">
      <c r="A237" s="44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7"/>
      <c r="R237" s="44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7"/>
      <c r="AI237" s="44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  <c r="AU237" s="36"/>
      <c r="AV237" s="36"/>
      <c r="AW237" s="36"/>
      <c r="AX237" s="36"/>
      <c r="AY237" s="37"/>
      <c r="AZ237" s="44"/>
      <c r="BA237" s="36"/>
      <c r="BB237" s="36"/>
      <c r="BC237" s="36"/>
      <c r="BD237" s="36"/>
      <c r="BE237" s="36"/>
      <c r="BF237" s="36"/>
      <c r="BG237" s="36"/>
      <c r="BH237" s="36"/>
      <c r="BI237" s="36"/>
      <c r="BJ237" s="36"/>
      <c r="BK237" s="36"/>
      <c r="BL237" s="36"/>
      <c r="BM237" s="36"/>
      <c r="BN237" s="36"/>
      <c r="BO237" s="36"/>
      <c r="BP237" s="37"/>
      <c r="BQ237" s="44"/>
      <c r="BR237" s="36"/>
      <c r="BS237" s="36"/>
      <c r="BT237" s="36"/>
      <c r="BU237" s="36"/>
      <c r="BV237" s="36"/>
      <c r="BW237" s="36"/>
      <c r="BX237" s="36"/>
      <c r="BY237" s="36"/>
      <c r="BZ237" s="36"/>
      <c r="CA237" s="36"/>
      <c r="CB237" s="36"/>
      <c r="CC237" s="36"/>
      <c r="CD237" s="36"/>
      <c r="CE237" s="36"/>
      <c r="CF237" s="36"/>
      <c r="CG237" s="37"/>
      <c r="CH237" s="44"/>
      <c r="CI237" s="36"/>
      <c r="CJ237" s="36"/>
      <c r="CK237" s="36"/>
      <c r="CL237" s="36"/>
      <c r="CM237" s="36"/>
      <c r="CN237" s="36"/>
      <c r="CO237" s="36"/>
      <c r="CP237" s="36"/>
      <c r="CQ237" s="36"/>
      <c r="CR237" s="36"/>
      <c r="CS237" s="36"/>
      <c r="CT237" s="36"/>
      <c r="CU237" s="36"/>
      <c r="CV237" s="36"/>
      <c r="CW237" s="36"/>
      <c r="CX237" s="37"/>
      <c r="CY237" s="44"/>
      <c r="CZ237" s="36"/>
      <c r="DA237" s="36"/>
      <c r="DB237" s="36"/>
      <c r="DC237" s="36"/>
      <c r="DD237" s="36"/>
      <c r="DE237" s="36"/>
      <c r="DF237" s="36"/>
      <c r="DG237" s="36"/>
      <c r="DH237" s="36"/>
      <c r="DI237" s="36"/>
      <c r="DJ237" s="36"/>
      <c r="DK237" s="36"/>
      <c r="DL237" s="36"/>
      <c r="DM237" s="36"/>
      <c r="DN237" s="36"/>
      <c r="DO237" s="37"/>
      <c r="DP237" s="44"/>
      <c r="DQ237" s="36"/>
      <c r="DR237" s="36"/>
      <c r="DS237" s="36"/>
      <c r="DT237" s="36"/>
      <c r="DU237" s="36"/>
      <c r="DV237" s="36"/>
      <c r="DW237" s="36"/>
      <c r="DX237" s="36"/>
      <c r="DY237" s="36"/>
      <c r="DZ237" s="36"/>
      <c r="EA237" s="36"/>
      <c r="EB237" s="36"/>
      <c r="EC237" s="36"/>
      <c r="ED237" s="36"/>
      <c r="EE237" s="36"/>
      <c r="EF237" s="37"/>
      <c r="EG237" s="44"/>
      <c r="EH237" s="36"/>
      <c r="EI237" s="36"/>
      <c r="EJ237" s="36"/>
      <c r="EK237" s="36"/>
      <c r="EL237" s="36"/>
      <c r="EM237" s="36"/>
      <c r="EN237" s="36"/>
      <c r="EO237" s="36"/>
      <c r="EP237" s="36"/>
      <c r="EQ237" s="36"/>
      <c r="ER237" s="36"/>
      <c r="ES237" s="36"/>
      <c r="ET237" s="36"/>
      <c r="EU237" s="36"/>
      <c r="EV237" s="36"/>
      <c r="EW237" s="37"/>
      <c r="EX237" s="44"/>
      <c r="EY237" s="36"/>
      <c r="EZ237" s="36"/>
      <c r="FA237" s="36"/>
      <c r="FB237" s="36"/>
      <c r="FC237" s="36"/>
      <c r="FD237" s="36"/>
      <c r="FE237" s="36"/>
      <c r="FF237" s="36"/>
      <c r="FG237" s="36"/>
      <c r="FH237" s="36"/>
      <c r="FI237" s="36"/>
      <c r="FJ237" s="36"/>
      <c r="FK237" s="36"/>
      <c r="FL237" s="36"/>
      <c r="FM237" s="36"/>
      <c r="FN237" s="37"/>
      <c r="FO237" s="44"/>
      <c r="FP237" s="36"/>
      <c r="FQ237" s="36"/>
      <c r="FR237" s="36"/>
      <c r="FS237" s="36"/>
      <c r="FT237" s="36"/>
      <c r="FU237" s="36"/>
      <c r="FV237" s="36"/>
      <c r="FW237" s="36"/>
      <c r="FX237" s="36"/>
      <c r="FY237" s="36"/>
      <c r="FZ237" s="36"/>
      <c r="GA237" s="36"/>
      <c r="GB237" s="36"/>
      <c r="GC237" s="36"/>
      <c r="GD237" s="36"/>
      <c r="GE237" s="37"/>
      <c r="GF237" s="44"/>
      <c r="GG237" s="36"/>
      <c r="GH237" s="36"/>
      <c r="GI237" s="36"/>
      <c r="GJ237" s="36"/>
      <c r="GK237" s="36"/>
      <c r="GL237" s="36"/>
      <c r="GM237" s="36"/>
      <c r="GN237" s="36"/>
      <c r="GO237" s="36"/>
      <c r="GP237" s="36"/>
      <c r="GQ237" s="36"/>
      <c r="GR237" s="36"/>
      <c r="GS237" s="36"/>
      <c r="GT237" s="36"/>
      <c r="GU237" s="36"/>
      <c r="GV237" s="37"/>
      <c r="GW237" s="44"/>
      <c r="GX237" s="36"/>
      <c r="GY237" s="36"/>
      <c r="GZ237" s="36"/>
      <c r="HA237" s="36"/>
      <c r="HB237" s="36"/>
      <c r="HC237" s="36"/>
      <c r="HD237" s="36"/>
      <c r="HE237" s="36"/>
      <c r="HF237" s="36"/>
      <c r="HG237" s="36"/>
      <c r="HH237" s="36"/>
      <c r="HI237" s="36"/>
      <c r="HJ237" s="36"/>
      <c r="HK237" s="36"/>
      <c r="HL237" s="36"/>
      <c r="HM237" s="37"/>
      <c r="HN237" s="44"/>
      <c r="HO237" s="36"/>
      <c r="HP237" s="36"/>
      <c r="HQ237" s="36"/>
      <c r="HR237" s="36"/>
      <c r="HS237" s="36"/>
      <c r="HT237" s="36"/>
      <c r="HU237" s="36"/>
      <c r="HV237" s="36"/>
      <c r="HW237" s="36"/>
      <c r="HX237" s="36"/>
      <c r="HY237" s="36"/>
      <c r="HZ237" s="36"/>
      <c r="IA237" s="36"/>
      <c r="IB237" s="36"/>
      <c r="IC237" s="36"/>
      <c r="ID237" s="37"/>
      <c r="IE237" s="44"/>
      <c r="IF237" s="36"/>
      <c r="IG237" s="36"/>
      <c r="IH237" s="36"/>
      <c r="II237" s="36"/>
      <c r="IJ237" s="36"/>
      <c r="IK237" s="36"/>
      <c r="IL237" s="36"/>
      <c r="IM237" s="36"/>
      <c r="IN237" s="36"/>
      <c r="IO237" s="36"/>
      <c r="IP237" s="36"/>
      <c r="IQ237" s="36"/>
      <c r="IR237" s="36"/>
      <c r="IS237" s="36"/>
      <c r="IT237" s="36"/>
      <c r="IU237" s="37"/>
      <c r="IV237" s="44"/>
      <c r="IW237" s="36"/>
      <c r="IX237" s="36"/>
      <c r="IY237" s="36"/>
      <c r="IZ237" s="36"/>
      <c r="JA237" s="36"/>
      <c r="JB237" s="36"/>
      <c r="JC237" s="36"/>
      <c r="JD237" s="36"/>
      <c r="JE237" s="36"/>
      <c r="JF237" s="36"/>
      <c r="JG237" s="36"/>
      <c r="JH237" s="36"/>
      <c r="JI237" s="36"/>
      <c r="JJ237" s="36"/>
      <c r="JK237" s="36"/>
      <c r="JL237" s="37"/>
      <c r="JM237" s="44"/>
      <c r="JN237" s="36"/>
      <c r="JO237" s="36"/>
      <c r="JP237" s="36"/>
      <c r="JQ237" s="36"/>
      <c r="JR237" s="36"/>
      <c r="JS237" s="36"/>
      <c r="JT237" s="36"/>
      <c r="JU237" s="36"/>
      <c r="JV237" s="36"/>
      <c r="JW237" s="36"/>
      <c r="JX237" s="36"/>
      <c r="JY237" s="36"/>
      <c r="JZ237" s="36"/>
      <c r="KA237" s="36"/>
      <c r="KB237" s="36"/>
      <c r="KC237" s="37"/>
      <c r="KD237" s="44"/>
      <c r="KE237" s="36"/>
      <c r="KF237" s="36"/>
      <c r="KG237" s="36"/>
      <c r="KH237" s="36"/>
      <c r="KI237" s="36"/>
      <c r="KJ237" s="36"/>
      <c r="KK237" s="36"/>
      <c r="KL237" s="36"/>
      <c r="KM237" s="36"/>
      <c r="KN237" s="36"/>
      <c r="KO237" s="36"/>
      <c r="KP237" s="36"/>
      <c r="KQ237" s="36"/>
      <c r="KR237" s="36"/>
      <c r="KS237" s="36"/>
      <c r="KT237" s="37"/>
      <c r="KU237" s="36"/>
    </row>
    <row r="238" ht="15.0" customHeight="1">
      <c r="A238" s="44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7"/>
      <c r="R238" s="44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7"/>
      <c r="AI238" s="44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  <c r="AU238" s="36"/>
      <c r="AV238" s="36"/>
      <c r="AW238" s="36"/>
      <c r="AX238" s="36"/>
      <c r="AY238" s="37"/>
      <c r="AZ238" s="44"/>
      <c r="BA238" s="36"/>
      <c r="BB238" s="36"/>
      <c r="BC238" s="36"/>
      <c r="BD238" s="36"/>
      <c r="BE238" s="36"/>
      <c r="BF238" s="36"/>
      <c r="BG238" s="36"/>
      <c r="BH238" s="36"/>
      <c r="BI238" s="36"/>
      <c r="BJ238" s="36"/>
      <c r="BK238" s="36"/>
      <c r="BL238" s="36"/>
      <c r="BM238" s="36"/>
      <c r="BN238" s="36"/>
      <c r="BO238" s="36"/>
      <c r="BP238" s="37"/>
      <c r="BQ238" s="44"/>
      <c r="BR238" s="36"/>
      <c r="BS238" s="36"/>
      <c r="BT238" s="36"/>
      <c r="BU238" s="36"/>
      <c r="BV238" s="36"/>
      <c r="BW238" s="36"/>
      <c r="BX238" s="36"/>
      <c r="BY238" s="36"/>
      <c r="BZ238" s="36"/>
      <c r="CA238" s="36"/>
      <c r="CB238" s="36"/>
      <c r="CC238" s="36"/>
      <c r="CD238" s="36"/>
      <c r="CE238" s="36"/>
      <c r="CF238" s="36"/>
      <c r="CG238" s="37"/>
      <c r="CH238" s="44"/>
      <c r="CI238" s="36"/>
      <c r="CJ238" s="36"/>
      <c r="CK238" s="36"/>
      <c r="CL238" s="36"/>
      <c r="CM238" s="36"/>
      <c r="CN238" s="36"/>
      <c r="CO238" s="36"/>
      <c r="CP238" s="36"/>
      <c r="CQ238" s="36"/>
      <c r="CR238" s="36"/>
      <c r="CS238" s="36"/>
      <c r="CT238" s="36"/>
      <c r="CU238" s="36"/>
      <c r="CV238" s="36"/>
      <c r="CW238" s="36"/>
      <c r="CX238" s="37"/>
      <c r="CY238" s="44"/>
      <c r="CZ238" s="36"/>
      <c r="DA238" s="36"/>
      <c r="DB238" s="36"/>
      <c r="DC238" s="36"/>
      <c r="DD238" s="36"/>
      <c r="DE238" s="36"/>
      <c r="DF238" s="36"/>
      <c r="DG238" s="36"/>
      <c r="DH238" s="36"/>
      <c r="DI238" s="36"/>
      <c r="DJ238" s="36"/>
      <c r="DK238" s="36"/>
      <c r="DL238" s="36"/>
      <c r="DM238" s="36"/>
      <c r="DN238" s="36"/>
      <c r="DO238" s="37"/>
      <c r="DP238" s="44"/>
      <c r="DQ238" s="36"/>
      <c r="DR238" s="36"/>
      <c r="DS238" s="36"/>
      <c r="DT238" s="36"/>
      <c r="DU238" s="36"/>
      <c r="DV238" s="36"/>
      <c r="DW238" s="36"/>
      <c r="DX238" s="36"/>
      <c r="DY238" s="36"/>
      <c r="DZ238" s="36"/>
      <c r="EA238" s="36"/>
      <c r="EB238" s="36"/>
      <c r="EC238" s="36"/>
      <c r="ED238" s="36"/>
      <c r="EE238" s="36"/>
      <c r="EF238" s="37"/>
      <c r="EG238" s="44"/>
      <c r="EH238" s="36"/>
      <c r="EI238" s="36"/>
      <c r="EJ238" s="36"/>
      <c r="EK238" s="36"/>
      <c r="EL238" s="36"/>
      <c r="EM238" s="36"/>
      <c r="EN238" s="36"/>
      <c r="EO238" s="36"/>
      <c r="EP238" s="36"/>
      <c r="EQ238" s="36"/>
      <c r="ER238" s="36"/>
      <c r="ES238" s="36"/>
      <c r="ET238" s="36"/>
      <c r="EU238" s="36"/>
      <c r="EV238" s="36"/>
      <c r="EW238" s="37"/>
      <c r="EX238" s="44"/>
      <c r="EY238" s="36"/>
      <c r="EZ238" s="36"/>
      <c r="FA238" s="36"/>
      <c r="FB238" s="36"/>
      <c r="FC238" s="36"/>
      <c r="FD238" s="36"/>
      <c r="FE238" s="36"/>
      <c r="FF238" s="36"/>
      <c r="FG238" s="36"/>
      <c r="FH238" s="36"/>
      <c r="FI238" s="36"/>
      <c r="FJ238" s="36"/>
      <c r="FK238" s="36"/>
      <c r="FL238" s="36"/>
      <c r="FM238" s="36"/>
      <c r="FN238" s="37"/>
      <c r="FO238" s="44"/>
      <c r="FP238" s="36"/>
      <c r="FQ238" s="36"/>
      <c r="FR238" s="36"/>
      <c r="FS238" s="36"/>
      <c r="FT238" s="36"/>
      <c r="FU238" s="36"/>
      <c r="FV238" s="36"/>
      <c r="FW238" s="36"/>
      <c r="FX238" s="36"/>
      <c r="FY238" s="36"/>
      <c r="FZ238" s="36"/>
      <c r="GA238" s="36"/>
      <c r="GB238" s="36"/>
      <c r="GC238" s="36"/>
      <c r="GD238" s="36"/>
      <c r="GE238" s="37"/>
      <c r="GF238" s="44"/>
      <c r="GG238" s="36"/>
      <c r="GH238" s="36"/>
      <c r="GI238" s="36"/>
      <c r="GJ238" s="36"/>
      <c r="GK238" s="36"/>
      <c r="GL238" s="36"/>
      <c r="GM238" s="36"/>
      <c r="GN238" s="36"/>
      <c r="GO238" s="36"/>
      <c r="GP238" s="36"/>
      <c r="GQ238" s="36"/>
      <c r="GR238" s="36"/>
      <c r="GS238" s="36"/>
      <c r="GT238" s="36"/>
      <c r="GU238" s="36"/>
      <c r="GV238" s="37"/>
      <c r="GW238" s="44"/>
      <c r="GX238" s="36"/>
      <c r="GY238" s="36"/>
      <c r="GZ238" s="36"/>
      <c r="HA238" s="36"/>
      <c r="HB238" s="36"/>
      <c r="HC238" s="36"/>
      <c r="HD238" s="36"/>
      <c r="HE238" s="36"/>
      <c r="HF238" s="36"/>
      <c r="HG238" s="36"/>
      <c r="HH238" s="36"/>
      <c r="HI238" s="36"/>
      <c r="HJ238" s="36"/>
      <c r="HK238" s="36"/>
      <c r="HL238" s="36"/>
      <c r="HM238" s="37"/>
      <c r="HN238" s="44"/>
      <c r="HO238" s="36"/>
      <c r="HP238" s="36"/>
      <c r="HQ238" s="36"/>
      <c r="HR238" s="36"/>
      <c r="HS238" s="36"/>
      <c r="HT238" s="36"/>
      <c r="HU238" s="36"/>
      <c r="HV238" s="36"/>
      <c r="HW238" s="36"/>
      <c r="HX238" s="36"/>
      <c r="HY238" s="36"/>
      <c r="HZ238" s="36"/>
      <c r="IA238" s="36"/>
      <c r="IB238" s="36"/>
      <c r="IC238" s="36"/>
      <c r="ID238" s="37"/>
      <c r="IE238" s="44"/>
      <c r="IF238" s="36"/>
      <c r="IG238" s="36"/>
      <c r="IH238" s="36"/>
      <c r="II238" s="36"/>
      <c r="IJ238" s="36"/>
      <c r="IK238" s="36"/>
      <c r="IL238" s="36"/>
      <c r="IM238" s="36"/>
      <c r="IN238" s="36"/>
      <c r="IO238" s="36"/>
      <c r="IP238" s="36"/>
      <c r="IQ238" s="36"/>
      <c r="IR238" s="36"/>
      <c r="IS238" s="36"/>
      <c r="IT238" s="36"/>
      <c r="IU238" s="37"/>
      <c r="IV238" s="44"/>
      <c r="IW238" s="36"/>
      <c r="IX238" s="36"/>
      <c r="IY238" s="36"/>
      <c r="IZ238" s="36"/>
      <c r="JA238" s="36"/>
      <c r="JB238" s="36"/>
      <c r="JC238" s="36"/>
      <c r="JD238" s="36"/>
      <c r="JE238" s="36"/>
      <c r="JF238" s="36"/>
      <c r="JG238" s="36"/>
      <c r="JH238" s="36"/>
      <c r="JI238" s="36"/>
      <c r="JJ238" s="36"/>
      <c r="JK238" s="36"/>
      <c r="JL238" s="37"/>
      <c r="JM238" s="44"/>
      <c r="JN238" s="36"/>
      <c r="JO238" s="36"/>
      <c r="JP238" s="36"/>
      <c r="JQ238" s="36"/>
      <c r="JR238" s="36"/>
      <c r="JS238" s="36"/>
      <c r="JT238" s="36"/>
      <c r="JU238" s="36"/>
      <c r="JV238" s="36"/>
      <c r="JW238" s="36"/>
      <c r="JX238" s="36"/>
      <c r="JY238" s="36"/>
      <c r="JZ238" s="36"/>
      <c r="KA238" s="36"/>
      <c r="KB238" s="36"/>
      <c r="KC238" s="37"/>
      <c r="KD238" s="44"/>
      <c r="KE238" s="36"/>
      <c r="KF238" s="36"/>
      <c r="KG238" s="36"/>
      <c r="KH238" s="36"/>
      <c r="KI238" s="36"/>
      <c r="KJ238" s="36"/>
      <c r="KK238" s="36"/>
      <c r="KL238" s="36"/>
      <c r="KM238" s="36"/>
      <c r="KN238" s="36"/>
      <c r="KO238" s="36"/>
      <c r="KP238" s="36"/>
      <c r="KQ238" s="36"/>
      <c r="KR238" s="36"/>
      <c r="KS238" s="36"/>
      <c r="KT238" s="37"/>
      <c r="KU238" s="36"/>
    </row>
    <row r="239" ht="15.0" customHeight="1">
      <c r="A239" s="44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7"/>
      <c r="R239" s="44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7"/>
      <c r="AI239" s="44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  <c r="AU239" s="36"/>
      <c r="AV239" s="36"/>
      <c r="AW239" s="36"/>
      <c r="AX239" s="36"/>
      <c r="AY239" s="37"/>
      <c r="AZ239" s="44"/>
      <c r="BA239" s="36"/>
      <c r="BB239" s="36"/>
      <c r="BC239" s="36"/>
      <c r="BD239" s="36"/>
      <c r="BE239" s="36"/>
      <c r="BF239" s="36"/>
      <c r="BG239" s="36"/>
      <c r="BH239" s="36"/>
      <c r="BI239" s="36"/>
      <c r="BJ239" s="36"/>
      <c r="BK239" s="36"/>
      <c r="BL239" s="36"/>
      <c r="BM239" s="36"/>
      <c r="BN239" s="36"/>
      <c r="BO239" s="36"/>
      <c r="BP239" s="37"/>
      <c r="BQ239" s="44"/>
      <c r="BR239" s="36"/>
      <c r="BS239" s="36"/>
      <c r="BT239" s="36"/>
      <c r="BU239" s="36"/>
      <c r="BV239" s="36"/>
      <c r="BW239" s="36"/>
      <c r="BX239" s="36"/>
      <c r="BY239" s="36"/>
      <c r="BZ239" s="36"/>
      <c r="CA239" s="36"/>
      <c r="CB239" s="36"/>
      <c r="CC239" s="36"/>
      <c r="CD239" s="36"/>
      <c r="CE239" s="36"/>
      <c r="CF239" s="36"/>
      <c r="CG239" s="37"/>
      <c r="CH239" s="44"/>
      <c r="CI239" s="36"/>
      <c r="CJ239" s="36"/>
      <c r="CK239" s="36"/>
      <c r="CL239" s="36"/>
      <c r="CM239" s="36"/>
      <c r="CN239" s="36"/>
      <c r="CO239" s="36"/>
      <c r="CP239" s="36"/>
      <c r="CQ239" s="36"/>
      <c r="CR239" s="36"/>
      <c r="CS239" s="36"/>
      <c r="CT239" s="36"/>
      <c r="CU239" s="36"/>
      <c r="CV239" s="36"/>
      <c r="CW239" s="36"/>
      <c r="CX239" s="37"/>
      <c r="CY239" s="44"/>
      <c r="CZ239" s="36"/>
      <c r="DA239" s="36"/>
      <c r="DB239" s="36"/>
      <c r="DC239" s="36"/>
      <c r="DD239" s="36"/>
      <c r="DE239" s="36"/>
      <c r="DF239" s="36"/>
      <c r="DG239" s="36"/>
      <c r="DH239" s="36"/>
      <c r="DI239" s="36"/>
      <c r="DJ239" s="36"/>
      <c r="DK239" s="36"/>
      <c r="DL239" s="36"/>
      <c r="DM239" s="36"/>
      <c r="DN239" s="36"/>
      <c r="DO239" s="37"/>
      <c r="DP239" s="44"/>
      <c r="DQ239" s="36"/>
      <c r="DR239" s="36"/>
      <c r="DS239" s="36"/>
      <c r="DT239" s="36"/>
      <c r="DU239" s="36"/>
      <c r="DV239" s="36"/>
      <c r="DW239" s="36"/>
      <c r="DX239" s="36"/>
      <c r="DY239" s="36"/>
      <c r="DZ239" s="36"/>
      <c r="EA239" s="36"/>
      <c r="EB239" s="36"/>
      <c r="EC239" s="36"/>
      <c r="ED239" s="36"/>
      <c r="EE239" s="36"/>
      <c r="EF239" s="37"/>
      <c r="EG239" s="44"/>
      <c r="EH239" s="36"/>
      <c r="EI239" s="36"/>
      <c r="EJ239" s="36"/>
      <c r="EK239" s="36"/>
      <c r="EL239" s="36"/>
      <c r="EM239" s="36"/>
      <c r="EN239" s="36"/>
      <c r="EO239" s="36"/>
      <c r="EP239" s="36"/>
      <c r="EQ239" s="36"/>
      <c r="ER239" s="36"/>
      <c r="ES239" s="36"/>
      <c r="ET239" s="36"/>
      <c r="EU239" s="36"/>
      <c r="EV239" s="36"/>
      <c r="EW239" s="37"/>
      <c r="EX239" s="44"/>
      <c r="EY239" s="36"/>
      <c r="EZ239" s="36"/>
      <c r="FA239" s="36"/>
      <c r="FB239" s="36"/>
      <c r="FC239" s="36"/>
      <c r="FD239" s="36"/>
      <c r="FE239" s="36"/>
      <c r="FF239" s="36"/>
      <c r="FG239" s="36"/>
      <c r="FH239" s="36"/>
      <c r="FI239" s="36"/>
      <c r="FJ239" s="36"/>
      <c r="FK239" s="36"/>
      <c r="FL239" s="36"/>
      <c r="FM239" s="36"/>
      <c r="FN239" s="37"/>
      <c r="FO239" s="44"/>
      <c r="FP239" s="36"/>
      <c r="FQ239" s="36"/>
      <c r="FR239" s="36"/>
      <c r="FS239" s="36"/>
      <c r="FT239" s="36"/>
      <c r="FU239" s="36"/>
      <c r="FV239" s="36"/>
      <c r="FW239" s="36"/>
      <c r="FX239" s="36"/>
      <c r="FY239" s="36"/>
      <c r="FZ239" s="36"/>
      <c r="GA239" s="36"/>
      <c r="GB239" s="36"/>
      <c r="GC239" s="36"/>
      <c r="GD239" s="36"/>
      <c r="GE239" s="37"/>
      <c r="GF239" s="44"/>
      <c r="GG239" s="36"/>
      <c r="GH239" s="36"/>
      <c r="GI239" s="36"/>
      <c r="GJ239" s="36"/>
      <c r="GK239" s="36"/>
      <c r="GL239" s="36"/>
      <c r="GM239" s="36"/>
      <c r="GN239" s="36"/>
      <c r="GO239" s="36"/>
      <c r="GP239" s="36"/>
      <c r="GQ239" s="36"/>
      <c r="GR239" s="36"/>
      <c r="GS239" s="36"/>
      <c r="GT239" s="36"/>
      <c r="GU239" s="36"/>
      <c r="GV239" s="37"/>
      <c r="GW239" s="44"/>
      <c r="GX239" s="36"/>
      <c r="GY239" s="36"/>
      <c r="GZ239" s="36"/>
      <c r="HA239" s="36"/>
      <c r="HB239" s="36"/>
      <c r="HC239" s="36"/>
      <c r="HD239" s="36"/>
      <c r="HE239" s="36"/>
      <c r="HF239" s="36"/>
      <c r="HG239" s="36"/>
      <c r="HH239" s="36"/>
      <c r="HI239" s="36"/>
      <c r="HJ239" s="36"/>
      <c r="HK239" s="36"/>
      <c r="HL239" s="36"/>
      <c r="HM239" s="37"/>
      <c r="HN239" s="44"/>
      <c r="HO239" s="36"/>
      <c r="HP239" s="36"/>
      <c r="HQ239" s="36"/>
      <c r="HR239" s="36"/>
      <c r="HS239" s="36"/>
      <c r="HT239" s="36"/>
      <c r="HU239" s="36"/>
      <c r="HV239" s="36"/>
      <c r="HW239" s="36"/>
      <c r="HX239" s="36"/>
      <c r="HY239" s="36"/>
      <c r="HZ239" s="36"/>
      <c r="IA239" s="36"/>
      <c r="IB239" s="36"/>
      <c r="IC239" s="36"/>
      <c r="ID239" s="37"/>
      <c r="IE239" s="44"/>
      <c r="IF239" s="36"/>
      <c r="IG239" s="36"/>
      <c r="IH239" s="36"/>
      <c r="II239" s="36"/>
      <c r="IJ239" s="36"/>
      <c r="IK239" s="36"/>
      <c r="IL239" s="36"/>
      <c r="IM239" s="36"/>
      <c r="IN239" s="36"/>
      <c r="IO239" s="36"/>
      <c r="IP239" s="36"/>
      <c r="IQ239" s="36"/>
      <c r="IR239" s="36"/>
      <c r="IS239" s="36"/>
      <c r="IT239" s="36"/>
      <c r="IU239" s="37"/>
      <c r="IV239" s="44"/>
      <c r="IW239" s="36"/>
      <c r="IX239" s="36"/>
      <c r="IY239" s="36"/>
      <c r="IZ239" s="36"/>
      <c r="JA239" s="36"/>
      <c r="JB239" s="36"/>
      <c r="JC239" s="36"/>
      <c r="JD239" s="36"/>
      <c r="JE239" s="36"/>
      <c r="JF239" s="36"/>
      <c r="JG239" s="36"/>
      <c r="JH239" s="36"/>
      <c r="JI239" s="36"/>
      <c r="JJ239" s="36"/>
      <c r="JK239" s="36"/>
      <c r="JL239" s="37"/>
      <c r="JM239" s="44"/>
      <c r="JN239" s="36"/>
      <c r="JO239" s="36"/>
      <c r="JP239" s="36"/>
      <c r="JQ239" s="36"/>
      <c r="JR239" s="36"/>
      <c r="JS239" s="36"/>
      <c r="JT239" s="36"/>
      <c r="JU239" s="36"/>
      <c r="JV239" s="36"/>
      <c r="JW239" s="36"/>
      <c r="JX239" s="36"/>
      <c r="JY239" s="36"/>
      <c r="JZ239" s="36"/>
      <c r="KA239" s="36"/>
      <c r="KB239" s="36"/>
      <c r="KC239" s="37"/>
      <c r="KD239" s="44"/>
      <c r="KE239" s="36"/>
      <c r="KF239" s="36"/>
      <c r="KG239" s="36"/>
      <c r="KH239" s="36"/>
      <c r="KI239" s="36"/>
      <c r="KJ239" s="36"/>
      <c r="KK239" s="36"/>
      <c r="KL239" s="36"/>
      <c r="KM239" s="36"/>
      <c r="KN239" s="36"/>
      <c r="KO239" s="36"/>
      <c r="KP239" s="36"/>
      <c r="KQ239" s="36"/>
      <c r="KR239" s="36"/>
      <c r="KS239" s="36"/>
      <c r="KT239" s="37"/>
      <c r="KU239" s="36"/>
    </row>
    <row r="240" ht="15.0" customHeight="1">
      <c r="A240" s="44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7"/>
      <c r="R240" s="44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7"/>
      <c r="AI240" s="44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  <c r="AU240" s="36"/>
      <c r="AV240" s="36"/>
      <c r="AW240" s="36"/>
      <c r="AX240" s="36"/>
      <c r="AY240" s="37"/>
      <c r="AZ240" s="44"/>
      <c r="BA240" s="36"/>
      <c r="BB240" s="36"/>
      <c r="BC240" s="36"/>
      <c r="BD240" s="36"/>
      <c r="BE240" s="36"/>
      <c r="BF240" s="36"/>
      <c r="BG240" s="36"/>
      <c r="BH240" s="36"/>
      <c r="BI240" s="36"/>
      <c r="BJ240" s="36"/>
      <c r="BK240" s="36"/>
      <c r="BL240" s="36"/>
      <c r="BM240" s="36"/>
      <c r="BN240" s="36"/>
      <c r="BO240" s="36"/>
      <c r="BP240" s="37"/>
      <c r="BQ240" s="44"/>
      <c r="BR240" s="36"/>
      <c r="BS240" s="36"/>
      <c r="BT240" s="36"/>
      <c r="BU240" s="36"/>
      <c r="BV240" s="36"/>
      <c r="BW240" s="36"/>
      <c r="BX240" s="36"/>
      <c r="BY240" s="36"/>
      <c r="BZ240" s="36"/>
      <c r="CA240" s="36"/>
      <c r="CB240" s="36"/>
      <c r="CC240" s="36"/>
      <c r="CD240" s="36"/>
      <c r="CE240" s="36"/>
      <c r="CF240" s="36"/>
      <c r="CG240" s="37"/>
      <c r="CH240" s="44"/>
      <c r="CI240" s="36"/>
      <c r="CJ240" s="36"/>
      <c r="CK240" s="36"/>
      <c r="CL240" s="36"/>
      <c r="CM240" s="36"/>
      <c r="CN240" s="36"/>
      <c r="CO240" s="36"/>
      <c r="CP240" s="36"/>
      <c r="CQ240" s="36"/>
      <c r="CR240" s="36"/>
      <c r="CS240" s="36"/>
      <c r="CT240" s="36"/>
      <c r="CU240" s="36"/>
      <c r="CV240" s="36"/>
      <c r="CW240" s="36"/>
      <c r="CX240" s="37"/>
      <c r="CY240" s="44"/>
      <c r="CZ240" s="36"/>
      <c r="DA240" s="36"/>
      <c r="DB240" s="36"/>
      <c r="DC240" s="36"/>
      <c r="DD240" s="36"/>
      <c r="DE240" s="36"/>
      <c r="DF240" s="36"/>
      <c r="DG240" s="36"/>
      <c r="DH240" s="36"/>
      <c r="DI240" s="36"/>
      <c r="DJ240" s="36"/>
      <c r="DK240" s="36"/>
      <c r="DL240" s="36"/>
      <c r="DM240" s="36"/>
      <c r="DN240" s="36"/>
      <c r="DO240" s="37"/>
      <c r="DP240" s="44"/>
      <c r="DQ240" s="36"/>
      <c r="DR240" s="36"/>
      <c r="DS240" s="36"/>
      <c r="DT240" s="36"/>
      <c r="DU240" s="36"/>
      <c r="DV240" s="36"/>
      <c r="DW240" s="36"/>
      <c r="DX240" s="36"/>
      <c r="DY240" s="36"/>
      <c r="DZ240" s="36"/>
      <c r="EA240" s="36"/>
      <c r="EB240" s="36"/>
      <c r="EC240" s="36"/>
      <c r="ED240" s="36"/>
      <c r="EE240" s="36"/>
      <c r="EF240" s="37"/>
      <c r="EG240" s="44"/>
      <c r="EH240" s="36"/>
      <c r="EI240" s="36"/>
      <c r="EJ240" s="36"/>
      <c r="EK240" s="36"/>
      <c r="EL240" s="36"/>
      <c r="EM240" s="36"/>
      <c r="EN240" s="36"/>
      <c r="EO240" s="36"/>
      <c r="EP240" s="36"/>
      <c r="EQ240" s="36"/>
      <c r="ER240" s="36"/>
      <c r="ES240" s="36"/>
      <c r="ET240" s="36"/>
      <c r="EU240" s="36"/>
      <c r="EV240" s="36"/>
      <c r="EW240" s="37"/>
      <c r="EX240" s="44"/>
      <c r="EY240" s="36"/>
      <c r="EZ240" s="36"/>
      <c r="FA240" s="36"/>
      <c r="FB240" s="36"/>
      <c r="FC240" s="36"/>
      <c r="FD240" s="36"/>
      <c r="FE240" s="36"/>
      <c r="FF240" s="36"/>
      <c r="FG240" s="36"/>
      <c r="FH240" s="36"/>
      <c r="FI240" s="36"/>
      <c r="FJ240" s="36"/>
      <c r="FK240" s="36"/>
      <c r="FL240" s="36"/>
      <c r="FM240" s="36"/>
      <c r="FN240" s="37"/>
      <c r="FO240" s="44"/>
      <c r="FP240" s="36"/>
      <c r="FQ240" s="36"/>
      <c r="FR240" s="36"/>
      <c r="FS240" s="36"/>
      <c r="FT240" s="36"/>
      <c r="FU240" s="36"/>
      <c r="FV240" s="36"/>
      <c r="FW240" s="36"/>
      <c r="FX240" s="36"/>
      <c r="FY240" s="36"/>
      <c r="FZ240" s="36"/>
      <c r="GA240" s="36"/>
      <c r="GB240" s="36"/>
      <c r="GC240" s="36"/>
      <c r="GD240" s="36"/>
      <c r="GE240" s="37"/>
      <c r="GF240" s="44"/>
      <c r="GG240" s="36"/>
      <c r="GH240" s="36"/>
      <c r="GI240" s="36"/>
      <c r="GJ240" s="36"/>
      <c r="GK240" s="36"/>
      <c r="GL240" s="36"/>
      <c r="GM240" s="36"/>
      <c r="GN240" s="36"/>
      <c r="GO240" s="36"/>
      <c r="GP240" s="36"/>
      <c r="GQ240" s="36"/>
      <c r="GR240" s="36"/>
      <c r="GS240" s="36"/>
      <c r="GT240" s="36"/>
      <c r="GU240" s="36"/>
      <c r="GV240" s="37"/>
      <c r="GW240" s="44"/>
      <c r="GX240" s="36"/>
      <c r="GY240" s="36"/>
      <c r="GZ240" s="36"/>
      <c r="HA240" s="36"/>
      <c r="HB240" s="36"/>
      <c r="HC240" s="36"/>
      <c r="HD240" s="36"/>
      <c r="HE240" s="36"/>
      <c r="HF240" s="36"/>
      <c r="HG240" s="36"/>
      <c r="HH240" s="36"/>
      <c r="HI240" s="36"/>
      <c r="HJ240" s="36"/>
      <c r="HK240" s="36"/>
      <c r="HL240" s="36"/>
      <c r="HM240" s="37"/>
      <c r="HN240" s="44"/>
      <c r="HO240" s="36"/>
      <c r="HP240" s="36"/>
      <c r="HQ240" s="36"/>
      <c r="HR240" s="36"/>
      <c r="HS240" s="36"/>
      <c r="HT240" s="36"/>
      <c r="HU240" s="36"/>
      <c r="HV240" s="36"/>
      <c r="HW240" s="36"/>
      <c r="HX240" s="36"/>
      <c r="HY240" s="36"/>
      <c r="HZ240" s="36"/>
      <c r="IA240" s="36"/>
      <c r="IB240" s="36"/>
      <c r="IC240" s="36"/>
      <c r="ID240" s="37"/>
      <c r="IE240" s="44"/>
      <c r="IF240" s="36"/>
      <c r="IG240" s="36"/>
      <c r="IH240" s="36"/>
      <c r="II240" s="36"/>
      <c r="IJ240" s="36"/>
      <c r="IK240" s="36"/>
      <c r="IL240" s="36"/>
      <c r="IM240" s="36"/>
      <c r="IN240" s="36"/>
      <c r="IO240" s="36"/>
      <c r="IP240" s="36"/>
      <c r="IQ240" s="36"/>
      <c r="IR240" s="36"/>
      <c r="IS240" s="36"/>
      <c r="IT240" s="36"/>
      <c r="IU240" s="37"/>
      <c r="IV240" s="44"/>
      <c r="IW240" s="36"/>
      <c r="IX240" s="36"/>
      <c r="IY240" s="36"/>
      <c r="IZ240" s="36"/>
      <c r="JA240" s="36"/>
      <c r="JB240" s="36"/>
      <c r="JC240" s="36"/>
      <c r="JD240" s="36"/>
      <c r="JE240" s="36"/>
      <c r="JF240" s="36"/>
      <c r="JG240" s="36"/>
      <c r="JH240" s="36"/>
      <c r="JI240" s="36"/>
      <c r="JJ240" s="36"/>
      <c r="JK240" s="36"/>
      <c r="JL240" s="37"/>
      <c r="JM240" s="44"/>
      <c r="JN240" s="36"/>
      <c r="JO240" s="36"/>
      <c r="JP240" s="36"/>
      <c r="JQ240" s="36"/>
      <c r="JR240" s="36"/>
      <c r="JS240" s="36"/>
      <c r="JT240" s="36"/>
      <c r="JU240" s="36"/>
      <c r="JV240" s="36"/>
      <c r="JW240" s="36"/>
      <c r="JX240" s="36"/>
      <c r="JY240" s="36"/>
      <c r="JZ240" s="36"/>
      <c r="KA240" s="36"/>
      <c r="KB240" s="36"/>
      <c r="KC240" s="37"/>
      <c r="KD240" s="44"/>
      <c r="KE240" s="36"/>
      <c r="KF240" s="36"/>
      <c r="KG240" s="36"/>
      <c r="KH240" s="36"/>
      <c r="KI240" s="36"/>
      <c r="KJ240" s="36"/>
      <c r="KK240" s="36"/>
      <c r="KL240" s="36"/>
      <c r="KM240" s="36"/>
      <c r="KN240" s="36"/>
      <c r="KO240" s="36"/>
      <c r="KP240" s="36"/>
      <c r="KQ240" s="36"/>
      <c r="KR240" s="36"/>
      <c r="KS240" s="36"/>
      <c r="KT240" s="37"/>
      <c r="KU240" s="36"/>
    </row>
    <row r="241" ht="15.0" customHeight="1">
      <c r="A241" s="44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7"/>
      <c r="R241" s="44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7"/>
      <c r="AI241" s="44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  <c r="AU241" s="36"/>
      <c r="AV241" s="36"/>
      <c r="AW241" s="36"/>
      <c r="AX241" s="36"/>
      <c r="AY241" s="37"/>
      <c r="AZ241" s="44"/>
      <c r="BA241" s="36"/>
      <c r="BB241" s="36"/>
      <c r="BC241" s="36"/>
      <c r="BD241" s="36"/>
      <c r="BE241" s="36"/>
      <c r="BF241" s="36"/>
      <c r="BG241" s="36"/>
      <c r="BH241" s="36"/>
      <c r="BI241" s="36"/>
      <c r="BJ241" s="36"/>
      <c r="BK241" s="36"/>
      <c r="BL241" s="36"/>
      <c r="BM241" s="36"/>
      <c r="BN241" s="36"/>
      <c r="BO241" s="36"/>
      <c r="BP241" s="37"/>
      <c r="BQ241" s="44"/>
      <c r="BR241" s="36"/>
      <c r="BS241" s="36"/>
      <c r="BT241" s="36"/>
      <c r="BU241" s="36"/>
      <c r="BV241" s="36"/>
      <c r="BW241" s="36"/>
      <c r="BX241" s="36"/>
      <c r="BY241" s="36"/>
      <c r="BZ241" s="36"/>
      <c r="CA241" s="36"/>
      <c r="CB241" s="36"/>
      <c r="CC241" s="36"/>
      <c r="CD241" s="36"/>
      <c r="CE241" s="36"/>
      <c r="CF241" s="36"/>
      <c r="CG241" s="37"/>
      <c r="CH241" s="44"/>
      <c r="CI241" s="36"/>
      <c r="CJ241" s="36"/>
      <c r="CK241" s="36"/>
      <c r="CL241" s="36"/>
      <c r="CM241" s="36"/>
      <c r="CN241" s="36"/>
      <c r="CO241" s="36"/>
      <c r="CP241" s="36"/>
      <c r="CQ241" s="36"/>
      <c r="CR241" s="36"/>
      <c r="CS241" s="36"/>
      <c r="CT241" s="36"/>
      <c r="CU241" s="36"/>
      <c r="CV241" s="36"/>
      <c r="CW241" s="36"/>
      <c r="CX241" s="37"/>
      <c r="CY241" s="44"/>
      <c r="CZ241" s="36"/>
      <c r="DA241" s="36"/>
      <c r="DB241" s="36"/>
      <c r="DC241" s="36"/>
      <c r="DD241" s="36"/>
      <c r="DE241" s="36"/>
      <c r="DF241" s="36"/>
      <c r="DG241" s="36"/>
      <c r="DH241" s="36"/>
      <c r="DI241" s="36"/>
      <c r="DJ241" s="36"/>
      <c r="DK241" s="36"/>
      <c r="DL241" s="36"/>
      <c r="DM241" s="36"/>
      <c r="DN241" s="36"/>
      <c r="DO241" s="37"/>
      <c r="DP241" s="44"/>
      <c r="DQ241" s="36"/>
      <c r="DR241" s="36"/>
      <c r="DS241" s="36"/>
      <c r="DT241" s="36"/>
      <c r="DU241" s="36"/>
      <c r="DV241" s="36"/>
      <c r="DW241" s="36"/>
      <c r="DX241" s="36"/>
      <c r="DY241" s="36"/>
      <c r="DZ241" s="36"/>
      <c r="EA241" s="36"/>
      <c r="EB241" s="36"/>
      <c r="EC241" s="36"/>
      <c r="ED241" s="36"/>
      <c r="EE241" s="36"/>
      <c r="EF241" s="37"/>
      <c r="EG241" s="44"/>
      <c r="EH241" s="36"/>
      <c r="EI241" s="36"/>
      <c r="EJ241" s="36"/>
      <c r="EK241" s="36"/>
      <c r="EL241" s="36"/>
      <c r="EM241" s="36"/>
      <c r="EN241" s="36"/>
      <c r="EO241" s="36"/>
      <c r="EP241" s="36"/>
      <c r="EQ241" s="36"/>
      <c r="ER241" s="36"/>
      <c r="ES241" s="36"/>
      <c r="ET241" s="36"/>
      <c r="EU241" s="36"/>
      <c r="EV241" s="36"/>
      <c r="EW241" s="37"/>
      <c r="EX241" s="44"/>
      <c r="EY241" s="36"/>
      <c r="EZ241" s="36"/>
      <c r="FA241" s="36"/>
      <c r="FB241" s="36"/>
      <c r="FC241" s="36"/>
      <c r="FD241" s="36"/>
      <c r="FE241" s="36"/>
      <c r="FF241" s="36"/>
      <c r="FG241" s="36"/>
      <c r="FH241" s="36"/>
      <c r="FI241" s="36"/>
      <c r="FJ241" s="36"/>
      <c r="FK241" s="36"/>
      <c r="FL241" s="36"/>
      <c r="FM241" s="36"/>
      <c r="FN241" s="37"/>
      <c r="FO241" s="44"/>
      <c r="FP241" s="36"/>
      <c r="FQ241" s="36"/>
      <c r="FR241" s="36"/>
      <c r="FS241" s="36"/>
      <c r="FT241" s="36"/>
      <c r="FU241" s="36"/>
      <c r="FV241" s="36"/>
      <c r="FW241" s="36"/>
      <c r="FX241" s="36"/>
      <c r="FY241" s="36"/>
      <c r="FZ241" s="36"/>
      <c r="GA241" s="36"/>
      <c r="GB241" s="36"/>
      <c r="GC241" s="36"/>
      <c r="GD241" s="36"/>
      <c r="GE241" s="37"/>
      <c r="GF241" s="44"/>
      <c r="GG241" s="36"/>
      <c r="GH241" s="36"/>
      <c r="GI241" s="36"/>
      <c r="GJ241" s="36"/>
      <c r="GK241" s="36"/>
      <c r="GL241" s="36"/>
      <c r="GM241" s="36"/>
      <c r="GN241" s="36"/>
      <c r="GO241" s="36"/>
      <c r="GP241" s="36"/>
      <c r="GQ241" s="36"/>
      <c r="GR241" s="36"/>
      <c r="GS241" s="36"/>
      <c r="GT241" s="36"/>
      <c r="GU241" s="36"/>
      <c r="GV241" s="37"/>
      <c r="GW241" s="44"/>
      <c r="GX241" s="36"/>
      <c r="GY241" s="36"/>
      <c r="GZ241" s="36"/>
      <c r="HA241" s="36"/>
      <c r="HB241" s="36"/>
      <c r="HC241" s="36"/>
      <c r="HD241" s="36"/>
      <c r="HE241" s="36"/>
      <c r="HF241" s="36"/>
      <c r="HG241" s="36"/>
      <c r="HH241" s="36"/>
      <c r="HI241" s="36"/>
      <c r="HJ241" s="36"/>
      <c r="HK241" s="36"/>
      <c r="HL241" s="36"/>
      <c r="HM241" s="37"/>
      <c r="HN241" s="44"/>
      <c r="HO241" s="36"/>
      <c r="HP241" s="36"/>
      <c r="HQ241" s="36"/>
      <c r="HR241" s="36"/>
      <c r="HS241" s="36"/>
      <c r="HT241" s="36"/>
      <c r="HU241" s="36"/>
      <c r="HV241" s="36"/>
      <c r="HW241" s="36"/>
      <c r="HX241" s="36"/>
      <c r="HY241" s="36"/>
      <c r="HZ241" s="36"/>
      <c r="IA241" s="36"/>
      <c r="IB241" s="36"/>
      <c r="IC241" s="36"/>
      <c r="ID241" s="37"/>
      <c r="IE241" s="44"/>
      <c r="IF241" s="36"/>
      <c r="IG241" s="36"/>
      <c r="IH241" s="36"/>
      <c r="II241" s="36"/>
      <c r="IJ241" s="36"/>
      <c r="IK241" s="36"/>
      <c r="IL241" s="36"/>
      <c r="IM241" s="36"/>
      <c r="IN241" s="36"/>
      <c r="IO241" s="36"/>
      <c r="IP241" s="36"/>
      <c r="IQ241" s="36"/>
      <c r="IR241" s="36"/>
      <c r="IS241" s="36"/>
      <c r="IT241" s="36"/>
      <c r="IU241" s="37"/>
      <c r="IV241" s="44"/>
      <c r="IW241" s="36"/>
      <c r="IX241" s="36"/>
      <c r="IY241" s="36"/>
      <c r="IZ241" s="36"/>
      <c r="JA241" s="36"/>
      <c r="JB241" s="36"/>
      <c r="JC241" s="36"/>
      <c r="JD241" s="36"/>
      <c r="JE241" s="36"/>
      <c r="JF241" s="36"/>
      <c r="JG241" s="36"/>
      <c r="JH241" s="36"/>
      <c r="JI241" s="36"/>
      <c r="JJ241" s="36"/>
      <c r="JK241" s="36"/>
      <c r="JL241" s="37"/>
      <c r="JM241" s="44"/>
      <c r="JN241" s="36"/>
      <c r="JO241" s="36"/>
      <c r="JP241" s="36"/>
      <c r="JQ241" s="36"/>
      <c r="JR241" s="36"/>
      <c r="JS241" s="36"/>
      <c r="JT241" s="36"/>
      <c r="JU241" s="36"/>
      <c r="JV241" s="36"/>
      <c r="JW241" s="36"/>
      <c r="JX241" s="36"/>
      <c r="JY241" s="36"/>
      <c r="JZ241" s="36"/>
      <c r="KA241" s="36"/>
      <c r="KB241" s="36"/>
      <c r="KC241" s="37"/>
      <c r="KD241" s="44"/>
      <c r="KE241" s="36"/>
      <c r="KF241" s="36"/>
      <c r="KG241" s="36"/>
      <c r="KH241" s="36"/>
      <c r="KI241" s="36"/>
      <c r="KJ241" s="36"/>
      <c r="KK241" s="36"/>
      <c r="KL241" s="36"/>
      <c r="KM241" s="36"/>
      <c r="KN241" s="36"/>
      <c r="KO241" s="36"/>
      <c r="KP241" s="36"/>
      <c r="KQ241" s="36"/>
      <c r="KR241" s="36"/>
      <c r="KS241" s="36"/>
      <c r="KT241" s="37"/>
      <c r="KU241" s="36"/>
    </row>
    <row r="242" ht="15.0" customHeight="1">
      <c r="A242" s="44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7"/>
      <c r="R242" s="44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7"/>
      <c r="AI242" s="44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  <c r="AU242" s="36"/>
      <c r="AV242" s="36"/>
      <c r="AW242" s="36"/>
      <c r="AX242" s="36"/>
      <c r="AY242" s="37"/>
      <c r="AZ242" s="44"/>
      <c r="BA242" s="36"/>
      <c r="BB242" s="36"/>
      <c r="BC242" s="36"/>
      <c r="BD242" s="36"/>
      <c r="BE242" s="36"/>
      <c r="BF242" s="36"/>
      <c r="BG242" s="36"/>
      <c r="BH242" s="36"/>
      <c r="BI242" s="36"/>
      <c r="BJ242" s="36"/>
      <c r="BK242" s="36"/>
      <c r="BL242" s="36"/>
      <c r="BM242" s="36"/>
      <c r="BN242" s="36"/>
      <c r="BO242" s="36"/>
      <c r="BP242" s="37"/>
      <c r="BQ242" s="44"/>
      <c r="BR242" s="36"/>
      <c r="BS242" s="36"/>
      <c r="BT242" s="36"/>
      <c r="BU242" s="36"/>
      <c r="BV242" s="36"/>
      <c r="BW242" s="36"/>
      <c r="BX242" s="36"/>
      <c r="BY242" s="36"/>
      <c r="BZ242" s="36"/>
      <c r="CA242" s="36"/>
      <c r="CB242" s="36"/>
      <c r="CC242" s="36"/>
      <c r="CD242" s="36"/>
      <c r="CE242" s="36"/>
      <c r="CF242" s="36"/>
      <c r="CG242" s="37"/>
      <c r="CH242" s="44"/>
      <c r="CI242" s="36"/>
      <c r="CJ242" s="36"/>
      <c r="CK242" s="36"/>
      <c r="CL242" s="36"/>
      <c r="CM242" s="36"/>
      <c r="CN242" s="36"/>
      <c r="CO242" s="36"/>
      <c r="CP242" s="36"/>
      <c r="CQ242" s="36"/>
      <c r="CR242" s="36"/>
      <c r="CS242" s="36"/>
      <c r="CT242" s="36"/>
      <c r="CU242" s="36"/>
      <c r="CV242" s="36"/>
      <c r="CW242" s="36"/>
      <c r="CX242" s="37"/>
      <c r="CY242" s="44"/>
      <c r="CZ242" s="36"/>
      <c r="DA242" s="36"/>
      <c r="DB242" s="36"/>
      <c r="DC242" s="36"/>
      <c r="DD242" s="36"/>
      <c r="DE242" s="36"/>
      <c r="DF242" s="36"/>
      <c r="DG242" s="36"/>
      <c r="DH242" s="36"/>
      <c r="DI242" s="36"/>
      <c r="DJ242" s="36"/>
      <c r="DK242" s="36"/>
      <c r="DL242" s="36"/>
      <c r="DM242" s="36"/>
      <c r="DN242" s="36"/>
      <c r="DO242" s="37"/>
      <c r="DP242" s="44"/>
      <c r="DQ242" s="36"/>
      <c r="DR242" s="36"/>
      <c r="DS242" s="36"/>
      <c r="DT242" s="36"/>
      <c r="DU242" s="36"/>
      <c r="DV242" s="36"/>
      <c r="DW242" s="36"/>
      <c r="DX242" s="36"/>
      <c r="DY242" s="36"/>
      <c r="DZ242" s="36"/>
      <c r="EA242" s="36"/>
      <c r="EB242" s="36"/>
      <c r="EC242" s="36"/>
      <c r="ED242" s="36"/>
      <c r="EE242" s="36"/>
      <c r="EF242" s="37"/>
      <c r="EG242" s="44"/>
      <c r="EH242" s="36"/>
      <c r="EI242" s="36"/>
      <c r="EJ242" s="36"/>
      <c r="EK242" s="36"/>
      <c r="EL242" s="36"/>
      <c r="EM242" s="36"/>
      <c r="EN242" s="36"/>
      <c r="EO242" s="36"/>
      <c r="EP242" s="36"/>
      <c r="EQ242" s="36"/>
      <c r="ER242" s="36"/>
      <c r="ES242" s="36"/>
      <c r="ET242" s="36"/>
      <c r="EU242" s="36"/>
      <c r="EV242" s="36"/>
      <c r="EW242" s="37"/>
      <c r="EX242" s="44"/>
      <c r="EY242" s="36"/>
      <c r="EZ242" s="36"/>
      <c r="FA242" s="36"/>
      <c r="FB242" s="36"/>
      <c r="FC242" s="36"/>
      <c r="FD242" s="36"/>
      <c r="FE242" s="36"/>
      <c r="FF242" s="36"/>
      <c r="FG242" s="36"/>
      <c r="FH242" s="36"/>
      <c r="FI242" s="36"/>
      <c r="FJ242" s="36"/>
      <c r="FK242" s="36"/>
      <c r="FL242" s="36"/>
      <c r="FM242" s="36"/>
      <c r="FN242" s="37"/>
      <c r="FO242" s="44"/>
      <c r="FP242" s="36"/>
      <c r="FQ242" s="36"/>
      <c r="FR242" s="36"/>
      <c r="FS242" s="36"/>
      <c r="FT242" s="36"/>
      <c r="FU242" s="36"/>
      <c r="FV242" s="36"/>
      <c r="FW242" s="36"/>
      <c r="FX242" s="36"/>
      <c r="FY242" s="36"/>
      <c r="FZ242" s="36"/>
      <c r="GA242" s="36"/>
      <c r="GB242" s="36"/>
      <c r="GC242" s="36"/>
      <c r="GD242" s="36"/>
      <c r="GE242" s="37"/>
      <c r="GF242" s="44"/>
      <c r="GG242" s="36"/>
      <c r="GH242" s="36"/>
      <c r="GI242" s="36"/>
      <c r="GJ242" s="36"/>
      <c r="GK242" s="36"/>
      <c r="GL242" s="36"/>
      <c r="GM242" s="36"/>
      <c r="GN242" s="36"/>
      <c r="GO242" s="36"/>
      <c r="GP242" s="36"/>
      <c r="GQ242" s="36"/>
      <c r="GR242" s="36"/>
      <c r="GS242" s="36"/>
      <c r="GT242" s="36"/>
      <c r="GU242" s="36"/>
      <c r="GV242" s="37"/>
      <c r="GW242" s="44"/>
      <c r="GX242" s="36"/>
      <c r="GY242" s="36"/>
      <c r="GZ242" s="36"/>
      <c r="HA242" s="36"/>
      <c r="HB242" s="36"/>
      <c r="HC242" s="36"/>
      <c r="HD242" s="36"/>
      <c r="HE242" s="36"/>
      <c r="HF242" s="36"/>
      <c r="HG242" s="36"/>
      <c r="HH242" s="36"/>
      <c r="HI242" s="36"/>
      <c r="HJ242" s="36"/>
      <c r="HK242" s="36"/>
      <c r="HL242" s="36"/>
      <c r="HM242" s="37"/>
      <c r="HN242" s="44"/>
      <c r="HO242" s="36"/>
      <c r="HP242" s="36"/>
      <c r="HQ242" s="36"/>
      <c r="HR242" s="36"/>
      <c r="HS242" s="36"/>
      <c r="HT242" s="36"/>
      <c r="HU242" s="36"/>
      <c r="HV242" s="36"/>
      <c r="HW242" s="36"/>
      <c r="HX242" s="36"/>
      <c r="HY242" s="36"/>
      <c r="HZ242" s="36"/>
      <c r="IA242" s="36"/>
      <c r="IB242" s="36"/>
      <c r="IC242" s="36"/>
      <c r="ID242" s="37"/>
      <c r="IE242" s="44"/>
      <c r="IF242" s="36"/>
      <c r="IG242" s="36"/>
      <c r="IH242" s="36"/>
      <c r="II242" s="36"/>
      <c r="IJ242" s="36"/>
      <c r="IK242" s="36"/>
      <c r="IL242" s="36"/>
      <c r="IM242" s="36"/>
      <c r="IN242" s="36"/>
      <c r="IO242" s="36"/>
      <c r="IP242" s="36"/>
      <c r="IQ242" s="36"/>
      <c r="IR242" s="36"/>
      <c r="IS242" s="36"/>
      <c r="IT242" s="36"/>
      <c r="IU242" s="37"/>
      <c r="IV242" s="44"/>
      <c r="IW242" s="36"/>
      <c r="IX242" s="36"/>
      <c r="IY242" s="36"/>
      <c r="IZ242" s="36"/>
      <c r="JA242" s="36"/>
      <c r="JB242" s="36"/>
      <c r="JC242" s="36"/>
      <c r="JD242" s="36"/>
      <c r="JE242" s="36"/>
      <c r="JF242" s="36"/>
      <c r="JG242" s="36"/>
      <c r="JH242" s="36"/>
      <c r="JI242" s="36"/>
      <c r="JJ242" s="36"/>
      <c r="JK242" s="36"/>
      <c r="JL242" s="37"/>
      <c r="JM242" s="44"/>
      <c r="JN242" s="36"/>
      <c r="JO242" s="36"/>
      <c r="JP242" s="36"/>
      <c r="JQ242" s="36"/>
      <c r="JR242" s="36"/>
      <c r="JS242" s="36"/>
      <c r="JT242" s="36"/>
      <c r="JU242" s="36"/>
      <c r="JV242" s="36"/>
      <c r="JW242" s="36"/>
      <c r="JX242" s="36"/>
      <c r="JY242" s="36"/>
      <c r="JZ242" s="36"/>
      <c r="KA242" s="36"/>
      <c r="KB242" s="36"/>
      <c r="KC242" s="37"/>
      <c r="KD242" s="44"/>
      <c r="KE242" s="36"/>
      <c r="KF242" s="36"/>
      <c r="KG242" s="36"/>
      <c r="KH242" s="36"/>
      <c r="KI242" s="36"/>
      <c r="KJ242" s="36"/>
      <c r="KK242" s="36"/>
      <c r="KL242" s="36"/>
      <c r="KM242" s="36"/>
      <c r="KN242" s="36"/>
      <c r="KO242" s="36"/>
      <c r="KP242" s="36"/>
      <c r="KQ242" s="36"/>
      <c r="KR242" s="36"/>
      <c r="KS242" s="36"/>
      <c r="KT242" s="37"/>
      <c r="KU242" s="36"/>
    </row>
    <row r="243" ht="15.0" customHeight="1">
      <c r="A243" s="44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7"/>
      <c r="R243" s="44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7"/>
      <c r="AI243" s="44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  <c r="AU243" s="36"/>
      <c r="AV243" s="36"/>
      <c r="AW243" s="36"/>
      <c r="AX243" s="36"/>
      <c r="AY243" s="37"/>
      <c r="AZ243" s="44"/>
      <c r="BA243" s="36"/>
      <c r="BB243" s="36"/>
      <c r="BC243" s="36"/>
      <c r="BD243" s="36"/>
      <c r="BE243" s="36"/>
      <c r="BF243" s="36"/>
      <c r="BG243" s="36"/>
      <c r="BH243" s="36"/>
      <c r="BI243" s="36"/>
      <c r="BJ243" s="36"/>
      <c r="BK243" s="36"/>
      <c r="BL243" s="36"/>
      <c r="BM243" s="36"/>
      <c r="BN243" s="36"/>
      <c r="BO243" s="36"/>
      <c r="BP243" s="37"/>
      <c r="BQ243" s="44"/>
      <c r="BR243" s="36"/>
      <c r="BS243" s="36"/>
      <c r="BT243" s="36"/>
      <c r="BU243" s="36"/>
      <c r="BV243" s="36"/>
      <c r="BW243" s="36"/>
      <c r="BX243" s="36"/>
      <c r="BY243" s="36"/>
      <c r="BZ243" s="36"/>
      <c r="CA243" s="36"/>
      <c r="CB243" s="36"/>
      <c r="CC243" s="36"/>
      <c r="CD243" s="36"/>
      <c r="CE243" s="36"/>
      <c r="CF243" s="36"/>
      <c r="CG243" s="37"/>
      <c r="CH243" s="44"/>
      <c r="CI243" s="36"/>
      <c r="CJ243" s="36"/>
      <c r="CK243" s="36"/>
      <c r="CL243" s="36"/>
      <c r="CM243" s="36"/>
      <c r="CN243" s="36"/>
      <c r="CO243" s="36"/>
      <c r="CP243" s="36"/>
      <c r="CQ243" s="36"/>
      <c r="CR243" s="36"/>
      <c r="CS243" s="36"/>
      <c r="CT243" s="36"/>
      <c r="CU243" s="36"/>
      <c r="CV243" s="36"/>
      <c r="CW243" s="36"/>
      <c r="CX243" s="37"/>
      <c r="CY243" s="44"/>
      <c r="CZ243" s="36"/>
      <c r="DA243" s="36"/>
      <c r="DB243" s="36"/>
      <c r="DC243" s="36"/>
      <c r="DD243" s="36"/>
      <c r="DE243" s="36"/>
      <c r="DF243" s="36"/>
      <c r="DG243" s="36"/>
      <c r="DH243" s="36"/>
      <c r="DI243" s="36"/>
      <c r="DJ243" s="36"/>
      <c r="DK243" s="36"/>
      <c r="DL243" s="36"/>
      <c r="DM243" s="36"/>
      <c r="DN243" s="36"/>
      <c r="DO243" s="37"/>
      <c r="DP243" s="44"/>
      <c r="DQ243" s="36"/>
      <c r="DR243" s="36"/>
      <c r="DS243" s="36"/>
      <c r="DT243" s="36"/>
      <c r="DU243" s="36"/>
      <c r="DV243" s="36"/>
      <c r="DW243" s="36"/>
      <c r="DX243" s="36"/>
      <c r="DY243" s="36"/>
      <c r="DZ243" s="36"/>
      <c r="EA243" s="36"/>
      <c r="EB243" s="36"/>
      <c r="EC243" s="36"/>
      <c r="ED243" s="36"/>
      <c r="EE243" s="36"/>
      <c r="EF243" s="37"/>
      <c r="EG243" s="44"/>
      <c r="EH243" s="36"/>
      <c r="EI243" s="36"/>
      <c r="EJ243" s="36"/>
      <c r="EK243" s="36"/>
      <c r="EL243" s="36"/>
      <c r="EM243" s="36"/>
      <c r="EN243" s="36"/>
      <c r="EO243" s="36"/>
      <c r="EP243" s="36"/>
      <c r="EQ243" s="36"/>
      <c r="ER243" s="36"/>
      <c r="ES243" s="36"/>
      <c r="ET243" s="36"/>
      <c r="EU243" s="36"/>
      <c r="EV243" s="36"/>
      <c r="EW243" s="37"/>
      <c r="EX243" s="44"/>
      <c r="EY243" s="36"/>
      <c r="EZ243" s="36"/>
      <c r="FA243" s="36"/>
      <c r="FB243" s="36"/>
      <c r="FC243" s="36"/>
      <c r="FD243" s="36"/>
      <c r="FE243" s="36"/>
      <c r="FF243" s="36"/>
      <c r="FG243" s="36"/>
      <c r="FH243" s="36"/>
      <c r="FI243" s="36"/>
      <c r="FJ243" s="36"/>
      <c r="FK243" s="36"/>
      <c r="FL243" s="36"/>
      <c r="FM243" s="36"/>
      <c r="FN243" s="37"/>
      <c r="FO243" s="44"/>
      <c r="FP243" s="36"/>
      <c r="FQ243" s="36"/>
      <c r="FR243" s="36"/>
      <c r="FS243" s="36"/>
      <c r="FT243" s="36"/>
      <c r="FU243" s="36"/>
      <c r="FV243" s="36"/>
      <c r="FW243" s="36"/>
      <c r="FX243" s="36"/>
      <c r="FY243" s="36"/>
      <c r="FZ243" s="36"/>
      <c r="GA243" s="36"/>
      <c r="GB243" s="36"/>
      <c r="GC243" s="36"/>
      <c r="GD243" s="36"/>
      <c r="GE243" s="37"/>
      <c r="GF243" s="44"/>
      <c r="GG243" s="36"/>
      <c r="GH243" s="36"/>
      <c r="GI243" s="36"/>
      <c r="GJ243" s="36"/>
      <c r="GK243" s="36"/>
      <c r="GL243" s="36"/>
      <c r="GM243" s="36"/>
      <c r="GN243" s="36"/>
      <c r="GO243" s="36"/>
      <c r="GP243" s="36"/>
      <c r="GQ243" s="36"/>
      <c r="GR243" s="36"/>
      <c r="GS243" s="36"/>
      <c r="GT243" s="36"/>
      <c r="GU243" s="36"/>
      <c r="GV243" s="37"/>
      <c r="GW243" s="44"/>
      <c r="GX243" s="36"/>
      <c r="GY243" s="36"/>
      <c r="GZ243" s="36"/>
      <c r="HA243" s="36"/>
      <c r="HB243" s="36"/>
      <c r="HC243" s="36"/>
      <c r="HD243" s="36"/>
      <c r="HE243" s="36"/>
      <c r="HF243" s="36"/>
      <c r="HG243" s="36"/>
      <c r="HH243" s="36"/>
      <c r="HI243" s="36"/>
      <c r="HJ243" s="36"/>
      <c r="HK243" s="36"/>
      <c r="HL243" s="36"/>
      <c r="HM243" s="37"/>
      <c r="HN243" s="44"/>
      <c r="HO243" s="36"/>
      <c r="HP243" s="36"/>
      <c r="HQ243" s="36"/>
      <c r="HR243" s="36"/>
      <c r="HS243" s="36"/>
      <c r="HT243" s="36"/>
      <c r="HU243" s="36"/>
      <c r="HV243" s="36"/>
      <c r="HW243" s="36"/>
      <c r="HX243" s="36"/>
      <c r="HY243" s="36"/>
      <c r="HZ243" s="36"/>
      <c r="IA243" s="36"/>
      <c r="IB243" s="36"/>
      <c r="IC243" s="36"/>
      <c r="ID243" s="37"/>
      <c r="IE243" s="44"/>
      <c r="IF243" s="36"/>
      <c r="IG243" s="36"/>
      <c r="IH243" s="36"/>
      <c r="II243" s="36"/>
      <c r="IJ243" s="36"/>
      <c r="IK243" s="36"/>
      <c r="IL243" s="36"/>
      <c r="IM243" s="36"/>
      <c r="IN243" s="36"/>
      <c r="IO243" s="36"/>
      <c r="IP243" s="36"/>
      <c r="IQ243" s="36"/>
      <c r="IR243" s="36"/>
      <c r="IS243" s="36"/>
      <c r="IT243" s="36"/>
      <c r="IU243" s="37"/>
      <c r="IV243" s="44"/>
      <c r="IW243" s="36"/>
      <c r="IX243" s="36"/>
      <c r="IY243" s="36"/>
      <c r="IZ243" s="36"/>
      <c r="JA243" s="36"/>
      <c r="JB243" s="36"/>
      <c r="JC243" s="36"/>
      <c r="JD243" s="36"/>
      <c r="JE243" s="36"/>
      <c r="JF243" s="36"/>
      <c r="JG243" s="36"/>
      <c r="JH243" s="36"/>
      <c r="JI243" s="36"/>
      <c r="JJ243" s="36"/>
      <c r="JK243" s="36"/>
      <c r="JL243" s="37"/>
      <c r="JM243" s="44"/>
      <c r="JN243" s="36"/>
      <c r="JO243" s="36"/>
      <c r="JP243" s="36"/>
      <c r="JQ243" s="36"/>
      <c r="JR243" s="36"/>
      <c r="JS243" s="36"/>
      <c r="JT243" s="36"/>
      <c r="JU243" s="36"/>
      <c r="JV243" s="36"/>
      <c r="JW243" s="36"/>
      <c r="JX243" s="36"/>
      <c r="JY243" s="36"/>
      <c r="JZ243" s="36"/>
      <c r="KA243" s="36"/>
      <c r="KB243" s="36"/>
      <c r="KC243" s="37"/>
      <c r="KD243" s="44"/>
      <c r="KE243" s="36"/>
      <c r="KF243" s="36"/>
      <c r="KG243" s="36"/>
      <c r="KH243" s="36"/>
      <c r="KI243" s="36"/>
      <c r="KJ243" s="36"/>
      <c r="KK243" s="36"/>
      <c r="KL243" s="36"/>
      <c r="KM243" s="36"/>
      <c r="KN243" s="36"/>
      <c r="KO243" s="36"/>
      <c r="KP243" s="36"/>
      <c r="KQ243" s="36"/>
      <c r="KR243" s="36"/>
      <c r="KS243" s="36"/>
      <c r="KT243" s="37"/>
      <c r="KU243" s="36"/>
    </row>
    <row r="244" ht="15.0" customHeight="1">
      <c r="A244" s="44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7"/>
      <c r="R244" s="44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7"/>
      <c r="AI244" s="44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  <c r="AU244" s="36"/>
      <c r="AV244" s="36"/>
      <c r="AW244" s="36"/>
      <c r="AX244" s="36"/>
      <c r="AY244" s="37"/>
      <c r="AZ244" s="44"/>
      <c r="BA244" s="36"/>
      <c r="BB244" s="36"/>
      <c r="BC244" s="36"/>
      <c r="BD244" s="36"/>
      <c r="BE244" s="36"/>
      <c r="BF244" s="36"/>
      <c r="BG244" s="36"/>
      <c r="BH244" s="36"/>
      <c r="BI244" s="36"/>
      <c r="BJ244" s="36"/>
      <c r="BK244" s="36"/>
      <c r="BL244" s="36"/>
      <c r="BM244" s="36"/>
      <c r="BN244" s="36"/>
      <c r="BO244" s="36"/>
      <c r="BP244" s="37"/>
      <c r="BQ244" s="44"/>
      <c r="BR244" s="36"/>
      <c r="BS244" s="36"/>
      <c r="BT244" s="36"/>
      <c r="BU244" s="36"/>
      <c r="BV244" s="36"/>
      <c r="BW244" s="36"/>
      <c r="BX244" s="36"/>
      <c r="BY244" s="36"/>
      <c r="BZ244" s="36"/>
      <c r="CA244" s="36"/>
      <c r="CB244" s="36"/>
      <c r="CC244" s="36"/>
      <c r="CD244" s="36"/>
      <c r="CE244" s="36"/>
      <c r="CF244" s="36"/>
      <c r="CG244" s="37"/>
      <c r="CH244" s="44"/>
      <c r="CI244" s="36"/>
      <c r="CJ244" s="36"/>
      <c r="CK244" s="36"/>
      <c r="CL244" s="36"/>
      <c r="CM244" s="36"/>
      <c r="CN244" s="36"/>
      <c r="CO244" s="36"/>
      <c r="CP244" s="36"/>
      <c r="CQ244" s="36"/>
      <c r="CR244" s="36"/>
      <c r="CS244" s="36"/>
      <c r="CT244" s="36"/>
      <c r="CU244" s="36"/>
      <c r="CV244" s="36"/>
      <c r="CW244" s="36"/>
      <c r="CX244" s="37"/>
      <c r="CY244" s="44"/>
      <c r="CZ244" s="36"/>
      <c r="DA244" s="36"/>
      <c r="DB244" s="36"/>
      <c r="DC244" s="36"/>
      <c r="DD244" s="36"/>
      <c r="DE244" s="36"/>
      <c r="DF244" s="36"/>
      <c r="DG244" s="36"/>
      <c r="DH244" s="36"/>
      <c r="DI244" s="36"/>
      <c r="DJ244" s="36"/>
      <c r="DK244" s="36"/>
      <c r="DL244" s="36"/>
      <c r="DM244" s="36"/>
      <c r="DN244" s="36"/>
      <c r="DO244" s="37"/>
      <c r="DP244" s="44"/>
      <c r="DQ244" s="36"/>
      <c r="DR244" s="36"/>
      <c r="DS244" s="36"/>
      <c r="DT244" s="36"/>
      <c r="DU244" s="36"/>
      <c r="DV244" s="36"/>
      <c r="DW244" s="36"/>
      <c r="DX244" s="36"/>
      <c r="DY244" s="36"/>
      <c r="DZ244" s="36"/>
      <c r="EA244" s="36"/>
      <c r="EB244" s="36"/>
      <c r="EC244" s="36"/>
      <c r="ED244" s="36"/>
      <c r="EE244" s="36"/>
      <c r="EF244" s="37"/>
      <c r="EG244" s="44"/>
      <c r="EH244" s="36"/>
      <c r="EI244" s="36"/>
      <c r="EJ244" s="36"/>
      <c r="EK244" s="36"/>
      <c r="EL244" s="36"/>
      <c r="EM244" s="36"/>
      <c r="EN244" s="36"/>
      <c r="EO244" s="36"/>
      <c r="EP244" s="36"/>
      <c r="EQ244" s="36"/>
      <c r="ER244" s="36"/>
      <c r="ES244" s="36"/>
      <c r="ET244" s="36"/>
      <c r="EU244" s="36"/>
      <c r="EV244" s="36"/>
      <c r="EW244" s="37"/>
      <c r="EX244" s="44"/>
      <c r="EY244" s="36"/>
      <c r="EZ244" s="36"/>
      <c r="FA244" s="36"/>
      <c r="FB244" s="36"/>
      <c r="FC244" s="36"/>
      <c r="FD244" s="36"/>
      <c r="FE244" s="36"/>
      <c r="FF244" s="36"/>
      <c r="FG244" s="36"/>
      <c r="FH244" s="36"/>
      <c r="FI244" s="36"/>
      <c r="FJ244" s="36"/>
      <c r="FK244" s="36"/>
      <c r="FL244" s="36"/>
      <c r="FM244" s="36"/>
      <c r="FN244" s="37"/>
      <c r="FO244" s="44"/>
      <c r="FP244" s="36"/>
      <c r="FQ244" s="36"/>
      <c r="FR244" s="36"/>
      <c r="FS244" s="36"/>
      <c r="FT244" s="36"/>
      <c r="FU244" s="36"/>
      <c r="FV244" s="36"/>
      <c r="FW244" s="36"/>
      <c r="FX244" s="36"/>
      <c r="FY244" s="36"/>
      <c r="FZ244" s="36"/>
      <c r="GA244" s="36"/>
      <c r="GB244" s="36"/>
      <c r="GC244" s="36"/>
      <c r="GD244" s="36"/>
      <c r="GE244" s="37"/>
      <c r="GF244" s="44"/>
      <c r="GG244" s="36"/>
      <c r="GH244" s="36"/>
      <c r="GI244" s="36"/>
      <c r="GJ244" s="36"/>
      <c r="GK244" s="36"/>
      <c r="GL244" s="36"/>
      <c r="GM244" s="36"/>
      <c r="GN244" s="36"/>
      <c r="GO244" s="36"/>
      <c r="GP244" s="36"/>
      <c r="GQ244" s="36"/>
      <c r="GR244" s="36"/>
      <c r="GS244" s="36"/>
      <c r="GT244" s="36"/>
      <c r="GU244" s="36"/>
      <c r="GV244" s="37"/>
      <c r="GW244" s="44"/>
      <c r="GX244" s="36"/>
      <c r="GY244" s="36"/>
      <c r="GZ244" s="36"/>
      <c r="HA244" s="36"/>
      <c r="HB244" s="36"/>
      <c r="HC244" s="36"/>
      <c r="HD244" s="36"/>
      <c r="HE244" s="36"/>
      <c r="HF244" s="36"/>
      <c r="HG244" s="36"/>
      <c r="HH244" s="36"/>
      <c r="HI244" s="36"/>
      <c r="HJ244" s="36"/>
      <c r="HK244" s="36"/>
      <c r="HL244" s="36"/>
      <c r="HM244" s="37"/>
      <c r="HN244" s="44"/>
      <c r="HO244" s="36"/>
      <c r="HP244" s="36"/>
      <c r="HQ244" s="36"/>
      <c r="HR244" s="36"/>
      <c r="HS244" s="36"/>
      <c r="HT244" s="36"/>
      <c r="HU244" s="36"/>
      <c r="HV244" s="36"/>
      <c r="HW244" s="36"/>
      <c r="HX244" s="36"/>
      <c r="HY244" s="36"/>
      <c r="HZ244" s="36"/>
      <c r="IA244" s="36"/>
      <c r="IB244" s="36"/>
      <c r="IC244" s="36"/>
      <c r="ID244" s="37"/>
      <c r="IE244" s="44"/>
      <c r="IF244" s="36"/>
      <c r="IG244" s="36"/>
      <c r="IH244" s="36"/>
      <c r="II244" s="36"/>
      <c r="IJ244" s="36"/>
      <c r="IK244" s="36"/>
      <c r="IL244" s="36"/>
      <c r="IM244" s="36"/>
      <c r="IN244" s="36"/>
      <c r="IO244" s="36"/>
      <c r="IP244" s="36"/>
      <c r="IQ244" s="36"/>
      <c r="IR244" s="36"/>
      <c r="IS244" s="36"/>
      <c r="IT244" s="36"/>
      <c r="IU244" s="37"/>
      <c r="IV244" s="44"/>
      <c r="IW244" s="36"/>
      <c r="IX244" s="36"/>
      <c r="IY244" s="36"/>
      <c r="IZ244" s="36"/>
      <c r="JA244" s="36"/>
      <c r="JB244" s="36"/>
      <c r="JC244" s="36"/>
      <c r="JD244" s="36"/>
      <c r="JE244" s="36"/>
      <c r="JF244" s="36"/>
      <c r="JG244" s="36"/>
      <c r="JH244" s="36"/>
      <c r="JI244" s="36"/>
      <c r="JJ244" s="36"/>
      <c r="JK244" s="36"/>
      <c r="JL244" s="37"/>
      <c r="JM244" s="44"/>
      <c r="JN244" s="36"/>
      <c r="JO244" s="36"/>
      <c r="JP244" s="36"/>
      <c r="JQ244" s="36"/>
      <c r="JR244" s="36"/>
      <c r="JS244" s="36"/>
      <c r="JT244" s="36"/>
      <c r="JU244" s="36"/>
      <c r="JV244" s="36"/>
      <c r="JW244" s="36"/>
      <c r="JX244" s="36"/>
      <c r="JY244" s="36"/>
      <c r="JZ244" s="36"/>
      <c r="KA244" s="36"/>
      <c r="KB244" s="36"/>
      <c r="KC244" s="37"/>
      <c r="KD244" s="44"/>
      <c r="KE244" s="36"/>
      <c r="KF244" s="36"/>
      <c r="KG244" s="36"/>
      <c r="KH244" s="36"/>
      <c r="KI244" s="36"/>
      <c r="KJ244" s="36"/>
      <c r="KK244" s="36"/>
      <c r="KL244" s="36"/>
      <c r="KM244" s="36"/>
      <c r="KN244" s="36"/>
      <c r="KO244" s="36"/>
      <c r="KP244" s="36"/>
      <c r="KQ244" s="36"/>
      <c r="KR244" s="36"/>
      <c r="KS244" s="36"/>
      <c r="KT244" s="37"/>
      <c r="KU244" s="36"/>
    </row>
    <row r="245" ht="15.0" customHeight="1">
      <c r="A245" s="44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7"/>
      <c r="R245" s="44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7"/>
      <c r="AI245" s="44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  <c r="AU245" s="36"/>
      <c r="AV245" s="36"/>
      <c r="AW245" s="36"/>
      <c r="AX245" s="36"/>
      <c r="AY245" s="37"/>
      <c r="AZ245" s="44"/>
      <c r="BA245" s="36"/>
      <c r="BB245" s="36"/>
      <c r="BC245" s="36"/>
      <c r="BD245" s="36"/>
      <c r="BE245" s="36"/>
      <c r="BF245" s="36"/>
      <c r="BG245" s="36"/>
      <c r="BH245" s="36"/>
      <c r="BI245" s="36"/>
      <c r="BJ245" s="36"/>
      <c r="BK245" s="36"/>
      <c r="BL245" s="36"/>
      <c r="BM245" s="36"/>
      <c r="BN245" s="36"/>
      <c r="BO245" s="36"/>
      <c r="BP245" s="37"/>
      <c r="BQ245" s="44"/>
      <c r="BR245" s="36"/>
      <c r="BS245" s="36"/>
      <c r="BT245" s="36"/>
      <c r="BU245" s="36"/>
      <c r="BV245" s="36"/>
      <c r="BW245" s="36"/>
      <c r="BX245" s="36"/>
      <c r="BY245" s="36"/>
      <c r="BZ245" s="36"/>
      <c r="CA245" s="36"/>
      <c r="CB245" s="36"/>
      <c r="CC245" s="36"/>
      <c r="CD245" s="36"/>
      <c r="CE245" s="36"/>
      <c r="CF245" s="36"/>
      <c r="CG245" s="37"/>
      <c r="CH245" s="44"/>
      <c r="CI245" s="36"/>
      <c r="CJ245" s="36"/>
      <c r="CK245" s="36"/>
      <c r="CL245" s="36"/>
      <c r="CM245" s="36"/>
      <c r="CN245" s="36"/>
      <c r="CO245" s="36"/>
      <c r="CP245" s="36"/>
      <c r="CQ245" s="36"/>
      <c r="CR245" s="36"/>
      <c r="CS245" s="36"/>
      <c r="CT245" s="36"/>
      <c r="CU245" s="36"/>
      <c r="CV245" s="36"/>
      <c r="CW245" s="36"/>
      <c r="CX245" s="37"/>
      <c r="CY245" s="44"/>
      <c r="CZ245" s="36"/>
      <c r="DA245" s="36"/>
      <c r="DB245" s="36"/>
      <c r="DC245" s="36"/>
      <c r="DD245" s="36"/>
      <c r="DE245" s="36"/>
      <c r="DF245" s="36"/>
      <c r="DG245" s="36"/>
      <c r="DH245" s="36"/>
      <c r="DI245" s="36"/>
      <c r="DJ245" s="36"/>
      <c r="DK245" s="36"/>
      <c r="DL245" s="36"/>
      <c r="DM245" s="36"/>
      <c r="DN245" s="36"/>
      <c r="DO245" s="37"/>
      <c r="DP245" s="44"/>
      <c r="DQ245" s="36"/>
      <c r="DR245" s="36"/>
      <c r="DS245" s="36"/>
      <c r="DT245" s="36"/>
      <c r="DU245" s="36"/>
      <c r="DV245" s="36"/>
      <c r="DW245" s="36"/>
      <c r="DX245" s="36"/>
      <c r="DY245" s="36"/>
      <c r="DZ245" s="36"/>
      <c r="EA245" s="36"/>
      <c r="EB245" s="36"/>
      <c r="EC245" s="36"/>
      <c r="ED245" s="36"/>
      <c r="EE245" s="36"/>
      <c r="EF245" s="37"/>
      <c r="EG245" s="44"/>
      <c r="EH245" s="36"/>
      <c r="EI245" s="36"/>
      <c r="EJ245" s="36"/>
      <c r="EK245" s="36"/>
      <c r="EL245" s="36"/>
      <c r="EM245" s="36"/>
      <c r="EN245" s="36"/>
      <c r="EO245" s="36"/>
      <c r="EP245" s="36"/>
      <c r="EQ245" s="36"/>
      <c r="ER245" s="36"/>
      <c r="ES245" s="36"/>
      <c r="ET245" s="36"/>
      <c r="EU245" s="36"/>
      <c r="EV245" s="36"/>
      <c r="EW245" s="37"/>
      <c r="EX245" s="44"/>
      <c r="EY245" s="36"/>
      <c r="EZ245" s="36"/>
      <c r="FA245" s="36"/>
      <c r="FB245" s="36"/>
      <c r="FC245" s="36"/>
      <c r="FD245" s="36"/>
      <c r="FE245" s="36"/>
      <c r="FF245" s="36"/>
      <c r="FG245" s="36"/>
      <c r="FH245" s="36"/>
      <c r="FI245" s="36"/>
      <c r="FJ245" s="36"/>
      <c r="FK245" s="36"/>
      <c r="FL245" s="36"/>
      <c r="FM245" s="36"/>
      <c r="FN245" s="37"/>
      <c r="FO245" s="44"/>
      <c r="FP245" s="36"/>
      <c r="FQ245" s="36"/>
      <c r="FR245" s="36"/>
      <c r="FS245" s="36"/>
      <c r="FT245" s="36"/>
      <c r="FU245" s="36"/>
      <c r="FV245" s="36"/>
      <c r="FW245" s="36"/>
      <c r="FX245" s="36"/>
      <c r="FY245" s="36"/>
      <c r="FZ245" s="36"/>
      <c r="GA245" s="36"/>
      <c r="GB245" s="36"/>
      <c r="GC245" s="36"/>
      <c r="GD245" s="36"/>
      <c r="GE245" s="37"/>
      <c r="GF245" s="44"/>
      <c r="GG245" s="36"/>
      <c r="GH245" s="36"/>
      <c r="GI245" s="36"/>
      <c r="GJ245" s="36"/>
      <c r="GK245" s="36"/>
      <c r="GL245" s="36"/>
      <c r="GM245" s="36"/>
      <c r="GN245" s="36"/>
      <c r="GO245" s="36"/>
      <c r="GP245" s="36"/>
      <c r="GQ245" s="36"/>
      <c r="GR245" s="36"/>
      <c r="GS245" s="36"/>
      <c r="GT245" s="36"/>
      <c r="GU245" s="36"/>
      <c r="GV245" s="37"/>
      <c r="GW245" s="44"/>
      <c r="GX245" s="36"/>
      <c r="GY245" s="36"/>
      <c r="GZ245" s="36"/>
      <c r="HA245" s="36"/>
      <c r="HB245" s="36"/>
      <c r="HC245" s="36"/>
      <c r="HD245" s="36"/>
      <c r="HE245" s="36"/>
      <c r="HF245" s="36"/>
      <c r="HG245" s="36"/>
      <c r="HH245" s="36"/>
      <c r="HI245" s="36"/>
      <c r="HJ245" s="36"/>
      <c r="HK245" s="36"/>
      <c r="HL245" s="36"/>
      <c r="HM245" s="37"/>
      <c r="HN245" s="44"/>
      <c r="HO245" s="36"/>
      <c r="HP245" s="36"/>
      <c r="HQ245" s="36"/>
      <c r="HR245" s="36"/>
      <c r="HS245" s="36"/>
      <c r="HT245" s="36"/>
      <c r="HU245" s="36"/>
      <c r="HV245" s="36"/>
      <c r="HW245" s="36"/>
      <c r="HX245" s="36"/>
      <c r="HY245" s="36"/>
      <c r="HZ245" s="36"/>
      <c r="IA245" s="36"/>
      <c r="IB245" s="36"/>
      <c r="IC245" s="36"/>
      <c r="ID245" s="37"/>
      <c r="IE245" s="44"/>
      <c r="IF245" s="36"/>
      <c r="IG245" s="36"/>
      <c r="IH245" s="36"/>
      <c r="II245" s="36"/>
      <c r="IJ245" s="36"/>
      <c r="IK245" s="36"/>
      <c r="IL245" s="36"/>
      <c r="IM245" s="36"/>
      <c r="IN245" s="36"/>
      <c r="IO245" s="36"/>
      <c r="IP245" s="36"/>
      <c r="IQ245" s="36"/>
      <c r="IR245" s="36"/>
      <c r="IS245" s="36"/>
      <c r="IT245" s="36"/>
      <c r="IU245" s="37"/>
      <c r="IV245" s="44"/>
      <c r="IW245" s="36"/>
      <c r="IX245" s="36"/>
      <c r="IY245" s="36"/>
      <c r="IZ245" s="36"/>
      <c r="JA245" s="36"/>
      <c r="JB245" s="36"/>
      <c r="JC245" s="36"/>
      <c r="JD245" s="36"/>
      <c r="JE245" s="36"/>
      <c r="JF245" s="36"/>
      <c r="JG245" s="36"/>
      <c r="JH245" s="36"/>
      <c r="JI245" s="36"/>
      <c r="JJ245" s="36"/>
      <c r="JK245" s="36"/>
      <c r="JL245" s="37"/>
      <c r="JM245" s="44"/>
      <c r="JN245" s="36"/>
      <c r="JO245" s="36"/>
      <c r="JP245" s="36"/>
      <c r="JQ245" s="36"/>
      <c r="JR245" s="36"/>
      <c r="JS245" s="36"/>
      <c r="JT245" s="36"/>
      <c r="JU245" s="36"/>
      <c r="JV245" s="36"/>
      <c r="JW245" s="36"/>
      <c r="JX245" s="36"/>
      <c r="JY245" s="36"/>
      <c r="JZ245" s="36"/>
      <c r="KA245" s="36"/>
      <c r="KB245" s="36"/>
      <c r="KC245" s="37"/>
      <c r="KD245" s="44"/>
      <c r="KE245" s="36"/>
      <c r="KF245" s="36"/>
      <c r="KG245" s="36"/>
      <c r="KH245" s="36"/>
      <c r="KI245" s="36"/>
      <c r="KJ245" s="36"/>
      <c r="KK245" s="36"/>
      <c r="KL245" s="36"/>
      <c r="KM245" s="36"/>
      <c r="KN245" s="36"/>
      <c r="KO245" s="36"/>
      <c r="KP245" s="36"/>
      <c r="KQ245" s="36"/>
      <c r="KR245" s="36"/>
      <c r="KS245" s="36"/>
      <c r="KT245" s="37"/>
      <c r="KU245" s="36"/>
    </row>
    <row r="246" ht="15.0" customHeight="1">
      <c r="A246" s="44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7"/>
      <c r="R246" s="44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7"/>
      <c r="AI246" s="44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  <c r="AU246" s="36"/>
      <c r="AV246" s="36"/>
      <c r="AW246" s="36"/>
      <c r="AX246" s="36"/>
      <c r="AY246" s="37"/>
      <c r="AZ246" s="44"/>
      <c r="BA246" s="36"/>
      <c r="BB246" s="36"/>
      <c r="BC246" s="36"/>
      <c r="BD246" s="36"/>
      <c r="BE246" s="36"/>
      <c r="BF246" s="36"/>
      <c r="BG246" s="36"/>
      <c r="BH246" s="36"/>
      <c r="BI246" s="36"/>
      <c r="BJ246" s="36"/>
      <c r="BK246" s="36"/>
      <c r="BL246" s="36"/>
      <c r="BM246" s="36"/>
      <c r="BN246" s="36"/>
      <c r="BO246" s="36"/>
      <c r="BP246" s="37"/>
      <c r="BQ246" s="44"/>
      <c r="BR246" s="36"/>
      <c r="BS246" s="36"/>
      <c r="BT246" s="36"/>
      <c r="BU246" s="36"/>
      <c r="BV246" s="36"/>
      <c r="BW246" s="36"/>
      <c r="BX246" s="36"/>
      <c r="BY246" s="36"/>
      <c r="BZ246" s="36"/>
      <c r="CA246" s="36"/>
      <c r="CB246" s="36"/>
      <c r="CC246" s="36"/>
      <c r="CD246" s="36"/>
      <c r="CE246" s="36"/>
      <c r="CF246" s="36"/>
      <c r="CG246" s="37"/>
      <c r="CH246" s="44"/>
      <c r="CI246" s="36"/>
      <c r="CJ246" s="36"/>
      <c r="CK246" s="36"/>
      <c r="CL246" s="36"/>
      <c r="CM246" s="36"/>
      <c r="CN246" s="36"/>
      <c r="CO246" s="36"/>
      <c r="CP246" s="36"/>
      <c r="CQ246" s="36"/>
      <c r="CR246" s="36"/>
      <c r="CS246" s="36"/>
      <c r="CT246" s="36"/>
      <c r="CU246" s="36"/>
      <c r="CV246" s="36"/>
      <c r="CW246" s="36"/>
      <c r="CX246" s="37"/>
      <c r="CY246" s="44"/>
      <c r="CZ246" s="36"/>
      <c r="DA246" s="36"/>
      <c r="DB246" s="36"/>
      <c r="DC246" s="36"/>
      <c r="DD246" s="36"/>
      <c r="DE246" s="36"/>
      <c r="DF246" s="36"/>
      <c r="DG246" s="36"/>
      <c r="DH246" s="36"/>
      <c r="DI246" s="36"/>
      <c r="DJ246" s="36"/>
      <c r="DK246" s="36"/>
      <c r="DL246" s="36"/>
      <c r="DM246" s="36"/>
      <c r="DN246" s="36"/>
      <c r="DO246" s="37"/>
      <c r="DP246" s="44"/>
      <c r="DQ246" s="36"/>
      <c r="DR246" s="36"/>
      <c r="DS246" s="36"/>
      <c r="DT246" s="36"/>
      <c r="DU246" s="36"/>
      <c r="DV246" s="36"/>
      <c r="DW246" s="36"/>
      <c r="DX246" s="36"/>
      <c r="DY246" s="36"/>
      <c r="DZ246" s="36"/>
      <c r="EA246" s="36"/>
      <c r="EB246" s="36"/>
      <c r="EC246" s="36"/>
      <c r="ED246" s="36"/>
      <c r="EE246" s="36"/>
      <c r="EF246" s="37"/>
      <c r="EG246" s="44"/>
      <c r="EH246" s="36"/>
      <c r="EI246" s="36"/>
      <c r="EJ246" s="36"/>
      <c r="EK246" s="36"/>
      <c r="EL246" s="36"/>
      <c r="EM246" s="36"/>
      <c r="EN246" s="36"/>
      <c r="EO246" s="36"/>
      <c r="EP246" s="36"/>
      <c r="EQ246" s="36"/>
      <c r="ER246" s="36"/>
      <c r="ES246" s="36"/>
      <c r="ET246" s="36"/>
      <c r="EU246" s="36"/>
      <c r="EV246" s="36"/>
      <c r="EW246" s="37"/>
      <c r="EX246" s="44"/>
      <c r="EY246" s="36"/>
      <c r="EZ246" s="36"/>
      <c r="FA246" s="36"/>
      <c r="FB246" s="36"/>
      <c r="FC246" s="36"/>
      <c r="FD246" s="36"/>
      <c r="FE246" s="36"/>
      <c r="FF246" s="36"/>
      <c r="FG246" s="36"/>
      <c r="FH246" s="36"/>
      <c r="FI246" s="36"/>
      <c r="FJ246" s="36"/>
      <c r="FK246" s="36"/>
      <c r="FL246" s="36"/>
      <c r="FM246" s="36"/>
      <c r="FN246" s="37"/>
      <c r="FO246" s="44"/>
      <c r="FP246" s="36"/>
      <c r="FQ246" s="36"/>
      <c r="FR246" s="36"/>
      <c r="FS246" s="36"/>
      <c r="FT246" s="36"/>
      <c r="FU246" s="36"/>
      <c r="FV246" s="36"/>
      <c r="FW246" s="36"/>
      <c r="FX246" s="36"/>
      <c r="FY246" s="36"/>
      <c r="FZ246" s="36"/>
      <c r="GA246" s="36"/>
      <c r="GB246" s="36"/>
      <c r="GC246" s="36"/>
      <c r="GD246" s="36"/>
      <c r="GE246" s="37"/>
      <c r="GF246" s="44"/>
      <c r="GG246" s="36"/>
      <c r="GH246" s="36"/>
      <c r="GI246" s="36"/>
      <c r="GJ246" s="36"/>
      <c r="GK246" s="36"/>
      <c r="GL246" s="36"/>
      <c r="GM246" s="36"/>
      <c r="GN246" s="36"/>
      <c r="GO246" s="36"/>
      <c r="GP246" s="36"/>
      <c r="GQ246" s="36"/>
      <c r="GR246" s="36"/>
      <c r="GS246" s="36"/>
      <c r="GT246" s="36"/>
      <c r="GU246" s="36"/>
      <c r="GV246" s="37"/>
      <c r="GW246" s="44"/>
      <c r="GX246" s="36"/>
      <c r="GY246" s="36"/>
      <c r="GZ246" s="36"/>
      <c r="HA246" s="36"/>
      <c r="HB246" s="36"/>
      <c r="HC246" s="36"/>
      <c r="HD246" s="36"/>
      <c r="HE246" s="36"/>
      <c r="HF246" s="36"/>
      <c r="HG246" s="36"/>
      <c r="HH246" s="36"/>
      <c r="HI246" s="36"/>
      <c r="HJ246" s="36"/>
      <c r="HK246" s="36"/>
      <c r="HL246" s="36"/>
      <c r="HM246" s="37"/>
      <c r="HN246" s="44"/>
      <c r="HO246" s="36"/>
      <c r="HP246" s="36"/>
      <c r="HQ246" s="36"/>
      <c r="HR246" s="36"/>
      <c r="HS246" s="36"/>
      <c r="HT246" s="36"/>
      <c r="HU246" s="36"/>
      <c r="HV246" s="36"/>
      <c r="HW246" s="36"/>
      <c r="HX246" s="36"/>
      <c r="HY246" s="36"/>
      <c r="HZ246" s="36"/>
      <c r="IA246" s="36"/>
      <c r="IB246" s="36"/>
      <c r="IC246" s="36"/>
      <c r="ID246" s="37"/>
      <c r="IE246" s="44"/>
      <c r="IF246" s="36"/>
      <c r="IG246" s="36"/>
      <c r="IH246" s="36"/>
      <c r="II246" s="36"/>
      <c r="IJ246" s="36"/>
      <c r="IK246" s="36"/>
      <c r="IL246" s="36"/>
      <c r="IM246" s="36"/>
      <c r="IN246" s="36"/>
      <c r="IO246" s="36"/>
      <c r="IP246" s="36"/>
      <c r="IQ246" s="36"/>
      <c r="IR246" s="36"/>
      <c r="IS246" s="36"/>
      <c r="IT246" s="36"/>
      <c r="IU246" s="37"/>
      <c r="IV246" s="44"/>
      <c r="IW246" s="36"/>
      <c r="IX246" s="36"/>
      <c r="IY246" s="36"/>
      <c r="IZ246" s="36"/>
      <c r="JA246" s="36"/>
      <c r="JB246" s="36"/>
      <c r="JC246" s="36"/>
      <c r="JD246" s="36"/>
      <c r="JE246" s="36"/>
      <c r="JF246" s="36"/>
      <c r="JG246" s="36"/>
      <c r="JH246" s="36"/>
      <c r="JI246" s="36"/>
      <c r="JJ246" s="36"/>
      <c r="JK246" s="36"/>
      <c r="JL246" s="37"/>
      <c r="JM246" s="44"/>
      <c r="JN246" s="36"/>
      <c r="JO246" s="36"/>
      <c r="JP246" s="36"/>
      <c r="JQ246" s="36"/>
      <c r="JR246" s="36"/>
      <c r="JS246" s="36"/>
      <c r="JT246" s="36"/>
      <c r="JU246" s="36"/>
      <c r="JV246" s="36"/>
      <c r="JW246" s="36"/>
      <c r="JX246" s="36"/>
      <c r="JY246" s="36"/>
      <c r="JZ246" s="36"/>
      <c r="KA246" s="36"/>
      <c r="KB246" s="36"/>
      <c r="KC246" s="37"/>
      <c r="KD246" s="44"/>
      <c r="KE246" s="36"/>
      <c r="KF246" s="36"/>
      <c r="KG246" s="36"/>
      <c r="KH246" s="36"/>
      <c r="KI246" s="36"/>
      <c r="KJ246" s="36"/>
      <c r="KK246" s="36"/>
      <c r="KL246" s="36"/>
      <c r="KM246" s="36"/>
      <c r="KN246" s="36"/>
      <c r="KO246" s="36"/>
      <c r="KP246" s="36"/>
      <c r="KQ246" s="36"/>
      <c r="KR246" s="36"/>
      <c r="KS246" s="36"/>
      <c r="KT246" s="37"/>
      <c r="KU246" s="36"/>
    </row>
    <row r="247" ht="15.0" customHeight="1">
      <c r="A247" s="44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7"/>
      <c r="R247" s="44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7"/>
      <c r="AI247" s="44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  <c r="AU247" s="36"/>
      <c r="AV247" s="36"/>
      <c r="AW247" s="36"/>
      <c r="AX247" s="36"/>
      <c r="AY247" s="37"/>
      <c r="AZ247" s="44"/>
      <c r="BA247" s="36"/>
      <c r="BB247" s="36"/>
      <c r="BC247" s="36"/>
      <c r="BD247" s="36"/>
      <c r="BE247" s="36"/>
      <c r="BF247" s="36"/>
      <c r="BG247" s="36"/>
      <c r="BH247" s="36"/>
      <c r="BI247" s="36"/>
      <c r="BJ247" s="36"/>
      <c r="BK247" s="36"/>
      <c r="BL247" s="36"/>
      <c r="BM247" s="36"/>
      <c r="BN247" s="36"/>
      <c r="BO247" s="36"/>
      <c r="BP247" s="37"/>
      <c r="BQ247" s="44"/>
      <c r="BR247" s="36"/>
      <c r="BS247" s="36"/>
      <c r="BT247" s="36"/>
      <c r="BU247" s="36"/>
      <c r="BV247" s="36"/>
      <c r="BW247" s="36"/>
      <c r="BX247" s="36"/>
      <c r="BY247" s="36"/>
      <c r="BZ247" s="36"/>
      <c r="CA247" s="36"/>
      <c r="CB247" s="36"/>
      <c r="CC247" s="36"/>
      <c r="CD247" s="36"/>
      <c r="CE247" s="36"/>
      <c r="CF247" s="36"/>
      <c r="CG247" s="37"/>
      <c r="CH247" s="44"/>
      <c r="CI247" s="36"/>
      <c r="CJ247" s="36"/>
      <c r="CK247" s="36"/>
      <c r="CL247" s="36"/>
      <c r="CM247" s="36"/>
      <c r="CN247" s="36"/>
      <c r="CO247" s="36"/>
      <c r="CP247" s="36"/>
      <c r="CQ247" s="36"/>
      <c r="CR247" s="36"/>
      <c r="CS247" s="36"/>
      <c r="CT247" s="36"/>
      <c r="CU247" s="36"/>
      <c r="CV247" s="36"/>
      <c r="CW247" s="36"/>
      <c r="CX247" s="37"/>
      <c r="CY247" s="44"/>
      <c r="CZ247" s="36"/>
      <c r="DA247" s="36"/>
      <c r="DB247" s="36"/>
      <c r="DC247" s="36"/>
      <c r="DD247" s="36"/>
      <c r="DE247" s="36"/>
      <c r="DF247" s="36"/>
      <c r="DG247" s="36"/>
      <c r="DH247" s="36"/>
      <c r="DI247" s="36"/>
      <c r="DJ247" s="36"/>
      <c r="DK247" s="36"/>
      <c r="DL247" s="36"/>
      <c r="DM247" s="36"/>
      <c r="DN247" s="36"/>
      <c r="DO247" s="37"/>
      <c r="DP247" s="44"/>
      <c r="DQ247" s="36"/>
      <c r="DR247" s="36"/>
      <c r="DS247" s="36"/>
      <c r="DT247" s="36"/>
      <c r="DU247" s="36"/>
      <c r="DV247" s="36"/>
      <c r="DW247" s="36"/>
      <c r="DX247" s="36"/>
      <c r="DY247" s="36"/>
      <c r="DZ247" s="36"/>
      <c r="EA247" s="36"/>
      <c r="EB247" s="36"/>
      <c r="EC247" s="36"/>
      <c r="ED247" s="36"/>
      <c r="EE247" s="36"/>
      <c r="EF247" s="37"/>
      <c r="EG247" s="44"/>
      <c r="EH247" s="36"/>
      <c r="EI247" s="36"/>
      <c r="EJ247" s="36"/>
      <c r="EK247" s="36"/>
      <c r="EL247" s="36"/>
      <c r="EM247" s="36"/>
      <c r="EN247" s="36"/>
      <c r="EO247" s="36"/>
      <c r="EP247" s="36"/>
      <c r="EQ247" s="36"/>
      <c r="ER247" s="36"/>
      <c r="ES247" s="36"/>
      <c r="ET247" s="36"/>
      <c r="EU247" s="36"/>
      <c r="EV247" s="36"/>
      <c r="EW247" s="37"/>
      <c r="EX247" s="44"/>
      <c r="EY247" s="36"/>
      <c r="EZ247" s="36"/>
      <c r="FA247" s="36"/>
      <c r="FB247" s="36"/>
      <c r="FC247" s="36"/>
      <c r="FD247" s="36"/>
      <c r="FE247" s="36"/>
      <c r="FF247" s="36"/>
      <c r="FG247" s="36"/>
      <c r="FH247" s="36"/>
      <c r="FI247" s="36"/>
      <c r="FJ247" s="36"/>
      <c r="FK247" s="36"/>
      <c r="FL247" s="36"/>
      <c r="FM247" s="36"/>
      <c r="FN247" s="37"/>
      <c r="FO247" s="44"/>
      <c r="FP247" s="36"/>
      <c r="FQ247" s="36"/>
      <c r="FR247" s="36"/>
      <c r="FS247" s="36"/>
      <c r="FT247" s="36"/>
      <c r="FU247" s="36"/>
      <c r="FV247" s="36"/>
      <c r="FW247" s="36"/>
      <c r="FX247" s="36"/>
      <c r="FY247" s="36"/>
      <c r="FZ247" s="36"/>
      <c r="GA247" s="36"/>
      <c r="GB247" s="36"/>
      <c r="GC247" s="36"/>
      <c r="GD247" s="36"/>
      <c r="GE247" s="37"/>
      <c r="GF247" s="44"/>
      <c r="GG247" s="36"/>
      <c r="GH247" s="36"/>
      <c r="GI247" s="36"/>
      <c r="GJ247" s="36"/>
      <c r="GK247" s="36"/>
      <c r="GL247" s="36"/>
      <c r="GM247" s="36"/>
      <c r="GN247" s="36"/>
      <c r="GO247" s="36"/>
      <c r="GP247" s="36"/>
      <c r="GQ247" s="36"/>
      <c r="GR247" s="36"/>
      <c r="GS247" s="36"/>
      <c r="GT247" s="36"/>
      <c r="GU247" s="36"/>
      <c r="GV247" s="37"/>
      <c r="GW247" s="44"/>
      <c r="GX247" s="36"/>
      <c r="GY247" s="36"/>
      <c r="GZ247" s="36"/>
      <c r="HA247" s="36"/>
      <c r="HB247" s="36"/>
      <c r="HC247" s="36"/>
      <c r="HD247" s="36"/>
      <c r="HE247" s="36"/>
      <c r="HF247" s="36"/>
      <c r="HG247" s="36"/>
      <c r="HH247" s="36"/>
      <c r="HI247" s="36"/>
      <c r="HJ247" s="36"/>
      <c r="HK247" s="36"/>
      <c r="HL247" s="36"/>
      <c r="HM247" s="37"/>
      <c r="HN247" s="44"/>
      <c r="HO247" s="36"/>
      <c r="HP247" s="36"/>
      <c r="HQ247" s="36"/>
      <c r="HR247" s="36"/>
      <c r="HS247" s="36"/>
      <c r="HT247" s="36"/>
      <c r="HU247" s="36"/>
      <c r="HV247" s="36"/>
      <c r="HW247" s="36"/>
      <c r="HX247" s="36"/>
      <c r="HY247" s="36"/>
      <c r="HZ247" s="36"/>
      <c r="IA247" s="36"/>
      <c r="IB247" s="36"/>
      <c r="IC247" s="36"/>
      <c r="ID247" s="37"/>
      <c r="IE247" s="44"/>
      <c r="IF247" s="36"/>
      <c r="IG247" s="36"/>
      <c r="IH247" s="36"/>
      <c r="II247" s="36"/>
      <c r="IJ247" s="36"/>
      <c r="IK247" s="36"/>
      <c r="IL247" s="36"/>
      <c r="IM247" s="36"/>
      <c r="IN247" s="36"/>
      <c r="IO247" s="36"/>
      <c r="IP247" s="36"/>
      <c r="IQ247" s="36"/>
      <c r="IR247" s="36"/>
      <c r="IS247" s="36"/>
      <c r="IT247" s="36"/>
      <c r="IU247" s="37"/>
      <c r="IV247" s="44"/>
      <c r="IW247" s="36"/>
      <c r="IX247" s="36"/>
      <c r="IY247" s="36"/>
      <c r="IZ247" s="36"/>
      <c r="JA247" s="36"/>
      <c r="JB247" s="36"/>
      <c r="JC247" s="36"/>
      <c r="JD247" s="36"/>
      <c r="JE247" s="36"/>
      <c r="JF247" s="36"/>
      <c r="JG247" s="36"/>
      <c r="JH247" s="36"/>
      <c r="JI247" s="36"/>
      <c r="JJ247" s="36"/>
      <c r="JK247" s="36"/>
      <c r="JL247" s="37"/>
      <c r="JM247" s="44"/>
      <c r="JN247" s="36"/>
      <c r="JO247" s="36"/>
      <c r="JP247" s="36"/>
      <c r="JQ247" s="36"/>
      <c r="JR247" s="36"/>
      <c r="JS247" s="36"/>
      <c r="JT247" s="36"/>
      <c r="JU247" s="36"/>
      <c r="JV247" s="36"/>
      <c r="JW247" s="36"/>
      <c r="JX247" s="36"/>
      <c r="JY247" s="36"/>
      <c r="JZ247" s="36"/>
      <c r="KA247" s="36"/>
      <c r="KB247" s="36"/>
      <c r="KC247" s="37"/>
      <c r="KD247" s="44"/>
      <c r="KE247" s="36"/>
      <c r="KF247" s="36"/>
      <c r="KG247" s="36"/>
      <c r="KH247" s="36"/>
      <c r="KI247" s="36"/>
      <c r="KJ247" s="36"/>
      <c r="KK247" s="36"/>
      <c r="KL247" s="36"/>
      <c r="KM247" s="36"/>
      <c r="KN247" s="36"/>
      <c r="KO247" s="36"/>
      <c r="KP247" s="36"/>
      <c r="KQ247" s="36"/>
      <c r="KR247" s="36"/>
      <c r="KS247" s="36"/>
      <c r="KT247" s="37"/>
      <c r="KU247" s="36"/>
    </row>
    <row r="248" ht="15.0" customHeight="1">
      <c r="A248" s="44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7"/>
      <c r="R248" s="44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7"/>
      <c r="AI248" s="44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  <c r="AU248" s="36"/>
      <c r="AV248" s="36"/>
      <c r="AW248" s="36"/>
      <c r="AX248" s="36"/>
      <c r="AY248" s="37"/>
      <c r="AZ248" s="44"/>
      <c r="BA248" s="36"/>
      <c r="BB248" s="36"/>
      <c r="BC248" s="36"/>
      <c r="BD248" s="36"/>
      <c r="BE248" s="36"/>
      <c r="BF248" s="36"/>
      <c r="BG248" s="36"/>
      <c r="BH248" s="36"/>
      <c r="BI248" s="36"/>
      <c r="BJ248" s="36"/>
      <c r="BK248" s="36"/>
      <c r="BL248" s="36"/>
      <c r="BM248" s="36"/>
      <c r="BN248" s="36"/>
      <c r="BO248" s="36"/>
      <c r="BP248" s="37"/>
      <c r="BQ248" s="44"/>
      <c r="BR248" s="36"/>
      <c r="BS248" s="36"/>
      <c r="BT248" s="36"/>
      <c r="BU248" s="36"/>
      <c r="BV248" s="36"/>
      <c r="BW248" s="36"/>
      <c r="BX248" s="36"/>
      <c r="BY248" s="36"/>
      <c r="BZ248" s="36"/>
      <c r="CA248" s="36"/>
      <c r="CB248" s="36"/>
      <c r="CC248" s="36"/>
      <c r="CD248" s="36"/>
      <c r="CE248" s="36"/>
      <c r="CF248" s="36"/>
      <c r="CG248" s="37"/>
      <c r="CH248" s="44"/>
      <c r="CI248" s="36"/>
      <c r="CJ248" s="36"/>
      <c r="CK248" s="36"/>
      <c r="CL248" s="36"/>
      <c r="CM248" s="36"/>
      <c r="CN248" s="36"/>
      <c r="CO248" s="36"/>
      <c r="CP248" s="36"/>
      <c r="CQ248" s="36"/>
      <c r="CR248" s="36"/>
      <c r="CS248" s="36"/>
      <c r="CT248" s="36"/>
      <c r="CU248" s="36"/>
      <c r="CV248" s="36"/>
      <c r="CW248" s="36"/>
      <c r="CX248" s="37"/>
      <c r="CY248" s="44"/>
      <c r="CZ248" s="36"/>
      <c r="DA248" s="36"/>
      <c r="DB248" s="36"/>
      <c r="DC248" s="36"/>
      <c r="DD248" s="36"/>
      <c r="DE248" s="36"/>
      <c r="DF248" s="36"/>
      <c r="DG248" s="36"/>
      <c r="DH248" s="36"/>
      <c r="DI248" s="36"/>
      <c r="DJ248" s="36"/>
      <c r="DK248" s="36"/>
      <c r="DL248" s="36"/>
      <c r="DM248" s="36"/>
      <c r="DN248" s="36"/>
      <c r="DO248" s="37"/>
      <c r="DP248" s="44"/>
      <c r="DQ248" s="36"/>
      <c r="DR248" s="36"/>
      <c r="DS248" s="36"/>
      <c r="DT248" s="36"/>
      <c r="DU248" s="36"/>
      <c r="DV248" s="36"/>
      <c r="DW248" s="36"/>
      <c r="DX248" s="36"/>
      <c r="DY248" s="36"/>
      <c r="DZ248" s="36"/>
      <c r="EA248" s="36"/>
      <c r="EB248" s="36"/>
      <c r="EC248" s="36"/>
      <c r="ED248" s="36"/>
      <c r="EE248" s="36"/>
      <c r="EF248" s="37"/>
      <c r="EG248" s="44"/>
      <c r="EH248" s="36"/>
      <c r="EI248" s="36"/>
      <c r="EJ248" s="36"/>
      <c r="EK248" s="36"/>
      <c r="EL248" s="36"/>
      <c r="EM248" s="36"/>
      <c r="EN248" s="36"/>
      <c r="EO248" s="36"/>
      <c r="EP248" s="36"/>
      <c r="EQ248" s="36"/>
      <c r="ER248" s="36"/>
      <c r="ES248" s="36"/>
      <c r="ET248" s="36"/>
      <c r="EU248" s="36"/>
      <c r="EV248" s="36"/>
      <c r="EW248" s="37"/>
      <c r="EX248" s="44"/>
      <c r="EY248" s="36"/>
      <c r="EZ248" s="36"/>
      <c r="FA248" s="36"/>
      <c r="FB248" s="36"/>
      <c r="FC248" s="36"/>
      <c r="FD248" s="36"/>
      <c r="FE248" s="36"/>
      <c r="FF248" s="36"/>
      <c r="FG248" s="36"/>
      <c r="FH248" s="36"/>
      <c r="FI248" s="36"/>
      <c r="FJ248" s="36"/>
      <c r="FK248" s="36"/>
      <c r="FL248" s="36"/>
      <c r="FM248" s="36"/>
      <c r="FN248" s="37"/>
      <c r="FO248" s="44"/>
      <c r="FP248" s="36"/>
      <c r="FQ248" s="36"/>
      <c r="FR248" s="36"/>
      <c r="FS248" s="36"/>
      <c r="FT248" s="36"/>
      <c r="FU248" s="36"/>
      <c r="FV248" s="36"/>
      <c r="FW248" s="36"/>
      <c r="FX248" s="36"/>
      <c r="FY248" s="36"/>
      <c r="FZ248" s="36"/>
      <c r="GA248" s="36"/>
      <c r="GB248" s="36"/>
      <c r="GC248" s="36"/>
      <c r="GD248" s="36"/>
      <c r="GE248" s="37"/>
      <c r="GF248" s="44"/>
      <c r="GG248" s="36"/>
      <c r="GH248" s="36"/>
      <c r="GI248" s="36"/>
      <c r="GJ248" s="36"/>
      <c r="GK248" s="36"/>
      <c r="GL248" s="36"/>
      <c r="GM248" s="36"/>
      <c r="GN248" s="36"/>
      <c r="GO248" s="36"/>
      <c r="GP248" s="36"/>
      <c r="GQ248" s="36"/>
      <c r="GR248" s="36"/>
      <c r="GS248" s="36"/>
      <c r="GT248" s="36"/>
      <c r="GU248" s="36"/>
      <c r="GV248" s="37"/>
      <c r="GW248" s="44"/>
      <c r="GX248" s="36"/>
      <c r="GY248" s="36"/>
      <c r="GZ248" s="36"/>
      <c r="HA248" s="36"/>
      <c r="HB248" s="36"/>
      <c r="HC248" s="36"/>
      <c r="HD248" s="36"/>
      <c r="HE248" s="36"/>
      <c r="HF248" s="36"/>
      <c r="HG248" s="36"/>
      <c r="HH248" s="36"/>
      <c r="HI248" s="36"/>
      <c r="HJ248" s="36"/>
      <c r="HK248" s="36"/>
      <c r="HL248" s="36"/>
      <c r="HM248" s="37"/>
      <c r="HN248" s="44"/>
      <c r="HO248" s="36"/>
      <c r="HP248" s="36"/>
      <c r="HQ248" s="36"/>
      <c r="HR248" s="36"/>
      <c r="HS248" s="36"/>
      <c r="HT248" s="36"/>
      <c r="HU248" s="36"/>
      <c r="HV248" s="36"/>
      <c r="HW248" s="36"/>
      <c r="HX248" s="36"/>
      <c r="HY248" s="36"/>
      <c r="HZ248" s="36"/>
      <c r="IA248" s="36"/>
      <c r="IB248" s="36"/>
      <c r="IC248" s="36"/>
      <c r="ID248" s="37"/>
      <c r="IE248" s="44"/>
      <c r="IF248" s="36"/>
      <c r="IG248" s="36"/>
      <c r="IH248" s="36"/>
      <c r="II248" s="36"/>
      <c r="IJ248" s="36"/>
      <c r="IK248" s="36"/>
      <c r="IL248" s="36"/>
      <c r="IM248" s="36"/>
      <c r="IN248" s="36"/>
      <c r="IO248" s="36"/>
      <c r="IP248" s="36"/>
      <c r="IQ248" s="36"/>
      <c r="IR248" s="36"/>
      <c r="IS248" s="36"/>
      <c r="IT248" s="36"/>
      <c r="IU248" s="37"/>
      <c r="IV248" s="44"/>
      <c r="IW248" s="36"/>
      <c r="IX248" s="36"/>
      <c r="IY248" s="36"/>
      <c r="IZ248" s="36"/>
      <c r="JA248" s="36"/>
      <c r="JB248" s="36"/>
      <c r="JC248" s="36"/>
      <c r="JD248" s="36"/>
      <c r="JE248" s="36"/>
      <c r="JF248" s="36"/>
      <c r="JG248" s="36"/>
      <c r="JH248" s="36"/>
      <c r="JI248" s="36"/>
      <c r="JJ248" s="36"/>
      <c r="JK248" s="36"/>
      <c r="JL248" s="37"/>
      <c r="JM248" s="44"/>
      <c r="JN248" s="36"/>
      <c r="JO248" s="36"/>
      <c r="JP248" s="36"/>
      <c r="JQ248" s="36"/>
      <c r="JR248" s="36"/>
      <c r="JS248" s="36"/>
      <c r="JT248" s="36"/>
      <c r="JU248" s="36"/>
      <c r="JV248" s="36"/>
      <c r="JW248" s="36"/>
      <c r="JX248" s="36"/>
      <c r="JY248" s="36"/>
      <c r="JZ248" s="36"/>
      <c r="KA248" s="36"/>
      <c r="KB248" s="36"/>
      <c r="KC248" s="37"/>
      <c r="KD248" s="44"/>
      <c r="KE248" s="36"/>
      <c r="KF248" s="36"/>
      <c r="KG248" s="36"/>
      <c r="KH248" s="36"/>
      <c r="KI248" s="36"/>
      <c r="KJ248" s="36"/>
      <c r="KK248" s="36"/>
      <c r="KL248" s="36"/>
      <c r="KM248" s="36"/>
      <c r="KN248" s="36"/>
      <c r="KO248" s="36"/>
      <c r="KP248" s="36"/>
      <c r="KQ248" s="36"/>
      <c r="KR248" s="36"/>
      <c r="KS248" s="36"/>
      <c r="KT248" s="37"/>
      <c r="KU248" s="36"/>
    </row>
    <row r="249" ht="15.0" customHeight="1">
      <c r="A249" s="44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7"/>
      <c r="R249" s="44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7"/>
      <c r="AI249" s="44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  <c r="AU249" s="36"/>
      <c r="AV249" s="36"/>
      <c r="AW249" s="36"/>
      <c r="AX249" s="36"/>
      <c r="AY249" s="37"/>
      <c r="AZ249" s="44"/>
      <c r="BA249" s="36"/>
      <c r="BB249" s="36"/>
      <c r="BC249" s="36"/>
      <c r="BD249" s="36"/>
      <c r="BE249" s="36"/>
      <c r="BF249" s="36"/>
      <c r="BG249" s="36"/>
      <c r="BH249" s="36"/>
      <c r="BI249" s="36"/>
      <c r="BJ249" s="36"/>
      <c r="BK249" s="36"/>
      <c r="BL249" s="36"/>
      <c r="BM249" s="36"/>
      <c r="BN249" s="36"/>
      <c r="BO249" s="36"/>
      <c r="BP249" s="37"/>
      <c r="BQ249" s="44"/>
      <c r="BR249" s="36"/>
      <c r="BS249" s="36"/>
      <c r="BT249" s="36"/>
      <c r="BU249" s="36"/>
      <c r="BV249" s="36"/>
      <c r="BW249" s="36"/>
      <c r="BX249" s="36"/>
      <c r="BY249" s="36"/>
      <c r="BZ249" s="36"/>
      <c r="CA249" s="36"/>
      <c r="CB249" s="36"/>
      <c r="CC249" s="36"/>
      <c r="CD249" s="36"/>
      <c r="CE249" s="36"/>
      <c r="CF249" s="36"/>
      <c r="CG249" s="37"/>
      <c r="CH249" s="44"/>
      <c r="CI249" s="36"/>
      <c r="CJ249" s="36"/>
      <c r="CK249" s="36"/>
      <c r="CL249" s="36"/>
      <c r="CM249" s="36"/>
      <c r="CN249" s="36"/>
      <c r="CO249" s="36"/>
      <c r="CP249" s="36"/>
      <c r="CQ249" s="36"/>
      <c r="CR249" s="36"/>
      <c r="CS249" s="36"/>
      <c r="CT249" s="36"/>
      <c r="CU249" s="36"/>
      <c r="CV249" s="36"/>
      <c r="CW249" s="36"/>
      <c r="CX249" s="37"/>
      <c r="CY249" s="44"/>
      <c r="CZ249" s="36"/>
      <c r="DA249" s="36"/>
      <c r="DB249" s="36"/>
      <c r="DC249" s="36"/>
      <c r="DD249" s="36"/>
      <c r="DE249" s="36"/>
      <c r="DF249" s="36"/>
      <c r="DG249" s="36"/>
      <c r="DH249" s="36"/>
      <c r="DI249" s="36"/>
      <c r="DJ249" s="36"/>
      <c r="DK249" s="36"/>
      <c r="DL249" s="36"/>
      <c r="DM249" s="36"/>
      <c r="DN249" s="36"/>
      <c r="DO249" s="37"/>
      <c r="DP249" s="44"/>
      <c r="DQ249" s="36"/>
      <c r="DR249" s="36"/>
      <c r="DS249" s="36"/>
      <c r="DT249" s="36"/>
      <c r="DU249" s="36"/>
      <c r="DV249" s="36"/>
      <c r="DW249" s="36"/>
      <c r="DX249" s="36"/>
      <c r="DY249" s="36"/>
      <c r="DZ249" s="36"/>
      <c r="EA249" s="36"/>
      <c r="EB249" s="36"/>
      <c r="EC249" s="36"/>
      <c r="ED249" s="36"/>
      <c r="EE249" s="36"/>
      <c r="EF249" s="37"/>
      <c r="EG249" s="44"/>
      <c r="EH249" s="36"/>
      <c r="EI249" s="36"/>
      <c r="EJ249" s="36"/>
      <c r="EK249" s="36"/>
      <c r="EL249" s="36"/>
      <c r="EM249" s="36"/>
      <c r="EN249" s="36"/>
      <c r="EO249" s="36"/>
      <c r="EP249" s="36"/>
      <c r="EQ249" s="36"/>
      <c r="ER249" s="36"/>
      <c r="ES249" s="36"/>
      <c r="ET249" s="36"/>
      <c r="EU249" s="36"/>
      <c r="EV249" s="36"/>
      <c r="EW249" s="37"/>
      <c r="EX249" s="44"/>
      <c r="EY249" s="36"/>
      <c r="EZ249" s="36"/>
      <c r="FA249" s="36"/>
      <c r="FB249" s="36"/>
      <c r="FC249" s="36"/>
      <c r="FD249" s="36"/>
      <c r="FE249" s="36"/>
      <c r="FF249" s="36"/>
      <c r="FG249" s="36"/>
      <c r="FH249" s="36"/>
      <c r="FI249" s="36"/>
      <c r="FJ249" s="36"/>
      <c r="FK249" s="36"/>
      <c r="FL249" s="36"/>
      <c r="FM249" s="36"/>
      <c r="FN249" s="37"/>
      <c r="FO249" s="44"/>
      <c r="FP249" s="36"/>
      <c r="FQ249" s="36"/>
      <c r="FR249" s="36"/>
      <c r="FS249" s="36"/>
      <c r="FT249" s="36"/>
      <c r="FU249" s="36"/>
      <c r="FV249" s="36"/>
      <c r="FW249" s="36"/>
      <c r="FX249" s="36"/>
      <c r="FY249" s="36"/>
      <c r="FZ249" s="36"/>
      <c r="GA249" s="36"/>
      <c r="GB249" s="36"/>
      <c r="GC249" s="36"/>
      <c r="GD249" s="36"/>
      <c r="GE249" s="37"/>
      <c r="GF249" s="44"/>
      <c r="GG249" s="36"/>
      <c r="GH249" s="36"/>
      <c r="GI249" s="36"/>
      <c r="GJ249" s="36"/>
      <c r="GK249" s="36"/>
      <c r="GL249" s="36"/>
      <c r="GM249" s="36"/>
      <c r="GN249" s="36"/>
      <c r="GO249" s="36"/>
      <c r="GP249" s="36"/>
      <c r="GQ249" s="36"/>
      <c r="GR249" s="36"/>
      <c r="GS249" s="36"/>
      <c r="GT249" s="36"/>
      <c r="GU249" s="36"/>
      <c r="GV249" s="37"/>
      <c r="GW249" s="44"/>
      <c r="GX249" s="36"/>
      <c r="GY249" s="36"/>
      <c r="GZ249" s="36"/>
      <c r="HA249" s="36"/>
      <c r="HB249" s="36"/>
      <c r="HC249" s="36"/>
      <c r="HD249" s="36"/>
      <c r="HE249" s="36"/>
      <c r="HF249" s="36"/>
      <c r="HG249" s="36"/>
      <c r="HH249" s="36"/>
      <c r="HI249" s="36"/>
      <c r="HJ249" s="36"/>
      <c r="HK249" s="36"/>
      <c r="HL249" s="36"/>
      <c r="HM249" s="37"/>
      <c r="HN249" s="44"/>
      <c r="HO249" s="36"/>
      <c r="HP249" s="36"/>
      <c r="HQ249" s="36"/>
      <c r="HR249" s="36"/>
      <c r="HS249" s="36"/>
      <c r="HT249" s="36"/>
      <c r="HU249" s="36"/>
      <c r="HV249" s="36"/>
      <c r="HW249" s="36"/>
      <c r="HX249" s="36"/>
      <c r="HY249" s="36"/>
      <c r="HZ249" s="36"/>
      <c r="IA249" s="36"/>
      <c r="IB249" s="36"/>
      <c r="IC249" s="36"/>
      <c r="ID249" s="37"/>
      <c r="IE249" s="44"/>
      <c r="IF249" s="36"/>
      <c r="IG249" s="36"/>
      <c r="IH249" s="36"/>
      <c r="II249" s="36"/>
      <c r="IJ249" s="36"/>
      <c r="IK249" s="36"/>
      <c r="IL249" s="36"/>
      <c r="IM249" s="36"/>
      <c r="IN249" s="36"/>
      <c r="IO249" s="36"/>
      <c r="IP249" s="36"/>
      <c r="IQ249" s="36"/>
      <c r="IR249" s="36"/>
      <c r="IS249" s="36"/>
      <c r="IT249" s="36"/>
      <c r="IU249" s="37"/>
      <c r="IV249" s="44"/>
      <c r="IW249" s="36"/>
      <c r="IX249" s="36"/>
      <c r="IY249" s="36"/>
      <c r="IZ249" s="36"/>
      <c r="JA249" s="36"/>
      <c r="JB249" s="36"/>
      <c r="JC249" s="36"/>
      <c r="JD249" s="36"/>
      <c r="JE249" s="36"/>
      <c r="JF249" s="36"/>
      <c r="JG249" s="36"/>
      <c r="JH249" s="36"/>
      <c r="JI249" s="36"/>
      <c r="JJ249" s="36"/>
      <c r="JK249" s="36"/>
      <c r="JL249" s="37"/>
      <c r="JM249" s="44"/>
      <c r="JN249" s="36"/>
      <c r="JO249" s="36"/>
      <c r="JP249" s="36"/>
      <c r="JQ249" s="36"/>
      <c r="JR249" s="36"/>
      <c r="JS249" s="36"/>
      <c r="JT249" s="36"/>
      <c r="JU249" s="36"/>
      <c r="JV249" s="36"/>
      <c r="JW249" s="36"/>
      <c r="JX249" s="36"/>
      <c r="JY249" s="36"/>
      <c r="JZ249" s="36"/>
      <c r="KA249" s="36"/>
      <c r="KB249" s="36"/>
      <c r="KC249" s="37"/>
      <c r="KD249" s="44"/>
      <c r="KE249" s="36"/>
      <c r="KF249" s="36"/>
      <c r="KG249" s="36"/>
      <c r="KH249" s="36"/>
      <c r="KI249" s="36"/>
      <c r="KJ249" s="36"/>
      <c r="KK249" s="36"/>
      <c r="KL249" s="36"/>
      <c r="KM249" s="36"/>
      <c r="KN249" s="36"/>
      <c r="KO249" s="36"/>
      <c r="KP249" s="36"/>
      <c r="KQ249" s="36"/>
      <c r="KR249" s="36"/>
      <c r="KS249" s="36"/>
      <c r="KT249" s="37"/>
      <c r="KU249" s="36"/>
    </row>
    <row r="250" ht="15.0" customHeight="1">
      <c r="A250" s="44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7"/>
      <c r="R250" s="44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7"/>
      <c r="AI250" s="44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  <c r="AU250" s="36"/>
      <c r="AV250" s="36"/>
      <c r="AW250" s="36"/>
      <c r="AX250" s="36"/>
      <c r="AY250" s="37"/>
      <c r="AZ250" s="44"/>
      <c r="BA250" s="36"/>
      <c r="BB250" s="36"/>
      <c r="BC250" s="36"/>
      <c r="BD250" s="36"/>
      <c r="BE250" s="36"/>
      <c r="BF250" s="36"/>
      <c r="BG250" s="36"/>
      <c r="BH250" s="36"/>
      <c r="BI250" s="36"/>
      <c r="BJ250" s="36"/>
      <c r="BK250" s="36"/>
      <c r="BL250" s="36"/>
      <c r="BM250" s="36"/>
      <c r="BN250" s="36"/>
      <c r="BO250" s="36"/>
      <c r="BP250" s="37"/>
      <c r="BQ250" s="44"/>
      <c r="BR250" s="36"/>
      <c r="BS250" s="36"/>
      <c r="BT250" s="36"/>
      <c r="BU250" s="36"/>
      <c r="BV250" s="36"/>
      <c r="BW250" s="36"/>
      <c r="BX250" s="36"/>
      <c r="BY250" s="36"/>
      <c r="BZ250" s="36"/>
      <c r="CA250" s="36"/>
      <c r="CB250" s="36"/>
      <c r="CC250" s="36"/>
      <c r="CD250" s="36"/>
      <c r="CE250" s="36"/>
      <c r="CF250" s="36"/>
      <c r="CG250" s="37"/>
      <c r="CH250" s="44"/>
      <c r="CI250" s="36"/>
      <c r="CJ250" s="36"/>
      <c r="CK250" s="36"/>
      <c r="CL250" s="36"/>
      <c r="CM250" s="36"/>
      <c r="CN250" s="36"/>
      <c r="CO250" s="36"/>
      <c r="CP250" s="36"/>
      <c r="CQ250" s="36"/>
      <c r="CR250" s="36"/>
      <c r="CS250" s="36"/>
      <c r="CT250" s="36"/>
      <c r="CU250" s="36"/>
      <c r="CV250" s="36"/>
      <c r="CW250" s="36"/>
      <c r="CX250" s="37"/>
      <c r="CY250" s="44"/>
      <c r="CZ250" s="36"/>
      <c r="DA250" s="36"/>
      <c r="DB250" s="36"/>
      <c r="DC250" s="36"/>
      <c r="DD250" s="36"/>
      <c r="DE250" s="36"/>
      <c r="DF250" s="36"/>
      <c r="DG250" s="36"/>
      <c r="DH250" s="36"/>
      <c r="DI250" s="36"/>
      <c r="DJ250" s="36"/>
      <c r="DK250" s="36"/>
      <c r="DL250" s="36"/>
      <c r="DM250" s="36"/>
      <c r="DN250" s="36"/>
      <c r="DO250" s="37"/>
      <c r="DP250" s="44"/>
      <c r="DQ250" s="36"/>
      <c r="DR250" s="36"/>
      <c r="DS250" s="36"/>
      <c r="DT250" s="36"/>
      <c r="DU250" s="36"/>
      <c r="DV250" s="36"/>
      <c r="DW250" s="36"/>
      <c r="DX250" s="36"/>
      <c r="DY250" s="36"/>
      <c r="DZ250" s="36"/>
      <c r="EA250" s="36"/>
      <c r="EB250" s="36"/>
      <c r="EC250" s="36"/>
      <c r="ED250" s="36"/>
      <c r="EE250" s="36"/>
      <c r="EF250" s="37"/>
      <c r="EG250" s="44"/>
      <c r="EH250" s="36"/>
      <c r="EI250" s="36"/>
      <c r="EJ250" s="36"/>
      <c r="EK250" s="36"/>
      <c r="EL250" s="36"/>
      <c r="EM250" s="36"/>
      <c r="EN250" s="36"/>
      <c r="EO250" s="36"/>
      <c r="EP250" s="36"/>
      <c r="EQ250" s="36"/>
      <c r="ER250" s="36"/>
      <c r="ES250" s="36"/>
      <c r="ET250" s="36"/>
      <c r="EU250" s="36"/>
      <c r="EV250" s="36"/>
      <c r="EW250" s="37"/>
      <c r="EX250" s="44"/>
      <c r="EY250" s="36"/>
      <c r="EZ250" s="36"/>
      <c r="FA250" s="36"/>
      <c r="FB250" s="36"/>
      <c r="FC250" s="36"/>
      <c r="FD250" s="36"/>
      <c r="FE250" s="36"/>
      <c r="FF250" s="36"/>
      <c r="FG250" s="36"/>
      <c r="FH250" s="36"/>
      <c r="FI250" s="36"/>
      <c r="FJ250" s="36"/>
      <c r="FK250" s="36"/>
      <c r="FL250" s="36"/>
      <c r="FM250" s="36"/>
      <c r="FN250" s="37"/>
      <c r="FO250" s="44"/>
      <c r="FP250" s="36"/>
      <c r="FQ250" s="36"/>
      <c r="FR250" s="36"/>
      <c r="FS250" s="36"/>
      <c r="FT250" s="36"/>
      <c r="FU250" s="36"/>
      <c r="FV250" s="36"/>
      <c r="FW250" s="36"/>
      <c r="FX250" s="36"/>
      <c r="FY250" s="36"/>
      <c r="FZ250" s="36"/>
      <c r="GA250" s="36"/>
      <c r="GB250" s="36"/>
      <c r="GC250" s="36"/>
      <c r="GD250" s="36"/>
      <c r="GE250" s="37"/>
      <c r="GF250" s="44"/>
      <c r="GG250" s="36"/>
      <c r="GH250" s="36"/>
      <c r="GI250" s="36"/>
      <c r="GJ250" s="36"/>
      <c r="GK250" s="36"/>
      <c r="GL250" s="36"/>
      <c r="GM250" s="36"/>
      <c r="GN250" s="36"/>
      <c r="GO250" s="36"/>
      <c r="GP250" s="36"/>
      <c r="GQ250" s="36"/>
      <c r="GR250" s="36"/>
      <c r="GS250" s="36"/>
      <c r="GT250" s="36"/>
      <c r="GU250" s="36"/>
      <c r="GV250" s="37"/>
      <c r="GW250" s="44"/>
      <c r="GX250" s="36"/>
      <c r="GY250" s="36"/>
      <c r="GZ250" s="36"/>
      <c r="HA250" s="36"/>
      <c r="HB250" s="36"/>
      <c r="HC250" s="36"/>
      <c r="HD250" s="36"/>
      <c r="HE250" s="36"/>
      <c r="HF250" s="36"/>
      <c r="HG250" s="36"/>
      <c r="HH250" s="36"/>
      <c r="HI250" s="36"/>
      <c r="HJ250" s="36"/>
      <c r="HK250" s="36"/>
      <c r="HL250" s="36"/>
      <c r="HM250" s="37"/>
      <c r="HN250" s="44"/>
      <c r="HO250" s="36"/>
      <c r="HP250" s="36"/>
      <c r="HQ250" s="36"/>
      <c r="HR250" s="36"/>
      <c r="HS250" s="36"/>
      <c r="HT250" s="36"/>
      <c r="HU250" s="36"/>
      <c r="HV250" s="36"/>
      <c r="HW250" s="36"/>
      <c r="HX250" s="36"/>
      <c r="HY250" s="36"/>
      <c r="HZ250" s="36"/>
      <c r="IA250" s="36"/>
      <c r="IB250" s="36"/>
      <c r="IC250" s="36"/>
      <c r="ID250" s="37"/>
      <c r="IE250" s="44"/>
      <c r="IF250" s="36"/>
      <c r="IG250" s="36"/>
      <c r="IH250" s="36"/>
      <c r="II250" s="36"/>
      <c r="IJ250" s="36"/>
      <c r="IK250" s="36"/>
      <c r="IL250" s="36"/>
      <c r="IM250" s="36"/>
      <c r="IN250" s="36"/>
      <c r="IO250" s="36"/>
      <c r="IP250" s="36"/>
      <c r="IQ250" s="36"/>
      <c r="IR250" s="36"/>
      <c r="IS250" s="36"/>
      <c r="IT250" s="36"/>
      <c r="IU250" s="37"/>
      <c r="IV250" s="44"/>
      <c r="IW250" s="36"/>
      <c r="IX250" s="36"/>
      <c r="IY250" s="36"/>
      <c r="IZ250" s="36"/>
      <c r="JA250" s="36"/>
      <c r="JB250" s="36"/>
      <c r="JC250" s="36"/>
      <c r="JD250" s="36"/>
      <c r="JE250" s="36"/>
      <c r="JF250" s="36"/>
      <c r="JG250" s="36"/>
      <c r="JH250" s="36"/>
      <c r="JI250" s="36"/>
      <c r="JJ250" s="36"/>
      <c r="JK250" s="36"/>
      <c r="JL250" s="37"/>
      <c r="JM250" s="44"/>
      <c r="JN250" s="36"/>
      <c r="JO250" s="36"/>
      <c r="JP250" s="36"/>
      <c r="JQ250" s="36"/>
      <c r="JR250" s="36"/>
      <c r="JS250" s="36"/>
      <c r="JT250" s="36"/>
      <c r="JU250" s="36"/>
      <c r="JV250" s="36"/>
      <c r="JW250" s="36"/>
      <c r="JX250" s="36"/>
      <c r="JY250" s="36"/>
      <c r="JZ250" s="36"/>
      <c r="KA250" s="36"/>
      <c r="KB250" s="36"/>
      <c r="KC250" s="37"/>
      <c r="KD250" s="44"/>
      <c r="KE250" s="36"/>
      <c r="KF250" s="36"/>
      <c r="KG250" s="36"/>
      <c r="KH250" s="36"/>
      <c r="KI250" s="36"/>
      <c r="KJ250" s="36"/>
      <c r="KK250" s="36"/>
      <c r="KL250" s="36"/>
      <c r="KM250" s="36"/>
      <c r="KN250" s="36"/>
      <c r="KO250" s="36"/>
      <c r="KP250" s="36"/>
      <c r="KQ250" s="36"/>
      <c r="KR250" s="36"/>
      <c r="KS250" s="36"/>
      <c r="KT250" s="37"/>
      <c r="KU250" s="36"/>
    </row>
    <row r="251" ht="15.0" customHeight="1">
      <c r="A251" s="44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7"/>
      <c r="R251" s="44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7"/>
      <c r="AI251" s="44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  <c r="AU251" s="36"/>
      <c r="AV251" s="36"/>
      <c r="AW251" s="36"/>
      <c r="AX251" s="36"/>
      <c r="AY251" s="37"/>
      <c r="AZ251" s="44"/>
      <c r="BA251" s="36"/>
      <c r="BB251" s="36"/>
      <c r="BC251" s="36"/>
      <c r="BD251" s="36"/>
      <c r="BE251" s="36"/>
      <c r="BF251" s="36"/>
      <c r="BG251" s="36"/>
      <c r="BH251" s="36"/>
      <c r="BI251" s="36"/>
      <c r="BJ251" s="36"/>
      <c r="BK251" s="36"/>
      <c r="BL251" s="36"/>
      <c r="BM251" s="36"/>
      <c r="BN251" s="36"/>
      <c r="BO251" s="36"/>
      <c r="BP251" s="37"/>
      <c r="BQ251" s="44"/>
      <c r="BR251" s="36"/>
      <c r="BS251" s="36"/>
      <c r="BT251" s="36"/>
      <c r="BU251" s="36"/>
      <c r="BV251" s="36"/>
      <c r="BW251" s="36"/>
      <c r="BX251" s="36"/>
      <c r="BY251" s="36"/>
      <c r="BZ251" s="36"/>
      <c r="CA251" s="36"/>
      <c r="CB251" s="36"/>
      <c r="CC251" s="36"/>
      <c r="CD251" s="36"/>
      <c r="CE251" s="36"/>
      <c r="CF251" s="36"/>
      <c r="CG251" s="37"/>
      <c r="CH251" s="44"/>
      <c r="CI251" s="36"/>
      <c r="CJ251" s="36"/>
      <c r="CK251" s="36"/>
      <c r="CL251" s="36"/>
      <c r="CM251" s="36"/>
      <c r="CN251" s="36"/>
      <c r="CO251" s="36"/>
      <c r="CP251" s="36"/>
      <c r="CQ251" s="36"/>
      <c r="CR251" s="36"/>
      <c r="CS251" s="36"/>
      <c r="CT251" s="36"/>
      <c r="CU251" s="36"/>
      <c r="CV251" s="36"/>
      <c r="CW251" s="36"/>
      <c r="CX251" s="37"/>
      <c r="CY251" s="44"/>
      <c r="CZ251" s="36"/>
      <c r="DA251" s="36"/>
      <c r="DB251" s="36"/>
      <c r="DC251" s="36"/>
      <c r="DD251" s="36"/>
      <c r="DE251" s="36"/>
      <c r="DF251" s="36"/>
      <c r="DG251" s="36"/>
      <c r="DH251" s="36"/>
      <c r="DI251" s="36"/>
      <c r="DJ251" s="36"/>
      <c r="DK251" s="36"/>
      <c r="DL251" s="36"/>
      <c r="DM251" s="36"/>
      <c r="DN251" s="36"/>
      <c r="DO251" s="37"/>
      <c r="DP251" s="44"/>
      <c r="DQ251" s="36"/>
      <c r="DR251" s="36"/>
      <c r="DS251" s="36"/>
      <c r="DT251" s="36"/>
      <c r="DU251" s="36"/>
      <c r="DV251" s="36"/>
      <c r="DW251" s="36"/>
      <c r="DX251" s="36"/>
      <c r="DY251" s="36"/>
      <c r="DZ251" s="36"/>
      <c r="EA251" s="36"/>
      <c r="EB251" s="36"/>
      <c r="EC251" s="36"/>
      <c r="ED251" s="36"/>
      <c r="EE251" s="36"/>
      <c r="EF251" s="37"/>
      <c r="EG251" s="44"/>
      <c r="EH251" s="36"/>
      <c r="EI251" s="36"/>
      <c r="EJ251" s="36"/>
      <c r="EK251" s="36"/>
      <c r="EL251" s="36"/>
      <c r="EM251" s="36"/>
      <c r="EN251" s="36"/>
      <c r="EO251" s="36"/>
      <c r="EP251" s="36"/>
      <c r="EQ251" s="36"/>
      <c r="ER251" s="36"/>
      <c r="ES251" s="36"/>
      <c r="ET251" s="36"/>
      <c r="EU251" s="36"/>
      <c r="EV251" s="36"/>
      <c r="EW251" s="37"/>
      <c r="EX251" s="44"/>
      <c r="EY251" s="36"/>
      <c r="EZ251" s="36"/>
      <c r="FA251" s="36"/>
      <c r="FB251" s="36"/>
      <c r="FC251" s="36"/>
      <c r="FD251" s="36"/>
      <c r="FE251" s="36"/>
      <c r="FF251" s="36"/>
      <c r="FG251" s="36"/>
      <c r="FH251" s="36"/>
      <c r="FI251" s="36"/>
      <c r="FJ251" s="36"/>
      <c r="FK251" s="36"/>
      <c r="FL251" s="36"/>
      <c r="FM251" s="36"/>
      <c r="FN251" s="37"/>
      <c r="FO251" s="44"/>
      <c r="FP251" s="36"/>
      <c r="FQ251" s="36"/>
      <c r="FR251" s="36"/>
      <c r="FS251" s="36"/>
      <c r="FT251" s="36"/>
      <c r="FU251" s="36"/>
      <c r="FV251" s="36"/>
      <c r="FW251" s="36"/>
      <c r="FX251" s="36"/>
      <c r="FY251" s="36"/>
      <c r="FZ251" s="36"/>
      <c r="GA251" s="36"/>
      <c r="GB251" s="36"/>
      <c r="GC251" s="36"/>
      <c r="GD251" s="36"/>
      <c r="GE251" s="37"/>
      <c r="GF251" s="44"/>
      <c r="GG251" s="36"/>
      <c r="GH251" s="36"/>
      <c r="GI251" s="36"/>
      <c r="GJ251" s="36"/>
      <c r="GK251" s="36"/>
      <c r="GL251" s="36"/>
      <c r="GM251" s="36"/>
      <c r="GN251" s="36"/>
      <c r="GO251" s="36"/>
      <c r="GP251" s="36"/>
      <c r="GQ251" s="36"/>
      <c r="GR251" s="36"/>
      <c r="GS251" s="36"/>
      <c r="GT251" s="36"/>
      <c r="GU251" s="36"/>
      <c r="GV251" s="37"/>
      <c r="GW251" s="44"/>
      <c r="GX251" s="36"/>
      <c r="GY251" s="36"/>
      <c r="GZ251" s="36"/>
      <c r="HA251" s="36"/>
      <c r="HB251" s="36"/>
      <c r="HC251" s="36"/>
      <c r="HD251" s="36"/>
      <c r="HE251" s="36"/>
      <c r="HF251" s="36"/>
      <c r="HG251" s="36"/>
      <c r="HH251" s="36"/>
      <c r="HI251" s="36"/>
      <c r="HJ251" s="36"/>
      <c r="HK251" s="36"/>
      <c r="HL251" s="36"/>
      <c r="HM251" s="37"/>
      <c r="HN251" s="44"/>
      <c r="HO251" s="36"/>
      <c r="HP251" s="36"/>
      <c r="HQ251" s="36"/>
      <c r="HR251" s="36"/>
      <c r="HS251" s="36"/>
      <c r="HT251" s="36"/>
      <c r="HU251" s="36"/>
      <c r="HV251" s="36"/>
      <c r="HW251" s="36"/>
      <c r="HX251" s="36"/>
      <c r="HY251" s="36"/>
      <c r="HZ251" s="36"/>
      <c r="IA251" s="36"/>
      <c r="IB251" s="36"/>
      <c r="IC251" s="36"/>
      <c r="ID251" s="37"/>
      <c r="IE251" s="44"/>
      <c r="IF251" s="36"/>
      <c r="IG251" s="36"/>
      <c r="IH251" s="36"/>
      <c r="II251" s="36"/>
      <c r="IJ251" s="36"/>
      <c r="IK251" s="36"/>
      <c r="IL251" s="36"/>
      <c r="IM251" s="36"/>
      <c r="IN251" s="36"/>
      <c r="IO251" s="36"/>
      <c r="IP251" s="36"/>
      <c r="IQ251" s="36"/>
      <c r="IR251" s="36"/>
      <c r="IS251" s="36"/>
      <c r="IT251" s="36"/>
      <c r="IU251" s="37"/>
      <c r="IV251" s="44"/>
      <c r="IW251" s="36"/>
      <c r="IX251" s="36"/>
      <c r="IY251" s="36"/>
      <c r="IZ251" s="36"/>
      <c r="JA251" s="36"/>
      <c r="JB251" s="36"/>
      <c r="JC251" s="36"/>
      <c r="JD251" s="36"/>
      <c r="JE251" s="36"/>
      <c r="JF251" s="36"/>
      <c r="JG251" s="36"/>
      <c r="JH251" s="36"/>
      <c r="JI251" s="36"/>
      <c r="JJ251" s="36"/>
      <c r="JK251" s="36"/>
      <c r="JL251" s="37"/>
      <c r="JM251" s="44"/>
      <c r="JN251" s="36"/>
      <c r="JO251" s="36"/>
      <c r="JP251" s="36"/>
      <c r="JQ251" s="36"/>
      <c r="JR251" s="36"/>
      <c r="JS251" s="36"/>
      <c r="JT251" s="36"/>
      <c r="JU251" s="36"/>
      <c r="JV251" s="36"/>
      <c r="JW251" s="36"/>
      <c r="JX251" s="36"/>
      <c r="JY251" s="36"/>
      <c r="JZ251" s="36"/>
      <c r="KA251" s="36"/>
      <c r="KB251" s="36"/>
      <c r="KC251" s="37"/>
      <c r="KD251" s="44"/>
      <c r="KE251" s="36"/>
      <c r="KF251" s="36"/>
      <c r="KG251" s="36"/>
      <c r="KH251" s="36"/>
      <c r="KI251" s="36"/>
      <c r="KJ251" s="36"/>
      <c r="KK251" s="36"/>
      <c r="KL251" s="36"/>
      <c r="KM251" s="36"/>
      <c r="KN251" s="36"/>
      <c r="KO251" s="36"/>
      <c r="KP251" s="36"/>
      <c r="KQ251" s="36"/>
      <c r="KR251" s="36"/>
      <c r="KS251" s="36"/>
      <c r="KT251" s="37"/>
      <c r="KU251" s="36"/>
    </row>
    <row r="252" ht="15.0" customHeight="1">
      <c r="A252" s="44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7"/>
      <c r="R252" s="44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7"/>
      <c r="AI252" s="44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  <c r="AU252" s="36"/>
      <c r="AV252" s="36"/>
      <c r="AW252" s="36"/>
      <c r="AX252" s="36"/>
      <c r="AY252" s="37"/>
      <c r="AZ252" s="44"/>
      <c r="BA252" s="36"/>
      <c r="BB252" s="36"/>
      <c r="BC252" s="36"/>
      <c r="BD252" s="36"/>
      <c r="BE252" s="36"/>
      <c r="BF252" s="36"/>
      <c r="BG252" s="36"/>
      <c r="BH252" s="36"/>
      <c r="BI252" s="36"/>
      <c r="BJ252" s="36"/>
      <c r="BK252" s="36"/>
      <c r="BL252" s="36"/>
      <c r="BM252" s="36"/>
      <c r="BN252" s="36"/>
      <c r="BO252" s="36"/>
      <c r="BP252" s="37"/>
      <c r="BQ252" s="44"/>
      <c r="BR252" s="36"/>
      <c r="BS252" s="36"/>
      <c r="BT252" s="36"/>
      <c r="BU252" s="36"/>
      <c r="BV252" s="36"/>
      <c r="BW252" s="36"/>
      <c r="BX252" s="36"/>
      <c r="BY252" s="36"/>
      <c r="BZ252" s="36"/>
      <c r="CA252" s="36"/>
      <c r="CB252" s="36"/>
      <c r="CC252" s="36"/>
      <c r="CD252" s="36"/>
      <c r="CE252" s="36"/>
      <c r="CF252" s="36"/>
      <c r="CG252" s="37"/>
      <c r="CH252" s="44"/>
      <c r="CI252" s="36"/>
      <c r="CJ252" s="36"/>
      <c r="CK252" s="36"/>
      <c r="CL252" s="36"/>
      <c r="CM252" s="36"/>
      <c r="CN252" s="36"/>
      <c r="CO252" s="36"/>
      <c r="CP252" s="36"/>
      <c r="CQ252" s="36"/>
      <c r="CR252" s="36"/>
      <c r="CS252" s="36"/>
      <c r="CT252" s="36"/>
      <c r="CU252" s="36"/>
      <c r="CV252" s="36"/>
      <c r="CW252" s="36"/>
      <c r="CX252" s="37"/>
      <c r="CY252" s="44"/>
      <c r="CZ252" s="36"/>
      <c r="DA252" s="36"/>
      <c r="DB252" s="36"/>
      <c r="DC252" s="36"/>
      <c r="DD252" s="36"/>
      <c r="DE252" s="36"/>
      <c r="DF252" s="36"/>
      <c r="DG252" s="36"/>
      <c r="DH252" s="36"/>
      <c r="DI252" s="36"/>
      <c r="DJ252" s="36"/>
      <c r="DK252" s="36"/>
      <c r="DL252" s="36"/>
      <c r="DM252" s="36"/>
      <c r="DN252" s="36"/>
      <c r="DO252" s="37"/>
      <c r="DP252" s="44"/>
      <c r="DQ252" s="36"/>
      <c r="DR252" s="36"/>
      <c r="DS252" s="36"/>
      <c r="DT252" s="36"/>
      <c r="DU252" s="36"/>
      <c r="DV252" s="36"/>
      <c r="DW252" s="36"/>
      <c r="DX252" s="36"/>
      <c r="DY252" s="36"/>
      <c r="DZ252" s="36"/>
      <c r="EA252" s="36"/>
      <c r="EB252" s="36"/>
      <c r="EC252" s="36"/>
      <c r="ED252" s="36"/>
      <c r="EE252" s="36"/>
      <c r="EF252" s="37"/>
      <c r="EG252" s="44"/>
      <c r="EH252" s="36"/>
      <c r="EI252" s="36"/>
      <c r="EJ252" s="36"/>
      <c r="EK252" s="36"/>
      <c r="EL252" s="36"/>
      <c r="EM252" s="36"/>
      <c r="EN252" s="36"/>
      <c r="EO252" s="36"/>
      <c r="EP252" s="36"/>
      <c r="EQ252" s="36"/>
      <c r="ER252" s="36"/>
      <c r="ES252" s="36"/>
      <c r="ET252" s="36"/>
      <c r="EU252" s="36"/>
      <c r="EV252" s="36"/>
      <c r="EW252" s="37"/>
      <c r="EX252" s="44"/>
      <c r="EY252" s="36"/>
      <c r="EZ252" s="36"/>
      <c r="FA252" s="36"/>
      <c r="FB252" s="36"/>
      <c r="FC252" s="36"/>
      <c r="FD252" s="36"/>
      <c r="FE252" s="36"/>
      <c r="FF252" s="36"/>
      <c r="FG252" s="36"/>
      <c r="FH252" s="36"/>
      <c r="FI252" s="36"/>
      <c r="FJ252" s="36"/>
      <c r="FK252" s="36"/>
      <c r="FL252" s="36"/>
      <c r="FM252" s="36"/>
      <c r="FN252" s="37"/>
      <c r="FO252" s="44"/>
      <c r="FP252" s="36"/>
      <c r="FQ252" s="36"/>
      <c r="FR252" s="36"/>
      <c r="FS252" s="36"/>
      <c r="FT252" s="36"/>
      <c r="FU252" s="36"/>
      <c r="FV252" s="36"/>
      <c r="FW252" s="36"/>
      <c r="FX252" s="36"/>
      <c r="FY252" s="36"/>
      <c r="FZ252" s="36"/>
      <c r="GA252" s="36"/>
      <c r="GB252" s="36"/>
      <c r="GC252" s="36"/>
      <c r="GD252" s="36"/>
      <c r="GE252" s="37"/>
      <c r="GF252" s="44"/>
      <c r="GG252" s="36"/>
      <c r="GH252" s="36"/>
      <c r="GI252" s="36"/>
      <c r="GJ252" s="36"/>
      <c r="GK252" s="36"/>
      <c r="GL252" s="36"/>
      <c r="GM252" s="36"/>
      <c r="GN252" s="36"/>
      <c r="GO252" s="36"/>
      <c r="GP252" s="36"/>
      <c r="GQ252" s="36"/>
      <c r="GR252" s="36"/>
      <c r="GS252" s="36"/>
      <c r="GT252" s="36"/>
      <c r="GU252" s="36"/>
      <c r="GV252" s="37"/>
      <c r="GW252" s="44"/>
      <c r="GX252" s="36"/>
      <c r="GY252" s="36"/>
      <c r="GZ252" s="36"/>
      <c r="HA252" s="36"/>
      <c r="HB252" s="36"/>
      <c r="HC252" s="36"/>
      <c r="HD252" s="36"/>
      <c r="HE252" s="36"/>
      <c r="HF252" s="36"/>
      <c r="HG252" s="36"/>
      <c r="HH252" s="36"/>
      <c r="HI252" s="36"/>
      <c r="HJ252" s="36"/>
      <c r="HK252" s="36"/>
      <c r="HL252" s="36"/>
      <c r="HM252" s="37"/>
      <c r="HN252" s="44"/>
      <c r="HO252" s="36"/>
      <c r="HP252" s="36"/>
      <c r="HQ252" s="36"/>
      <c r="HR252" s="36"/>
      <c r="HS252" s="36"/>
      <c r="HT252" s="36"/>
      <c r="HU252" s="36"/>
      <c r="HV252" s="36"/>
      <c r="HW252" s="36"/>
      <c r="HX252" s="36"/>
      <c r="HY252" s="36"/>
      <c r="HZ252" s="36"/>
      <c r="IA252" s="36"/>
      <c r="IB252" s="36"/>
      <c r="IC252" s="36"/>
      <c r="ID252" s="37"/>
      <c r="IE252" s="44"/>
      <c r="IF252" s="36"/>
      <c r="IG252" s="36"/>
      <c r="IH252" s="36"/>
      <c r="II252" s="36"/>
      <c r="IJ252" s="36"/>
      <c r="IK252" s="36"/>
      <c r="IL252" s="36"/>
      <c r="IM252" s="36"/>
      <c r="IN252" s="36"/>
      <c r="IO252" s="36"/>
      <c r="IP252" s="36"/>
      <c r="IQ252" s="36"/>
      <c r="IR252" s="36"/>
      <c r="IS252" s="36"/>
      <c r="IT252" s="36"/>
      <c r="IU252" s="37"/>
      <c r="IV252" s="44"/>
      <c r="IW252" s="36"/>
      <c r="IX252" s="36"/>
      <c r="IY252" s="36"/>
      <c r="IZ252" s="36"/>
      <c r="JA252" s="36"/>
      <c r="JB252" s="36"/>
      <c r="JC252" s="36"/>
      <c r="JD252" s="36"/>
      <c r="JE252" s="36"/>
      <c r="JF252" s="36"/>
      <c r="JG252" s="36"/>
      <c r="JH252" s="36"/>
      <c r="JI252" s="36"/>
      <c r="JJ252" s="36"/>
      <c r="JK252" s="36"/>
      <c r="JL252" s="37"/>
      <c r="JM252" s="44"/>
      <c r="JN252" s="36"/>
      <c r="JO252" s="36"/>
      <c r="JP252" s="36"/>
      <c r="JQ252" s="36"/>
      <c r="JR252" s="36"/>
      <c r="JS252" s="36"/>
      <c r="JT252" s="36"/>
      <c r="JU252" s="36"/>
      <c r="JV252" s="36"/>
      <c r="JW252" s="36"/>
      <c r="JX252" s="36"/>
      <c r="JY252" s="36"/>
      <c r="JZ252" s="36"/>
      <c r="KA252" s="36"/>
      <c r="KB252" s="36"/>
      <c r="KC252" s="37"/>
      <c r="KD252" s="44"/>
      <c r="KE252" s="36"/>
      <c r="KF252" s="36"/>
      <c r="KG252" s="36"/>
      <c r="KH252" s="36"/>
      <c r="KI252" s="36"/>
      <c r="KJ252" s="36"/>
      <c r="KK252" s="36"/>
      <c r="KL252" s="36"/>
      <c r="KM252" s="36"/>
      <c r="KN252" s="36"/>
      <c r="KO252" s="36"/>
      <c r="KP252" s="36"/>
      <c r="KQ252" s="36"/>
      <c r="KR252" s="36"/>
      <c r="KS252" s="36"/>
      <c r="KT252" s="37"/>
      <c r="KU252" s="36"/>
    </row>
    <row r="253" ht="15.0" customHeight="1">
      <c r="A253" s="44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7"/>
      <c r="R253" s="44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7"/>
      <c r="AI253" s="44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  <c r="AU253" s="36"/>
      <c r="AV253" s="36"/>
      <c r="AW253" s="36"/>
      <c r="AX253" s="36"/>
      <c r="AY253" s="37"/>
      <c r="AZ253" s="44"/>
      <c r="BA253" s="36"/>
      <c r="BB253" s="36"/>
      <c r="BC253" s="36"/>
      <c r="BD253" s="36"/>
      <c r="BE253" s="36"/>
      <c r="BF253" s="36"/>
      <c r="BG253" s="36"/>
      <c r="BH253" s="36"/>
      <c r="BI253" s="36"/>
      <c r="BJ253" s="36"/>
      <c r="BK253" s="36"/>
      <c r="BL253" s="36"/>
      <c r="BM253" s="36"/>
      <c r="BN253" s="36"/>
      <c r="BO253" s="36"/>
      <c r="BP253" s="37"/>
      <c r="BQ253" s="44"/>
      <c r="BR253" s="36"/>
      <c r="BS253" s="36"/>
      <c r="BT253" s="36"/>
      <c r="BU253" s="36"/>
      <c r="BV253" s="36"/>
      <c r="BW253" s="36"/>
      <c r="BX253" s="36"/>
      <c r="BY253" s="36"/>
      <c r="BZ253" s="36"/>
      <c r="CA253" s="36"/>
      <c r="CB253" s="36"/>
      <c r="CC253" s="36"/>
      <c r="CD253" s="36"/>
      <c r="CE253" s="36"/>
      <c r="CF253" s="36"/>
      <c r="CG253" s="37"/>
      <c r="CH253" s="44"/>
      <c r="CI253" s="36"/>
      <c r="CJ253" s="36"/>
      <c r="CK253" s="36"/>
      <c r="CL253" s="36"/>
      <c r="CM253" s="36"/>
      <c r="CN253" s="36"/>
      <c r="CO253" s="36"/>
      <c r="CP253" s="36"/>
      <c r="CQ253" s="36"/>
      <c r="CR253" s="36"/>
      <c r="CS253" s="36"/>
      <c r="CT253" s="36"/>
      <c r="CU253" s="36"/>
      <c r="CV253" s="36"/>
      <c r="CW253" s="36"/>
      <c r="CX253" s="37"/>
      <c r="CY253" s="44"/>
      <c r="CZ253" s="36"/>
      <c r="DA253" s="36"/>
      <c r="DB253" s="36"/>
      <c r="DC253" s="36"/>
      <c r="DD253" s="36"/>
      <c r="DE253" s="36"/>
      <c r="DF253" s="36"/>
      <c r="DG253" s="36"/>
      <c r="DH253" s="36"/>
      <c r="DI253" s="36"/>
      <c r="DJ253" s="36"/>
      <c r="DK253" s="36"/>
      <c r="DL253" s="36"/>
      <c r="DM253" s="36"/>
      <c r="DN253" s="36"/>
      <c r="DO253" s="37"/>
      <c r="DP253" s="44"/>
      <c r="DQ253" s="36"/>
      <c r="DR253" s="36"/>
      <c r="DS253" s="36"/>
      <c r="DT253" s="36"/>
      <c r="DU253" s="36"/>
      <c r="DV253" s="36"/>
      <c r="DW253" s="36"/>
      <c r="DX253" s="36"/>
      <c r="DY253" s="36"/>
      <c r="DZ253" s="36"/>
      <c r="EA253" s="36"/>
      <c r="EB253" s="36"/>
      <c r="EC253" s="36"/>
      <c r="ED253" s="36"/>
      <c r="EE253" s="36"/>
      <c r="EF253" s="37"/>
      <c r="EG253" s="44"/>
      <c r="EH253" s="36"/>
      <c r="EI253" s="36"/>
      <c r="EJ253" s="36"/>
      <c r="EK253" s="36"/>
      <c r="EL253" s="36"/>
      <c r="EM253" s="36"/>
      <c r="EN253" s="36"/>
      <c r="EO253" s="36"/>
      <c r="EP253" s="36"/>
      <c r="EQ253" s="36"/>
      <c r="ER253" s="36"/>
      <c r="ES253" s="36"/>
      <c r="ET253" s="36"/>
      <c r="EU253" s="36"/>
      <c r="EV253" s="36"/>
      <c r="EW253" s="37"/>
      <c r="EX253" s="44"/>
      <c r="EY253" s="36"/>
      <c r="EZ253" s="36"/>
      <c r="FA253" s="36"/>
      <c r="FB253" s="36"/>
      <c r="FC253" s="36"/>
      <c r="FD253" s="36"/>
      <c r="FE253" s="36"/>
      <c r="FF253" s="36"/>
      <c r="FG253" s="36"/>
      <c r="FH253" s="36"/>
      <c r="FI253" s="36"/>
      <c r="FJ253" s="36"/>
      <c r="FK253" s="36"/>
      <c r="FL253" s="36"/>
      <c r="FM253" s="36"/>
      <c r="FN253" s="37"/>
      <c r="FO253" s="44"/>
      <c r="FP253" s="36"/>
      <c r="FQ253" s="36"/>
      <c r="FR253" s="36"/>
      <c r="FS253" s="36"/>
      <c r="FT253" s="36"/>
      <c r="FU253" s="36"/>
      <c r="FV253" s="36"/>
      <c r="FW253" s="36"/>
      <c r="FX253" s="36"/>
      <c r="FY253" s="36"/>
      <c r="FZ253" s="36"/>
      <c r="GA253" s="36"/>
      <c r="GB253" s="36"/>
      <c r="GC253" s="36"/>
      <c r="GD253" s="36"/>
      <c r="GE253" s="37"/>
      <c r="GF253" s="44"/>
      <c r="GG253" s="36"/>
      <c r="GH253" s="36"/>
      <c r="GI253" s="36"/>
      <c r="GJ253" s="36"/>
      <c r="GK253" s="36"/>
      <c r="GL253" s="36"/>
      <c r="GM253" s="36"/>
      <c r="GN253" s="36"/>
      <c r="GO253" s="36"/>
      <c r="GP253" s="36"/>
      <c r="GQ253" s="36"/>
      <c r="GR253" s="36"/>
      <c r="GS253" s="36"/>
      <c r="GT253" s="36"/>
      <c r="GU253" s="36"/>
      <c r="GV253" s="37"/>
      <c r="GW253" s="44"/>
      <c r="GX253" s="36"/>
      <c r="GY253" s="36"/>
      <c r="GZ253" s="36"/>
      <c r="HA253" s="36"/>
      <c r="HB253" s="36"/>
      <c r="HC253" s="36"/>
      <c r="HD253" s="36"/>
      <c r="HE253" s="36"/>
      <c r="HF253" s="36"/>
      <c r="HG253" s="36"/>
      <c r="HH253" s="36"/>
      <c r="HI253" s="36"/>
      <c r="HJ253" s="36"/>
      <c r="HK253" s="36"/>
      <c r="HL253" s="36"/>
      <c r="HM253" s="37"/>
      <c r="HN253" s="44"/>
      <c r="HO253" s="36"/>
      <c r="HP253" s="36"/>
      <c r="HQ253" s="36"/>
      <c r="HR253" s="36"/>
      <c r="HS253" s="36"/>
      <c r="HT253" s="36"/>
      <c r="HU253" s="36"/>
      <c r="HV253" s="36"/>
      <c r="HW253" s="36"/>
      <c r="HX253" s="36"/>
      <c r="HY253" s="36"/>
      <c r="HZ253" s="36"/>
      <c r="IA253" s="36"/>
      <c r="IB253" s="36"/>
      <c r="IC253" s="36"/>
      <c r="ID253" s="37"/>
      <c r="IE253" s="44"/>
      <c r="IF253" s="36"/>
      <c r="IG253" s="36"/>
      <c r="IH253" s="36"/>
      <c r="II253" s="36"/>
      <c r="IJ253" s="36"/>
      <c r="IK253" s="36"/>
      <c r="IL253" s="36"/>
      <c r="IM253" s="36"/>
      <c r="IN253" s="36"/>
      <c r="IO253" s="36"/>
      <c r="IP253" s="36"/>
      <c r="IQ253" s="36"/>
      <c r="IR253" s="36"/>
      <c r="IS253" s="36"/>
      <c r="IT253" s="36"/>
      <c r="IU253" s="37"/>
      <c r="IV253" s="44"/>
      <c r="IW253" s="36"/>
      <c r="IX253" s="36"/>
      <c r="IY253" s="36"/>
      <c r="IZ253" s="36"/>
      <c r="JA253" s="36"/>
      <c r="JB253" s="36"/>
      <c r="JC253" s="36"/>
      <c r="JD253" s="36"/>
      <c r="JE253" s="36"/>
      <c r="JF253" s="36"/>
      <c r="JG253" s="36"/>
      <c r="JH253" s="36"/>
      <c r="JI253" s="36"/>
      <c r="JJ253" s="36"/>
      <c r="JK253" s="36"/>
      <c r="JL253" s="37"/>
      <c r="JM253" s="44"/>
      <c r="JN253" s="36"/>
      <c r="JO253" s="36"/>
      <c r="JP253" s="36"/>
      <c r="JQ253" s="36"/>
      <c r="JR253" s="36"/>
      <c r="JS253" s="36"/>
      <c r="JT253" s="36"/>
      <c r="JU253" s="36"/>
      <c r="JV253" s="36"/>
      <c r="JW253" s="36"/>
      <c r="JX253" s="36"/>
      <c r="JY253" s="36"/>
      <c r="JZ253" s="36"/>
      <c r="KA253" s="36"/>
      <c r="KB253" s="36"/>
      <c r="KC253" s="37"/>
      <c r="KD253" s="44"/>
      <c r="KE253" s="36"/>
      <c r="KF253" s="36"/>
      <c r="KG253" s="36"/>
      <c r="KH253" s="36"/>
      <c r="KI253" s="36"/>
      <c r="KJ253" s="36"/>
      <c r="KK253" s="36"/>
      <c r="KL253" s="36"/>
      <c r="KM253" s="36"/>
      <c r="KN253" s="36"/>
      <c r="KO253" s="36"/>
      <c r="KP253" s="36"/>
      <c r="KQ253" s="36"/>
      <c r="KR253" s="36"/>
      <c r="KS253" s="36"/>
      <c r="KT253" s="37"/>
      <c r="KU253" s="36"/>
    </row>
    <row r="254" ht="15.0" customHeight="1">
      <c r="A254" s="44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7"/>
      <c r="R254" s="44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7"/>
      <c r="AI254" s="44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  <c r="AU254" s="36"/>
      <c r="AV254" s="36"/>
      <c r="AW254" s="36"/>
      <c r="AX254" s="36"/>
      <c r="AY254" s="37"/>
      <c r="AZ254" s="44"/>
      <c r="BA254" s="36"/>
      <c r="BB254" s="36"/>
      <c r="BC254" s="36"/>
      <c r="BD254" s="36"/>
      <c r="BE254" s="36"/>
      <c r="BF254" s="36"/>
      <c r="BG254" s="36"/>
      <c r="BH254" s="36"/>
      <c r="BI254" s="36"/>
      <c r="BJ254" s="36"/>
      <c r="BK254" s="36"/>
      <c r="BL254" s="36"/>
      <c r="BM254" s="36"/>
      <c r="BN254" s="36"/>
      <c r="BO254" s="36"/>
      <c r="BP254" s="37"/>
      <c r="BQ254" s="44"/>
      <c r="BR254" s="36"/>
      <c r="BS254" s="36"/>
      <c r="BT254" s="36"/>
      <c r="BU254" s="36"/>
      <c r="BV254" s="36"/>
      <c r="BW254" s="36"/>
      <c r="BX254" s="36"/>
      <c r="BY254" s="36"/>
      <c r="BZ254" s="36"/>
      <c r="CA254" s="36"/>
      <c r="CB254" s="36"/>
      <c r="CC254" s="36"/>
      <c r="CD254" s="36"/>
      <c r="CE254" s="36"/>
      <c r="CF254" s="36"/>
      <c r="CG254" s="37"/>
      <c r="CH254" s="44"/>
      <c r="CI254" s="36"/>
      <c r="CJ254" s="36"/>
      <c r="CK254" s="36"/>
      <c r="CL254" s="36"/>
      <c r="CM254" s="36"/>
      <c r="CN254" s="36"/>
      <c r="CO254" s="36"/>
      <c r="CP254" s="36"/>
      <c r="CQ254" s="36"/>
      <c r="CR254" s="36"/>
      <c r="CS254" s="36"/>
      <c r="CT254" s="36"/>
      <c r="CU254" s="36"/>
      <c r="CV254" s="36"/>
      <c r="CW254" s="36"/>
      <c r="CX254" s="37"/>
      <c r="CY254" s="44"/>
      <c r="CZ254" s="36"/>
      <c r="DA254" s="36"/>
      <c r="DB254" s="36"/>
      <c r="DC254" s="36"/>
      <c r="DD254" s="36"/>
      <c r="DE254" s="36"/>
      <c r="DF254" s="36"/>
      <c r="DG254" s="36"/>
      <c r="DH254" s="36"/>
      <c r="DI254" s="36"/>
      <c r="DJ254" s="36"/>
      <c r="DK254" s="36"/>
      <c r="DL254" s="36"/>
      <c r="DM254" s="36"/>
      <c r="DN254" s="36"/>
      <c r="DO254" s="37"/>
      <c r="DP254" s="44"/>
      <c r="DQ254" s="36"/>
      <c r="DR254" s="36"/>
      <c r="DS254" s="36"/>
      <c r="DT254" s="36"/>
      <c r="DU254" s="36"/>
      <c r="DV254" s="36"/>
      <c r="DW254" s="36"/>
      <c r="DX254" s="36"/>
      <c r="DY254" s="36"/>
      <c r="DZ254" s="36"/>
      <c r="EA254" s="36"/>
      <c r="EB254" s="36"/>
      <c r="EC254" s="36"/>
      <c r="ED254" s="36"/>
      <c r="EE254" s="36"/>
      <c r="EF254" s="37"/>
      <c r="EG254" s="44"/>
      <c r="EH254" s="36"/>
      <c r="EI254" s="36"/>
      <c r="EJ254" s="36"/>
      <c r="EK254" s="36"/>
      <c r="EL254" s="36"/>
      <c r="EM254" s="36"/>
      <c r="EN254" s="36"/>
      <c r="EO254" s="36"/>
      <c r="EP254" s="36"/>
      <c r="EQ254" s="36"/>
      <c r="ER254" s="36"/>
      <c r="ES254" s="36"/>
      <c r="ET254" s="36"/>
      <c r="EU254" s="36"/>
      <c r="EV254" s="36"/>
      <c r="EW254" s="37"/>
      <c r="EX254" s="44"/>
      <c r="EY254" s="36"/>
      <c r="EZ254" s="36"/>
      <c r="FA254" s="36"/>
      <c r="FB254" s="36"/>
      <c r="FC254" s="36"/>
      <c r="FD254" s="36"/>
      <c r="FE254" s="36"/>
      <c r="FF254" s="36"/>
      <c r="FG254" s="36"/>
      <c r="FH254" s="36"/>
      <c r="FI254" s="36"/>
      <c r="FJ254" s="36"/>
      <c r="FK254" s="36"/>
      <c r="FL254" s="36"/>
      <c r="FM254" s="36"/>
      <c r="FN254" s="37"/>
      <c r="FO254" s="44"/>
      <c r="FP254" s="36"/>
      <c r="FQ254" s="36"/>
      <c r="FR254" s="36"/>
      <c r="FS254" s="36"/>
      <c r="FT254" s="36"/>
      <c r="FU254" s="36"/>
      <c r="FV254" s="36"/>
      <c r="FW254" s="36"/>
      <c r="FX254" s="36"/>
      <c r="FY254" s="36"/>
      <c r="FZ254" s="36"/>
      <c r="GA254" s="36"/>
      <c r="GB254" s="36"/>
      <c r="GC254" s="36"/>
      <c r="GD254" s="36"/>
      <c r="GE254" s="37"/>
      <c r="GF254" s="44"/>
      <c r="GG254" s="36"/>
      <c r="GH254" s="36"/>
      <c r="GI254" s="36"/>
      <c r="GJ254" s="36"/>
      <c r="GK254" s="36"/>
      <c r="GL254" s="36"/>
      <c r="GM254" s="36"/>
      <c r="GN254" s="36"/>
      <c r="GO254" s="36"/>
      <c r="GP254" s="36"/>
      <c r="GQ254" s="36"/>
      <c r="GR254" s="36"/>
      <c r="GS254" s="36"/>
      <c r="GT254" s="36"/>
      <c r="GU254" s="36"/>
      <c r="GV254" s="37"/>
      <c r="GW254" s="44"/>
      <c r="GX254" s="36"/>
      <c r="GY254" s="36"/>
      <c r="GZ254" s="36"/>
      <c r="HA254" s="36"/>
      <c r="HB254" s="36"/>
      <c r="HC254" s="36"/>
      <c r="HD254" s="36"/>
      <c r="HE254" s="36"/>
      <c r="HF254" s="36"/>
      <c r="HG254" s="36"/>
      <c r="HH254" s="36"/>
      <c r="HI254" s="36"/>
      <c r="HJ254" s="36"/>
      <c r="HK254" s="36"/>
      <c r="HL254" s="36"/>
      <c r="HM254" s="37"/>
      <c r="HN254" s="44"/>
      <c r="HO254" s="36"/>
      <c r="HP254" s="36"/>
      <c r="HQ254" s="36"/>
      <c r="HR254" s="36"/>
      <c r="HS254" s="36"/>
      <c r="HT254" s="36"/>
      <c r="HU254" s="36"/>
      <c r="HV254" s="36"/>
      <c r="HW254" s="36"/>
      <c r="HX254" s="36"/>
      <c r="HY254" s="36"/>
      <c r="HZ254" s="36"/>
      <c r="IA254" s="36"/>
      <c r="IB254" s="36"/>
      <c r="IC254" s="36"/>
      <c r="ID254" s="37"/>
      <c r="IE254" s="44"/>
      <c r="IF254" s="36"/>
      <c r="IG254" s="36"/>
      <c r="IH254" s="36"/>
      <c r="II254" s="36"/>
      <c r="IJ254" s="36"/>
      <c r="IK254" s="36"/>
      <c r="IL254" s="36"/>
      <c r="IM254" s="36"/>
      <c r="IN254" s="36"/>
      <c r="IO254" s="36"/>
      <c r="IP254" s="36"/>
      <c r="IQ254" s="36"/>
      <c r="IR254" s="36"/>
      <c r="IS254" s="36"/>
      <c r="IT254" s="36"/>
      <c r="IU254" s="37"/>
      <c r="IV254" s="44"/>
      <c r="IW254" s="36"/>
      <c r="IX254" s="36"/>
      <c r="IY254" s="36"/>
      <c r="IZ254" s="36"/>
      <c r="JA254" s="36"/>
      <c r="JB254" s="36"/>
      <c r="JC254" s="36"/>
      <c r="JD254" s="36"/>
      <c r="JE254" s="36"/>
      <c r="JF254" s="36"/>
      <c r="JG254" s="36"/>
      <c r="JH254" s="36"/>
      <c r="JI254" s="36"/>
      <c r="JJ254" s="36"/>
      <c r="JK254" s="36"/>
      <c r="JL254" s="37"/>
      <c r="JM254" s="44"/>
      <c r="JN254" s="36"/>
      <c r="JO254" s="36"/>
      <c r="JP254" s="36"/>
      <c r="JQ254" s="36"/>
      <c r="JR254" s="36"/>
      <c r="JS254" s="36"/>
      <c r="JT254" s="36"/>
      <c r="JU254" s="36"/>
      <c r="JV254" s="36"/>
      <c r="JW254" s="36"/>
      <c r="JX254" s="36"/>
      <c r="JY254" s="36"/>
      <c r="JZ254" s="36"/>
      <c r="KA254" s="36"/>
      <c r="KB254" s="36"/>
      <c r="KC254" s="37"/>
      <c r="KD254" s="44"/>
      <c r="KE254" s="36"/>
      <c r="KF254" s="36"/>
      <c r="KG254" s="36"/>
      <c r="KH254" s="36"/>
      <c r="KI254" s="36"/>
      <c r="KJ254" s="36"/>
      <c r="KK254" s="36"/>
      <c r="KL254" s="36"/>
      <c r="KM254" s="36"/>
      <c r="KN254" s="36"/>
      <c r="KO254" s="36"/>
      <c r="KP254" s="36"/>
      <c r="KQ254" s="36"/>
      <c r="KR254" s="36"/>
      <c r="KS254" s="36"/>
      <c r="KT254" s="37"/>
      <c r="KU254" s="36"/>
    </row>
    <row r="255" ht="15.0" customHeight="1">
      <c r="A255" s="44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7"/>
      <c r="R255" s="44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7"/>
      <c r="AI255" s="44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  <c r="AU255" s="36"/>
      <c r="AV255" s="36"/>
      <c r="AW255" s="36"/>
      <c r="AX255" s="36"/>
      <c r="AY255" s="37"/>
      <c r="AZ255" s="44"/>
      <c r="BA255" s="36"/>
      <c r="BB255" s="36"/>
      <c r="BC255" s="36"/>
      <c r="BD255" s="36"/>
      <c r="BE255" s="36"/>
      <c r="BF255" s="36"/>
      <c r="BG255" s="36"/>
      <c r="BH255" s="36"/>
      <c r="BI255" s="36"/>
      <c r="BJ255" s="36"/>
      <c r="BK255" s="36"/>
      <c r="BL255" s="36"/>
      <c r="BM255" s="36"/>
      <c r="BN255" s="36"/>
      <c r="BO255" s="36"/>
      <c r="BP255" s="37"/>
      <c r="BQ255" s="44"/>
      <c r="BR255" s="36"/>
      <c r="BS255" s="36"/>
      <c r="BT255" s="36"/>
      <c r="BU255" s="36"/>
      <c r="BV255" s="36"/>
      <c r="BW255" s="36"/>
      <c r="BX255" s="36"/>
      <c r="BY255" s="36"/>
      <c r="BZ255" s="36"/>
      <c r="CA255" s="36"/>
      <c r="CB255" s="36"/>
      <c r="CC255" s="36"/>
      <c r="CD255" s="36"/>
      <c r="CE255" s="36"/>
      <c r="CF255" s="36"/>
      <c r="CG255" s="37"/>
      <c r="CH255" s="44"/>
      <c r="CI255" s="36"/>
      <c r="CJ255" s="36"/>
      <c r="CK255" s="36"/>
      <c r="CL255" s="36"/>
      <c r="CM255" s="36"/>
      <c r="CN255" s="36"/>
      <c r="CO255" s="36"/>
      <c r="CP255" s="36"/>
      <c r="CQ255" s="36"/>
      <c r="CR255" s="36"/>
      <c r="CS255" s="36"/>
      <c r="CT255" s="36"/>
      <c r="CU255" s="36"/>
      <c r="CV255" s="36"/>
      <c r="CW255" s="36"/>
      <c r="CX255" s="37"/>
      <c r="CY255" s="44"/>
      <c r="CZ255" s="36"/>
      <c r="DA255" s="36"/>
      <c r="DB255" s="36"/>
      <c r="DC255" s="36"/>
      <c r="DD255" s="36"/>
      <c r="DE255" s="36"/>
      <c r="DF255" s="36"/>
      <c r="DG255" s="36"/>
      <c r="DH255" s="36"/>
      <c r="DI255" s="36"/>
      <c r="DJ255" s="36"/>
      <c r="DK255" s="36"/>
      <c r="DL255" s="36"/>
      <c r="DM255" s="36"/>
      <c r="DN255" s="36"/>
      <c r="DO255" s="37"/>
      <c r="DP255" s="44"/>
      <c r="DQ255" s="36"/>
      <c r="DR255" s="36"/>
      <c r="DS255" s="36"/>
      <c r="DT255" s="36"/>
      <c r="DU255" s="36"/>
      <c r="DV255" s="36"/>
      <c r="DW255" s="36"/>
      <c r="DX255" s="36"/>
      <c r="DY255" s="36"/>
      <c r="DZ255" s="36"/>
      <c r="EA255" s="36"/>
      <c r="EB255" s="36"/>
      <c r="EC255" s="36"/>
      <c r="ED255" s="36"/>
      <c r="EE255" s="36"/>
      <c r="EF255" s="37"/>
      <c r="EG255" s="44"/>
      <c r="EH255" s="36"/>
      <c r="EI255" s="36"/>
      <c r="EJ255" s="36"/>
      <c r="EK255" s="36"/>
      <c r="EL255" s="36"/>
      <c r="EM255" s="36"/>
      <c r="EN255" s="36"/>
      <c r="EO255" s="36"/>
      <c r="EP255" s="36"/>
      <c r="EQ255" s="36"/>
      <c r="ER255" s="36"/>
      <c r="ES255" s="36"/>
      <c r="ET255" s="36"/>
      <c r="EU255" s="36"/>
      <c r="EV255" s="36"/>
      <c r="EW255" s="37"/>
      <c r="EX255" s="44"/>
      <c r="EY255" s="36"/>
      <c r="EZ255" s="36"/>
      <c r="FA255" s="36"/>
      <c r="FB255" s="36"/>
      <c r="FC255" s="36"/>
      <c r="FD255" s="36"/>
      <c r="FE255" s="36"/>
      <c r="FF255" s="36"/>
      <c r="FG255" s="36"/>
      <c r="FH255" s="36"/>
      <c r="FI255" s="36"/>
      <c r="FJ255" s="36"/>
      <c r="FK255" s="36"/>
      <c r="FL255" s="36"/>
      <c r="FM255" s="36"/>
      <c r="FN255" s="37"/>
      <c r="FO255" s="44"/>
      <c r="FP255" s="36"/>
      <c r="FQ255" s="36"/>
      <c r="FR255" s="36"/>
      <c r="FS255" s="36"/>
      <c r="FT255" s="36"/>
      <c r="FU255" s="36"/>
      <c r="FV255" s="36"/>
      <c r="FW255" s="36"/>
      <c r="FX255" s="36"/>
      <c r="FY255" s="36"/>
      <c r="FZ255" s="36"/>
      <c r="GA255" s="36"/>
      <c r="GB255" s="36"/>
      <c r="GC255" s="36"/>
      <c r="GD255" s="36"/>
      <c r="GE255" s="37"/>
      <c r="GF255" s="44"/>
      <c r="GG255" s="36"/>
      <c r="GH255" s="36"/>
      <c r="GI255" s="36"/>
      <c r="GJ255" s="36"/>
      <c r="GK255" s="36"/>
      <c r="GL255" s="36"/>
      <c r="GM255" s="36"/>
      <c r="GN255" s="36"/>
      <c r="GO255" s="36"/>
      <c r="GP255" s="36"/>
      <c r="GQ255" s="36"/>
      <c r="GR255" s="36"/>
      <c r="GS255" s="36"/>
      <c r="GT255" s="36"/>
      <c r="GU255" s="36"/>
      <c r="GV255" s="37"/>
      <c r="GW255" s="44"/>
      <c r="GX255" s="36"/>
      <c r="GY255" s="36"/>
      <c r="GZ255" s="36"/>
      <c r="HA255" s="36"/>
      <c r="HB255" s="36"/>
      <c r="HC255" s="36"/>
      <c r="HD255" s="36"/>
      <c r="HE255" s="36"/>
      <c r="HF255" s="36"/>
      <c r="HG255" s="36"/>
      <c r="HH255" s="36"/>
      <c r="HI255" s="36"/>
      <c r="HJ255" s="36"/>
      <c r="HK255" s="36"/>
      <c r="HL255" s="36"/>
      <c r="HM255" s="37"/>
      <c r="HN255" s="44"/>
      <c r="HO255" s="36"/>
      <c r="HP255" s="36"/>
      <c r="HQ255" s="36"/>
      <c r="HR255" s="36"/>
      <c r="HS255" s="36"/>
      <c r="HT255" s="36"/>
      <c r="HU255" s="36"/>
      <c r="HV255" s="36"/>
      <c r="HW255" s="36"/>
      <c r="HX255" s="36"/>
      <c r="HY255" s="36"/>
      <c r="HZ255" s="36"/>
      <c r="IA255" s="36"/>
      <c r="IB255" s="36"/>
      <c r="IC255" s="36"/>
      <c r="ID255" s="37"/>
      <c r="IE255" s="44"/>
      <c r="IF255" s="36"/>
      <c r="IG255" s="36"/>
      <c r="IH255" s="36"/>
      <c r="II255" s="36"/>
      <c r="IJ255" s="36"/>
      <c r="IK255" s="36"/>
      <c r="IL255" s="36"/>
      <c r="IM255" s="36"/>
      <c r="IN255" s="36"/>
      <c r="IO255" s="36"/>
      <c r="IP255" s="36"/>
      <c r="IQ255" s="36"/>
      <c r="IR255" s="36"/>
      <c r="IS255" s="36"/>
      <c r="IT255" s="36"/>
      <c r="IU255" s="37"/>
      <c r="IV255" s="44"/>
      <c r="IW255" s="36"/>
      <c r="IX255" s="36"/>
      <c r="IY255" s="36"/>
      <c r="IZ255" s="36"/>
      <c r="JA255" s="36"/>
      <c r="JB255" s="36"/>
      <c r="JC255" s="36"/>
      <c r="JD255" s="36"/>
      <c r="JE255" s="36"/>
      <c r="JF255" s="36"/>
      <c r="JG255" s="36"/>
      <c r="JH255" s="36"/>
      <c r="JI255" s="36"/>
      <c r="JJ255" s="36"/>
      <c r="JK255" s="36"/>
      <c r="JL255" s="37"/>
      <c r="JM255" s="44"/>
      <c r="JN255" s="36"/>
      <c r="JO255" s="36"/>
      <c r="JP255" s="36"/>
      <c r="JQ255" s="36"/>
      <c r="JR255" s="36"/>
      <c r="JS255" s="36"/>
      <c r="JT255" s="36"/>
      <c r="JU255" s="36"/>
      <c r="JV255" s="36"/>
      <c r="JW255" s="36"/>
      <c r="JX255" s="36"/>
      <c r="JY255" s="36"/>
      <c r="JZ255" s="36"/>
      <c r="KA255" s="36"/>
      <c r="KB255" s="36"/>
      <c r="KC255" s="37"/>
      <c r="KD255" s="44"/>
      <c r="KE255" s="36"/>
      <c r="KF255" s="36"/>
      <c r="KG255" s="36"/>
      <c r="KH255" s="36"/>
      <c r="KI255" s="36"/>
      <c r="KJ255" s="36"/>
      <c r="KK255" s="36"/>
      <c r="KL255" s="36"/>
      <c r="KM255" s="36"/>
      <c r="KN255" s="36"/>
      <c r="KO255" s="36"/>
      <c r="KP255" s="36"/>
      <c r="KQ255" s="36"/>
      <c r="KR255" s="36"/>
      <c r="KS255" s="36"/>
      <c r="KT255" s="37"/>
      <c r="KU255" s="36"/>
    </row>
    <row r="256" ht="15.0" customHeight="1">
      <c r="A256" s="44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7"/>
      <c r="R256" s="44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7"/>
      <c r="AI256" s="44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  <c r="AU256" s="36"/>
      <c r="AV256" s="36"/>
      <c r="AW256" s="36"/>
      <c r="AX256" s="36"/>
      <c r="AY256" s="37"/>
      <c r="AZ256" s="44"/>
      <c r="BA256" s="36"/>
      <c r="BB256" s="36"/>
      <c r="BC256" s="36"/>
      <c r="BD256" s="36"/>
      <c r="BE256" s="36"/>
      <c r="BF256" s="36"/>
      <c r="BG256" s="36"/>
      <c r="BH256" s="36"/>
      <c r="BI256" s="36"/>
      <c r="BJ256" s="36"/>
      <c r="BK256" s="36"/>
      <c r="BL256" s="36"/>
      <c r="BM256" s="36"/>
      <c r="BN256" s="36"/>
      <c r="BO256" s="36"/>
      <c r="BP256" s="37"/>
      <c r="BQ256" s="44"/>
      <c r="BR256" s="36"/>
      <c r="BS256" s="36"/>
      <c r="BT256" s="36"/>
      <c r="BU256" s="36"/>
      <c r="BV256" s="36"/>
      <c r="BW256" s="36"/>
      <c r="BX256" s="36"/>
      <c r="BY256" s="36"/>
      <c r="BZ256" s="36"/>
      <c r="CA256" s="36"/>
      <c r="CB256" s="36"/>
      <c r="CC256" s="36"/>
      <c r="CD256" s="36"/>
      <c r="CE256" s="36"/>
      <c r="CF256" s="36"/>
      <c r="CG256" s="37"/>
      <c r="CH256" s="44"/>
      <c r="CI256" s="36"/>
      <c r="CJ256" s="36"/>
      <c r="CK256" s="36"/>
      <c r="CL256" s="36"/>
      <c r="CM256" s="36"/>
      <c r="CN256" s="36"/>
      <c r="CO256" s="36"/>
      <c r="CP256" s="36"/>
      <c r="CQ256" s="36"/>
      <c r="CR256" s="36"/>
      <c r="CS256" s="36"/>
      <c r="CT256" s="36"/>
      <c r="CU256" s="36"/>
      <c r="CV256" s="36"/>
      <c r="CW256" s="36"/>
      <c r="CX256" s="37"/>
      <c r="CY256" s="44"/>
      <c r="CZ256" s="36"/>
      <c r="DA256" s="36"/>
      <c r="DB256" s="36"/>
      <c r="DC256" s="36"/>
      <c r="DD256" s="36"/>
      <c r="DE256" s="36"/>
      <c r="DF256" s="36"/>
      <c r="DG256" s="36"/>
      <c r="DH256" s="36"/>
      <c r="DI256" s="36"/>
      <c r="DJ256" s="36"/>
      <c r="DK256" s="36"/>
      <c r="DL256" s="36"/>
      <c r="DM256" s="36"/>
      <c r="DN256" s="36"/>
      <c r="DO256" s="37"/>
      <c r="DP256" s="44"/>
      <c r="DQ256" s="36"/>
      <c r="DR256" s="36"/>
      <c r="DS256" s="36"/>
      <c r="DT256" s="36"/>
      <c r="DU256" s="36"/>
      <c r="DV256" s="36"/>
      <c r="DW256" s="36"/>
      <c r="DX256" s="36"/>
      <c r="DY256" s="36"/>
      <c r="DZ256" s="36"/>
      <c r="EA256" s="36"/>
      <c r="EB256" s="36"/>
      <c r="EC256" s="36"/>
      <c r="ED256" s="36"/>
      <c r="EE256" s="36"/>
      <c r="EF256" s="37"/>
      <c r="EG256" s="44"/>
      <c r="EH256" s="36"/>
      <c r="EI256" s="36"/>
      <c r="EJ256" s="36"/>
      <c r="EK256" s="36"/>
      <c r="EL256" s="36"/>
      <c r="EM256" s="36"/>
      <c r="EN256" s="36"/>
      <c r="EO256" s="36"/>
      <c r="EP256" s="36"/>
      <c r="EQ256" s="36"/>
      <c r="ER256" s="36"/>
      <c r="ES256" s="36"/>
      <c r="ET256" s="36"/>
      <c r="EU256" s="36"/>
      <c r="EV256" s="36"/>
      <c r="EW256" s="37"/>
      <c r="EX256" s="44"/>
      <c r="EY256" s="36"/>
      <c r="EZ256" s="36"/>
      <c r="FA256" s="36"/>
      <c r="FB256" s="36"/>
      <c r="FC256" s="36"/>
      <c r="FD256" s="36"/>
      <c r="FE256" s="36"/>
      <c r="FF256" s="36"/>
      <c r="FG256" s="36"/>
      <c r="FH256" s="36"/>
      <c r="FI256" s="36"/>
      <c r="FJ256" s="36"/>
      <c r="FK256" s="36"/>
      <c r="FL256" s="36"/>
      <c r="FM256" s="36"/>
      <c r="FN256" s="37"/>
      <c r="FO256" s="44"/>
      <c r="FP256" s="36"/>
      <c r="FQ256" s="36"/>
      <c r="FR256" s="36"/>
      <c r="FS256" s="36"/>
      <c r="FT256" s="36"/>
      <c r="FU256" s="36"/>
      <c r="FV256" s="36"/>
      <c r="FW256" s="36"/>
      <c r="FX256" s="36"/>
      <c r="FY256" s="36"/>
      <c r="FZ256" s="36"/>
      <c r="GA256" s="36"/>
      <c r="GB256" s="36"/>
      <c r="GC256" s="36"/>
      <c r="GD256" s="36"/>
      <c r="GE256" s="37"/>
      <c r="GF256" s="44"/>
      <c r="GG256" s="36"/>
      <c r="GH256" s="36"/>
      <c r="GI256" s="36"/>
      <c r="GJ256" s="36"/>
      <c r="GK256" s="36"/>
      <c r="GL256" s="36"/>
      <c r="GM256" s="36"/>
      <c r="GN256" s="36"/>
      <c r="GO256" s="36"/>
      <c r="GP256" s="36"/>
      <c r="GQ256" s="36"/>
      <c r="GR256" s="36"/>
      <c r="GS256" s="36"/>
      <c r="GT256" s="36"/>
      <c r="GU256" s="36"/>
      <c r="GV256" s="37"/>
      <c r="GW256" s="44"/>
      <c r="GX256" s="36"/>
      <c r="GY256" s="36"/>
      <c r="GZ256" s="36"/>
      <c r="HA256" s="36"/>
      <c r="HB256" s="36"/>
      <c r="HC256" s="36"/>
      <c r="HD256" s="36"/>
      <c r="HE256" s="36"/>
      <c r="HF256" s="36"/>
      <c r="HG256" s="36"/>
      <c r="HH256" s="36"/>
      <c r="HI256" s="36"/>
      <c r="HJ256" s="36"/>
      <c r="HK256" s="36"/>
      <c r="HL256" s="36"/>
      <c r="HM256" s="37"/>
      <c r="HN256" s="44"/>
      <c r="HO256" s="36"/>
      <c r="HP256" s="36"/>
      <c r="HQ256" s="36"/>
      <c r="HR256" s="36"/>
      <c r="HS256" s="36"/>
      <c r="HT256" s="36"/>
      <c r="HU256" s="36"/>
      <c r="HV256" s="36"/>
      <c r="HW256" s="36"/>
      <c r="HX256" s="36"/>
      <c r="HY256" s="36"/>
      <c r="HZ256" s="36"/>
      <c r="IA256" s="36"/>
      <c r="IB256" s="36"/>
      <c r="IC256" s="36"/>
      <c r="ID256" s="37"/>
      <c r="IE256" s="44"/>
      <c r="IF256" s="36"/>
      <c r="IG256" s="36"/>
      <c r="IH256" s="36"/>
      <c r="II256" s="36"/>
      <c r="IJ256" s="36"/>
      <c r="IK256" s="36"/>
      <c r="IL256" s="36"/>
      <c r="IM256" s="36"/>
      <c r="IN256" s="36"/>
      <c r="IO256" s="36"/>
      <c r="IP256" s="36"/>
      <c r="IQ256" s="36"/>
      <c r="IR256" s="36"/>
      <c r="IS256" s="36"/>
      <c r="IT256" s="36"/>
      <c r="IU256" s="37"/>
      <c r="IV256" s="44"/>
      <c r="IW256" s="36"/>
      <c r="IX256" s="36"/>
      <c r="IY256" s="36"/>
      <c r="IZ256" s="36"/>
      <c r="JA256" s="36"/>
      <c r="JB256" s="36"/>
      <c r="JC256" s="36"/>
      <c r="JD256" s="36"/>
      <c r="JE256" s="36"/>
      <c r="JF256" s="36"/>
      <c r="JG256" s="36"/>
      <c r="JH256" s="36"/>
      <c r="JI256" s="36"/>
      <c r="JJ256" s="36"/>
      <c r="JK256" s="36"/>
      <c r="JL256" s="37"/>
      <c r="JM256" s="44"/>
      <c r="JN256" s="36"/>
      <c r="JO256" s="36"/>
      <c r="JP256" s="36"/>
      <c r="JQ256" s="36"/>
      <c r="JR256" s="36"/>
      <c r="JS256" s="36"/>
      <c r="JT256" s="36"/>
      <c r="JU256" s="36"/>
      <c r="JV256" s="36"/>
      <c r="JW256" s="36"/>
      <c r="JX256" s="36"/>
      <c r="JY256" s="36"/>
      <c r="JZ256" s="36"/>
      <c r="KA256" s="36"/>
      <c r="KB256" s="36"/>
      <c r="KC256" s="37"/>
      <c r="KD256" s="44"/>
      <c r="KE256" s="36"/>
      <c r="KF256" s="36"/>
      <c r="KG256" s="36"/>
      <c r="KH256" s="36"/>
      <c r="KI256" s="36"/>
      <c r="KJ256" s="36"/>
      <c r="KK256" s="36"/>
      <c r="KL256" s="36"/>
      <c r="KM256" s="36"/>
      <c r="KN256" s="36"/>
      <c r="KO256" s="36"/>
      <c r="KP256" s="36"/>
      <c r="KQ256" s="36"/>
      <c r="KR256" s="36"/>
      <c r="KS256" s="36"/>
      <c r="KT256" s="37"/>
      <c r="KU256" s="36"/>
    </row>
    <row r="257" ht="15.0" customHeight="1">
      <c r="A257" s="44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7"/>
      <c r="R257" s="44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7"/>
      <c r="AI257" s="44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  <c r="AU257" s="36"/>
      <c r="AV257" s="36"/>
      <c r="AW257" s="36"/>
      <c r="AX257" s="36"/>
      <c r="AY257" s="37"/>
      <c r="AZ257" s="44"/>
      <c r="BA257" s="36"/>
      <c r="BB257" s="36"/>
      <c r="BC257" s="36"/>
      <c r="BD257" s="36"/>
      <c r="BE257" s="36"/>
      <c r="BF257" s="36"/>
      <c r="BG257" s="36"/>
      <c r="BH257" s="36"/>
      <c r="BI257" s="36"/>
      <c r="BJ257" s="36"/>
      <c r="BK257" s="36"/>
      <c r="BL257" s="36"/>
      <c r="BM257" s="36"/>
      <c r="BN257" s="36"/>
      <c r="BO257" s="36"/>
      <c r="BP257" s="37"/>
      <c r="BQ257" s="44"/>
      <c r="BR257" s="36"/>
      <c r="BS257" s="36"/>
      <c r="BT257" s="36"/>
      <c r="BU257" s="36"/>
      <c r="BV257" s="36"/>
      <c r="BW257" s="36"/>
      <c r="BX257" s="36"/>
      <c r="BY257" s="36"/>
      <c r="BZ257" s="36"/>
      <c r="CA257" s="36"/>
      <c r="CB257" s="36"/>
      <c r="CC257" s="36"/>
      <c r="CD257" s="36"/>
      <c r="CE257" s="36"/>
      <c r="CF257" s="36"/>
      <c r="CG257" s="37"/>
      <c r="CH257" s="44"/>
      <c r="CI257" s="36"/>
      <c r="CJ257" s="36"/>
      <c r="CK257" s="36"/>
      <c r="CL257" s="36"/>
      <c r="CM257" s="36"/>
      <c r="CN257" s="36"/>
      <c r="CO257" s="36"/>
      <c r="CP257" s="36"/>
      <c r="CQ257" s="36"/>
      <c r="CR257" s="36"/>
      <c r="CS257" s="36"/>
      <c r="CT257" s="36"/>
      <c r="CU257" s="36"/>
      <c r="CV257" s="36"/>
      <c r="CW257" s="36"/>
      <c r="CX257" s="37"/>
      <c r="CY257" s="44"/>
      <c r="CZ257" s="36"/>
      <c r="DA257" s="36"/>
      <c r="DB257" s="36"/>
      <c r="DC257" s="36"/>
      <c r="DD257" s="36"/>
      <c r="DE257" s="36"/>
      <c r="DF257" s="36"/>
      <c r="DG257" s="36"/>
      <c r="DH257" s="36"/>
      <c r="DI257" s="36"/>
      <c r="DJ257" s="36"/>
      <c r="DK257" s="36"/>
      <c r="DL257" s="36"/>
      <c r="DM257" s="36"/>
      <c r="DN257" s="36"/>
      <c r="DO257" s="37"/>
      <c r="DP257" s="44"/>
      <c r="DQ257" s="36"/>
      <c r="DR257" s="36"/>
      <c r="DS257" s="36"/>
      <c r="DT257" s="36"/>
      <c r="DU257" s="36"/>
      <c r="DV257" s="36"/>
      <c r="DW257" s="36"/>
      <c r="DX257" s="36"/>
      <c r="DY257" s="36"/>
      <c r="DZ257" s="36"/>
      <c r="EA257" s="36"/>
      <c r="EB257" s="36"/>
      <c r="EC257" s="36"/>
      <c r="ED257" s="36"/>
      <c r="EE257" s="36"/>
      <c r="EF257" s="37"/>
      <c r="EG257" s="44"/>
      <c r="EH257" s="36"/>
      <c r="EI257" s="36"/>
      <c r="EJ257" s="36"/>
      <c r="EK257" s="36"/>
      <c r="EL257" s="36"/>
      <c r="EM257" s="36"/>
      <c r="EN257" s="36"/>
      <c r="EO257" s="36"/>
      <c r="EP257" s="36"/>
      <c r="EQ257" s="36"/>
      <c r="ER257" s="36"/>
      <c r="ES257" s="36"/>
      <c r="ET257" s="36"/>
      <c r="EU257" s="36"/>
      <c r="EV257" s="36"/>
      <c r="EW257" s="37"/>
      <c r="EX257" s="44"/>
      <c r="EY257" s="36"/>
      <c r="EZ257" s="36"/>
      <c r="FA257" s="36"/>
      <c r="FB257" s="36"/>
      <c r="FC257" s="36"/>
      <c r="FD257" s="36"/>
      <c r="FE257" s="36"/>
      <c r="FF257" s="36"/>
      <c r="FG257" s="36"/>
      <c r="FH257" s="36"/>
      <c r="FI257" s="36"/>
      <c r="FJ257" s="36"/>
      <c r="FK257" s="36"/>
      <c r="FL257" s="36"/>
      <c r="FM257" s="36"/>
      <c r="FN257" s="37"/>
      <c r="FO257" s="44"/>
      <c r="FP257" s="36"/>
      <c r="FQ257" s="36"/>
      <c r="FR257" s="36"/>
      <c r="FS257" s="36"/>
      <c r="FT257" s="36"/>
      <c r="FU257" s="36"/>
      <c r="FV257" s="36"/>
      <c r="FW257" s="36"/>
      <c r="FX257" s="36"/>
      <c r="FY257" s="36"/>
      <c r="FZ257" s="36"/>
      <c r="GA257" s="36"/>
      <c r="GB257" s="36"/>
      <c r="GC257" s="36"/>
      <c r="GD257" s="36"/>
      <c r="GE257" s="37"/>
      <c r="GF257" s="44"/>
      <c r="GG257" s="36"/>
      <c r="GH257" s="36"/>
      <c r="GI257" s="36"/>
      <c r="GJ257" s="36"/>
      <c r="GK257" s="36"/>
      <c r="GL257" s="36"/>
      <c r="GM257" s="36"/>
      <c r="GN257" s="36"/>
      <c r="GO257" s="36"/>
      <c r="GP257" s="36"/>
      <c r="GQ257" s="36"/>
      <c r="GR257" s="36"/>
      <c r="GS257" s="36"/>
      <c r="GT257" s="36"/>
      <c r="GU257" s="36"/>
      <c r="GV257" s="37"/>
      <c r="GW257" s="44"/>
      <c r="GX257" s="36"/>
      <c r="GY257" s="36"/>
      <c r="GZ257" s="36"/>
      <c r="HA257" s="36"/>
      <c r="HB257" s="36"/>
      <c r="HC257" s="36"/>
      <c r="HD257" s="36"/>
      <c r="HE257" s="36"/>
      <c r="HF257" s="36"/>
      <c r="HG257" s="36"/>
      <c r="HH257" s="36"/>
      <c r="HI257" s="36"/>
      <c r="HJ257" s="36"/>
      <c r="HK257" s="36"/>
      <c r="HL257" s="36"/>
      <c r="HM257" s="37"/>
      <c r="HN257" s="44"/>
      <c r="HO257" s="36"/>
      <c r="HP257" s="36"/>
      <c r="HQ257" s="36"/>
      <c r="HR257" s="36"/>
      <c r="HS257" s="36"/>
      <c r="HT257" s="36"/>
      <c r="HU257" s="36"/>
      <c r="HV257" s="36"/>
      <c r="HW257" s="36"/>
      <c r="HX257" s="36"/>
      <c r="HY257" s="36"/>
      <c r="HZ257" s="36"/>
      <c r="IA257" s="36"/>
      <c r="IB257" s="36"/>
      <c r="IC257" s="36"/>
      <c r="ID257" s="37"/>
      <c r="IE257" s="44"/>
      <c r="IF257" s="36"/>
      <c r="IG257" s="36"/>
      <c r="IH257" s="36"/>
      <c r="II257" s="36"/>
      <c r="IJ257" s="36"/>
      <c r="IK257" s="36"/>
      <c r="IL257" s="36"/>
      <c r="IM257" s="36"/>
      <c r="IN257" s="36"/>
      <c r="IO257" s="36"/>
      <c r="IP257" s="36"/>
      <c r="IQ257" s="36"/>
      <c r="IR257" s="36"/>
      <c r="IS257" s="36"/>
      <c r="IT257" s="36"/>
      <c r="IU257" s="37"/>
      <c r="IV257" s="44"/>
      <c r="IW257" s="36"/>
      <c r="IX257" s="36"/>
      <c r="IY257" s="36"/>
      <c r="IZ257" s="36"/>
      <c r="JA257" s="36"/>
      <c r="JB257" s="36"/>
      <c r="JC257" s="36"/>
      <c r="JD257" s="36"/>
      <c r="JE257" s="36"/>
      <c r="JF257" s="36"/>
      <c r="JG257" s="36"/>
      <c r="JH257" s="36"/>
      <c r="JI257" s="36"/>
      <c r="JJ257" s="36"/>
      <c r="JK257" s="36"/>
      <c r="JL257" s="37"/>
      <c r="JM257" s="44"/>
      <c r="JN257" s="36"/>
      <c r="JO257" s="36"/>
      <c r="JP257" s="36"/>
      <c r="JQ257" s="36"/>
      <c r="JR257" s="36"/>
      <c r="JS257" s="36"/>
      <c r="JT257" s="36"/>
      <c r="JU257" s="36"/>
      <c r="JV257" s="36"/>
      <c r="JW257" s="36"/>
      <c r="JX257" s="36"/>
      <c r="JY257" s="36"/>
      <c r="JZ257" s="36"/>
      <c r="KA257" s="36"/>
      <c r="KB257" s="36"/>
      <c r="KC257" s="37"/>
      <c r="KD257" s="44"/>
      <c r="KE257" s="36"/>
      <c r="KF257" s="36"/>
      <c r="KG257" s="36"/>
      <c r="KH257" s="36"/>
      <c r="KI257" s="36"/>
      <c r="KJ257" s="36"/>
      <c r="KK257" s="36"/>
      <c r="KL257" s="36"/>
      <c r="KM257" s="36"/>
      <c r="KN257" s="36"/>
      <c r="KO257" s="36"/>
      <c r="KP257" s="36"/>
      <c r="KQ257" s="36"/>
      <c r="KR257" s="36"/>
      <c r="KS257" s="36"/>
      <c r="KT257" s="37"/>
      <c r="KU257" s="36"/>
    </row>
    <row r="258" ht="15.0" customHeight="1">
      <c r="A258" s="44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7"/>
      <c r="R258" s="44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7"/>
      <c r="AI258" s="44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  <c r="AU258" s="36"/>
      <c r="AV258" s="36"/>
      <c r="AW258" s="36"/>
      <c r="AX258" s="36"/>
      <c r="AY258" s="37"/>
      <c r="AZ258" s="44"/>
      <c r="BA258" s="36"/>
      <c r="BB258" s="36"/>
      <c r="BC258" s="36"/>
      <c r="BD258" s="36"/>
      <c r="BE258" s="36"/>
      <c r="BF258" s="36"/>
      <c r="BG258" s="36"/>
      <c r="BH258" s="36"/>
      <c r="BI258" s="36"/>
      <c r="BJ258" s="36"/>
      <c r="BK258" s="36"/>
      <c r="BL258" s="36"/>
      <c r="BM258" s="36"/>
      <c r="BN258" s="36"/>
      <c r="BO258" s="36"/>
      <c r="BP258" s="37"/>
      <c r="BQ258" s="44"/>
      <c r="BR258" s="36"/>
      <c r="BS258" s="36"/>
      <c r="BT258" s="36"/>
      <c r="BU258" s="36"/>
      <c r="BV258" s="36"/>
      <c r="BW258" s="36"/>
      <c r="BX258" s="36"/>
      <c r="BY258" s="36"/>
      <c r="BZ258" s="36"/>
      <c r="CA258" s="36"/>
      <c r="CB258" s="36"/>
      <c r="CC258" s="36"/>
      <c r="CD258" s="36"/>
      <c r="CE258" s="36"/>
      <c r="CF258" s="36"/>
      <c r="CG258" s="37"/>
      <c r="CH258" s="44"/>
      <c r="CI258" s="36"/>
      <c r="CJ258" s="36"/>
      <c r="CK258" s="36"/>
      <c r="CL258" s="36"/>
      <c r="CM258" s="36"/>
      <c r="CN258" s="36"/>
      <c r="CO258" s="36"/>
      <c r="CP258" s="36"/>
      <c r="CQ258" s="36"/>
      <c r="CR258" s="36"/>
      <c r="CS258" s="36"/>
      <c r="CT258" s="36"/>
      <c r="CU258" s="36"/>
      <c r="CV258" s="36"/>
      <c r="CW258" s="36"/>
      <c r="CX258" s="37"/>
      <c r="CY258" s="44"/>
      <c r="CZ258" s="36"/>
      <c r="DA258" s="36"/>
      <c r="DB258" s="36"/>
      <c r="DC258" s="36"/>
      <c r="DD258" s="36"/>
      <c r="DE258" s="36"/>
      <c r="DF258" s="36"/>
      <c r="DG258" s="36"/>
      <c r="DH258" s="36"/>
      <c r="DI258" s="36"/>
      <c r="DJ258" s="36"/>
      <c r="DK258" s="36"/>
      <c r="DL258" s="36"/>
      <c r="DM258" s="36"/>
      <c r="DN258" s="36"/>
      <c r="DO258" s="37"/>
      <c r="DP258" s="44"/>
      <c r="DQ258" s="36"/>
      <c r="DR258" s="36"/>
      <c r="DS258" s="36"/>
      <c r="DT258" s="36"/>
      <c r="DU258" s="36"/>
      <c r="DV258" s="36"/>
      <c r="DW258" s="36"/>
      <c r="DX258" s="36"/>
      <c r="DY258" s="36"/>
      <c r="DZ258" s="36"/>
      <c r="EA258" s="36"/>
      <c r="EB258" s="36"/>
      <c r="EC258" s="36"/>
      <c r="ED258" s="36"/>
      <c r="EE258" s="36"/>
      <c r="EF258" s="37"/>
      <c r="EG258" s="44"/>
      <c r="EH258" s="36"/>
      <c r="EI258" s="36"/>
      <c r="EJ258" s="36"/>
      <c r="EK258" s="36"/>
      <c r="EL258" s="36"/>
      <c r="EM258" s="36"/>
      <c r="EN258" s="36"/>
      <c r="EO258" s="36"/>
      <c r="EP258" s="36"/>
      <c r="EQ258" s="36"/>
      <c r="ER258" s="36"/>
      <c r="ES258" s="36"/>
      <c r="ET258" s="36"/>
      <c r="EU258" s="36"/>
      <c r="EV258" s="36"/>
      <c r="EW258" s="37"/>
      <c r="EX258" s="44"/>
      <c r="EY258" s="36"/>
      <c r="EZ258" s="36"/>
      <c r="FA258" s="36"/>
      <c r="FB258" s="36"/>
      <c r="FC258" s="36"/>
      <c r="FD258" s="36"/>
      <c r="FE258" s="36"/>
      <c r="FF258" s="36"/>
      <c r="FG258" s="36"/>
      <c r="FH258" s="36"/>
      <c r="FI258" s="36"/>
      <c r="FJ258" s="36"/>
      <c r="FK258" s="36"/>
      <c r="FL258" s="36"/>
      <c r="FM258" s="36"/>
      <c r="FN258" s="37"/>
      <c r="FO258" s="44"/>
      <c r="FP258" s="36"/>
      <c r="FQ258" s="36"/>
      <c r="FR258" s="36"/>
      <c r="FS258" s="36"/>
      <c r="FT258" s="36"/>
      <c r="FU258" s="36"/>
      <c r="FV258" s="36"/>
      <c r="FW258" s="36"/>
      <c r="FX258" s="36"/>
      <c r="FY258" s="36"/>
      <c r="FZ258" s="36"/>
      <c r="GA258" s="36"/>
      <c r="GB258" s="36"/>
      <c r="GC258" s="36"/>
      <c r="GD258" s="36"/>
      <c r="GE258" s="37"/>
      <c r="GF258" s="44"/>
      <c r="GG258" s="36"/>
      <c r="GH258" s="36"/>
      <c r="GI258" s="36"/>
      <c r="GJ258" s="36"/>
      <c r="GK258" s="36"/>
      <c r="GL258" s="36"/>
      <c r="GM258" s="36"/>
      <c r="GN258" s="36"/>
      <c r="GO258" s="36"/>
      <c r="GP258" s="36"/>
      <c r="GQ258" s="36"/>
      <c r="GR258" s="36"/>
      <c r="GS258" s="36"/>
      <c r="GT258" s="36"/>
      <c r="GU258" s="36"/>
      <c r="GV258" s="37"/>
      <c r="GW258" s="44"/>
      <c r="GX258" s="36"/>
      <c r="GY258" s="36"/>
      <c r="GZ258" s="36"/>
      <c r="HA258" s="36"/>
      <c r="HB258" s="36"/>
      <c r="HC258" s="36"/>
      <c r="HD258" s="36"/>
      <c r="HE258" s="36"/>
      <c r="HF258" s="36"/>
      <c r="HG258" s="36"/>
      <c r="HH258" s="36"/>
      <c r="HI258" s="36"/>
      <c r="HJ258" s="36"/>
      <c r="HK258" s="36"/>
      <c r="HL258" s="36"/>
      <c r="HM258" s="37"/>
      <c r="HN258" s="44"/>
      <c r="HO258" s="36"/>
      <c r="HP258" s="36"/>
      <c r="HQ258" s="36"/>
      <c r="HR258" s="36"/>
      <c r="HS258" s="36"/>
      <c r="HT258" s="36"/>
      <c r="HU258" s="36"/>
      <c r="HV258" s="36"/>
      <c r="HW258" s="36"/>
      <c r="HX258" s="36"/>
      <c r="HY258" s="36"/>
      <c r="HZ258" s="36"/>
      <c r="IA258" s="36"/>
      <c r="IB258" s="36"/>
      <c r="IC258" s="36"/>
      <c r="ID258" s="37"/>
      <c r="IE258" s="44"/>
      <c r="IF258" s="36"/>
      <c r="IG258" s="36"/>
      <c r="IH258" s="36"/>
      <c r="II258" s="36"/>
      <c r="IJ258" s="36"/>
      <c r="IK258" s="36"/>
      <c r="IL258" s="36"/>
      <c r="IM258" s="36"/>
      <c r="IN258" s="36"/>
      <c r="IO258" s="36"/>
      <c r="IP258" s="36"/>
      <c r="IQ258" s="36"/>
      <c r="IR258" s="36"/>
      <c r="IS258" s="36"/>
      <c r="IT258" s="36"/>
      <c r="IU258" s="37"/>
      <c r="IV258" s="44"/>
      <c r="IW258" s="36"/>
      <c r="IX258" s="36"/>
      <c r="IY258" s="36"/>
      <c r="IZ258" s="36"/>
      <c r="JA258" s="36"/>
      <c r="JB258" s="36"/>
      <c r="JC258" s="36"/>
      <c r="JD258" s="36"/>
      <c r="JE258" s="36"/>
      <c r="JF258" s="36"/>
      <c r="JG258" s="36"/>
      <c r="JH258" s="36"/>
      <c r="JI258" s="36"/>
      <c r="JJ258" s="36"/>
      <c r="JK258" s="36"/>
      <c r="JL258" s="37"/>
      <c r="JM258" s="44"/>
      <c r="JN258" s="36"/>
      <c r="JO258" s="36"/>
      <c r="JP258" s="36"/>
      <c r="JQ258" s="36"/>
      <c r="JR258" s="36"/>
      <c r="JS258" s="36"/>
      <c r="JT258" s="36"/>
      <c r="JU258" s="36"/>
      <c r="JV258" s="36"/>
      <c r="JW258" s="36"/>
      <c r="JX258" s="36"/>
      <c r="JY258" s="36"/>
      <c r="JZ258" s="36"/>
      <c r="KA258" s="36"/>
      <c r="KB258" s="36"/>
      <c r="KC258" s="37"/>
      <c r="KD258" s="44"/>
      <c r="KE258" s="36"/>
      <c r="KF258" s="36"/>
      <c r="KG258" s="36"/>
      <c r="KH258" s="36"/>
      <c r="KI258" s="36"/>
      <c r="KJ258" s="36"/>
      <c r="KK258" s="36"/>
      <c r="KL258" s="36"/>
      <c r="KM258" s="36"/>
      <c r="KN258" s="36"/>
      <c r="KO258" s="36"/>
      <c r="KP258" s="36"/>
      <c r="KQ258" s="36"/>
      <c r="KR258" s="36"/>
      <c r="KS258" s="36"/>
      <c r="KT258" s="37"/>
      <c r="KU258" s="36"/>
    </row>
    <row r="259" ht="15.0" customHeight="1">
      <c r="A259" s="44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7"/>
      <c r="R259" s="44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7"/>
      <c r="AI259" s="44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  <c r="AU259" s="36"/>
      <c r="AV259" s="36"/>
      <c r="AW259" s="36"/>
      <c r="AX259" s="36"/>
      <c r="AY259" s="37"/>
      <c r="AZ259" s="44"/>
      <c r="BA259" s="36"/>
      <c r="BB259" s="36"/>
      <c r="BC259" s="36"/>
      <c r="BD259" s="36"/>
      <c r="BE259" s="36"/>
      <c r="BF259" s="36"/>
      <c r="BG259" s="36"/>
      <c r="BH259" s="36"/>
      <c r="BI259" s="36"/>
      <c r="BJ259" s="36"/>
      <c r="BK259" s="36"/>
      <c r="BL259" s="36"/>
      <c r="BM259" s="36"/>
      <c r="BN259" s="36"/>
      <c r="BO259" s="36"/>
      <c r="BP259" s="37"/>
      <c r="BQ259" s="44"/>
      <c r="BR259" s="36"/>
      <c r="BS259" s="36"/>
      <c r="BT259" s="36"/>
      <c r="BU259" s="36"/>
      <c r="BV259" s="36"/>
      <c r="BW259" s="36"/>
      <c r="BX259" s="36"/>
      <c r="BY259" s="36"/>
      <c r="BZ259" s="36"/>
      <c r="CA259" s="36"/>
      <c r="CB259" s="36"/>
      <c r="CC259" s="36"/>
      <c r="CD259" s="36"/>
      <c r="CE259" s="36"/>
      <c r="CF259" s="36"/>
      <c r="CG259" s="37"/>
      <c r="CH259" s="44"/>
      <c r="CI259" s="36"/>
      <c r="CJ259" s="36"/>
      <c r="CK259" s="36"/>
      <c r="CL259" s="36"/>
      <c r="CM259" s="36"/>
      <c r="CN259" s="36"/>
      <c r="CO259" s="36"/>
      <c r="CP259" s="36"/>
      <c r="CQ259" s="36"/>
      <c r="CR259" s="36"/>
      <c r="CS259" s="36"/>
      <c r="CT259" s="36"/>
      <c r="CU259" s="36"/>
      <c r="CV259" s="36"/>
      <c r="CW259" s="36"/>
      <c r="CX259" s="37"/>
      <c r="CY259" s="44"/>
      <c r="CZ259" s="36"/>
      <c r="DA259" s="36"/>
      <c r="DB259" s="36"/>
      <c r="DC259" s="36"/>
      <c r="DD259" s="36"/>
      <c r="DE259" s="36"/>
      <c r="DF259" s="36"/>
      <c r="DG259" s="36"/>
      <c r="DH259" s="36"/>
      <c r="DI259" s="36"/>
      <c r="DJ259" s="36"/>
      <c r="DK259" s="36"/>
      <c r="DL259" s="36"/>
      <c r="DM259" s="36"/>
      <c r="DN259" s="36"/>
      <c r="DO259" s="37"/>
      <c r="DP259" s="44"/>
      <c r="DQ259" s="36"/>
      <c r="DR259" s="36"/>
      <c r="DS259" s="36"/>
      <c r="DT259" s="36"/>
      <c r="DU259" s="36"/>
      <c r="DV259" s="36"/>
      <c r="DW259" s="36"/>
      <c r="DX259" s="36"/>
      <c r="DY259" s="36"/>
      <c r="DZ259" s="36"/>
      <c r="EA259" s="36"/>
      <c r="EB259" s="36"/>
      <c r="EC259" s="36"/>
      <c r="ED259" s="36"/>
      <c r="EE259" s="36"/>
      <c r="EF259" s="37"/>
      <c r="EG259" s="44"/>
      <c r="EH259" s="36"/>
      <c r="EI259" s="36"/>
      <c r="EJ259" s="36"/>
      <c r="EK259" s="36"/>
      <c r="EL259" s="36"/>
      <c r="EM259" s="36"/>
      <c r="EN259" s="36"/>
      <c r="EO259" s="36"/>
      <c r="EP259" s="36"/>
      <c r="EQ259" s="36"/>
      <c r="ER259" s="36"/>
      <c r="ES259" s="36"/>
      <c r="ET259" s="36"/>
      <c r="EU259" s="36"/>
      <c r="EV259" s="36"/>
      <c r="EW259" s="37"/>
      <c r="EX259" s="44"/>
      <c r="EY259" s="36"/>
      <c r="EZ259" s="36"/>
      <c r="FA259" s="36"/>
      <c r="FB259" s="36"/>
      <c r="FC259" s="36"/>
      <c r="FD259" s="36"/>
      <c r="FE259" s="36"/>
      <c r="FF259" s="36"/>
      <c r="FG259" s="36"/>
      <c r="FH259" s="36"/>
      <c r="FI259" s="36"/>
      <c r="FJ259" s="36"/>
      <c r="FK259" s="36"/>
      <c r="FL259" s="36"/>
      <c r="FM259" s="36"/>
      <c r="FN259" s="37"/>
      <c r="FO259" s="44"/>
      <c r="FP259" s="36"/>
      <c r="FQ259" s="36"/>
      <c r="FR259" s="36"/>
      <c r="FS259" s="36"/>
      <c r="FT259" s="36"/>
      <c r="FU259" s="36"/>
      <c r="FV259" s="36"/>
      <c r="FW259" s="36"/>
      <c r="FX259" s="36"/>
      <c r="FY259" s="36"/>
      <c r="FZ259" s="36"/>
      <c r="GA259" s="36"/>
      <c r="GB259" s="36"/>
      <c r="GC259" s="36"/>
      <c r="GD259" s="36"/>
      <c r="GE259" s="37"/>
      <c r="GF259" s="44"/>
      <c r="GG259" s="36"/>
      <c r="GH259" s="36"/>
      <c r="GI259" s="36"/>
      <c r="GJ259" s="36"/>
      <c r="GK259" s="36"/>
      <c r="GL259" s="36"/>
      <c r="GM259" s="36"/>
      <c r="GN259" s="36"/>
      <c r="GO259" s="36"/>
      <c r="GP259" s="36"/>
      <c r="GQ259" s="36"/>
      <c r="GR259" s="36"/>
      <c r="GS259" s="36"/>
      <c r="GT259" s="36"/>
      <c r="GU259" s="36"/>
      <c r="GV259" s="37"/>
      <c r="GW259" s="44"/>
      <c r="GX259" s="36"/>
      <c r="GY259" s="36"/>
      <c r="GZ259" s="36"/>
      <c r="HA259" s="36"/>
      <c r="HB259" s="36"/>
      <c r="HC259" s="36"/>
      <c r="HD259" s="36"/>
      <c r="HE259" s="36"/>
      <c r="HF259" s="36"/>
      <c r="HG259" s="36"/>
      <c r="HH259" s="36"/>
      <c r="HI259" s="36"/>
      <c r="HJ259" s="36"/>
      <c r="HK259" s="36"/>
      <c r="HL259" s="36"/>
      <c r="HM259" s="37"/>
      <c r="HN259" s="44"/>
      <c r="HO259" s="36"/>
      <c r="HP259" s="36"/>
      <c r="HQ259" s="36"/>
      <c r="HR259" s="36"/>
      <c r="HS259" s="36"/>
      <c r="HT259" s="36"/>
      <c r="HU259" s="36"/>
      <c r="HV259" s="36"/>
      <c r="HW259" s="36"/>
      <c r="HX259" s="36"/>
      <c r="HY259" s="36"/>
      <c r="HZ259" s="36"/>
      <c r="IA259" s="36"/>
      <c r="IB259" s="36"/>
      <c r="IC259" s="36"/>
      <c r="ID259" s="37"/>
      <c r="IE259" s="44"/>
      <c r="IF259" s="36"/>
      <c r="IG259" s="36"/>
      <c r="IH259" s="36"/>
      <c r="II259" s="36"/>
      <c r="IJ259" s="36"/>
      <c r="IK259" s="36"/>
      <c r="IL259" s="36"/>
      <c r="IM259" s="36"/>
      <c r="IN259" s="36"/>
      <c r="IO259" s="36"/>
      <c r="IP259" s="36"/>
      <c r="IQ259" s="36"/>
      <c r="IR259" s="36"/>
      <c r="IS259" s="36"/>
      <c r="IT259" s="36"/>
      <c r="IU259" s="37"/>
      <c r="IV259" s="44"/>
      <c r="IW259" s="36"/>
      <c r="IX259" s="36"/>
      <c r="IY259" s="36"/>
      <c r="IZ259" s="36"/>
      <c r="JA259" s="36"/>
      <c r="JB259" s="36"/>
      <c r="JC259" s="36"/>
      <c r="JD259" s="36"/>
      <c r="JE259" s="36"/>
      <c r="JF259" s="36"/>
      <c r="JG259" s="36"/>
      <c r="JH259" s="36"/>
      <c r="JI259" s="36"/>
      <c r="JJ259" s="36"/>
      <c r="JK259" s="36"/>
      <c r="JL259" s="37"/>
      <c r="JM259" s="44"/>
      <c r="JN259" s="36"/>
      <c r="JO259" s="36"/>
      <c r="JP259" s="36"/>
      <c r="JQ259" s="36"/>
      <c r="JR259" s="36"/>
      <c r="JS259" s="36"/>
      <c r="JT259" s="36"/>
      <c r="JU259" s="36"/>
      <c r="JV259" s="36"/>
      <c r="JW259" s="36"/>
      <c r="JX259" s="36"/>
      <c r="JY259" s="36"/>
      <c r="JZ259" s="36"/>
      <c r="KA259" s="36"/>
      <c r="KB259" s="36"/>
      <c r="KC259" s="37"/>
      <c r="KD259" s="44"/>
      <c r="KE259" s="36"/>
      <c r="KF259" s="36"/>
      <c r="KG259" s="36"/>
      <c r="KH259" s="36"/>
      <c r="KI259" s="36"/>
      <c r="KJ259" s="36"/>
      <c r="KK259" s="36"/>
      <c r="KL259" s="36"/>
      <c r="KM259" s="36"/>
      <c r="KN259" s="36"/>
      <c r="KO259" s="36"/>
      <c r="KP259" s="36"/>
      <c r="KQ259" s="36"/>
      <c r="KR259" s="36"/>
      <c r="KS259" s="36"/>
      <c r="KT259" s="37"/>
      <c r="KU259" s="36"/>
    </row>
    <row r="260" ht="15.0" customHeight="1">
      <c r="A260" s="44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7"/>
      <c r="R260" s="44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7"/>
      <c r="AI260" s="44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  <c r="AU260" s="36"/>
      <c r="AV260" s="36"/>
      <c r="AW260" s="36"/>
      <c r="AX260" s="36"/>
      <c r="AY260" s="37"/>
      <c r="AZ260" s="44"/>
      <c r="BA260" s="36"/>
      <c r="BB260" s="36"/>
      <c r="BC260" s="36"/>
      <c r="BD260" s="36"/>
      <c r="BE260" s="36"/>
      <c r="BF260" s="36"/>
      <c r="BG260" s="36"/>
      <c r="BH260" s="36"/>
      <c r="BI260" s="36"/>
      <c r="BJ260" s="36"/>
      <c r="BK260" s="36"/>
      <c r="BL260" s="36"/>
      <c r="BM260" s="36"/>
      <c r="BN260" s="36"/>
      <c r="BO260" s="36"/>
      <c r="BP260" s="37"/>
      <c r="BQ260" s="44"/>
      <c r="BR260" s="36"/>
      <c r="BS260" s="36"/>
      <c r="BT260" s="36"/>
      <c r="BU260" s="36"/>
      <c r="BV260" s="36"/>
      <c r="BW260" s="36"/>
      <c r="BX260" s="36"/>
      <c r="BY260" s="36"/>
      <c r="BZ260" s="36"/>
      <c r="CA260" s="36"/>
      <c r="CB260" s="36"/>
      <c r="CC260" s="36"/>
      <c r="CD260" s="36"/>
      <c r="CE260" s="36"/>
      <c r="CF260" s="36"/>
      <c r="CG260" s="37"/>
      <c r="CH260" s="44"/>
      <c r="CI260" s="36"/>
      <c r="CJ260" s="36"/>
      <c r="CK260" s="36"/>
      <c r="CL260" s="36"/>
      <c r="CM260" s="36"/>
      <c r="CN260" s="36"/>
      <c r="CO260" s="36"/>
      <c r="CP260" s="36"/>
      <c r="CQ260" s="36"/>
      <c r="CR260" s="36"/>
      <c r="CS260" s="36"/>
      <c r="CT260" s="36"/>
      <c r="CU260" s="36"/>
      <c r="CV260" s="36"/>
      <c r="CW260" s="36"/>
      <c r="CX260" s="37"/>
      <c r="CY260" s="44"/>
      <c r="CZ260" s="36"/>
      <c r="DA260" s="36"/>
      <c r="DB260" s="36"/>
      <c r="DC260" s="36"/>
      <c r="DD260" s="36"/>
      <c r="DE260" s="36"/>
      <c r="DF260" s="36"/>
      <c r="DG260" s="36"/>
      <c r="DH260" s="36"/>
      <c r="DI260" s="36"/>
      <c r="DJ260" s="36"/>
      <c r="DK260" s="36"/>
      <c r="DL260" s="36"/>
      <c r="DM260" s="36"/>
      <c r="DN260" s="36"/>
      <c r="DO260" s="37"/>
      <c r="DP260" s="44"/>
      <c r="DQ260" s="36"/>
      <c r="DR260" s="36"/>
      <c r="DS260" s="36"/>
      <c r="DT260" s="36"/>
      <c r="DU260" s="36"/>
      <c r="DV260" s="36"/>
      <c r="DW260" s="36"/>
      <c r="DX260" s="36"/>
      <c r="DY260" s="36"/>
      <c r="DZ260" s="36"/>
      <c r="EA260" s="36"/>
      <c r="EB260" s="36"/>
      <c r="EC260" s="36"/>
      <c r="ED260" s="36"/>
      <c r="EE260" s="36"/>
      <c r="EF260" s="37"/>
      <c r="EG260" s="44"/>
      <c r="EH260" s="36"/>
      <c r="EI260" s="36"/>
      <c r="EJ260" s="36"/>
      <c r="EK260" s="36"/>
      <c r="EL260" s="36"/>
      <c r="EM260" s="36"/>
      <c r="EN260" s="36"/>
      <c r="EO260" s="36"/>
      <c r="EP260" s="36"/>
      <c r="EQ260" s="36"/>
      <c r="ER260" s="36"/>
      <c r="ES260" s="36"/>
      <c r="ET260" s="36"/>
      <c r="EU260" s="36"/>
      <c r="EV260" s="36"/>
      <c r="EW260" s="37"/>
      <c r="EX260" s="44"/>
      <c r="EY260" s="36"/>
      <c r="EZ260" s="36"/>
      <c r="FA260" s="36"/>
      <c r="FB260" s="36"/>
      <c r="FC260" s="36"/>
      <c r="FD260" s="36"/>
      <c r="FE260" s="36"/>
      <c r="FF260" s="36"/>
      <c r="FG260" s="36"/>
      <c r="FH260" s="36"/>
      <c r="FI260" s="36"/>
      <c r="FJ260" s="36"/>
      <c r="FK260" s="36"/>
      <c r="FL260" s="36"/>
      <c r="FM260" s="36"/>
      <c r="FN260" s="37"/>
      <c r="FO260" s="44"/>
      <c r="FP260" s="36"/>
      <c r="FQ260" s="36"/>
      <c r="FR260" s="36"/>
      <c r="FS260" s="36"/>
      <c r="FT260" s="36"/>
      <c r="FU260" s="36"/>
      <c r="FV260" s="36"/>
      <c r="FW260" s="36"/>
      <c r="FX260" s="36"/>
      <c r="FY260" s="36"/>
      <c r="FZ260" s="36"/>
      <c r="GA260" s="36"/>
      <c r="GB260" s="36"/>
      <c r="GC260" s="36"/>
      <c r="GD260" s="36"/>
      <c r="GE260" s="37"/>
      <c r="GF260" s="44"/>
      <c r="GG260" s="36"/>
      <c r="GH260" s="36"/>
      <c r="GI260" s="36"/>
      <c r="GJ260" s="36"/>
      <c r="GK260" s="36"/>
      <c r="GL260" s="36"/>
      <c r="GM260" s="36"/>
      <c r="GN260" s="36"/>
      <c r="GO260" s="36"/>
      <c r="GP260" s="36"/>
      <c r="GQ260" s="36"/>
      <c r="GR260" s="36"/>
      <c r="GS260" s="36"/>
      <c r="GT260" s="36"/>
      <c r="GU260" s="36"/>
      <c r="GV260" s="37"/>
      <c r="GW260" s="44"/>
      <c r="GX260" s="36"/>
      <c r="GY260" s="36"/>
      <c r="GZ260" s="36"/>
      <c r="HA260" s="36"/>
      <c r="HB260" s="36"/>
      <c r="HC260" s="36"/>
      <c r="HD260" s="36"/>
      <c r="HE260" s="36"/>
      <c r="HF260" s="36"/>
      <c r="HG260" s="36"/>
      <c r="HH260" s="36"/>
      <c r="HI260" s="36"/>
      <c r="HJ260" s="36"/>
      <c r="HK260" s="36"/>
      <c r="HL260" s="36"/>
      <c r="HM260" s="37"/>
      <c r="HN260" s="44"/>
      <c r="HO260" s="36"/>
      <c r="HP260" s="36"/>
      <c r="HQ260" s="36"/>
      <c r="HR260" s="36"/>
      <c r="HS260" s="36"/>
      <c r="HT260" s="36"/>
      <c r="HU260" s="36"/>
      <c r="HV260" s="36"/>
      <c r="HW260" s="36"/>
      <c r="HX260" s="36"/>
      <c r="HY260" s="36"/>
      <c r="HZ260" s="36"/>
      <c r="IA260" s="36"/>
      <c r="IB260" s="36"/>
      <c r="IC260" s="36"/>
      <c r="ID260" s="37"/>
      <c r="IE260" s="44"/>
      <c r="IF260" s="36"/>
      <c r="IG260" s="36"/>
      <c r="IH260" s="36"/>
      <c r="II260" s="36"/>
      <c r="IJ260" s="36"/>
      <c r="IK260" s="36"/>
      <c r="IL260" s="36"/>
      <c r="IM260" s="36"/>
      <c r="IN260" s="36"/>
      <c r="IO260" s="36"/>
      <c r="IP260" s="36"/>
      <c r="IQ260" s="36"/>
      <c r="IR260" s="36"/>
      <c r="IS260" s="36"/>
      <c r="IT260" s="36"/>
      <c r="IU260" s="37"/>
      <c r="IV260" s="44"/>
      <c r="IW260" s="36"/>
      <c r="IX260" s="36"/>
      <c r="IY260" s="36"/>
      <c r="IZ260" s="36"/>
      <c r="JA260" s="36"/>
      <c r="JB260" s="36"/>
      <c r="JC260" s="36"/>
      <c r="JD260" s="36"/>
      <c r="JE260" s="36"/>
      <c r="JF260" s="36"/>
      <c r="JG260" s="36"/>
      <c r="JH260" s="36"/>
      <c r="JI260" s="36"/>
      <c r="JJ260" s="36"/>
      <c r="JK260" s="36"/>
      <c r="JL260" s="37"/>
      <c r="JM260" s="44"/>
      <c r="JN260" s="36"/>
      <c r="JO260" s="36"/>
      <c r="JP260" s="36"/>
      <c r="JQ260" s="36"/>
      <c r="JR260" s="36"/>
      <c r="JS260" s="36"/>
      <c r="JT260" s="36"/>
      <c r="JU260" s="36"/>
      <c r="JV260" s="36"/>
      <c r="JW260" s="36"/>
      <c r="JX260" s="36"/>
      <c r="JY260" s="36"/>
      <c r="JZ260" s="36"/>
      <c r="KA260" s="36"/>
      <c r="KB260" s="36"/>
      <c r="KC260" s="37"/>
      <c r="KD260" s="44"/>
      <c r="KE260" s="36"/>
      <c r="KF260" s="36"/>
      <c r="KG260" s="36"/>
      <c r="KH260" s="36"/>
      <c r="KI260" s="36"/>
      <c r="KJ260" s="36"/>
      <c r="KK260" s="36"/>
      <c r="KL260" s="36"/>
      <c r="KM260" s="36"/>
      <c r="KN260" s="36"/>
      <c r="KO260" s="36"/>
      <c r="KP260" s="36"/>
      <c r="KQ260" s="36"/>
      <c r="KR260" s="36"/>
      <c r="KS260" s="36"/>
      <c r="KT260" s="37"/>
      <c r="KU260" s="36"/>
    </row>
    <row r="261" ht="15.0" customHeight="1">
      <c r="A261" s="44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7"/>
      <c r="R261" s="44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7"/>
      <c r="AI261" s="44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  <c r="AU261" s="36"/>
      <c r="AV261" s="36"/>
      <c r="AW261" s="36"/>
      <c r="AX261" s="36"/>
      <c r="AY261" s="37"/>
      <c r="AZ261" s="44"/>
      <c r="BA261" s="36"/>
      <c r="BB261" s="36"/>
      <c r="BC261" s="36"/>
      <c r="BD261" s="36"/>
      <c r="BE261" s="36"/>
      <c r="BF261" s="36"/>
      <c r="BG261" s="36"/>
      <c r="BH261" s="36"/>
      <c r="BI261" s="36"/>
      <c r="BJ261" s="36"/>
      <c r="BK261" s="36"/>
      <c r="BL261" s="36"/>
      <c r="BM261" s="36"/>
      <c r="BN261" s="36"/>
      <c r="BO261" s="36"/>
      <c r="BP261" s="37"/>
      <c r="BQ261" s="44"/>
      <c r="BR261" s="36"/>
      <c r="BS261" s="36"/>
      <c r="BT261" s="36"/>
      <c r="BU261" s="36"/>
      <c r="BV261" s="36"/>
      <c r="BW261" s="36"/>
      <c r="BX261" s="36"/>
      <c r="BY261" s="36"/>
      <c r="BZ261" s="36"/>
      <c r="CA261" s="36"/>
      <c r="CB261" s="36"/>
      <c r="CC261" s="36"/>
      <c r="CD261" s="36"/>
      <c r="CE261" s="36"/>
      <c r="CF261" s="36"/>
      <c r="CG261" s="37"/>
      <c r="CH261" s="44"/>
      <c r="CI261" s="36"/>
      <c r="CJ261" s="36"/>
      <c r="CK261" s="36"/>
      <c r="CL261" s="36"/>
      <c r="CM261" s="36"/>
      <c r="CN261" s="36"/>
      <c r="CO261" s="36"/>
      <c r="CP261" s="36"/>
      <c r="CQ261" s="36"/>
      <c r="CR261" s="36"/>
      <c r="CS261" s="36"/>
      <c r="CT261" s="36"/>
      <c r="CU261" s="36"/>
      <c r="CV261" s="36"/>
      <c r="CW261" s="36"/>
      <c r="CX261" s="37"/>
      <c r="CY261" s="44"/>
      <c r="CZ261" s="36"/>
      <c r="DA261" s="36"/>
      <c r="DB261" s="36"/>
      <c r="DC261" s="36"/>
      <c r="DD261" s="36"/>
      <c r="DE261" s="36"/>
      <c r="DF261" s="36"/>
      <c r="DG261" s="36"/>
      <c r="DH261" s="36"/>
      <c r="DI261" s="36"/>
      <c r="DJ261" s="36"/>
      <c r="DK261" s="36"/>
      <c r="DL261" s="36"/>
      <c r="DM261" s="36"/>
      <c r="DN261" s="36"/>
      <c r="DO261" s="37"/>
      <c r="DP261" s="44"/>
      <c r="DQ261" s="36"/>
      <c r="DR261" s="36"/>
      <c r="DS261" s="36"/>
      <c r="DT261" s="36"/>
      <c r="DU261" s="36"/>
      <c r="DV261" s="36"/>
      <c r="DW261" s="36"/>
      <c r="DX261" s="36"/>
      <c r="DY261" s="36"/>
      <c r="DZ261" s="36"/>
      <c r="EA261" s="36"/>
      <c r="EB261" s="36"/>
      <c r="EC261" s="36"/>
      <c r="ED261" s="36"/>
      <c r="EE261" s="36"/>
      <c r="EF261" s="37"/>
      <c r="EG261" s="44"/>
      <c r="EH261" s="36"/>
      <c r="EI261" s="36"/>
      <c r="EJ261" s="36"/>
      <c r="EK261" s="36"/>
      <c r="EL261" s="36"/>
      <c r="EM261" s="36"/>
      <c r="EN261" s="36"/>
      <c r="EO261" s="36"/>
      <c r="EP261" s="36"/>
      <c r="EQ261" s="36"/>
      <c r="ER261" s="36"/>
      <c r="ES261" s="36"/>
      <c r="ET261" s="36"/>
      <c r="EU261" s="36"/>
      <c r="EV261" s="36"/>
      <c r="EW261" s="37"/>
      <c r="EX261" s="44"/>
      <c r="EY261" s="36"/>
      <c r="EZ261" s="36"/>
      <c r="FA261" s="36"/>
      <c r="FB261" s="36"/>
      <c r="FC261" s="36"/>
      <c r="FD261" s="36"/>
      <c r="FE261" s="36"/>
      <c r="FF261" s="36"/>
      <c r="FG261" s="36"/>
      <c r="FH261" s="36"/>
      <c r="FI261" s="36"/>
      <c r="FJ261" s="36"/>
      <c r="FK261" s="36"/>
      <c r="FL261" s="36"/>
      <c r="FM261" s="36"/>
      <c r="FN261" s="37"/>
      <c r="FO261" s="44"/>
      <c r="FP261" s="36"/>
      <c r="FQ261" s="36"/>
      <c r="FR261" s="36"/>
      <c r="FS261" s="36"/>
      <c r="FT261" s="36"/>
      <c r="FU261" s="36"/>
      <c r="FV261" s="36"/>
      <c r="FW261" s="36"/>
      <c r="FX261" s="36"/>
      <c r="FY261" s="36"/>
      <c r="FZ261" s="36"/>
      <c r="GA261" s="36"/>
      <c r="GB261" s="36"/>
      <c r="GC261" s="36"/>
      <c r="GD261" s="36"/>
      <c r="GE261" s="37"/>
      <c r="GF261" s="44"/>
      <c r="GG261" s="36"/>
      <c r="GH261" s="36"/>
      <c r="GI261" s="36"/>
      <c r="GJ261" s="36"/>
      <c r="GK261" s="36"/>
      <c r="GL261" s="36"/>
      <c r="GM261" s="36"/>
      <c r="GN261" s="36"/>
      <c r="GO261" s="36"/>
      <c r="GP261" s="36"/>
      <c r="GQ261" s="36"/>
      <c r="GR261" s="36"/>
      <c r="GS261" s="36"/>
      <c r="GT261" s="36"/>
      <c r="GU261" s="36"/>
      <c r="GV261" s="37"/>
      <c r="GW261" s="44"/>
      <c r="GX261" s="36"/>
      <c r="GY261" s="36"/>
      <c r="GZ261" s="36"/>
      <c r="HA261" s="36"/>
      <c r="HB261" s="36"/>
      <c r="HC261" s="36"/>
      <c r="HD261" s="36"/>
      <c r="HE261" s="36"/>
      <c r="HF261" s="36"/>
      <c r="HG261" s="36"/>
      <c r="HH261" s="36"/>
      <c r="HI261" s="36"/>
      <c r="HJ261" s="36"/>
      <c r="HK261" s="36"/>
      <c r="HL261" s="36"/>
      <c r="HM261" s="37"/>
      <c r="HN261" s="44"/>
      <c r="HO261" s="36"/>
      <c r="HP261" s="36"/>
      <c r="HQ261" s="36"/>
      <c r="HR261" s="36"/>
      <c r="HS261" s="36"/>
      <c r="HT261" s="36"/>
      <c r="HU261" s="36"/>
      <c r="HV261" s="36"/>
      <c r="HW261" s="36"/>
      <c r="HX261" s="36"/>
      <c r="HY261" s="36"/>
      <c r="HZ261" s="36"/>
      <c r="IA261" s="36"/>
      <c r="IB261" s="36"/>
      <c r="IC261" s="36"/>
      <c r="ID261" s="37"/>
      <c r="IE261" s="44"/>
      <c r="IF261" s="36"/>
      <c r="IG261" s="36"/>
      <c r="IH261" s="36"/>
      <c r="II261" s="36"/>
      <c r="IJ261" s="36"/>
      <c r="IK261" s="36"/>
      <c r="IL261" s="36"/>
      <c r="IM261" s="36"/>
      <c r="IN261" s="36"/>
      <c r="IO261" s="36"/>
      <c r="IP261" s="36"/>
      <c r="IQ261" s="36"/>
      <c r="IR261" s="36"/>
      <c r="IS261" s="36"/>
      <c r="IT261" s="36"/>
      <c r="IU261" s="37"/>
      <c r="IV261" s="44"/>
      <c r="IW261" s="36"/>
      <c r="IX261" s="36"/>
      <c r="IY261" s="36"/>
      <c r="IZ261" s="36"/>
      <c r="JA261" s="36"/>
      <c r="JB261" s="36"/>
      <c r="JC261" s="36"/>
      <c r="JD261" s="36"/>
      <c r="JE261" s="36"/>
      <c r="JF261" s="36"/>
      <c r="JG261" s="36"/>
      <c r="JH261" s="36"/>
      <c r="JI261" s="36"/>
      <c r="JJ261" s="36"/>
      <c r="JK261" s="36"/>
      <c r="JL261" s="37"/>
      <c r="JM261" s="44"/>
      <c r="JN261" s="36"/>
      <c r="JO261" s="36"/>
      <c r="JP261" s="36"/>
      <c r="JQ261" s="36"/>
      <c r="JR261" s="36"/>
      <c r="JS261" s="36"/>
      <c r="JT261" s="36"/>
      <c r="JU261" s="36"/>
      <c r="JV261" s="36"/>
      <c r="JW261" s="36"/>
      <c r="JX261" s="36"/>
      <c r="JY261" s="36"/>
      <c r="JZ261" s="36"/>
      <c r="KA261" s="36"/>
      <c r="KB261" s="36"/>
      <c r="KC261" s="37"/>
      <c r="KD261" s="44"/>
      <c r="KE261" s="36"/>
      <c r="KF261" s="36"/>
      <c r="KG261" s="36"/>
      <c r="KH261" s="36"/>
      <c r="KI261" s="36"/>
      <c r="KJ261" s="36"/>
      <c r="KK261" s="36"/>
      <c r="KL261" s="36"/>
      <c r="KM261" s="36"/>
      <c r="KN261" s="36"/>
      <c r="KO261" s="36"/>
      <c r="KP261" s="36"/>
      <c r="KQ261" s="36"/>
      <c r="KR261" s="36"/>
      <c r="KS261" s="36"/>
      <c r="KT261" s="37"/>
      <c r="KU261" s="36"/>
    </row>
    <row r="262" ht="15.0" customHeight="1">
      <c r="A262" s="44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7"/>
      <c r="R262" s="44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7"/>
      <c r="AI262" s="44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  <c r="AU262" s="36"/>
      <c r="AV262" s="36"/>
      <c r="AW262" s="36"/>
      <c r="AX262" s="36"/>
      <c r="AY262" s="37"/>
      <c r="AZ262" s="44"/>
      <c r="BA262" s="36"/>
      <c r="BB262" s="36"/>
      <c r="BC262" s="36"/>
      <c r="BD262" s="36"/>
      <c r="BE262" s="36"/>
      <c r="BF262" s="36"/>
      <c r="BG262" s="36"/>
      <c r="BH262" s="36"/>
      <c r="BI262" s="36"/>
      <c r="BJ262" s="36"/>
      <c r="BK262" s="36"/>
      <c r="BL262" s="36"/>
      <c r="BM262" s="36"/>
      <c r="BN262" s="36"/>
      <c r="BO262" s="36"/>
      <c r="BP262" s="37"/>
      <c r="BQ262" s="44"/>
      <c r="BR262" s="36"/>
      <c r="BS262" s="36"/>
      <c r="BT262" s="36"/>
      <c r="BU262" s="36"/>
      <c r="BV262" s="36"/>
      <c r="BW262" s="36"/>
      <c r="BX262" s="36"/>
      <c r="BY262" s="36"/>
      <c r="BZ262" s="36"/>
      <c r="CA262" s="36"/>
      <c r="CB262" s="36"/>
      <c r="CC262" s="36"/>
      <c r="CD262" s="36"/>
      <c r="CE262" s="36"/>
      <c r="CF262" s="36"/>
      <c r="CG262" s="37"/>
      <c r="CH262" s="44"/>
      <c r="CI262" s="36"/>
      <c r="CJ262" s="36"/>
      <c r="CK262" s="36"/>
      <c r="CL262" s="36"/>
      <c r="CM262" s="36"/>
      <c r="CN262" s="36"/>
      <c r="CO262" s="36"/>
      <c r="CP262" s="36"/>
      <c r="CQ262" s="36"/>
      <c r="CR262" s="36"/>
      <c r="CS262" s="36"/>
      <c r="CT262" s="36"/>
      <c r="CU262" s="36"/>
      <c r="CV262" s="36"/>
      <c r="CW262" s="36"/>
      <c r="CX262" s="37"/>
      <c r="CY262" s="44"/>
      <c r="CZ262" s="36"/>
      <c r="DA262" s="36"/>
      <c r="DB262" s="36"/>
      <c r="DC262" s="36"/>
      <c r="DD262" s="36"/>
      <c r="DE262" s="36"/>
      <c r="DF262" s="36"/>
      <c r="DG262" s="36"/>
      <c r="DH262" s="36"/>
      <c r="DI262" s="36"/>
      <c r="DJ262" s="36"/>
      <c r="DK262" s="36"/>
      <c r="DL262" s="36"/>
      <c r="DM262" s="36"/>
      <c r="DN262" s="36"/>
      <c r="DO262" s="37"/>
      <c r="DP262" s="44"/>
      <c r="DQ262" s="36"/>
      <c r="DR262" s="36"/>
      <c r="DS262" s="36"/>
      <c r="DT262" s="36"/>
      <c r="DU262" s="36"/>
      <c r="DV262" s="36"/>
      <c r="DW262" s="36"/>
      <c r="DX262" s="36"/>
      <c r="DY262" s="36"/>
      <c r="DZ262" s="36"/>
      <c r="EA262" s="36"/>
      <c r="EB262" s="36"/>
      <c r="EC262" s="36"/>
      <c r="ED262" s="36"/>
      <c r="EE262" s="36"/>
      <c r="EF262" s="37"/>
      <c r="EG262" s="44"/>
      <c r="EH262" s="36"/>
      <c r="EI262" s="36"/>
      <c r="EJ262" s="36"/>
      <c r="EK262" s="36"/>
      <c r="EL262" s="36"/>
      <c r="EM262" s="36"/>
      <c r="EN262" s="36"/>
      <c r="EO262" s="36"/>
      <c r="EP262" s="36"/>
      <c r="EQ262" s="36"/>
      <c r="ER262" s="36"/>
      <c r="ES262" s="36"/>
      <c r="ET262" s="36"/>
      <c r="EU262" s="36"/>
      <c r="EV262" s="36"/>
      <c r="EW262" s="37"/>
      <c r="EX262" s="44"/>
      <c r="EY262" s="36"/>
      <c r="EZ262" s="36"/>
      <c r="FA262" s="36"/>
      <c r="FB262" s="36"/>
      <c r="FC262" s="36"/>
      <c r="FD262" s="36"/>
      <c r="FE262" s="36"/>
      <c r="FF262" s="36"/>
      <c r="FG262" s="36"/>
      <c r="FH262" s="36"/>
      <c r="FI262" s="36"/>
      <c r="FJ262" s="36"/>
      <c r="FK262" s="36"/>
      <c r="FL262" s="36"/>
      <c r="FM262" s="36"/>
      <c r="FN262" s="37"/>
      <c r="FO262" s="44"/>
      <c r="FP262" s="36"/>
      <c r="FQ262" s="36"/>
      <c r="FR262" s="36"/>
      <c r="FS262" s="36"/>
      <c r="FT262" s="36"/>
      <c r="FU262" s="36"/>
      <c r="FV262" s="36"/>
      <c r="FW262" s="36"/>
      <c r="FX262" s="36"/>
      <c r="FY262" s="36"/>
      <c r="FZ262" s="36"/>
      <c r="GA262" s="36"/>
      <c r="GB262" s="36"/>
      <c r="GC262" s="36"/>
      <c r="GD262" s="36"/>
      <c r="GE262" s="37"/>
      <c r="GF262" s="44"/>
      <c r="GG262" s="36"/>
      <c r="GH262" s="36"/>
      <c r="GI262" s="36"/>
      <c r="GJ262" s="36"/>
      <c r="GK262" s="36"/>
      <c r="GL262" s="36"/>
      <c r="GM262" s="36"/>
      <c r="GN262" s="36"/>
      <c r="GO262" s="36"/>
      <c r="GP262" s="36"/>
      <c r="GQ262" s="36"/>
      <c r="GR262" s="36"/>
      <c r="GS262" s="36"/>
      <c r="GT262" s="36"/>
      <c r="GU262" s="36"/>
      <c r="GV262" s="37"/>
      <c r="GW262" s="44"/>
      <c r="GX262" s="36"/>
      <c r="GY262" s="36"/>
      <c r="GZ262" s="36"/>
      <c r="HA262" s="36"/>
      <c r="HB262" s="36"/>
      <c r="HC262" s="36"/>
      <c r="HD262" s="36"/>
      <c r="HE262" s="36"/>
      <c r="HF262" s="36"/>
      <c r="HG262" s="36"/>
      <c r="HH262" s="36"/>
      <c r="HI262" s="36"/>
      <c r="HJ262" s="36"/>
      <c r="HK262" s="36"/>
      <c r="HL262" s="36"/>
      <c r="HM262" s="37"/>
      <c r="HN262" s="44"/>
      <c r="HO262" s="36"/>
      <c r="HP262" s="36"/>
      <c r="HQ262" s="36"/>
      <c r="HR262" s="36"/>
      <c r="HS262" s="36"/>
      <c r="HT262" s="36"/>
      <c r="HU262" s="36"/>
      <c r="HV262" s="36"/>
      <c r="HW262" s="36"/>
      <c r="HX262" s="36"/>
      <c r="HY262" s="36"/>
      <c r="HZ262" s="36"/>
      <c r="IA262" s="36"/>
      <c r="IB262" s="36"/>
      <c r="IC262" s="36"/>
      <c r="ID262" s="37"/>
      <c r="IE262" s="44"/>
      <c r="IF262" s="36"/>
      <c r="IG262" s="36"/>
      <c r="IH262" s="36"/>
      <c r="II262" s="36"/>
      <c r="IJ262" s="36"/>
      <c r="IK262" s="36"/>
      <c r="IL262" s="36"/>
      <c r="IM262" s="36"/>
      <c r="IN262" s="36"/>
      <c r="IO262" s="36"/>
      <c r="IP262" s="36"/>
      <c r="IQ262" s="36"/>
      <c r="IR262" s="36"/>
      <c r="IS262" s="36"/>
      <c r="IT262" s="36"/>
      <c r="IU262" s="37"/>
      <c r="IV262" s="44"/>
      <c r="IW262" s="36"/>
      <c r="IX262" s="36"/>
      <c r="IY262" s="36"/>
      <c r="IZ262" s="36"/>
      <c r="JA262" s="36"/>
      <c r="JB262" s="36"/>
      <c r="JC262" s="36"/>
      <c r="JD262" s="36"/>
      <c r="JE262" s="36"/>
      <c r="JF262" s="36"/>
      <c r="JG262" s="36"/>
      <c r="JH262" s="36"/>
      <c r="JI262" s="36"/>
      <c r="JJ262" s="36"/>
      <c r="JK262" s="36"/>
      <c r="JL262" s="37"/>
      <c r="JM262" s="44"/>
      <c r="JN262" s="36"/>
      <c r="JO262" s="36"/>
      <c r="JP262" s="36"/>
      <c r="JQ262" s="36"/>
      <c r="JR262" s="36"/>
      <c r="JS262" s="36"/>
      <c r="JT262" s="36"/>
      <c r="JU262" s="36"/>
      <c r="JV262" s="36"/>
      <c r="JW262" s="36"/>
      <c r="JX262" s="36"/>
      <c r="JY262" s="36"/>
      <c r="JZ262" s="36"/>
      <c r="KA262" s="36"/>
      <c r="KB262" s="36"/>
      <c r="KC262" s="37"/>
      <c r="KD262" s="44"/>
      <c r="KE262" s="36"/>
      <c r="KF262" s="36"/>
      <c r="KG262" s="36"/>
      <c r="KH262" s="36"/>
      <c r="KI262" s="36"/>
      <c r="KJ262" s="36"/>
      <c r="KK262" s="36"/>
      <c r="KL262" s="36"/>
      <c r="KM262" s="36"/>
      <c r="KN262" s="36"/>
      <c r="KO262" s="36"/>
      <c r="KP262" s="36"/>
      <c r="KQ262" s="36"/>
      <c r="KR262" s="36"/>
      <c r="KS262" s="36"/>
      <c r="KT262" s="37"/>
      <c r="KU262" s="36"/>
    </row>
    <row r="263" ht="15.0" customHeight="1">
      <c r="A263" s="44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7"/>
      <c r="R263" s="44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7"/>
      <c r="AI263" s="44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  <c r="AU263" s="36"/>
      <c r="AV263" s="36"/>
      <c r="AW263" s="36"/>
      <c r="AX263" s="36"/>
      <c r="AY263" s="37"/>
      <c r="AZ263" s="44"/>
      <c r="BA263" s="36"/>
      <c r="BB263" s="36"/>
      <c r="BC263" s="36"/>
      <c r="BD263" s="36"/>
      <c r="BE263" s="36"/>
      <c r="BF263" s="36"/>
      <c r="BG263" s="36"/>
      <c r="BH263" s="36"/>
      <c r="BI263" s="36"/>
      <c r="BJ263" s="36"/>
      <c r="BK263" s="36"/>
      <c r="BL263" s="36"/>
      <c r="BM263" s="36"/>
      <c r="BN263" s="36"/>
      <c r="BO263" s="36"/>
      <c r="BP263" s="37"/>
      <c r="BQ263" s="44"/>
      <c r="BR263" s="36"/>
      <c r="BS263" s="36"/>
      <c r="BT263" s="36"/>
      <c r="BU263" s="36"/>
      <c r="BV263" s="36"/>
      <c r="BW263" s="36"/>
      <c r="BX263" s="36"/>
      <c r="BY263" s="36"/>
      <c r="BZ263" s="36"/>
      <c r="CA263" s="36"/>
      <c r="CB263" s="36"/>
      <c r="CC263" s="36"/>
      <c r="CD263" s="36"/>
      <c r="CE263" s="36"/>
      <c r="CF263" s="36"/>
      <c r="CG263" s="37"/>
      <c r="CH263" s="44"/>
      <c r="CI263" s="36"/>
      <c r="CJ263" s="36"/>
      <c r="CK263" s="36"/>
      <c r="CL263" s="36"/>
      <c r="CM263" s="36"/>
      <c r="CN263" s="36"/>
      <c r="CO263" s="36"/>
      <c r="CP263" s="36"/>
      <c r="CQ263" s="36"/>
      <c r="CR263" s="36"/>
      <c r="CS263" s="36"/>
      <c r="CT263" s="36"/>
      <c r="CU263" s="36"/>
      <c r="CV263" s="36"/>
      <c r="CW263" s="36"/>
      <c r="CX263" s="37"/>
      <c r="CY263" s="44"/>
      <c r="CZ263" s="36"/>
      <c r="DA263" s="36"/>
      <c r="DB263" s="36"/>
      <c r="DC263" s="36"/>
      <c r="DD263" s="36"/>
      <c r="DE263" s="36"/>
      <c r="DF263" s="36"/>
      <c r="DG263" s="36"/>
      <c r="DH263" s="36"/>
      <c r="DI263" s="36"/>
      <c r="DJ263" s="36"/>
      <c r="DK263" s="36"/>
      <c r="DL263" s="36"/>
      <c r="DM263" s="36"/>
      <c r="DN263" s="36"/>
      <c r="DO263" s="37"/>
      <c r="DP263" s="44"/>
      <c r="DQ263" s="36"/>
      <c r="DR263" s="36"/>
      <c r="DS263" s="36"/>
      <c r="DT263" s="36"/>
      <c r="DU263" s="36"/>
      <c r="DV263" s="36"/>
      <c r="DW263" s="36"/>
      <c r="DX263" s="36"/>
      <c r="DY263" s="36"/>
      <c r="DZ263" s="36"/>
      <c r="EA263" s="36"/>
      <c r="EB263" s="36"/>
      <c r="EC263" s="36"/>
      <c r="ED263" s="36"/>
      <c r="EE263" s="36"/>
      <c r="EF263" s="37"/>
      <c r="EG263" s="44"/>
      <c r="EH263" s="36"/>
      <c r="EI263" s="36"/>
      <c r="EJ263" s="36"/>
      <c r="EK263" s="36"/>
      <c r="EL263" s="36"/>
      <c r="EM263" s="36"/>
      <c r="EN263" s="36"/>
      <c r="EO263" s="36"/>
      <c r="EP263" s="36"/>
      <c r="EQ263" s="36"/>
      <c r="ER263" s="36"/>
      <c r="ES263" s="36"/>
      <c r="ET263" s="36"/>
      <c r="EU263" s="36"/>
      <c r="EV263" s="36"/>
      <c r="EW263" s="37"/>
      <c r="EX263" s="44"/>
      <c r="EY263" s="36"/>
      <c r="EZ263" s="36"/>
      <c r="FA263" s="36"/>
      <c r="FB263" s="36"/>
      <c r="FC263" s="36"/>
      <c r="FD263" s="36"/>
      <c r="FE263" s="36"/>
      <c r="FF263" s="36"/>
      <c r="FG263" s="36"/>
      <c r="FH263" s="36"/>
      <c r="FI263" s="36"/>
      <c r="FJ263" s="36"/>
      <c r="FK263" s="36"/>
      <c r="FL263" s="36"/>
      <c r="FM263" s="36"/>
      <c r="FN263" s="37"/>
      <c r="FO263" s="44"/>
      <c r="FP263" s="36"/>
      <c r="FQ263" s="36"/>
      <c r="FR263" s="36"/>
      <c r="FS263" s="36"/>
      <c r="FT263" s="36"/>
      <c r="FU263" s="36"/>
      <c r="FV263" s="36"/>
      <c r="FW263" s="36"/>
      <c r="FX263" s="36"/>
      <c r="FY263" s="36"/>
      <c r="FZ263" s="36"/>
      <c r="GA263" s="36"/>
      <c r="GB263" s="36"/>
      <c r="GC263" s="36"/>
      <c r="GD263" s="36"/>
      <c r="GE263" s="37"/>
      <c r="GF263" s="44"/>
      <c r="GG263" s="36"/>
      <c r="GH263" s="36"/>
      <c r="GI263" s="36"/>
      <c r="GJ263" s="36"/>
      <c r="GK263" s="36"/>
      <c r="GL263" s="36"/>
      <c r="GM263" s="36"/>
      <c r="GN263" s="36"/>
      <c r="GO263" s="36"/>
      <c r="GP263" s="36"/>
      <c r="GQ263" s="36"/>
      <c r="GR263" s="36"/>
      <c r="GS263" s="36"/>
      <c r="GT263" s="36"/>
      <c r="GU263" s="36"/>
      <c r="GV263" s="37"/>
      <c r="GW263" s="44"/>
      <c r="GX263" s="36"/>
      <c r="GY263" s="36"/>
      <c r="GZ263" s="36"/>
      <c r="HA263" s="36"/>
      <c r="HB263" s="36"/>
      <c r="HC263" s="36"/>
      <c r="HD263" s="36"/>
      <c r="HE263" s="36"/>
      <c r="HF263" s="36"/>
      <c r="HG263" s="36"/>
      <c r="HH263" s="36"/>
      <c r="HI263" s="36"/>
      <c r="HJ263" s="36"/>
      <c r="HK263" s="36"/>
      <c r="HL263" s="36"/>
      <c r="HM263" s="37"/>
      <c r="HN263" s="44"/>
      <c r="HO263" s="36"/>
      <c r="HP263" s="36"/>
      <c r="HQ263" s="36"/>
      <c r="HR263" s="36"/>
      <c r="HS263" s="36"/>
      <c r="HT263" s="36"/>
      <c r="HU263" s="36"/>
      <c r="HV263" s="36"/>
      <c r="HW263" s="36"/>
      <c r="HX263" s="36"/>
      <c r="HY263" s="36"/>
      <c r="HZ263" s="36"/>
      <c r="IA263" s="36"/>
      <c r="IB263" s="36"/>
      <c r="IC263" s="36"/>
      <c r="ID263" s="37"/>
      <c r="IE263" s="44"/>
      <c r="IF263" s="36"/>
      <c r="IG263" s="36"/>
      <c r="IH263" s="36"/>
      <c r="II263" s="36"/>
      <c r="IJ263" s="36"/>
      <c r="IK263" s="36"/>
      <c r="IL263" s="36"/>
      <c r="IM263" s="36"/>
      <c r="IN263" s="36"/>
      <c r="IO263" s="36"/>
      <c r="IP263" s="36"/>
      <c r="IQ263" s="36"/>
      <c r="IR263" s="36"/>
      <c r="IS263" s="36"/>
      <c r="IT263" s="36"/>
      <c r="IU263" s="37"/>
      <c r="IV263" s="44"/>
      <c r="IW263" s="36"/>
      <c r="IX263" s="36"/>
      <c r="IY263" s="36"/>
      <c r="IZ263" s="36"/>
      <c r="JA263" s="36"/>
      <c r="JB263" s="36"/>
      <c r="JC263" s="36"/>
      <c r="JD263" s="36"/>
      <c r="JE263" s="36"/>
      <c r="JF263" s="36"/>
      <c r="JG263" s="36"/>
      <c r="JH263" s="36"/>
      <c r="JI263" s="36"/>
      <c r="JJ263" s="36"/>
      <c r="JK263" s="36"/>
      <c r="JL263" s="37"/>
      <c r="JM263" s="44"/>
      <c r="JN263" s="36"/>
      <c r="JO263" s="36"/>
      <c r="JP263" s="36"/>
      <c r="JQ263" s="36"/>
      <c r="JR263" s="36"/>
      <c r="JS263" s="36"/>
      <c r="JT263" s="36"/>
      <c r="JU263" s="36"/>
      <c r="JV263" s="36"/>
      <c r="JW263" s="36"/>
      <c r="JX263" s="36"/>
      <c r="JY263" s="36"/>
      <c r="JZ263" s="36"/>
      <c r="KA263" s="36"/>
      <c r="KB263" s="36"/>
      <c r="KC263" s="37"/>
      <c r="KD263" s="44"/>
      <c r="KE263" s="36"/>
      <c r="KF263" s="36"/>
      <c r="KG263" s="36"/>
      <c r="KH263" s="36"/>
      <c r="KI263" s="36"/>
      <c r="KJ263" s="36"/>
      <c r="KK263" s="36"/>
      <c r="KL263" s="36"/>
      <c r="KM263" s="36"/>
      <c r="KN263" s="36"/>
      <c r="KO263" s="36"/>
      <c r="KP263" s="36"/>
      <c r="KQ263" s="36"/>
      <c r="KR263" s="36"/>
      <c r="KS263" s="36"/>
      <c r="KT263" s="37"/>
      <c r="KU263" s="36"/>
    </row>
    <row r="264" ht="15.0" customHeight="1">
      <c r="A264" s="44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7"/>
      <c r="R264" s="44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7"/>
      <c r="AI264" s="44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  <c r="AU264" s="36"/>
      <c r="AV264" s="36"/>
      <c r="AW264" s="36"/>
      <c r="AX264" s="36"/>
      <c r="AY264" s="37"/>
      <c r="AZ264" s="44"/>
      <c r="BA264" s="36"/>
      <c r="BB264" s="36"/>
      <c r="BC264" s="36"/>
      <c r="BD264" s="36"/>
      <c r="BE264" s="36"/>
      <c r="BF264" s="36"/>
      <c r="BG264" s="36"/>
      <c r="BH264" s="36"/>
      <c r="BI264" s="36"/>
      <c r="BJ264" s="36"/>
      <c r="BK264" s="36"/>
      <c r="BL264" s="36"/>
      <c r="BM264" s="36"/>
      <c r="BN264" s="36"/>
      <c r="BO264" s="36"/>
      <c r="BP264" s="37"/>
      <c r="BQ264" s="44"/>
      <c r="BR264" s="36"/>
      <c r="BS264" s="36"/>
      <c r="BT264" s="36"/>
      <c r="BU264" s="36"/>
      <c r="BV264" s="36"/>
      <c r="BW264" s="36"/>
      <c r="BX264" s="36"/>
      <c r="BY264" s="36"/>
      <c r="BZ264" s="36"/>
      <c r="CA264" s="36"/>
      <c r="CB264" s="36"/>
      <c r="CC264" s="36"/>
      <c r="CD264" s="36"/>
      <c r="CE264" s="36"/>
      <c r="CF264" s="36"/>
      <c r="CG264" s="37"/>
      <c r="CH264" s="44"/>
      <c r="CI264" s="36"/>
      <c r="CJ264" s="36"/>
      <c r="CK264" s="36"/>
      <c r="CL264" s="36"/>
      <c r="CM264" s="36"/>
      <c r="CN264" s="36"/>
      <c r="CO264" s="36"/>
      <c r="CP264" s="36"/>
      <c r="CQ264" s="36"/>
      <c r="CR264" s="36"/>
      <c r="CS264" s="36"/>
      <c r="CT264" s="36"/>
      <c r="CU264" s="36"/>
      <c r="CV264" s="36"/>
      <c r="CW264" s="36"/>
      <c r="CX264" s="37"/>
      <c r="CY264" s="44"/>
      <c r="CZ264" s="36"/>
      <c r="DA264" s="36"/>
      <c r="DB264" s="36"/>
      <c r="DC264" s="36"/>
      <c r="DD264" s="36"/>
      <c r="DE264" s="36"/>
      <c r="DF264" s="36"/>
      <c r="DG264" s="36"/>
      <c r="DH264" s="36"/>
      <c r="DI264" s="36"/>
      <c r="DJ264" s="36"/>
      <c r="DK264" s="36"/>
      <c r="DL264" s="36"/>
      <c r="DM264" s="36"/>
      <c r="DN264" s="36"/>
      <c r="DO264" s="37"/>
      <c r="DP264" s="44"/>
      <c r="DQ264" s="36"/>
      <c r="DR264" s="36"/>
      <c r="DS264" s="36"/>
      <c r="DT264" s="36"/>
      <c r="DU264" s="36"/>
      <c r="DV264" s="36"/>
      <c r="DW264" s="36"/>
      <c r="DX264" s="36"/>
      <c r="DY264" s="36"/>
      <c r="DZ264" s="36"/>
      <c r="EA264" s="36"/>
      <c r="EB264" s="36"/>
      <c r="EC264" s="36"/>
      <c r="ED264" s="36"/>
      <c r="EE264" s="36"/>
      <c r="EF264" s="37"/>
      <c r="EG264" s="44"/>
      <c r="EH264" s="36"/>
      <c r="EI264" s="36"/>
      <c r="EJ264" s="36"/>
      <c r="EK264" s="36"/>
      <c r="EL264" s="36"/>
      <c r="EM264" s="36"/>
      <c r="EN264" s="36"/>
      <c r="EO264" s="36"/>
      <c r="EP264" s="36"/>
      <c r="EQ264" s="36"/>
      <c r="ER264" s="36"/>
      <c r="ES264" s="36"/>
      <c r="ET264" s="36"/>
      <c r="EU264" s="36"/>
      <c r="EV264" s="36"/>
      <c r="EW264" s="37"/>
      <c r="EX264" s="44"/>
      <c r="EY264" s="36"/>
      <c r="EZ264" s="36"/>
      <c r="FA264" s="36"/>
      <c r="FB264" s="36"/>
      <c r="FC264" s="36"/>
      <c r="FD264" s="36"/>
      <c r="FE264" s="36"/>
      <c r="FF264" s="36"/>
      <c r="FG264" s="36"/>
      <c r="FH264" s="36"/>
      <c r="FI264" s="36"/>
      <c r="FJ264" s="36"/>
      <c r="FK264" s="36"/>
      <c r="FL264" s="36"/>
      <c r="FM264" s="36"/>
      <c r="FN264" s="37"/>
      <c r="FO264" s="44"/>
      <c r="FP264" s="36"/>
      <c r="FQ264" s="36"/>
      <c r="FR264" s="36"/>
      <c r="FS264" s="36"/>
      <c r="FT264" s="36"/>
      <c r="FU264" s="36"/>
      <c r="FV264" s="36"/>
      <c r="FW264" s="36"/>
      <c r="FX264" s="36"/>
      <c r="FY264" s="36"/>
      <c r="FZ264" s="36"/>
      <c r="GA264" s="36"/>
      <c r="GB264" s="36"/>
      <c r="GC264" s="36"/>
      <c r="GD264" s="36"/>
      <c r="GE264" s="37"/>
      <c r="GF264" s="44"/>
      <c r="GG264" s="36"/>
      <c r="GH264" s="36"/>
      <c r="GI264" s="36"/>
      <c r="GJ264" s="36"/>
      <c r="GK264" s="36"/>
      <c r="GL264" s="36"/>
      <c r="GM264" s="36"/>
      <c r="GN264" s="36"/>
      <c r="GO264" s="36"/>
      <c r="GP264" s="36"/>
      <c r="GQ264" s="36"/>
      <c r="GR264" s="36"/>
      <c r="GS264" s="36"/>
      <c r="GT264" s="36"/>
      <c r="GU264" s="36"/>
      <c r="GV264" s="37"/>
      <c r="GW264" s="44"/>
      <c r="GX264" s="36"/>
      <c r="GY264" s="36"/>
      <c r="GZ264" s="36"/>
      <c r="HA264" s="36"/>
      <c r="HB264" s="36"/>
      <c r="HC264" s="36"/>
      <c r="HD264" s="36"/>
      <c r="HE264" s="36"/>
      <c r="HF264" s="36"/>
      <c r="HG264" s="36"/>
      <c r="HH264" s="36"/>
      <c r="HI264" s="36"/>
      <c r="HJ264" s="36"/>
      <c r="HK264" s="36"/>
      <c r="HL264" s="36"/>
      <c r="HM264" s="37"/>
      <c r="HN264" s="44"/>
      <c r="HO264" s="36"/>
      <c r="HP264" s="36"/>
      <c r="HQ264" s="36"/>
      <c r="HR264" s="36"/>
      <c r="HS264" s="36"/>
      <c r="HT264" s="36"/>
      <c r="HU264" s="36"/>
      <c r="HV264" s="36"/>
      <c r="HW264" s="36"/>
      <c r="HX264" s="36"/>
      <c r="HY264" s="36"/>
      <c r="HZ264" s="36"/>
      <c r="IA264" s="36"/>
      <c r="IB264" s="36"/>
      <c r="IC264" s="36"/>
      <c r="ID264" s="37"/>
      <c r="IE264" s="44"/>
      <c r="IF264" s="36"/>
      <c r="IG264" s="36"/>
      <c r="IH264" s="36"/>
      <c r="II264" s="36"/>
      <c r="IJ264" s="36"/>
      <c r="IK264" s="36"/>
      <c r="IL264" s="36"/>
      <c r="IM264" s="36"/>
      <c r="IN264" s="36"/>
      <c r="IO264" s="36"/>
      <c r="IP264" s="36"/>
      <c r="IQ264" s="36"/>
      <c r="IR264" s="36"/>
      <c r="IS264" s="36"/>
      <c r="IT264" s="36"/>
      <c r="IU264" s="37"/>
      <c r="IV264" s="44"/>
      <c r="IW264" s="36"/>
      <c r="IX264" s="36"/>
      <c r="IY264" s="36"/>
      <c r="IZ264" s="36"/>
      <c r="JA264" s="36"/>
      <c r="JB264" s="36"/>
      <c r="JC264" s="36"/>
      <c r="JD264" s="36"/>
      <c r="JE264" s="36"/>
      <c r="JF264" s="36"/>
      <c r="JG264" s="36"/>
      <c r="JH264" s="36"/>
      <c r="JI264" s="36"/>
      <c r="JJ264" s="36"/>
      <c r="JK264" s="36"/>
      <c r="JL264" s="37"/>
      <c r="JM264" s="44"/>
      <c r="JN264" s="36"/>
      <c r="JO264" s="36"/>
      <c r="JP264" s="36"/>
      <c r="JQ264" s="36"/>
      <c r="JR264" s="36"/>
      <c r="JS264" s="36"/>
      <c r="JT264" s="36"/>
      <c r="JU264" s="36"/>
      <c r="JV264" s="36"/>
      <c r="JW264" s="36"/>
      <c r="JX264" s="36"/>
      <c r="JY264" s="36"/>
      <c r="JZ264" s="36"/>
      <c r="KA264" s="36"/>
      <c r="KB264" s="36"/>
      <c r="KC264" s="37"/>
      <c r="KD264" s="44"/>
      <c r="KE264" s="36"/>
      <c r="KF264" s="36"/>
      <c r="KG264" s="36"/>
      <c r="KH264" s="36"/>
      <c r="KI264" s="36"/>
      <c r="KJ264" s="36"/>
      <c r="KK264" s="36"/>
      <c r="KL264" s="36"/>
      <c r="KM264" s="36"/>
      <c r="KN264" s="36"/>
      <c r="KO264" s="36"/>
      <c r="KP264" s="36"/>
      <c r="KQ264" s="36"/>
      <c r="KR264" s="36"/>
      <c r="KS264" s="36"/>
      <c r="KT264" s="37"/>
      <c r="KU264" s="36"/>
    </row>
    <row r="265" ht="15.0" customHeight="1">
      <c r="A265" s="44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7"/>
      <c r="R265" s="44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7"/>
      <c r="AI265" s="44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  <c r="AU265" s="36"/>
      <c r="AV265" s="36"/>
      <c r="AW265" s="36"/>
      <c r="AX265" s="36"/>
      <c r="AY265" s="37"/>
      <c r="AZ265" s="44"/>
      <c r="BA265" s="36"/>
      <c r="BB265" s="36"/>
      <c r="BC265" s="36"/>
      <c r="BD265" s="36"/>
      <c r="BE265" s="36"/>
      <c r="BF265" s="36"/>
      <c r="BG265" s="36"/>
      <c r="BH265" s="36"/>
      <c r="BI265" s="36"/>
      <c r="BJ265" s="36"/>
      <c r="BK265" s="36"/>
      <c r="BL265" s="36"/>
      <c r="BM265" s="36"/>
      <c r="BN265" s="36"/>
      <c r="BO265" s="36"/>
      <c r="BP265" s="37"/>
      <c r="BQ265" s="44"/>
      <c r="BR265" s="36"/>
      <c r="BS265" s="36"/>
      <c r="BT265" s="36"/>
      <c r="BU265" s="36"/>
      <c r="BV265" s="36"/>
      <c r="BW265" s="36"/>
      <c r="BX265" s="36"/>
      <c r="BY265" s="36"/>
      <c r="BZ265" s="36"/>
      <c r="CA265" s="36"/>
      <c r="CB265" s="36"/>
      <c r="CC265" s="36"/>
      <c r="CD265" s="36"/>
      <c r="CE265" s="36"/>
      <c r="CF265" s="36"/>
      <c r="CG265" s="37"/>
      <c r="CH265" s="44"/>
      <c r="CI265" s="36"/>
      <c r="CJ265" s="36"/>
      <c r="CK265" s="36"/>
      <c r="CL265" s="36"/>
      <c r="CM265" s="36"/>
      <c r="CN265" s="36"/>
      <c r="CO265" s="36"/>
      <c r="CP265" s="36"/>
      <c r="CQ265" s="36"/>
      <c r="CR265" s="36"/>
      <c r="CS265" s="36"/>
      <c r="CT265" s="36"/>
      <c r="CU265" s="36"/>
      <c r="CV265" s="36"/>
      <c r="CW265" s="36"/>
      <c r="CX265" s="37"/>
      <c r="CY265" s="44"/>
      <c r="CZ265" s="36"/>
      <c r="DA265" s="36"/>
      <c r="DB265" s="36"/>
      <c r="DC265" s="36"/>
      <c r="DD265" s="36"/>
      <c r="DE265" s="36"/>
      <c r="DF265" s="36"/>
      <c r="DG265" s="36"/>
      <c r="DH265" s="36"/>
      <c r="DI265" s="36"/>
      <c r="DJ265" s="36"/>
      <c r="DK265" s="36"/>
      <c r="DL265" s="36"/>
      <c r="DM265" s="36"/>
      <c r="DN265" s="36"/>
      <c r="DO265" s="37"/>
      <c r="DP265" s="44"/>
      <c r="DQ265" s="36"/>
      <c r="DR265" s="36"/>
      <c r="DS265" s="36"/>
      <c r="DT265" s="36"/>
      <c r="DU265" s="36"/>
      <c r="DV265" s="36"/>
      <c r="DW265" s="36"/>
      <c r="DX265" s="36"/>
      <c r="DY265" s="36"/>
      <c r="DZ265" s="36"/>
      <c r="EA265" s="36"/>
      <c r="EB265" s="36"/>
      <c r="EC265" s="36"/>
      <c r="ED265" s="36"/>
      <c r="EE265" s="36"/>
      <c r="EF265" s="37"/>
      <c r="EG265" s="44"/>
      <c r="EH265" s="36"/>
      <c r="EI265" s="36"/>
      <c r="EJ265" s="36"/>
      <c r="EK265" s="36"/>
      <c r="EL265" s="36"/>
      <c r="EM265" s="36"/>
      <c r="EN265" s="36"/>
      <c r="EO265" s="36"/>
      <c r="EP265" s="36"/>
      <c r="EQ265" s="36"/>
      <c r="ER265" s="36"/>
      <c r="ES265" s="36"/>
      <c r="ET265" s="36"/>
      <c r="EU265" s="36"/>
      <c r="EV265" s="36"/>
      <c r="EW265" s="37"/>
      <c r="EX265" s="44"/>
      <c r="EY265" s="36"/>
      <c r="EZ265" s="36"/>
      <c r="FA265" s="36"/>
      <c r="FB265" s="36"/>
      <c r="FC265" s="36"/>
      <c r="FD265" s="36"/>
      <c r="FE265" s="36"/>
      <c r="FF265" s="36"/>
      <c r="FG265" s="36"/>
      <c r="FH265" s="36"/>
      <c r="FI265" s="36"/>
      <c r="FJ265" s="36"/>
      <c r="FK265" s="36"/>
      <c r="FL265" s="36"/>
      <c r="FM265" s="36"/>
      <c r="FN265" s="37"/>
      <c r="FO265" s="44"/>
      <c r="FP265" s="36"/>
      <c r="FQ265" s="36"/>
      <c r="FR265" s="36"/>
      <c r="FS265" s="36"/>
      <c r="FT265" s="36"/>
      <c r="FU265" s="36"/>
      <c r="FV265" s="36"/>
      <c r="FW265" s="36"/>
      <c r="FX265" s="36"/>
      <c r="FY265" s="36"/>
      <c r="FZ265" s="36"/>
      <c r="GA265" s="36"/>
      <c r="GB265" s="36"/>
      <c r="GC265" s="36"/>
      <c r="GD265" s="36"/>
      <c r="GE265" s="37"/>
      <c r="GF265" s="44"/>
      <c r="GG265" s="36"/>
      <c r="GH265" s="36"/>
      <c r="GI265" s="36"/>
      <c r="GJ265" s="36"/>
      <c r="GK265" s="36"/>
      <c r="GL265" s="36"/>
      <c r="GM265" s="36"/>
      <c r="GN265" s="36"/>
      <c r="GO265" s="36"/>
      <c r="GP265" s="36"/>
      <c r="GQ265" s="36"/>
      <c r="GR265" s="36"/>
      <c r="GS265" s="36"/>
      <c r="GT265" s="36"/>
      <c r="GU265" s="36"/>
      <c r="GV265" s="37"/>
      <c r="GW265" s="44"/>
      <c r="GX265" s="36"/>
      <c r="GY265" s="36"/>
      <c r="GZ265" s="36"/>
      <c r="HA265" s="36"/>
      <c r="HB265" s="36"/>
      <c r="HC265" s="36"/>
      <c r="HD265" s="36"/>
      <c r="HE265" s="36"/>
      <c r="HF265" s="36"/>
      <c r="HG265" s="36"/>
      <c r="HH265" s="36"/>
      <c r="HI265" s="36"/>
      <c r="HJ265" s="36"/>
      <c r="HK265" s="36"/>
      <c r="HL265" s="36"/>
      <c r="HM265" s="37"/>
      <c r="HN265" s="44"/>
      <c r="HO265" s="36"/>
      <c r="HP265" s="36"/>
      <c r="HQ265" s="36"/>
      <c r="HR265" s="36"/>
      <c r="HS265" s="36"/>
      <c r="HT265" s="36"/>
      <c r="HU265" s="36"/>
      <c r="HV265" s="36"/>
      <c r="HW265" s="36"/>
      <c r="HX265" s="36"/>
      <c r="HY265" s="36"/>
      <c r="HZ265" s="36"/>
      <c r="IA265" s="36"/>
      <c r="IB265" s="36"/>
      <c r="IC265" s="36"/>
      <c r="ID265" s="37"/>
      <c r="IE265" s="44"/>
      <c r="IF265" s="36"/>
      <c r="IG265" s="36"/>
      <c r="IH265" s="36"/>
      <c r="II265" s="36"/>
      <c r="IJ265" s="36"/>
      <c r="IK265" s="36"/>
      <c r="IL265" s="36"/>
      <c r="IM265" s="36"/>
      <c r="IN265" s="36"/>
      <c r="IO265" s="36"/>
      <c r="IP265" s="36"/>
      <c r="IQ265" s="36"/>
      <c r="IR265" s="36"/>
      <c r="IS265" s="36"/>
      <c r="IT265" s="36"/>
      <c r="IU265" s="37"/>
      <c r="IV265" s="44"/>
      <c r="IW265" s="36"/>
      <c r="IX265" s="36"/>
      <c r="IY265" s="36"/>
      <c r="IZ265" s="36"/>
      <c r="JA265" s="36"/>
      <c r="JB265" s="36"/>
      <c r="JC265" s="36"/>
      <c r="JD265" s="36"/>
      <c r="JE265" s="36"/>
      <c r="JF265" s="36"/>
      <c r="JG265" s="36"/>
      <c r="JH265" s="36"/>
      <c r="JI265" s="36"/>
      <c r="JJ265" s="36"/>
      <c r="JK265" s="36"/>
      <c r="JL265" s="37"/>
      <c r="JM265" s="44"/>
      <c r="JN265" s="36"/>
      <c r="JO265" s="36"/>
      <c r="JP265" s="36"/>
      <c r="JQ265" s="36"/>
      <c r="JR265" s="36"/>
      <c r="JS265" s="36"/>
      <c r="JT265" s="36"/>
      <c r="JU265" s="36"/>
      <c r="JV265" s="36"/>
      <c r="JW265" s="36"/>
      <c r="JX265" s="36"/>
      <c r="JY265" s="36"/>
      <c r="JZ265" s="36"/>
      <c r="KA265" s="36"/>
      <c r="KB265" s="36"/>
      <c r="KC265" s="37"/>
      <c r="KD265" s="44"/>
      <c r="KE265" s="36"/>
      <c r="KF265" s="36"/>
      <c r="KG265" s="36"/>
      <c r="KH265" s="36"/>
      <c r="KI265" s="36"/>
      <c r="KJ265" s="36"/>
      <c r="KK265" s="36"/>
      <c r="KL265" s="36"/>
      <c r="KM265" s="36"/>
      <c r="KN265" s="36"/>
      <c r="KO265" s="36"/>
      <c r="KP265" s="36"/>
      <c r="KQ265" s="36"/>
      <c r="KR265" s="36"/>
      <c r="KS265" s="36"/>
      <c r="KT265" s="37"/>
      <c r="KU265" s="36"/>
    </row>
    <row r="266" ht="15.0" customHeight="1">
      <c r="A266" s="44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7"/>
      <c r="R266" s="44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7"/>
      <c r="AI266" s="44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  <c r="AU266" s="36"/>
      <c r="AV266" s="36"/>
      <c r="AW266" s="36"/>
      <c r="AX266" s="36"/>
      <c r="AY266" s="37"/>
      <c r="AZ266" s="44"/>
      <c r="BA266" s="36"/>
      <c r="BB266" s="36"/>
      <c r="BC266" s="36"/>
      <c r="BD266" s="36"/>
      <c r="BE266" s="36"/>
      <c r="BF266" s="36"/>
      <c r="BG266" s="36"/>
      <c r="BH266" s="36"/>
      <c r="BI266" s="36"/>
      <c r="BJ266" s="36"/>
      <c r="BK266" s="36"/>
      <c r="BL266" s="36"/>
      <c r="BM266" s="36"/>
      <c r="BN266" s="36"/>
      <c r="BO266" s="36"/>
      <c r="BP266" s="37"/>
      <c r="BQ266" s="44"/>
      <c r="BR266" s="36"/>
      <c r="BS266" s="36"/>
      <c r="BT266" s="36"/>
      <c r="BU266" s="36"/>
      <c r="BV266" s="36"/>
      <c r="BW266" s="36"/>
      <c r="BX266" s="36"/>
      <c r="BY266" s="36"/>
      <c r="BZ266" s="36"/>
      <c r="CA266" s="36"/>
      <c r="CB266" s="36"/>
      <c r="CC266" s="36"/>
      <c r="CD266" s="36"/>
      <c r="CE266" s="36"/>
      <c r="CF266" s="36"/>
      <c r="CG266" s="37"/>
      <c r="CH266" s="44"/>
      <c r="CI266" s="36"/>
      <c r="CJ266" s="36"/>
      <c r="CK266" s="36"/>
      <c r="CL266" s="36"/>
      <c r="CM266" s="36"/>
      <c r="CN266" s="36"/>
      <c r="CO266" s="36"/>
      <c r="CP266" s="36"/>
      <c r="CQ266" s="36"/>
      <c r="CR266" s="36"/>
      <c r="CS266" s="36"/>
      <c r="CT266" s="36"/>
      <c r="CU266" s="36"/>
      <c r="CV266" s="36"/>
      <c r="CW266" s="36"/>
      <c r="CX266" s="37"/>
      <c r="CY266" s="44"/>
      <c r="CZ266" s="36"/>
      <c r="DA266" s="36"/>
      <c r="DB266" s="36"/>
      <c r="DC266" s="36"/>
      <c r="DD266" s="36"/>
      <c r="DE266" s="36"/>
      <c r="DF266" s="36"/>
      <c r="DG266" s="36"/>
      <c r="DH266" s="36"/>
      <c r="DI266" s="36"/>
      <c r="DJ266" s="36"/>
      <c r="DK266" s="36"/>
      <c r="DL266" s="36"/>
      <c r="DM266" s="36"/>
      <c r="DN266" s="36"/>
      <c r="DO266" s="37"/>
      <c r="DP266" s="44"/>
      <c r="DQ266" s="36"/>
      <c r="DR266" s="36"/>
      <c r="DS266" s="36"/>
      <c r="DT266" s="36"/>
      <c r="DU266" s="36"/>
      <c r="DV266" s="36"/>
      <c r="DW266" s="36"/>
      <c r="DX266" s="36"/>
      <c r="DY266" s="36"/>
      <c r="DZ266" s="36"/>
      <c r="EA266" s="36"/>
      <c r="EB266" s="36"/>
      <c r="EC266" s="36"/>
      <c r="ED266" s="36"/>
      <c r="EE266" s="36"/>
      <c r="EF266" s="37"/>
      <c r="EG266" s="44"/>
      <c r="EH266" s="36"/>
      <c r="EI266" s="36"/>
      <c r="EJ266" s="36"/>
      <c r="EK266" s="36"/>
      <c r="EL266" s="36"/>
      <c r="EM266" s="36"/>
      <c r="EN266" s="36"/>
      <c r="EO266" s="36"/>
      <c r="EP266" s="36"/>
      <c r="EQ266" s="36"/>
      <c r="ER266" s="36"/>
      <c r="ES266" s="36"/>
      <c r="ET266" s="36"/>
      <c r="EU266" s="36"/>
      <c r="EV266" s="36"/>
      <c r="EW266" s="37"/>
      <c r="EX266" s="44"/>
      <c r="EY266" s="36"/>
      <c r="EZ266" s="36"/>
      <c r="FA266" s="36"/>
      <c r="FB266" s="36"/>
      <c r="FC266" s="36"/>
      <c r="FD266" s="36"/>
      <c r="FE266" s="36"/>
      <c r="FF266" s="36"/>
      <c r="FG266" s="36"/>
      <c r="FH266" s="36"/>
      <c r="FI266" s="36"/>
      <c r="FJ266" s="36"/>
      <c r="FK266" s="36"/>
      <c r="FL266" s="36"/>
      <c r="FM266" s="36"/>
      <c r="FN266" s="37"/>
      <c r="FO266" s="44"/>
      <c r="FP266" s="36"/>
      <c r="FQ266" s="36"/>
      <c r="FR266" s="36"/>
      <c r="FS266" s="36"/>
      <c r="FT266" s="36"/>
      <c r="FU266" s="36"/>
      <c r="FV266" s="36"/>
      <c r="FW266" s="36"/>
      <c r="FX266" s="36"/>
      <c r="FY266" s="36"/>
      <c r="FZ266" s="36"/>
      <c r="GA266" s="36"/>
      <c r="GB266" s="36"/>
      <c r="GC266" s="36"/>
      <c r="GD266" s="36"/>
      <c r="GE266" s="37"/>
      <c r="GF266" s="44"/>
      <c r="GG266" s="36"/>
      <c r="GH266" s="36"/>
      <c r="GI266" s="36"/>
      <c r="GJ266" s="36"/>
      <c r="GK266" s="36"/>
      <c r="GL266" s="36"/>
      <c r="GM266" s="36"/>
      <c r="GN266" s="36"/>
      <c r="GO266" s="36"/>
      <c r="GP266" s="36"/>
      <c r="GQ266" s="36"/>
      <c r="GR266" s="36"/>
      <c r="GS266" s="36"/>
      <c r="GT266" s="36"/>
      <c r="GU266" s="36"/>
      <c r="GV266" s="37"/>
      <c r="GW266" s="44"/>
      <c r="GX266" s="36"/>
      <c r="GY266" s="36"/>
      <c r="GZ266" s="36"/>
      <c r="HA266" s="36"/>
      <c r="HB266" s="36"/>
      <c r="HC266" s="36"/>
      <c r="HD266" s="36"/>
      <c r="HE266" s="36"/>
      <c r="HF266" s="36"/>
      <c r="HG266" s="36"/>
      <c r="HH266" s="36"/>
      <c r="HI266" s="36"/>
      <c r="HJ266" s="36"/>
      <c r="HK266" s="36"/>
      <c r="HL266" s="36"/>
      <c r="HM266" s="37"/>
      <c r="HN266" s="44"/>
      <c r="HO266" s="36"/>
      <c r="HP266" s="36"/>
      <c r="HQ266" s="36"/>
      <c r="HR266" s="36"/>
      <c r="HS266" s="36"/>
      <c r="HT266" s="36"/>
      <c r="HU266" s="36"/>
      <c r="HV266" s="36"/>
      <c r="HW266" s="36"/>
      <c r="HX266" s="36"/>
      <c r="HY266" s="36"/>
      <c r="HZ266" s="36"/>
      <c r="IA266" s="36"/>
      <c r="IB266" s="36"/>
      <c r="IC266" s="36"/>
      <c r="ID266" s="37"/>
      <c r="IE266" s="44"/>
      <c r="IF266" s="36"/>
      <c r="IG266" s="36"/>
      <c r="IH266" s="36"/>
      <c r="II266" s="36"/>
      <c r="IJ266" s="36"/>
      <c r="IK266" s="36"/>
      <c r="IL266" s="36"/>
      <c r="IM266" s="36"/>
      <c r="IN266" s="36"/>
      <c r="IO266" s="36"/>
      <c r="IP266" s="36"/>
      <c r="IQ266" s="36"/>
      <c r="IR266" s="36"/>
      <c r="IS266" s="36"/>
      <c r="IT266" s="36"/>
      <c r="IU266" s="37"/>
      <c r="IV266" s="44"/>
      <c r="IW266" s="36"/>
      <c r="IX266" s="36"/>
      <c r="IY266" s="36"/>
      <c r="IZ266" s="36"/>
      <c r="JA266" s="36"/>
      <c r="JB266" s="36"/>
      <c r="JC266" s="36"/>
      <c r="JD266" s="36"/>
      <c r="JE266" s="36"/>
      <c r="JF266" s="36"/>
      <c r="JG266" s="36"/>
      <c r="JH266" s="36"/>
      <c r="JI266" s="36"/>
      <c r="JJ266" s="36"/>
      <c r="JK266" s="36"/>
      <c r="JL266" s="37"/>
      <c r="JM266" s="44"/>
      <c r="JN266" s="36"/>
      <c r="JO266" s="36"/>
      <c r="JP266" s="36"/>
      <c r="JQ266" s="36"/>
      <c r="JR266" s="36"/>
      <c r="JS266" s="36"/>
      <c r="JT266" s="36"/>
      <c r="JU266" s="36"/>
      <c r="JV266" s="36"/>
      <c r="JW266" s="36"/>
      <c r="JX266" s="36"/>
      <c r="JY266" s="36"/>
      <c r="JZ266" s="36"/>
      <c r="KA266" s="36"/>
      <c r="KB266" s="36"/>
      <c r="KC266" s="37"/>
      <c r="KD266" s="44"/>
      <c r="KE266" s="36"/>
      <c r="KF266" s="36"/>
      <c r="KG266" s="36"/>
      <c r="KH266" s="36"/>
      <c r="KI266" s="36"/>
      <c r="KJ266" s="36"/>
      <c r="KK266" s="36"/>
      <c r="KL266" s="36"/>
      <c r="KM266" s="36"/>
      <c r="KN266" s="36"/>
      <c r="KO266" s="36"/>
      <c r="KP266" s="36"/>
      <c r="KQ266" s="36"/>
      <c r="KR266" s="36"/>
      <c r="KS266" s="36"/>
      <c r="KT266" s="37"/>
      <c r="KU266" s="36"/>
    </row>
    <row r="267" ht="15.0" customHeight="1">
      <c r="A267" s="44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7"/>
      <c r="R267" s="44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7"/>
      <c r="AI267" s="44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  <c r="AU267" s="36"/>
      <c r="AV267" s="36"/>
      <c r="AW267" s="36"/>
      <c r="AX267" s="36"/>
      <c r="AY267" s="37"/>
      <c r="AZ267" s="44"/>
      <c r="BA267" s="36"/>
      <c r="BB267" s="36"/>
      <c r="BC267" s="36"/>
      <c r="BD267" s="36"/>
      <c r="BE267" s="36"/>
      <c r="BF267" s="36"/>
      <c r="BG267" s="36"/>
      <c r="BH267" s="36"/>
      <c r="BI267" s="36"/>
      <c r="BJ267" s="36"/>
      <c r="BK267" s="36"/>
      <c r="BL267" s="36"/>
      <c r="BM267" s="36"/>
      <c r="BN267" s="36"/>
      <c r="BO267" s="36"/>
      <c r="BP267" s="37"/>
      <c r="BQ267" s="44"/>
      <c r="BR267" s="36"/>
      <c r="BS267" s="36"/>
      <c r="BT267" s="36"/>
      <c r="BU267" s="36"/>
      <c r="BV267" s="36"/>
      <c r="BW267" s="36"/>
      <c r="BX267" s="36"/>
      <c r="BY267" s="36"/>
      <c r="BZ267" s="36"/>
      <c r="CA267" s="36"/>
      <c r="CB267" s="36"/>
      <c r="CC267" s="36"/>
      <c r="CD267" s="36"/>
      <c r="CE267" s="36"/>
      <c r="CF267" s="36"/>
      <c r="CG267" s="37"/>
      <c r="CH267" s="44"/>
      <c r="CI267" s="36"/>
      <c r="CJ267" s="36"/>
      <c r="CK267" s="36"/>
      <c r="CL267" s="36"/>
      <c r="CM267" s="36"/>
      <c r="CN267" s="36"/>
      <c r="CO267" s="36"/>
      <c r="CP267" s="36"/>
      <c r="CQ267" s="36"/>
      <c r="CR267" s="36"/>
      <c r="CS267" s="36"/>
      <c r="CT267" s="36"/>
      <c r="CU267" s="36"/>
      <c r="CV267" s="36"/>
      <c r="CW267" s="36"/>
      <c r="CX267" s="37"/>
      <c r="CY267" s="44"/>
      <c r="CZ267" s="36"/>
      <c r="DA267" s="36"/>
      <c r="DB267" s="36"/>
      <c r="DC267" s="36"/>
      <c r="DD267" s="36"/>
      <c r="DE267" s="36"/>
      <c r="DF267" s="36"/>
      <c r="DG267" s="36"/>
      <c r="DH267" s="36"/>
      <c r="DI267" s="36"/>
      <c r="DJ267" s="36"/>
      <c r="DK267" s="36"/>
      <c r="DL267" s="36"/>
      <c r="DM267" s="36"/>
      <c r="DN267" s="36"/>
      <c r="DO267" s="37"/>
      <c r="DP267" s="44"/>
      <c r="DQ267" s="36"/>
      <c r="DR267" s="36"/>
      <c r="DS267" s="36"/>
      <c r="DT267" s="36"/>
      <c r="DU267" s="36"/>
      <c r="DV267" s="36"/>
      <c r="DW267" s="36"/>
      <c r="DX267" s="36"/>
      <c r="DY267" s="36"/>
      <c r="DZ267" s="36"/>
      <c r="EA267" s="36"/>
      <c r="EB267" s="36"/>
      <c r="EC267" s="36"/>
      <c r="ED267" s="36"/>
      <c r="EE267" s="36"/>
      <c r="EF267" s="37"/>
      <c r="EG267" s="44"/>
      <c r="EH267" s="36"/>
      <c r="EI267" s="36"/>
      <c r="EJ267" s="36"/>
      <c r="EK267" s="36"/>
      <c r="EL267" s="36"/>
      <c r="EM267" s="36"/>
      <c r="EN267" s="36"/>
      <c r="EO267" s="36"/>
      <c r="EP267" s="36"/>
      <c r="EQ267" s="36"/>
      <c r="ER267" s="36"/>
      <c r="ES267" s="36"/>
      <c r="ET267" s="36"/>
      <c r="EU267" s="36"/>
      <c r="EV267" s="36"/>
      <c r="EW267" s="37"/>
      <c r="EX267" s="44"/>
      <c r="EY267" s="36"/>
      <c r="EZ267" s="36"/>
      <c r="FA267" s="36"/>
      <c r="FB267" s="36"/>
      <c r="FC267" s="36"/>
      <c r="FD267" s="36"/>
      <c r="FE267" s="36"/>
      <c r="FF267" s="36"/>
      <c r="FG267" s="36"/>
      <c r="FH267" s="36"/>
      <c r="FI267" s="36"/>
      <c r="FJ267" s="36"/>
      <c r="FK267" s="36"/>
      <c r="FL267" s="36"/>
      <c r="FM267" s="36"/>
      <c r="FN267" s="37"/>
      <c r="FO267" s="44"/>
      <c r="FP267" s="36"/>
      <c r="FQ267" s="36"/>
      <c r="FR267" s="36"/>
      <c r="FS267" s="36"/>
      <c r="FT267" s="36"/>
      <c r="FU267" s="36"/>
      <c r="FV267" s="36"/>
      <c r="FW267" s="36"/>
      <c r="FX267" s="36"/>
      <c r="FY267" s="36"/>
      <c r="FZ267" s="36"/>
      <c r="GA267" s="36"/>
      <c r="GB267" s="36"/>
      <c r="GC267" s="36"/>
      <c r="GD267" s="36"/>
      <c r="GE267" s="37"/>
      <c r="GF267" s="44"/>
      <c r="GG267" s="36"/>
      <c r="GH267" s="36"/>
      <c r="GI267" s="36"/>
      <c r="GJ267" s="36"/>
      <c r="GK267" s="36"/>
      <c r="GL267" s="36"/>
      <c r="GM267" s="36"/>
      <c r="GN267" s="36"/>
      <c r="GO267" s="36"/>
      <c r="GP267" s="36"/>
      <c r="GQ267" s="36"/>
      <c r="GR267" s="36"/>
      <c r="GS267" s="36"/>
      <c r="GT267" s="36"/>
      <c r="GU267" s="36"/>
      <c r="GV267" s="37"/>
      <c r="GW267" s="44"/>
      <c r="GX267" s="36"/>
      <c r="GY267" s="36"/>
      <c r="GZ267" s="36"/>
      <c r="HA267" s="36"/>
      <c r="HB267" s="36"/>
      <c r="HC267" s="36"/>
      <c r="HD267" s="36"/>
      <c r="HE267" s="36"/>
      <c r="HF267" s="36"/>
      <c r="HG267" s="36"/>
      <c r="HH267" s="36"/>
      <c r="HI267" s="36"/>
      <c r="HJ267" s="36"/>
      <c r="HK267" s="36"/>
      <c r="HL267" s="36"/>
      <c r="HM267" s="37"/>
      <c r="HN267" s="44"/>
      <c r="HO267" s="36"/>
      <c r="HP267" s="36"/>
      <c r="HQ267" s="36"/>
      <c r="HR267" s="36"/>
      <c r="HS267" s="36"/>
      <c r="HT267" s="36"/>
      <c r="HU267" s="36"/>
      <c r="HV267" s="36"/>
      <c r="HW267" s="36"/>
      <c r="HX267" s="36"/>
      <c r="HY267" s="36"/>
      <c r="HZ267" s="36"/>
      <c r="IA267" s="36"/>
      <c r="IB267" s="36"/>
      <c r="IC267" s="36"/>
      <c r="ID267" s="37"/>
      <c r="IE267" s="44"/>
      <c r="IF267" s="36"/>
      <c r="IG267" s="36"/>
      <c r="IH267" s="36"/>
      <c r="II267" s="36"/>
      <c r="IJ267" s="36"/>
      <c r="IK267" s="36"/>
      <c r="IL267" s="36"/>
      <c r="IM267" s="36"/>
      <c r="IN267" s="36"/>
      <c r="IO267" s="36"/>
      <c r="IP267" s="36"/>
      <c r="IQ267" s="36"/>
      <c r="IR267" s="36"/>
      <c r="IS267" s="36"/>
      <c r="IT267" s="36"/>
      <c r="IU267" s="37"/>
      <c r="IV267" s="44"/>
      <c r="IW267" s="36"/>
      <c r="IX267" s="36"/>
      <c r="IY267" s="36"/>
      <c r="IZ267" s="36"/>
      <c r="JA267" s="36"/>
      <c r="JB267" s="36"/>
      <c r="JC267" s="36"/>
      <c r="JD267" s="36"/>
      <c r="JE267" s="36"/>
      <c r="JF267" s="36"/>
      <c r="JG267" s="36"/>
      <c r="JH267" s="36"/>
      <c r="JI267" s="36"/>
      <c r="JJ267" s="36"/>
      <c r="JK267" s="36"/>
      <c r="JL267" s="37"/>
      <c r="JM267" s="44"/>
      <c r="JN267" s="36"/>
      <c r="JO267" s="36"/>
      <c r="JP267" s="36"/>
      <c r="JQ267" s="36"/>
      <c r="JR267" s="36"/>
      <c r="JS267" s="36"/>
      <c r="JT267" s="36"/>
      <c r="JU267" s="36"/>
      <c r="JV267" s="36"/>
      <c r="JW267" s="36"/>
      <c r="JX267" s="36"/>
      <c r="JY267" s="36"/>
      <c r="JZ267" s="36"/>
      <c r="KA267" s="36"/>
      <c r="KB267" s="36"/>
      <c r="KC267" s="37"/>
      <c r="KD267" s="44"/>
      <c r="KE267" s="36"/>
      <c r="KF267" s="36"/>
      <c r="KG267" s="36"/>
      <c r="KH267" s="36"/>
      <c r="KI267" s="36"/>
      <c r="KJ267" s="36"/>
      <c r="KK267" s="36"/>
      <c r="KL267" s="36"/>
      <c r="KM267" s="36"/>
      <c r="KN267" s="36"/>
      <c r="KO267" s="36"/>
      <c r="KP267" s="36"/>
      <c r="KQ267" s="36"/>
      <c r="KR267" s="36"/>
      <c r="KS267" s="36"/>
      <c r="KT267" s="37"/>
      <c r="KU267" s="36"/>
    </row>
    <row r="268" ht="15.0" customHeight="1">
      <c r="A268" s="44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7"/>
      <c r="R268" s="44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7"/>
      <c r="AI268" s="44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  <c r="AU268" s="36"/>
      <c r="AV268" s="36"/>
      <c r="AW268" s="36"/>
      <c r="AX268" s="36"/>
      <c r="AY268" s="37"/>
      <c r="AZ268" s="44"/>
      <c r="BA268" s="36"/>
      <c r="BB268" s="36"/>
      <c r="BC268" s="36"/>
      <c r="BD268" s="36"/>
      <c r="BE268" s="36"/>
      <c r="BF268" s="36"/>
      <c r="BG268" s="36"/>
      <c r="BH268" s="36"/>
      <c r="BI268" s="36"/>
      <c r="BJ268" s="36"/>
      <c r="BK268" s="36"/>
      <c r="BL268" s="36"/>
      <c r="BM268" s="36"/>
      <c r="BN268" s="36"/>
      <c r="BO268" s="36"/>
      <c r="BP268" s="37"/>
      <c r="BQ268" s="44"/>
      <c r="BR268" s="36"/>
      <c r="BS268" s="36"/>
      <c r="BT268" s="36"/>
      <c r="BU268" s="36"/>
      <c r="BV268" s="36"/>
      <c r="BW268" s="36"/>
      <c r="BX268" s="36"/>
      <c r="BY268" s="36"/>
      <c r="BZ268" s="36"/>
      <c r="CA268" s="36"/>
      <c r="CB268" s="36"/>
      <c r="CC268" s="36"/>
      <c r="CD268" s="36"/>
      <c r="CE268" s="36"/>
      <c r="CF268" s="36"/>
      <c r="CG268" s="37"/>
      <c r="CH268" s="44"/>
      <c r="CI268" s="36"/>
      <c r="CJ268" s="36"/>
      <c r="CK268" s="36"/>
      <c r="CL268" s="36"/>
      <c r="CM268" s="36"/>
      <c r="CN268" s="36"/>
      <c r="CO268" s="36"/>
      <c r="CP268" s="36"/>
      <c r="CQ268" s="36"/>
      <c r="CR268" s="36"/>
      <c r="CS268" s="36"/>
      <c r="CT268" s="36"/>
      <c r="CU268" s="36"/>
      <c r="CV268" s="36"/>
      <c r="CW268" s="36"/>
      <c r="CX268" s="37"/>
      <c r="CY268" s="44"/>
      <c r="CZ268" s="36"/>
      <c r="DA268" s="36"/>
      <c r="DB268" s="36"/>
      <c r="DC268" s="36"/>
      <c r="DD268" s="36"/>
      <c r="DE268" s="36"/>
      <c r="DF268" s="36"/>
      <c r="DG268" s="36"/>
      <c r="DH268" s="36"/>
      <c r="DI268" s="36"/>
      <c r="DJ268" s="36"/>
      <c r="DK268" s="36"/>
      <c r="DL268" s="36"/>
      <c r="DM268" s="36"/>
      <c r="DN268" s="36"/>
      <c r="DO268" s="37"/>
      <c r="DP268" s="44"/>
      <c r="DQ268" s="36"/>
      <c r="DR268" s="36"/>
      <c r="DS268" s="36"/>
      <c r="DT268" s="36"/>
      <c r="DU268" s="36"/>
      <c r="DV268" s="36"/>
      <c r="DW268" s="36"/>
      <c r="DX268" s="36"/>
      <c r="DY268" s="36"/>
      <c r="DZ268" s="36"/>
      <c r="EA268" s="36"/>
      <c r="EB268" s="36"/>
      <c r="EC268" s="36"/>
      <c r="ED268" s="36"/>
      <c r="EE268" s="36"/>
      <c r="EF268" s="37"/>
      <c r="EG268" s="44"/>
      <c r="EH268" s="36"/>
      <c r="EI268" s="36"/>
      <c r="EJ268" s="36"/>
      <c r="EK268" s="36"/>
      <c r="EL268" s="36"/>
      <c r="EM268" s="36"/>
      <c r="EN268" s="36"/>
      <c r="EO268" s="36"/>
      <c r="EP268" s="36"/>
      <c r="EQ268" s="36"/>
      <c r="ER268" s="36"/>
      <c r="ES268" s="36"/>
      <c r="ET268" s="36"/>
      <c r="EU268" s="36"/>
      <c r="EV268" s="36"/>
      <c r="EW268" s="37"/>
      <c r="EX268" s="44"/>
      <c r="EY268" s="36"/>
      <c r="EZ268" s="36"/>
      <c r="FA268" s="36"/>
      <c r="FB268" s="36"/>
      <c r="FC268" s="36"/>
      <c r="FD268" s="36"/>
      <c r="FE268" s="36"/>
      <c r="FF268" s="36"/>
      <c r="FG268" s="36"/>
      <c r="FH268" s="36"/>
      <c r="FI268" s="36"/>
      <c r="FJ268" s="36"/>
      <c r="FK268" s="36"/>
      <c r="FL268" s="36"/>
      <c r="FM268" s="36"/>
      <c r="FN268" s="37"/>
      <c r="FO268" s="44"/>
      <c r="FP268" s="36"/>
      <c r="FQ268" s="36"/>
      <c r="FR268" s="36"/>
      <c r="FS268" s="36"/>
      <c r="FT268" s="36"/>
      <c r="FU268" s="36"/>
      <c r="FV268" s="36"/>
      <c r="FW268" s="36"/>
      <c r="FX268" s="36"/>
      <c r="FY268" s="36"/>
      <c r="FZ268" s="36"/>
      <c r="GA268" s="36"/>
      <c r="GB268" s="36"/>
      <c r="GC268" s="36"/>
      <c r="GD268" s="36"/>
      <c r="GE268" s="37"/>
      <c r="GF268" s="44"/>
      <c r="GG268" s="36"/>
      <c r="GH268" s="36"/>
      <c r="GI268" s="36"/>
      <c r="GJ268" s="36"/>
      <c r="GK268" s="36"/>
      <c r="GL268" s="36"/>
      <c r="GM268" s="36"/>
      <c r="GN268" s="36"/>
      <c r="GO268" s="36"/>
      <c r="GP268" s="36"/>
      <c r="GQ268" s="36"/>
      <c r="GR268" s="36"/>
      <c r="GS268" s="36"/>
      <c r="GT268" s="36"/>
      <c r="GU268" s="36"/>
      <c r="GV268" s="37"/>
      <c r="GW268" s="44"/>
      <c r="GX268" s="36"/>
      <c r="GY268" s="36"/>
      <c r="GZ268" s="36"/>
      <c r="HA268" s="36"/>
      <c r="HB268" s="36"/>
      <c r="HC268" s="36"/>
      <c r="HD268" s="36"/>
      <c r="HE268" s="36"/>
      <c r="HF268" s="36"/>
      <c r="HG268" s="36"/>
      <c r="HH268" s="36"/>
      <c r="HI268" s="36"/>
      <c r="HJ268" s="36"/>
      <c r="HK268" s="36"/>
      <c r="HL268" s="36"/>
      <c r="HM268" s="37"/>
      <c r="HN268" s="44"/>
      <c r="HO268" s="36"/>
      <c r="HP268" s="36"/>
      <c r="HQ268" s="36"/>
      <c r="HR268" s="36"/>
      <c r="HS268" s="36"/>
      <c r="HT268" s="36"/>
      <c r="HU268" s="36"/>
      <c r="HV268" s="36"/>
      <c r="HW268" s="36"/>
      <c r="HX268" s="36"/>
      <c r="HY268" s="36"/>
      <c r="HZ268" s="36"/>
      <c r="IA268" s="36"/>
      <c r="IB268" s="36"/>
      <c r="IC268" s="36"/>
      <c r="ID268" s="37"/>
      <c r="IE268" s="44"/>
      <c r="IF268" s="36"/>
      <c r="IG268" s="36"/>
      <c r="IH268" s="36"/>
      <c r="II268" s="36"/>
      <c r="IJ268" s="36"/>
      <c r="IK268" s="36"/>
      <c r="IL268" s="36"/>
      <c r="IM268" s="36"/>
      <c r="IN268" s="36"/>
      <c r="IO268" s="36"/>
      <c r="IP268" s="36"/>
      <c r="IQ268" s="36"/>
      <c r="IR268" s="36"/>
      <c r="IS268" s="36"/>
      <c r="IT268" s="36"/>
      <c r="IU268" s="37"/>
      <c r="IV268" s="44"/>
      <c r="IW268" s="36"/>
      <c r="IX268" s="36"/>
      <c r="IY268" s="36"/>
      <c r="IZ268" s="36"/>
      <c r="JA268" s="36"/>
      <c r="JB268" s="36"/>
      <c r="JC268" s="36"/>
      <c r="JD268" s="36"/>
      <c r="JE268" s="36"/>
      <c r="JF268" s="36"/>
      <c r="JG268" s="36"/>
      <c r="JH268" s="36"/>
      <c r="JI268" s="36"/>
      <c r="JJ268" s="36"/>
      <c r="JK268" s="36"/>
      <c r="JL268" s="37"/>
      <c r="JM268" s="44"/>
      <c r="JN268" s="36"/>
      <c r="JO268" s="36"/>
      <c r="JP268" s="36"/>
      <c r="JQ268" s="36"/>
      <c r="JR268" s="36"/>
      <c r="JS268" s="36"/>
      <c r="JT268" s="36"/>
      <c r="JU268" s="36"/>
      <c r="JV268" s="36"/>
      <c r="JW268" s="36"/>
      <c r="JX268" s="36"/>
      <c r="JY268" s="36"/>
      <c r="JZ268" s="36"/>
      <c r="KA268" s="36"/>
      <c r="KB268" s="36"/>
      <c r="KC268" s="37"/>
      <c r="KD268" s="44"/>
      <c r="KE268" s="36"/>
      <c r="KF268" s="36"/>
      <c r="KG268" s="36"/>
      <c r="KH268" s="36"/>
      <c r="KI268" s="36"/>
      <c r="KJ268" s="36"/>
      <c r="KK268" s="36"/>
      <c r="KL268" s="36"/>
      <c r="KM268" s="36"/>
      <c r="KN268" s="36"/>
      <c r="KO268" s="36"/>
      <c r="KP268" s="36"/>
      <c r="KQ268" s="36"/>
      <c r="KR268" s="36"/>
      <c r="KS268" s="36"/>
      <c r="KT268" s="37"/>
      <c r="KU268" s="36"/>
    </row>
    <row r="269" ht="15.0" customHeight="1">
      <c r="A269" s="44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7"/>
      <c r="R269" s="44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7"/>
      <c r="AI269" s="44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  <c r="AU269" s="36"/>
      <c r="AV269" s="36"/>
      <c r="AW269" s="36"/>
      <c r="AX269" s="36"/>
      <c r="AY269" s="37"/>
      <c r="AZ269" s="44"/>
      <c r="BA269" s="36"/>
      <c r="BB269" s="36"/>
      <c r="BC269" s="36"/>
      <c r="BD269" s="36"/>
      <c r="BE269" s="36"/>
      <c r="BF269" s="36"/>
      <c r="BG269" s="36"/>
      <c r="BH269" s="36"/>
      <c r="BI269" s="36"/>
      <c r="BJ269" s="36"/>
      <c r="BK269" s="36"/>
      <c r="BL269" s="36"/>
      <c r="BM269" s="36"/>
      <c r="BN269" s="36"/>
      <c r="BO269" s="36"/>
      <c r="BP269" s="37"/>
      <c r="BQ269" s="44"/>
      <c r="BR269" s="36"/>
      <c r="BS269" s="36"/>
      <c r="BT269" s="36"/>
      <c r="BU269" s="36"/>
      <c r="BV269" s="36"/>
      <c r="BW269" s="36"/>
      <c r="BX269" s="36"/>
      <c r="BY269" s="36"/>
      <c r="BZ269" s="36"/>
      <c r="CA269" s="36"/>
      <c r="CB269" s="36"/>
      <c r="CC269" s="36"/>
      <c r="CD269" s="36"/>
      <c r="CE269" s="36"/>
      <c r="CF269" s="36"/>
      <c r="CG269" s="37"/>
      <c r="CH269" s="44"/>
      <c r="CI269" s="36"/>
      <c r="CJ269" s="36"/>
      <c r="CK269" s="36"/>
      <c r="CL269" s="36"/>
      <c r="CM269" s="36"/>
      <c r="CN269" s="36"/>
      <c r="CO269" s="36"/>
      <c r="CP269" s="36"/>
      <c r="CQ269" s="36"/>
      <c r="CR269" s="36"/>
      <c r="CS269" s="36"/>
      <c r="CT269" s="36"/>
      <c r="CU269" s="36"/>
      <c r="CV269" s="36"/>
      <c r="CW269" s="36"/>
      <c r="CX269" s="37"/>
      <c r="CY269" s="44"/>
      <c r="CZ269" s="36"/>
      <c r="DA269" s="36"/>
      <c r="DB269" s="36"/>
      <c r="DC269" s="36"/>
      <c r="DD269" s="36"/>
      <c r="DE269" s="36"/>
      <c r="DF269" s="36"/>
      <c r="DG269" s="36"/>
      <c r="DH269" s="36"/>
      <c r="DI269" s="36"/>
      <c r="DJ269" s="36"/>
      <c r="DK269" s="36"/>
      <c r="DL269" s="36"/>
      <c r="DM269" s="36"/>
      <c r="DN269" s="36"/>
      <c r="DO269" s="37"/>
      <c r="DP269" s="44"/>
      <c r="DQ269" s="36"/>
      <c r="DR269" s="36"/>
      <c r="DS269" s="36"/>
      <c r="DT269" s="36"/>
      <c r="DU269" s="36"/>
      <c r="DV269" s="36"/>
      <c r="DW269" s="36"/>
      <c r="DX269" s="36"/>
      <c r="DY269" s="36"/>
      <c r="DZ269" s="36"/>
      <c r="EA269" s="36"/>
      <c r="EB269" s="36"/>
      <c r="EC269" s="36"/>
      <c r="ED269" s="36"/>
      <c r="EE269" s="36"/>
      <c r="EF269" s="37"/>
      <c r="EG269" s="44"/>
      <c r="EH269" s="36"/>
      <c r="EI269" s="36"/>
      <c r="EJ269" s="36"/>
      <c r="EK269" s="36"/>
      <c r="EL269" s="36"/>
      <c r="EM269" s="36"/>
      <c r="EN269" s="36"/>
      <c r="EO269" s="36"/>
      <c r="EP269" s="36"/>
      <c r="EQ269" s="36"/>
      <c r="ER269" s="36"/>
      <c r="ES269" s="36"/>
      <c r="ET269" s="36"/>
      <c r="EU269" s="36"/>
      <c r="EV269" s="36"/>
      <c r="EW269" s="37"/>
      <c r="EX269" s="44"/>
      <c r="EY269" s="36"/>
      <c r="EZ269" s="36"/>
      <c r="FA269" s="36"/>
      <c r="FB269" s="36"/>
      <c r="FC269" s="36"/>
      <c r="FD269" s="36"/>
      <c r="FE269" s="36"/>
      <c r="FF269" s="36"/>
      <c r="FG269" s="36"/>
      <c r="FH269" s="36"/>
      <c r="FI269" s="36"/>
      <c r="FJ269" s="36"/>
      <c r="FK269" s="36"/>
      <c r="FL269" s="36"/>
      <c r="FM269" s="36"/>
      <c r="FN269" s="37"/>
      <c r="FO269" s="44"/>
      <c r="FP269" s="36"/>
      <c r="FQ269" s="36"/>
      <c r="FR269" s="36"/>
      <c r="FS269" s="36"/>
      <c r="FT269" s="36"/>
      <c r="FU269" s="36"/>
      <c r="FV269" s="36"/>
      <c r="FW269" s="36"/>
      <c r="FX269" s="36"/>
      <c r="FY269" s="36"/>
      <c r="FZ269" s="36"/>
      <c r="GA269" s="36"/>
      <c r="GB269" s="36"/>
      <c r="GC269" s="36"/>
      <c r="GD269" s="36"/>
      <c r="GE269" s="37"/>
      <c r="GF269" s="44"/>
      <c r="GG269" s="36"/>
      <c r="GH269" s="36"/>
      <c r="GI269" s="36"/>
      <c r="GJ269" s="36"/>
      <c r="GK269" s="36"/>
      <c r="GL269" s="36"/>
      <c r="GM269" s="36"/>
      <c r="GN269" s="36"/>
      <c r="GO269" s="36"/>
      <c r="GP269" s="36"/>
      <c r="GQ269" s="36"/>
      <c r="GR269" s="36"/>
      <c r="GS269" s="36"/>
      <c r="GT269" s="36"/>
      <c r="GU269" s="36"/>
      <c r="GV269" s="37"/>
      <c r="GW269" s="44"/>
      <c r="GX269" s="36"/>
      <c r="GY269" s="36"/>
      <c r="GZ269" s="36"/>
      <c r="HA269" s="36"/>
      <c r="HB269" s="36"/>
      <c r="HC269" s="36"/>
      <c r="HD269" s="36"/>
      <c r="HE269" s="36"/>
      <c r="HF269" s="36"/>
      <c r="HG269" s="36"/>
      <c r="HH269" s="36"/>
      <c r="HI269" s="36"/>
      <c r="HJ269" s="36"/>
      <c r="HK269" s="36"/>
      <c r="HL269" s="36"/>
      <c r="HM269" s="37"/>
      <c r="HN269" s="44"/>
      <c r="HO269" s="36"/>
      <c r="HP269" s="36"/>
      <c r="HQ269" s="36"/>
      <c r="HR269" s="36"/>
      <c r="HS269" s="36"/>
      <c r="HT269" s="36"/>
      <c r="HU269" s="36"/>
      <c r="HV269" s="36"/>
      <c r="HW269" s="36"/>
      <c r="HX269" s="36"/>
      <c r="HY269" s="36"/>
      <c r="HZ269" s="36"/>
      <c r="IA269" s="36"/>
      <c r="IB269" s="36"/>
      <c r="IC269" s="36"/>
      <c r="ID269" s="37"/>
      <c r="IE269" s="44"/>
      <c r="IF269" s="36"/>
      <c r="IG269" s="36"/>
      <c r="IH269" s="36"/>
      <c r="II269" s="36"/>
      <c r="IJ269" s="36"/>
      <c r="IK269" s="36"/>
      <c r="IL269" s="36"/>
      <c r="IM269" s="36"/>
      <c r="IN269" s="36"/>
      <c r="IO269" s="36"/>
      <c r="IP269" s="36"/>
      <c r="IQ269" s="36"/>
      <c r="IR269" s="36"/>
      <c r="IS269" s="36"/>
      <c r="IT269" s="36"/>
      <c r="IU269" s="37"/>
      <c r="IV269" s="44"/>
      <c r="IW269" s="36"/>
      <c r="IX269" s="36"/>
      <c r="IY269" s="36"/>
      <c r="IZ269" s="36"/>
      <c r="JA269" s="36"/>
      <c r="JB269" s="36"/>
      <c r="JC269" s="36"/>
      <c r="JD269" s="36"/>
      <c r="JE269" s="36"/>
      <c r="JF269" s="36"/>
      <c r="JG269" s="36"/>
      <c r="JH269" s="36"/>
      <c r="JI269" s="36"/>
      <c r="JJ269" s="36"/>
      <c r="JK269" s="36"/>
      <c r="JL269" s="37"/>
      <c r="JM269" s="44"/>
      <c r="JN269" s="36"/>
      <c r="JO269" s="36"/>
      <c r="JP269" s="36"/>
      <c r="JQ269" s="36"/>
      <c r="JR269" s="36"/>
      <c r="JS269" s="36"/>
      <c r="JT269" s="36"/>
      <c r="JU269" s="36"/>
      <c r="JV269" s="36"/>
      <c r="JW269" s="36"/>
      <c r="JX269" s="36"/>
      <c r="JY269" s="36"/>
      <c r="JZ269" s="36"/>
      <c r="KA269" s="36"/>
      <c r="KB269" s="36"/>
      <c r="KC269" s="37"/>
      <c r="KD269" s="44"/>
      <c r="KE269" s="36"/>
      <c r="KF269" s="36"/>
      <c r="KG269" s="36"/>
      <c r="KH269" s="36"/>
      <c r="KI269" s="36"/>
      <c r="KJ269" s="36"/>
      <c r="KK269" s="36"/>
      <c r="KL269" s="36"/>
      <c r="KM269" s="36"/>
      <c r="KN269" s="36"/>
      <c r="KO269" s="36"/>
      <c r="KP269" s="36"/>
      <c r="KQ269" s="36"/>
      <c r="KR269" s="36"/>
      <c r="KS269" s="36"/>
      <c r="KT269" s="37"/>
      <c r="KU269" s="36"/>
    </row>
    <row r="270" ht="15.0" customHeight="1">
      <c r="A270" s="44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7"/>
      <c r="R270" s="44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7"/>
      <c r="AI270" s="44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  <c r="AU270" s="36"/>
      <c r="AV270" s="36"/>
      <c r="AW270" s="36"/>
      <c r="AX270" s="36"/>
      <c r="AY270" s="37"/>
      <c r="AZ270" s="44"/>
      <c r="BA270" s="36"/>
      <c r="BB270" s="36"/>
      <c r="BC270" s="36"/>
      <c r="BD270" s="36"/>
      <c r="BE270" s="36"/>
      <c r="BF270" s="36"/>
      <c r="BG270" s="36"/>
      <c r="BH270" s="36"/>
      <c r="BI270" s="36"/>
      <c r="BJ270" s="36"/>
      <c r="BK270" s="36"/>
      <c r="BL270" s="36"/>
      <c r="BM270" s="36"/>
      <c r="BN270" s="36"/>
      <c r="BO270" s="36"/>
      <c r="BP270" s="37"/>
      <c r="BQ270" s="44"/>
      <c r="BR270" s="36"/>
      <c r="BS270" s="36"/>
      <c r="BT270" s="36"/>
      <c r="BU270" s="36"/>
      <c r="BV270" s="36"/>
      <c r="BW270" s="36"/>
      <c r="BX270" s="36"/>
      <c r="BY270" s="36"/>
      <c r="BZ270" s="36"/>
      <c r="CA270" s="36"/>
      <c r="CB270" s="36"/>
      <c r="CC270" s="36"/>
      <c r="CD270" s="36"/>
      <c r="CE270" s="36"/>
      <c r="CF270" s="36"/>
      <c r="CG270" s="37"/>
      <c r="CH270" s="44"/>
      <c r="CI270" s="36"/>
      <c r="CJ270" s="36"/>
      <c r="CK270" s="36"/>
      <c r="CL270" s="36"/>
      <c r="CM270" s="36"/>
      <c r="CN270" s="36"/>
      <c r="CO270" s="36"/>
      <c r="CP270" s="36"/>
      <c r="CQ270" s="36"/>
      <c r="CR270" s="36"/>
      <c r="CS270" s="36"/>
      <c r="CT270" s="36"/>
      <c r="CU270" s="36"/>
      <c r="CV270" s="36"/>
      <c r="CW270" s="36"/>
      <c r="CX270" s="37"/>
      <c r="CY270" s="44"/>
      <c r="CZ270" s="36"/>
      <c r="DA270" s="36"/>
      <c r="DB270" s="36"/>
      <c r="DC270" s="36"/>
      <c r="DD270" s="36"/>
      <c r="DE270" s="36"/>
      <c r="DF270" s="36"/>
      <c r="DG270" s="36"/>
      <c r="DH270" s="36"/>
      <c r="DI270" s="36"/>
      <c r="DJ270" s="36"/>
      <c r="DK270" s="36"/>
      <c r="DL270" s="36"/>
      <c r="DM270" s="36"/>
      <c r="DN270" s="36"/>
      <c r="DO270" s="37"/>
      <c r="DP270" s="44"/>
      <c r="DQ270" s="36"/>
      <c r="DR270" s="36"/>
      <c r="DS270" s="36"/>
      <c r="DT270" s="36"/>
      <c r="DU270" s="36"/>
      <c r="DV270" s="36"/>
      <c r="DW270" s="36"/>
      <c r="DX270" s="36"/>
      <c r="DY270" s="36"/>
      <c r="DZ270" s="36"/>
      <c r="EA270" s="36"/>
      <c r="EB270" s="36"/>
      <c r="EC270" s="36"/>
      <c r="ED270" s="36"/>
      <c r="EE270" s="36"/>
      <c r="EF270" s="37"/>
      <c r="EG270" s="44"/>
      <c r="EH270" s="36"/>
      <c r="EI270" s="36"/>
      <c r="EJ270" s="36"/>
      <c r="EK270" s="36"/>
      <c r="EL270" s="36"/>
      <c r="EM270" s="36"/>
      <c r="EN270" s="36"/>
      <c r="EO270" s="36"/>
      <c r="EP270" s="36"/>
      <c r="EQ270" s="36"/>
      <c r="ER270" s="36"/>
      <c r="ES270" s="36"/>
      <c r="ET270" s="36"/>
      <c r="EU270" s="36"/>
      <c r="EV270" s="36"/>
      <c r="EW270" s="37"/>
      <c r="EX270" s="44"/>
      <c r="EY270" s="36"/>
      <c r="EZ270" s="36"/>
      <c r="FA270" s="36"/>
      <c r="FB270" s="36"/>
      <c r="FC270" s="36"/>
      <c r="FD270" s="36"/>
      <c r="FE270" s="36"/>
      <c r="FF270" s="36"/>
      <c r="FG270" s="36"/>
      <c r="FH270" s="36"/>
      <c r="FI270" s="36"/>
      <c r="FJ270" s="36"/>
      <c r="FK270" s="36"/>
      <c r="FL270" s="36"/>
      <c r="FM270" s="36"/>
      <c r="FN270" s="37"/>
      <c r="FO270" s="44"/>
      <c r="FP270" s="36"/>
      <c r="FQ270" s="36"/>
      <c r="FR270" s="36"/>
      <c r="FS270" s="36"/>
      <c r="FT270" s="36"/>
      <c r="FU270" s="36"/>
      <c r="FV270" s="36"/>
      <c r="FW270" s="36"/>
      <c r="FX270" s="36"/>
      <c r="FY270" s="36"/>
      <c r="FZ270" s="36"/>
      <c r="GA270" s="36"/>
      <c r="GB270" s="36"/>
      <c r="GC270" s="36"/>
      <c r="GD270" s="36"/>
      <c r="GE270" s="37"/>
      <c r="GF270" s="44"/>
      <c r="GG270" s="36"/>
      <c r="GH270" s="36"/>
      <c r="GI270" s="36"/>
      <c r="GJ270" s="36"/>
      <c r="GK270" s="36"/>
      <c r="GL270" s="36"/>
      <c r="GM270" s="36"/>
      <c r="GN270" s="36"/>
      <c r="GO270" s="36"/>
      <c r="GP270" s="36"/>
      <c r="GQ270" s="36"/>
      <c r="GR270" s="36"/>
      <c r="GS270" s="36"/>
      <c r="GT270" s="36"/>
      <c r="GU270" s="36"/>
      <c r="GV270" s="37"/>
      <c r="GW270" s="44"/>
      <c r="GX270" s="36"/>
      <c r="GY270" s="36"/>
      <c r="GZ270" s="36"/>
      <c r="HA270" s="36"/>
      <c r="HB270" s="36"/>
      <c r="HC270" s="36"/>
      <c r="HD270" s="36"/>
      <c r="HE270" s="36"/>
      <c r="HF270" s="36"/>
      <c r="HG270" s="36"/>
      <c r="HH270" s="36"/>
      <c r="HI270" s="36"/>
      <c r="HJ270" s="36"/>
      <c r="HK270" s="36"/>
      <c r="HL270" s="36"/>
      <c r="HM270" s="37"/>
      <c r="HN270" s="44"/>
      <c r="HO270" s="36"/>
      <c r="HP270" s="36"/>
      <c r="HQ270" s="36"/>
      <c r="HR270" s="36"/>
      <c r="HS270" s="36"/>
      <c r="HT270" s="36"/>
      <c r="HU270" s="36"/>
      <c r="HV270" s="36"/>
      <c r="HW270" s="36"/>
      <c r="HX270" s="36"/>
      <c r="HY270" s="36"/>
      <c r="HZ270" s="36"/>
      <c r="IA270" s="36"/>
      <c r="IB270" s="36"/>
      <c r="IC270" s="36"/>
      <c r="ID270" s="37"/>
      <c r="IE270" s="44"/>
      <c r="IF270" s="36"/>
      <c r="IG270" s="36"/>
      <c r="IH270" s="36"/>
      <c r="II270" s="36"/>
      <c r="IJ270" s="36"/>
      <c r="IK270" s="36"/>
      <c r="IL270" s="36"/>
      <c r="IM270" s="36"/>
      <c r="IN270" s="36"/>
      <c r="IO270" s="36"/>
      <c r="IP270" s="36"/>
      <c r="IQ270" s="36"/>
      <c r="IR270" s="36"/>
      <c r="IS270" s="36"/>
      <c r="IT270" s="36"/>
      <c r="IU270" s="37"/>
      <c r="IV270" s="44"/>
      <c r="IW270" s="36"/>
      <c r="IX270" s="36"/>
      <c r="IY270" s="36"/>
      <c r="IZ270" s="36"/>
      <c r="JA270" s="36"/>
      <c r="JB270" s="36"/>
      <c r="JC270" s="36"/>
      <c r="JD270" s="36"/>
      <c r="JE270" s="36"/>
      <c r="JF270" s="36"/>
      <c r="JG270" s="36"/>
      <c r="JH270" s="36"/>
      <c r="JI270" s="36"/>
      <c r="JJ270" s="36"/>
      <c r="JK270" s="36"/>
      <c r="JL270" s="37"/>
      <c r="JM270" s="44"/>
      <c r="JN270" s="36"/>
      <c r="JO270" s="36"/>
      <c r="JP270" s="36"/>
      <c r="JQ270" s="36"/>
      <c r="JR270" s="36"/>
      <c r="JS270" s="36"/>
      <c r="JT270" s="36"/>
      <c r="JU270" s="36"/>
      <c r="JV270" s="36"/>
      <c r="JW270" s="36"/>
      <c r="JX270" s="36"/>
      <c r="JY270" s="36"/>
      <c r="JZ270" s="36"/>
      <c r="KA270" s="36"/>
      <c r="KB270" s="36"/>
      <c r="KC270" s="37"/>
      <c r="KD270" s="44"/>
      <c r="KE270" s="36"/>
      <c r="KF270" s="36"/>
      <c r="KG270" s="36"/>
      <c r="KH270" s="36"/>
      <c r="KI270" s="36"/>
      <c r="KJ270" s="36"/>
      <c r="KK270" s="36"/>
      <c r="KL270" s="36"/>
      <c r="KM270" s="36"/>
      <c r="KN270" s="36"/>
      <c r="KO270" s="36"/>
      <c r="KP270" s="36"/>
      <c r="KQ270" s="36"/>
      <c r="KR270" s="36"/>
      <c r="KS270" s="36"/>
      <c r="KT270" s="37"/>
      <c r="KU270" s="36"/>
    </row>
    <row r="271" ht="15.0" customHeight="1">
      <c r="A271" s="44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7"/>
      <c r="R271" s="44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7"/>
      <c r="AI271" s="44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  <c r="AU271" s="36"/>
      <c r="AV271" s="36"/>
      <c r="AW271" s="36"/>
      <c r="AX271" s="36"/>
      <c r="AY271" s="37"/>
      <c r="AZ271" s="44"/>
      <c r="BA271" s="36"/>
      <c r="BB271" s="36"/>
      <c r="BC271" s="36"/>
      <c r="BD271" s="36"/>
      <c r="BE271" s="36"/>
      <c r="BF271" s="36"/>
      <c r="BG271" s="36"/>
      <c r="BH271" s="36"/>
      <c r="BI271" s="36"/>
      <c r="BJ271" s="36"/>
      <c r="BK271" s="36"/>
      <c r="BL271" s="36"/>
      <c r="BM271" s="36"/>
      <c r="BN271" s="36"/>
      <c r="BO271" s="36"/>
      <c r="BP271" s="37"/>
      <c r="BQ271" s="44"/>
      <c r="BR271" s="36"/>
      <c r="BS271" s="36"/>
      <c r="BT271" s="36"/>
      <c r="BU271" s="36"/>
      <c r="BV271" s="36"/>
      <c r="BW271" s="36"/>
      <c r="BX271" s="36"/>
      <c r="BY271" s="36"/>
      <c r="BZ271" s="36"/>
      <c r="CA271" s="36"/>
      <c r="CB271" s="36"/>
      <c r="CC271" s="36"/>
      <c r="CD271" s="36"/>
      <c r="CE271" s="36"/>
      <c r="CF271" s="36"/>
      <c r="CG271" s="37"/>
      <c r="CH271" s="44"/>
      <c r="CI271" s="36"/>
      <c r="CJ271" s="36"/>
      <c r="CK271" s="36"/>
      <c r="CL271" s="36"/>
      <c r="CM271" s="36"/>
      <c r="CN271" s="36"/>
      <c r="CO271" s="36"/>
      <c r="CP271" s="36"/>
      <c r="CQ271" s="36"/>
      <c r="CR271" s="36"/>
      <c r="CS271" s="36"/>
      <c r="CT271" s="36"/>
      <c r="CU271" s="36"/>
      <c r="CV271" s="36"/>
      <c r="CW271" s="36"/>
      <c r="CX271" s="37"/>
      <c r="CY271" s="44"/>
      <c r="CZ271" s="36"/>
      <c r="DA271" s="36"/>
      <c r="DB271" s="36"/>
      <c r="DC271" s="36"/>
      <c r="DD271" s="36"/>
      <c r="DE271" s="36"/>
      <c r="DF271" s="36"/>
      <c r="DG271" s="36"/>
      <c r="DH271" s="36"/>
      <c r="DI271" s="36"/>
      <c r="DJ271" s="36"/>
      <c r="DK271" s="36"/>
      <c r="DL271" s="36"/>
      <c r="DM271" s="36"/>
      <c r="DN271" s="36"/>
      <c r="DO271" s="37"/>
      <c r="DP271" s="44"/>
      <c r="DQ271" s="36"/>
      <c r="DR271" s="36"/>
      <c r="DS271" s="36"/>
      <c r="DT271" s="36"/>
      <c r="DU271" s="36"/>
      <c r="DV271" s="36"/>
      <c r="DW271" s="36"/>
      <c r="DX271" s="36"/>
      <c r="DY271" s="36"/>
      <c r="DZ271" s="36"/>
      <c r="EA271" s="36"/>
      <c r="EB271" s="36"/>
      <c r="EC271" s="36"/>
      <c r="ED271" s="36"/>
      <c r="EE271" s="36"/>
      <c r="EF271" s="37"/>
      <c r="EG271" s="44"/>
      <c r="EH271" s="36"/>
      <c r="EI271" s="36"/>
      <c r="EJ271" s="36"/>
      <c r="EK271" s="36"/>
      <c r="EL271" s="36"/>
      <c r="EM271" s="36"/>
      <c r="EN271" s="36"/>
      <c r="EO271" s="36"/>
      <c r="EP271" s="36"/>
      <c r="EQ271" s="36"/>
      <c r="ER271" s="36"/>
      <c r="ES271" s="36"/>
      <c r="ET271" s="36"/>
      <c r="EU271" s="36"/>
      <c r="EV271" s="36"/>
      <c r="EW271" s="37"/>
      <c r="EX271" s="44"/>
      <c r="EY271" s="36"/>
      <c r="EZ271" s="36"/>
      <c r="FA271" s="36"/>
      <c r="FB271" s="36"/>
      <c r="FC271" s="36"/>
      <c r="FD271" s="36"/>
      <c r="FE271" s="36"/>
      <c r="FF271" s="36"/>
      <c r="FG271" s="36"/>
      <c r="FH271" s="36"/>
      <c r="FI271" s="36"/>
      <c r="FJ271" s="36"/>
      <c r="FK271" s="36"/>
      <c r="FL271" s="36"/>
      <c r="FM271" s="36"/>
      <c r="FN271" s="37"/>
      <c r="FO271" s="44"/>
      <c r="FP271" s="36"/>
      <c r="FQ271" s="36"/>
      <c r="FR271" s="36"/>
      <c r="FS271" s="36"/>
      <c r="FT271" s="36"/>
      <c r="FU271" s="36"/>
      <c r="FV271" s="36"/>
      <c r="FW271" s="36"/>
      <c r="FX271" s="36"/>
      <c r="FY271" s="36"/>
      <c r="FZ271" s="36"/>
      <c r="GA271" s="36"/>
      <c r="GB271" s="36"/>
      <c r="GC271" s="36"/>
      <c r="GD271" s="36"/>
      <c r="GE271" s="37"/>
      <c r="GF271" s="44"/>
      <c r="GG271" s="36"/>
      <c r="GH271" s="36"/>
      <c r="GI271" s="36"/>
      <c r="GJ271" s="36"/>
      <c r="GK271" s="36"/>
      <c r="GL271" s="36"/>
      <c r="GM271" s="36"/>
      <c r="GN271" s="36"/>
      <c r="GO271" s="36"/>
      <c r="GP271" s="36"/>
      <c r="GQ271" s="36"/>
      <c r="GR271" s="36"/>
      <c r="GS271" s="36"/>
      <c r="GT271" s="36"/>
      <c r="GU271" s="36"/>
      <c r="GV271" s="37"/>
      <c r="GW271" s="44"/>
      <c r="GX271" s="36"/>
      <c r="GY271" s="36"/>
      <c r="GZ271" s="36"/>
      <c r="HA271" s="36"/>
      <c r="HB271" s="36"/>
      <c r="HC271" s="36"/>
      <c r="HD271" s="36"/>
      <c r="HE271" s="36"/>
      <c r="HF271" s="36"/>
      <c r="HG271" s="36"/>
      <c r="HH271" s="36"/>
      <c r="HI271" s="36"/>
      <c r="HJ271" s="36"/>
      <c r="HK271" s="36"/>
      <c r="HL271" s="36"/>
      <c r="HM271" s="37"/>
      <c r="HN271" s="44"/>
      <c r="HO271" s="36"/>
      <c r="HP271" s="36"/>
      <c r="HQ271" s="36"/>
      <c r="HR271" s="36"/>
      <c r="HS271" s="36"/>
      <c r="HT271" s="36"/>
      <c r="HU271" s="36"/>
      <c r="HV271" s="36"/>
      <c r="HW271" s="36"/>
      <c r="HX271" s="36"/>
      <c r="HY271" s="36"/>
      <c r="HZ271" s="36"/>
      <c r="IA271" s="36"/>
      <c r="IB271" s="36"/>
      <c r="IC271" s="36"/>
      <c r="ID271" s="37"/>
      <c r="IE271" s="44"/>
      <c r="IF271" s="36"/>
      <c r="IG271" s="36"/>
      <c r="IH271" s="36"/>
      <c r="II271" s="36"/>
      <c r="IJ271" s="36"/>
      <c r="IK271" s="36"/>
      <c r="IL271" s="36"/>
      <c r="IM271" s="36"/>
      <c r="IN271" s="36"/>
      <c r="IO271" s="36"/>
      <c r="IP271" s="36"/>
      <c r="IQ271" s="36"/>
      <c r="IR271" s="36"/>
      <c r="IS271" s="36"/>
      <c r="IT271" s="36"/>
      <c r="IU271" s="37"/>
      <c r="IV271" s="44"/>
      <c r="IW271" s="36"/>
      <c r="IX271" s="36"/>
      <c r="IY271" s="36"/>
      <c r="IZ271" s="36"/>
      <c r="JA271" s="36"/>
      <c r="JB271" s="36"/>
      <c r="JC271" s="36"/>
      <c r="JD271" s="36"/>
      <c r="JE271" s="36"/>
      <c r="JF271" s="36"/>
      <c r="JG271" s="36"/>
      <c r="JH271" s="36"/>
      <c r="JI271" s="36"/>
      <c r="JJ271" s="36"/>
      <c r="JK271" s="36"/>
      <c r="JL271" s="37"/>
      <c r="JM271" s="44"/>
      <c r="JN271" s="36"/>
      <c r="JO271" s="36"/>
      <c r="JP271" s="36"/>
      <c r="JQ271" s="36"/>
      <c r="JR271" s="36"/>
      <c r="JS271" s="36"/>
      <c r="JT271" s="36"/>
      <c r="JU271" s="36"/>
      <c r="JV271" s="36"/>
      <c r="JW271" s="36"/>
      <c r="JX271" s="36"/>
      <c r="JY271" s="36"/>
      <c r="JZ271" s="36"/>
      <c r="KA271" s="36"/>
      <c r="KB271" s="36"/>
      <c r="KC271" s="37"/>
      <c r="KD271" s="44"/>
      <c r="KE271" s="36"/>
      <c r="KF271" s="36"/>
      <c r="KG271" s="36"/>
      <c r="KH271" s="36"/>
      <c r="KI271" s="36"/>
      <c r="KJ271" s="36"/>
      <c r="KK271" s="36"/>
      <c r="KL271" s="36"/>
      <c r="KM271" s="36"/>
      <c r="KN271" s="36"/>
      <c r="KO271" s="36"/>
      <c r="KP271" s="36"/>
      <c r="KQ271" s="36"/>
      <c r="KR271" s="36"/>
      <c r="KS271" s="36"/>
      <c r="KT271" s="37"/>
      <c r="KU271" s="36"/>
    </row>
    <row r="272" ht="15.0" customHeight="1">
      <c r="A272" s="44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7"/>
      <c r="R272" s="44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7"/>
      <c r="AI272" s="44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  <c r="AU272" s="36"/>
      <c r="AV272" s="36"/>
      <c r="AW272" s="36"/>
      <c r="AX272" s="36"/>
      <c r="AY272" s="37"/>
      <c r="AZ272" s="44"/>
      <c r="BA272" s="36"/>
      <c r="BB272" s="36"/>
      <c r="BC272" s="36"/>
      <c r="BD272" s="36"/>
      <c r="BE272" s="36"/>
      <c r="BF272" s="36"/>
      <c r="BG272" s="36"/>
      <c r="BH272" s="36"/>
      <c r="BI272" s="36"/>
      <c r="BJ272" s="36"/>
      <c r="BK272" s="36"/>
      <c r="BL272" s="36"/>
      <c r="BM272" s="36"/>
      <c r="BN272" s="36"/>
      <c r="BO272" s="36"/>
      <c r="BP272" s="37"/>
      <c r="BQ272" s="44"/>
      <c r="BR272" s="36"/>
      <c r="BS272" s="36"/>
      <c r="BT272" s="36"/>
      <c r="BU272" s="36"/>
      <c r="BV272" s="36"/>
      <c r="BW272" s="36"/>
      <c r="BX272" s="36"/>
      <c r="BY272" s="36"/>
      <c r="BZ272" s="36"/>
      <c r="CA272" s="36"/>
      <c r="CB272" s="36"/>
      <c r="CC272" s="36"/>
      <c r="CD272" s="36"/>
      <c r="CE272" s="36"/>
      <c r="CF272" s="36"/>
      <c r="CG272" s="37"/>
      <c r="CH272" s="44"/>
      <c r="CI272" s="36"/>
      <c r="CJ272" s="36"/>
      <c r="CK272" s="36"/>
      <c r="CL272" s="36"/>
      <c r="CM272" s="36"/>
      <c r="CN272" s="36"/>
      <c r="CO272" s="36"/>
      <c r="CP272" s="36"/>
      <c r="CQ272" s="36"/>
      <c r="CR272" s="36"/>
      <c r="CS272" s="36"/>
      <c r="CT272" s="36"/>
      <c r="CU272" s="36"/>
      <c r="CV272" s="36"/>
      <c r="CW272" s="36"/>
      <c r="CX272" s="37"/>
      <c r="CY272" s="44"/>
      <c r="CZ272" s="36"/>
      <c r="DA272" s="36"/>
      <c r="DB272" s="36"/>
      <c r="DC272" s="36"/>
      <c r="DD272" s="36"/>
      <c r="DE272" s="36"/>
      <c r="DF272" s="36"/>
      <c r="DG272" s="36"/>
      <c r="DH272" s="36"/>
      <c r="DI272" s="36"/>
      <c r="DJ272" s="36"/>
      <c r="DK272" s="36"/>
      <c r="DL272" s="36"/>
      <c r="DM272" s="36"/>
      <c r="DN272" s="36"/>
      <c r="DO272" s="37"/>
      <c r="DP272" s="44"/>
      <c r="DQ272" s="36"/>
      <c r="DR272" s="36"/>
      <c r="DS272" s="36"/>
      <c r="DT272" s="36"/>
      <c r="DU272" s="36"/>
      <c r="DV272" s="36"/>
      <c r="DW272" s="36"/>
      <c r="DX272" s="36"/>
      <c r="DY272" s="36"/>
      <c r="DZ272" s="36"/>
      <c r="EA272" s="36"/>
      <c r="EB272" s="36"/>
      <c r="EC272" s="36"/>
      <c r="ED272" s="36"/>
      <c r="EE272" s="36"/>
      <c r="EF272" s="37"/>
      <c r="EG272" s="44"/>
      <c r="EH272" s="36"/>
      <c r="EI272" s="36"/>
      <c r="EJ272" s="36"/>
      <c r="EK272" s="36"/>
      <c r="EL272" s="36"/>
      <c r="EM272" s="36"/>
      <c r="EN272" s="36"/>
      <c r="EO272" s="36"/>
      <c r="EP272" s="36"/>
      <c r="EQ272" s="36"/>
      <c r="ER272" s="36"/>
      <c r="ES272" s="36"/>
      <c r="ET272" s="36"/>
      <c r="EU272" s="36"/>
      <c r="EV272" s="36"/>
      <c r="EW272" s="37"/>
      <c r="EX272" s="44"/>
      <c r="EY272" s="36"/>
      <c r="EZ272" s="36"/>
      <c r="FA272" s="36"/>
      <c r="FB272" s="36"/>
      <c r="FC272" s="36"/>
      <c r="FD272" s="36"/>
      <c r="FE272" s="36"/>
      <c r="FF272" s="36"/>
      <c r="FG272" s="36"/>
      <c r="FH272" s="36"/>
      <c r="FI272" s="36"/>
      <c r="FJ272" s="36"/>
      <c r="FK272" s="36"/>
      <c r="FL272" s="36"/>
      <c r="FM272" s="36"/>
      <c r="FN272" s="37"/>
      <c r="FO272" s="44"/>
      <c r="FP272" s="36"/>
      <c r="FQ272" s="36"/>
      <c r="FR272" s="36"/>
      <c r="FS272" s="36"/>
      <c r="FT272" s="36"/>
      <c r="FU272" s="36"/>
      <c r="FV272" s="36"/>
      <c r="FW272" s="36"/>
      <c r="FX272" s="36"/>
      <c r="FY272" s="36"/>
      <c r="FZ272" s="36"/>
      <c r="GA272" s="36"/>
      <c r="GB272" s="36"/>
      <c r="GC272" s="36"/>
      <c r="GD272" s="36"/>
      <c r="GE272" s="37"/>
      <c r="GF272" s="44"/>
      <c r="GG272" s="36"/>
      <c r="GH272" s="36"/>
      <c r="GI272" s="36"/>
      <c r="GJ272" s="36"/>
      <c r="GK272" s="36"/>
      <c r="GL272" s="36"/>
      <c r="GM272" s="36"/>
      <c r="GN272" s="36"/>
      <c r="GO272" s="36"/>
      <c r="GP272" s="36"/>
      <c r="GQ272" s="36"/>
      <c r="GR272" s="36"/>
      <c r="GS272" s="36"/>
      <c r="GT272" s="36"/>
      <c r="GU272" s="36"/>
      <c r="GV272" s="37"/>
      <c r="GW272" s="44"/>
      <c r="GX272" s="36"/>
      <c r="GY272" s="36"/>
      <c r="GZ272" s="36"/>
      <c r="HA272" s="36"/>
      <c r="HB272" s="36"/>
      <c r="HC272" s="36"/>
      <c r="HD272" s="36"/>
      <c r="HE272" s="36"/>
      <c r="HF272" s="36"/>
      <c r="HG272" s="36"/>
      <c r="HH272" s="36"/>
      <c r="HI272" s="36"/>
      <c r="HJ272" s="36"/>
      <c r="HK272" s="36"/>
      <c r="HL272" s="36"/>
      <c r="HM272" s="37"/>
      <c r="HN272" s="44"/>
      <c r="HO272" s="36"/>
      <c r="HP272" s="36"/>
      <c r="HQ272" s="36"/>
      <c r="HR272" s="36"/>
      <c r="HS272" s="36"/>
      <c r="HT272" s="36"/>
      <c r="HU272" s="36"/>
      <c r="HV272" s="36"/>
      <c r="HW272" s="36"/>
      <c r="HX272" s="36"/>
      <c r="HY272" s="36"/>
      <c r="HZ272" s="36"/>
      <c r="IA272" s="36"/>
      <c r="IB272" s="36"/>
      <c r="IC272" s="36"/>
      <c r="ID272" s="37"/>
      <c r="IE272" s="44"/>
      <c r="IF272" s="36"/>
      <c r="IG272" s="36"/>
      <c r="IH272" s="36"/>
      <c r="II272" s="36"/>
      <c r="IJ272" s="36"/>
      <c r="IK272" s="36"/>
      <c r="IL272" s="36"/>
      <c r="IM272" s="36"/>
      <c r="IN272" s="36"/>
      <c r="IO272" s="36"/>
      <c r="IP272" s="36"/>
      <c r="IQ272" s="36"/>
      <c r="IR272" s="36"/>
      <c r="IS272" s="36"/>
      <c r="IT272" s="36"/>
      <c r="IU272" s="37"/>
      <c r="IV272" s="44"/>
      <c r="IW272" s="36"/>
      <c r="IX272" s="36"/>
      <c r="IY272" s="36"/>
      <c r="IZ272" s="36"/>
      <c r="JA272" s="36"/>
      <c r="JB272" s="36"/>
      <c r="JC272" s="36"/>
      <c r="JD272" s="36"/>
      <c r="JE272" s="36"/>
      <c r="JF272" s="36"/>
      <c r="JG272" s="36"/>
      <c r="JH272" s="36"/>
      <c r="JI272" s="36"/>
      <c r="JJ272" s="36"/>
      <c r="JK272" s="36"/>
      <c r="JL272" s="37"/>
      <c r="JM272" s="44"/>
      <c r="JN272" s="36"/>
      <c r="JO272" s="36"/>
      <c r="JP272" s="36"/>
      <c r="JQ272" s="36"/>
      <c r="JR272" s="36"/>
      <c r="JS272" s="36"/>
      <c r="JT272" s="36"/>
      <c r="JU272" s="36"/>
      <c r="JV272" s="36"/>
      <c r="JW272" s="36"/>
      <c r="JX272" s="36"/>
      <c r="JY272" s="36"/>
      <c r="JZ272" s="36"/>
      <c r="KA272" s="36"/>
      <c r="KB272" s="36"/>
      <c r="KC272" s="37"/>
      <c r="KD272" s="44"/>
      <c r="KE272" s="36"/>
      <c r="KF272" s="36"/>
      <c r="KG272" s="36"/>
      <c r="KH272" s="36"/>
      <c r="KI272" s="36"/>
      <c r="KJ272" s="36"/>
      <c r="KK272" s="36"/>
      <c r="KL272" s="36"/>
      <c r="KM272" s="36"/>
      <c r="KN272" s="36"/>
      <c r="KO272" s="36"/>
      <c r="KP272" s="36"/>
      <c r="KQ272" s="36"/>
      <c r="KR272" s="36"/>
      <c r="KS272" s="36"/>
      <c r="KT272" s="37"/>
      <c r="KU272" s="36"/>
    </row>
    <row r="273" ht="15.0" customHeight="1">
      <c r="A273" s="44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7"/>
      <c r="R273" s="44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7"/>
      <c r="AI273" s="44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  <c r="AU273" s="36"/>
      <c r="AV273" s="36"/>
      <c r="AW273" s="36"/>
      <c r="AX273" s="36"/>
      <c r="AY273" s="37"/>
      <c r="AZ273" s="44"/>
      <c r="BA273" s="36"/>
      <c r="BB273" s="36"/>
      <c r="BC273" s="36"/>
      <c r="BD273" s="36"/>
      <c r="BE273" s="36"/>
      <c r="BF273" s="36"/>
      <c r="BG273" s="36"/>
      <c r="BH273" s="36"/>
      <c r="BI273" s="36"/>
      <c r="BJ273" s="36"/>
      <c r="BK273" s="36"/>
      <c r="BL273" s="36"/>
      <c r="BM273" s="36"/>
      <c r="BN273" s="36"/>
      <c r="BO273" s="36"/>
      <c r="BP273" s="37"/>
      <c r="BQ273" s="44"/>
      <c r="BR273" s="36"/>
      <c r="BS273" s="36"/>
      <c r="BT273" s="36"/>
      <c r="BU273" s="36"/>
      <c r="BV273" s="36"/>
      <c r="BW273" s="36"/>
      <c r="BX273" s="36"/>
      <c r="BY273" s="36"/>
      <c r="BZ273" s="36"/>
      <c r="CA273" s="36"/>
      <c r="CB273" s="36"/>
      <c r="CC273" s="36"/>
      <c r="CD273" s="36"/>
      <c r="CE273" s="36"/>
      <c r="CF273" s="36"/>
      <c r="CG273" s="37"/>
      <c r="CH273" s="44"/>
      <c r="CI273" s="36"/>
      <c r="CJ273" s="36"/>
      <c r="CK273" s="36"/>
      <c r="CL273" s="36"/>
      <c r="CM273" s="36"/>
      <c r="CN273" s="36"/>
      <c r="CO273" s="36"/>
      <c r="CP273" s="36"/>
      <c r="CQ273" s="36"/>
      <c r="CR273" s="36"/>
      <c r="CS273" s="36"/>
      <c r="CT273" s="36"/>
      <c r="CU273" s="36"/>
      <c r="CV273" s="36"/>
      <c r="CW273" s="36"/>
      <c r="CX273" s="37"/>
      <c r="CY273" s="44"/>
      <c r="CZ273" s="36"/>
      <c r="DA273" s="36"/>
      <c r="DB273" s="36"/>
      <c r="DC273" s="36"/>
      <c r="DD273" s="36"/>
      <c r="DE273" s="36"/>
      <c r="DF273" s="36"/>
      <c r="DG273" s="36"/>
      <c r="DH273" s="36"/>
      <c r="DI273" s="36"/>
      <c r="DJ273" s="36"/>
      <c r="DK273" s="36"/>
      <c r="DL273" s="36"/>
      <c r="DM273" s="36"/>
      <c r="DN273" s="36"/>
      <c r="DO273" s="37"/>
      <c r="DP273" s="44"/>
      <c r="DQ273" s="36"/>
      <c r="DR273" s="36"/>
      <c r="DS273" s="36"/>
      <c r="DT273" s="36"/>
      <c r="DU273" s="36"/>
      <c r="DV273" s="36"/>
      <c r="DW273" s="36"/>
      <c r="DX273" s="36"/>
      <c r="DY273" s="36"/>
      <c r="DZ273" s="36"/>
      <c r="EA273" s="36"/>
      <c r="EB273" s="36"/>
      <c r="EC273" s="36"/>
      <c r="ED273" s="36"/>
      <c r="EE273" s="36"/>
      <c r="EF273" s="37"/>
      <c r="EG273" s="44"/>
      <c r="EH273" s="36"/>
      <c r="EI273" s="36"/>
      <c r="EJ273" s="36"/>
      <c r="EK273" s="36"/>
      <c r="EL273" s="36"/>
      <c r="EM273" s="36"/>
      <c r="EN273" s="36"/>
      <c r="EO273" s="36"/>
      <c r="EP273" s="36"/>
      <c r="EQ273" s="36"/>
      <c r="ER273" s="36"/>
      <c r="ES273" s="36"/>
      <c r="ET273" s="36"/>
      <c r="EU273" s="36"/>
      <c r="EV273" s="36"/>
      <c r="EW273" s="37"/>
      <c r="EX273" s="44"/>
      <c r="EY273" s="36"/>
      <c r="EZ273" s="36"/>
      <c r="FA273" s="36"/>
      <c r="FB273" s="36"/>
      <c r="FC273" s="36"/>
      <c r="FD273" s="36"/>
      <c r="FE273" s="36"/>
      <c r="FF273" s="36"/>
      <c r="FG273" s="36"/>
      <c r="FH273" s="36"/>
      <c r="FI273" s="36"/>
      <c r="FJ273" s="36"/>
      <c r="FK273" s="36"/>
      <c r="FL273" s="36"/>
      <c r="FM273" s="36"/>
      <c r="FN273" s="37"/>
      <c r="FO273" s="44"/>
      <c r="FP273" s="36"/>
      <c r="FQ273" s="36"/>
      <c r="FR273" s="36"/>
      <c r="FS273" s="36"/>
      <c r="FT273" s="36"/>
      <c r="FU273" s="36"/>
      <c r="FV273" s="36"/>
      <c r="FW273" s="36"/>
      <c r="FX273" s="36"/>
      <c r="FY273" s="36"/>
      <c r="FZ273" s="36"/>
      <c r="GA273" s="36"/>
      <c r="GB273" s="36"/>
      <c r="GC273" s="36"/>
      <c r="GD273" s="36"/>
      <c r="GE273" s="37"/>
      <c r="GF273" s="44"/>
      <c r="GG273" s="36"/>
      <c r="GH273" s="36"/>
      <c r="GI273" s="36"/>
      <c r="GJ273" s="36"/>
      <c r="GK273" s="36"/>
      <c r="GL273" s="36"/>
      <c r="GM273" s="36"/>
      <c r="GN273" s="36"/>
      <c r="GO273" s="36"/>
      <c r="GP273" s="36"/>
      <c r="GQ273" s="36"/>
      <c r="GR273" s="36"/>
      <c r="GS273" s="36"/>
      <c r="GT273" s="36"/>
      <c r="GU273" s="36"/>
      <c r="GV273" s="37"/>
      <c r="GW273" s="44"/>
      <c r="GX273" s="36"/>
      <c r="GY273" s="36"/>
      <c r="GZ273" s="36"/>
      <c r="HA273" s="36"/>
      <c r="HB273" s="36"/>
      <c r="HC273" s="36"/>
      <c r="HD273" s="36"/>
      <c r="HE273" s="36"/>
      <c r="HF273" s="36"/>
      <c r="HG273" s="36"/>
      <c r="HH273" s="36"/>
      <c r="HI273" s="36"/>
      <c r="HJ273" s="36"/>
      <c r="HK273" s="36"/>
      <c r="HL273" s="36"/>
      <c r="HM273" s="37"/>
      <c r="HN273" s="44"/>
      <c r="HO273" s="36"/>
      <c r="HP273" s="36"/>
      <c r="HQ273" s="36"/>
      <c r="HR273" s="36"/>
      <c r="HS273" s="36"/>
      <c r="HT273" s="36"/>
      <c r="HU273" s="36"/>
      <c r="HV273" s="36"/>
      <c r="HW273" s="36"/>
      <c r="HX273" s="36"/>
      <c r="HY273" s="36"/>
      <c r="HZ273" s="36"/>
      <c r="IA273" s="36"/>
      <c r="IB273" s="36"/>
      <c r="IC273" s="36"/>
      <c r="ID273" s="37"/>
      <c r="IE273" s="44"/>
      <c r="IF273" s="36"/>
      <c r="IG273" s="36"/>
      <c r="IH273" s="36"/>
      <c r="II273" s="36"/>
      <c r="IJ273" s="36"/>
      <c r="IK273" s="36"/>
      <c r="IL273" s="36"/>
      <c r="IM273" s="36"/>
      <c r="IN273" s="36"/>
      <c r="IO273" s="36"/>
      <c r="IP273" s="36"/>
      <c r="IQ273" s="36"/>
      <c r="IR273" s="36"/>
      <c r="IS273" s="36"/>
      <c r="IT273" s="36"/>
      <c r="IU273" s="37"/>
      <c r="IV273" s="44"/>
      <c r="IW273" s="36"/>
      <c r="IX273" s="36"/>
      <c r="IY273" s="36"/>
      <c r="IZ273" s="36"/>
      <c r="JA273" s="36"/>
      <c r="JB273" s="36"/>
      <c r="JC273" s="36"/>
      <c r="JD273" s="36"/>
      <c r="JE273" s="36"/>
      <c r="JF273" s="36"/>
      <c r="JG273" s="36"/>
      <c r="JH273" s="36"/>
      <c r="JI273" s="36"/>
      <c r="JJ273" s="36"/>
      <c r="JK273" s="36"/>
      <c r="JL273" s="37"/>
      <c r="JM273" s="44"/>
      <c r="JN273" s="36"/>
      <c r="JO273" s="36"/>
      <c r="JP273" s="36"/>
      <c r="JQ273" s="36"/>
      <c r="JR273" s="36"/>
      <c r="JS273" s="36"/>
      <c r="JT273" s="36"/>
      <c r="JU273" s="36"/>
      <c r="JV273" s="36"/>
      <c r="JW273" s="36"/>
      <c r="JX273" s="36"/>
      <c r="JY273" s="36"/>
      <c r="JZ273" s="36"/>
      <c r="KA273" s="36"/>
      <c r="KB273" s="36"/>
      <c r="KC273" s="37"/>
      <c r="KD273" s="44"/>
      <c r="KE273" s="36"/>
      <c r="KF273" s="36"/>
      <c r="KG273" s="36"/>
      <c r="KH273" s="36"/>
      <c r="KI273" s="36"/>
      <c r="KJ273" s="36"/>
      <c r="KK273" s="36"/>
      <c r="KL273" s="36"/>
      <c r="KM273" s="36"/>
      <c r="KN273" s="36"/>
      <c r="KO273" s="36"/>
      <c r="KP273" s="36"/>
      <c r="KQ273" s="36"/>
      <c r="KR273" s="36"/>
      <c r="KS273" s="36"/>
      <c r="KT273" s="37"/>
      <c r="KU273" s="36"/>
    </row>
    <row r="274" ht="15.0" customHeight="1">
      <c r="A274" s="44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7"/>
      <c r="R274" s="44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7"/>
      <c r="AI274" s="44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  <c r="AU274" s="36"/>
      <c r="AV274" s="36"/>
      <c r="AW274" s="36"/>
      <c r="AX274" s="36"/>
      <c r="AY274" s="37"/>
      <c r="AZ274" s="44"/>
      <c r="BA274" s="36"/>
      <c r="BB274" s="36"/>
      <c r="BC274" s="36"/>
      <c r="BD274" s="36"/>
      <c r="BE274" s="36"/>
      <c r="BF274" s="36"/>
      <c r="BG274" s="36"/>
      <c r="BH274" s="36"/>
      <c r="BI274" s="36"/>
      <c r="BJ274" s="36"/>
      <c r="BK274" s="36"/>
      <c r="BL274" s="36"/>
      <c r="BM274" s="36"/>
      <c r="BN274" s="36"/>
      <c r="BO274" s="36"/>
      <c r="BP274" s="37"/>
      <c r="BQ274" s="44"/>
      <c r="BR274" s="36"/>
      <c r="BS274" s="36"/>
      <c r="BT274" s="36"/>
      <c r="BU274" s="36"/>
      <c r="BV274" s="36"/>
      <c r="BW274" s="36"/>
      <c r="BX274" s="36"/>
      <c r="BY274" s="36"/>
      <c r="BZ274" s="36"/>
      <c r="CA274" s="36"/>
      <c r="CB274" s="36"/>
      <c r="CC274" s="36"/>
      <c r="CD274" s="36"/>
      <c r="CE274" s="36"/>
      <c r="CF274" s="36"/>
      <c r="CG274" s="37"/>
      <c r="CH274" s="44"/>
      <c r="CI274" s="36"/>
      <c r="CJ274" s="36"/>
      <c r="CK274" s="36"/>
      <c r="CL274" s="36"/>
      <c r="CM274" s="36"/>
      <c r="CN274" s="36"/>
      <c r="CO274" s="36"/>
      <c r="CP274" s="36"/>
      <c r="CQ274" s="36"/>
      <c r="CR274" s="36"/>
      <c r="CS274" s="36"/>
      <c r="CT274" s="36"/>
      <c r="CU274" s="36"/>
      <c r="CV274" s="36"/>
      <c r="CW274" s="36"/>
      <c r="CX274" s="37"/>
      <c r="CY274" s="44"/>
      <c r="CZ274" s="36"/>
      <c r="DA274" s="36"/>
      <c r="DB274" s="36"/>
      <c r="DC274" s="36"/>
      <c r="DD274" s="36"/>
      <c r="DE274" s="36"/>
      <c r="DF274" s="36"/>
      <c r="DG274" s="36"/>
      <c r="DH274" s="36"/>
      <c r="DI274" s="36"/>
      <c r="DJ274" s="36"/>
      <c r="DK274" s="36"/>
      <c r="DL274" s="36"/>
      <c r="DM274" s="36"/>
      <c r="DN274" s="36"/>
      <c r="DO274" s="37"/>
      <c r="DP274" s="44"/>
      <c r="DQ274" s="36"/>
      <c r="DR274" s="36"/>
      <c r="DS274" s="36"/>
      <c r="DT274" s="36"/>
      <c r="DU274" s="36"/>
      <c r="DV274" s="36"/>
      <c r="DW274" s="36"/>
      <c r="DX274" s="36"/>
      <c r="DY274" s="36"/>
      <c r="DZ274" s="36"/>
      <c r="EA274" s="36"/>
      <c r="EB274" s="36"/>
      <c r="EC274" s="36"/>
      <c r="ED274" s="36"/>
      <c r="EE274" s="36"/>
      <c r="EF274" s="37"/>
      <c r="EG274" s="44"/>
      <c r="EH274" s="36"/>
      <c r="EI274" s="36"/>
      <c r="EJ274" s="36"/>
      <c r="EK274" s="36"/>
      <c r="EL274" s="36"/>
      <c r="EM274" s="36"/>
      <c r="EN274" s="36"/>
      <c r="EO274" s="36"/>
      <c r="EP274" s="36"/>
      <c r="EQ274" s="36"/>
      <c r="ER274" s="36"/>
      <c r="ES274" s="36"/>
      <c r="ET274" s="36"/>
      <c r="EU274" s="36"/>
      <c r="EV274" s="36"/>
      <c r="EW274" s="37"/>
      <c r="EX274" s="44"/>
      <c r="EY274" s="36"/>
      <c r="EZ274" s="36"/>
      <c r="FA274" s="36"/>
      <c r="FB274" s="36"/>
      <c r="FC274" s="36"/>
      <c r="FD274" s="36"/>
      <c r="FE274" s="36"/>
      <c r="FF274" s="36"/>
      <c r="FG274" s="36"/>
      <c r="FH274" s="36"/>
      <c r="FI274" s="36"/>
      <c r="FJ274" s="36"/>
      <c r="FK274" s="36"/>
      <c r="FL274" s="36"/>
      <c r="FM274" s="36"/>
      <c r="FN274" s="37"/>
      <c r="FO274" s="44"/>
      <c r="FP274" s="36"/>
      <c r="FQ274" s="36"/>
      <c r="FR274" s="36"/>
      <c r="FS274" s="36"/>
      <c r="FT274" s="36"/>
      <c r="FU274" s="36"/>
      <c r="FV274" s="36"/>
      <c r="FW274" s="36"/>
      <c r="FX274" s="36"/>
      <c r="FY274" s="36"/>
      <c r="FZ274" s="36"/>
      <c r="GA274" s="36"/>
      <c r="GB274" s="36"/>
      <c r="GC274" s="36"/>
      <c r="GD274" s="36"/>
      <c r="GE274" s="37"/>
      <c r="GF274" s="44"/>
      <c r="GG274" s="36"/>
      <c r="GH274" s="36"/>
      <c r="GI274" s="36"/>
      <c r="GJ274" s="36"/>
      <c r="GK274" s="36"/>
      <c r="GL274" s="36"/>
      <c r="GM274" s="36"/>
      <c r="GN274" s="36"/>
      <c r="GO274" s="36"/>
      <c r="GP274" s="36"/>
      <c r="GQ274" s="36"/>
      <c r="GR274" s="36"/>
      <c r="GS274" s="36"/>
      <c r="GT274" s="36"/>
      <c r="GU274" s="36"/>
      <c r="GV274" s="37"/>
      <c r="GW274" s="44"/>
      <c r="GX274" s="36"/>
      <c r="GY274" s="36"/>
      <c r="GZ274" s="36"/>
      <c r="HA274" s="36"/>
      <c r="HB274" s="36"/>
      <c r="HC274" s="36"/>
      <c r="HD274" s="36"/>
      <c r="HE274" s="36"/>
      <c r="HF274" s="36"/>
      <c r="HG274" s="36"/>
      <c r="HH274" s="36"/>
      <c r="HI274" s="36"/>
      <c r="HJ274" s="36"/>
      <c r="HK274" s="36"/>
      <c r="HL274" s="36"/>
      <c r="HM274" s="37"/>
      <c r="HN274" s="44"/>
      <c r="HO274" s="36"/>
      <c r="HP274" s="36"/>
      <c r="HQ274" s="36"/>
      <c r="HR274" s="36"/>
      <c r="HS274" s="36"/>
      <c r="HT274" s="36"/>
      <c r="HU274" s="36"/>
      <c r="HV274" s="36"/>
      <c r="HW274" s="36"/>
      <c r="HX274" s="36"/>
      <c r="HY274" s="36"/>
      <c r="HZ274" s="36"/>
      <c r="IA274" s="36"/>
      <c r="IB274" s="36"/>
      <c r="IC274" s="36"/>
      <c r="ID274" s="37"/>
      <c r="IE274" s="44"/>
      <c r="IF274" s="36"/>
      <c r="IG274" s="36"/>
      <c r="IH274" s="36"/>
      <c r="II274" s="36"/>
      <c r="IJ274" s="36"/>
      <c r="IK274" s="36"/>
      <c r="IL274" s="36"/>
      <c r="IM274" s="36"/>
      <c r="IN274" s="36"/>
      <c r="IO274" s="36"/>
      <c r="IP274" s="36"/>
      <c r="IQ274" s="36"/>
      <c r="IR274" s="36"/>
      <c r="IS274" s="36"/>
      <c r="IT274" s="36"/>
      <c r="IU274" s="37"/>
      <c r="IV274" s="44"/>
      <c r="IW274" s="36"/>
      <c r="IX274" s="36"/>
      <c r="IY274" s="36"/>
      <c r="IZ274" s="36"/>
      <c r="JA274" s="36"/>
      <c r="JB274" s="36"/>
      <c r="JC274" s="36"/>
      <c r="JD274" s="36"/>
      <c r="JE274" s="36"/>
      <c r="JF274" s="36"/>
      <c r="JG274" s="36"/>
      <c r="JH274" s="36"/>
      <c r="JI274" s="36"/>
      <c r="JJ274" s="36"/>
      <c r="JK274" s="36"/>
      <c r="JL274" s="37"/>
      <c r="JM274" s="44"/>
      <c r="JN274" s="36"/>
      <c r="JO274" s="36"/>
      <c r="JP274" s="36"/>
      <c r="JQ274" s="36"/>
      <c r="JR274" s="36"/>
      <c r="JS274" s="36"/>
      <c r="JT274" s="36"/>
      <c r="JU274" s="36"/>
      <c r="JV274" s="36"/>
      <c r="JW274" s="36"/>
      <c r="JX274" s="36"/>
      <c r="JY274" s="36"/>
      <c r="JZ274" s="36"/>
      <c r="KA274" s="36"/>
      <c r="KB274" s="36"/>
      <c r="KC274" s="37"/>
      <c r="KD274" s="44"/>
      <c r="KE274" s="36"/>
      <c r="KF274" s="36"/>
      <c r="KG274" s="36"/>
      <c r="KH274" s="36"/>
      <c r="KI274" s="36"/>
      <c r="KJ274" s="36"/>
      <c r="KK274" s="36"/>
      <c r="KL274" s="36"/>
      <c r="KM274" s="36"/>
      <c r="KN274" s="36"/>
      <c r="KO274" s="36"/>
      <c r="KP274" s="36"/>
      <c r="KQ274" s="36"/>
      <c r="KR274" s="36"/>
      <c r="KS274" s="36"/>
      <c r="KT274" s="37"/>
      <c r="KU274" s="36"/>
    </row>
    <row r="275" ht="15.0" customHeight="1">
      <c r="A275" s="44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7"/>
      <c r="R275" s="44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7"/>
      <c r="AI275" s="44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  <c r="AU275" s="36"/>
      <c r="AV275" s="36"/>
      <c r="AW275" s="36"/>
      <c r="AX275" s="36"/>
      <c r="AY275" s="37"/>
      <c r="AZ275" s="44"/>
      <c r="BA275" s="36"/>
      <c r="BB275" s="36"/>
      <c r="BC275" s="36"/>
      <c r="BD275" s="36"/>
      <c r="BE275" s="36"/>
      <c r="BF275" s="36"/>
      <c r="BG275" s="36"/>
      <c r="BH275" s="36"/>
      <c r="BI275" s="36"/>
      <c r="BJ275" s="36"/>
      <c r="BK275" s="36"/>
      <c r="BL275" s="36"/>
      <c r="BM275" s="36"/>
      <c r="BN275" s="36"/>
      <c r="BO275" s="36"/>
      <c r="BP275" s="37"/>
      <c r="BQ275" s="44"/>
      <c r="BR275" s="36"/>
      <c r="BS275" s="36"/>
      <c r="BT275" s="36"/>
      <c r="BU275" s="36"/>
      <c r="BV275" s="36"/>
      <c r="BW275" s="36"/>
      <c r="BX275" s="36"/>
      <c r="BY275" s="36"/>
      <c r="BZ275" s="36"/>
      <c r="CA275" s="36"/>
      <c r="CB275" s="36"/>
      <c r="CC275" s="36"/>
      <c r="CD275" s="36"/>
      <c r="CE275" s="36"/>
      <c r="CF275" s="36"/>
      <c r="CG275" s="37"/>
      <c r="CH275" s="44"/>
      <c r="CI275" s="36"/>
      <c r="CJ275" s="36"/>
      <c r="CK275" s="36"/>
      <c r="CL275" s="36"/>
      <c r="CM275" s="36"/>
      <c r="CN275" s="36"/>
      <c r="CO275" s="36"/>
      <c r="CP275" s="36"/>
      <c r="CQ275" s="36"/>
      <c r="CR275" s="36"/>
      <c r="CS275" s="36"/>
      <c r="CT275" s="36"/>
      <c r="CU275" s="36"/>
      <c r="CV275" s="36"/>
      <c r="CW275" s="36"/>
      <c r="CX275" s="37"/>
      <c r="CY275" s="44"/>
      <c r="CZ275" s="36"/>
      <c r="DA275" s="36"/>
      <c r="DB275" s="36"/>
      <c r="DC275" s="36"/>
      <c r="DD275" s="36"/>
      <c r="DE275" s="36"/>
      <c r="DF275" s="36"/>
      <c r="DG275" s="36"/>
      <c r="DH275" s="36"/>
      <c r="DI275" s="36"/>
      <c r="DJ275" s="36"/>
      <c r="DK275" s="36"/>
      <c r="DL275" s="36"/>
      <c r="DM275" s="36"/>
      <c r="DN275" s="36"/>
      <c r="DO275" s="37"/>
      <c r="DP275" s="44"/>
      <c r="DQ275" s="36"/>
      <c r="DR275" s="36"/>
      <c r="DS275" s="36"/>
      <c r="DT275" s="36"/>
      <c r="DU275" s="36"/>
      <c r="DV275" s="36"/>
      <c r="DW275" s="36"/>
      <c r="DX275" s="36"/>
      <c r="DY275" s="36"/>
      <c r="DZ275" s="36"/>
      <c r="EA275" s="36"/>
      <c r="EB275" s="36"/>
      <c r="EC275" s="36"/>
      <c r="ED275" s="36"/>
      <c r="EE275" s="36"/>
      <c r="EF275" s="37"/>
      <c r="EG275" s="44"/>
      <c r="EH275" s="36"/>
      <c r="EI275" s="36"/>
      <c r="EJ275" s="36"/>
      <c r="EK275" s="36"/>
      <c r="EL275" s="36"/>
      <c r="EM275" s="36"/>
      <c r="EN275" s="36"/>
      <c r="EO275" s="36"/>
      <c r="EP275" s="36"/>
      <c r="EQ275" s="36"/>
      <c r="ER275" s="36"/>
      <c r="ES275" s="36"/>
      <c r="ET275" s="36"/>
      <c r="EU275" s="36"/>
      <c r="EV275" s="36"/>
      <c r="EW275" s="37"/>
      <c r="EX275" s="44"/>
      <c r="EY275" s="36"/>
      <c r="EZ275" s="36"/>
      <c r="FA275" s="36"/>
      <c r="FB275" s="36"/>
      <c r="FC275" s="36"/>
      <c r="FD275" s="36"/>
      <c r="FE275" s="36"/>
      <c r="FF275" s="36"/>
      <c r="FG275" s="36"/>
      <c r="FH275" s="36"/>
      <c r="FI275" s="36"/>
      <c r="FJ275" s="36"/>
      <c r="FK275" s="36"/>
      <c r="FL275" s="36"/>
      <c r="FM275" s="36"/>
      <c r="FN275" s="37"/>
      <c r="FO275" s="44"/>
      <c r="FP275" s="36"/>
      <c r="FQ275" s="36"/>
      <c r="FR275" s="36"/>
      <c r="FS275" s="36"/>
      <c r="FT275" s="36"/>
      <c r="FU275" s="36"/>
      <c r="FV275" s="36"/>
      <c r="FW275" s="36"/>
      <c r="FX275" s="36"/>
      <c r="FY275" s="36"/>
      <c r="FZ275" s="36"/>
      <c r="GA275" s="36"/>
      <c r="GB275" s="36"/>
      <c r="GC275" s="36"/>
      <c r="GD275" s="36"/>
      <c r="GE275" s="37"/>
      <c r="GF275" s="44"/>
      <c r="GG275" s="36"/>
      <c r="GH275" s="36"/>
      <c r="GI275" s="36"/>
      <c r="GJ275" s="36"/>
      <c r="GK275" s="36"/>
      <c r="GL275" s="36"/>
      <c r="GM275" s="36"/>
      <c r="GN275" s="36"/>
      <c r="GO275" s="36"/>
      <c r="GP275" s="36"/>
      <c r="GQ275" s="36"/>
      <c r="GR275" s="36"/>
      <c r="GS275" s="36"/>
      <c r="GT275" s="36"/>
      <c r="GU275" s="36"/>
      <c r="GV275" s="37"/>
      <c r="GW275" s="44"/>
      <c r="GX275" s="36"/>
      <c r="GY275" s="36"/>
      <c r="GZ275" s="36"/>
      <c r="HA275" s="36"/>
      <c r="HB275" s="36"/>
      <c r="HC275" s="36"/>
      <c r="HD275" s="36"/>
      <c r="HE275" s="36"/>
      <c r="HF275" s="36"/>
      <c r="HG275" s="36"/>
      <c r="HH275" s="36"/>
      <c r="HI275" s="36"/>
      <c r="HJ275" s="36"/>
      <c r="HK275" s="36"/>
      <c r="HL275" s="36"/>
      <c r="HM275" s="37"/>
      <c r="HN275" s="44"/>
      <c r="HO275" s="36"/>
      <c r="HP275" s="36"/>
      <c r="HQ275" s="36"/>
      <c r="HR275" s="36"/>
      <c r="HS275" s="36"/>
      <c r="HT275" s="36"/>
      <c r="HU275" s="36"/>
      <c r="HV275" s="36"/>
      <c r="HW275" s="36"/>
      <c r="HX275" s="36"/>
      <c r="HY275" s="36"/>
      <c r="HZ275" s="36"/>
      <c r="IA275" s="36"/>
      <c r="IB275" s="36"/>
      <c r="IC275" s="36"/>
      <c r="ID275" s="37"/>
      <c r="IE275" s="44"/>
      <c r="IF275" s="36"/>
      <c r="IG275" s="36"/>
      <c r="IH275" s="36"/>
      <c r="II275" s="36"/>
      <c r="IJ275" s="36"/>
      <c r="IK275" s="36"/>
      <c r="IL275" s="36"/>
      <c r="IM275" s="36"/>
      <c r="IN275" s="36"/>
      <c r="IO275" s="36"/>
      <c r="IP275" s="36"/>
      <c r="IQ275" s="36"/>
      <c r="IR275" s="36"/>
      <c r="IS275" s="36"/>
      <c r="IT275" s="36"/>
      <c r="IU275" s="37"/>
      <c r="IV275" s="44"/>
      <c r="IW275" s="36"/>
      <c r="IX275" s="36"/>
      <c r="IY275" s="36"/>
      <c r="IZ275" s="36"/>
      <c r="JA275" s="36"/>
      <c r="JB275" s="36"/>
      <c r="JC275" s="36"/>
      <c r="JD275" s="36"/>
      <c r="JE275" s="36"/>
      <c r="JF275" s="36"/>
      <c r="JG275" s="36"/>
      <c r="JH275" s="36"/>
      <c r="JI275" s="36"/>
      <c r="JJ275" s="36"/>
      <c r="JK275" s="36"/>
      <c r="JL275" s="37"/>
      <c r="JM275" s="44"/>
      <c r="JN275" s="36"/>
      <c r="JO275" s="36"/>
      <c r="JP275" s="36"/>
      <c r="JQ275" s="36"/>
      <c r="JR275" s="36"/>
      <c r="JS275" s="36"/>
      <c r="JT275" s="36"/>
      <c r="JU275" s="36"/>
      <c r="JV275" s="36"/>
      <c r="JW275" s="36"/>
      <c r="JX275" s="36"/>
      <c r="JY275" s="36"/>
      <c r="JZ275" s="36"/>
      <c r="KA275" s="36"/>
      <c r="KB275" s="36"/>
      <c r="KC275" s="37"/>
      <c r="KD275" s="44"/>
      <c r="KE275" s="36"/>
      <c r="KF275" s="36"/>
      <c r="KG275" s="36"/>
      <c r="KH275" s="36"/>
      <c r="KI275" s="36"/>
      <c r="KJ275" s="36"/>
      <c r="KK275" s="36"/>
      <c r="KL275" s="36"/>
      <c r="KM275" s="36"/>
      <c r="KN275" s="36"/>
      <c r="KO275" s="36"/>
      <c r="KP275" s="36"/>
      <c r="KQ275" s="36"/>
      <c r="KR275" s="36"/>
      <c r="KS275" s="36"/>
      <c r="KT275" s="37"/>
      <c r="KU275" s="36"/>
    </row>
    <row r="276" ht="15.0" customHeight="1">
      <c r="A276" s="44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7"/>
      <c r="R276" s="44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7"/>
      <c r="AI276" s="44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  <c r="AU276" s="36"/>
      <c r="AV276" s="36"/>
      <c r="AW276" s="36"/>
      <c r="AX276" s="36"/>
      <c r="AY276" s="37"/>
      <c r="AZ276" s="44"/>
      <c r="BA276" s="36"/>
      <c r="BB276" s="36"/>
      <c r="BC276" s="36"/>
      <c r="BD276" s="36"/>
      <c r="BE276" s="36"/>
      <c r="BF276" s="36"/>
      <c r="BG276" s="36"/>
      <c r="BH276" s="36"/>
      <c r="BI276" s="36"/>
      <c r="BJ276" s="36"/>
      <c r="BK276" s="36"/>
      <c r="BL276" s="36"/>
      <c r="BM276" s="36"/>
      <c r="BN276" s="36"/>
      <c r="BO276" s="36"/>
      <c r="BP276" s="37"/>
      <c r="BQ276" s="44"/>
      <c r="BR276" s="36"/>
      <c r="BS276" s="36"/>
      <c r="BT276" s="36"/>
      <c r="BU276" s="36"/>
      <c r="BV276" s="36"/>
      <c r="BW276" s="36"/>
      <c r="BX276" s="36"/>
      <c r="BY276" s="36"/>
      <c r="BZ276" s="36"/>
      <c r="CA276" s="36"/>
      <c r="CB276" s="36"/>
      <c r="CC276" s="36"/>
      <c r="CD276" s="36"/>
      <c r="CE276" s="36"/>
      <c r="CF276" s="36"/>
      <c r="CG276" s="37"/>
      <c r="CH276" s="44"/>
      <c r="CI276" s="36"/>
      <c r="CJ276" s="36"/>
      <c r="CK276" s="36"/>
      <c r="CL276" s="36"/>
      <c r="CM276" s="36"/>
      <c r="CN276" s="36"/>
      <c r="CO276" s="36"/>
      <c r="CP276" s="36"/>
      <c r="CQ276" s="36"/>
      <c r="CR276" s="36"/>
      <c r="CS276" s="36"/>
      <c r="CT276" s="36"/>
      <c r="CU276" s="36"/>
      <c r="CV276" s="36"/>
      <c r="CW276" s="36"/>
      <c r="CX276" s="37"/>
      <c r="CY276" s="44"/>
      <c r="CZ276" s="36"/>
      <c r="DA276" s="36"/>
      <c r="DB276" s="36"/>
      <c r="DC276" s="36"/>
      <c r="DD276" s="36"/>
      <c r="DE276" s="36"/>
      <c r="DF276" s="36"/>
      <c r="DG276" s="36"/>
      <c r="DH276" s="36"/>
      <c r="DI276" s="36"/>
      <c r="DJ276" s="36"/>
      <c r="DK276" s="36"/>
      <c r="DL276" s="36"/>
      <c r="DM276" s="36"/>
      <c r="DN276" s="36"/>
      <c r="DO276" s="37"/>
      <c r="DP276" s="44"/>
      <c r="DQ276" s="36"/>
      <c r="DR276" s="36"/>
      <c r="DS276" s="36"/>
      <c r="DT276" s="36"/>
      <c r="DU276" s="36"/>
      <c r="DV276" s="36"/>
      <c r="DW276" s="36"/>
      <c r="DX276" s="36"/>
      <c r="DY276" s="36"/>
      <c r="DZ276" s="36"/>
      <c r="EA276" s="36"/>
      <c r="EB276" s="36"/>
      <c r="EC276" s="36"/>
      <c r="ED276" s="36"/>
      <c r="EE276" s="36"/>
      <c r="EF276" s="37"/>
      <c r="EG276" s="44"/>
      <c r="EH276" s="36"/>
      <c r="EI276" s="36"/>
      <c r="EJ276" s="36"/>
      <c r="EK276" s="36"/>
      <c r="EL276" s="36"/>
      <c r="EM276" s="36"/>
      <c r="EN276" s="36"/>
      <c r="EO276" s="36"/>
      <c r="EP276" s="36"/>
      <c r="EQ276" s="36"/>
      <c r="ER276" s="36"/>
      <c r="ES276" s="36"/>
      <c r="ET276" s="36"/>
      <c r="EU276" s="36"/>
      <c r="EV276" s="36"/>
      <c r="EW276" s="37"/>
      <c r="EX276" s="44"/>
      <c r="EY276" s="36"/>
      <c r="EZ276" s="36"/>
      <c r="FA276" s="36"/>
      <c r="FB276" s="36"/>
      <c r="FC276" s="36"/>
      <c r="FD276" s="36"/>
      <c r="FE276" s="36"/>
      <c r="FF276" s="36"/>
      <c r="FG276" s="36"/>
      <c r="FH276" s="36"/>
      <c r="FI276" s="36"/>
      <c r="FJ276" s="36"/>
      <c r="FK276" s="36"/>
      <c r="FL276" s="36"/>
      <c r="FM276" s="36"/>
      <c r="FN276" s="37"/>
      <c r="FO276" s="44"/>
      <c r="FP276" s="36"/>
      <c r="FQ276" s="36"/>
      <c r="FR276" s="36"/>
      <c r="FS276" s="36"/>
      <c r="FT276" s="36"/>
      <c r="FU276" s="36"/>
      <c r="FV276" s="36"/>
      <c r="FW276" s="36"/>
      <c r="FX276" s="36"/>
      <c r="FY276" s="36"/>
      <c r="FZ276" s="36"/>
      <c r="GA276" s="36"/>
      <c r="GB276" s="36"/>
      <c r="GC276" s="36"/>
      <c r="GD276" s="36"/>
      <c r="GE276" s="37"/>
      <c r="GF276" s="44"/>
      <c r="GG276" s="36"/>
      <c r="GH276" s="36"/>
      <c r="GI276" s="36"/>
      <c r="GJ276" s="36"/>
      <c r="GK276" s="36"/>
      <c r="GL276" s="36"/>
      <c r="GM276" s="36"/>
      <c r="GN276" s="36"/>
      <c r="GO276" s="36"/>
      <c r="GP276" s="36"/>
      <c r="GQ276" s="36"/>
      <c r="GR276" s="36"/>
      <c r="GS276" s="36"/>
      <c r="GT276" s="36"/>
      <c r="GU276" s="36"/>
      <c r="GV276" s="37"/>
      <c r="GW276" s="44"/>
      <c r="GX276" s="36"/>
      <c r="GY276" s="36"/>
      <c r="GZ276" s="36"/>
      <c r="HA276" s="36"/>
      <c r="HB276" s="36"/>
      <c r="HC276" s="36"/>
      <c r="HD276" s="36"/>
      <c r="HE276" s="36"/>
      <c r="HF276" s="36"/>
      <c r="HG276" s="36"/>
      <c r="HH276" s="36"/>
      <c r="HI276" s="36"/>
      <c r="HJ276" s="36"/>
      <c r="HK276" s="36"/>
      <c r="HL276" s="36"/>
      <c r="HM276" s="37"/>
      <c r="HN276" s="44"/>
      <c r="HO276" s="36"/>
      <c r="HP276" s="36"/>
      <c r="HQ276" s="36"/>
      <c r="HR276" s="36"/>
      <c r="HS276" s="36"/>
      <c r="HT276" s="36"/>
      <c r="HU276" s="36"/>
      <c r="HV276" s="36"/>
      <c r="HW276" s="36"/>
      <c r="HX276" s="36"/>
      <c r="HY276" s="36"/>
      <c r="HZ276" s="36"/>
      <c r="IA276" s="36"/>
      <c r="IB276" s="36"/>
      <c r="IC276" s="36"/>
      <c r="ID276" s="37"/>
      <c r="IE276" s="44"/>
      <c r="IF276" s="36"/>
      <c r="IG276" s="36"/>
      <c r="IH276" s="36"/>
      <c r="II276" s="36"/>
      <c r="IJ276" s="36"/>
      <c r="IK276" s="36"/>
      <c r="IL276" s="36"/>
      <c r="IM276" s="36"/>
      <c r="IN276" s="36"/>
      <c r="IO276" s="36"/>
      <c r="IP276" s="36"/>
      <c r="IQ276" s="36"/>
      <c r="IR276" s="36"/>
      <c r="IS276" s="36"/>
      <c r="IT276" s="36"/>
      <c r="IU276" s="37"/>
      <c r="IV276" s="44"/>
      <c r="IW276" s="36"/>
      <c r="IX276" s="36"/>
      <c r="IY276" s="36"/>
      <c r="IZ276" s="36"/>
      <c r="JA276" s="36"/>
      <c r="JB276" s="36"/>
      <c r="JC276" s="36"/>
      <c r="JD276" s="36"/>
      <c r="JE276" s="36"/>
      <c r="JF276" s="36"/>
      <c r="JG276" s="36"/>
      <c r="JH276" s="36"/>
      <c r="JI276" s="36"/>
      <c r="JJ276" s="36"/>
      <c r="JK276" s="36"/>
      <c r="JL276" s="37"/>
      <c r="JM276" s="44"/>
      <c r="JN276" s="36"/>
      <c r="JO276" s="36"/>
      <c r="JP276" s="36"/>
      <c r="JQ276" s="36"/>
      <c r="JR276" s="36"/>
      <c r="JS276" s="36"/>
      <c r="JT276" s="36"/>
      <c r="JU276" s="36"/>
      <c r="JV276" s="36"/>
      <c r="JW276" s="36"/>
      <c r="JX276" s="36"/>
      <c r="JY276" s="36"/>
      <c r="JZ276" s="36"/>
      <c r="KA276" s="36"/>
      <c r="KB276" s="36"/>
      <c r="KC276" s="37"/>
      <c r="KD276" s="44"/>
      <c r="KE276" s="36"/>
      <c r="KF276" s="36"/>
      <c r="KG276" s="36"/>
      <c r="KH276" s="36"/>
      <c r="KI276" s="36"/>
      <c r="KJ276" s="36"/>
      <c r="KK276" s="36"/>
      <c r="KL276" s="36"/>
      <c r="KM276" s="36"/>
      <c r="KN276" s="36"/>
      <c r="KO276" s="36"/>
      <c r="KP276" s="36"/>
      <c r="KQ276" s="36"/>
      <c r="KR276" s="36"/>
      <c r="KS276" s="36"/>
      <c r="KT276" s="37"/>
      <c r="KU276" s="36"/>
    </row>
    <row r="277" ht="15.0" customHeight="1">
      <c r="A277" s="44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7"/>
      <c r="R277" s="44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7"/>
      <c r="AI277" s="44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  <c r="AU277" s="36"/>
      <c r="AV277" s="36"/>
      <c r="AW277" s="36"/>
      <c r="AX277" s="36"/>
      <c r="AY277" s="37"/>
      <c r="AZ277" s="44"/>
      <c r="BA277" s="36"/>
      <c r="BB277" s="36"/>
      <c r="BC277" s="36"/>
      <c r="BD277" s="36"/>
      <c r="BE277" s="36"/>
      <c r="BF277" s="36"/>
      <c r="BG277" s="36"/>
      <c r="BH277" s="36"/>
      <c r="BI277" s="36"/>
      <c r="BJ277" s="36"/>
      <c r="BK277" s="36"/>
      <c r="BL277" s="36"/>
      <c r="BM277" s="36"/>
      <c r="BN277" s="36"/>
      <c r="BO277" s="36"/>
      <c r="BP277" s="37"/>
      <c r="BQ277" s="44"/>
      <c r="BR277" s="36"/>
      <c r="BS277" s="36"/>
      <c r="BT277" s="36"/>
      <c r="BU277" s="36"/>
      <c r="BV277" s="36"/>
      <c r="BW277" s="36"/>
      <c r="BX277" s="36"/>
      <c r="BY277" s="36"/>
      <c r="BZ277" s="36"/>
      <c r="CA277" s="36"/>
      <c r="CB277" s="36"/>
      <c r="CC277" s="36"/>
      <c r="CD277" s="36"/>
      <c r="CE277" s="36"/>
      <c r="CF277" s="36"/>
      <c r="CG277" s="37"/>
      <c r="CH277" s="44"/>
      <c r="CI277" s="36"/>
      <c r="CJ277" s="36"/>
      <c r="CK277" s="36"/>
      <c r="CL277" s="36"/>
      <c r="CM277" s="36"/>
      <c r="CN277" s="36"/>
      <c r="CO277" s="36"/>
      <c r="CP277" s="36"/>
      <c r="CQ277" s="36"/>
      <c r="CR277" s="36"/>
      <c r="CS277" s="36"/>
      <c r="CT277" s="36"/>
      <c r="CU277" s="36"/>
      <c r="CV277" s="36"/>
      <c r="CW277" s="36"/>
      <c r="CX277" s="37"/>
      <c r="CY277" s="44"/>
      <c r="CZ277" s="36"/>
      <c r="DA277" s="36"/>
      <c r="DB277" s="36"/>
      <c r="DC277" s="36"/>
      <c r="DD277" s="36"/>
      <c r="DE277" s="36"/>
      <c r="DF277" s="36"/>
      <c r="DG277" s="36"/>
      <c r="DH277" s="36"/>
      <c r="DI277" s="36"/>
      <c r="DJ277" s="36"/>
      <c r="DK277" s="36"/>
      <c r="DL277" s="36"/>
      <c r="DM277" s="36"/>
      <c r="DN277" s="36"/>
      <c r="DO277" s="37"/>
      <c r="DP277" s="44"/>
      <c r="DQ277" s="36"/>
      <c r="DR277" s="36"/>
      <c r="DS277" s="36"/>
      <c r="DT277" s="36"/>
      <c r="DU277" s="36"/>
      <c r="DV277" s="36"/>
      <c r="DW277" s="36"/>
      <c r="DX277" s="36"/>
      <c r="DY277" s="36"/>
      <c r="DZ277" s="36"/>
      <c r="EA277" s="36"/>
      <c r="EB277" s="36"/>
      <c r="EC277" s="36"/>
      <c r="ED277" s="36"/>
      <c r="EE277" s="36"/>
      <c r="EF277" s="37"/>
      <c r="EG277" s="44"/>
      <c r="EH277" s="36"/>
      <c r="EI277" s="36"/>
      <c r="EJ277" s="36"/>
      <c r="EK277" s="36"/>
      <c r="EL277" s="36"/>
      <c r="EM277" s="36"/>
      <c r="EN277" s="36"/>
      <c r="EO277" s="36"/>
      <c r="EP277" s="36"/>
      <c r="EQ277" s="36"/>
      <c r="ER277" s="36"/>
      <c r="ES277" s="36"/>
      <c r="ET277" s="36"/>
      <c r="EU277" s="36"/>
      <c r="EV277" s="36"/>
      <c r="EW277" s="37"/>
      <c r="EX277" s="44"/>
      <c r="EY277" s="36"/>
      <c r="EZ277" s="36"/>
      <c r="FA277" s="36"/>
      <c r="FB277" s="36"/>
      <c r="FC277" s="36"/>
      <c r="FD277" s="36"/>
      <c r="FE277" s="36"/>
      <c r="FF277" s="36"/>
      <c r="FG277" s="36"/>
      <c r="FH277" s="36"/>
      <c r="FI277" s="36"/>
      <c r="FJ277" s="36"/>
      <c r="FK277" s="36"/>
      <c r="FL277" s="36"/>
      <c r="FM277" s="36"/>
      <c r="FN277" s="37"/>
      <c r="FO277" s="44"/>
      <c r="FP277" s="36"/>
      <c r="FQ277" s="36"/>
      <c r="FR277" s="36"/>
      <c r="FS277" s="36"/>
      <c r="FT277" s="36"/>
      <c r="FU277" s="36"/>
      <c r="FV277" s="36"/>
      <c r="FW277" s="36"/>
      <c r="FX277" s="36"/>
      <c r="FY277" s="36"/>
      <c r="FZ277" s="36"/>
      <c r="GA277" s="36"/>
      <c r="GB277" s="36"/>
      <c r="GC277" s="36"/>
      <c r="GD277" s="36"/>
      <c r="GE277" s="37"/>
      <c r="GF277" s="44"/>
      <c r="GG277" s="36"/>
      <c r="GH277" s="36"/>
      <c r="GI277" s="36"/>
      <c r="GJ277" s="36"/>
      <c r="GK277" s="36"/>
      <c r="GL277" s="36"/>
      <c r="GM277" s="36"/>
      <c r="GN277" s="36"/>
      <c r="GO277" s="36"/>
      <c r="GP277" s="36"/>
      <c r="GQ277" s="36"/>
      <c r="GR277" s="36"/>
      <c r="GS277" s="36"/>
      <c r="GT277" s="36"/>
      <c r="GU277" s="36"/>
      <c r="GV277" s="37"/>
      <c r="GW277" s="44"/>
      <c r="GX277" s="36"/>
      <c r="GY277" s="36"/>
      <c r="GZ277" s="36"/>
      <c r="HA277" s="36"/>
      <c r="HB277" s="36"/>
      <c r="HC277" s="36"/>
      <c r="HD277" s="36"/>
      <c r="HE277" s="36"/>
      <c r="HF277" s="36"/>
      <c r="HG277" s="36"/>
      <c r="HH277" s="36"/>
      <c r="HI277" s="36"/>
      <c r="HJ277" s="36"/>
      <c r="HK277" s="36"/>
      <c r="HL277" s="36"/>
      <c r="HM277" s="37"/>
      <c r="HN277" s="44"/>
      <c r="HO277" s="36"/>
      <c r="HP277" s="36"/>
      <c r="HQ277" s="36"/>
      <c r="HR277" s="36"/>
      <c r="HS277" s="36"/>
      <c r="HT277" s="36"/>
      <c r="HU277" s="36"/>
      <c r="HV277" s="36"/>
      <c r="HW277" s="36"/>
      <c r="HX277" s="36"/>
      <c r="HY277" s="36"/>
      <c r="HZ277" s="36"/>
      <c r="IA277" s="36"/>
      <c r="IB277" s="36"/>
      <c r="IC277" s="36"/>
      <c r="ID277" s="37"/>
      <c r="IE277" s="44"/>
      <c r="IF277" s="36"/>
      <c r="IG277" s="36"/>
      <c r="IH277" s="36"/>
      <c r="II277" s="36"/>
      <c r="IJ277" s="36"/>
      <c r="IK277" s="36"/>
      <c r="IL277" s="36"/>
      <c r="IM277" s="36"/>
      <c r="IN277" s="36"/>
      <c r="IO277" s="36"/>
      <c r="IP277" s="36"/>
      <c r="IQ277" s="36"/>
      <c r="IR277" s="36"/>
      <c r="IS277" s="36"/>
      <c r="IT277" s="36"/>
      <c r="IU277" s="37"/>
      <c r="IV277" s="44"/>
      <c r="IW277" s="36"/>
      <c r="IX277" s="36"/>
      <c r="IY277" s="36"/>
      <c r="IZ277" s="36"/>
      <c r="JA277" s="36"/>
      <c r="JB277" s="36"/>
      <c r="JC277" s="36"/>
      <c r="JD277" s="36"/>
      <c r="JE277" s="36"/>
      <c r="JF277" s="36"/>
      <c r="JG277" s="36"/>
      <c r="JH277" s="36"/>
      <c r="JI277" s="36"/>
      <c r="JJ277" s="36"/>
      <c r="JK277" s="36"/>
      <c r="JL277" s="37"/>
      <c r="JM277" s="44"/>
      <c r="JN277" s="36"/>
      <c r="JO277" s="36"/>
      <c r="JP277" s="36"/>
      <c r="JQ277" s="36"/>
      <c r="JR277" s="36"/>
      <c r="JS277" s="36"/>
      <c r="JT277" s="36"/>
      <c r="JU277" s="36"/>
      <c r="JV277" s="36"/>
      <c r="JW277" s="36"/>
      <c r="JX277" s="36"/>
      <c r="JY277" s="36"/>
      <c r="JZ277" s="36"/>
      <c r="KA277" s="36"/>
      <c r="KB277" s="36"/>
      <c r="KC277" s="37"/>
      <c r="KD277" s="44"/>
      <c r="KE277" s="36"/>
      <c r="KF277" s="36"/>
      <c r="KG277" s="36"/>
      <c r="KH277" s="36"/>
      <c r="KI277" s="36"/>
      <c r="KJ277" s="36"/>
      <c r="KK277" s="36"/>
      <c r="KL277" s="36"/>
      <c r="KM277" s="36"/>
      <c r="KN277" s="36"/>
      <c r="KO277" s="36"/>
      <c r="KP277" s="36"/>
      <c r="KQ277" s="36"/>
      <c r="KR277" s="36"/>
      <c r="KS277" s="36"/>
      <c r="KT277" s="37"/>
      <c r="KU277" s="36"/>
    </row>
    <row r="278" ht="15.0" customHeight="1">
      <c r="A278" s="44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7"/>
      <c r="R278" s="44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7"/>
      <c r="AI278" s="44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  <c r="AU278" s="36"/>
      <c r="AV278" s="36"/>
      <c r="AW278" s="36"/>
      <c r="AX278" s="36"/>
      <c r="AY278" s="37"/>
      <c r="AZ278" s="44"/>
      <c r="BA278" s="36"/>
      <c r="BB278" s="36"/>
      <c r="BC278" s="36"/>
      <c r="BD278" s="36"/>
      <c r="BE278" s="36"/>
      <c r="BF278" s="36"/>
      <c r="BG278" s="36"/>
      <c r="BH278" s="36"/>
      <c r="BI278" s="36"/>
      <c r="BJ278" s="36"/>
      <c r="BK278" s="36"/>
      <c r="BL278" s="36"/>
      <c r="BM278" s="36"/>
      <c r="BN278" s="36"/>
      <c r="BO278" s="36"/>
      <c r="BP278" s="37"/>
      <c r="BQ278" s="44"/>
      <c r="BR278" s="36"/>
      <c r="BS278" s="36"/>
      <c r="BT278" s="36"/>
      <c r="BU278" s="36"/>
      <c r="BV278" s="36"/>
      <c r="BW278" s="36"/>
      <c r="BX278" s="36"/>
      <c r="BY278" s="36"/>
      <c r="BZ278" s="36"/>
      <c r="CA278" s="36"/>
      <c r="CB278" s="36"/>
      <c r="CC278" s="36"/>
      <c r="CD278" s="36"/>
      <c r="CE278" s="36"/>
      <c r="CF278" s="36"/>
      <c r="CG278" s="37"/>
      <c r="CH278" s="44"/>
      <c r="CI278" s="36"/>
      <c r="CJ278" s="36"/>
      <c r="CK278" s="36"/>
      <c r="CL278" s="36"/>
      <c r="CM278" s="36"/>
      <c r="CN278" s="36"/>
      <c r="CO278" s="36"/>
      <c r="CP278" s="36"/>
      <c r="CQ278" s="36"/>
      <c r="CR278" s="36"/>
      <c r="CS278" s="36"/>
      <c r="CT278" s="36"/>
      <c r="CU278" s="36"/>
      <c r="CV278" s="36"/>
      <c r="CW278" s="36"/>
      <c r="CX278" s="37"/>
      <c r="CY278" s="44"/>
      <c r="CZ278" s="36"/>
      <c r="DA278" s="36"/>
      <c r="DB278" s="36"/>
      <c r="DC278" s="36"/>
      <c r="DD278" s="36"/>
      <c r="DE278" s="36"/>
      <c r="DF278" s="36"/>
      <c r="DG278" s="36"/>
      <c r="DH278" s="36"/>
      <c r="DI278" s="36"/>
      <c r="DJ278" s="36"/>
      <c r="DK278" s="36"/>
      <c r="DL278" s="36"/>
      <c r="DM278" s="36"/>
      <c r="DN278" s="36"/>
      <c r="DO278" s="37"/>
      <c r="DP278" s="44"/>
      <c r="DQ278" s="36"/>
      <c r="DR278" s="36"/>
      <c r="DS278" s="36"/>
      <c r="DT278" s="36"/>
      <c r="DU278" s="36"/>
      <c r="DV278" s="36"/>
      <c r="DW278" s="36"/>
      <c r="DX278" s="36"/>
      <c r="DY278" s="36"/>
      <c r="DZ278" s="36"/>
      <c r="EA278" s="36"/>
      <c r="EB278" s="36"/>
      <c r="EC278" s="36"/>
      <c r="ED278" s="36"/>
      <c r="EE278" s="36"/>
      <c r="EF278" s="37"/>
      <c r="EG278" s="44"/>
      <c r="EH278" s="36"/>
      <c r="EI278" s="36"/>
      <c r="EJ278" s="36"/>
      <c r="EK278" s="36"/>
      <c r="EL278" s="36"/>
      <c r="EM278" s="36"/>
      <c r="EN278" s="36"/>
      <c r="EO278" s="36"/>
      <c r="EP278" s="36"/>
      <c r="EQ278" s="36"/>
      <c r="ER278" s="36"/>
      <c r="ES278" s="36"/>
      <c r="ET278" s="36"/>
      <c r="EU278" s="36"/>
      <c r="EV278" s="36"/>
      <c r="EW278" s="37"/>
      <c r="EX278" s="44"/>
      <c r="EY278" s="36"/>
      <c r="EZ278" s="36"/>
      <c r="FA278" s="36"/>
      <c r="FB278" s="36"/>
      <c r="FC278" s="36"/>
      <c r="FD278" s="36"/>
      <c r="FE278" s="36"/>
      <c r="FF278" s="36"/>
      <c r="FG278" s="36"/>
      <c r="FH278" s="36"/>
      <c r="FI278" s="36"/>
      <c r="FJ278" s="36"/>
      <c r="FK278" s="36"/>
      <c r="FL278" s="36"/>
      <c r="FM278" s="36"/>
      <c r="FN278" s="37"/>
      <c r="FO278" s="44"/>
      <c r="FP278" s="36"/>
      <c r="FQ278" s="36"/>
      <c r="FR278" s="36"/>
      <c r="FS278" s="36"/>
      <c r="FT278" s="36"/>
      <c r="FU278" s="36"/>
      <c r="FV278" s="36"/>
      <c r="FW278" s="36"/>
      <c r="FX278" s="36"/>
      <c r="FY278" s="36"/>
      <c r="FZ278" s="36"/>
      <c r="GA278" s="36"/>
      <c r="GB278" s="36"/>
      <c r="GC278" s="36"/>
      <c r="GD278" s="36"/>
      <c r="GE278" s="37"/>
      <c r="GF278" s="44"/>
      <c r="GG278" s="36"/>
      <c r="GH278" s="36"/>
      <c r="GI278" s="36"/>
      <c r="GJ278" s="36"/>
      <c r="GK278" s="36"/>
      <c r="GL278" s="36"/>
      <c r="GM278" s="36"/>
      <c r="GN278" s="36"/>
      <c r="GO278" s="36"/>
      <c r="GP278" s="36"/>
      <c r="GQ278" s="36"/>
      <c r="GR278" s="36"/>
      <c r="GS278" s="36"/>
      <c r="GT278" s="36"/>
      <c r="GU278" s="36"/>
      <c r="GV278" s="37"/>
      <c r="GW278" s="44"/>
      <c r="GX278" s="36"/>
      <c r="GY278" s="36"/>
      <c r="GZ278" s="36"/>
      <c r="HA278" s="36"/>
      <c r="HB278" s="36"/>
      <c r="HC278" s="36"/>
      <c r="HD278" s="36"/>
      <c r="HE278" s="36"/>
      <c r="HF278" s="36"/>
      <c r="HG278" s="36"/>
      <c r="HH278" s="36"/>
      <c r="HI278" s="36"/>
      <c r="HJ278" s="36"/>
      <c r="HK278" s="36"/>
      <c r="HL278" s="36"/>
      <c r="HM278" s="37"/>
      <c r="HN278" s="44"/>
      <c r="HO278" s="36"/>
      <c r="HP278" s="36"/>
      <c r="HQ278" s="36"/>
      <c r="HR278" s="36"/>
      <c r="HS278" s="36"/>
      <c r="HT278" s="36"/>
      <c r="HU278" s="36"/>
      <c r="HV278" s="36"/>
      <c r="HW278" s="36"/>
      <c r="HX278" s="36"/>
      <c r="HY278" s="36"/>
      <c r="HZ278" s="36"/>
      <c r="IA278" s="36"/>
      <c r="IB278" s="36"/>
      <c r="IC278" s="36"/>
      <c r="ID278" s="37"/>
      <c r="IE278" s="44"/>
      <c r="IF278" s="36"/>
      <c r="IG278" s="36"/>
      <c r="IH278" s="36"/>
      <c r="II278" s="36"/>
      <c r="IJ278" s="36"/>
      <c r="IK278" s="36"/>
      <c r="IL278" s="36"/>
      <c r="IM278" s="36"/>
      <c r="IN278" s="36"/>
      <c r="IO278" s="36"/>
      <c r="IP278" s="36"/>
      <c r="IQ278" s="36"/>
      <c r="IR278" s="36"/>
      <c r="IS278" s="36"/>
      <c r="IT278" s="36"/>
      <c r="IU278" s="37"/>
      <c r="IV278" s="44"/>
      <c r="IW278" s="36"/>
      <c r="IX278" s="36"/>
      <c r="IY278" s="36"/>
      <c r="IZ278" s="36"/>
      <c r="JA278" s="36"/>
      <c r="JB278" s="36"/>
      <c r="JC278" s="36"/>
      <c r="JD278" s="36"/>
      <c r="JE278" s="36"/>
      <c r="JF278" s="36"/>
      <c r="JG278" s="36"/>
      <c r="JH278" s="36"/>
      <c r="JI278" s="36"/>
      <c r="JJ278" s="36"/>
      <c r="JK278" s="36"/>
      <c r="JL278" s="37"/>
      <c r="JM278" s="44"/>
      <c r="JN278" s="36"/>
      <c r="JO278" s="36"/>
      <c r="JP278" s="36"/>
      <c r="JQ278" s="36"/>
      <c r="JR278" s="36"/>
      <c r="JS278" s="36"/>
      <c r="JT278" s="36"/>
      <c r="JU278" s="36"/>
      <c r="JV278" s="36"/>
      <c r="JW278" s="36"/>
      <c r="JX278" s="36"/>
      <c r="JY278" s="36"/>
      <c r="JZ278" s="36"/>
      <c r="KA278" s="36"/>
      <c r="KB278" s="36"/>
      <c r="KC278" s="37"/>
      <c r="KD278" s="44"/>
      <c r="KE278" s="36"/>
      <c r="KF278" s="36"/>
      <c r="KG278" s="36"/>
      <c r="KH278" s="36"/>
      <c r="KI278" s="36"/>
      <c r="KJ278" s="36"/>
      <c r="KK278" s="36"/>
      <c r="KL278" s="36"/>
      <c r="KM278" s="36"/>
      <c r="KN278" s="36"/>
      <c r="KO278" s="36"/>
      <c r="KP278" s="36"/>
      <c r="KQ278" s="36"/>
      <c r="KR278" s="36"/>
      <c r="KS278" s="36"/>
      <c r="KT278" s="37"/>
      <c r="KU278" s="36"/>
    </row>
    <row r="279" ht="15.0" customHeight="1">
      <c r="A279" s="44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7"/>
      <c r="R279" s="44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7"/>
      <c r="AI279" s="44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  <c r="AU279" s="36"/>
      <c r="AV279" s="36"/>
      <c r="AW279" s="36"/>
      <c r="AX279" s="36"/>
      <c r="AY279" s="37"/>
      <c r="AZ279" s="44"/>
      <c r="BA279" s="36"/>
      <c r="BB279" s="36"/>
      <c r="BC279" s="36"/>
      <c r="BD279" s="36"/>
      <c r="BE279" s="36"/>
      <c r="BF279" s="36"/>
      <c r="BG279" s="36"/>
      <c r="BH279" s="36"/>
      <c r="BI279" s="36"/>
      <c r="BJ279" s="36"/>
      <c r="BK279" s="36"/>
      <c r="BL279" s="36"/>
      <c r="BM279" s="36"/>
      <c r="BN279" s="36"/>
      <c r="BO279" s="36"/>
      <c r="BP279" s="37"/>
      <c r="BQ279" s="44"/>
      <c r="BR279" s="36"/>
      <c r="BS279" s="36"/>
      <c r="BT279" s="36"/>
      <c r="BU279" s="36"/>
      <c r="BV279" s="36"/>
      <c r="BW279" s="36"/>
      <c r="BX279" s="36"/>
      <c r="BY279" s="36"/>
      <c r="BZ279" s="36"/>
      <c r="CA279" s="36"/>
      <c r="CB279" s="36"/>
      <c r="CC279" s="36"/>
      <c r="CD279" s="36"/>
      <c r="CE279" s="36"/>
      <c r="CF279" s="36"/>
      <c r="CG279" s="37"/>
      <c r="CH279" s="44"/>
      <c r="CI279" s="36"/>
      <c r="CJ279" s="36"/>
      <c r="CK279" s="36"/>
      <c r="CL279" s="36"/>
      <c r="CM279" s="36"/>
      <c r="CN279" s="36"/>
      <c r="CO279" s="36"/>
      <c r="CP279" s="36"/>
      <c r="CQ279" s="36"/>
      <c r="CR279" s="36"/>
      <c r="CS279" s="36"/>
      <c r="CT279" s="36"/>
      <c r="CU279" s="36"/>
      <c r="CV279" s="36"/>
      <c r="CW279" s="36"/>
      <c r="CX279" s="37"/>
      <c r="CY279" s="44"/>
      <c r="CZ279" s="36"/>
      <c r="DA279" s="36"/>
      <c r="DB279" s="36"/>
      <c r="DC279" s="36"/>
      <c r="DD279" s="36"/>
      <c r="DE279" s="36"/>
      <c r="DF279" s="36"/>
      <c r="DG279" s="36"/>
      <c r="DH279" s="36"/>
      <c r="DI279" s="36"/>
      <c r="DJ279" s="36"/>
      <c r="DK279" s="36"/>
      <c r="DL279" s="36"/>
      <c r="DM279" s="36"/>
      <c r="DN279" s="36"/>
      <c r="DO279" s="37"/>
      <c r="DP279" s="44"/>
      <c r="DQ279" s="36"/>
      <c r="DR279" s="36"/>
      <c r="DS279" s="36"/>
      <c r="DT279" s="36"/>
      <c r="DU279" s="36"/>
      <c r="DV279" s="36"/>
      <c r="DW279" s="36"/>
      <c r="DX279" s="36"/>
      <c r="DY279" s="36"/>
      <c r="DZ279" s="36"/>
      <c r="EA279" s="36"/>
      <c r="EB279" s="36"/>
      <c r="EC279" s="36"/>
      <c r="ED279" s="36"/>
      <c r="EE279" s="36"/>
      <c r="EF279" s="37"/>
      <c r="EG279" s="44"/>
      <c r="EH279" s="36"/>
      <c r="EI279" s="36"/>
      <c r="EJ279" s="36"/>
      <c r="EK279" s="36"/>
      <c r="EL279" s="36"/>
      <c r="EM279" s="36"/>
      <c r="EN279" s="36"/>
      <c r="EO279" s="36"/>
      <c r="EP279" s="36"/>
      <c r="EQ279" s="36"/>
      <c r="ER279" s="36"/>
      <c r="ES279" s="36"/>
      <c r="ET279" s="36"/>
      <c r="EU279" s="36"/>
      <c r="EV279" s="36"/>
      <c r="EW279" s="37"/>
      <c r="EX279" s="44"/>
      <c r="EY279" s="36"/>
      <c r="EZ279" s="36"/>
      <c r="FA279" s="36"/>
      <c r="FB279" s="36"/>
      <c r="FC279" s="36"/>
      <c r="FD279" s="36"/>
      <c r="FE279" s="36"/>
      <c r="FF279" s="36"/>
      <c r="FG279" s="36"/>
      <c r="FH279" s="36"/>
      <c r="FI279" s="36"/>
      <c r="FJ279" s="36"/>
      <c r="FK279" s="36"/>
      <c r="FL279" s="36"/>
      <c r="FM279" s="36"/>
      <c r="FN279" s="37"/>
      <c r="FO279" s="44"/>
      <c r="FP279" s="36"/>
      <c r="FQ279" s="36"/>
      <c r="FR279" s="36"/>
      <c r="FS279" s="36"/>
      <c r="FT279" s="36"/>
      <c r="FU279" s="36"/>
      <c r="FV279" s="36"/>
      <c r="FW279" s="36"/>
      <c r="FX279" s="36"/>
      <c r="FY279" s="36"/>
      <c r="FZ279" s="36"/>
      <c r="GA279" s="36"/>
      <c r="GB279" s="36"/>
      <c r="GC279" s="36"/>
      <c r="GD279" s="36"/>
      <c r="GE279" s="37"/>
      <c r="GF279" s="44"/>
      <c r="GG279" s="36"/>
      <c r="GH279" s="36"/>
      <c r="GI279" s="36"/>
      <c r="GJ279" s="36"/>
      <c r="GK279" s="36"/>
      <c r="GL279" s="36"/>
      <c r="GM279" s="36"/>
      <c r="GN279" s="36"/>
      <c r="GO279" s="36"/>
      <c r="GP279" s="36"/>
      <c r="GQ279" s="36"/>
      <c r="GR279" s="36"/>
      <c r="GS279" s="36"/>
      <c r="GT279" s="36"/>
      <c r="GU279" s="36"/>
      <c r="GV279" s="37"/>
      <c r="GW279" s="44"/>
      <c r="GX279" s="36"/>
      <c r="GY279" s="36"/>
      <c r="GZ279" s="36"/>
      <c r="HA279" s="36"/>
      <c r="HB279" s="36"/>
      <c r="HC279" s="36"/>
      <c r="HD279" s="36"/>
      <c r="HE279" s="36"/>
      <c r="HF279" s="36"/>
      <c r="HG279" s="36"/>
      <c r="HH279" s="36"/>
      <c r="HI279" s="36"/>
      <c r="HJ279" s="36"/>
      <c r="HK279" s="36"/>
      <c r="HL279" s="36"/>
      <c r="HM279" s="37"/>
      <c r="HN279" s="44"/>
      <c r="HO279" s="36"/>
      <c r="HP279" s="36"/>
      <c r="HQ279" s="36"/>
      <c r="HR279" s="36"/>
      <c r="HS279" s="36"/>
      <c r="HT279" s="36"/>
      <c r="HU279" s="36"/>
      <c r="HV279" s="36"/>
      <c r="HW279" s="36"/>
      <c r="HX279" s="36"/>
      <c r="HY279" s="36"/>
      <c r="HZ279" s="36"/>
      <c r="IA279" s="36"/>
      <c r="IB279" s="36"/>
      <c r="IC279" s="36"/>
      <c r="ID279" s="37"/>
      <c r="IE279" s="44"/>
      <c r="IF279" s="36"/>
      <c r="IG279" s="36"/>
      <c r="IH279" s="36"/>
      <c r="II279" s="36"/>
      <c r="IJ279" s="36"/>
      <c r="IK279" s="36"/>
      <c r="IL279" s="36"/>
      <c r="IM279" s="36"/>
      <c r="IN279" s="36"/>
      <c r="IO279" s="36"/>
      <c r="IP279" s="36"/>
      <c r="IQ279" s="36"/>
      <c r="IR279" s="36"/>
      <c r="IS279" s="36"/>
      <c r="IT279" s="36"/>
      <c r="IU279" s="37"/>
      <c r="IV279" s="44"/>
      <c r="IW279" s="36"/>
      <c r="IX279" s="36"/>
      <c r="IY279" s="36"/>
      <c r="IZ279" s="36"/>
      <c r="JA279" s="36"/>
      <c r="JB279" s="36"/>
      <c r="JC279" s="36"/>
      <c r="JD279" s="36"/>
      <c r="JE279" s="36"/>
      <c r="JF279" s="36"/>
      <c r="JG279" s="36"/>
      <c r="JH279" s="36"/>
      <c r="JI279" s="36"/>
      <c r="JJ279" s="36"/>
      <c r="JK279" s="36"/>
      <c r="JL279" s="37"/>
      <c r="JM279" s="44"/>
      <c r="JN279" s="36"/>
      <c r="JO279" s="36"/>
      <c r="JP279" s="36"/>
      <c r="JQ279" s="36"/>
      <c r="JR279" s="36"/>
      <c r="JS279" s="36"/>
      <c r="JT279" s="36"/>
      <c r="JU279" s="36"/>
      <c r="JV279" s="36"/>
      <c r="JW279" s="36"/>
      <c r="JX279" s="36"/>
      <c r="JY279" s="36"/>
      <c r="JZ279" s="36"/>
      <c r="KA279" s="36"/>
      <c r="KB279" s="36"/>
      <c r="KC279" s="37"/>
      <c r="KD279" s="44"/>
      <c r="KE279" s="36"/>
      <c r="KF279" s="36"/>
      <c r="KG279" s="36"/>
      <c r="KH279" s="36"/>
      <c r="KI279" s="36"/>
      <c r="KJ279" s="36"/>
      <c r="KK279" s="36"/>
      <c r="KL279" s="36"/>
      <c r="KM279" s="36"/>
      <c r="KN279" s="36"/>
      <c r="KO279" s="36"/>
      <c r="KP279" s="36"/>
      <c r="KQ279" s="36"/>
      <c r="KR279" s="36"/>
      <c r="KS279" s="36"/>
      <c r="KT279" s="37"/>
      <c r="KU279" s="36"/>
    </row>
    <row r="280" ht="15.0" customHeight="1">
      <c r="A280" s="44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7"/>
      <c r="R280" s="44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7"/>
      <c r="AI280" s="44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  <c r="AV280" s="36"/>
      <c r="AW280" s="36"/>
      <c r="AX280" s="36"/>
      <c r="AY280" s="37"/>
      <c r="AZ280" s="44"/>
      <c r="BA280" s="36"/>
      <c r="BB280" s="36"/>
      <c r="BC280" s="36"/>
      <c r="BD280" s="36"/>
      <c r="BE280" s="36"/>
      <c r="BF280" s="36"/>
      <c r="BG280" s="36"/>
      <c r="BH280" s="36"/>
      <c r="BI280" s="36"/>
      <c r="BJ280" s="36"/>
      <c r="BK280" s="36"/>
      <c r="BL280" s="36"/>
      <c r="BM280" s="36"/>
      <c r="BN280" s="36"/>
      <c r="BO280" s="36"/>
      <c r="BP280" s="37"/>
      <c r="BQ280" s="44"/>
      <c r="BR280" s="36"/>
      <c r="BS280" s="36"/>
      <c r="BT280" s="36"/>
      <c r="BU280" s="36"/>
      <c r="BV280" s="36"/>
      <c r="BW280" s="36"/>
      <c r="BX280" s="36"/>
      <c r="BY280" s="36"/>
      <c r="BZ280" s="36"/>
      <c r="CA280" s="36"/>
      <c r="CB280" s="36"/>
      <c r="CC280" s="36"/>
      <c r="CD280" s="36"/>
      <c r="CE280" s="36"/>
      <c r="CF280" s="36"/>
      <c r="CG280" s="37"/>
      <c r="CH280" s="44"/>
      <c r="CI280" s="36"/>
      <c r="CJ280" s="36"/>
      <c r="CK280" s="36"/>
      <c r="CL280" s="36"/>
      <c r="CM280" s="36"/>
      <c r="CN280" s="36"/>
      <c r="CO280" s="36"/>
      <c r="CP280" s="36"/>
      <c r="CQ280" s="36"/>
      <c r="CR280" s="36"/>
      <c r="CS280" s="36"/>
      <c r="CT280" s="36"/>
      <c r="CU280" s="36"/>
      <c r="CV280" s="36"/>
      <c r="CW280" s="36"/>
      <c r="CX280" s="37"/>
      <c r="CY280" s="44"/>
      <c r="CZ280" s="36"/>
      <c r="DA280" s="36"/>
      <c r="DB280" s="36"/>
      <c r="DC280" s="36"/>
      <c r="DD280" s="36"/>
      <c r="DE280" s="36"/>
      <c r="DF280" s="36"/>
      <c r="DG280" s="36"/>
      <c r="DH280" s="36"/>
      <c r="DI280" s="36"/>
      <c r="DJ280" s="36"/>
      <c r="DK280" s="36"/>
      <c r="DL280" s="36"/>
      <c r="DM280" s="36"/>
      <c r="DN280" s="36"/>
      <c r="DO280" s="37"/>
      <c r="DP280" s="44"/>
      <c r="DQ280" s="36"/>
      <c r="DR280" s="36"/>
      <c r="DS280" s="36"/>
      <c r="DT280" s="36"/>
      <c r="DU280" s="36"/>
      <c r="DV280" s="36"/>
      <c r="DW280" s="36"/>
      <c r="DX280" s="36"/>
      <c r="DY280" s="36"/>
      <c r="DZ280" s="36"/>
      <c r="EA280" s="36"/>
      <c r="EB280" s="36"/>
      <c r="EC280" s="36"/>
      <c r="ED280" s="36"/>
      <c r="EE280" s="36"/>
      <c r="EF280" s="37"/>
      <c r="EG280" s="44"/>
      <c r="EH280" s="36"/>
      <c r="EI280" s="36"/>
      <c r="EJ280" s="36"/>
      <c r="EK280" s="36"/>
      <c r="EL280" s="36"/>
      <c r="EM280" s="36"/>
      <c r="EN280" s="36"/>
      <c r="EO280" s="36"/>
      <c r="EP280" s="36"/>
      <c r="EQ280" s="36"/>
      <c r="ER280" s="36"/>
      <c r="ES280" s="36"/>
      <c r="ET280" s="36"/>
      <c r="EU280" s="36"/>
      <c r="EV280" s="36"/>
      <c r="EW280" s="37"/>
      <c r="EX280" s="44"/>
      <c r="EY280" s="36"/>
      <c r="EZ280" s="36"/>
      <c r="FA280" s="36"/>
      <c r="FB280" s="36"/>
      <c r="FC280" s="36"/>
      <c r="FD280" s="36"/>
      <c r="FE280" s="36"/>
      <c r="FF280" s="36"/>
      <c r="FG280" s="36"/>
      <c r="FH280" s="36"/>
      <c r="FI280" s="36"/>
      <c r="FJ280" s="36"/>
      <c r="FK280" s="36"/>
      <c r="FL280" s="36"/>
      <c r="FM280" s="36"/>
      <c r="FN280" s="37"/>
      <c r="FO280" s="44"/>
      <c r="FP280" s="36"/>
      <c r="FQ280" s="36"/>
      <c r="FR280" s="36"/>
      <c r="FS280" s="36"/>
      <c r="FT280" s="36"/>
      <c r="FU280" s="36"/>
      <c r="FV280" s="36"/>
      <c r="FW280" s="36"/>
      <c r="FX280" s="36"/>
      <c r="FY280" s="36"/>
      <c r="FZ280" s="36"/>
      <c r="GA280" s="36"/>
      <c r="GB280" s="36"/>
      <c r="GC280" s="36"/>
      <c r="GD280" s="36"/>
      <c r="GE280" s="37"/>
      <c r="GF280" s="44"/>
      <c r="GG280" s="36"/>
      <c r="GH280" s="36"/>
      <c r="GI280" s="36"/>
      <c r="GJ280" s="36"/>
      <c r="GK280" s="36"/>
      <c r="GL280" s="36"/>
      <c r="GM280" s="36"/>
      <c r="GN280" s="36"/>
      <c r="GO280" s="36"/>
      <c r="GP280" s="36"/>
      <c r="GQ280" s="36"/>
      <c r="GR280" s="36"/>
      <c r="GS280" s="36"/>
      <c r="GT280" s="36"/>
      <c r="GU280" s="36"/>
      <c r="GV280" s="37"/>
      <c r="GW280" s="44"/>
      <c r="GX280" s="36"/>
      <c r="GY280" s="36"/>
      <c r="GZ280" s="36"/>
      <c r="HA280" s="36"/>
      <c r="HB280" s="36"/>
      <c r="HC280" s="36"/>
      <c r="HD280" s="36"/>
      <c r="HE280" s="36"/>
      <c r="HF280" s="36"/>
      <c r="HG280" s="36"/>
      <c r="HH280" s="36"/>
      <c r="HI280" s="36"/>
      <c r="HJ280" s="36"/>
      <c r="HK280" s="36"/>
      <c r="HL280" s="36"/>
      <c r="HM280" s="37"/>
      <c r="HN280" s="44"/>
      <c r="HO280" s="36"/>
      <c r="HP280" s="36"/>
      <c r="HQ280" s="36"/>
      <c r="HR280" s="36"/>
      <c r="HS280" s="36"/>
      <c r="HT280" s="36"/>
      <c r="HU280" s="36"/>
      <c r="HV280" s="36"/>
      <c r="HW280" s="36"/>
      <c r="HX280" s="36"/>
      <c r="HY280" s="36"/>
      <c r="HZ280" s="36"/>
      <c r="IA280" s="36"/>
      <c r="IB280" s="36"/>
      <c r="IC280" s="36"/>
      <c r="ID280" s="37"/>
      <c r="IE280" s="44"/>
      <c r="IF280" s="36"/>
      <c r="IG280" s="36"/>
      <c r="IH280" s="36"/>
      <c r="II280" s="36"/>
      <c r="IJ280" s="36"/>
      <c r="IK280" s="36"/>
      <c r="IL280" s="36"/>
      <c r="IM280" s="36"/>
      <c r="IN280" s="36"/>
      <c r="IO280" s="36"/>
      <c r="IP280" s="36"/>
      <c r="IQ280" s="36"/>
      <c r="IR280" s="36"/>
      <c r="IS280" s="36"/>
      <c r="IT280" s="36"/>
      <c r="IU280" s="37"/>
      <c r="IV280" s="44"/>
      <c r="IW280" s="36"/>
      <c r="IX280" s="36"/>
      <c r="IY280" s="36"/>
      <c r="IZ280" s="36"/>
      <c r="JA280" s="36"/>
      <c r="JB280" s="36"/>
      <c r="JC280" s="36"/>
      <c r="JD280" s="36"/>
      <c r="JE280" s="36"/>
      <c r="JF280" s="36"/>
      <c r="JG280" s="36"/>
      <c r="JH280" s="36"/>
      <c r="JI280" s="36"/>
      <c r="JJ280" s="36"/>
      <c r="JK280" s="36"/>
      <c r="JL280" s="37"/>
      <c r="JM280" s="44"/>
      <c r="JN280" s="36"/>
      <c r="JO280" s="36"/>
      <c r="JP280" s="36"/>
      <c r="JQ280" s="36"/>
      <c r="JR280" s="36"/>
      <c r="JS280" s="36"/>
      <c r="JT280" s="36"/>
      <c r="JU280" s="36"/>
      <c r="JV280" s="36"/>
      <c r="JW280" s="36"/>
      <c r="JX280" s="36"/>
      <c r="JY280" s="36"/>
      <c r="JZ280" s="36"/>
      <c r="KA280" s="36"/>
      <c r="KB280" s="36"/>
      <c r="KC280" s="37"/>
      <c r="KD280" s="44"/>
      <c r="KE280" s="36"/>
      <c r="KF280" s="36"/>
      <c r="KG280" s="36"/>
      <c r="KH280" s="36"/>
      <c r="KI280" s="36"/>
      <c r="KJ280" s="36"/>
      <c r="KK280" s="36"/>
      <c r="KL280" s="36"/>
      <c r="KM280" s="36"/>
      <c r="KN280" s="36"/>
      <c r="KO280" s="36"/>
      <c r="KP280" s="36"/>
      <c r="KQ280" s="36"/>
      <c r="KR280" s="36"/>
      <c r="KS280" s="36"/>
      <c r="KT280" s="37"/>
      <c r="KU280" s="36"/>
    </row>
    <row r="281" ht="15.0" customHeight="1">
      <c r="A281" s="44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7"/>
      <c r="R281" s="44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7"/>
      <c r="AI281" s="44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  <c r="AU281" s="36"/>
      <c r="AV281" s="36"/>
      <c r="AW281" s="36"/>
      <c r="AX281" s="36"/>
      <c r="AY281" s="37"/>
      <c r="AZ281" s="44"/>
      <c r="BA281" s="36"/>
      <c r="BB281" s="36"/>
      <c r="BC281" s="36"/>
      <c r="BD281" s="36"/>
      <c r="BE281" s="36"/>
      <c r="BF281" s="36"/>
      <c r="BG281" s="36"/>
      <c r="BH281" s="36"/>
      <c r="BI281" s="36"/>
      <c r="BJ281" s="36"/>
      <c r="BK281" s="36"/>
      <c r="BL281" s="36"/>
      <c r="BM281" s="36"/>
      <c r="BN281" s="36"/>
      <c r="BO281" s="36"/>
      <c r="BP281" s="37"/>
      <c r="BQ281" s="44"/>
      <c r="BR281" s="36"/>
      <c r="BS281" s="36"/>
      <c r="BT281" s="36"/>
      <c r="BU281" s="36"/>
      <c r="BV281" s="36"/>
      <c r="BW281" s="36"/>
      <c r="BX281" s="36"/>
      <c r="BY281" s="36"/>
      <c r="BZ281" s="36"/>
      <c r="CA281" s="36"/>
      <c r="CB281" s="36"/>
      <c r="CC281" s="36"/>
      <c r="CD281" s="36"/>
      <c r="CE281" s="36"/>
      <c r="CF281" s="36"/>
      <c r="CG281" s="37"/>
      <c r="CH281" s="44"/>
      <c r="CI281" s="36"/>
      <c r="CJ281" s="36"/>
      <c r="CK281" s="36"/>
      <c r="CL281" s="36"/>
      <c r="CM281" s="36"/>
      <c r="CN281" s="36"/>
      <c r="CO281" s="36"/>
      <c r="CP281" s="36"/>
      <c r="CQ281" s="36"/>
      <c r="CR281" s="36"/>
      <c r="CS281" s="36"/>
      <c r="CT281" s="36"/>
      <c r="CU281" s="36"/>
      <c r="CV281" s="36"/>
      <c r="CW281" s="36"/>
      <c r="CX281" s="37"/>
      <c r="CY281" s="44"/>
      <c r="CZ281" s="36"/>
      <c r="DA281" s="36"/>
      <c r="DB281" s="36"/>
      <c r="DC281" s="36"/>
      <c r="DD281" s="36"/>
      <c r="DE281" s="36"/>
      <c r="DF281" s="36"/>
      <c r="DG281" s="36"/>
      <c r="DH281" s="36"/>
      <c r="DI281" s="36"/>
      <c r="DJ281" s="36"/>
      <c r="DK281" s="36"/>
      <c r="DL281" s="36"/>
      <c r="DM281" s="36"/>
      <c r="DN281" s="36"/>
      <c r="DO281" s="37"/>
      <c r="DP281" s="44"/>
      <c r="DQ281" s="36"/>
      <c r="DR281" s="36"/>
      <c r="DS281" s="36"/>
      <c r="DT281" s="36"/>
      <c r="DU281" s="36"/>
      <c r="DV281" s="36"/>
      <c r="DW281" s="36"/>
      <c r="DX281" s="36"/>
      <c r="DY281" s="36"/>
      <c r="DZ281" s="36"/>
      <c r="EA281" s="36"/>
      <c r="EB281" s="36"/>
      <c r="EC281" s="36"/>
      <c r="ED281" s="36"/>
      <c r="EE281" s="36"/>
      <c r="EF281" s="37"/>
      <c r="EG281" s="44"/>
      <c r="EH281" s="36"/>
      <c r="EI281" s="36"/>
      <c r="EJ281" s="36"/>
      <c r="EK281" s="36"/>
      <c r="EL281" s="36"/>
      <c r="EM281" s="36"/>
      <c r="EN281" s="36"/>
      <c r="EO281" s="36"/>
      <c r="EP281" s="36"/>
      <c r="EQ281" s="36"/>
      <c r="ER281" s="36"/>
      <c r="ES281" s="36"/>
      <c r="ET281" s="36"/>
      <c r="EU281" s="36"/>
      <c r="EV281" s="36"/>
      <c r="EW281" s="37"/>
      <c r="EX281" s="44"/>
      <c r="EY281" s="36"/>
      <c r="EZ281" s="36"/>
      <c r="FA281" s="36"/>
      <c r="FB281" s="36"/>
      <c r="FC281" s="36"/>
      <c r="FD281" s="36"/>
      <c r="FE281" s="36"/>
      <c r="FF281" s="36"/>
      <c r="FG281" s="36"/>
      <c r="FH281" s="36"/>
      <c r="FI281" s="36"/>
      <c r="FJ281" s="36"/>
      <c r="FK281" s="36"/>
      <c r="FL281" s="36"/>
      <c r="FM281" s="36"/>
      <c r="FN281" s="37"/>
      <c r="FO281" s="44"/>
      <c r="FP281" s="36"/>
      <c r="FQ281" s="36"/>
      <c r="FR281" s="36"/>
      <c r="FS281" s="36"/>
      <c r="FT281" s="36"/>
      <c r="FU281" s="36"/>
      <c r="FV281" s="36"/>
      <c r="FW281" s="36"/>
      <c r="FX281" s="36"/>
      <c r="FY281" s="36"/>
      <c r="FZ281" s="36"/>
      <c r="GA281" s="36"/>
      <c r="GB281" s="36"/>
      <c r="GC281" s="36"/>
      <c r="GD281" s="36"/>
      <c r="GE281" s="37"/>
      <c r="GF281" s="44"/>
      <c r="GG281" s="36"/>
      <c r="GH281" s="36"/>
      <c r="GI281" s="36"/>
      <c r="GJ281" s="36"/>
      <c r="GK281" s="36"/>
      <c r="GL281" s="36"/>
      <c r="GM281" s="36"/>
      <c r="GN281" s="36"/>
      <c r="GO281" s="36"/>
      <c r="GP281" s="36"/>
      <c r="GQ281" s="36"/>
      <c r="GR281" s="36"/>
      <c r="GS281" s="36"/>
      <c r="GT281" s="36"/>
      <c r="GU281" s="36"/>
      <c r="GV281" s="37"/>
      <c r="GW281" s="44"/>
      <c r="GX281" s="36"/>
      <c r="GY281" s="36"/>
      <c r="GZ281" s="36"/>
      <c r="HA281" s="36"/>
      <c r="HB281" s="36"/>
      <c r="HC281" s="36"/>
      <c r="HD281" s="36"/>
      <c r="HE281" s="36"/>
      <c r="HF281" s="36"/>
      <c r="HG281" s="36"/>
      <c r="HH281" s="36"/>
      <c r="HI281" s="36"/>
      <c r="HJ281" s="36"/>
      <c r="HK281" s="36"/>
      <c r="HL281" s="36"/>
      <c r="HM281" s="37"/>
      <c r="HN281" s="44"/>
      <c r="HO281" s="36"/>
      <c r="HP281" s="36"/>
      <c r="HQ281" s="36"/>
      <c r="HR281" s="36"/>
      <c r="HS281" s="36"/>
      <c r="HT281" s="36"/>
      <c r="HU281" s="36"/>
      <c r="HV281" s="36"/>
      <c r="HW281" s="36"/>
      <c r="HX281" s="36"/>
      <c r="HY281" s="36"/>
      <c r="HZ281" s="36"/>
      <c r="IA281" s="36"/>
      <c r="IB281" s="36"/>
      <c r="IC281" s="36"/>
      <c r="ID281" s="37"/>
      <c r="IE281" s="44"/>
      <c r="IF281" s="36"/>
      <c r="IG281" s="36"/>
      <c r="IH281" s="36"/>
      <c r="II281" s="36"/>
      <c r="IJ281" s="36"/>
      <c r="IK281" s="36"/>
      <c r="IL281" s="36"/>
      <c r="IM281" s="36"/>
      <c r="IN281" s="36"/>
      <c r="IO281" s="36"/>
      <c r="IP281" s="36"/>
      <c r="IQ281" s="36"/>
      <c r="IR281" s="36"/>
      <c r="IS281" s="36"/>
      <c r="IT281" s="36"/>
      <c r="IU281" s="37"/>
      <c r="IV281" s="44"/>
      <c r="IW281" s="36"/>
      <c r="IX281" s="36"/>
      <c r="IY281" s="36"/>
      <c r="IZ281" s="36"/>
      <c r="JA281" s="36"/>
      <c r="JB281" s="36"/>
      <c r="JC281" s="36"/>
      <c r="JD281" s="36"/>
      <c r="JE281" s="36"/>
      <c r="JF281" s="36"/>
      <c r="JG281" s="36"/>
      <c r="JH281" s="36"/>
      <c r="JI281" s="36"/>
      <c r="JJ281" s="36"/>
      <c r="JK281" s="36"/>
      <c r="JL281" s="37"/>
      <c r="JM281" s="44"/>
      <c r="JN281" s="36"/>
      <c r="JO281" s="36"/>
      <c r="JP281" s="36"/>
      <c r="JQ281" s="36"/>
      <c r="JR281" s="36"/>
      <c r="JS281" s="36"/>
      <c r="JT281" s="36"/>
      <c r="JU281" s="36"/>
      <c r="JV281" s="36"/>
      <c r="JW281" s="36"/>
      <c r="JX281" s="36"/>
      <c r="JY281" s="36"/>
      <c r="JZ281" s="36"/>
      <c r="KA281" s="36"/>
      <c r="KB281" s="36"/>
      <c r="KC281" s="37"/>
      <c r="KD281" s="44"/>
      <c r="KE281" s="36"/>
      <c r="KF281" s="36"/>
      <c r="KG281" s="36"/>
      <c r="KH281" s="36"/>
      <c r="KI281" s="36"/>
      <c r="KJ281" s="36"/>
      <c r="KK281" s="36"/>
      <c r="KL281" s="36"/>
      <c r="KM281" s="36"/>
      <c r="KN281" s="36"/>
      <c r="KO281" s="36"/>
      <c r="KP281" s="36"/>
      <c r="KQ281" s="36"/>
      <c r="KR281" s="36"/>
      <c r="KS281" s="36"/>
      <c r="KT281" s="37"/>
      <c r="KU281" s="36"/>
    </row>
    <row r="282" ht="15.0" customHeight="1">
      <c r="A282" s="44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7"/>
      <c r="R282" s="44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7"/>
      <c r="AI282" s="44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  <c r="AU282" s="36"/>
      <c r="AV282" s="36"/>
      <c r="AW282" s="36"/>
      <c r="AX282" s="36"/>
      <c r="AY282" s="37"/>
      <c r="AZ282" s="44"/>
      <c r="BA282" s="36"/>
      <c r="BB282" s="36"/>
      <c r="BC282" s="36"/>
      <c r="BD282" s="36"/>
      <c r="BE282" s="36"/>
      <c r="BF282" s="36"/>
      <c r="BG282" s="36"/>
      <c r="BH282" s="36"/>
      <c r="BI282" s="36"/>
      <c r="BJ282" s="36"/>
      <c r="BK282" s="36"/>
      <c r="BL282" s="36"/>
      <c r="BM282" s="36"/>
      <c r="BN282" s="36"/>
      <c r="BO282" s="36"/>
      <c r="BP282" s="37"/>
      <c r="BQ282" s="44"/>
      <c r="BR282" s="36"/>
      <c r="BS282" s="36"/>
      <c r="BT282" s="36"/>
      <c r="BU282" s="36"/>
      <c r="BV282" s="36"/>
      <c r="BW282" s="36"/>
      <c r="BX282" s="36"/>
      <c r="BY282" s="36"/>
      <c r="BZ282" s="36"/>
      <c r="CA282" s="36"/>
      <c r="CB282" s="36"/>
      <c r="CC282" s="36"/>
      <c r="CD282" s="36"/>
      <c r="CE282" s="36"/>
      <c r="CF282" s="36"/>
      <c r="CG282" s="37"/>
      <c r="CH282" s="44"/>
      <c r="CI282" s="36"/>
      <c r="CJ282" s="36"/>
      <c r="CK282" s="36"/>
      <c r="CL282" s="36"/>
      <c r="CM282" s="36"/>
      <c r="CN282" s="36"/>
      <c r="CO282" s="36"/>
      <c r="CP282" s="36"/>
      <c r="CQ282" s="36"/>
      <c r="CR282" s="36"/>
      <c r="CS282" s="36"/>
      <c r="CT282" s="36"/>
      <c r="CU282" s="36"/>
      <c r="CV282" s="36"/>
      <c r="CW282" s="36"/>
      <c r="CX282" s="37"/>
      <c r="CY282" s="44"/>
      <c r="CZ282" s="36"/>
      <c r="DA282" s="36"/>
      <c r="DB282" s="36"/>
      <c r="DC282" s="36"/>
      <c r="DD282" s="36"/>
      <c r="DE282" s="36"/>
      <c r="DF282" s="36"/>
      <c r="DG282" s="36"/>
      <c r="DH282" s="36"/>
      <c r="DI282" s="36"/>
      <c r="DJ282" s="36"/>
      <c r="DK282" s="36"/>
      <c r="DL282" s="36"/>
      <c r="DM282" s="36"/>
      <c r="DN282" s="36"/>
      <c r="DO282" s="37"/>
      <c r="DP282" s="44"/>
      <c r="DQ282" s="36"/>
      <c r="DR282" s="36"/>
      <c r="DS282" s="36"/>
      <c r="DT282" s="36"/>
      <c r="DU282" s="36"/>
      <c r="DV282" s="36"/>
      <c r="DW282" s="36"/>
      <c r="DX282" s="36"/>
      <c r="DY282" s="36"/>
      <c r="DZ282" s="36"/>
      <c r="EA282" s="36"/>
      <c r="EB282" s="36"/>
      <c r="EC282" s="36"/>
      <c r="ED282" s="36"/>
      <c r="EE282" s="36"/>
      <c r="EF282" s="37"/>
      <c r="EG282" s="44"/>
      <c r="EH282" s="36"/>
      <c r="EI282" s="36"/>
      <c r="EJ282" s="36"/>
      <c r="EK282" s="36"/>
      <c r="EL282" s="36"/>
      <c r="EM282" s="36"/>
      <c r="EN282" s="36"/>
      <c r="EO282" s="36"/>
      <c r="EP282" s="36"/>
      <c r="EQ282" s="36"/>
      <c r="ER282" s="36"/>
      <c r="ES282" s="36"/>
      <c r="ET282" s="36"/>
      <c r="EU282" s="36"/>
      <c r="EV282" s="36"/>
      <c r="EW282" s="37"/>
      <c r="EX282" s="44"/>
      <c r="EY282" s="36"/>
      <c r="EZ282" s="36"/>
      <c r="FA282" s="36"/>
      <c r="FB282" s="36"/>
      <c r="FC282" s="36"/>
      <c r="FD282" s="36"/>
      <c r="FE282" s="36"/>
      <c r="FF282" s="36"/>
      <c r="FG282" s="36"/>
      <c r="FH282" s="36"/>
      <c r="FI282" s="36"/>
      <c r="FJ282" s="36"/>
      <c r="FK282" s="36"/>
      <c r="FL282" s="36"/>
      <c r="FM282" s="36"/>
      <c r="FN282" s="37"/>
      <c r="FO282" s="44"/>
      <c r="FP282" s="36"/>
      <c r="FQ282" s="36"/>
      <c r="FR282" s="36"/>
      <c r="FS282" s="36"/>
      <c r="FT282" s="36"/>
      <c r="FU282" s="36"/>
      <c r="FV282" s="36"/>
      <c r="FW282" s="36"/>
      <c r="FX282" s="36"/>
      <c r="FY282" s="36"/>
      <c r="FZ282" s="36"/>
      <c r="GA282" s="36"/>
      <c r="GB282" s="36"/>
      <c r="GC282" s="36"/>
      <c r="GD282" s="36"/>
      <c r="GE282" s="37"/>
      <c r="GF282" s="44"/>
      <c r="GG282" s="36"/>
      <c r="GH282" s="36"/>
      <c r="GI282" s="36"/>
      <c r="GJ282" s="36"/>
      <c r="GK282" s="36"/>
      <c r="GL282" s="36"/>
      <c r="GM282" s="36"/>
      <c r="GN282" s="36"/>
      <c r="GO282" s="36"/>
      <c r="GP282" s="36"/>
      <c r="GQ282" s="36"/>
      <c r="GR282" s="36"/>
      <c r="GS282" s="36"/>
      <c r="GT282" s="36"/>
      <c r="GU282" s="36"/>
      <c r="GV282" s="37"/>
      <c r="GW282" s="44"/>
      <c r="GX282" s="36"/>
      <c r="GY282" s="36"/>
      <c r="GZ282" s="36"/>
      <c r="HA282" s="36"/>
      <c r="HB282" s="36"/>
      <c r="HC282" s="36"/>
      <c r="HD282" s="36"/>
      <c r="HE282" s="36"/>
      <c r="HF282" s="36"/>
      <c r="HG282" s="36"/>
      <c r="HH282" s="36"/>
      <c r="HI282" s="36"/>
      <c r="HJ282" s="36"/>
      <c r="HK282" s="36"/>
      <c r="HL282" s="36"/>
      <c r="HM282" s="37"/>
      <c r="HN282" s="44"/>
      <c r="HO282" s="36"/>
      <c r="HP282" s="36"/>
      <c r="HQ282" s="36"/>
      <c r="HR282" s="36"/>
      <c r="HS282" s="36"/>
      <c r="HT282" s="36"/>
      <c r="HU282" s="36"/>
      <c r="HV282" s="36"/>
      <c r="HW282" s="36"/>
      <c r="HX282" s="36"/>
      <c r="HY282" s="36"/>
      <c r="HZ282" s="36"/>
      <c r="IA282" s="36"/>
      <c r="IB282" s="36"/>
      <c r="IC282" s="36"/>
      <c r="ID282" s="37"/>
      <c r="IE282" s="44"/>
      <c r="IF282" s="36"/>
      <c r="IG282" s="36"/>
      <c r="IH282" s="36"/>
      <c r="II282" s="36"/>
      <c r="IJ282" s="36"/>
      <c r="IK282" s="36"/>
      <c r="IL282" s="36"/>
      <c r="IM282" s="36"/>
      <c r="IN282" s="36"/>
      <c r="IO282" s="36"/>
      <c r="IP282" s="36"/>
      <c r="IQ282" s="36"/>
      <c r="IR282" s="36"/>
      <c r="IS282" s="36"/>
      <c r="IT282" s="36"/>
      <c r="IU282" s="37"/>
      <c r="IV282" s="44"/>
      <c r="IW282" s="36"/>
      <c r="IX282" s="36"/>
      <c r="IY282" s="36"/>
      <c r="IZ282" s="36"/>
      <c r="JA282" s="36"/>
      <c r="JB282" s="36"/>
      <c r="JC282" s="36"/>
      <c r="JD282" s="36"/>
      <c r="JE282" s="36"/>
      <c r="JF282" s="36"/>
      <c r="JG282" s="36"/>
      <c r="JH282" s="36"/>
      <c r="JI282" s="36"/>
      <c r="JJ282" s="36"/>
      <c r="JK282" s="36"/>
      <c r="JL282" s="37"/>
      <c r="JM282" s="44"/>
      <c r="JN282" s="36"/>
      <c r="JO282" s="36"/>
      <c r="JP282" s="36"/>
      <c r="JQ282" s="36"/>
      <c r="JR282" s="36"/>
      <c r="JS282" s="36"/>
      <c r="JT282" s="36"/>
      <c r="JU282" s="36"/>
      <c r="JV282" s="36"/>
      <c r="JW282" s="36"/>
      <c r="JX282" s="36"/>
      <c r="JY282" s="36"/>
      <c r="JZ282" s="36"/>
      <c r="KA282" s="36"/>
      <c r="KB282" s="36"/>
      <c r="KC282" s="37"/>
      <c r="KD282" s="44"/>
      <c r="KE282" s="36"/>
      <c r="KF282" s="36"/>
      <c r="KG282" s="36"/>
      <c r="KH282" s="36"/>
      <c r="KI282" s="36"/>
      <c r="KJ282" s="36"/>
      <c r="KK282" s="36"/>
      <c r="KL282" s="36"/>
      <c r="KM282" s="36"/>
      <c r="KN282" s="36"/>
      <c r="KO282" s="36"/>
      <c r="KP282" s="36"/>
      <c r="KQ282" s="36"/>
      <c r="KR282" s="36"/>
      <c r="KS282" s="36"/>
      <c r="KT282" s="37"/>
      <c r="KU282" s="36"/>
    </row>
    <row r="283" ht="15.0" customHeight="1">
      <c r="A283" s="44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7"/>
      <c r="R283" s="44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7"/>
      <c r="AI283" s="44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  <c r="AU283" s="36"/>
      <c r="AV283" s="36"/>
      <c r="AW283" s="36"/>
      <c r="AX283" s="36"/>
      <c r="AY283" s="37"/>
      <c r="AZ283" s="44"/>
      <c r="BA283" s="36"/>
      <c r="BB283" s="36"/>
      <c r="BC283" s="36"/>
      <c r="BD283" s="36"/>
      <c r="BE283" s="36"/>
      <c r="BF283" s="36"/>
      <c r="BG283" s="36"/>
      <c r="BH283" s="36"/>
      <c r="BI283" s="36"/>
      <c r="BJ283" s="36"/>
      <c r="BK283" s="36"/>
      <c r="BL283" s="36"/>
      <c r="BM283" s="36"/>
      <c r="BN283" s="36"/>
      <c r="BO283" s="36"/>
      <c r="BP283" s="37"/>
      <c r="BQ283" s="44"/>
      <c r="BR283" s="36"/>
      <c r="BS283" s="36"/>
      <c r="BT283" s="36"/>
      <c r="BU283" s="36"/>
      <c r="BV283" s="36"/>
      <c r="BW283" s="36"/>
      <c r="BX283" s="36"/>
      <c r="BY283" s="36"/>
      <c r="BZ283" s="36"/>
      <c r="CA283" s="36"/>
      <c r="CB283" s="36"/>
      <c r="CC283" s="36"/>
      <c r="CD283" s="36"/>
      <c r="CE283" s="36"/>
      <c r="CF283" s="36"/>
      <c r="CG283" s="37"/>
      <c r="CH283" s="44"/>
      <c r="CI283" s="36"/>
      <c r="CJ283" s="36"/>
      <c r="CK283" s="36"/>
      <c r="CL283" s="36"/>
      <c r="CM283" s="36"/>
      <c r="CN283" s="36"/>
      <c r="CO283" s="36"/>
      <c r="CP283" s="36"/>
      <c r="CQ283" s="36"/>
      <c r="CR283" s="36"/>
      <c r="CS283" s="36"/>
      <c r="CT283" s="36"/>
      <c r="CU283" s="36"/>
      <c r="CV283" s="36"/>
      <c r="CW283" s="36"/>
      <c r="CX283" s="37"/>
      <c r="CY283" s="44"/>
      <c r="CZ283" s="36"/>
      <c r="DA283" s="36"/>
      <c r="DB283" s="36"/>
      <c r="DC283" s="36"/>
      <c r="DD283" s="36"/>
      <c r="DE283" s="36"/>
      <c r="DF283" s="36"/>
      <c r="DG283" s="36"/>
      <c r="DH283" s="36"/>
      <c r="DI283" s="36"/>
      <c r="DJ283" s="36"/>
      <c r="DK283" s="36"/>
      <c r="DL283" s="36"/>
      <c r="DM283" s="36"/>
      <c r="DN283" s="36"/>
      <c r="DO283" s="37"/>
      <c r="DP283" s="44"/>
      <c r="DQ283" s="36"/>
      <c r="DR283" s="36"/>
      <c r="DS283" s="36"/>
      <c r="DT283" s="36"/>
      <c r="DU283" s="36"/>
      <c r="DV283" s="36"/>
      <c r="DW283" s="36"/>
      <c r="DX283" s="36"/>
      <c r="DY283" s="36"/>
      <c r="DZ283" s="36"/>
      <c r="EA283" s="36"/>
      <c r="EB283" s="36"/>
      <c r="EC283" s="36"/>
      <c r="ED283" s="36"/>
      <c r="EE283" s="36"/>
      <c r="EF283" s="37"/>
      <c r="EG283" s="44"/>
      <c r="EH283" s="36"/>
      <c r="EI283" s="36"/>
      <c r="EJ283" s="36"/>
      <c r="EK283" s="36"/>
      <c r="EL283" s="36"/>
      <c r="EM283" s="36"/>
      <c r="EN283" s="36"/>
      <c r="EO283" s="36"/>
      <c r="EP283" s="36"/>
      <c r="EQ283" s="36"/>
      <c r="ER283" s="36"/>
      <c r="ES283" s="36"/>
      <c r="ET283" s="36"/>
      <c r="EU283" s="36"/>
      <c r="EV283" s="36"/>
      <c r="EW283" s="37"/>
      <c r="EX283" s="44"/>
      <c r="EY283" s="36"/>
      <c r="EZ283" s="36"/>
      <c r="FA283" s="36"/>
      <c r="FB283" s="36"/>
      <c r="FC283" s="36"/>
      <c r="FD283" s="36"/>
      <c r="FE283" s="36"/>
      <c r="FF283" s="36"/>
      <c r="FG283" s="36"/>
      <c r="FH283" s="36"/>
      <c r="FI283" s="36"/>
      <c r="FJ283" s="36"/>
      <c r="FK283" s="36"/>
      <c r="FL283" s="36"/>
      <c r="FM283" s="36"/>
      <c r="FN283" s="37"/>
      <c r="FO283" s="44"/>
      <c r="FP283" s="36"/>
      <c r="FQ283" s="36"/>
      <c r="FR283" s="36"/>
      <c r="FS283" s="36"/>
      <c r="FT283" s="36"/>
      <c r="FU283" s="36"/>
      <c r="FV283" s="36"/>
      <c r="FW283" s="36"/>
      <c r="FX283" s="36"/>
      <c r="FY283" s="36"/>
      <c r="FZ283" s="36"/>
      <c r="GA283" s="36"/>
      <c r="GB283" s="36"/>
      <c r="GC283" s="36"/>
      <c r="GD283" s="36"/>
      <c r="GE283" s="37"/>
      <c r="GF283" s="44"/>
      <c r="GG283" s="36"/>
      <c r="GH283" s="36"/>
      <c r="GI283" s="36"/>
      <c r="GJ283" s="36"/>
      <c r="GK283" s="36"/>
      <c r="GL283" s="36"/>
      <c r="GM283" s="36"/>
      <c r="GN283" s="36"/>
      <c r="GO283" s="36"/>
      <c r="GP283" s="36"/>
      <c r="GQ283" s="36"/>
      <c r="GR283" s="36"/>
      <c r="GS283" s="36"/>
      <c r="GT283" s="36"/>
      <c r="GU283" s="36"/>
      <c r="GV283" s="37"/>
      <c r="GW283" s="44"/>
      <c r="GX283" s="36"/>
      <c r="GY283" s="36"/>
      <c r="GZ283" s="36"/>
      <c r="HA283" s="36"/>
      <c r="HB283" s="36"/>
      <c r="HC283" s="36"/>
      <c r="HD283" s="36"/>
      <c r="HE283" s="36"/>
      <c r="HF283" s="36"/>
      <c r="HG283" s="36"/>
      <c r="HH283" s="36"/>
      <c r="HI283" s="36"/>
      <c r="HJ283" s="36"/>
      <c r="HK283" s="36"/>
      <c r="HL283" s="36"/>
      <c r="HM283" s="37"/>
      <c r="HN283" s="44"/>
      <c r="HO283" s="36"/>
      <c r="HP283" s="36"/>
      <c r="HQ283" s="36"/>
      <c r="HR283" s="36"/>
      <c r="HS283" s="36"/>
      <c r="HT283" s="36"/>
      <c r="HU283" s="36"/>
      <c r="HV283" s="36"/>
      <c r="HW283" s="36"/>
      <c r="HX283" s="36"/>
      <c r="HY283" s="36"/>
      <c r="HZ283" s="36"/>
      <c r="IA283" s="36"/>
      <c r="IB283" s="36"/>
      <c r="IC283" s="36"/>
      <c r="ID283" s="37"/>
      <c r="IE283" s="44"/>
      <c r="IF283" s="36"/>
      <c r="IG283" s="36"/>
      <c r="IH283" s="36"/>
      <c r="II283" s="36"/>
      <c r="IJ283" s="36"/>
      <c r="IK283" s="36"/>
      <c r="IL283" s="36"/>
      <c r="IM283" s="36"/>
      <c r="IN283" s="36"/>
      <c r="IO283" s="36"/>
      <c r="IP283" s="36"/>
      <c r="IQ283" s="36"/>
      <c r="IR283" s="36"/>
      <c r="IS283" s="36"/>
      <c r="IT283" s="36"/>
      <c r="IU283" s="37"/>
      <c r="IV283" s="44"/>
      <c r="IW283" s="36"/>
      <c r="IX283" s="36"/>
      <c r="IY283" s="36"/>
      <c r="IZ283" s="36"/>
      <c r="JA283" s="36"/>
      <c r="JB283" s="36"/>
      <c r="JC283" s="36"/>
      <c r="JD283" s="36"/>
      <c r="JE283" s="36"/>
      <c r="JF283" s="36"/>
      <c r="JG283" s="36"/>
      <c r="JH283" s="36"/>
      <c r="JI283" s="36"/>
      <c r="JJ283" s="36"/>
      <c r="JK283" s="36"/>
      <c r="JL283" s="37"/>
      <c r="JM283" s="44"/>
      <c r="JN283" s="36"/>
      <c r="JO283" s="36"/>
      <c r="JP283" s="36"/>
      <c r="JQ283" s="36"/>
      <c r="JR283" s="36"/>
      <c r="JS283" s="36"/>
      <c r="JT283" s="36"/>
      <c r="JU283" s="36"/>
      <c r="JV283" s="36"/>
      <c r="JW283" s="36"/>
      <c r="JX283" s="36"/>
      <c r="JY283" s="36"/>
      <c r="JZ283" s="36"/>
      <c r="KA283" s="36"/>
      <c r="KB283" s="36"/>
      <c r="KC283" s="37"/>
      <c r="KD283" s="44"/>
      <c r="KE283" s="36"/>
      <c r="KF283" s="36"/>
      <c r="KG283" s="36"/>
      <c r="KH283" s="36"/>
      <c r="KI283" s="36"/>
      <c r="KJ283" s="36"/>
      <c r="KK283" s="36"/>
      <c r="KL283" s="36"/>
      <c r="KM283" s="36"/>
      <c r="KN283" s="36"/>
      <c r="KO283" s="36"/>
      <c r="KP283" s="36"/>
      <c r="KQ283" s="36"/>
      <c r="KR283" s="36"/>
      <c r="KS283" s="36"/>
      <c r="KT283" s="37"/>
      <c r="KU283" s="36"/>
    </row>
    <row r="284" ht="15.0" customHeight="1">
      <c r="A284" s="44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7"/>
      <c r="R284" s="44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7"/>
      <c r="AI284" s="44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  <c r="AU284" s="36"/>
      <c r="AV284" s="36"/>
      <c r="AW284" s="36"/>
      <c r="AX284" s="36"/>
      <c r="AY284" s="37"/>
      <c r="AZ284" s="44"/>
      <c r="BA284" s="36"/>
      <c r="BB284" s="36"/>
      <c r="BC284" s="36"/>
      <c r="BD284" s="36"/>
      <c r="BE284" s="36"/>
      <c r="BF284" s="36"/>
      <c r="BG284" s="36"/>
      <c r="BH284" s="36"/>
      <c r="BI284" s="36"/>
      <c r="BJ284" s="36"/>
      <c r="BK284" s="36"/>
      <c r="BL284" s="36"/>
      <c r="BM284" s="36"/>
      <c r="BN284" s="36"/>
      <c r="BO284" s="36"/>
      <c r="BP284" s="37"/>
      <c r="BQ284" s="44"/>
      <c r="BR284" s="36"/>
      <c r="BS284" s="36"/>
      <c r="BT284" s="36"/>
      <c r="BU284" s="36"/>
      <c r="BV284" s="36"/>
      <c r="BW284" s="36"/>
      <c r="BX284" s="36"/>
      <c r="BY284" s="36"/>
      <c r="BZ284" s="36"/>
      <c r="CA284" s="36"/>
      <c r="CB284" s="36"/>
      <c r="CC284" s="36"/>
      <c r="CD284" s="36"/>
      <c r="CE284" s="36"/>
      <c r="CF284" s="36"/>
      <c r="CG284" s="37"/>
      <c r="CH284" s="44"/>
      <c r="CI284" s="36"/>
      <c r="CJ284" s="36"/>
      <c r="CK284" s="36"/>
      <c r="CL284" s="36"/>
      <c r="CM284" s="36"/>
      <c r="CN284" s="36"/>
      <c r="CO284" s="36"/>
      <c r="CP284" s="36"/>
      <c r="CQ284" s="36"/>
      <c r="CR284" s="36"/>
      <c r="CS284" s="36"/>
      <c r="CT284" s="36"/>
      <c r="CU284" s="36"/>
      <c r="CV284" s="36"/>
      <c r="CW284" s="36"/>
      <c r="CX284" s="37"/>
      <c r="CY284" s="44"/>
      <c r="CZ284" s="36"/>
      <c r="DA284" s="36"/>
      <c r="DB284" s="36"/>
      <c r="DC284" s="36"/>
      <c r="DD284" s="36"/>
      <c r="DE284" s="36"/>
      <c r="DF284" s="36"/>
      <c r="DG284" s="36"/>
      <c r="DH284" s="36"/>
      <c r="DI284" s="36"/>
      <c r="DJ284" s="36"/>
      <c r="DK284" s="36"/>
      <c r="DL284" s="36"/>
      <c r="DM284" s="36"/>
      <c r="DN284" s="36"/>
      <c r="DO284" s="37"/>
      <c r="DP284" s="44"/>
      <c r="DQ284" s="36"/>
      <c r="DR284" s="36"/>
      <c r="DS284" s="36"/>
      <c r="DT284" s="36"/>
      <c r="DU284" s="36"/>
      <c r="DV284" s="36"/>
      <c r="DW284" s="36"/>
      <c r="DX284" s="36"/>
      <c r="DY284" s="36"/>
      <c r="DZ284" s="36"/>
      <c r="EA284" s="36"/>
      <c r="EB284" s="36"/>
      <c r="EC284" s="36"/>
      <c r="ED284" s="36"/>
      <c r="EE284" s="36"/>
      <c r="EF284" s="37"/>
      <c r="EG284" s="44"/>
      <c r="EH284" s="36"/>
      <c r="EI284" s="36"/>
      <c r="EJ284" s="36"/>
      <c r="EK284" s="36"/>
      <c r="EL284" s="36"/>
      <c r="EM284" s="36"/>
      <c r="EN284" s="36"/>
      <c r="EO284" s="36"/>
      <c r="EP284" s="36"/>
      <c r="EQ284" s="36"/>
      <c r="ER284" s="36"/>
      <c r="ES284" s="36"/>
      <c r="ET284" s="36"/>
      <c r="EU284" s="36"/>
      <c r="EV284" s="36"/>
      <c r="EW284" s="37"/>
      <c r="EX284" s="44"/>
      <c r="EY284" s="36"/>
      <c r="EZ284" s="36"/>
      <c r="FA284" s="36"/>
      <c r="FB284" s="36"/>
      <c r="FC284" s="36"/>
      <c r="FD284" s="36"/>
      <c r="FE284" s="36"/>
      <c r="FF284" s="36"/>
      <c r="FG284" s="36"/>
      <c r="FH284" s="36"/>
      <c r="FI284" s="36"/>
      <c r="FJ284" s="36"/>
      <c r="FK284" s="36"/>
      <c r="FL284" s="36"/>
      <c r="FM284" s="36"/>
      <c r="FN284" s="37"/>
      <c r="FO284" s="44"/>
      <c r="FP284" s="36"/>
      <c r="FQ284" s="36"/>
      <c r="FR284" s="36"/>
      <c r="FS284" s="36"/>
      <c r="FT284" s="36"/>
      <c r="FU284" s="36"/>
      <c r="FV284" s="36"/>
      <c r="FW284" s="36"/>
      <c r="FX284" s="36"/>
      <c r="FY284" s="36"/>
      <c r="FZ284" s="36"/>
      <c r="GA284" s="36"/>
      <c r="GB284" s="36"/>
      <c r="GC284" s="36"/>
      <c r="GD284" s="36"/>
      <c r="GE284" s="37"/>
      <c r="GF284" s="44"/>
      <c r="GG284" s="36"/>
      <c r="GH284" s="36"/>
      <c r="GI284" s="36"/>
      <c r="GJ284" s="36"/>
      <c r="GK284" s="36"/>
      <c r="GL284" s="36"/>
      <c r="GM284" s="36"/>
      <c r="GN284" s="36"/>
      <c r="GO284" s="36"/>
      <c r="GP284" s="36"/>
      <c r="GQ284" s="36"/>
      <c r="GR284" s="36"/>
      <c r="GS284" s="36"/>
      <c r="GT284" s="36"/>
      <c r="GU284" s="36"/>
      <c r="GV284" s="37"/>
      <c r="GW284" s="44"/>
      <c r="GX284" s="36"/>
      <c r="GY284" s="36"/>
      <c r="GZ284" s="36"/>
      <c r="HA284" s="36"/>
      <c r="HB284" s="36"/>
      <c r="HC284" s="36"/>
      <c r="HD284" s="36"/>
      <c r="HE284" s="36"/>
      <c r="HF284" s="36"/>
      <c r="HG284" s="36"/>
      <c r="HH284" s="36"/>
      <c r="HI284" s="36"/>
      <c r="HJ284" s="36"/>
      <c r="HK284" s="36"/>
      <c r="HL284" s="36"/>
      <c r="HM284" s="37"/>
      <c r="HN284" s="44"/>
      <c r="HO284" s="36"/>
      <c r="HP284" s="36"/>
      <c r="HQ284" s="36"/>
      <c r="HR284" s="36"/>
      <c r="HS284" s="36"/>
      <c r="HT284" s="36"/>
      <c r="HU284" s="36"/>
      <c r="HV284" s="36"/>
      <c r="HW284" s="36"/>
      <c r="HX284" s="36"/>
      <c r="HY284" s="36"/>
      <c r="HZ284" s="36"/>
      <c r="IA284" s="36"/>
      <c r="IB284" s="36"/>
      <c r="IC284" s="36"/>
      <c r="ID284" s="37"/>
      <c r="IE284" s="44"/>
      <c r="IF284" s="36"/>
      <c r="IG284" s="36"/>
      <c r="IH284" s="36"/>
      <c r="II284" s="36"/>
      <c r="IJ284" s="36"/>
      <c r="IK284" s="36"/>
      <c r="IL284" s="36"/>
      <c r="IM284" s="36"/>
      <c r="IN284" s="36"/>
      <c r="IO284" s="36"/>
      <c r="IP284" s="36"/>
      <c r="IQ284" s="36"/>
      <c r="IR284" s="36"/>
      <c r="IS284" s="36"/>
      <c r="IT284" s="36"/>
      <c r="IU284" s="37"/>
      <c r="IV284" s="44"/>
      <c r="IW284" s="36"/>
      <c r="IX284" s="36"/>
      <c r="IY284" s="36"/>
      <c r="IZ284" s="36"/>
      <c r="JA284" s="36"/>
      <c r="JB284" s="36"/>
      <c r="JC284" s="36"/>
      <c r="JD284" s="36"/>
      <c r="JE284" s="36"/>
      <c r="JF284" s="36"/>
      <c r="JG284" s="36"/>
      <c r="JH284" s="36"/>
      <c r="JI284" s="36"/>
      <c r="JJ284" s="36"/>
      <c r="JK284" s="36"/>
      <c r="JL284" s="37"/>
      <c r="JM284" s="44"/>
      <c r="JN284" s="36"/>
      <c r="JO284" s="36"/>
      <c r="JP284" s="36"/>
      <c r="JQ284" s="36"/>
      <c r="JR284" s="36"/>
      <c r="JS284" s="36"/>
      <c r="JT284" s="36"/>
      <c r="JU284" s="36"/>
      <c r="JV284" s="36"/>
      <c r="JW284" s="36"/>
      <c r="JX284" s="36"/>
      <c r="JY284" s="36"/>
      <c r="JZ284" s="36"/>
      <c r="KA284" s="36"/>
      <c r="KB284" s="36"/>
      <c r="KC284" s="37"/>
      <c r="KD284" s="44"/>
      <c r="KE284" s="36"/>
      <c r="KF284" s="36"/>
      <c r="KG284" s="36"/>
      <c r="KH284" s="36"/>
      <c r="KI284" s="36"/>
      <c r="KJ284" s="36"/>
      <c r="KK284" s="36"/>
      <c r="KL284" s="36"/>
      <c r="KM284" s="36"/>
      <c r="KN284" s="36"/>
      <c r="KO284" s="36"/>
      <c r="KP284" s="36"/>
      <c r="KQ284" s="36"/>
      <c r="KR284" s="36"/>
      <c r="KS284" s="36"/>
      <c r="KT284" s="37"/>
      <c r="KU284" s="36"/>
    </row>
    <row r="285" ht="15.0" customHeight="1">
      <c r="A285" s="44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7"/>
      <c r="R285" s="44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7"/>
      <c r="AI285" s="44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  <c r="AU285" s="36"/>
      <c r="AV285" s="36"/>
      <c r="AW285" s="36"/>
      <c r="AX285" s="36"/>
      <c r="AY285" s="37"/>
      <c r="AZ285" s="44"/>
      <c r="BA285" s="36"/>
      <c r="BB285" s="36"/>
      <c r="BC285" s="36"/>
      <c r="BD285" s="36"/>
      <c r="BE285" s="36"/>
      <c r="BF285" s="36"/>
      <c r="BG285" s="36"/>
      <c r="BH285" s="36"/>
      <c r="BI285" s="36"/>
      <c r="BJ285" s="36"/>
      <c r="BK285" s="36"/>
      <c r="BL285" s="36"/>
      <c r="BM285" s="36"/>
      <c r="BN285" s="36"/>
      <c r="BO285" s="36"/>
      <c r="BP285" s="37"/>
      <c r="BQ285" s="44"/>
      <c r="BR285" s="36"/>
      <c r="BS285" s="36"/>
      <c r="BT285" s="36"/>
      <c r="BU285" s="36"/>
      <c r="BV285" s="36"/>
      <c r="BW285" s="36"/>
      <c r="BX285" s="36"/>
      <c r="BY285" s="36"/>
      <c r="BZ285" s="36"/>
      <c r="CA285" s="36"/>
      <c r="CB285" s="36"/>
      <c r="CC285" s="36"/>
      <c r="CD285" s="36"/>
      <c r="CE285" s="36"/>
      <c r="CF285" s="36"/>
      <c r="CG285" s="37"/>
      <c r="CH285" s="44"/>
      <c r="CI285" s="36"/>
      <c r="CJ285" s="36"/>
      <c r="CK285" s="36"/>
      <c r="CL285" s="36"/>
      <c r="CM285" s="36"/>
      <c r="CN285" s="36"/>
      <c r="CO285" s="36"/>
      <c r="CP285" s="36"/>
      <c r="CQ285" s="36"/>
      <c r="CR285" s="36"/>
      <c r="CS285" s="36"/>
      <c r="CT285" s="36"/>
      <c r="CU285" s="36"/>
      <c r="CV285" s="36"/>
      <c r="CW285" s="36"/>
      <c r="CX285" s="37"/>
      <c r="CY285" s="44"/>
      <c r="CZ285" s="36"/>
      <c r="DA285" s="36"/>
      <c r="DB285" s="36"/>
      <c r="DC285" s="36"/>
      <c r="DD285" s="36"/>
      <c r="DE285" s="36"/>
      <c r="DF285" s="36"/>
      <c r="DG285" s="36"/>
      <c r="DH285" s="36"/>
      <c r="DI285" s="36"/>
      <c r="DJ285" s="36"/>
      <c r="DK285" s="36"/>
      <c r="DL285" s="36"/>
      <c r="DM285" s="36"/>
      <c r="DN285" s="36"/>
      <c r="DO285" s="37"/>
      <c r="DP285" s="44"/>
      <c r="DQ285" s="36"/>
      <c r="DR285" s="36"/>
      <c r="DS285" s="36"/>
      <c r="DT285" s="36"/>
      <c r="DU285" s="36"/>
      <c r="DV285" s="36"/>
      <c r="DW285" s="36"/>
      <c r="DX285" s="36"/>
      <c r="DY285" s="36"/>
      <c r="DZ285" s="36"/>
      <c r="EA285" s="36"/>
      <c r="EB285" s="36"/>
      <c r="EC285" s="36"/>
      <c r="ED285" s="36"/>
      <c r="EE285" s="36"/>
      <c r="EF285" s="37"/>
      <c r="EG285" s="44"/>
      <c r="EH285" s="36"/>
      <c r="EI285" s="36"/>
      <c r="EJ285" s="36"/>
      <c r="EK285" s="36"/>
      <c r="EL285" s="36"/>
      <c r="EM285" s="36"/>
      <c r="EN285" s="36"/>
      <c r="EO285" s="36"/>
      <c r="EP285" s="36"/>
      <c r="EQ285" s="36"/>
      <c r="ER285" s="36"/>
      <c r="ES285" s="36"/>
      <c r="ET285" s="36"/>
      <c r="EU285" s="36"/>
      <c r="EV285" s="36"/>
      <c r="EW285" s="37"/>
      <c r="EX285" s="44"/>
      <c r="EY285" s="36"/>
      <c r="EZ285" s="36"/>
      <c r="FA285" s="36"/>
      <c r="FB285" s="36"/>
      <c r="FC285" s="36"/>
      <c r="FD285" s="36"/>
      <c r="FE285" s="36"/>
      <c r="FF285" s="36"/>
      <c r="FG285" s="36"/>
      <c r="FH285" s="36"/>
      <c r="FI285" s="36"/>
      <c r="FJ285" s="36"/>
      <c r="FK285" s="36"/>
      <c r="FL285" s="36"/>
      <c r="FM285" s="36"/>
      <c r="FN285" s="37"/>
      <c r="FO285" s="44"/>
      <c r="FP285" s="36"/>
      <c r="FQ285" s="36"/>
      <c r="FR285" s="36"/>
      <c r="FS285" s="36"/>
      <c r="FT285" s="36"/>
      <c r="FU285" s="36"/>
      <c r="FV285" s="36"/>
      <c r="FW285" s="36"/>
      <c r="FX285" s="36"/>
      <c r="FY285" s="36"/>
      <c r="FZ285" s="36"/>
      <c r="GA285" s="36"/>
      <c r="GB285" s="36"/>
      <c r="GC285" s="36"/>
      <c r="GD285" s="36"/>
      <c r="GE285" s="37"/>
      <c r="GF285" s="44"/>
      <c r="GG285" s="36"/>
      <c r="GH285" s="36"/>
      <c r="GI285" s="36"/>
      <c r="GJ285" s="36"/>
      <c r="GK285" s="36"/>
      <c r="GL285" s="36"/>
      <c r="GM285" s="36"/>
      <c r="GN285" s="36"/>
      <c r="GO285" s="36"/>
      <c r="GP285" s="36"/>
      <c r="GQ285" s="36"/>
      <c r="GR285" s="36"/>
      <c r="GS285" s="36"/>
      <c r="GT285" s="36"/>
      <c r="GU285" s="36"/>
      <c r="GV285" s="37"/>
      <c r="GW285" s="44"/>
      <c r="GX285" s="36"/>
      <c r="GY285" s="36"/>
      <c r="GZ285" s="36"/>
      <c r="HA285" s="36"/>
      <c r="HB285" s="36"/>
      <c r="HC285" s="36"/>
      <c r="HD285" s="36"/>
      <c r="HE285" s="36"/>
      <c r="HF285" s="36"/>
      <c r="HG285" s="36"/>
      <c r="HH285" s="36"/>
      <c r="HI285" s="36"/>
      <c r="HJ285" s="36"/>
      <c r="HK285" s="36"/>
      <c r="HL285" s="36"/>
      <c r="HM285" s="37"/>
      <c r="HN285" s="44"/>
      <c r="HO285" s="36"/>
      <c r="HP285" s="36"/>
      <c r="HQ285" s="36"/>
      <c r="HR285" s="36"/>
      <c r="HS285" s="36"/>
      <c r="HT285" s="36"/>
      <c r="HU285" s="36"/>
      <c r="HV285" s="36"/>
      <c r="HW285" s="36"/>
      <c r="HX285" s="36"/>
      <c r="HY285" s="36"/>
      <c r="HZ285" s="36"/>
      <c r="IA285" s="36"/>
      <c r="IB285" s="36"/>
      <c r="IC285" s="36"/>
      <c r="ID285" s="37"/>
      <c r="IE285" s="44"/>
      <c r="IF285" s="36"/>
      <c r="IG285" s="36"/>
      <c r="IH285" s="36"/>
      <c r="II285" s="36"/>
      <c r="IJ285" s="36"/>
      <c r="IK285" s="36"/>
      <c r="IL285" s="36"/>
      <c r="IM285" s="36"/>
      <c r="IN285" s="36"/>
      <c r="IO285" s="36"/>
      <c r="IP285" s="36"/>
      <c r="IQ285" s="36"/>
      <c r="IR285" s="36"/>
      <c r="IS285" s="36"/>
      <c r="IT285" s="36"/>
      <c r="IU285" s="37"/>
      <c r="IV285" s="44"/>
      <c r="IW285" s="36"/>
      <c r="IX285" s="36"/>
      <c r="IY285" s="36"/>
      <c r="IZ285" s="36"/>
      <c r="JA285" s="36"/>
      <c r="JB285" s="36"/>
      <c r="JC285" s="36"/>
      <c r="JD285" s="36"/>
      <c r="JE285" s="36"/>
      <c r="JF285" s="36"/>
      <c r="JG285" s="36"/>
      <c r="JH285" s="36"/>
      <c r="JI285" s="36"/>
      <c r="JJ285" s="36"/>
      <c r="JK285" s="36"/>
      <c r="JL285" s="37"/>
      <c r="JM285" s="44"/>
      <c r="JN285" s="36"/>
      <c r="JO285" s="36"/>
      <c r="JP285" s="36"/>
      <c r="JQ285" s="36"/>
      <c r="JR285" s="36"/>
      <c r="JS285" s="36"/>
      <c r="JT285" s="36"/>
      <c r="JU285" s="36"/>
      <c r="JV285" s="36"/>
      <c r="JW285" s="36"/>
      <c r="JX285" s="36"/>
      <c r="JY285" s="36"/>
      <c r="JZ285" s="36"/>
      <c r="KA285" s="36"/>
      <c r="KB285" s="36"/>
      <c r="KC285" s="37"/>
      <c r="KD285" s="44"/>
      <c r="KE285" s="36"/>
      <c r="KF285" s="36"/>
      <c r="KG285" s="36"/>
      <c r="KH285" s="36"/>
      <c r="KI285" s="36"/>
      <c r="KJ285" s="36"/>
      <c r="KK285" s="36"/>
      <c r="KL285" s="36"/>
      <c r="KM285" s="36"/>
      <c r="KN285" s="36"/>
      <c r="KO285" s="36"/>
      <c r="KP285" s="36"/>
      <c r="KQ285" s="36"/>
      <c r="KR285" s="36"/>
      <c r="KS285" s="36"/>
      <c r="KT285" s="37"/>
      <c r="KU285" s="36"/>
    </row>
    <row r="286" ht="15.0" customHeight="1">
      <c r="A286" s="44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7"/>
      <c r="R286" s="44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7"/>
      <c r="AI286" s="44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  <c r="AU286" s="36"/>
      <c r="AV286" s="36"/>
      <c r="AW286" s="36"/>
      <c r="AX286" s="36"/>
      <c r="AY286" s="37"/>
      <c r="AZ286" s="44"/>
      <c r="BA286" s="36"/>
      <c r="BB286" s="36"/>
      <c r="BC286" s="36"/>
      <c r="BD286" s="36"/>
      <c r="BE286" s="36"/>
      <c r="BF286" s="36"/>
      <c r="BG286" s="36"/>
      <c r="BH286" s="36"/>
      <c r="BI286" s="36"/>
      <c r="BJ286" s="36"/>
      <c r="BK286" s="36"/>
      <c r="BL286" s="36"/>
      <c r="BM286" s="36"/>
      <c r="BN286" s="36"/>
      <c r="BO286" s="36"/>
      <c r="BP286" s="37"/>
      <c r="BQ286" s="44"/>
      <c r="BR286" s="36"/>
      <c r="BS286" s="36"/>
      <c r="BT286" s="36"/>
      <c r="BU286" s="36"/>
      <c r="BV286" s="36"/>
      <c r="BW286" s="36"/>
      <c r="BX286" s="36"/>
      <c r="BY286" s="36"/>
      <c r="BZ286" s="36"/>
      <c r="CA286" s="36"/>
      <c r="CB286" s="36"/>
      <c r="CC286" s="36"/>
      <c r="CD286" s="36"/>
      <c r="CE286" s="36"/>
      <c r="CF286" s="36"/>
      <c r="CG286" s="37"/>
      <c r="CH286" s="44"/>
      <c r="CI286" s="36"/>
      <c r="CJ286" s="36"/>
      <c r="CK286" s="36"/>
      <c r="CL286" s="36"/>
      <c r="CM286" s="36"/>
      <c r="CN286" s="36"/>
      <c r="CO286" s="36"/>
      <c r="CP286" s="36"/>
      <c r="CQ286" s="36"/>
      <c r="CR286" s="36"/>
      <c r="CS286" s="36"/>
      <c r="CT286" s="36"/>
      <c r="CU286" s="36"/>
      <c r="CV286" s="36"/>
      <c r="CW286" s="36"/>
      <c r="CX286" s="37"/>
      <c r="CY286" s="44"/>
      <c r="CZ286" s="36"/>
      <c r="DA286" s="36"/>
      <c r="DB286" s="36"/>
      <c r="DC286" s="36"/>
      <c r="DD286" s="36"/>
      <c r="DE286" s="36"/>
      <c r="DF286" s="36"/>
      <c r="DG286" s="36"/>
      <c r="DH286" s="36"/>
      <c r="DI286" s="36"/>
      <c r="DJ286" s="36"/>
      <c r="DK286" s="36"/>
      <c r="DL286" s="36"/>
      <c r="DM286" s="36"/>
      <c r="DN286" s="36"/>
      <c r="DO286" s="37"/>
      <c r="DP286" s="44"/>
      <c r="DQ286" s="36"/>
      <c r="DR286" s="36"/>
      <c r="DS286" s="36"/>
      <c r="DT286" s="36"/>
      <c r="DU286" s="36"/>
      <c r="DV286" s="36"/>
      <c r="DW286" s="36"/>
      <c r="DX286" s="36"/>
      <c r="DY286" s="36"/>
      <c r="DZ286" s="36"/>
      <c r="EA286" s="36"/>
      <c r="EB286" s="36"/>
      <c r="EC286" s="36"/>
      <c r="ED286" s="36"/>
      <c r="EE286" s="36"/>
      <c r="EF286" s="37"/>
      <c r="EG286" s="44"/>
      <c r="EH286" s="36"/>
      <c r="EI286" s="36"/>
      <c r="EJ286" s="36"/>
      <c r="EK286" s="36"/>
      <c r="EL286" s="36"/>
      <c r="EM286" s="36"/>
      <c r="EN286" s="36"/>
      <c r="EO286" s="36"/>
      <c r="EP286" s="36"/>
      <c r="EQ286" s="36"/>
      <c r="ER286" s="36"/>
      <c r="ES286" s="36"/>
      <c r="ET286" s="36"/>
      <c r="EU286" s="36"/>
      <c r="EV286" s="36"/>
      <c r="EW286" s="37"/>
      <c r="EX286" s="44"/>
      <c r="EY286" s="36"/>
      <c r="EZ286" s="36"/>
      <c r="FA286" s="36"/>
      <c r="FB286" s="36"/>
      <c r="FC286" s="36"/>
      <c r="FD286" s="36"/>
      <c r="FE286" s="36"/>
      <c r="FF286" s="36"/>
      <c r="FG286" s="36"/>
      <c r="FH286" s="36"/>
      <c r="FI286" s="36"/>
      <c r="FJ286" s="36"/>
      <c r="FK286" s="36"/>
      <c r="FL286" s="36"/>
      <c r="FM286" s="36"/>
      <c r="FN286" s="37"/>
      <c r="FO286" s="44"/>
      <c r="FP286" s="36"/>
      <c r="FQ286" s="36"/>
      <c r="FR286" s="36"/>
      <c r="FS286" s="36"/>
      <c r="FT286" s="36"/>
      <c r="FU286" s="36"/>
      <c r="FV286" s="36"/>
      <c r="FW286" s="36"/>
      <c r="FX286" s="36"/>
      <c r="FY286" s="36"/>
      <c r="FZ286" s="36"/>
      <c r="GA286" s="36"/>
      <c r="GB286" s="36"/>
      <c r="GC286" s="36"/>
      <c r="GD286" s="36"/>
      <c r="GE286" s="37"/>
      <c r="GF286" s="44"/>
      <c r="GG286" s="36"/>
      <c r="GH286" s="36"/>
      <c r="GI286" s="36"/>
      <c r="GJ286" s="36"/>
      <c r="GK286" s="36"/>
      <c r="GL286" s="36"/>
      <c r="GM286" s="36"/>
      <c r="GN286" s="36"/>
      <c r="GO286" s="36"/>
      <c r="GP286" s="36"/>
      <c r="GQ286" s="36"/>
      <c r="GR286" s="36"/>
      <c r="GS286" s="36"/>
      <c r="GT286" s="36"/>
      <c r="GU286" s="36"/>
      <c r="GV286" s="37"/>
      <c r="GW286" s="44"/>
      <c r="GX286" s="36"/>
      <c r="GY286" s="36"/>
      <c r="GZ286" s="36"/>
      <c r="HA286" s="36"/>
      <c r="HB286" s="36"/>
      <c r="HC286" s="36"/>
      <c r="HD286" s="36"/>
      <c r="HE286" s="36"/>
      <c r="HF286" s="36"/>
      <c r="HG286" s="36"/>
      <c r="HH286" s="36"/>
      <c r="HI286" s="36"/>
      <c r="HJ286" s="36"/>
      <c r="HK286" s="36"/>
      <c r="HL286" s="36"/>
      <c r="HM286" s="37"/>
      <c r="HN286" s="44"/>
      <c r="HO286" s="36"/>
      <c r="HP286" s="36"/>
      <c r="HQ286" s="36"/>
      <c r="HR286" s="36"/>
      <c r="HS286" s="36"/>
      <c r="HT286" s="36"/>
      <c r="HU286" s="36"/>
      <c r="HV286" s="36"/>
      <c r="HW286" s="36"/>
      <c r="HX286" s="36"/>
      <c r="HY286" s="36"/>
      <c r="HZ286" s="36"/>
      <c r="IA286" s="36"/>
      <c r="IB286" s="36"/>
      <c r="IC286" s="36"/>
      <c r="ID286" s="37"/>
      <c r="IE286" s="44"/>
      <c r="IF286" s="36"/>
      <c r="IG286" s="36"/>
      <c r="IH286" s="36"/>
      <c r="II286" s="36"/>
      <c r="IJ286" s="36"/>
      <c r="IK286" s="36"/>
      <c r="IL286" s="36"/>
      <c r="IM286" s="36"/>
      <c r="IN286" s="36"/>
      <c r="IO286" s="36"/>
      <c r="IP286" s="36"/>
      <c r="IQ286" s="36"/>
      <c r="IR286" s="36"/>
      <c r="IS286" s="36"/>
      <c r="IT286" s="36"/>
      <c r="IU286" s="37"/>
      <c r="IV286" s="44"/>
      <c r="IW286" s="36"/>
      <c r="IX286" s="36"/>
      <c r="IY286" s="36"/>
      <c r="IZ286" s="36"/>
      <c r="JA286" s="36"/>
      <c r="JB286" s="36"/>
      <c r="JC286" s="36"/>
      <c r="JD286" s="36"/>
      <c r="JE286" s="36"/>
      <c r="JF286" s="36"/>
      <c r="JG286" s="36"/>
      <c r="JH286" s="36"/>
      <c r="JI286" s="36"/>
      <c r="JJ286" s="36"/>
      <c r="JK286" s="36"/>
      <c r="JL286" s="37"/>
      <c r="JM286" s="44"/>
      <c r="JN286" s="36"/>
      <c r="JO286" s="36"/>
      <c r="JP286" s="36"/>
      <c r="JQ286" s="36"/>
      <c r="JR286" s="36"/>
      <c r="JS286" s="36"/>
      <c r="JT286" s="36"/>
      <c r="JU286" s="36"/>
      <c r="JV286" s="36"/>
      <c r="JW286" s="36"/>
      <c r="JX286" s="36"/>
      <c r="JY286" s="36"/>
      <c r="JZ286" s="36"/>
      <c r="KA286" s="36"/>
      <c r="KB286" s="36"/>
      <c r="KC286" s="37"/>
      <c r="KD286" s="44"/>
      <c r="KE286" s="36"/>
      <c r="KF286" s="36"/>
      <c r="KG286" s="36"/>
      <c r="KH286" s="36"/>
      <c r="KI286" s="36"/>
      <c r="KJ286" s="36"/>
      <c r="KK286" s="36"/>
      <c r="KL286" s="36"/>
      <c r="KM286" s="36"/>
      <c r="KN286" s="36"/>
      <c r="KO286" s="36"/>
      <c r="KP286" s="36"/>
      <c r="KQ286" s="36"/>
      <c r="KR286" s="36"/>
      <c r="KS286" s="36"/>
      <c r="KT286" s="37"/>
      <c r="KU286" s="36"/>
    </row>
    <row r="287" ht="15.0" customHeight="1">
      <c r="A287" s="44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7"/>
      <c r="R287" s="44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7"/>
      <c r="AI287" s="44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  <c r="AU287" s="36"/>
      <c r="AV287" s="36"/>
      <c r="AW287" s="36"/>
      <c r="AX287" s="36"/>
      <c r="AY287" s="37"/>
      <c r="AZ287" s="44"/>
      <c r="BA287" s="36"/>
      <c r="BB287" s="36"/>
      <c r="BC287" s="36"/>
      <c r="BD287" s="36"/>
      <c r="BE287" s="36"/>
      <c r="BF287" s="36"/>
      <c r="BG287" s="36"/>
      <c r="BH287" s="36"/>
      <c r="BI287" s="36"/>
      <c r="BJ287" s="36"/>
      <c r="BK287" s="36"/>
      <c r="BL287" s="36"/>
      <c r="BM287" s="36"/>
      <c r="BN287" s="36"/>
      <c r="BO287" s="36"/>
      <c r="BP287" s="37"/>
      <c r="BQ287" s="44"/>
      <c r="BR287" s="36"/>
      <c r="BS287" s="36"/>
      <c r="BT287" s="36"/>
      <c r="BU287" s="36"/>
      <c r="BV287" s="36"/>
      <c r="BW287" s="36"/>
      <c r="BX287" s="36"/>
      <c r="BY287" s="36"/>
      <c r="BZ287" s="36"/>
      <c r="CA287" s="36"/>
      <c r="CB287" s="36"/>
      <c r="CC287" s="36"/>
      <c r="CD287" s="36"/>
      <c r="CE287" s="36"/>
      <c r="CF287" s="36"/>
      <c r="CG287" s="37"/>
      <c r="CH287" s="44"/>
      <c r="CI287" s="36"/>
      <c r="CJ287" s="36"/>
      <c r="CK287" s="36"/>
      <c r="CL287" s="36"/>
      <c r="CM287" s="36"/>
      <c r="CN287" s="36"/>
      <c r="CO287" s="36"/>
      <c r="CP287" s="36"/>
      <c r="CQ287" s="36"/>
      <c r="CR287" s="36"/>
      <c r="CS287" s="36"/>
      <c r="CT287" s="36"/>
      <c r="CU287" s="36"/>
      <c r="CV287" s="36"/>
      <c r="CW287" s="36"/>
      <c r="CX287" s="37"/>
      <c r="CY287" s="44"/>
      <c r="CZ287" s="36"/>
      <c r="DA287" s="36"/>
      <c r="DB287" s="36"/>
      <c r="DC287" s="36"/>
      <c r="DD287" s="36"/>
      <c r="DE287" s="36"/>
      <c r="DF287" s="36"/>
      <c r="DG287" s="36"/>
      <c r="DH287" s="36"/>
      <c r="DI287" s="36"/>
      <c r="DJ287" s="36"/>
      <c r="DK287" s="36"/>
      <c r="DL287" s="36"/>
      <c r="DM287" s="36"/>
      <c r="DN287" s="36"/>
      <c r="DO287" s="37"/>
      <c r="DP287" s="44"/>
      <c r="DQ287" s="36"/>
      <c r="DR287" s="36"/>
      <c r="DS287" s="36"/>
      <c r="DT287" s="36"/>
      <c r="DU287" s="36"/>
      <c r="DV287" s="36"/>
      <c r="DW287" s="36"/>
      <c r="DX287" s="36"/>
      <c r="DY287" s="36"/>
      <c r="DZ287" s="36"/>
      <c r="EA287" s="36"/>
      <c r="EB287" s="36"/>
      <c r="EC287" s="36"/>
      <c r="ED287" s="36"/>
      <c r="EE287" s="36"/>
      <c r="EF287" s="37"/>
      <c r="EG287" s="44"/>
      <c r="EH287" s="36"/>
      <c r="EI287" s="36"/>
      <c r="EJ287" s="36"/>
      <c r="EK287" s="36"/>
      <c r="EL287" s="36"/>
      <c r="EM287" s="36"/>
      <c r="EN287" s="36"/>
      <c r="EO287" s="36"/>
      <c r="EP287" s="36"/>
      <c r="EQ287" s="36"/>
      <c r="ER287" s="36"/>
      <c r="ES287" s="36"/>
      <c r="ET287" s="36"/>
      <c r="EU287" s="36"/>
      <c r="EV287" s="36"/>
      <c r="EW287" s="37"/>
      <c r="EX287" s="44"/>
      <c r="EY287" s="36"/>
      <c r="EZ287" s="36"/>
      <c r="FA287" s="36"/>
      <c r="FB287" s="36"/>
      <c r="FC287" s="36"/>
      <c r="FD287" s="36"/>
      <c r="FE287" s="36"/>
      <c r="FF287" s="36"/>
      <c r="FG287" s="36"/>
      <c r="FH287" s="36"/>
      <c r="FI287" s="36"/>
      <c r="FJ287" s="36"/>
      <c r="FK287" s="36"/>
      <c r="FL287" s="36"/>
      <c r="FM287" s="36"/>
      <c r="FN287" s="37"/>
      <c r="FO287" s="44"/>
      <c r="FP287" s="36"/>
      <c r="FQ287" s="36"/>
      <c r="FR287" s="36"/>
      <c r="FS287" s="36"/>
      <c r="FT287" s="36"/>
      <c r="FU287" s="36"/>
      <c r="FV287" s="36"/>
      <c r="FW287" s="36"/>
      <c r="FX287" s="36"/>
      <c r="FY287" s="36"/>
      <c r="FZ287" s="36"/>
      <c r="GA287" s="36"/>
      <c r="GB287" s="36"/>
      <c r="GC287" s="36"/>
      <c r="GD287" s="36"/>
      <c r="GE287" s="37"/>
      <c r="GF287" s="44"/>
      <c r="GG287" s="36"/>
      <c r="GH287" s="36"/>
      <c r="GI287" s="36"/>
      <c r="GJ287" s="36"/>
      <c r="GK287" s="36"/>
      <c r="GL287" s="36"/>
      <c r="GM287" s="36"/>
      <c r="GN287" s="36"/>
      <c r="GO287" s="36"/>
      <c r="GP287" s="36"/>
      <c r="GQ287" s="36"/>
      <c r="GR287" s="36"/>
      <c r="GS287" s="36"/>
      <c r="GT287" s="36"/>
      <c r="GU287" s="36"/>
      <c r="GV287" s="37"/>
      <c r="GW287" s="44"/>
      <c r="GX287" s="36"/>
      <c r="GY287" s="36"/>
      <c r="GZ287" s="36"/>
      <c r="HA287" s="36"/>
      <c r="HB287" s="36"/>
      <c r="HC287" s="36"/>
      <c r="HD287" s="36"/>
      <c r="HE287" s="36"/>
      <c r="HF287" s="36"/>
      <c r="HG287" s="36"/>
      <c r="HH287" s="36"/>
      <c r="HI287" s="36"/>
      <c r="HJ287" s="36"/>
      <c r="HK287" s="36"/>
      <c r="HL287" s="36"/>
      <c r="HM287" s="37"/>
      <c r="HN287" s="44"/>
      <c r="HO287" s="36"/>
      <c r="HP287" s="36"/>
      <c r="HQ287" s="36"/>
      <c r="HR287" s="36"/>
      <c r="HS287" s="36"/>
      <c r="HT287" s="36"/>
      <c r="HU287" s="36"/>
      <c r="HV287" s="36"/>
      <c r="HW287" s="36"/>
      <c r="HX287" s="36"/>
      <c r="HY287" s="36"/>
      <c r="HZ287" s="36"/>
      <c r="IA287" s="36"/>
      <c r="IB287" s="36"/>
      <c r="IC287" s="36"/>
      <c r="ID287" s="37"/>
      <c r="IE287" s="44"/>
      <c r="IF287" s="36"/>
      <c r="IG287" s="36"/>
      <c r="IH287" s="36"/>
      <c r="II287" s="36"/>
      <c r="IJ287" s="36"/>
      <c r="IK287" s="36"/>
      <c r="IL287" s="36"/>
      <c r="IM287" s="36"/>
      <c r="IN287" s="36"/>
      <c r="IO287" s="36"/>
      <c r="IP287" s="36"/>
      <c r="IQ287" s="36"/>
      <c r="IR287" s="36"/>
      <c r="IS287" s="36"/>
      <c r="IT287" s="36"/>
      <c r="IU287" s="37"/>
      <c r="IV287" s="44"/>
      <c r="IW287" s="36"/>
      <c r="IX287" s="36"/>
      <c r="IY287" s="36"/>
      <c r="IZ287" s="36"/>
      <c r="JA287" s="36"/>
      <c r="JB287" s="36"/>
      <c r="JC287" s="36"/>
      <c r="JD287" s="36"/>
      <c r="JE287" s="36"/>
      <c r="JF287" s="36"/>
      <c r="JG287" s="36"/>
      <c r="JH287" s="36"/>
      <c r="JI287" s="36"/>
      <c r="JJ287" s="36"/>
      <c r="JK287" s="36"/>
      <c r="JL287" s="37"/>
      <c r="JM287" s="44"/>
      <c r="JN287" s="36"/>
      <c r="JO287" s="36"/>
      <c r="JP287" s="36"/>
      <c r="JQ287" s="36"/>
      <c r="JR287" s="36"/>
      <c r="JS287" s="36"/>
      <c r="JT287" s="36"/>
      <c r="JU287" s="36"/>
      <c r="JV287" s="36"/>
      <c r="JW287" s="36"/>
      <c r="JX287" s="36"/>
      <c r="JY287" s="36"/>
      <c r="JZ287" s="36"/>
      <c r="KA287" s="36"/>
      <c r="KB287" s="36"/>
      <c r="KC287" s="37"/>
      <c r="KD287" s="44"/>
      <c r="KE287" s="36"/>
      <c r="KF287" s="36"/>
      <c r="KG287" s="36"/>
      <c r="KH287" s="36"/>
      <c r="KI287" s="36"/>
      <c r="KJ287" s="36"/>
      <c r="KK287" s="36"/>
      <c r="KL287" s="36"/>
      <c r="KM287" s="36"/>
      <c r="KN287" s="36"/>
      <c r="KO287" s="36"/>
      <c r="KP287" s="36"/>
      <c r="KQ287" s="36"/>
      <c r="KR287" s="36"/>
      <c r="KS287" s="36"/>
      <c r="KT287" s="37"/>
      <c r="KU287" s="36"/>
    </row>
    <row r="288" ht="15.0" customHeight="1">
      <c r="A288" s="44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7"/>
      <c r="R288" s="44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7"/>
      <c r="AI288" s="44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/>
      <c r="AU288" s="36"/>
      <c r="AV288" s="36"/>
      <c r="AW288" s="36"/>
      <c r="AX288" s="36"/>
      <c r="AY288" s="37"/>
      <c r="AZ288" s="44"/>
      <c r="BA288" s="36"/>
      <c r="BB288" s="36"/>
      <c r="BC288" s="36"/>
      <c r="BD288" s="36"/>
      <c r="BE288" s="36"/>
      <c r="BF288" s="36"/>
      <c r="BG288" s="36"/>
      <c r="BH288" s="36"/>
      <c r="BI288" s="36"/>
      <c r="BJ288" s="36"/>
      <c r="BK288" s="36"/>
      <c r="BL288" s="36"/>
      <c r="BM288" s="36"/>
      <c r="BN288" s="36"/>
      <c r="BO288" s="36"/>
      <c r="BP288" s="37"/>
      <c r="BQ288" s="44"/>
      <c r="BR288" s="36"/>
      <c r="BS288" s="36"/>
      <c r="BT288" s="36"/>
      <c r="BU288" s="36"/>
      <c r="BV288" s="36"/>
      <c r="BW288" s="36"/>
      <c r="BX288" s="36"/>
      <c r="BY288" s="36"/>
      <c r="BZ288" s="36"/>
      <c r="CA288" s="36"/>
      <c r="CB288" s="36"/>
      <c r="CC288" s="36"/>
      <c r="CD288" s="36"/>
      <c r="CE288" s="36"/>
      <c r="CF288" s="36"/>
      <c r="CG288" s="37"/>
      <c r="CH288" s="44"/>
      <c r="CI288" s="36"/>
      <c r="CJ288" s="36"/>
      <c r="CK288" s="36"/>
      <c r="CL288" s="36"/>
      <c r="CM288" s="36"/>
      <c r="CN288" s="36"/>
      <c r="CO288" s="36"/>
      <c r="CP288" s="36"/>
      <c r="CQ288" s="36"/>
      <c r="CR288" s="36"/>
      <c r="CS288" s="36"/>
      <c r="CT288" s="36"/>
      <c r="CU288" s="36"/>
      <c r="CV288" s="36"/>
      <c r="CW288" s="36"/>
      <c r="CX288" s="37"/>
      <c r="CY288" s="44"/>
      <c r="CZ288" s="36"/>
      <c r="DA288" s="36"/>
      <c r="DB288" s="36"/>
      <c r="DC288" s="36"/>
      <c r="DD288" s="36"/>
      <c r="DE288" s="36"/>
      <c r="DF288" s="36"/>
      <c r="DG288" s="36"/>
      <c r="DH288" s="36"/>
      <c r="DI288" s="36"/>
      <c r="DJ288" s="36"/>
      <c r="DK288" s="36"/>
      <c r="DL288" s="36"/>
      <c r="DM288" s="36"/>
      <c r="DN288" s="36"/>
      <c r="DO288" s="37"/>
      <c r="DP288" s="44"/>
      <c r="DQ288" s="36"/>
      <c r="DR288" s="36"/>
      <c r="DS288" s="36"/>
      <c r="DT288" s="36"/>
      <c r="DU288" s="36"/>
      <c r="DV288" s="36"/>
      <c r="DW288" s="36"/>
      <c r="DX288" s="36"/>
      <c r="DY288" s="36"/>
      <c r="DZ288" s="36"/>
      <c r="EA288" s="36"/>
      <c r="EB288" s="36"/>
      <c r="EC288" s="36"/>
      <c r="ED288" s="36"/>
      <c r="EE288" s="36"/>
      <c r="EF288" s="37"/>
      <c r="EG288" s="44"/>
      <c r="EH288" s="36"/>
      <c r="EI288" s="36"/>
      <c r="EJ288" s="36"/>
      <c r="EK288" s="36"/>
      <c r="EL288" s="36"/>
      <c r="EM288" s="36"/>
      <c r="EN288" s="36"/>
      <c r="EO288" s="36"/>
      <c r="EP288" s="36"/>
      <c r="EQ288" s="36"/>
      <c r="ER288" s="36"/>
      <c r="ES288" s="36"/>
      <c r="ET288" s="36"/>
      <c r="EU288" s="36"/>
      <c r="EV288" s="36"/>
      <c r="EW288" s="37"/>
      <c r="EX288" s="44"/>
      <c r="EY288" s="36"/>
      <c r="EZ288" s="36"/>
      <c r="FA288" s="36"/>
      <c r="FB288" s="36"/>
      <c r="FC288" s="36"/>
      <c r="FD288" s="36"/>
      <c r="FE288" s="36"/>
      <c r="FF288" s="36"/>
      <c r="FG288" s="36"/>
      <c r="FH288" s="36"/>
      <c r="FI288" s="36"/>
      <c r="FJ288" s="36"/>
      <c r="FK288" s="36"/>
      <c r="FL288" s="36"/>
      <c r="FM288" s="36"/>
      <c r="FN288" s="37"/>
      <c r="FO288" s="44"/>
      <c r="FP288" s="36"/>
      <c r="FQ288" s="36"/>
      <c r="FR288" s="36"/>
      <c r="FS288" s="36"/>
      <c r="FT288" s="36"/>
      <c r="FU288" s="36"/>
      <c r="FV288" s="36"/>
      <c r="FW288" s="36"/>
      <c r="FX288" s="36"/>
      <c r="FY288" s="36"/>
      <c r="FZ288" s="36"/>
      <c r="GA288" s="36"/>
      <c r="GB288" s="36"/>
      <c r="GC288" s="36"/>
      <c r="GD288" s="36"/>
      <c r="GE288" s="37"/>
      <c r="GF288" s="44"/>
      <c r="GG288" s="36"/>
      <c r="GH288" s="36"/>
      <c r="GI288" s="36"/>
      <c r="GJ288" s="36"/>
      <c r="GK288" s="36"/>
      <c r="GL288" s="36"/>
      <c r="GM288" s="36"/>
      <c r="GN288" s="36"/>
      <c r="GO288" s="36"/>
      <c r="GP288" s="36"/>
      <c r="GQ288" s="36"/>
      <c r="GR288" s="36"/>
      <c r="GS288" s="36"/>
      <c r="GT288" s="36"/>
      <c r="GU288" s="36"/>
      <c r="GV288" s="37"/>
      <c r="GW288" s="44"/>
      <c r="GX288" s="36"/>
      <c r="GY288" s="36"/>
      <c r="GZ288" s="36"/>
      <c r="HA288" s="36"/>
      <c r="HB288" s="36"/>
      <c r="HC288" s="36"/>
      <c r="HD288" s="36"/>
      <c r="HE288" s="36"/>
      <c r="HF288" s="36"/>
      <c r="HG288" s="36"/>
      <c r="HH288" s="36"/>
      <c r="HI288" s="36"/>
      <c r="HJ288" s="36"/>
      <c r="HK288" s="36"/>
      <c r="HL288" s="36"/>
      <c r="HM288" s="37"/>
      <c r="HN288" s="44"/>
      <c r="HO288" s="36"/>
      <c r="HP288" s="36"/>
      <c r="HQ288" s="36"/>
      <c r="HR288" s="36"/>
      <c r="HS288" s="36"/>
      <c r="HT288" s="36"/>
      <c r="HU288" s="36"/>
      <c r="HV288" s="36"/>
      <c r="HW288" s="36"/>
      <c r="HX288" s="36"/>
      <c r="HY288" s="36"/>
      <c r="HZ288" s="36"/>
      <c r="IA288" s="36"/>
      <c r="IB288" s="36"/>
      <c r="IC288" s="36"/>
      <c r="ID288" s="37"/>
      <c r="IE288" s="44"/>
      <c r="IF288" s="36"/>
      <c r="IG288" s="36"/>
      <c r="IH288" s="36"/>
      <c r="II288" s="36"/>
      <c r="IJ288" s="36"/>
      <c r="IK288" s="36"/>
      <c r="IL288" s="36"/>
      <c r="IM288" s="36"/>
      <c r="IN288" s="36"/>
      <c r="IO288" s="36"/>
      <c r="IP288" s="36"/>
      <c r="IQ288" s="36"/>
      <c r="IR288" s="36"/>
      <c r="IS288" s="36"/>
      <c r="IT288" s="36"/>
      <c r="IU288" s="37"/>
      <c r="IV288" s="44"/>
      <c r="IW288" s="36"/>
      <c r="IX288" s="36"/>
      <c r="IY288" s="36"/>
      <c r="IZ288" s="36"/>
      <c r="JA288" s="36"/>
      <c r="JB288" s="36"/>
      <c r="JC288" s="36"/>
      <c r="JD288" s="36"/>
      <c r="JE288" s="36"/>
      <c r="JF288" s="36"/>
      <c r="JG288" s="36"/>
      <c r="JH288" s="36"/>
      <c r="JI288" s="36"/>
      <c r="JJ288" s="36"/>
      <c r="JK288" s="36"/>
      <c r="JL288" s="37"/>
      <c r="JM288" s="44"/>
      <c r="JN288" s="36"/>
      <c r="JO288" s="36"/>
      <c r="JP288" s="36"/>
      <c r="JQ288" s="36"/>
      <c r="JR288" s="36"/>
      <c r="JS288" s="36"/>
      <c r="JT288" s="36"/>
      <c r="JU288" s="36"/>
      <c r="JV288" s="36"/>
      <c r="JW288" s="36"/>
      <c r="JX288" s="36"/>
      <c r="JY288" s="36"/>
      <c r="JZ288" s="36"/>
      <c r="KA288" s="36"/>
      <c r="KB288" s="36"/>
      <c r="KC288" s="37"/>
      <c r="KD288" s="44"/>
      <c r="KE288" s="36"/>
      <c r="KF288" s="36"/>
      <c r="KG288" s="36"/>
      <c r="KH288" s="36"/>
      <c r="KI288" s="36"/>
      <c r="KJ288" s="36"/>
      <c r="KK288" s="36"/>
      <c r="KL288" s="36"/>
      <c r="KM288" s="36"/>
      <c r="KN288" s="36"/>
      <c r="KO288" s="36"/>
      <c r="KP288" s="36"/>
      <c r="KQ288" s="36"/>
      <c r="KR288" s="36"/>
      <c r="KS288" s="36"/>
      <c r="KT288" s="37"/>
      <c r="KU288" s="36"/>
    </row>
    <row r="289" ht="15.0" customHeight="1">
      <c r="A289" s="44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7"/>
      <c r="R289" s="44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7"/>
      <c r="AI289" s="44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  <c r="AU289" s="36"/>
      <c r="AV289" s="36"/>
      <c r="AW289" s="36"/>
      <c r="AX289" s="36"/>
      <c r="AY289" s="37"/>
      <c r="AZ289" s="44"/>
      <c r="BA289" s="36"/>
      <c r="BB289" s="36"/>
      <c r="BC289" s="36"/>
      <c r="BD289" s="36"/>
      <c r="BE289" s="36"/>
      <c r="BF289" s="36"/>
      <c r="BG289" s="36"/>
      <c r="BH289" s="36"/>
      <c r="BI289" s="36"/>
      <c r="BJ289" s="36"/>
      <c r="BK289" s="36"/>
      <c r="BL289" s="36"/>
      <c r="BM289" s="36"/>
      <c r="BN289" s="36"/>
      <c r="BO289" s="36"/>
      <c r="BP289" s="37"/>
      <c r="BQ289" s="44"/>
      <c r="BR289" s="36"/>
      <c r="BS289" s="36"/>
      <c r="BT289" s="36"/>
      <c r="BU289" s="36"/>
      <c r="BV289" s="36"/>
      <c r="BW289" s="36"/>
      <c r="BX289" s="36"/>
      <c r="BY289" s="36"/>
      <c r="BZ289" s="36"/>
      <c r="CA289" s="36"/>
      <c r="CB289" s="36"/>
      <c r="CC289" s="36"/>
      <c r="CD289" s="36"/>
      <c r="CE289" s="36"/>
      <c r="CF289" s="36"/>
      <c r="CG289" s="37"/>
      <c r="CH289" s="44"/>
      <c r="CI289" s="36"/>
      <c r="CJ289" s="36"/>
      <c r="CK289" s="36"/>
      <c r="CL289" s="36"/>
      <c r="CM289" s="36"/>
      <c r="CN289" s="36"/>
      <c r="CO289" s="36"/>
      <c r="CP289" s="36"/>
      <c r="CQ289" s="36"/>
      <c r="CR289" s="36"/>
      <c r="CS289" s="36"/>
      <c r="CT289" s="36"/>
      <c r="CU289" s="36"/>
      <c r="CV289" s="36"/>
      <c r="CW289" s="36"/>
      <c r="CX289" s="37"/>
      <c r="CY289" s="44"/>
      <c r="CZ289" s="36"/>
      <c r="DA289" s="36"/>
      <c r="DB289" s="36"/>
      <c r="DC289" s="36"/>
      <c r="DD289" s="36"/>
      <c r="DE289" s="36"/>
      <c r="DF289" s="36"/>
      <c r="DG289" s="36"/>
      <c r="DH289" s="36"/>
      <c r="DI289" s="36"/>
      <c r="DJ289" s="36"/>
      <c r="DK289" s="36"/>
      <c r="DL289" s="36"/>
      <c r="DM289" s="36"/>
      <c r="DN289" s="36"/>
      <c r="DO289" s="37"/>
      <c r="DP289" s="44"/>
      <c r="DQ289" s="36"/>
      <c r="DR289" s="36"/>
      <c r="DS289" s="36"/>
      <c r="DT289" s="36"/>
      <c r="DU289" s="36"/>
      <c r="DV289" s="36"/>
      <c r="DW289" s="36"/>
      <c r="DX289" s="36"/>
      <c r="DY289" s="36"/>
      <c r="DZ289" s="36"/>
      <c r="EA289" s="36"/>
      <c r="EB289" s="36"/>
      <c r="EC289" s="36"/>
      <c r="ED289" s="36"/>
      <c r="EE289" s="36"/>
      <c r="EF289" s="37"/>
      <c r="EG289" s="44"/>
      <c r="EH289" s="36"/>
      <c r="EI289" s="36"/>
      <c r="EJ289" s="36"/>
      <c r="EK289" s="36"/>
      <c r="EL289" s="36"/>
      <c r="EM289" s="36"/>
      <c r="EN289" s="36"/>
      <c r="EO289" s="36"/>
      <c r="EP289" s="36"/>
      <c r="EQ289" s="36"/>
      <c r="ER289" s="36"/>
      <c r="ES289" s="36"/>
      <c r="ET289" s="36"/>
      <c r="EU289" s="36"/>
      <c r="EV289" s="36"/>
      <c r="EW289" s="37"/>
      <c r="EX289" s="44"/>
      <c r="EY289" s="36"/>
      <c r="EZ289" s="36"/>
      <c r="FA289" s="36"/>
      <c r="FB289" s="36"/>
      <c r="FC289" s="36"/>
      <c r="FD289" s="36"/>
      <c r="FE289" s="36"/>
      <c r="FF289" s="36"/>
      <c r="FG289" s="36"/>
      <c r="FH289" s="36"/>
      <c r="FI289" s="36"/>
      <c r="FJ289" s="36"/>
      <c r="FK289" s="36"/>
      <c r="FL289" s="36"/>
      <c r="FM289" s="36"/>
      <c r="FN289" s="37"/>
      <c r="FO289" s="44"/>
      <c r="FP289" s="36"/>
      <c r="FQ289" s="36"/>
      <c r="FR289" s="36"/>
      <c r="FS289" s="36"/>
      <c r="FT289" s="36"/>
      <c r="FU289" s="36"/>
      <c r="FV289" s="36"/>
      <c r="FW289" s="36"/>
      <c r="FX289" s="36"/>
      <c r="FY289" s="36"/>
      <c r="FZ289" s="36"/>
      <c r="GA289" s="36"/>
      <c r="GB289" s="36"/>
      <c r="GC289" s="36"/>
      <c r="GD289" s="36"/>
      <c r="GE289" s="37"/>
      <c r="GF289" s="44"/>
      <c r="GG289" s="36"/>
      <c r="GH289" s="36"/>
      <c r="GI289" s="36"/>
      <c r="GJ289" s="36"/>
      <c r="GK289" s="36"/>
      <c r="GL289" s="36"/>
      <c r="GM289" s="36"/>
      <c r="GN289" s="36"/>
      <c r="GO289" s="36"/>
      <c r="GP289" s="36"/>
      <c r="GQ289" s="36"/>
      <c r="GR289" s="36"/>
      <c r="GS289" s="36"/>
      <c r="GT289" s="36"/>
      <c r="GU289" s="36"/>
      <c r="GV289" s="37"/>
      <c r="GW289" s="44"/>
      <c r="GX289" s="36"/>
      <c r="GY289" s="36"/>
      <c r="GZ289" s="36"/>
      <c r="HA289" s="36"/>
      <c r="HB289" s="36"/>
      <c r="HC289" s="36"/>
      <c r="HD289" s="36"/>
      <c r="HE289" s="36"/>
      <c r="HF289" s="36"/>
      <c r="HG289" s="36"/>
      <c r="HH289" s="36"/>
      <c r="HI289" s="36"/>
      <c r="HJ289" s="36"/>
      <c r="HK289" s="36"/>
      <c r="HL289" s="36"/>
      <c r="HM289" s="37"/>
      <c r="HN289" s="44"/>
      <c r="HO289" s="36"/>
      <c r="HP289" s="36"/>
      <c r="HQ289" s="36"/>
      <c r="HR289" s="36"/>
      <c r="HS289" s="36"/>
      <c r="HT289" s="36"/>
      <c r="HU289" s="36"/>
      <c r="HV289" s="36"/>
      <c r="HW289" s="36"/>
      <c r="HX289" s="36"/>
      <c r="HY289" s="36"/>
      <c r="HZ289" s="36"/>
      <c r="IA289" s="36"/>
      <c r="IB289" s="36"/>
      <c r="IC289" s="36"/>
      <c r="ID289" s="37"/>
      <c r="IE289" s="44"/>
      <c r="IF289" s="36"/>
      <c r="IG289" s="36"/>
      <c r="IH289" s="36"/>
      <c r="II289" s="36"/>
      <c r="IJ289" s="36"/>
      <c r="IK289" s="36"/>
      <c r="IL289" s="36"/>
      <c r="IM289" s="36"/>
      <c r="IN289" s="36"/>
      <c r="IO289" s="36"/>
      <c r="IP289" s="36"/>
      <c r="IQ289" s="36"/>
      <c r="IR289" s="36"/>
      <c r="IS289" s="36"/>
      <c r="IT289" s="36"/>
      <c r="IU289" s="37"/>
      <c r="IV289" s="44"/>
      <c r="IW289" s="36"/>
      <c r="IX289" s="36"/>
      <c r="IY289" s="36"/>
      <c r="IZ289" s="36"/>
      <c r="JA289" s="36"/>
      <c r="JB289" s="36"/>
      <c r="JC289" s="36"/>
      <c r="JD289" s="36"/>
      <c r="JE289" s="36"/>
      <c r="JF289" s="36"/>
      <c r="JG289" s="36"/>
      <c r="JH289" s="36"/>
      <c r="JI289" s="36"/>
      <c r="JJ289" s="36"/>
      <c r="JK289" s="36"/>
      <c r="JL289" s="37"/>
      <c r="JM289" s="44"/>
      <c r="JN289" s="36"/>
      <c r="JO289" s="36"/>
      <c r="JP289" s="36"/>
      <c r="JQ289" s="36"/>
      <c r="JR289" s="36"/>
      <c r="JS289" s="36"/>
      <c r="JT289" s="36"/>
      <c r="JU289" s="36"/>
      <c r="JV289" s="36"/>
      <c r="JW289" s="36"/>
      <c r="JX289" s="36"/>
      <c r="JY289" s="36"/>
      <c r="JZ289" s="36"/>
      <c r="KA289" s="36"/>
      <c r="KB289" s="36"/>
      <c r="KC289" s="37"/>
      <c r="KD289" s="44"/>
      <c r="KE289" s="36"/>
      <c r="KF289" s="36"/>
      <c r="KG289" s="36"/>
      <c r="KH289" s="36"/>
      <c r="KI289" s="36"/>
      <c r="KJ289" s="36"/>
      <c r="KK289" s="36"/>
      <c r="KL289" s="36"/>
      <c r="KM289" s="36"/>
      <c r="KN289" s="36"/>
      <c r="KO289" s="36"/>
      <c r="KP289" s="36"/>
      <c r="KQ289" s="36"/>
      <c r="KR289" s="36"/>
      <c r="KS289" s="36"/>
      <c r="KT289" s="37"/>
      <c r="KU289" s="36"/>
    </row>
    <row r="290" ht="15.0" customHeight="1">
      <c r="A290" s="44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7"/>
      <c r="R290" s="44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7"/>
      <c r="AI290" s="44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36"/>
      <c r="AU290" s="36"/>
      <c r="AV290" s="36"/>
      <c r="AW290" s="36"/>
      <c r="AX290" s="36"/>
      <c r="AY290" s="37"/>
      <c r="AZ290" s="44"/>
      <c r="BA290" s="36"/>
      <c r="BB290" s="36"/>
      <c r="BC290" s="36"/>
      <c r="BD290" s="36"/>
      <c r="BE290" s="36"/>
      <c r="BF290" s="36"/>
      <c r="BG290" s="36"/>
      <c r="BH290" s="36"/>
      <c r="BI290" s="36"/>
      <c r="BJ290" s="36"/>
      <c r="BK290" s="36"/>
      <c r="BL290" s="36"/>
      <c r="BM290" s="36"/>
      <c r="BN290" s="36"/>
      <c r="BO290" s="36"/>
      <c r="BP290" s="37"/>
      <c r="BQ290" s="44"/>
      <c r="BR290" s="36"/>
      <c r="BS290" s="36"/>
      <c r="BT290" s="36"/>
      <c r="BU290" s="36"/>
      <c r="BV290" s="36"/>
      <c r="BW290" s="36"/>
      <c r="BX290" s="36"/>
      <c r="BY290" s="36"/>
      <c r="BZ290" s="36"/>
      <c r="CA290" s="36"/>
      <c r="CB290" s="36"/>
      <c r="CC290" s="36"/>
      <c r="CD290" s="36"/>
      <c r="CE290" s="36"/>
      <c r="CF290" s="36"/>
      <c r="CG290" s="37"/>
      <c r="CH290" s="44"/>
      <c r="CI290" s="36"/>
      <c r="CJ290" s="36"/>
      <c r="CK290" s="36"/>
      <c r="CL290" s="36"/>
      <c r="CM290" s="36"/>
      <c r="CN290" s="36"/>
      <c r="CO290" s="36"/>
      <c r="CP290" s="36"/>
      <c r="CQ290" s="36"/>
      <c r="CR290" s="36"/>
      <c r="CS290" s="36"/>
      <c r="CT290" s="36"/>
      <c r="CU290" s="36"/>
      <c r="CV290" s="36"/>
      <c r="CW290" s="36"/>
      <c r="CX290" s="37"/>
      <c r="CY290" s="44"/>
      <c r="CZ290" s="36"/>
      <c r="DA290" s="36"/>
      <c r="DB290" s="36"/>
      <c r="DC290" s="36"/>
      <c r="DD290" s="36"/>
      <c r="DE290" s="36"/>
      <c r="DF290" s="36"/>
      <c r="DG290" s="36"/>
      <c r="DH290" s="36"/>
      <c r="DI290" s="36"/>
      <c r="DJ290" s="36"/>
      <c r="DK290" s="36"/>
      <c r="DL290" s="36"/>
      <c r="DM290" s="36"/>
      <c r="DN290" s="36"/>
      <c r="DO290" s="37"/>
      <c r="DP290" s="44"/>
      <c r="DQ290" s="36"/>
      <c r="DR290" s="36"/>
      <c r="DS290" s="36"/>
      <c r="DT290" s="36"/>
      <c r="DU290" s="36"/>
      <c r="DV290" s="36"/>
      <c r="DW290" s="36"/>
      <c r="DX290" s="36"/>
      <c r="DY290" s="36"/>
      <c r="DZ290" s="36"/>
      <c r="EA290" s="36"/>
      <c r="EB290" s="36"/>
      <c r="EC290" s="36"/>
      <c r="ED290" s="36"/>
      <c r="EE290" s="36"/>
      <c r="EF290" s="37"/>
      <c r="EG290" s="44"/>
      <c r="EH290" s="36"/>
      <c r="EI290" s="36"/>
      <c r="EJ290" s="36"/>
      <c r="EK290" s="36"/>
      <c r="EL290" s="36"/>
      <c r="EM290" s="36"/>
      <c r="EN290" s="36"/>
      <c r="EO290" s="36"/>
      <c r="EP290" s="36"/>
      <c r="EQ290" s="36"/>
      <c r="ER290" s="36"/>
      <c r="ES290" s="36"/>
      <c r="ET290" s="36"/>
      <c r="EU290" s="36"/>
      <c r="EV290" s="36"/>
      <c r="EW290" s="37"/>
      <c r="EX290" s="44"/>
      <c r="EY290" s="36"/>
      <c r="EZ290" s="36"/>
      <c r="FA290" s="36"/>
      <c r="FB290" s="36"/>
      <c r="FC290" s="36"/>
      <c r="FD290" s="36"/>
      <c r="FE290" s="36"/>
      <c r="FF290" s="36"/>
      <c r="FG290" s="36"/>
      <c r="FH290" s="36"/>
      <c r="FI290" s="36"/>
      <c r="FJ290" s="36"/>
      <c r="FK290" s="36"/>
      <c r="FL290" s="36"/>
      <c r="FM290" s="36"/>
      <c r="FN290" s="37"/>
      <c r="FO290" s="44"/>
      <c r="FP290" s="36"/>
      <c r="FQ290" s="36"/>
      <c r="FR290" s="36"/>
      <c r="FS290" s="36"/>
      <c r="FT290" s="36"/>
      <c r="FU290" s="36"/>
      <c r="FV290" s="36"/>
      <c r="FW290" s="36"/>
      <c r="FX290" s="36"/>
      <c r="FY290" s="36"/>
      <c r="FZ290" s="36"/>
      <c r="GA290" s="36"/>
      <c r="GB290" s="36"/>
      <c r="GC290" s="36"/>
      <c r="GD290" s="36"/>
      <c r="GE290" s="37"/>
      <c r="GF290" s="44"/>
      <c r="GG290" s="36"/>
      <c r="GH290" s="36"/>
      <c r="GI290" s="36"/>
      <c r="GJ290" s="36"/>
      <c r="GK290" s="36"/>
      <c r="GL290" s="36"/>
      <c r="GM290" s="36"/>
      <c r="GN290" s="36"/>
      <c r="GO290" s="36"/>
      <c r="GP290" s="36"/>
      <c r="GQ290" s="36"/>
      <c r="GR290" s="36"/>
      <c r="GS290" s="36"/>
      <c r="GT290" s="36"/>
      <c r="GU290" s="36"/>
      <c r="GV290" s="37"/>
      <c r="GW290" s="44"/>
      <c r="GX290" s="36"/>
      <c r="GY290" s="36"/>
      <c r="GZ290" s="36"/>
      <c r="HA290" s="36"/>
      <c r="HB290" s="36"/>
      <c r="HC290" s="36"/>
      <c r="HD290" s="36"/>
      <c r="HE290" s="36"/>
      <c r="HF290" s="36"/>
      <c r="HG290" s="36"/>
      <c r="HH290" s="36"/>
      <c r="HI290" s="36"/>
      <c r="HJ290" s="36"/>
      <c r="HK290" s="36"/>
      <c r="HL290" s="36"/>
      <c r="HM290" s="37"/>
      <c r="HN290" s="44"/>
      <c r="HO290" s="36"/>
      <c r="HP290" s="36"/>
      <c r="HQ290" s="36"/>
      <c r="HR290" s="36"/>
      <c r="HS290" s="36"/>
      <c r="HT290" s="36"/>
      <c r="HU290" s="36"/>
      <c r="HV290" s="36"/>
      <c r="HW290" s="36"/>
      <c r="HX290" s="36"/>
      <c r="HY290" s="36"/>
      <c r="HZ290" s="36"/>
      <c r="IA290" s="36"/>
      <c r="IB290" s="36"/>
      <c r="IC290" s="36"/>
      <c r="ID290" s="37"/>
      <c r="IE290" s="44"/>
      <c r="IF290" s="36"/>
      <c r="IG290" s="36"/>
      <c r="IH290" s="36"/>
      <c r="II290" s="36"/>
      <c r="IJ290" s="36"/>
      <c r="IK290" s="36"/>
      <c r="IL290" s="36"/>
      <c r="IM290" s="36"/>
      <c r="IN290" s="36"/>
      <c r="IO290" s="36"/>
      <c r="IP290" s="36"/>
      <c r="IQ290" s="36"/>
      <c r="IR290" s="36"/>
      <c r="IS290" s="36"/>
      <c r="IT290" s="36"/>
      <c r="IU290" s="37"/>
      <c r="IV290" s="44"/>
      <c r="IW290" s="36"/>
      <c r="IX290" s="36"/>
      <c r="IY290" s="36"/>
      <c r="IZ290" s="36"/>
      <c r="JA290" s="36"/>
      <c r="JB290" s="36"/>
      <c r="JC290" s="36"/>
      <c r="JD290" s="36"/>
      <c r="JE290" s="36"/>
      <c r="JF290" s="36"/>
      <c r="JG290" s="36"/>
      <c r="JH290" s="36"/>
      <c r="JI290" s="36"/>
      <c r="JJ290" s="36"/>
      <c r="JK290" s="36"/>
      <c r="JL290" s="37"/>
      <c r="JM290" s="44"/>
      <c r="JN290" s="36"/>
      <c r="JO290" s="36"/>
      <c r="JP290" s="36"/>
      <c r="JQ290" s="36"/>
      <c r="JR290" s="36"/>
      <c r="JS290" s="36"/>
      <c r="JT290" s="36"/>
      <c r="JU290" s="36"/>
      <c r="JV290" s="36"/>
      <c r="JW290" s="36"/>
      <c r="JX290" s="36"/>
      <c r="JY290" s="36"/>
      <c r="JZ290" s="36"/>
      <c r="KA290" s="36"/>
      <c r="KB290" s="36"/>
      <c r="KC290" s="37"/>
      <c r="KD290" s="44"/>
      <c r="KE290" s="36"/>
      <c r="KF290" s="36"/>
      <c r="KG290" s="36"/>
      <c r="KH290" s="36"/>
      <c r="KI290" s="36"/>
      <c r="KJ290" s="36"/>
      <c r="KK290" s="36"/>
      <c r="KL290" s="36"/>
      <c r="KM290" s="36"/>
      <c r="KN290" s="36"/>
      <c r="KO290" s="36"/>
      <c r="KP290" s="36"/>
      <c r="KQ290" s="36"/>
      <c r="KR290" s="36"/>
      <c r="KS290" s="36"/>
      <c r="KT290" s="37"/>
      <c r="KU290" s="36"/>
    </row>
    <row r="291" ht="15.0" customHeight="1">
      <c r="A291" s="44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7"/>
      <c r="R291" s="44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7"/>
      <c r="AI291" s="44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  <c r="AU291" s="36"/>
      <c r="AV291" s="36"/>
      <c r="AW291" s="36"/>
      <c r="AX291" s="36"/>
      <c r="AY291" s="37"/>
      <c r="AZ291" s="44"/>
      <c r="BA291" s="36"/>
      <c r="BB291" s="36"/>
      <c r="BC291" s="36"/>
      <c r="BD291" s="36"/>
      <c r="BE291" s="36"/>
      <c r="BF291" s="36"/>
      <c r="BG291" s="36"/>
      <c r="BH291" s="36"/>
      <c r="BI291" s="36"/>
      <c r="BJ291" s="36"/>
      <c r="BK291" s="36"/>
      <c r="BL291" s="36"/>
      <c r="BM291" s="36"/>
      <c r="BN291" s="36"/>
      <c r="BO291" s="36"/>
      <c r="BP291" s="37"/>
      <c r="BQ291" s="44"/>
      <c r="BR291" s="36"/>
      <c r="BS291" s="36"/>
      <c r="BT291" s="36"/>
      <c r="BU291" s="36"/>
      <c r="BV291" s="36"/>
      <c r="BW291" s="36"/>
      <c r="BX291" s="36"/>
      <c r="BY291" s="36"/>
      <c r="BZ291" s="36"/>
      <c r="CA291" s="36"/>
      <c r="CB291" s="36"/>
      <c r="CC291" s="36"/>
      <c r="CD291" s="36"/>
      <c r="CE291" s="36"/>
      <c r="CF291" s="36"/>
      <c r="CG291" s="37"/>
      <c r="CH291" s="44"/>
      <c r="CI291" s="36"/>
      <c r="CJ291" s="36"/>
      <c r="CK291" s="36"/>
      <c r="CL291" s="36"/>
      <c r="CM291" s="36"/>
      <c r="CN291" s="36"/>
      <c r="CO291" s="36"/>
      <c r="CP291" s="36"/>
      <c r="CQ291" s="36"/>
      <c r="CR291" s="36"/>
      <c r="CS291" s="36"/>
      <c r="CT291" s="36"/>
      <c r="CU291" s="36"/>
      <c r="CV291" s="36"/>
      <c r="CW291" s="36"/>
      <c r="CX291" s="37"/>
      <c r="CY291" s="44"/>
      <c r="CZ291" s="36"/>
      <c r="DA291" s="36"/>
      <c r="DB291" s="36"/>
      <c r="DC291" s="36"/>
      <c r="DD291" s="36"/>
      <c r="DE291" s="36"/>
      <c r="DF291" s="36"/>
      <c r="DG291" s="36"/>
      <c r="DH291" s="36"/>
      <c r="DI291" s="36"/>
      <c r="DJ291" s="36"/>
      <c r="DK291" s="36"/>
      <c r="DL291" s="36"/>
      <c r="DM291" s="36"/>
      <c r="DN291" s="36"/>
      <c r="DO291" s="37"/>
      <c r="DP291" s="44"/>
      <c r="DQ291" s="36"/>
      <c r="DR291" s="36"/>
      <c r="DS291" s="36"/>
      <c r="DT291" s="36"/>
      <c r="DU291" s="36"/>
      <c r="DV291" s="36"/>
      <c r="DW291" s="36"/>
      <c r="DX291" s="36"/>
      <c r="DY291" s="36"/>
      <c r="DZ291" s="36"/>
      <c r="EA291" s="36"/>
      <c r="EB291" s="36"/>
      <c r="EC291" s="36"/>
      <c r="ED291" s="36"/>
      <c r="EE291" s="36"/>
      <c r="EF291" s="37"/>
      <c r="EG291" s="44"/>
      <c r="EH291" s="36"/>
      <c r="EI291" s="36"/>
      <c r="EJ291" s="36"/>
      <c r="EK291" s="36"/>
      <c r="EL291" s="36"/>
      <c r="EM291" s="36"/>
      <c r="EN291" s="36"/>
      <c r="EO291" s="36"/>
      <c r="EP291" s="36"/>
      <c r="EQ291" s="36"/>
      <c r="ER291" s="36"/>
      <c r="ES291" s="36"/>
      <c r="ET291" s="36"/>
      <c r="EU291" s="36"/>
      <c r="EV291" s="36"/>
      <c r="EW291" s="37"/>
      <c r="EX291" s="44"/>
      <c r="EY291" s="36"/>
      <c r="EZ291" s="36"/>
      <c r="FA291" s="36"/>
      <c r="FB291" s="36"/>
      <c r="FC291" s="36"/>
      <c r="FD291" s="36"/>
      <c r="FE291" s="36"/>
      <c r="FF291" s="36"/>
      <c r="FG291" s="36"/>
      <c r="FH291" s="36"/>
      <c r="FI291" s="36"/>
      <c r="FJ291" s="36"/>
      <c r="FK291" s="36"/>
      <c r="FL291" s="36"/>
      <c r="FM291" s="36"/>
      <c r="FN291" s="37"/>
      <c r="FO291" s="44"/>
      <c r="FP291" s="36"/>
      <c r="FQ291" s="36"/>
      <c r="FR291" s="36"/>
      <c r="FS291" s="36"/>
      <c r="FT291" s="36"/>
      <c r="FU291" s="36"/>
      <c r="FV291" s="36"/>
      <c r="FW291" s="36"/>
      <c r="FX291" s="36"/>
      <c r="FY291" s="36"/>
      <c r="FZ291" s="36"/>
      <c r="GA291" s="36"/>
      <c r="GB291" s="36"/>
      <c r="GC291" s="36"/>
      <c r="GD291" s="36"/>
      <c r="GE291" s="37"/>
      <c r="GF291" s="44"/>
      <c r="GG291" s="36"/>
      <c r="GH291" s="36"/>
      <c r="GI291" s="36"/>
      <c r="GJ291" s="36"/>
      <c r="GK291" s="36"/>
      <c r="GL291" s="36"/>
      <c r="GM291" s="36"/>
      <c r="GN291" s="36"/>
      <c r="GO291" s="36"/>
      <c r="GP291" s="36"/>
      <c r="GQ291" s="36"/>
      <c r="GR291" s="36"/>
      <c r="GS291" s="36"/>
      <c r="GT291" s="36"/>
      <c r="GU291" s="36"/>
      <c r="GV291" s="37"/>
      <c r="GW291" s="44"/>
      <c r="GX291" s="36"/>
      <c r="GY291" s="36"/>
      <c r="GZ291" s="36"/>
      <c r="HA291" s="36"/>
      <c r="HB291" s="36"/>
      <c r="HC291" s="36"/>
      <c r="HD291" s="36"/>
      <c r="HE291" s="36"/>
      <c r="HF291" s="36"/>
      <c r="HG291" s="36"/>
      <c r="HH291" s="36"/>
      <c r="HI291" s="36"/>
      <c r="HJ291" s="36"/>
      <c r="HK291" s="36"/>
      <c r="HL291" s="36"/>
      <c r="HM291" s="37"/>
      <c r="HN291" s="44"/>
      <c r="HO291" s="36"/>
      <c r="HP291" s="36"/>
      <c r="HQ291" s="36"/>
      <c r="HR291" s="36"/>
      <c r="HS291" s="36"/>
      <c r="HT291" s="36"/>
      <c r="HU291" s="36"/>
      <c r="HV291" s="36"/>
      <c r="HW291" s="36"/>
      <c r="HX291" s="36"/>
      <c r="HY291" s="36"/>
      <c r="HZ291" s="36"/>
      <c r="IA291" s="36"/>
      <c r="IB291" s="36"/>
      <c r="IC291" s="36"/>
      <c r="ID291" s="37"/>
      <c r="IE291" s="44"/>
      <c r="IF291" s="36"/>
      <c r="IG291" s="36"/>
      <c r="IH291" s="36"/>
      <c r="II291" s="36"/>
      <c r="IJ291" s="36"/>
      <c r="IK291" s="36"/>
      <c r="IL291" s="36"/>
      <c r="IM291" s="36"/>
      <c r="IN291" s="36"/>
      <c r="IO291" s="36"/>
      <c r="IP291" s="36"/>
      <c r="IQ291" s="36"/>
      <c r="IR291" s="36"/>
      <c r="IS291" s="36"/>
      <c r="IT291" s="36"/>
      <c r="IU291" s="37"/>
      <c r="IV291" s="44"/>
      <c r="IW291" s="36"/>
      <c r="IX291" s="36"/>
      <c r="IY291" s="36"/>
      <c r="IZ291" s="36"/>
      <c r="JA291" s="36"/>
      <c r="JB291" s="36"/>
      <c r="JC291" s="36"/>
      <c r="JD291" s="36"/>
      <c r="JE291" s="36"/>
      <c r="JF291" s="36"/>
      <c r="JG291" s="36"/>
      <c r="JH291" s="36"/>
      <c r="JI291" s="36"/>
      <c r="JJ291" s="36"/>
      <c r="JK291" s="36"/>
      <c r="JL291" s="37"/>
      <c r="JM291" s="44"/>
      <c r="JN291" s="36"/>
      <c r="JO291" s="36"/>
      <c r="JP291" s="36"/>
      <c r="JQ291" s="36"/>
      <c r="JR291" s="36"/>
      <c r="JS291" s="36"/>
      <c r="JT291" s="36"/>
      <c r="JU291" s="36"/>
      <c r="JV291" s="36"/>
      <c r="JW291" s="36"/>
      <c r="JX291" s="36"/>
      <c r="JY291" s="36"/>
      <c r="JZ291" s="36"/>
      <c r="KA291" s="36"/>
      <c r="KB291" s="36"/>
      <c r="KC291" s="37"/>
      <c r="KD291" s="44"/>
      <c r="KE291" s="36"/>
      <c r="KF291" s="36"/>
      <c r="KG291" s="36"/>
      <c r="KH291" s="36"/>
      <c r="KI291" s="36"/>
      <c r="KJ291" s="36"/>
      <c r="KK291" s="36"/>
      <c r="KL291" s="36"/>
      <c r="KM291" s="36"/>
      <c r="KN291" s="36"/>
      <c r="KO291" s="36"/>
      <c r="KP291" s="36"/>
      <c r="KQ291" s="36"/>
      <c r="KR291" s="36"/>
      <c r="KS291" s="36"/>
      <c r="KT291" s="37"/>
      <c r="KU291" s="36"/>
    </row>
    <row r="292" ht="15.0" customHeight="1">
      <c r="A292" s="44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7"/>
      <c r="R292" s="44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7"/>
      <c r="AI292" s="44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  <c r="AU292" s="36"/>
      <c r="AV292" s="36"/>
      <c r="AW292" s="36"/>
      <c r="AX292" s="36"/>
      <c r="AY292" s="37"/>
      <c r="AZ292" s="44"/>
      <c r="BA292" s="36"/>
      <c r="BB292" s="36"/>
      <c r="BC292" s="36"/>
      <c r="BD292" s="36"/>
      <c r="BE292" s="36"/>
      <c r="BF292" s="36"/>
      <c r="BG292" s="36"/>
      <c r="BH292" s="36"/>
      <c r="BI292" s="36"/>
      <c r="BJ292" s="36"/>
      <c r="BK292" s="36"/>
      <c r="BL292" s="36"/>
      <c r="BM292" s="36"/>
      <c r="BN292" s="36"/>
      <c r="BO292" s="36"/>
      <c r="BP292" s="37"/>
      <c r="BQ292" s="44"/>
      <c r="BR292" s="36"/>
      <c r="BS292" s="36"/>
      <c r="BT292" s="36"/>
      <c r="BU292" s="36"/>
      <c r="BV292" s="36"/>
      <c r="BW292" s="36"/>
      <c r="BX292" s="36"/>
      <c r="BY292" s="36"/>
      <c r="BZ292" s="36"/>
      <c r="CA292" s="36"/>
      <c r="CB292" s="36"/>
      <c r="CC292" s="36"/>
      <c r="CD292" s="36"/>
      <c r="CE292" s="36"/>
      <c r="CF292" s="36"/>
      <c r="CG292" s="37"/>
      <c r="CH292" s="44"/>
      <c r="CI292" s="36"/>
      <c r="CJ292" s="36"/>
      <c r="CK292" s="36"/>
      <c r="CL292" s="36"/>
      <c r="CM292" s="36"/>
      <c r="CN292" s="36"/>
      <c r="CO292" s="36"/>
      <c r="CP292" s="36"/>
      <c r="CQ292" s="36"/>
      <c r="CR292" s="36"/>
      <c r="CS292" s="36"/>
      <c r="CT292" s="36"/>
      <c r="CU292" s="36"/>
      <c r="CV292" s="36"/>
      <c r="CW292" s="36"/>
      <c r="CX292" s="37"/>
      <c r="CY292" s="44"/>
      <c r="CZ292" s="36"/>
      <c r="DA292" s="36"/>
      <c r="DB292" s="36"/>
      <c r="DC292" s="36"/>
      <c r="DD292" s="36"/>
      <c r="DE292" s="36"/>
      <c r="DF292" s="36"/>
      <c r="DG292" s="36"/>
      <c r="DH292" s="36"/>
      <c r="DI292" s="36"/>
      <c r="DJ292" s="36"/>
      <c r="DK292" s="36"/>
      <c r="DL292" s="36"/>
      <c r="DM292" s="36"/>
      <c r="DN292" s="36"/>
      <c r="DO292" s="37"/>
      <c r="DP292" s="44"/>
      <c r="DQ292" s="36"/>
      <c r="DR292" s="36"/>
      <c r="DS292" s="36"/>
      <c r="DT292" s="36"/>
      <c r="DU292" s="36"/>
      <c r="DV292" s="36"/>
      <c r="DW292" s="36"/>
      <c r="DX292" s="36"/>
      <c r="DY292" s="36"/>
      <c r="DZ292" s="36"/>
      <c r="EA292" s="36"/>
      <c r="EB292" s="36"/>
      <c r="EC292" s="36"/>
      <c r="ED292" s="36"/>
      <c r="EE292" s="36"/>
      <c r="EF292" s="37"/>
      <c r="EG292" s="44"/>
      <c r="EH292" s="36"/>
      <c r="EI292" s="36"/>
      <c r="EJ292" s="36"/>
      <c r="EK292" s="36"/>
      <c r="EL292" s="36"/>
      <c r="EM292" s="36"/>
      <c r="EN292" s="36"/>
      <c r="EO292" s="36"/>
      <c r="EP292" s="36"/>
      <c r="EQ292" s="36"/>
      <c r="ER292" s="36"/>
      <c r="ES292" s="36"/>
      <c r="ET292" s="36"/>
      <c r="EU292" s="36"/>
      <c r="EV292" s="36"/>
      <c r="EW292" s="37"/>
      <c r="EX292" s="44"/>
      <c r="EY292" s="36"/>
      <c r="EZ292" s="36"/>
      <c r="FA292" s="36"/>
      <c r="FB292" s="36"/>
      <c r="FC292" s="36"/>
      <c r="FD292" s="36"/>
      <c r="FE292" s="36"/>
      <c r="FF292" s="36"/>
      <c r="FG292" s="36"/>
      <c r="FH292" s="36"/>
      <c r="FI292" s="36"/>
      <c r="FJ292" s="36"/>
      <c r="FK292" s="36"/>
      <c r="FL292" s="36"/>
      <c r="FM292" s="36"/>
      <c r="FN292" s="37"/>
      <c r="FO292" s="44"/>
      <c r="FP292" s="36"/>
      <c r="FQ292" s="36"/>
      <c r="FR292" s="36"/>
      <c r="FS292" s="36"/>
      <c r="FT292" s="36"/>
      <c r="FU292" s="36"/>
      <c r="FV292" s="36"/>
      <c r="FW292" s="36"/>
      <c r="FX292" s="36"/>
      <c r="FY292" s="36"/>
      <c r="FZ292" s="36"/>
      <c r="GA292" s="36"/>
      <c r="GB292" s="36"/>
      <c r="GC292" s="36"/>
      <c r="GD292" s="36"/>
      <c r="GE292" s="37"/>
      <c r="GF292" s="44"/>
      <c r="GG292" s="36"/>
      <c r="GH292" s="36"/>
      <c r="GI292" s="36"/>
      <c r="GJ292" s="36"/>
      <c r="GK292" s="36"/>
      <c r="GL292" s="36"/>
      <c r="GM292" s="36"/>
      <c r="GN292" s="36"/>
      <c r="GO292" s="36"/>
      <c r="GP292" s="36"/>
      <c r="GQ292" s="36"/>
      <c r="GR292" s="36"/>
      <c r="GS292" s="36"/>
      <c r="GT292" s="36"/>
      <c r="GU292" s="36"/>
      <c r="GV292" s="37"/>
      <c r="GW292" s="44"/>
      <c r="GX292" s="36"/>
      <c r="GY292" s="36"/>
      <c r="GZ292" s="36"/>
      <c r="HA292" s="36"/>
      <c r="HB292" s="36"/>
      <c r="HC292" s="36"/>
      <c r="HD292" s="36"/>
      <c r="HE292" s="36"/>
      <c r="HF292" s="36"/>
      <c r="HG292" s="36"/>
      <c r="HH292" s="36"/>
      <c r="HI292" s="36"/>
      <c r="HJ292" s="36"/>
      <c r="HK292" s="36"/>
      <c r="HL292" s="36"/>
      <c r="HM292" s="37"/>
      <c r="HN292" s="44"/>
      <c r="HO292" s="36"/>
      <c r="HP292" s="36"/>
      <c r="HQ292" s="36"/>
      <c r="HR292" s="36"/>
      <c r="HS292" s="36"/>
      <c r="HT292" s="36"/>
      <c r="HU292" s="36"/>
      <c r="HV292" s="36"/>
      <c r="HW292" s="36"/>
      <c r="HX292" s="36"/>
      <c r="HY292" s="36"/>
      <c r="HZ292" s="36"/>
      <c r="IA292" s="36"/>
      <c r="IB292" s="36"/>
      <c r="IC292" s="36"/>
      <c r="ID292" s="37"/>
      <c r="IE292" s="44"/>
      <c r="IF292" s="36"/>
      <c r="IG292" s="36"/>
      <c r="IH292" s="36"/>
      <c r="II292" s="36"/>
      <c r="IJ292" s="36"/>
      <c r="IK292" s="36"/>
      <c r="IL292" s="36"/>
      <c r="IM292" s="36"/>
      <c r="IN292" s="36"/>
      <c r="IO292" s="36"/>
      <c r="IP292" s="36"/>
      <c r="IQ292" s="36"/>
      <c r="IR292" s="36"/>
      <c r="IS292" s="36"/>
      <c r="IT292" s="36"/>
      <c r="IU292" s="37"/>
      <c r="IV292" s="44"/>
      <c r="IW292" s="36"/>
      <c r="IX292" s="36"/>
      <c r="IY292" s="36"/>
      <c r="IZ292" s="36"/>
      <c r="JA292" s="36"/>
      <c r="JB292" s="36"/>
      <c r="JC292" s="36"/>
      <c r="JD292" s="36"/>
      <c r="JE292" s="36"/>
      <c r="JF292" s="36"/>
      <c r="JG292" s="36"/>
      <c r="JH292" s="36"/>
      <c r="JI292" s="36"/>
      <c r="JJ292" s="36"/>
      <c r="JK292" s="36"/>
      <c r="JL292" s="37"/>
      <c r="JM292" s="44"/>
      <c r="JN292" s="36"/>
      <c r="JO292" s="36"/>
      <c r="JP292" s="36"/>
      <c r="JQ292" s="36"/>
      <c r="JR292" s="36"/>
      <c r="JS292" s="36"/>
      <c r="JT292" s="36"/>
      <c r="JU292" s="36"/>
      <c r="JV292" s="36"/>
      <c r="JW292" s="36"/>
      <c r="JX292" s="36"/>
      <c r="JY292" s="36"/>
      <c r="JZ292" s="36"/>
      <c r="KA292" s="36"/>
      <c r="KB292" s="36"/>
      <c r="KC292" s="37"/>
      <c r="KD292" s="44"/>
      <c r="KE292" s="36"/>
      <c r="KF292" s="36"/>
      <c r="KG292" s="36"/>
      <c r="KH292" s="36"/>
      <c r="KI292" s="36"/>
      <c r="KJ292" s="36"/>
      <c r="KK292" s="36"/>
      <c r="KL292" s="36"/>
      <c r="KM292" s="36"/>
      <c r="KN292" s="36"/>
      <c r="KO292" s="36"/>
      <c r="KP292" s="36"/>
      <c r="KQ292" s="36"/>
      <c r="KR292" s="36"/>
      <c r="KS292" s="36"/>
      <c r="KT292" s="37"/>
      <c r="KU292" s="36"/>
    </row>
    <row r="293" ht="15.0" customHeight="1">
      <c r="A293" s="44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7"/>
      <c r="R293" s="44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7"/>
      <c r="AI293" s="44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  <c r="AU293" s="36"/>
      <c r="AV293" s="36"/>
      <c r="AW293" s="36"/>
      <c r="AX293" s="36"/>
      <c r="AY293" s="37"/>
      <c r="AZ293" s="44"/>
      <c r="BA293" s="36"/>
      <c r="BB293" s="36"/>
      <c r="BC293" s="36"/>
      <c r="BD293" s="36"/>
      <c r="BE293" s="36"/>
      <c r="BF293" s="36"/>
      <c r="BG293" s="36"/>
      <c r="BH293" s="36"/>
      <c r="BI293" s="36"/>
      <c r="BJ293" s="36"/>
      <c r="BK293" s="36"/>
      <c r="BL293" s="36"/>
      <c r="BM293" s="36"/>
      <c r="BN293" s="36"/>
      <c r="BO293" s="36"/>
      <c r="BP293" s="37"/>
      <c r="BQ293" s="44"/>
      <c r="BR293" s="36"/>
      <c r="BS293" s="36"/>
      <c r="BT293" s="36"/>
      <c r="BU293" s="36"/>
      <c r="BV293" s="36"/>
      <c r="BW293" s="36"/>
      <c r="BX293" s="36"/>
      <c r="BY293" s="36"/>
      <c r="BZ293" s="36"/>
      <c r="CA293" s="36"/>
      <c r="CB293" s="36"/>
      <c r="CC293" s="36"/>
      <c r="CD293" s="36"/>
      <c r="CE293" s="36"/>
      <c r="CF293" s="36"/>
      <c r="CG293" s="37"/>
      <c r="CH293" s="44"/>
      <c r="CI293" s="36"/>
      <c r="CJ293" s="36"/>
      <c r="CK293" s="36"/>
      <c r="CL293" s="36"/>
      <c r="CM293" s="36"/>
      <c r="CN293" s="36"/>
      <c r="CO293" s="36"/>
      <c r="CP293" s="36"/>
      <c r="CQ293" s="36"/>
      <c r="CR293" s="36"/>
      <c r="CS293" s="36"/>
      <c r="CT293" s="36"/>
      <c r="CU293" s="36"/>
      <c r="CV293" s="36"/>
      <c r="CW293" s="36"/>
      <c r="CX293" s="37"/>
      <c r="CY293" s="44"/>
      <c r="CZ293" s="36"/>
      <c r="DA293" s="36"/>
      <c r="DB293" s="36"/>
      <c r="DC293" s="36"/>
      <c r="DD293" s="36"/>
      <c r="DE293" s="36"/>
      <c r="DF293" s="36"/>
      <c r="DG293" s="36"/>
      <c r="DH293" s="36"/>
      <c r="DI293" s="36"/>
      <c r="DJ293" s="36"/>
      <c r="DK293" s="36"/>
      <c r="DL293" s="36"/>
      <c r="DM293" s="36"/>
      <c r="DN293" s="36"/>
      <c r="DO293" s="37"/>
      <c r="DP293" s="44"/>
      <c r="DQ293" s="36"/>
      <c r="DR293" s="36"/>
      <c r="DS293" s="36"/>
      <c r="DT293" s="36"/>
      <c r="DU293" s="36"/>
      <c r="DV293" s="36"/>
      <c r="DW293" s="36"/>
      <c r="DX293" s="36"/>
      <c r="DY293" s="36"/>
      <c r="DZ293" s="36"/>
      <c r="EA293" s="36"/>
      <c r="EB293" s="36"/>
      <c r="EC293" s="36"/>
      <c r="ED293" s="36"/>
      <c r="EE293" s="36"/>
      <c r="EF293" s="37"/>
      <c r="EG293" s="44"/>
      <c r="EH293" s="36"/>
      <c r="EI293" s="36"/>
      <c r="EJ293" s="36"/>
      <c r="EK293" s="36"/>
      <c r="EL293" s="36"/>
      <c r="EM293" s="36"/>
      <c r="EN293" s="36"/>
      <c r="EO293" s="36"/>
      <c r="EP293" s="36"/>
      <c r="EQ293" s="36"/>
      <c r="ER293" s="36"/>
      <c r="ES293" s="36"/>
      <c r="ET293" s="36"/>
      <c r="EU293" s="36"/>
      <c r="EV293" s="36"/>
      <c r="EW293" s="37"/>
      <c r="EX293" s="44"/>
      <c r="EY293" s="36"/>
      <c r="EZ293" s="36"/>
      <c r="FA293" s="36"/>
      <c r="FB293" s="36"/>
      <c r="FC293" s="36"/>
      <c r="FD293" s="36"/>
      <c r="FE293" s="36"/>
      <c r="FF293" s="36"/>
      <c r="FG293" s="36"/>
      <c r="FH293" s="36"/>
      <c r="FI293" s="36"/>
      <c r="FJ293" s="36"/>
      <c r="FK293" s="36"/>
      <c r="FL293" s="36"/>
      <c r="FM293" s="36"/>
      <c r="FN293" s="37"/>
      <c r="FO293" s="44"/>
      <c r="FP293" s="36"/>
      <c r="FQ293" s="36"/>
      <c r="FR293" s="36"/>
      <c r="FS293" s="36"/>
      <c r="FT293" s="36"/>
      <c r="FU293" s="36"/>
      <c r="FV293" s="36"/>
      <c r="FW293" s="36"/>
      <c r="FX293" s="36"/>
      <c r="FY293" s="36"/>
      <c r="FZ293" s="36"/>
      <c r="GA293" s="36"/>
      <c r="GB293" s="36"/>
      <c r="GC293" s="36"/>
      <c r="GD293" s="36"/>
      <c r="GE293" s="37"/>
      <c r="GF293" s="44"/>
      <c r="GG293" s="36"/>
      <c r="GH293" s="36"/>
      <c r="GI293" s="36"/>
      <c r="GJ293" s="36"/>
      <c r="GK293" s="36"/>
      <c r="GL293" s="36"/>
      <c r="GM293" s="36"/>
      <c r="GN293" s="36"/>
      <c r="GO293" s="36"/>
      <c r="GP293" s="36"/>
      <c r="GQ293" s="36"/>
      <c r="GR293" s="36"/>
      <c r="GS293" s="36"/>
      <c r="GT293" s="36"/>
      <c r="GU293" s="36"/>
      <c r="GV293" s="37"/>
      <c r="GW293" s="44"/>
      <c r="GX293" s="36"/>
      <c r="GY293" s="36"/>
      <c r="GZ293" s="36"/>
      <c r="HA293" s="36"/>
      <c r="HB293" s="36"/>
      <c r="HC293" s="36"/>
      <c r="HD293" s="36"/>
      <c r="HE293" s="36"/>
      <c r="HF293" s="36"/>
      <c r="HG293" s="36"/>
      <c r="HH293" s="36"/>
      <c r="HI293" s="36"/>
      <c r="HJ293" s="36"/>
      <c r="HK293" s="36"/>
      <c r="HL293" s="36"/>
      <c r="HM293" s="37"/>
      <c r="HN293" s="44"/>
      <c r="HO293" s="36"/>
      <c r="HP293" s="36"/>
      <c r="HQ293" s="36"/>
      <c r="HR293" s="36"/>
      <c r="HS293" s="36"/>
      <c r="HT293" s="36"/>
      <c r="HU293" s="36"/>
      <c r="HV293" s="36"/>
      <c r="HW293" s="36"/>
      <c r="HX293" s="36"/>
      <c r="HY293" s="36"/>
      <c r="HZ293" s="36"/>
      <c r="IA293" s="36"/>
      <c r="IB293" s="36"/>
      <c r="IC293" s="36"/>
      <c r="ID293" s="37"/>
      <c r="IE293" s="44"/>
      <c r="IF293" s="36"/>
      <c r="IG293" s="36"/>
      <c r="IH293" s="36"/>
      <c r="II293" s="36"/>
      <c r="IJ293" s="36"/>
      <c r="IK293" s="36"/>
      <c r="IL293" s="36"/>
      <c r="IM293" s="36"/>
      <c r="IN293" s="36"/>
      <c r="IO293" s="36"/>
      <c r="IP293" s="36"/>
      <c r="IQ293" s="36"/>
      <c r="IR293" s="36"/>
      <c r="IS293" s="36"/>
      <c r="IT293" s="36"/>
      <c r="IU293" s="37"/>
      <c r="IV293" s="44"/>
      <c r="IW293" s="36"/>
      <c r="IX293" s="36"/>
      <c r="IY293" s="36"/>
      <c r="IZ293" s="36"/>
      <c r="JA293" s="36"/>
      <c r="JB293" s="36"/>
      <c r="JC293" s="36"/>
      <c r="JD293" s="36"/>
      <c r="JE293" s="36"/>
      <c r="JF293" s="36"/>
      <c r="JG293" s="36"/>
      <c r="JH293" s="36"/>
      <c r="JI293" s="36"/>
      <c r="JJ293" s="36"/>
      <c r="JK293" s="36"/>
      <c r="JL293" s="37"/>
      <c r="JM293" s="44"/>
      <c r="JN293" s="36"/>
      <c r="JO293" s="36"/>
      <c r="JP293" s="36"/>
      <c r="JQ293" s="36"/>
      <c r="JR293" s="36"/>
      <c r="JS293" s="36"/>
      <c r="JT293" s="36"/>
      <c r="JU293" s="36"/>
      <c r="JV293" s="36"/>
      <c r="JW293" s="36"/>
      <c r="JX293" s="36"/>
      <c r="JY293" s="36"/>
      <c r="JZ293" s="36"/>
      <c r="KA293" s="36"/>
      <c r="KB293" s="36"/>
      <c r="KC293" s="37"/>
      <c r="KD293" s="44"/>
      <c r="KE293" s="36"/>
      <c r="KF293" s="36"/>
      <c r="KG293" s="36"/>
      <c r="KH293" s="36"/>
      <c r="KI293" s="36"/>
      <c r="KJ293" s="36"/>
      <c r="KK293" s="36"/>
      <c r="KL293" s="36"/>
      <c r="KM293" s="36"/>
      <c r="KN293" s="36"/>
      <c r="KO293" s="36"/>
      <c r="KP293" s="36"/>
      <c r="KQ293" s="36"/>
      <c r="KR293" s="36"/>
      <c r="KS293" s="36"/>
      <c r="KT293" s="37"/>
      <c r="KU293" s="36"/>
    </row>
    <row r="294" ht="15.0" customHeight="1">
      <c r="A294" s="44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7"/>
      <c r="R294" s="44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7"/>
      <c r="AI294" s="44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  <c r="AU294" s="36"/>
      <c r="AV294" s="36"/>
      <c r="AW294" s="36"/>
      <c r="AX294" s="36"/>
      <c r="AY294" s="37"/>
      <c r="AZ294" s="44"/>
      <c r="BA294" s="36"/>
      <c r="BB294" s="36"/>
      <c r="BC294" s="36"/>
      <c r="BD294" s="36"/>
      <c r="BE294" s="36"/>
      <c r="BF294" s="36"/>
      <c r="BG294" s="36"/>
      <c r="BH294" s="36"/>
      <c r="BI294" s="36"/>
      <c r="BJ294" s="36"/>
      <c r="BK294" s="36"/>
      <c r="BL294" s="36"/>
      <c r="BM294" s="36"/>
      <c r="BN294" s="36"/>
      <c r="BO294" s="36"/>
      <c r="BP294" s="37"/>
      <c r="BQ294" s="44"/>
      <c r="BR294" s="36"/>
      <c r="BS294" s="36"/>
      <c r="BT294" s="36"/>
      <c r="BU294" s="36"/>
      <c r="BV294" s="36"/>
      <c r="BW294" s="36"/>
      <c r="BX294" s="36"/>
      <c r="BY294" s="36"/>
      <c r="BZ294" s="36"/>
      <c r="CA294" s="36"/>
      <c r="CB294" s="36"/>
      <c r="CC294" s="36"/>
      <c r="CD294" s="36"/>
      <c r="CE294" s="36"/>
      <c r="CF294" s="36"/>
      <c r="CG294" s="37"/>
      <c r="CH294" s="44"/>
      <c r="CI294" s="36"/>
      <c r="CJ294" s="36"/>
      <c r="CK294" s="36"/>
      <c r="CL294" s="36"/>
      <c r="CM294" s="36"/>
      <c r="CN294" s="36"/>
      <c r="CO294" s="36"/>
      <c r="CP294" s="36"/>
      <c r="CQ294" s="36"/>
      <c r="CR294" s="36"/>
      <c r="CS294" s="36"/>
      <c r="CT294" s="36"/>
      <c r="CU294" s="36"/>
      <c r="CV294" s="36"/>
      <c r="CW294" s="36"/>
      <c r="CX294" s="37"/>
      <c r="CY294" s="44"/>
      <c r="CZ294" s="36"/>
      <c r="DA294" s="36"/>
      <c r="DB294" s="36"/>
      <c r="DC294" s="36"/>
      <c r="DD294" s="36"/>
      <c r="DE294" s="36"/>
      <c r="DF294" s="36"/>
      <c r="DG294" s="36"/>
      <c r="DH294" s="36"/>
      <c r="DI294" s="36"/>
      <c r="DJ294" s="36"/>
      <c r="DK294" s="36"/>
      <c r="DL294" s="36"/>
      <c r="DM294" s="36"/>
      <c r="DN294" s="36"/>
      <c r="DO294" s="37"/>
      <c r="DP294" s="44"/>
      <c r="DQ294" s="36"/>
      <c r="DR294" s="36"/>
      <c r="DS294" s="36"/>
      <c r="DT294" s="36"/>
      <c r="DU294" s="36"/>
      <c r="DV294" s="36"/>
      <c r="DW294" s="36"/>
      <c r="DX294" s="36"/>
      <c r="DY294" s="36"/>
      <c r="DZ294" s="36"/>
      <c r="EA294" s="36"/>
      <c r="EB294" s="36"/>
      <c r="EC294" s="36"/>
      <c r="ED294" s="36"/>
      <c r="EE294" s="36"/>
      <c r="EF294" s="37"/>
      <c r="EG294" s="44"/>
      <c r="EH294" s="36"/>
      <c r="EI294" s="36"/>
      <c r="EJ294" s="36"/>
      <c r="EK294" s="36"/>
      <c r="EL294" s="36"/>
      <c r="EM294" s="36"/>
      <c r="EN294" s="36"/>
      <c r="EO294" s="36"/>
      <c r="EP294" s="36"/>
      <c r="EQ294" s="36"/>
      <c r="ER294" s="36"/>
      <c r="ES294" s="36"/>
      <c r="ET294" s="36"/>
      <c r="EU294" s="36"/>
      <c r="EV294" s="36"/>
      <c r="EW294" s="37"/>
      <c r="EX294" s="44"/>
      <c r="EY294" s="36"/>
      <c r="EZ294" s="36"/>
      <c r="FA294" s="36"/>
      <c r="FB294" s="36"/>
      <c r="FC294" s="36"/>
      <c r="FD294" s="36"/>
      <c r="FE294" s="36"/>
      <c r="FF294" s="36"/>
      <c r="FG294" s="36"/>
      <c r="FH294" s="36"/>
      <c r="FI294" s="36"/>
      <c r="FJ294" s="36"/>
      <c r="FK294" s="36"/>
      <c r="FL294" s="36"/>
      <c r="FM294" s="36"/>
      <c r="FN294" s="37"/>
      <c r="FO294" s="44"/>
      <c r="FP294" s="36"/>
      <c r="FQ294" s="36"/>
      <c r="FR294" s="36"/>
      <c r="FS294" s="36"/>
      <c r="FT294" s="36"/>
      <c r="FU294" s="36"/>
      <c r="FV294" s="36"/>
      <c r="FW294" s="36"/>
      <c r="FX294" s="36"/>
      <c r="FY294" s="36"/>
      <c r="FZ294" s="36"/>
      <c r="GA294" s="36"/>
      <c r="GB294" s="36"/>
      <c r="GC294" s="36"/>
      <c r="GD294" s="36"/>
      <c r="GE294" s="37"/>
      <c r="GF294" s="44"/>
      <c r="GG294" s="36"/>
      <c r="GH294" s="36"/>
      <c r="GI294" s="36"/>
      <c r="GJ294" s="36"/>
      <c r="GK294" s="36"/>
      <c r="GL294" s="36"/>
      <c r="GM294" s="36"/>
      <c r="GN294" s="36"/>
      <c r="GO294" s="36"/>
      <c r="GP294" s="36"/>
      <c r="GQ294" s="36"/>
      <c r="GR294" s="36"/>
      <c r="GS294" s="36"/>
      <c r="GT294" s="36"/>
      <c r="GU294" s="36"/>
      <c r="GV294" s="37"/>
      <c r="GW294" s="44"/>
      <c r="GX294" s="36"/>
      <c r="GY294" s="36"/>
      <c r="GZ294" s="36"/>
      <c r="HA294" s="36"/>
      <c r="HB294" s="36"/>
      <c r="HC294" s="36"/>
      <c r="HD294" s="36"/>
      <c r="HE294" s="36"/>
      <c r="HF294" s="36"/>
      <c r="HG294" s="36"/>
      <c r="HH294" s="36"/>
      <c r="HI294" s="36"/>
      <c r="HJ294" s="36"/>
      <c r="HK294" s="36"/>
      <c r="HL294" s="36"/>
      <c r="HM294" s="37"/>
      <c r="HN294" s="44"/>
      <c r="HO294" s="36"/>
      <c r="HP294" s="36"/>
      <c r="HQ294" s="36"/>
      <c r="HR294" s="36"/>
      <c r="HS294" s="36"/>
      <c r="HT294" s="36"/>
      <c r="HU294" s="36"/>
      <c r="HV294" s="36"/>
      <c r="HW294" s="36"/>
      <c r="HX294" s="36"/>
      <c r="HY294" s="36"/>
      <c r="HZ294" s="36"/>
      <c r="IA294" s="36"/>
      <c r="IB294" s="36"/>
      <c r="IC294" s="36"/>
      <c r="ID294" s="37"/>
      <c r="IE294" s="44"/>
      <c r="IF294" s="36"/>
      <c r="IG294" s="36"/>
      <c r="IH294" s="36"/>
      <c r="II294" s="36"/>
      <c r="IJ294" s="36"/>
      <c r="IK294" s="36"/>
      <c r="IL294" s="36"/>
      <c r="IM294" s="36"/>
      <c r="IN294" s="36"/>
      <c r="IO294" s="36"/>
      <c r="IP294" s="36"/>
      <c r="IQ294" s="36"/>
      <c r="IR294" s="36"/>
      <c r="IS294" s="36"/>
      <c r="IT294" s="36"/>
      <c r="IU294" s="37"/>
      <c r="IV294" s="44"/>
      <c r="IW294" s="36"/>
      <c r="IX294" s="36"/>
      <c r="IY294" s="36"/>
      <c r="IZ294" s="36"/>
      <c r="JA294" s="36"/>
      <c r="JB294" s="36"/>
      <c r="JC294" s="36"/>
      <c r="JD294" s="36"/>
      <c r="JE294" s="36"/>
      <c r="JF294" s="36"/>
      <c r="JG294" s="36"/>
      <c r="JH294" s="36"/>
      <c r="JI294" s="36"/>
      <c r="JJ294" s="36"/>
      <c r="JK294" s="36"/>
      <c r="JL294" s="37"/>
      <c r="JM294" s="44"/>
      <c r="JN294" s="36"/>
      <c r="JO294" s="36"/>
      <c r="JP294" s="36"/>
      <c r="JQ294" s="36"/>
      <c r="JR294" s="36"/>
      <c r="JS294" s="36"/>
      <c r="JT294" s="36"/>
      <c r="JU294" s="36"/>
      <c r="JV294" s="36"/>
      <c r="JW294" s="36"/>
      <c r="JX294" s="36"/>
      <c r="JY294" s="36"/>
      <c r="JZ294" s="36"/>
      <c r="KA294" s="36"/>
      <c r="KB294" s="36"/>
      <c r="KC294" s="37"/>
      <c r="KD294" s="44"/>
      <c r="KE294" s="36"/>
      <c r="KF294" s="36"/>
      <c r="KG294" s="36"/>
      <c r="KH294" s="36"/>
      <c r="KI294" s="36"/>
      <c r="KJ294" s="36"/>
      <c r="KK294" s="36"/>
      <c r="KL294" s="36"/>
      <c r="KM294" s="36"/>
      <c r="KN294" s="36"/>
      <c r="KO294" s="36"/>
      <c r="KP294" s="36"/>
      <c r="KQ294" s="36"/>
      <c r="KR294" s="36"/>
      <c r="KS294" s="36"/>
      <c r="KT294" s="37"/>
      <c r="KU294" s="36"/>
    </row>
    <row r="295" ht="15.0" customHeight="1">
      <c r="A295" s="44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7"/>
      <c r="R295" s="44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7"/>
      <c r="AI295" s="44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  <c r="AU295" s="36"/>
      <c r="AV295" s="36"/>
      <c r="AW295" s="36"/>
      <c r="AX295" s="36"/>
      <c r="AY295" s="37"/>
      <c r="AZ295" s="44"/>
      <c r="BA295" s="36"/>
      <c r="BB295" s="36"/>
      <c r="BC295" s="36"/>
      <c r="BD295" s="36"/>
      <c r="BE295" s="36"/>
      <c r="BF295" s="36"/>
      <c r="BG295" s="36"/>
      <c r="BH295" s="36"/>
      <c r="BI295" s="36"/>
      <c r="BJ295" s="36"/>
      <c r="BK295" s="36"/>
      <c r="BL295" s="36"/>
      <c r="BM295" s="36"/>
      <c r="BN295" s="36"/>
      <c r="BO295" s="36"/>
      <c r="BP295" s="37"/>
      <c r="BQ295" s="44"/>
      <c r="BR295" s="36"/>
      <c r="BS295" s="36"/>
      <c r="BT295" s="36"/>
      <c r="BU295" s="36"/>
      <c r="BV295" s="36"/>
      <c r="BW295" s="36"/>
      <c r="BX295" s="36"/>
      <c r="BY295" s="36"/>
      <c r="BZ295" s="36"/>
      <c r="CA295" s="36"/>
      <c r="CB295" s="36"/>
      <c r="CC295" s="36"/>
      <c r="CD295" s="36"/>
      <c r="CE295" s="36"/>
      <c r="CF295" s="36"/>
      <c r="CG295" s="37"/>
      <c r="CH295" s="44"/>
      <c r="CI295" s="36"/>
      <c r="CJ295" s="36"/>
      <c r="CK295" s="36"/>
      <c r="CL295" s="36"/>
      <c r="CM295" s="36"/>
      <c r="CN295" s="36"/>
      <c r="CO295" s="36"/>
      <c r="CP295" s="36"/>
      <c r="CQ295" s="36"/>
      <c r="CR295" s="36"/>
      <c r="CS295" s="36"/>
      <c r="CT295" s="36"/>
      <c r="CU295" s="36"/>
      <c r="CV295" s="36"/>
      <c r="CW295" s="36"/>
      <c r="CX295" s="37"/>
      <c r="CY295" s="44"/>
      <c r="CZ295" s="36"/>
      <c r="DA295" s="36"/>
      <c r="DB295" s="36"/>
      <c r="DC295" s="36"/>
      <c r="DD295" s="36"/>
      <c r="DE295" s="36"/>
      <c r="DF295" s="36"/>
      <c r="DG295" s="36"/>
      <c r="DH295" s="36"/>
      <c r="DI295" s="36"/>
      <c r="DJ295" s="36"/>
      <c r="DK295" s="36"/>
      <c r="DL295" s="36"/>
      <c r="DM295" s="36"/>
      <c r="DN295" s="36"/>
      <c r="DO295" s="37"/>
      <c r="DP295" s="44"/>
      <c r="DQ295" s="36"/>
      <c r="DR295" s="36"/>
      <c r="DS295" s="36"/>
      <c r="DT295" s="36"/>
      <c r="DU295" s="36"/>
      <c r="DV295" s="36"/>
      <c r="DW295" s="36"/>
      <c r="DX295" s="36"/>
      <c r="DY295" s="36"/>
      <c r="DZ295" s="36"/>
      <c r="EA295" s="36"/>
      <c r="EB295" s="36"/>
      <c r="EC295" s="36"/>
      <c r="ED295" s="36"/>
      <c r="EE295" s="36"/>
      <c r="EF295" s="37"/>
      <c r="EG295" s="44"/>
      <c r="EH295" s="36"/>
      <c r="EI295" s="36"/>
      <c r="EJ295" s="36"/>
      <c r="EK295" s="36"/>
      <c r="EL295" s="36"/>
      <c r="EM295" s="36"/>
      <c r="EN295" s="36"/>
      <c r="EO295" s="36"/>
      <c r="EP295" s="36"/>
      <c r="EQ295" s="36"/>
      <c r="ER295" s="36"/>
      <c r="ES295" s="36"/>
      <c r="ET295" s="36"/>
      <c r="EU295" s="36"/>
      <c r="EV295" s="36"/>
      <c r="EW295" s="37"/>
      <c r="EX295" s="44"/>
      <c r="EY295" s="36"/>
      <c r="EZ295" s="36"/>
      <c r="FA295" s="36"/>
      <c r="FB295" s="36"/>
      <c r="FC295" s="36"/>
      <c r="FD295" s="36"/>
      <c r="FE295" s="36"/>
      <c r="FF295" s="36"/>
      <c r="FG295" s="36"/>
      <c r="FH295" s="36"/>
      <c r="FI295" s="36"/>
      <c r="FJ295" s="36"/>
      <c r="FK295" s="36"/>
      <c r="FL295" s="36"/>
      <c r="FM295" s="36"/>
      <c r="FN295" s="37"/>
      <c r="FO295" s="44"/>
      <c r="FP295" s="36"/>
      <c r="FQ295" s="36"/>
      <c r="FR295" s="36"/>
      <c r="FS295" s="36"/>
      <c r="FT295" s="36"/>
      <c r="FU295" s="36"/>
      <c r="FV295" s="36"/>
      <c r="FW295" s="36"/>
      <c r="FX295" s="36"/>
      <c r="FY295" s="36"/>
      <c r="FZ295" s="36"/>
      <c r="GA295" s="36"/>
      <c r="GB295" s="36"/>
      <c r="GC295" s="36"/>
      <c r="GD295" s="36"/>
      <c r="GE295" s="37"/>
      <c r="GF295" s="44"/>
      <c r="GG295" s="36"/>
      <c r="GH295" s="36"/>
      <c r="GI295" s="36"/>
      <c r="GJ295" s="36"/>
      <c r="GK295" s="36"/>
      <c r="GL295" s="36"/>
      <c r="GM295" s="36"/>
      <c r="GN295" s="36"/>
      <c r="GO295" s="36"/>
      <c r="GP295" s="36"/>
      <c r="GQ295" s="36"/>
      <c r="GR295" s="36"/>
      <c r="GS295" s="36"/>
      <c r="GT295" s="36"/>
      <c r="GU295" s="36"/>
      <c r="GV295" s="37"/>
      <c r="GW295" s="44"/>
      <c r="GX295" s="36"/>
      <c r="GY295" s="36"/>
      <c r="GZ295" s="36"/>
      <c r="HA295" s="36"/>
      <c r="HB295" s="36"/>
      <c r="HC295" s="36"/>
      <c r="HD295" s="36"/>
      <c r="HE295" s="36"/>
      <c r="HF295" s="36"/>
      <c r="HG295" s="36"/>
      <c r="HH295" s="36"/>
      <c r="HI295" s="36"/>
      <c r="HJ295" s="36"/>
      <c r="HK295" s="36"/>
      <c r="HL295" s="36"/>
      <c r="HM295" s="37"/>
      <c r="HN295" s="44"/>
      <c r="HO295" s="36"/>
      <c r="HP295" s="36"/>
      <c r="HQ295" s="36"/>
      <c r="HR295" s="36"/>
      <c r="HS295" s="36"/>
      <c r="HT295" s="36"/>
      <c r="HU295" s="36"/>
      <c r="HV295" s="36"/>
      <c r="HW295" s="36"/>
      <c r="HX295" s="36"/>
      <c r="HY295" s="36"/>
      <c r="HZ295" s="36"/>
      <c r="IA295" s="36"/>
      <c r="IB295" s="36"/>
      <c r="IC295" s="36"/>
      <c r="ID295" s="37"/>
      <c r="IE295" s="44"/>
      <c r="IF295" s="36"/>
      <c r="IG295" s="36"/>
      <c r="IH295" s="36"/>
      <c r="II295" s="36"/>
      <c r="IJ295" s="36"/>
      <c r="IK295" s="36"/>
      <c r="IL295" s="36"/>
      <c r="IM295" s="36"/>
      <c r="IN295" s="36"/>
      <c r="IO295" s="36"/>
      <c r="IP295" s="36"/>
      <c r="IQ295" s="36"/>
      <c r="IR295" s="36"/>
      <c r="IS295" s="36"/>
      <c r="IT295" s="36"/>
      <c r="IU295" s="37"/>
      <c r="IV295" s="44"/>
      <c r="IW295" s="36"/>
      <c r="IX295" s="36"/>
      <c r="IY295" s="36"/>
      <c r="IZ295" s="36"/>
      <c r="JA295" s="36"/>
      <c r="JB295" s="36"/>
      <c r="JC295" s="36"/>
      <c r="JD295" s="36"/>
      <c r="JE295" s="36"/>
      <c r="JF295" s="36"/>
      <c r="JG295" s="36"/>
      <c r="JH295" s="36"/>
      <c r="JI295" s="36"/>
      <c r="JJ295" s="36"/>
      <c r="JK295" s="36"/>
      <c r="JL295" s="37"/>
      <c r="JM295" s="44"/>
      <c r="JN295" s="36"/>
      <c r="JO295" s="36"/>
      <c r="JP295" s="36"/>
      <c r="JQ295" s="36"/>
      <c r="JR295" s="36"/>
      <c r="JS295" s="36"/>
      <c r="JT295" s="36"/>
      <c r="JU295" s="36"/>
      <c r="JV295" s="36"/>
      <c r="JW295" s="36"/>
      <c r="JX295" s="36"/>
      <c r="JY295" s="36"/>
      <c r="JZ295" s="36"/>
      <c r="KA295" s="36"/>
      <c r="KB295" s="36"/>
      <c r="KC295" s="37"/>
      <c r="KD295" s="44"/>
      <c r="KE295" s="36"/>
      <c r="KF295" s="36"/>
      <c r="KG295" s="36"/>
      <c r="KH295" s="36"/>
      <c r="KI295" s="36"/>
      <c r="KJ295" s="36"/>
      <c r="KK295" s="36"/>
      <c r="KL295" s="36"/>
      <c r="KM295" s="36"/>
      <c r="KN295" s="36"/>
      <c r="KO295" s="36"/>
      <c r="KP295" s="36"/>
      <c r="KQ295" s="36"/>
      <c r="KR295" s="36"/>
      <c r="KS295" s="36"/>
      <c r="KT295" s="37"/>
      <c r="KU295" s="36"/>
    </row>
    <row r="296" ht="15.0" customHeight="1">
      <c r="A296" s="44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7"/>
      <c r="R296" s="44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7"/>
      <c r="AI296" s="44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  <c r="AU296" s="36"/>
      <c r="AV296" s="36"/>
      <c r="AW296" s="36"/>
      <c r="AX296" s="36"/>
      <c r="AY296" s="37"/>
      <c r="AZ296" s="44"/>
      <c r="BA296" s="36"/>
      <c r="BB296" s="36"/>
      <c r="BC296" s="36"/>
      <c r="BD296" s="36"/>
      <c r="BE296" s="36"/>
      <c r="BF296" s="36"/>
      <c r="BG296" s="36"/>
      <c r="BH296" s="36"/>
      <c r="BI296" s="36"/>
      <c r="BJ296" s="36"/>
      <c r="BK296" s="36"/>
      <c r="BL296" s="36"/>
      <c r="BM296" s="36"/>
      <c r="BN296" s="36"/>
      <c r="BO296" s="36"/>
      <c r="BP296" s="37"/>
      <c r="BQ296" s="44"/>
      <c r="BR296" s="36"/>
      <c r="BS296" s="36"/>
      <c r="BT296" s="36"/>
      <c r="BU296" s="36"/>
      <c r="BV296" s="36"/>
      <c r="BW296" s="36"/>
      <c r="BX296" s="36"/>
      <c r="BY296" s="36"/>
      <c r="BZ296" s="36"/>
      <c r="CA296" s="36"/>
      <c r="CB296" s="36"/>
      <c r="CC296" s="36"/>
      <c r="CD296" s="36"/>
      <c r="CE296" s="36"/>
      <c r="CF296" s="36"/>
      <c r="CG296" s="37"/>
      <c r="CH296" s="44"/>
      <c r="CI296" s="36"/>
      <c r="CJ296" s="36"/>
      <c r="CK296" s="36"/>
      <c r="CL296" s="36"/>
      <c r="CM296" s="36"/>
      <c r="CN296" s="36"/>
      <c r="CO296" s="36"/>
      <c r="CP296" s="36"/>
      <c r="CQ296" s="36"/>
      <c r="CR296" s="36"/>
      <c r="CS296" s="36"/>
      <c r="CT296" s="36"/>
      <c r="CU296" s="36"/>
      <c r="CV296" s="36"/>
      <c r="CW296" s="36"/>
      <c r="CX296" s="37"/>
      <c r="CY296" s="44"/>
      <c r="CZ296" s="36"/>
      <c r="DA296" s="36"/>
      <c r="DB296" s="36"/>
      <c r="DC296" s="36"/>
      <c r="DD296" s="36"/>
      <c r="DE296" s="36"/>
      <c r="DF296" s="36"/>
      <c r="DG296" s="36"/>
      <c r="DH296" s="36"/>
      <c r="DI296" s="36"/>
      <c r="DJ296" s="36"/>
      <c r="DK296" s="36"/>
      <c r="DL296" s="36"/>
      <c r="DM296" s="36"/>
      <c r="DN296" s="36"/>
      <c r="DO296" s="37"/>
      <c r="DP296" s="44"/>
      <c r="DQ296" s="36"/>
      <c r="DR296" s="36"/>
      <c r="DS296" s="36"/>
      <c r="DT296" s="36"/>
      <c r="DU296" s="36"/>
      <c r="DV296" s="36"/>
      <c r="DW296" s="36"/>
      <c r="DX296" s="36"/>
      <c r="DY296" s="36"/>
      <c r="DZ296" s="36"/>
      <c r="EA296" s="36"/>
      <c r="EB296" s="36"/>
      <c r="EC296" s="36"/>
      <c r="ED296" s="36"/>
      <c r="EE296" s="36"/>
      <c r="EF296" s="37"/>
      <c r="EG296" s="44"/>
      <c r="EH296" s="36"/>
      <c r="EI296" s="36"/>
      <c r="EJ296" s="36"/>
      <c r="EK296" s="36"/>
      <c r="EL296" s="36"/>
      <c r="EM296" s="36"/>
      <c r="EN296" s="36"/>
      <c r="EO296" s="36"/>
      <c r="EP296" s="36"/>
      <c r="EQ296" s="36"/>
      <c r="ER296" s="36"/>
      <c r="ES296" s="36"/>
      <c r="ET296" s="36"/>
      <c r="EU296" s="36"/>
      <c r="EV296" s="36"/>
      <c r="EW296" s="37"/>
      <c r="EX296" s="44"/>
      <c r="EY296" s="36"/>
      <c r="EZ296" s="36"/>
      <c r="FA296" s="36"/>
      <c r="FB296" s="36"/>
      <c r="FC296" s="36"/>
      <c r="FD296" s="36"/>
      <c r="FE296" s="36"/>
      <c r="FF296" s="36"/>
      <c r="FG296" s="36"/>
      <c r="FH296" s="36"/>
      <c r="FI296" s="36"/>
      <c r="FJ296" s="36"/>
      <c r="FK296" s="36"/>
      <c r="FL296" s="36"/>
      <c r="FM296" s="36"/>
      <c r="FN296" s="37"/>
      <c r="FO296" s="44"/>
      <c r="FP296" s="36"/>
      <c r="FQ296" s="36"/>
      <c r="FR296" s="36"/>
      <c r="FS296" s="36"/>
      <c r="FT296" s="36"/>
      <c r="FU296" s="36"/>
      <c r="FV296" s="36"/>
      <c r="FW296" s="36"/>
      <c r="FX296" s="36"/>
      <c r="FY296" s="36"/>
      <c r="FZ296" s="36"/>
      <c r="GA296" s="36"/>
      <c r="GB296" s="36"/>
      <c r="GC296" s="36"/>
      <c r="GD296" s="36"/>
      <c r="GE296" s="37"/>
      <c r="GF296" s="44"/>
      <c r="GG296" s="36"/>
      <c r="GH296" s="36"/>
      <c r="GI296" s="36"/>
      <c r="GJ296" s="36"/>
      <c r="GK296" s="36"/>
      <c r="GL296" s="36"/>
      <c r="GM296" s="36"/>
      <c r="GN296" s="36"/>
      <c r="GO296" s="36"/>
      <c r="GP296" s="36"/>
      <c r="GQ296" s="36"/>
      <c r="GR296" s="36"/>
      <c r="GS296" s="36"/>
      <c r="GT296" s="36"/>
      <c r="GU296" s="36"/>
      <c r="GV296" s="37"/>
      <c r="GW296" s="44"/>
      <c r="GX296" s="36"/>
      <c r="GY296" s="36"/>
      <c r="GZ296" s="36"/>
      <c r="HA296" s="36"/>
      <c r="HB296" s="36"/>
      <c r="HC296" s="36"/>
      <c r="HD296" s="36"/>
      <c r="HE296" s="36"/>
      <c r="HF296" s="36"/>
      <c r="HG296" s="36"/>
      <c r="HH296" s="36"/>
      <c r="HI296" s="36"/>
      <c r="HJ296" s="36"/>
      <c r="HK296" s="36"/>
      <c r="HL296" s="36"/>
      <c r="HM296" s="37"/>
      <c r="HN296" s="44"/>
      <c r="HO296" s="36"/>
      <c r="HP296" s="36"/>
      <c r="HQ296" s="36"/>
      <c r="HR296" s="36"/>
      <c r="HS296" s="36"/>
      <c r="HT296" s="36"/>
      <c r="HU296" s="36"/>
      <c r="HV296" s="36"/>
      <c r="HW296" s="36"/>
      <c r="HX296" s="36"/>
      <c r="HY296" s="36"/>
      <c r="HZ296" s="36"/>
      <c r="IA296" s="36"/>
      <c r="IB296" s="36"/>
      <c r="IC296" s="36"/>
      <c r="ID296" s="37"/>
      <c r="IE296" s="44"/>
      <c r="IF296" s="36"/>
      <c r="IG296" s="36"/>
      <c r="IH296" s="36"/>
      <c r="II296" s="36"/>
      <c r="IJ296" s="36"/>
      <c r="IK296" s="36"/>
      <c r="IL296" s="36"/>
      <c r="IM296" s="36"/>
      <c r="IN296" s="36"/>
      <c r="IO296" s="36"/>
      <c r="IP296" s="36"/>
      <c r="IQ296" s="36"/>
      <c r="IR296" s="36"/>
      <c r="IS296" s="36"/>
      <c r="IT296" s="36"/>
      <c r="IU296" s="37"/>
      <c r="IV296" s="44"/>
      <c r="IW296" s="36"/>
      <c r="IX296" s="36"/>
      <c r="IY296" s="36"/>
      <c r="IZ296" s="36"/>
      <c r="JA296" s="36"/>
      <c r="JB296" s="36"/>
      <c r="JC296" s="36"/>
      <c r="JD296" s="36"/>
      <c r="JE296" s="36"/>
      <c r="JF296" s="36"/>
      <c r="JG296" s="36"/>
      <c r="JH296" s="36"/>
      <c r="JI296" s="36"/>
      <c r="JJ296" s="36"/>
      <c r="JK296" s="36"/>
      <c r="JL296" s="37"/>
      <c r="JM296" s="44"/>
      <c r="JN296" s="36"/>
      <c r="JO296" s="36"/>
      <c r="JP296" s="36"/>
      <c r="JQ296" s="36"/>
      <c r="JR296" s="36"/>
      <c r="JS296" s="36"/>
      <c r="JT296" s="36"/>
      <c r="JU296" s="36"/>
      <c r="JV296" s="36"/>
      <c r="JW296" s="36"/>
      <c r="JX296" s="36"/>
      <c r="JY296" s="36"/>
      <c r="JZ296" s="36"/>
      <c r="KA296" s="36"/>
      <c r="KB296" s="36"/>
      <c r="KC296" s="37"/>
      <c r="KD296" s="44"/>
      <c r="KE296" s="36"/>
      <c r="KF296" s="36"/>
      <c r="KG296" s="36"/>
      <c r="KH296" s="36"/>
      <c r="KI296" s="36"/>
      <c r="KJ296" s="36"/>
      <c r="KK296" s="36"/>
      <c r="KL296" s="36"/>
      <c r="KM296" s="36"/>
      <c r="KN296" s="36"/>
      <c r="KO296" s="36"/>
      <c r="KP296" s="36"/>
      <c r="KQ296" s="36"/>
      <c r="KR296" s="36"/>
      <c r="KS296" s="36"/>
      <c r="KT296" s="37"/>
      <c r="KU296" s="36"/>
    </row>
    <row r="297" ht="15.0" customHeight="1">
      <c r="A297" s="44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7"/>
      <c r="R297" s="44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7"/>
      <c r="AI297" s="44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  <c r="AU297" s="36"/>
      <c r="AV297" s="36"/>
      <c r="AW297" s="36"/>
      <c r="AX297" s="36"/>
      <c r="AY297" s="37"/>
      <c r="AZ297" s="44"/>
      <c r="BA297" s="36"/>
      <c r="BB297" s="36"/>
      <c r="BC297" s="36"/>
      <c r="BD297" s="36"/>
      <c r="BE297" s="36"/>
      <c r="BF297" s="36"/>
      <c r="BG297" s="36"/>
      <c r="BH297" s="36"/>
      <c r="BI297" s="36"/>
      <c r="BJ297" s="36"/>
      <c r="BK297" s="36"/>
      <c r="BL297" s="36"/>
      <c r="BM297" s="36"/>
      <c r="BN297" s="36"/>
      <c r="BO297" s="36"/>
      <c r="BP297" s="37"/>
      <c r="BQ297" s="44"/>
      <c r="BR297" s="36"/>
      <c r="BS297" s="36"/>
      <c r="BT297" s="36"/>
      <c r="BU297" s="36"/>
      <c r="BV297" s="36"/>
      <c r="BW297" s="36"/>
      <c r="BX297" s="36"/>
      <c r="BY297" s="36"/>
      <c r="BZ297" s="36"/>
      <c r="CA297" s="36"/>
      <c r="CB297" s="36"/>
      <c r="CC297" s="36"/>
      <c r="CD297" s="36"/>
      <c r="CE297" s="36"/>
      <c r="CF297" s="36"/>
      <c r="CG297" s="37"/>
      <c r="CH297" s="44"/>
      <c r="CI297" s="36"/>
      <c r="CJ297" s="36"/>
      <c r="CK297" s="36"/>
      <c r="CL297" s="36"/>
      <c r="CM297" s="36"/>
      <c r="CN297" s="36"/>
      <c r="CO297" s="36"/>
      <c r="CP297" s="36"/>
      <c r="CQ297" s="36"/>
      <c r="CR297" s="36"/>
      <c r="CS297" s="36"/>
      <c r="CT297" s="36"/>
      <c r="CU297" s="36"/>
      <c r="CV297" s="36"/>
      <c r="CW297" s="36"/>
      <c r="CX297" s="37"/>
      <c r="CY297" s="44"/>
      <c r="CZ297" s="36"/>
      <c r="DA297" s="36"/>
      <c r="DB297" s="36"/>
      <c r="DC297" s="36"/>
      <c r="DD297" s="36"/>
      <c r="DE297" s="36"/>
      <c r="DF297" s="36"/>
      <c r="DG297" s="36"/>
      <c r="DH297" s="36"/>
      <c r="DI297" s="36"/>
      <c r="DJ297" s="36"/>
      <c r="DK297" s="36"/>
      <c r="DL297" s="36"/>
      <c r="DM297" s="36"/>
      <c r="DN297" s="36"/>
      <c r="DO297" s="37"/>
      <c r="DP297" s="44"/>
      <c r="DQ297" s="36"/>
      <c r="DR297" s="36"/>
      <c r="DS297" s="36"/>
      <c r="DT297" s="36"/>
      <c r="DU297" s="36"/>
      <c r="DV297" s="36"/>
      <c r="DW297" s="36"/>
      <c r="DX297" s="36"/>
      <c r="DY297" s="36"/>
      <c r="DZ297" s="36"/>
      <c r="EA297" s="36"/>
      <c r="EB297" s="36"/>
      <c r="EC297" s="36"/>
      <c r="ED297" s="36"/>
      <c r="EE297" s="36"/>
      <c r="EF297" s="37"/>
      <c r="EG297" s="44"/>
      <c r="EH297" s="36"/>
      <c r="EI297" s="36"/>
      <c r="EJ297" s="36"/>
      <c r="EK297" s="36"/>
      <c r="EL297" s="36"/>
      <c r="EM297" s="36"/>
      <c r="EN297" s="36"/>
      <c r="EO297" s="36"/>
      <c r="EP297" s="36"/>
      <c r="EQ297" s="36"/>
      <c r="ER297" s="36"/>
      <c r="ES297" s="36"/>
      <c r="ET297" s="36"/>
      <c r="EU297" s="36"/>
      <c r="EV297" s="36"/>
      <c r="EW297" s="37"/>
      <c r="EX297" s="44"/>
      <c r="EY297" s="36"/>
      <c r="EZ297" s="36"/>
      <c r="FA297" s="36"/>
      <c r="FB297" s="36"/>
      <c r="FC297" s="36"/>
      <c r="FD297" s="36"/>
      <c r="FE297" s="36"/>
      <c r="FF297" s="36"/>
      <c r="FG297" s="36"/>
      <c r="FH297" s="36"/>
      <c r="FI297" s="36"/>
      <c r="FJ297" s="36"/>
      <c r="FK297" s="36"/>
      <c r="FL297" s="36"/>
      <c r="FM297" s="36"/>
      <c r="FN297" s="37"/>
      <c r="FO297" s="44"/>
      <c r="FP297" s="36"/>
      <c r="FQ297" s="36"/>
      <c r="FR297" s="36"/>
      <c r="FS297" s="36"/>
      <c r="FT297" s="36"/>
      <c r="FU297" s="36"/>
      <c r="FV297" s="36"/>
      <c r="FW297" s="36"/>
      <c r="FX297" s="36"/>
      <c r="FY297" s="36"/>
      <c r="FZ297" s="36"/>
      <c r="GA297" s="36"/>
      <c r="GB297" s="36"/>
      <c r="GC297" s="36"/>
      <c r="GD297" s="36"/>
      <c r="GE297" s="37"/>
      <c r="GF297" s="44"/>
      <c r="GG297" s="36"/>
      <c r="GH297" s="36"/>
      <c r="GI297" s="36"/>
      <c r="GJ297" s="36"/>
      <c r="GK297" s="36"/>
      <c r="GL297" s="36"/>
      <c r="GM297" s="36"/>
      <c r="GN297" s="36"/>
      <c r="GO297" s="36"/>
      <c r="GP297" s="36"/>
      <c r="GQ297" s="36"/>
      <c r="GR297" s="36"/>
      <c r="GS297" s="36"/>
      <c r="GT297" s="36"/>
      <c r="GU297" s="36"/>
      <c r="GV297" s="37"/>
      <c r="GW297" s="44"/>
      <c r="GX297" s="36"/>
      <c r="GY297" s="36"/>
      <c r="GZ297" s="36"/>
      <c r="HA297" s="36"/>
      <c r="HB297" s="36"/>
      <c r="HC297" s="36"/>
      <c r="HD297" s="36"/>
      <c r="HE297" s="36"/>
      <c r="HF297" s="36"/>
      <c r="HG297" s="36"/>
      <c r="HH297" s="36"/>
      <c r="HI297" s="36"/>
      <c r="HJ297" s="36"/>
      <c r="HK297" s="36"/>
      <c r="HL297" s="36"/>
      <c r="HM297" s="37"/>
      <c r="HN297" s="44"/>
      <c r="HO297" s="36"/>
      <c r="HP297" s="36"/>
      <c r="HQ297" s="36"/>
      <c r="HR297" s="36"/>
      <c r="HS297" s="36"/>
      <c r="HT297" s="36"/>
      <c r="HU297" s="36"/>
      <c r="HV297" s="36"/>
      <c r="HW297" s="36"/>
      <c r="HX297" s="36"/>
      <c r="HY297" s="36"/>
      <c r="HZ297" s="36"/>
      <c r="IA297" s="36"/>
      <c r="IB297" s="36"/>
      <c r="IC297" s="36"/>
      <c r="ID297" s="37"/>
      <c r="IE297" s="44"/>
      <c r="IF297" s="36"/>
      <c r="IG297" s="36"/>
      <c r="IH297" s="36"/>
      <c r="II297" s="36"/>
      <c r="IJ297" s="36"/>
      <c r="IK297" s="36"/>
      <c r="IL297" s="36"/>
      <c r="IM297" s="36"/>
      <c r="IN297" s="36"/>
      <c r="IO297" s="36"/>
      <c r="IP297" s="36"/>
      <c r="IQ297" s="36"/>
      <c r="IR297" s="36"/>
      <c r="IS297" s="36"/>
      <c r="IT297" s="36"/>
      <c r="IU297" s="37"/>
      <c r="IV297" s="44"/>
      <c r="IW297" s="36"/>
      <c r="IX297" s="36"/>
      <c r="IY297" s="36"/>
      <c r="IZ297" s="36"/>
      <c r="JA297" s="36"/>
      <c r="JB297" s="36"/>
      <c r="JC297" s="36"/>
      <c r="JD297" s="36"/>
      <c r="JE297" s="36"/>
      <c r="JF297" s="36"/>
      <c r="JG297" s="36"/>
      <c r="JH297" s="36"/>
      <c r="JI297" s="36"/>
      <c r="JJ297" s="36"/>
      <c r="JK297" s="36"/>
      <c r="JL297" s="37"/>
      <c r="JM297" s="44"/>
      <c r="JN297" s="36"/>
      <c r="JO297" s="36"/>
      <c r="JP297" s="36"/>
      <c r="JQ297" s="36"/>
      <c r="JR297" s="36"/>
      <c r="JS297" s="36"/>
      <c r="JT297" s="36"/>
      <c r="JU297" s="36"/>
      <c r="JV297" s="36"/>
      <c r="JW297" s="36"/>
      <c r="JX297" s="36"/>
      <c r="JY297" s="36"/>
      <c r="JZ297" s="36"/>
      <c r="KA297" s="36"/>
      <c r="KB297" s="36"/>
      <c r="KC297" s="37"/>
      <c r="KD297" s="44"/>
      <c r="KE297" s="36"/>
      <c r="KF297" s="36"/>
      <c r="KG297" s="36"/>
      <c r="KH297" s="36"/>
      <c r="KI297" s="36"/>
      <c r="KJ297" s="36"/>
      <c r="KK297" s="36"/>
      <c r="KL297" s="36"/>
      <c r="KM297" s="36"/>
      <c r="KN297" s="36"/>
      <c r="KO297" s="36"/>
      <c r="KP297" s="36"/>
      <c r="KQ297" s="36"/>
      <c r="KR297" s="36"/>
      <c r="KS297" s="36"/>
      <c r="KT297" s="37"/>
      <c r="KU297" s="36"/>
    </row>
    <row r="298" ht="15.0" customHeight="1">
      <c r="A298" s="44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7"/>
      <c r="R298" s="44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7"/>
      <c r="AI298" s="44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  <c r="AU298" s="36"/>
      <c r="AV298" s="36"/>
      <c r="AW298" s="36"/>
      <c r="AX298" s="36"/>
      <c r="AY298" s="37"/>
      <c r="AZ298" s="44"/>
      <c r="BA298" s="36"/>
      <c r="BB298" s="36"/>
      <c r="BC298" s="36"/>
      <c r="BD298" s="36"/>
      <c r="BE298" s="36"/>
      <c r="BF298" s="36"/>
      <c r="BG298" s="36"/>
      <c r="BH298" s="36"/>
      <c r="BI298" s="36"/>
      <c r="BJ298" s="36"/>
      <c r="BK298" s="36"/>
      <c r="BL298" s="36"/>
      <c r="BM298" s="36"/>
      <c r="BN298" s="36"/>
      <c r="BO298" s="36"/>
      <c r="BP298" s="37"/>
      <c r="BQ298" s="44"/>
      <c r="BR298" s="36"/>
      <c r="BS298" s="36"/>
      <c r="BT298" s="36"/>
      <c r="BU298" s="36"/>
      <c r="BV298" s="36"/>
      <c r="BW298" s="36"/>
      <c r="BX298" s="36"/>
      <c r="BY298" s="36"/>
      <c r="BZ298" s="36"/>
      <c r="CA298" s="36"/>
      <c r="CB298" s="36"/>
      <c r="CC298" s="36"/>
      <c r="CD298" s="36"/>
      <c r="CE298" s="36"/>
      <c r="CF298" s="36"/>
      <c r="CG298" s="37"/>
      <c r="CH298" s="44"/>
      <c r="CI298" s="36"/>
      <c r="CJ298" s="36"/>
      <c r="CK298" s="36"/>
      <c r="CL298" s="36"/>
      <c r="CM298" s="36"/>
      <c r="CN298" s="36"/>
      <c r="CO298" s="36"/>
      <c r="CP298" s="36"/>
      <c r="CQ298" s="36"/>
      <c r="CR298" s="36"/>
      <c r="CS298" s="36"/>
      <c r="CT298" s="36"/>
      <c r="CU298" s="36"/>
      <c r="CV298" s="36"/>
      <c r="CW298" s="36"/>
      <c r="CX298" s="37"/>
      <c r="CY298" s="44"/>
      <c r="CZ298" s="36"/>
      <c r="DA298" s="36"/>
      <c r="DB298" s="36"/>
      <c r="DC298" s="36"/>
      <c r="DD298" s="36"/>
      <c r="DE298" s="36"/>
      <c r="DF298" s="36"/>
      <c r="DG298" s="36"/>
      <c r="DH298" s="36"/>
      <c r="DI298" s="36"/>
      <c r="DJ298" s="36"/>
      <c r="DK298" s="36"/>
      <c r="DL298" s="36"/>
      <c r="DM298" s="36"/>
      <c r="DN298" s="36"/>
      <c r="DO298" s="37"/>
      <c r="DP298" s="44"/>
      <c r="DQ298" s="36"/>
      <c r="DR298" s="36"/>
      <c r="DS298" s="36"/>
      <c r="DT298" s="36"/>
      <c r="DU298" s="36"/>
      <c r="DV298" s="36"/>
      <c r="DW298" s="36"/>
      <c r="DX298" s="36"/>
      <c r="DY298" s="36"/>
      <c r="DZ298" s="36"/>
      <c r="EA298" s="36"/>
      <c r="EB298" s="36"/>
      <c r="EC298" s="36"/>
      <c r="ED298" s="36"/>
      <c r="EE298" s="36"/>
      <c r="EF298" s="37"/>
      <c r="EG298" s="44"/>
      <c r="EH298" s="36"/>
      <c r="EI298" s="36"/>
      <c r="EJ298" s="36"/>
      <c r="EK298" s="36"/>
      <c r="EL298" s="36"/>
      <c r="EM298" s="36"/>
      <c r="EN298" s="36"/>
      <c r="EO298" s="36"/>
      <c r="EP298" s="36"/>
      <c r="EQ298" s="36"/>
      <c r="ER298" s="36"/>
      <c r="ES298" s="36"/>
      <c r="ET298" s="36"/>
      <c r="EU298" s="36"/>
      <c r="EV298" s="36"/>
      <c r="EW298" s="37"/>
      <c r="EX298" s="44"/>
      <c r="EY298" s="36"/>
      <c r="EZ298" s="36"/>
      <c r="FA298" s="36"/>
      <c r="FB298" s="36"/>
      <c r="FC298" s="36"/>
      <c r="FD298" s="36"/>
      <c r="FE298" s="36"/>
      <c r="FF298" s="36"/>
      <c r="FG298" s="36"/>
      <c r="FH298" s="36"/>
      <c r="FI298" s="36"/>
      <c r="FJ298" s="36"/>
      <c r="FK298" s="36"/>
      <c r="FL298" s="36"/>
      <c r="FM298" s="36"/>
      <c r="FN298" s="37"/>
      <c r="FO298" s="44"/>
      <c r="FP298" s="36"/>
      <c r="FQ298" s="36"/>
      <c r="FR298" s="36"/>
      <c r="FS298" s="36"/>
      <c r="FT298" s="36"/>
      <c r="FU298" s="36"/>
      <c r="FV298" s="36"/>
      <c r="FW298" s="36"/>
      <c r="FX298" s="36"/>
      <c r="FY298" s="36"/>
      <c r="FZ298" s="36"/>
      <c r="GA298" s="36"/>
      <c r="GB298" s="36"/>
      <c r="GC298" s="36"/>
      <c r="GD298" s="36"/>
      <c r="GE298" s="37"/>
      <c r="GF298" s="44"/>
      <c r="GG298" s="36"/>
      <c r="GH298" s="36"/>
      <c r="GI298" s="36"/>
      <c r="GJ298" s="36"/>
      <c r="GK298" s="36"/>
      <c r="GL298" s="36"/>
      <c r="GM298" s="36"/>
      <c r="GN298" s="36"/>
      <c r="GO298" s="36"/>
      <c r="GP298" s="36"/>
      <c r="GQ298" s="36"/>
      <c r="GR298" s="36"/>
      <c r="GS298" s="36"/>
      <c r="GT298" s="36"/>
      <c r="GU298" s="36"/>
      <c r="GV298" s="37"/>
      <c r="GW298" s="44"/>
      <c r="GX298" s="36"/>
      <c r="GY298" s="36"/>
      <c r="GZ298" s="36"/>
      <c r="HA298" s="36"/>
      <c r="HB298" s="36"/>
      <c r="HC298" s="36"/>
      <c r="HD298" s="36"/>
      <c r="HE298" s="36"/>
      <c r="HF298" s="36"/>
      <c r="HG298" s="36"/>
      <c r="HH298" s="36"/>
      <c r="HI298" s="36"/>
      <c r="HJ298" s="36"/>
      <c r="HK298" s="36"/>
      <c r="HL298" s="36"/>
      <c r="HM298" s="37"/>
      <c r="HN298" s="44"/>
      <c r="HO298" s="36"/>
      <c r="HP298" s="36"/>
      <c r="HQ298" s="36"/>
      <c r="HR298" s="36"/>
      <c r="HS298" s="36"/>
      <c r="HT298" s="36"/>
      <c r="HU298" s="36"/>
      <c r="HV298" s="36"/>
      <c r="HW298" s="36"/>
      <c r="HX298" s="36"/>
      <c r="HY298" s="36"/>
      <c r="HZ298" s="36"/>
      <c r="IA298" s="36"/>
      <c r="IB298" s="36"/>
      <c r="IC298" s="36"/>
      <c r="ID298" s="37"/>
      <c r="IE298" s="44"/>
      <c r="IF298" s="36"/>
      <c r="IG298" s="36"/>
      <c r="IH298" s="36"/>
      <c r="II298" s="36"/>
      <c r="IJ298" s="36"/>
      <c r="IK298" s="36"/>
      <c r="IL298" s="36"/>
      <c r="IM298" s="36"/>
      <c r="IN298" s="36"/>
      <c r="IO298" s="36"/>
      <c r="IP298" s="36"/>
      <c r="IQ298" s="36"/>
      <c r="IR298" s="36"/>
      <c r="IS298" s="36"/>
      <c r="IT298" s="36"/>
      <c r="IU298" s="37"/>
      <c r="IV298" s="44"/>
      <c r="IW298" s="36"/>
      <c r="IX298" s="36"/>
      <c r="IY298" s="36"/>
      <c r="IZ298" s="36"/>
      <c r="JA298" s="36"/>
      <c r="JB298" s="36"/>
      <c r="JC298" s="36"/>
      <c r="JD298" s="36"/>
      <c r="JE298" s="36"/>
      <c r="JF298" s="36"/>
      <c r="JG298" s="36"/>
      <c r="JH298" s="36"/>
      <c r="JI298" s="36"/>
      <c r="JJ298" s="36"/>
      <c r="JK298" s="36"/>
      <c r="JL298" s="37"/>
      <c r="JM298" s="44"/>
      <c r="JN298" s="36"/>
      <c r="JO298" s="36"/>
      <c r="JP298" s="36"/>
      <c r="JQ298" s="36"/>
      <c r="JR298" s="36"/>
      <c r="JS298" s="36"/>
      <c r="JT298" s="36"/>
      <c r="JU298" s="36"/>
      <c r="JV298" s="36"/>
      <c r="JW298" s="36"/>
      <c r="JX298" s="36"/>
      <c r="JY298" s="36"/>
      <c r="JZ298" s="36"/>
      <c r="KA298" s="36"/>
      <c r="KB298" s="36"/>
      <c r="KC298" s="37"/>
      <c r="KD298" s="44"/>
      <c r="KE298" s="36"/>
      <c r="KF298" s="36"/>
      <c r="KG298" s="36"/>
      <c r="KH298" s="36"/>
      <c r="KI298" s="36"/>
      <c r="KJ298" s="36"/>
      <c r="KK298" s="36"/>
      <c r="KL298" s="36"/>
      <c r="KM298" s="36"/>
      <c r="KN298" s="36"/>
      <c r="KO298" s="36"/>
      <c r="KP298" s="36"/>
      <c r="KQ298" s="36"/>
      <c r="KR298" s="36"/>
      <c r="KS298" s="36"/>
      <c r="KT298" s="37"/>
      <c r="KU298" s="36"/>
    </row>
    <row r="299" ht="15.0" customHeight="1">
      <c r="A299" s="44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7"/>
      <c r="R299" s="44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7"/>
      <c r="AI299" s="44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  <c r="AU299" s="36"/>
      <c r="AV299" s="36"/>
      <c r="AW299" s="36"/>
      <c r="AX299" s="36"/>
      <c r="AY299" s="37"/>
      <c r="AZ299" s="44"/>
      <c r="BA299" s="36"/>
      <c r="BB299" s="36"/>
      <c r="BC299" s="36"/>
      <c r="BD299" s="36"/>
      <c r="BE299" s="36"/>
      <c r="BF299" s="36"/>
      <c r="BG299" s="36"/>
      <c r="BH299" s="36"/>
      <c r="BI299" s="36"/>
      <c r="BJ299" s="36"/>
      <c r="BK299" s="36"/>
      <c r="BL299" s="36"/>
      <c r="BM299" s="36"/>
      <c r="BN299" s="36"/>
      <c r="BO299" s="36"/>
      <c r="BP299" s="37"/>
      <c r="BQ299" s="44"/>
      <c r="BR299" s="36"/>
      <c r="BS299" s="36"/>
      <c r="BT299" s="36"/>
      <c r="BU299" s="36"/>
      <c r="BV299" s="36"/>
      <c r="BW299" s="36"/>
      <c r="BX299" s="36"/>
      <c r="BY299" s="36"/>
      <c r="BZ299" s="36"/>
      <c r="CA299" s="36"/>
      <c r="CB299" s="36"/>
      <c r="CC299" s="36"/>
      <c r="CD299" s="36"/>
      <c r="CE299" s="36"/>
      <c r="CF299" s="36"/>
      <c r="CG299" s="37"/>
      <c r="CH299" s="44"/>
      <c r="CI299" s="36"/>
      <c r="CJ299" s="36"/>
      <c r="CK299" s="36"/>
      <c r="CL299" s="36"/>
      <c r="CM299" s="36"/>
      <c r="CN299" s="36"/>
      <c r="CO299" s="36"/>
      <c r="CP299" s="36"/>
      <c r="CQ299" s="36"/>
      <c r="CR299" s="36"/>
      <c r="CS299" s="36"/>
      <c r="CT299" s="36"/>
      <c r="CU299" s="36"/>
      <c r="CV299" s="36"/>
      <c r="CW299" s="36"/>
      <c r="CX299" s="37"/>
      <c r="CY299" s="44"/>
      <c r="CZ299" s="36"/>
      <c r="DA299" s="36"/>
      <c r="DB299" s="36"/>
      <c r="DC299" s="36"/>
      <c r="DD299" s="36"/>
      <c r="DE299" s="36"/>
      <c r="DF299" s="36"/>
      <c r="DG299" s="36"/>
      <c r="DH299" s="36"/>
      <c r="DI299" s="36"/>
      <c r="DJ299" s="36"/>
      <c r="DK299" s="36"/>
      <c r="DL299" s="36"/>
      <c r="DM299" s="36"/>
      <c r="DN299" s="36"/>
      <c r="DO299" s="37"/>
      <c r="DP299" s="44"/>
      <c r="DQ299" s="36"/>
      <c r="DR299" s="36"/>
      <c r="DS299" s="36"/>
      <c r="DT299" s="36"/>
      <c r="DU299" s="36"/>
      <c r="DV299" s="36"/>
      <c r="DW299" s="36"/>
      <c r="DX299" s="36"/>
      <c r="DY299" s="36"/>
      <c r="DZ299" s="36"/>
      <c r="EA299" s="36"/>
      <c r="EB299" s="36"/>
      <c r="EC299" s="36"/>
      <c r="ED299" s="36"/>
      <c r="EE299" s="36"/>
      <c r="EF299" s="37"/>
      <c r="EG299" s="44"/>
      <c r="EH299" s="36"/>
      <c r="EI299" s="36"/>
      <c r="EJ299" s="36"/>
      <c r="EK299" s="36"/>
      <c r="EL299" s="36"/>
      <c r="EM299" s="36"/>
      <c r="EN299" s="36"/>
      <c r="EO299" s="36"/>
      <c r="EP299" s="36"/>
      <c r="EQ299" s="36"/>
      <c r="ER299" s="36"/>
      <c r="ES299" s="36"/>
      <c r="ET299" s="36"/>
      <c r="EU299" s="36"/>
      <c r="EV299" s="36"/>
      <c r="EW299" s="37"/>
      <c r="EX299" s="44"/>
      <c r="EY299" s="36"/>
      <c r="EZ299" s="36"/>
      <c r="FA299" s="36"/>
      <c r="FB299" s="36"/>
      <c r="FC299" s="36"/>
      <c r="FD299" s="36"/>
      <c r="FE299" s="36"/>
      <c r="FF299" s="36"/>
      <c r="FG299" s="36"/>
      <c r="FH299" s="36"/>
      <c r="FI299" s="36"/>
      <c r="FJ299" s="36"/>
      <c r="FK299" s="36"/>
      <c r="FL299" s="36"/>
      <c r="FM299" s="36"/>
      <c r="FN299" s="37"/>
      <c r="FO299" s="44"/>
      <c r="FP299" s="36"/>
      <c r="FQ299" s="36"/>
      <c r="FR299" s="36"/>
      <c r="FS299" s="36"/>
      <c r="FT299" s="36"/>
      <c r="FU299" s="36"/>
      <c r="FV299" s="36"/>
      <c r="FW299" s="36"/>
      <c r="FX299" s="36"/>
      <c r="FY299" s="36"/>
      <c r="FZ299" s="36"/>
      <c r="GA299" s="36"/>
      <c r="GB299" s="36"/>
      <c r="GC299" s="36"/>
      <c r="GD299" s="36"/>
      <c r="GE299" s="37"/>
      <c r="GF299" s="44"/>
      <c r="GG299" s="36"/>
      <c r="GH299" s="36"/>
      <c r="GI299" s="36"/>
      <c r="GJ299" s="36"/>
      <c r="GK299" s="36"/>
      <c r="GL299" s="36"/>
      <c r="GM299" s="36"/>
      <c r="GN299" s="36"/>
      <c r="GO299" s="36"/>
      <c r="GP299" s="36"/>
      <c r="GQ299" s="36"/>
      <c r="GR299" s="36"/>
      <c r="GS299" s="36"/>
      <c r="GT299" s="36"/>
      <c r="GU299" s="36"/>
      <c r="GV299" s="37"/>
      <c r="GW299" s="44"/>
      <c r="GX299" s="36"/>
      <c r="GY299" s="36"/>
      <c r="GZ299" s="36"/>
      <c r="HA299" s="36"/>
      <c r="HB299" s="36"/>
      <c r="HC299" s="36"/>
      <c r="HD299" s="36"/>
      <c r="HE299" s="36"/>
      <c r="HF299" s="36"/>
      <c r="HG299" s="36"/>
      <c r="HH299" s="36"/>
      <c r="HI299" s="36"/>
      <c r="HJ299" s="36"/>
      <c r="HK299" s="36"/>
      <c r="HL299" s="36"/>
      <c r="HM299" s="37"/>
      <c r="HN299" s="44"/>
      <c r="HO299" s="36"/>
      <c r="HP299" s="36"/>
      <c r="HQ299" s="36"/>
      <c r="HR299" s="36"/>
      <c r="HS299" s="36"/>
      <c r="HT299" s="36"/>
      <c r="HU299" s="36"/>
      <c r="HV299" s="36"/>
      <c r="HW299" s="36"/>
      <c r="HX299" s="36"/>
      <c r="HY299" s="36"/>
      <c r="HZ299" s="36"/>
      <c r="IA299" s="36"/>
      <c r="IB299" s="36"/>
      <c r="IC299" s="36"/>
      <c r="ID299" s="37"/>
      <c r="IE299" s="44"/>
      <c r="IF299" s="36"/>
      <c r="IG299" s="36"/>
      <c r="IH299" s="36"/>
      <c r="II299" s="36"/>
      <c r="IJ299" s="36"/>
      <c r="IK299" s="36"/>
      <c r="IL299" s="36"/>
      <c r="IM299" s="36"/>
      <c r="IN299" s="36"/>
      <c r="IO299" s="36"/>
      <c r="IP299" s="36"/>
      <c r="IQ299" s="36"/>
      <c r="IR299" s="36"/>
      <c r="IS299" s="36"/>
      <c r="IT299" s="36"/>
      <c r="IU299" s="37"/>
      <c r="IV299" s="44"/>
      <c r="IW299" s="36"/>
      <c r="IX299" s="36"/>
      <c r="IY299" s="36"/>
      <c r="IZ299" s="36"/>
      <c r="JA299" s="36"/>
      <c r="JB299" s="36"/>
      <c r="JC299" s="36"/>
      <c r="JD299" s="36"/>
      <c r="JE299" s="36"/>
      <c r="JF299" s="36"/>
      <c r="JG299" s="36"/>
      <c r="JH299" s="36"/>
      <c r="JI299" s="36"/>
      <c r="JJ299" s="36"/>
      <c r="JK299" s="36"/>
      <c r="JL299" s="37"/>
      <c r="JM299" s="44"/>
      <c r="JN299" s="36"/>
      <c r="JO299" s="36"/>
      <c r="JP299" s="36"/>
      <c r="JQ299" s="36"/>
      <c r="JR299" s="36"/>
      <c r="JS299" s="36"/>
      <c r="JT299" s="36"/>
      <c r="JU299" s="36"/>
      <c r="JV299" s="36"/>
      <c r="JW299" s="36"/>
      <c r="JX299" s="36"/>
      <c r="JY299" s="36"/>
      <c r="JZ299" s="36"/>
      <c r="KA299" s="36"/>
      <c r="KB299" s="36"/>
      <c r="KC299" s="37"/>
      <c r="KD299" s="44"/>
      <c r="KE299" s="36"/>
      <c r="KF299" s="36"/>
      <c r="KG299" s="36"/>
      <c r="KH299" s="36"/>
      <c r="KI299" s="36"/>
      <c r="KJ299" s="36"/>
      <c r="KK299" s="36"/>
      <c r="KL299" s="36"/>
      <c r="KM299" s="36"/>
      <c r="KN299" s="36"/>
      <c r="KO299" s="36"/>
      <c r="KP299" s="36"/>
      <c r="KQ299" s="36"/>
      <c r="KR299" s="36"/>
      <c r="KS299" s="36"/>
      <c r="KT299" s="37"/>
      <c r="KU299" s="36"/>
    </row>
    <row r="300" ht="15.0" customHeight="1">
      <c r="A300" s="44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7"/>
      <c r="R300" s="44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7"/>
      <c r="AI300" s="44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  <c r="AU300" s="36"/>
      <c r="AV300" s="36"/>
      <c r="AW300" s="36"/>
      <c r="AX300" s="36"/>
      <c r="AY300" s="37"/>
      <c r="AZ300" s="44"/>
      <c r="BA300" s="36"/>
      <c r="BB300" s="36"/>
      <c r="BC300" s="36"/>
      <c r="BD300" s="36"/>
      <c r="BE300" s="36"/>
      <c r="BF300" s="36"/>
      <c r="BG300" s="36"/>
      <c r="BH300" s="36"/>
      <c r="BI300" s="36"/>
      <c r="BJ300" s="36"/>
      <c r="BK300" s="36"/>
      <c r="BL300" s="36"/>
      <c r="BM300" s="36"/>
      <c r="BN300" s="36"/>
      <c r="BO300" s="36"/>
      <c r="BP300" s="37"/>
      <c r="BQ300" s="44"/>
      <c r="BR300" s="36"/>
      <c r="BS300" s="36"/>
      <c r="BT300" s="36"/>
      <c r="BU300" s="36"/>
      <c r="BV300" s="36"/>
      <c r="BW300" s="36"/>
      <c r="BX300" s="36"/>
      <c r="BY300" s="36"/>
      <c r="BZ300" s="36"/>
      <c r="CA300" s="36"/>
      <c r="CB300" s="36"/>
      <c r="CC300" s="36"/>
      <c r="CD300" s="36"/>
      <c r="CE300" s="36"/>
      <c r="CF300" s="36"/>
      <c r="CG300" s="37"/>
      <c r="CH300" s="44"/>
      <c r="CI300" s="36"/>
      <c r="CJ300" s="36"/>
      <c r="CK300" s="36"/>
      <c r="CL300" s="36"/>
      <c r="CM300" s="36"/>
      <c r="CN300" s="36"/>
      <c r="CO300" s="36"/>
      <c r="CP300" s="36"/>
      <c r="CQ300" s="36"/>
      <c r="CR300" s="36"/>
      <c r="CS300" s="36"/>
      <c r="CT300" s="36"/>
      <c r="CU300" s="36"/>
      <c r="CV300" s="36"/>
      <c r="CW300" s="36"/>
      <c r="CX300" s="37"/>
      <c r="CY300" s="44"/>
      <c r="CZ300" s="36"/>
      <c r="DA300" s="36"/>
      <c r="DB300" s="36"/>
      <c r="DC300" s="36"/>
      <c r="DD300" s="36"/>
      <c r="DE300" s="36"/>
      <c r="DF300" s="36"/>
      <c r="DG300" s="36"/>
      <c r="DH300" s="36"/>
      <c r="DI300" s="36"/>
      <c r="DJ300" s="36"/>
      <c r="DK300" s="36"/>
      <c r="DL300" s="36"/>
      <c r="DM300" s="36"/>
      <c r="DN300" s="36"/>
      <c r="DO300" s="37"/>
      <c r="DP300" s="44"/>
      <c r="DQ300" s="36"/>
      <c r="DR300" s="36"/>
      <c r="DS300" s="36"/>
      <c r="DT300" s="36"/>
      <c r="DU300" s="36"/>
      <c r="DV300" s="36"/>
      <c r="DW300" s="36"/>
      <c r="DX300" s="36"/>
      <c r="DY300" s="36"/>
      <c r="DZ300" s="36"/>
      <c r="EA300" s="36"/>
      <c r="EB300" s="36"/>
      <c r="EC300" s="36"/>
      <c r="ED300" s="36"/>
      <c r="EE300" s="36"/>
      <c r="EF300" s="37"/>
      <c r="EG300" s="44"/>
      <c r="EH300" s="36"/>
      <c r="EI300" s="36"/>
      <c r="EJ300" s="36"/>
      <c r="EK300" s="36"/>
      <c r="EL300" s="36"/>
      <c r="EM300" s="36"/>
      <c r="EN300" s="36"/>
      <c r="EO300" s="36"/>
      <c r="EP300" s="36"/>
      <c r="EQ300" s="36"/>
      <c r="ER300" s="36"/>
      <c r="ES300" s="36"/>
      <c r="ET300" s="36"/>
      <c r="EU300" s="36"/>
      <c r="EV300" s="36"/>
      <c r="EW300" s="37"/>
      <c r="EX300" s="44"/>
      <c r="EY300" s="36"/>
      <c r="EZ300" s="36"/>
      <c r="FA300" s="36"/>
      <c r="FB300" s="36"/>
      <c r="FC300" s="36"/>
      <c r="FD300" s="36"/>
      <c r="FE300" s="36"/>
      <c r="FF300" s="36"/>
      <c r="FG300" s="36"/>
      <c r="FH300" s="36"/>
      <c r="FI300" s="36"/>
      <c r="FJ300" s="36"/>
      <c r="FK300" s="36"/>
      <c r="FL300" s="36"/>
      <c r="FM300" s="36"/>
      <c r="FN300" s="37"/>
      <c r="FO300" s="44"/>
      <c r="FP300" s="36"/>
      <c r="FQ300" s="36"/>
      <c r="FR300" s="36"/>
      <c r="FS300" s="36"/>
      <c r="FT300" s="36"/>
      <c r="FU300" s="36"/>
      <c r="FV300" s="36"/>
      <c r="FW300" s="36"/>
      <c r="FX300" s="36"/>
      <c r="FY300" s="36"/>
      <c r="FZ300" s="36"/>
      <c r="GA300" s="36"/>
      <c r="GB300" s="36"/>
      <c r="GC300" s="36"/>
      <c r="GD300" s="36"/>
      <c r="GE300" s="37"/>
      <c r="GF300" s="44"/>
      <c r="GG300" s="36"/>
      <c r="GH300" s="36"/>
      <c r="GI300" s="36"/>
      <c r="GJ300" s="36"/>
      <c r="GK300" s="36"/>
      <c r="GL300" s="36"/>
      <c r="GM300" s="36"/>
      <c r="GN300" s="36"/>
      <c r="GO300" s="36"/>
      <c r="GP300" s="36"/>
      <c r="GQ300" s="36"/>
      <c r="GR300" s="36"/>
      <c r="GS300" s="36"/>
      <c r="GT300" s="36"/>
      <c r="GU300" s="36"/>
      <c r="GV300" s="37"/>
      <c r="GW300" s="44"/>
      <c r="GX300" s="36"/>
      <c r="GY300" s="36"/>
      <c r="GZ300" s="36"/>
      <c r="HA300" s="36"/>
      <c r="HB300" s="36"/>
      <c r="HC300" s="36"/>
      <c r="HD300" s="36"/>
      <c r="HE300" s="36"/>
      <c r="HF300" s="36"/>
      <c r="HG300" s="36"/>
      <c r="HH300" s="36"/>
      <c r="HI300" s="36"/>
      <c r="HJ300" s="36"/>
      <c r="HK300" s="36"/>
      <c r="HL300" s="36"/>
      <c r="HM300" s="37"/>
      <c r="HN300" s="44"/>
      <c r="HO300" s="36"/>
      <c r="HP300" s="36"/>
      <c r="HQ300" s="36"/>
      <c r="HR300" s="36"/>
      <c r="HS300" s="36"/>
      <c r="HT300" s="36"/>
      <c r="HU300" s="36"/>
      <c r="HV300" s="36"/>
      <c r="HW300" s="36"/>
      <c r="HX300" s="36"/>
      <c r="HY300" s="36"/>
      <c r="HZ300" s="36"/>
      <c r="IA300" s="36"/>
      <c r="IB300" s="36"/>
      <c r="IC300" s="36"/>
      <c r="ID300" s="37"/>
      <c r="IE300" s="44"/>
      <c r="IF300" s="36"/>
      <c r="IG300" s="36"/>
      <c r="IH300" s="36"/>
      <c r="II300" s="36"/>
      <c r="IJ300" s="36"/>
      <c r="IK300" s="36"/>
      <c r="IL300" s="36"/>
      <c r="IM300" s="36"/>
      <c r="IN300" s="36"/>
      <c r="IO300" s="36"/>
      <c r="IP300" s="36"/>
      <c r="IQ300" s="36"/>
      <c r="IR300" s="36"/>
      <c r="IS300" s="36"/>
      <c r="IT300" s="36"/>
      <c r="IU300" s="37"/>
      <c r="IV300" s="44"/>
      <c r="IW300" s="36"/>
      <c r="IX300" s="36"/>
      <c r="IY300" s="36"/>
      <c r="IZ300" s="36"/>
      <c r="JA300" s="36"/>
      <c r="JB300" s="36"/>
      <c r="JC300" s="36"/>
      <c r="JD300" s="36"/>
      <c r="JE300" s="36"/>
      <c r="JF300" s="36"/>
      <c r="JG300" s="36"/>
      <c r="JH300" s="36"/>
      <c r="JI300" s="36"/>
      <c r="JJ300" s="36"/>
      <c r="JK300" s="36"/>
      <c r="JL300" s="37"/>
      <c r="JM300" s="44"/>
      <c r="JN300" s="36"/>
      <c r="JO300" s="36"/>
      <c r="JP300" s="36"/>
      <c r="JQ300" s="36"/>
      <c r="JR300" s="36"/>
      <c r="JS300" s="36"/>
      <c r="JT300" s="36"/>
      <c r="JU300" s="36"/>
      <c r="JV300" s="36"/>
      <c r="JW300" s="36"/>
      <c r="JX300" s="36"/>
      <c r="JY300" s="36"/>
      <c r="JZ300" s="36"/>
      <c r="KA300" s="36"/>
      <c r="KB300" s="36"/>
      <c r="KC300" s="37"/>
      <c r="KD300" s="44"/>
      <c r="KE300" s="36"/>
      <c r="KF300" s="36"/>
      <c r="KG300" s="36"/>
      <c r="KH300" s="36"/>
      <c r="KI300" s="36"/>
      <c r="KJ300" s="36"/>
      <c r="KK300" s="36"/>
      <c r="KL300" s="36"/>
      <c r="KM300" s="36"/>
      <c r="KN300" s="36"/>
      <c r="KO300" s="36"/>
      <c r="KP300" s="36"/>
      <c r="KQ300" s="36"/>
      <c r="KR300" s="36"/>
      <c r="KS300" s="36"/>
      <c r="KT300" s="37"/>
      <c r="KU300" s="36"/>
    </row>
    <row r="301" ht="15.0" customHeight="1">
      <c r="A301" s="44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7"/>
      <c r="R301" s="44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7"/>
      <c r="AI301" s="44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  <c r="AU301" s="36"/>
      <c r="AV301" s="36"/>
      <c r="AW301" s="36"/>
      <c r="AX301" s="36"/>
      <c r="AY301" s="37"/>
      <c r="AZ301" s="44"/>
      <c r="BA301" s="36"/>
      <c r="BB301" s="36"/>
      <c r="BC301" s="36"/>
      <c r="BD301" s="36"/>
      <c r="BE301" s="36"/>
      <c r="BF301" s="36"/>
      <c r="BG301" s="36"/>
      <c r="BH301" s="36"/>
      <c r="BI301" s="36"/>
      <c r="BJ301" s="36"/>
      <c r="BK301" s="36"/>
      <c r="BL301" s="36"/>
      <c r="BM301" s="36"/>
      <c r="BN301" s="36"/>
      <c r="BO301" s="36"/>
      <c r="BP301" s="37"/>
      <c r="BQ301" s="44"/>
      <c r="BR301" s="36"/>
      <c r="BS301" s="36"/>
      <c r="BT301" s="36"/>
      <c r="BU301" s="36"/>
      <c r="BV301" s="36"/>
      <c r="BW301" s="36"/>
      <c r="BX301" s="36"/>
      <c r="BY301" s="36"/>
      <c r="BZ301" s="36"/>
      <c r="CA301" s="36"/>
      <c r="CB301" s="36"/>
      <c r="CC301" s="36"/>
      <c r="CD301" s="36"/>
      <c r="CE301" s="36"/>
      <c r="CF301" s="36"/>
      <c r="CG301" s="37"/>
      <c r="CH301" s="44"/>
      <c r="CI301" s="36"/>
      <c r="CJ301" s="36"/>
      <c r="CK301" s="36"/>
      <c r="CL301" s="36"/>
      <c r="CM301" s="36"/>
      <c r="CN301" s="36"/>
      <c r="CO301" s="36"/>
      <c r="CP301" s="36"/>
      <c r="CQ301" s="36"/>
      <c r="CR301" s="36"/>
      <c r="CS301" s="36"/>
      <c r="CT301" s="36"/>
      <c r="CU301" s="36"/>
      <c r="CV301" s="36"/>
      <c r="CW301" s="36"/>
      <c r="CX301" s="37"/>
      <c r="CY301" s="44"/>
      <c r="CZ301" s="36"/>
      <c r="DA301" s="36"/>
      <c r="DB301" s="36"/>
      <c r="DC301" s="36"/>
      <c r="DD301" s="36"/>
      <c r="DE301" s="36"/>
      <c r="DF301" s="36"/>
      <c r="DG301" s="36"/>
      <c r="DH301" s="36"/>
      <c r="DI301" s="36"/>
      <c r="DJ301" s="36"/>
      <c r="DK301" s="36"/>
      <c r="DL301" s="36"/>
      <c r="DM301" s="36"/>
      <c r="DN301" s="36"/>
      <c r="DO301" s="37"/>
      <c r="DP301" s="44"/>
      <c r="DQ301" s="36"/>
      <c r="DR301" s="36"/>
      <c r="DS301" s="36"/>
      <c r="DT301" s="36"/>
      <c r="DU301" s="36"/>
      <c r="DV301" s="36"/>
      <c r="DW301" s="36"/>
      <c r="DX301" s="36"/>
      <c r="DY301" s="36"/>
      <c r="DZ301" s="36"/>
      <c r="EA301" s="36"/>
      <c r="EB301" s="36"/>
      <c r="EC301" s="36"/>
      <c r="ED301" s="36"/>
      <c r="EE301" s="36"/>
      <c r="EF301" s="37"/>
      <c r="EG301" s="44"/>
      <c r="EH301" s="36"/>
      <c r="EI301" s="36"/>
      <c r="EJ301" s="36"/>
      <c r="EK301" s="36"/>
      <c r="EL301" s="36"/>
      <c r="EM301" s="36"/>
      <c r="EN301" s="36"/>
      <c r="EO301" s="36"/>
      <c r="EP301" s="36"/>
      <c r="EQ301" s="36"/>
      <c r="ER301" s="36"/>
      <c r="ES301" s="36"/>
      <c r="ET301" s="36"/>
      <c r="EU301" s="36"/>
      <c r="EV301" s="36"/>
      <c r="EW301" s="37"/>
      <c r="EX301" s="44"/>
      <c r="EY301" s="36"/>
      <c r="EZ301" s="36"/>
      <c r="FA301" s="36"/>
      <c r="FB301" s="36"/>
      <c r="FC301" s="36"/>
      <c r="FD301" s="36"/>
      <c r="FE301" s="36"/>
      <c r="FF301" s="36"/>
      <c r="FG301" s="36"/>
      <c r="FH301" s="36"/>
      <c r="FI301" s="36"/>
      <c r="FJ301" s="36"/>
      <c r="FK301" s="36"/>
      <c r="FL301" s="36"/>
      <c r="FM301" s="36"/>
      <c r="FN301" s="37"/>
      <c r="FO301" s="44"/>
      <c r="FP301" s="36"/>
      <c r="FQ301" s="36"/>
      <c r="FR301" s="36"/>
      <c r="FS301" s="36"/>
      <c r="FT301" s="36"/>
      <c r="FU301" s="36"/>
      <c r="FV301" s="36"/>
      <c r="FW301" s="36"/>
      <c r="FX301" s="36"/>
      <c r="FY301" s="36"/>
      <c r="FZ301" s="36"/>
      <c r="GA301" s="36"/>
      <c r="GB301" s="36"/>
      <c r="GC301" s="36"/>
      <c r="GD301" s="36"/>
      <c r="GE301" s="37"/>
      <c r="GF301" s="44"/>
      <c r="GG301" s="36"/>
      <c r="GH301" s="36"/>
      <c r="GI301" s="36"/>
      <c r="GJ301" s="36"/>
      <c r="GK301" s="36"/>
      <c r="GL301" s="36"/>
      <c r="GM301" s="36"/>
      <c r="GN301" s="36"/>
      <c r="GO301" s="36"/>
      <c r="GP301" s="36"/>
      <c r="GQ301" s="36"/>
      <c r="GR301" s="36"/>
      <c r="GS301" s="36"/>
      <c r="GT301" s="36"/>
      <c r="GU301" s="36"/>
      <c r="GV301" s="37"/>
      <c r="GW301" s="44"/>
      <c r="GX301" s="36"/>
      <c r="GY301" s="36"/>
      <c r="GZ301" s="36"/>
      <c r="HA301" s="36"/>
      <c r="HB301" s="36"/>
      <c r="HC301" s="36"/>
      <c r="HD301" s="36"/>
      <c r="HE301" s="36"/>
      <c r="HF301" s="36"/>
      <c r="HG301" s="36"/>
      <c r="HH301" s="36"/>
      <c r="HI301" s="36"/>
      <c r="HJ301" s="36"/>
      <c r="HK301" s="36"/>
      <c r="HL301" s="36"/>
      <c r="HM301" s="37"/>
      <c r="HN301" s="44"/>
      <c r="HO301" s="36"/>
      <c r="HP301" s="36"/>
      <c r="HQ301" s="36"/>
      <c r="HR301" s="36"/>
      <c r="HS301" s="36"/>
      <c r="HT301" s="36"/>
      <c r="HU301" s="36"/>
      <c r="HV301" s="36"/>
      <c r="HW301" s="36"/>
      <c r="HX301" s="36"/>
      <c r="HY301" s="36"/>
      <c r="HZ301" s="36"/>
      <c r="IA301" s="36"/>
      <c r="IB301" s="36"/>
      <c r="IC301" s="36"/>
      <c r="ID301" s="37"/>
      <c r="IE301" s="44"/>
      <c r="IF301" s="36"/>
      <c r="IG301" s="36"/>
      <c r="IH301" s="36"/>
      <c r="II301" s="36"/>
      <c r="IJ301" s="36"/>
      <c r="IK301" s="36"/>
      <c r="IL301" s="36"/>
      <c r="IM301" s="36"/>
      <c r="IN301" s="36"/>
      <c r="IO301" s="36"/>
      <c r="IP301" s="36"/>
      <c r="IQ301" s="36"/>
      <c r="IR301" s="36"/>
      <c r="IS301" s="36"/>
      <c r="IT301" s="36"/>
      <c r="IU301" s="37"/>
      <c r="IV301" s="44"/>
      <c r="IW301" s="36"/>
      <c r="IX301" s="36"/>
      <c r="IY301" s="36"/>
      <c r="IZ301" s="36"/>
      <c r="JA301" s="36"/>
      <c r="JB301" s="36"/>
      <c r="JC301" s="36"/>
      <c r="JD301" s="36"/>
      <c r="JE301" s="36"/>
      <c r="JF301" s="36"/>
      <c r="JG301" s="36"/>
      <c r="JH301" s="36"/>
      <c r="JI301" s="36"/>
      <c r="JJ301" s="36"/>
      <c r="JK301" s="36"/>
      <c r="JL301" s="37"/>
      <c r="JM301" s="44"/>
      <c r="JN301" s="36"/>
      <c r="JO301" s="36"/>
      <c r="JP301" s="36"/>
      <c r="JQ301" s="36"/>
      <c r="JR301" s="36"/>
      <c r="JS301" s="36"/>
      <c r="JT301" s="36"/>
      <c r="JU301" s="36"/>
      <c r="JV301" s="36"/>
      <c r="JW301" s="36"/>
      <c r="JX301" s="36"/>
      <c r="JY301" s="36"/>
      <c r="JZ301" s="36"/>
      <c r="KA301" s="36"/>
      <c r="KB301" s="36"/>
      <c r="KC301" s="37"/>
      <c r="KD301" s="44"/>
      <c r="KE301" s="36"/>
      <c r="KF301" s="36"/>
      <c r="KG301" s="36"/>
      <c r="KH301" s="36"/>
      <c r="KI301" s="36"/>
      <c r="KJ301" s="36"/>
      <c r="KK301" s="36"/>
      <c r="KL301" s="36"/>
      <c r="KM301" s="36"/>
      <c r="KN301" s="36"/>
      <c r="KO301" s="36"/>
      <c r="KP301" s="36"/>
      <c r="KQ301" s="36"/>
      <c r="KR301" s="36"/>
      <c r="KS301" s="36"/>
      <c r="KT301" s="37"/>
      <c r="KU301" s="36"/>
    </row>
    <row r="302" ht="15.0" customHeight="1">
      <c r="A302" s="44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7"/>
      <c r="R302" s="44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7"/>
      <c r="AI302" s="44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  <c r="AU302" s="36"/>
      <c r="AV302" s="36"/>
      <c r="AW302" s="36"/>
      <c r="AX302" s="36"/>
      <c r="AY302" s="37"/>
      <c r="AZ302" s="44"/>
      <c r="BA302" s="36"/>
      <c r="BB302" s="36"/>
      <c r="BC302" s="36"/>
      <c r="BD302" s="36"/>
      <c r="BE302" s="36"/>
      <c r="BF302" s="36"/>
      <c r="BG302" s="36"/>
      <c r="BH302" s="36"/>
      <c r="BI302" s="36"/>
      <c r="BJ302" s="36"/>
      <c r="BK302" s="36"/>
      <c r="BL302" s="36"/>
      <c r="BM302" s="36"/>
      <c r="BN302" s="36"/>
      <c r="BO302" s="36"/>
      <c r="BP302" s="37"/>
      <c r="BQ302" s="44"/>
      <c r="BR302" s="36"/>
      <c r="BS302" s="36"/>
      <c r="BT302" s="36"/>
      <c r="BU302" s="36"/>
      <c r="BV302" s="36"/>
      <c r="BW302" s="36"/>
      <c r="BX302" s="36"/>
      <c r="BY302" s="36"/>
      <c r="BZ302" s="36"/>
      <c r="CA302" s="36"/>
      <c r="CB302" s="36"/>
      <c r="CC302" s="36"/>
      <c r="CD302" s="36"/>
      <c r="CE302" s="36"/>
      <c r="CF302" s="36"/>
      <c r="CG302" s="37"/>
      <c r="CH302" s="44"/>
      <c r="CI302" s="36"/>
      <c r="CJ302" s="36"/>
      <c r="CK302" s="36"/>
      <c r="CL302" s="36"/>
      <c r="CM302" s="36"/>
      <c r="CN302" s="36"/>
      <c r="CO302" s="36"/>
      <c r="CP302" s="36"/>
      <c r="CQ302" s="36"/>
      <c r="CR302" s="36"/>
      <c r="CS302" s="36"/>
      <c r="CT302" s="36"/>
      <c r="CU302" s="36"/>
      <c r="CV302" s="36"/>
      <c r="CW302" s="36"/>
      <c r="CX302" s="37"/>
      <c r="CY302" s="44"/>
      <c r="CZ302" s="36"/>
      <c r="DA302" s="36"/>
      <c r="DB302" s="36"/>
      <c r="DC302" s="36"/>
      <c r="DD302" s="36"/>
      <c r="DE302" s="36"/>
      <c r="DF302" s="36"/>
      <c r="DG302" s="36"/>
      <c r="DH302" s="36"/>
      <c r="DI302" s="36"/>
      <c r="DJ302" s="36"/>
      <c r="DK302" s="36"/>
      <c r="DL302" s="36"/>
      <c r="DM302" s="36"/>
      <c r="DN302" s="36"/>
      <c r="DO302" s="37"/>
      <c r="DP302" s="44"/>
      <c r="DQ302" s="36"/>
      <c r="DR302" s="36"/>
      <c r="DS302" s="36"/>
      <c r="DT302" s="36"/>
      <c r="DU302" s="36"/>
      <c r="DV302" s="36"/>
      <c r="DW302" s="36"/>
      <c r="DX302" s="36"/>
      <c r="DY302" s="36"/>
      <c r="DZ302" s="36"/>
      <c r="EA302" s="36"/>
      <c r="EB302" s="36"/>
      <c r="EC302" s="36"/>
      <c r="ED302" s="36"/>
      <c r="EE302" s="36"/>
      <c r="EF302" s="37"/>
      <c r="EG302" s="44"/>
      <c r="EH302" s="36"/>
      <c r="EI302" s="36"/>
      <c r="EJ302" s="36"/>
      <c r="EK302" s="36"/>
      <c r="EL302" s="36"/>
      <c r="EM302" s="36"/>
      <c r="EN302" s="36"/>
      <c r="EO302" s="36"/>
      <c r="EP302" s="36"/>
      <c r="EQ302" s="36"/>
      <c r="ER302" s="36"/>
      <c r="ES302" s="36"/>
      <c r="ET302" s="36"/>
      <c r="EU302" s="36"/>
      <c r="EV302" s="36"/>
      <c r="EW302" s="37"/>
      <c r="EX302" s="44"/>
      <c r="EY302" s="36"/>
      <c r="EZ302" s="36"/>
      <c r="FA302" s="36"/>
      <c r="FB302" s="36"/>
      <c r="FC302" s="36"/>
      <c r="FD302" s="36"/>
      <c r="FE302" s="36"/>
      <c r="FF302" s="36"/>
      <c r="FG302" s="36"/>
      <c r="FH302" s="36"/>
      <c r="FI302" s="36"/>
      <c r="FJ302" s="36"/>
      <c r="FK302" s="36"/>
      <c r="FL302" s="36"/>
      <c r="FM302" s="36"/>
      <c r="FN302" s="37"/>
      <c r="FO302" s="44"/>
      <c r="FP302" s="36"/>
      <c r="FQ302" s="36"/>
      <c r="FR302" s="36"/>
      <c r="FS302" s="36"/>
      <c r="FT302" s="36"/>
      <c r="FU302" s="36"/>
      <c r="FV302" s="36"/>
      <c r="FW302" s="36"/>
      <c r="FX302" s="36"/>
      <c r="FY302" s="36"/>
      <c r="FZ302" s="36"/>
      <c r="GA302" s="36"/>
      <c r="GB302" s="36"/>
      <c r="GC302" s="36"/>
      <c r="GD302" s="36"/>
      <c r="GE302" s="37"/>
      <c r="GF302" s="44"/>
      <c r="GG302" s="36"/>
      <c r="GH302" s="36"/>
      <c r="GI302" s="36"/>
      <c r="GJ302" s="36"/>
      <c r="GK302" s="36"/>
      <c r="GL302" s="36"/>
      <c r="GM302" s="36"/>
      <c r="GN302" s="36"/>
      <c r="GO302" s="36"/>
      <c r="GP302" s="36"/>
      <c r="GQ302" s="36"/>
      <c r="GR302" s="36"/>
      <c r="GS302" s="36"/>
      <c r="GT302" s="36"/>
      <c r="GU302" s="36"/>
      <c r="GV302" s="37"/>
      <c r="GW302" s="44"/>
      <c r="GX302" s="36"/>
      <c r="GY302" s="36"/>
      <c r="GZ302" s="36"/>
      <c r="HA302" s="36"/>
      <c r="HB302" s="36"/>
      <c r="HC302" s="36"/>
      <c r="HD302" s="36"/>
      <c r="HE302" s="36"/>
      <c r="HF302" s="36"/>
      <c r="HG302" s="36"/>
      <c r="HH302" s="36"/>
      <c r="HI302" s="36"/>
      <c r="HJ302" s="36"/>
      <c r="HK302" s="36"/>
      <c r="HL302" s="36"/>
      <c r="HM302" s="37"/>
      <c r="HN302" s="44"/>
      <c r="HO302" s="36"/>
      <c r="HP302" s="36"/>
      <c r="HQ302" s="36"/>
      <c r="HR302" s="36"/>
      <c r="HS302" s="36"/>
      <c r="HT302" s="36"/>
      <c r="HU302" s="36"/>
      <c r="HV302" s="36"/>
      <c r="HW302" s="36"/>
      <c r="HX302" s="36"/>
      <c r="HY302" s="36"/>
      <c r="HZ302" s="36"/>
      <c r="IA302" s="36"/>
      <c r="IB302" s="36"/>
      <c r="IC302" s="36"/>
      <c r="ID302" s="37"/>
      <c r="IE302" s="44"/>
      <c r="IF302" s="36"/>
      <c r="IG302" s="36"/>
      <c r="IH302" s="36"/>
      <c r="II302" s="36"/>
      <c r="IJ302" s="36"/>
      <c r="IK302" s="36"/>
      <c r="IL302" s="36"/>
      <c r="IM302" s="36"/>
      <c r="IN302" s="36"/>
      <c r="IO302" s="36"/>
      <c r="IP302" s="36"/>
      <c r="IQ302" s="36"/>
      <c r="IR302" s="36"/>
      <c r="IS302" s="36"/>
      <c r="IT302" s="36"/>
      <c r="IU302" s="37"/>
      <c r="IV302" s="44"/>
      <c r="IW302" s="36"/>
      <c r="IX302" s="36"/>
      <c r="IY302" s="36"/>
      <c r="IZ302" s="36"/>
      <c r="JA302" s="36"/>
      <c r="JB302" s="36"/>
      <c r="JC302" s="36"/>
      <c r="JD302" s="36"/>
      <c r="JE302" s="36"/>
      <c r="JF302" s="36"/>
      <c r="JG302" s="36"/>
      <c r="JH302" s="36"/>
      <c r="JI302" s="36"/>
      <c r="JJ302" s="36"/>
      <c r="JK302" s="36"/>
      <c r="JL302" s="37"/>
      <c r="JM302" s="44"/>
      <c r="JN302" s="36"/>
      <c r="JO302" s="36"/>
      <c r="JP302" s="36"/>
      <c r="JQ302" s="36"/>
      <c r="JR302" s="36"/>
      <c r="JS302" s="36"/>
      <c r="JT302" s="36"/>
      <c r="JU302" s="36"/>
      <c r="JV302" s="36"/>
      <c r="JW302" s="36"/>
      <c r="JX302" s="36"/>
      <c r="JY302" s="36"/>
      <c r="JZ302" s="36"/>
      <c r="KA302" s="36"/>
      <c r="KB302" s="36"/>
      <c r="KC302" s="37"/>
      <c r="KD302" s="44"/>
      <c r="KE302" s="36"/>
      <c r="KF302" s="36"/>
      <c r="KG302" s="36"/>
      <c r="KH302" s="36"/>
      <c r="KI302" s="36"/>
      <c r="KJ302" s="36"/>
      <c r="KK302" s="36"/>
      <c r="KL302" s="36"/>
      <c r="KM302" s="36"/>
      <c r="KN302" s="36"/>
      <c r="KO302" s="36"/>
      <c r="KP302" s="36"/>
      <c r="KQ302" s="36"/>
      <c r="KR302" s="36"/>
      <c r="KS302" s="36"/>
      <c r="KT302" s="37"/>
      <c r="KU302" s="36"/>
    </row>
    <row r="303" ht="15.0" customHeight="1">
      <c r="A303" s="44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7"/>
      <c r="R303" s="44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7"/>
      <c r="AI303" s="44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  <c r="AU303" s="36"/>
      <c r="AV303" s="36"/>
      <c r="AW303" s="36"/>
      <c r="AX303" s="36"/>
      <c r="AY303" s="37"/>
      <c r="AZ303" s="44"/>
      <c r="BA303" s="36"/>
      <c r="BB303" s="36"/>
      <c r="BC303" s="36"/>
      <c r="BD303" s="36"/>
      <c r="BE303" s="36"/>
      <c r="BF303" s="36"/>
      <c r="BG303" s="36"/>
      <c r="BH303" s="36"/>
      <c r="BI303" s="36"/>
      <c r="BJ303" s="36"/>
      <c r="BK303" s="36"/>
      <c r="BL303" s="36"/>
      <c r="BM303" s="36"/>
      <c r="BN303" s="36"/>
      <c r="BO303" s="36"/>
      <c r="BP303" s="37"/>
      <c r="BQ303" s="44"/>
      <c r="BR303" s="36"/>
      <c r="BS303" s="36"/>
      <c r="BT303" s="36"/>
      <c r="BU303" s="36"/>
      <c r="BV303" s="36"/>
      <c r="BW303" s="36"/>
      <c r="BX303" s="36"/>
      <c r="BY303" s="36"/>
      <c r="BZ303" s="36"/>
      <c r="CA303" s="36"/>
      <c r="CB303" s="36"/>
      <c r="CC303" s="36"/>
      <c r="CD303" s="36"/>
      <c r="CE303" s="36"/>
      <c r="CF303" s="36"/>
      <c r="CG303" s="37"/>
      <c r="CH303" s="44"/>
      <c r="CI303" s="36"/>
      <c r="CJ303" s="36"/>
      <c r="CK303" s="36"/>
      <c r="CL303" s="36"/>
      <c r="CM303" s="36"/>
      <c r="CN303" s="36"/>
      <c r="CO303" s="36"/>
      <c r="CP303" s="36"/>
      <c r="CQ303" s="36"/>
      <c r="CR303" s="36"/>
      <c r="CS303" s="36"/>
      <c r="CT303" s="36"/>
      <c r="CU303" s="36"/>
      <c r="CV303" s="36"/>
      <c r="CW303" s="36"/>
      <c r="CX303" s="37"/>
      <c r="CY303" s="44"/>
      <c r="CZ303" s="36"/>
      <c r="DA303" s="36"/>
      <c r="DB303" s="36"/>
      <c r="DC303" s="36"/>
      <c r="DD303" s="36"/>
      <c r="DE303" s="36"/>
      <c r="DF303" s="36"/>
      <c r="DG303" s="36"/>
      <c r="DH303" s="36"/>
      <c r="DI303" s="36"/>
      <c r="DJ303" s="36"/>
      <c r="DK303" s="36"/>
      <c r="DL303" s="36"/>
      <c r="DM303" s="36"/>
      <c r="DN303" s="36"/>
      <c r="DO303" s="37"/>
      <c r="DP303" s="44"/>
      <c r="DQ303" s="36"/>
      <c r="DR303" s="36"/>
      <c r="DS303" s="36"/>
      <c r="DT303" s="36"/>
      <c r="DU303" s="36"/>
      <c r="DV303" s="36"/>
      <c r="DW303" s="36"/>
      <c r="DX303" s="36"/>
      <c r="DY303" s="36"/>
      <c r="DZ303" s="36"/>
      <c r="EA303" s="36"/>
      <c r="EB303" s="36"/>
      <c r="EC303" s="36"/>
      <c r="ED303" s="36"/>
      <c r="EE303" s="36"/>
      <c r="EF303" s="37"/>
      <c r="EG303" s="44"/>
      <c r="EH303" s="36"/>
      <c r="EI303" s="36"/>
      <c r="EJ303" s="36"/>
      <c r="EK303" s="36"/>
      <c r="EL303" s="36"/>
      <c r="EM303" s="36"/>
      <c r="EN303" s="36"/>
      <c r="EO303" s="36"/>
      <c r="EP303" s="36"/>
      <c r="EQ303" s="36"/>
      <c r="ER303" s="36"/>
      <c r="ES303" s="36"/>
      <c r="ET303" s="36"/>
      <c r="EU303" s="36"/>
      <c r="EV303" s="36"/>
      <c r="EW303" s="37"/>
      <c r="EX303" s="44"/>
      <c r="EY303" s="36"/>
      <c r="EZ303" s="36"/>
      <c r="FA303" s="36"/>
      <c r="FB303" s="36"/>
      <c r="FC303" s="36"/>
      <c r="FD303" s="36"/>
      <c r="FE303" s="36"/>
      <c r="FF303" s="36"/>
      <c r="FG303" s="36"/>
      <c r="FH303" s="36"/>
      <c r="FI303" s="36"/>
      <c r="FJ303" s="36"/>
      <c r="FK303" s="36"/>
      <c r="FL303" s="36"/>
      <c r="FM303" s="36"/>
      <c r="FN303" s="37"/>
      <c r="FO303" s="44"/>
      <c r="FP303" s="36"/>
      <c r="FQ303" s="36"/>
      <c r="FR303" s="36"/>
      <c r="FS303" s="36"/>
      <c r="FT303" s="36"/>
      <c r="FU303" s="36"/>
      <c r="FV303" s="36"/>
      <c r="FW303" s="36"/>
      <c r="FX303" s="36"/>
      <c r="FY303" s="36"/>
      <c r="FZ303" s="36"/>
      <c r="GA303" s="36"/>
      <c r="GB303" s="36"/>
      <c r="GC303" s="36"/>
      <c r="GD303" s="36"/>
      <c r="GE303" s="37"/>
      <c r="GF303" s="44"/>
      <c r="GG303" s="36"/>
      <c r="GH303" s="36"/>
      <c r="GI303" s="36"/>
      <c r="GJ303" s="36"/>
      <c r="GK303" s="36"/>
      <c r="GL303" s="36"/>
      <c r="GM303" s="36"/>
      <c r="GN303" s="36"/>
      <c r="GO303" s="36"/>
      <c r="GP303" s="36"/>
      <c r="GQ303" s="36"/>
      <c r="GR303" s="36"/>
      <c r="GS303" s="36"/>
      <c r="GT303" s="36"/>
      <c r="GU303" s="36"/>
      <c r="GV303" s="37"/>
      <c r="GW303" s="44"/>
      <c r="GX303" s="36"/>
      <c r="GY303" s="36"/>
      <c r="GZ303" s="36"/>
      <c r="HA303" s="36"/>
      <c r="HB303" s="36"/>
      <c r="HC303" s="36"/>
      <c r="HD303" s="36"/>
      <c r="HE303" s="36"/>
      <c r="HF303" s="36"/>
      <c r="HG303" s="36"/>
      <c r="HH303" s="36"/>
      <c r="HI303" s="36"/>
      <c r="HJ303" s="36"/>
      <c r="HK303" s="36"/>
      <c r="HL303" s="36"/>
      <c r="HM303" s="37"/>
      <c r="HN303" s="44"/>
      <c r="HO303" s="36"/>
      <c r="HP303" s="36"/>
      <c r="HQ303" s="36"/>
      <c r="HR303" s="36"/>
      <c r="HS303" s="36"/>
      <c r="HT303" s="36"/>
      <c r="HU303" s="36"/>
      <c r="HV303" s="36"/>
      <c r="HW303" s="36"/>
      <c r="HX303" s="36"/>
      <c r="HY303" s="36"/>
      <c r="HZ303" s="36"/>
      <c r="IA303" s="36"/>
      <c r="IB303" s="36"/>
      <c r="IC303" s="36"/>
      <c r="ID303" s="37"/>
      <c r="IE303" s="44"/>
      <c r="IF303" s="36"/>
      <c r="IG303" s="36"/>
      <c r="IH303" s="36"/>
      <c r="II303" s="36"/>
      <c r="IJ303" s="36"/>
      <c r="IK303" s="36"/>
      <c r="IL303" s="36"/>
      <c r="IM303" s="36"/>
      <c r="IN303" s="36"/>
      <c r="IO303" s="36"/>
      <c r="IP303" s="36"/>
      <c r="IQ303" s="36"/>
      <c r="IR303" s="36"/>
      <c r="IS303" s="36"/>
      <c r="IT303" s="36"/>
      <c r="IU303" s="37"/>
      <c r="IV303" s="44"/>
      <c r="IW303" s="36"/>
      <c r="IX303" s="36"/>
      <c r="IY303" s="36"/>
      <c r="IZ303" s="36"/>
      <c r="JA303" s="36"/>
      <c r="JB303" s="36"/>
      <c r="JC303" s="36"/>
      <c r="JD303" s="36"/>
      <c r="JE303" s="36"/>
      <c r="JF303" s="36"/>
      <c r="JG303" s="36"/>
      <c r="JH303" s="36"/>
      <c r="JI303" s="36"/>
      <c r="JJ303" s="36"/>
      <c r="JK303" s="36"/>
      <c r="JL303" s="37"/>
      <c r="JM303" s="44"/>
      <c r="JN303" s="36"/>
      <c r="JO303" s="36"/>
      <c r="JP303" s="36"/>
      <c r="JQ303" s="36"/>
      <c r="JR303" s="36"/>
      <c r="JS303" s="36"/>
      <c r="JT303" s="36"/>
      <c r="JU303" s="36"/>
      <c r="JV303" s="36"/>
      <c r="JW303" s="36"/>
      <c r="JX303" s="36"/>
      <c r="JY303" s="36"/>
      <c r="JZ303" s="36"/>
      <c r="KA303" s="36"/>
      <c r="KB303" s="36"/>
      <c r="KC303" s="37"/>
      <c r="KD303" s="44"/>
      <c r="KE303" s="36"/>
      <c r="KF303" s="36"/>
      <c r="KG303" s="36"/>
      <c r="KH303" s="36"/>
      <c r="KI303" s="36"/>
      <c r="KJ303" s="36"/>
      <c r="KK303" s="36"/>
      <c r="KL303" s="36"/>
      <c r="KM303" s="36"/>
      <c r="KN303" s="36"/>
      <c r="KO303" s="36"/>
      <c r="KP303" s="36"/>
      <c r="KQ303" s="36"/>
      <c r="KR303" s="36"/>
      <c r="KS303" s="36"/>
      <c r="KT303" s="37"/>
      <c r="KU303" s="36"/>
    </row>
    <row r="304" ht="15.0" customHeight="1">
      <c r="A304" s="44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7"/>
      <c r="R304" s="44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7"/>
      <c r="AI304" s="44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  <c r="AU304" s="36"/>
      <c r="AV304" s="36"/>
      <c r="AW304" s="36"/>
      <c r="AX304" s="36"/>
      <c r="AY304" s="37"/>
      <c r="AZ304" s="44"/>
      <c r="BA304" s="36"/>
      <c r="BB304" s="36"/>
      <c r="BC304" s="36"/>
      <c r="BD304" s="36"/>
      <c r="BE304" s="36"/>
      <c r="BF304" s="36"/>
      <c r="BG304" s="36"/>
      <c r="BH304" s="36"/>
      <c r="BI304" s="36"/>
      <c r="BJ304" s="36"/>
      <c r="BK304" s="36"/>
      <c r="BL304" s="36"/>
      <c r="BM304" s="36"/>
      <c r="BN304" s="36"/>
      <c r="BO304" s="36"/>
      <c r="BP304" s="37"/>
      <c r="BQ304" s="44"/>
      <c r="BR304" s="36"/>
      <c r="BS304" s="36"/>
      <c r="BT304" s="36"/>
      <c r="BU304" s="36"/>
      <c r="BV304" s="36"/>
      <c r="BW304" s="36"/>
      <c r="BX304" s="36"/>
      <c r="BY304" s="36"/>
      <c r="BZ304" s="36"/>
      <c r="CA304" s="36"/>
      <c r="CB304" s="36"/>
      <c r="CC304" s="36"/>
      <c r="CD304" s="36"/>
      <c r="CE304" s="36"/>
      <c r="CF304" s="36"/>
      <c r="CG304" s="37"/>
      <c r="CH304" s="44"/>
      <c r="CI304" s="36"/>
      <c r="CJ304" s="36"/>
      <c r="CK304" s="36"/>
      <c r="CL304" s="36"/>
      <c r="CM304" s="36"/>
      <c r="CN304" s="36"/>
      <c r="CO304" s="36"/>
      <c r="CP304" s="36"/>
      <c r="CQ304" s="36"/>
      <c r="CR304" s="36"/>
      <c r="CS304" s="36"/>
      <c r="CT304" s="36"/>
      <c r="CU304" s="36"/>
      <c r="CV304" s="36"/>
      <c r="CW304" s="36"/>
      <c r="CX304" s="37"/>
      <c r="CY304" s="44"/>
      <c r="CZ304" s="36"/>
      <c r="DA304" s="36"/>
      <c r="DB304" s="36"/>
      <c r="DC304" s="36"/>
      <c r="DD304" s="36"/>
      <c r="DE304" s="36"/>
      <c r="DF304" s="36"/>
      <c r="DG304" s="36"/>
      <c r="DH304" s="36"/>
      <c r="DI304" s="36"/>
      <c r="DJ304" s="36"/>
      <c r="DK304" s="36"/>
      <c r="DL304" s="36"/>
      <c r="DM304" s="36"/>
      <c r="DN304" s="36"/>
      <c r="DO304" s="37"/>
      <c r="DP304" s="44"/>
      <c r="DQ304" s="36"/>
      <c r="DR304" s="36"/>
      <c r="DS304" s="36"/>
      <c r="DT304" s="36"/>
      <c r="DU304" s="36"/>
      <c r="DV304" s="36"/>
      <c r="DW304" s="36"/>
      <c r="DX304" s="36"/>
      <c r="DY304" s="36"/>
      <c r="DZ304" s="36"/>
      <c r="EA304" s="36"/>
      <c r="EB304" s="36"/>
      <c r="EC304" s="36"/>
      <c r="ED304" s="36"/>
      <c r="EE304" s="36"/>
      <c r="EF304" s="37"/>
      <c r="EG304" s="44"/>
      <c r="EH304" s="36"/>
      <c r="EI304" s="36"/>
      <c r="EJ304" s="36"/>
      <c r="EK304" s="36"/>
      <c r="EL304" s="36"/>
      <c r="EM304" s="36"/>
      <c r="EN304" s="36"/>
      <c r="EO304" s="36"/>
      <c r="EP304" s="36"/>
      <c r="EQ304" s="36"/>
      <c r="ER304" s="36"/>
      <c r="ES304" s="36"/>
      <c r="ET304" s="36"/>
      <c r="EU304" s="36"/>
      <c r="EV304" s="36"/>
      <c r="EW304" s="37"/>
      <c r="EX304" s="44"/>
      <c r="EY304" s="36"/>
      <c r="EZ304" s="36"/>
      <c r="FA304" s="36"/>
      <c r="FB304" s="36"/>
      <c r="FC304" s="36"/>
      <c r="FD304" s="36"/>
      <c r="FE304" s="36"/>
      <c r="FF304" s="36"/>
      <c r="FG304" s="36"/>
      <c r="FH304" s="36"/>
      <c r="FI304" s="36"/>
      <c r="FJ304" s="36"/>
      <c r="FK304" s="36"/>
      <c r="FL304" s="36"/>
      <c r="FM304" s="36"/>
      <c r="FN304" s="37"/>
      <c r="FO304" s="44"/>
      <c r="FP304" s="36"/>
      <c r="FQ304" s="36"/>
      <c r="FR304" s="36"/>
      <c r="FS304" s="36"/>
      <c r="FT304" s="36"/>
      <c r="FU304" s="36"/>
      <c r="FV304" s="36"/>
      <c r="FW304" s="36"/>
      <c r="FX304" s="36"/>
      <c r="FY304" s="36"/>
      <c r="FZ304" s="36"/>
      <c r="GA304" s="36"/>
      <c r="GB304" s="36"/>
      <c r="GC304" s="36"/>
      <c r="GD304" s="36"/>
      <c r="GE304" s="37"/>
      <c r="GF304" s="44"/>
      <c r="GG304" s="36"/>
      <c r="GH304" s="36"/>
      <c r="GI304" s="36"/>
      <c r="GJ304" s="36"/>
      <c r="GK304" s="36"/>
      <c r="GL304" s="36"/>
      <c r="GM304" s="36"/>
      <c r="GN304" s="36"/>
      <c r="GO304" s="36"/>
      <c r="GP304" s="36"/>
      <c r="GQ304" s="36"/>
      <c r="GR304" s="36"/>
      <c r="GS304" s="36"/>
      <c r="GT304" s="36"/>
      <c r="GU304" s="36"/>
      <c r="GV304" s="37"/>
      <c r="GW304" s="44"/>
      <c r="GX304" s="36"/>
      <c r="GY304" s="36"/>
      <c r="GZ304" s="36"/>
      <c r="HA304" s="36"/>
      <c r="HB304" s="36"/>
      <c r="HC304" s="36"/>
      <c r="HD304" s="36"/>
      <c r="HE304" s="36"/>
      <c r="HF304" s="36"/>
      <c r="HG304" s="36"/>
      <c r="HH304" s="36"/>
      <c r="HI304" s="36"/>
      <c r="HJ304" s="36"/>
      <c r="HK304" s="36"/>
      <c r="HL304" s="36"/>
      <c r="HM304" s="37"/>
      <c r="HN304" s="44"/>
      <c r="HO304" s="36"/>
      <c r="HP304" s="36"/>
      <c r="HQ304" s="36"/>
      <c r="HR304" s="36"/>
      <c r="HS304" s="36"/>
      <c r="HT304" s="36"/>
      <c r="HU304" s="36"/>
      <c r="HV304" s="36"/>
      <c r="HW304" s="36"/>
      <c r="HX304" s="36"/>
      <c r="HY304" s="36"/>
      <c r="HZ304" s="36"/>
      <c r="IA304" s="36"/>
      <c r="IB304" s="36"/>
      <c r="IC304" s="36"/>
      <c r="ID304" s="37"/>
      <c r="IE304" s="44"/>
      <c r="IF304" s="36"/>
      <c r="IG304" s="36"/>
      <c r="IH304" s="36"/>
      <c r="II304" s="36"/>
      <c r="IJ304" s="36"/>
      <c r="IK304" s="36"/>
      <c r="IL304" s="36"/>
      <c r="IM304" s="36"/>
      <c r="IN304" s="36"/>
      <c r="IO304" s="36"/>
      <c r="IP304" s="36"/>
      <c r="IQ304" s="36"/>
      <c r="IR304" s="36"/>
      <c r="IS304" s="36"/>
      <c r="IT304" s="36"/>
      <c r="IU304" s="37"/>
      <c r="IV304" s="44"/>
      <c r="IW304" s="36"/>
      <c r="IX304" s="36"/>
      <c r="IY304" s="36"/>
      <c r="IZ304" s="36"/>
      <c r="JA304" s="36"/>
      <c r="JB304" s="36"/>
      <c r="JC304" s="36"/>
      <c r="JD304" s="36"/>
      <c r="JE304" s="36"/>
      <c r="JF304" s="36"/>
      <c r="JG304" s="36"/>
      <c r="JH304" s="36"/>
      <c r="JI304" s="36"/>
      <c r="JJ304" s="36"/>
      <c r="JK304" s="36"/>
      <c r="JL304" s="37"/>
      <c r="JM304" s="44"/>
      <c r="JN304" s="36"/>
      <c r="JO304" s="36"/>
      <c r="JP304" s="36"/>
      <c r="JQ304" s="36"/>
      <c r="JR304" s="36"/>
      <c r="JS304" s="36"/>
      <c r="JT304" s="36"/>
      <c r="JU304" s="36"/>
      <c r="JV304" s="36"/>
      <c r="JW304" s="36"/>
      <c r="JX304" s="36"/>
      <c r="JY304" s="36"/>
      <c r="JZ304" s="36"/>
      <c r="KA304" s="36"/>
      <c r="KB304" s="36"/>
      <c r="KC304" s="37"/>
      <c r="KD304" s="44"/>
      <c r="KE304" s="36"/>
      <c r="KF304" s="36"/>
      <c r="KG304" s="36"/>
      <c r="KH304" s="36"/>
      <c r="KI304" s="36"/>
      <c r="KJ304" s="36"/>
      <c r="KK304" s="36"/>
      <c r="KL304" s="36"/>
      <c r="KM304" s="36"/>
      <c r="KN304" s="36"/>
      <c r="KO304" s="36"/>
      <c r="KP304" s="36"/>
      <c r="KQ304" s="36"/>
      <c r="KR304" s="36"/>
      <c r="KS304" s="36"/>
      <c r="KT304" s="37"/>
      <c r="KU304" s="36"/>
    </row>
    <row r="305" ht="15.0" customHeight="1">
      <c r="A305" s="44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7"/>
      <c r="R305" s="44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7"/>
      <c r="AI305" s="44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  <c r="AU305" s="36"/>
      <c r="AV305" s="36"/>
      <c r="AW305" s="36"/>
      <c r="AX305" s="36"/>
      <c r="AY305" s="37"/>
      <c r="AZ305" s="44"/>
      <c r="BA305" s="36"/>
      <c r="BB305" s="36"/>
      <c r="BC305" s="36"/>
      <c r="BD305" s="36"/>
      <c r="BE305" s="36"/>
      <c r="BF305" s="36"/>
      <c r="BG305" s="36"/>
      <c r="BH305" s="36"/>
      <c r="BI305" s="36"/>
      <c r="BJ305" s="36"/>
      <c r="BK305" s="36"/>
      <c r="BL305" s="36"/>
      <c r="BM305" s="36"/>
      <c r="BN305" s="36"/>
      <c r="BO305" s="36"/>
      <c r="BP305" s="37"/>
      <c r="BQ305" s="44"/>
      <c r="BR305" s="36"/>
      <c r="BS305" s="36"/>
      <c r="BT305" s="36"/>
      <c r="BU305" s="36"/>
      <c r="BV305" s="36"/>
      <c r="BW305" s="36"/>
      <c r="BX305" s="36"/>
      <c r="BY305" s="36"/>
      <c r="BZ305" s="36"/>
      <c r="CA305" s="36"/>
      <c r="CB305" s="36"/>
      <c r="CC305" s="36"/>
      <c r="CD305" s="36"/>
      <c r="CE305" s="36"/>
      <c r="CF305" s="36"/>
      <c r="CG305" s="37"/>
      <c r="CH305" s="44"/>
      <c r="CI305" s="36"/>
      <c r="CJ305" s="36"/>
      <c r="CK305" s="36"/>
      <c r="CL305" s="36"/>
      <c r="CM305" s="36"/>
      <c r="CN305" s="36"/>
      <c r="CO305" s="36"/>
      <c r="CP305" s="36"/>
      <c r="CQ305" s="36"/>
      <c r="CR305" s="36"/>
      <c r="CS305" s="36"/>
      <c r="CT305" s="36"/>
      <c r="CU305" s="36"/>
      <c r="CV305" s="36"/>
      <c r="CW305" s="36"/>
      <c r="CX305" s="37"/>
      <c r="CY305" s="44"/>
      <c r="CZ305" s="36"/>
      <c r="DA305" s="36"/>
      <c r="DB305" s="36"/>
      <c r="DC305" s="36"/>
      <c r="DD305" s="36"/>
      <c r="DE305" s="36"/>
      <c r="DF305" s="36"/>
      <c r="DG305" s="36"/>
      <c r="DH305" s="36"/>
      <c r="DI305" s="36"/>
      <c r="DJ305" s="36"/>
      <c r="DK305" s="36"/>
      <c r="DL305" s="36"/>
      <c r="DM305" s="36"/>
      <c r="DN305" s="36"/>
      <c r="DO305" s="37"/>
      <c r="DP305" s="44"/>
      <c r="DQ305" s="36"/>
      <c r="DR305" s="36"/>
      <c r="DS305" s="36"/>
      <c r="DT305" s="36"/>
      <c r="DU305" s="36"/>
      <c r="DV305" s="36"/>
      <c r="DW305" s="36"/>
      <c r="DX305" s="36"/>
      <c r="DY305" s="36"/>
      <c r="DZ305" s="36"/>
      <c r="EA305" s="36"/>
      <c r="EB305" s="36"/>
      <c r="EC305" s="36"/>
      <c r="ED305" s="36"/>
      <c r="EE305" s="36"/>
      <c r="EF305" s="37"/>
      <c r="EG305" s="44"/>
      <c r="EH305" s="36"/>
      <c r="EI305" s="36"/>
      <c r="EJ305" s="36"/>
      <c r="EK305" s="36"/>
      <c r="EL305" s="36"/>
      <c r="EM305" s="36"/>
      <c r="EN305" s="36"/>
      <c r="EO305" s="36"/>
      <c r="EP305" s="36"/>
      <c r="EQ305" s="36"/>
      <c r="ER305" s="36"/>
      <c r="ES305" s="36"/>
      <c r="ET305" s="36"/>
      <c r="EU305" s="36"/>
      <c r="EV305" s="36"/>
      <c r="EW305" s="37"/>
      <c r="EX305" s="44"/>
      <c r="EY305" s="36"/>
      <c r="EZ305" s="36"/>
      <c r="FA305" s="36"/>
      <c r="FB305" s="36"/>
      <c r="FC305" s="36"/>
      <c r="FD305" s="36"/>
      <c r="FE305" s="36"/>
      <c r="FF305" s="36"/>
      <c r="FG305" s="36"/>
      <c r="FH305" s="36"/>
      <c r="FI305" s="36"/>
      <c r="FJ305" s="36"/>
      <c r="FK305" s="36"/>
      <c r="FL305" s="36"/>
      <c r="FM305" s="36"/>
      <c r="FN305" s="37"/>
      <c r="FO305" s="44"/>
      <c r="FP305" s="36"/>
      <c r="FQ305" s="36"/>
      <c r="FR305" s="36"/>
      <c r="FS305" s="36"/>
      <c r="FT305" s="36"/>
      <c r="FU305" s="36"/>
      <c r="FV305" s="36"/>
      <c r="FW305" s="36"/>
      <c r="FX305" s="36"/>
      <c r="FY305" s="36"/>
      <c r="FZ305" s="36"/>
      <c r="GA305" s="36"/>
      <c r="GB305" s="36"/>
      <c r="GC305" s="36"/>
      <c r="GD305" s="36"/>
      <c r="GE305" s="37"/>
      <c r="GF305" s="44"/>
      <c r="GG305" s="36"/>
      <c r="GH305" s="36"/>
      <c r="GI305" s="36"/>
      <c r="GJ305" s="36"/>
      <c r="GK305" s="36"/>
      <c r="GL305" s="36"/>
      <c r="GM305" s="36"/>
      <c r="GN305" s="36"/>
      <c r="GO305" s="36"/>
      <c r="GP305" s="36"/>
      <c r="GQ305" s="36"/>
      <c r="GR305" s="36"/>
      <c r="GS305" s="36"/>
      <c r="GT305" s="36"/>
      <c r="GU305" s="36"/>
      <c r="GV305" s="37"/>
      <c r="GW305" s="44"/>
      <c r="GX305" s="36"/>
      <c r="GY305" s="36"/>
      <c r="GZ305" s="36"/>
      <c r="HA305" s="36"/>
      <c r="HB305" s="36"/>
      <c r="HC305" s="36"/>
      <c r="HD305" s="36"/>
      <c r="HE305" s="36"/>
      <c r="HF305" s="36"/>
      <c r="HG305" s="36"/>
      <c r="HH305" s="36"/>
      <c r="HI305" s="36"/>
      <c r="HJ305" s="36"/>
      <c r="HK305" s="36"/>
      <c r="HL305" s="36"/>
      <c r="HM305" s="37"/>
      <c r="HN305" s="44"/>
      <c r="HO305" s="36"/>
      <c r="HP305" s="36"/>
      <c r="HQ305" s="36"/>
      <c r="HR305" s="36"/>
      <c r="HS305" s="36"/>
      <c r="HT305" s="36"/>
      <c r="HU305" s="36"/>
      <c r="HV305" s="36"/>
      <c r="HW305" s="36"/>
      <c r="HX305" s="36"/>
      <c r="HY305" s="36"/>
      <c r="HZ305" s="36"/>
      <c r="IA305" s="36"/>
      <c r="IB305" s="36"/>
      <c r="IC305" s="36"/>
      <c r="ID305" s="37"/>
      <c r="IE305" s="44"/>
      <c r="IF305" s="36"/>
      <c r="IG305" s="36"/>
      <c r="IH305" s="36"/>
      <c r="II305" s="36"/>
      <c r="IJ305" s="36"/>
      <c r="IK305" s="36"/>
      <c r="IL305" s="36"/>
      <c r="IM305" s="36"/>
      <c r="IN305" s="36"/>
      <c r="IO305" s="36"/>
      <c r="IP305" s="36"/>
      <c r="IQ305" s="36"/>
      <c r="IR305" s="36"/>
      <c r="IS305" s="36"/>
      <c r="IT305" s="36"/>
      <c r="IU305" s="37"/>
      <c r="IV305" s="44"/>
      <c r="IW305" s="36"/>
      <c r="IX305" s="36"/>
      <c r="IY305" s="36"/>
      <c r="IZ305" s="36"/>
      <c r="JA305" s="36"/>
      <c r="JB305" s="36"/>
      <c r="JC305" s="36"/>
      <c r="JD305" s="36"/>
      <c r="JE305" s="36"/>
      <c r="JF305" s="36"/>
      <c r="JG305" s="36"/>
      <c r="JH305" s="36"/>
      <c r="JI305" s="36"/>
      <c r="JJ305" s="36"/>
      <c r="JK305" s="36"/>
      <c r="JL305" s="37"/>
      <c r="JM305" s="44"/>
      <c r="JN305" s="36"/>
      <c r="JO305" s="36"/>
      <c r="JP305" s="36"/>
      <c r="JQ305" s="36"/>
      <c r="JR305" s="36"/>
      <c r="JS305" s="36"/>
      <c r="JT305" s="36"/>
      <c r="JU305" s="36"/>
      <c r="JV305" s="36"/>
      <c r="JW305" s="36"/>
      <c r="JX305" s="36"/>
      <c r="JY305" s="36"/>
      <c r="JZ305" s="36"/>
      <c r="KA305" s="36"/>
      <c r="KB305" s="36"/>
      <c r="KC305" s="37"/>
      <c r="KD305" s="44"/>
      <c r="KE305" s="36"/>
      <c r="KF305" s="36"/>
      <c r="KG305" s="36"/>
      <c r="KH305" s="36"/>
      <c r="KI305" s="36"/>
      <c r="KJ305" s="36"/>
      <c r="KK305" s="36"/>
      <c r="KL305" s="36"/>
      <c r="KM305" s="36"/>
      <c r="KN305" s="36"/>
      <c r="KO305" s="36"/>
      <c r="KP305" s="36"/>
      <c r="KQ305" s="36"/>
      <c r="KR305" s="36"/>
      <c r="KS305" s="36"/>
      <c r="KT305" s="37"/>
      <c r="KU305" s="36"/>
    </row>
    <row r="306" ht="15.0" customHeight="1">
      <c r="A306" s="44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7"/>
      <c r="R306" s="44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7"/>
      <c r="AI306" s="44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  <c r="AU306" s="36"/>
      <c r="AV306" s="36"/>
      <c r="AW306" s="36"/>
      <c r="AX306" s="36"/>
      <c r="AY306" s="37"/>
      <c r="AZ306" s="44"/>
      <c r="BA306" s="36"/>
      <c r="BB306" s="36"/>
      <c r="BC306" s="36"/>
      <c r="BD306" s="36"/>
      <c r="BE306" s="36"/>
      <c r="BF306" s="36"/>
      <c r="BG306" s="36"/>
      <c r="BH306" s="36"/>
      <c r="BI306" s="36"/>
      <c r="BJ306" s="36"/>
      <c r="BK306" s="36"/>
      <c r="BL306" s="36"/>
      <c r="BM306" s="36"/>
      <c r="BN306" s="36"/>
      <c r="BO306" s="36"/>
      <c r="BP306" s="37"/>
      <c r="BQ306" s="44"/>
      <c r="BR306" s="36"/>
      <c r="BS306" s="36"/>
      <c r="BT306" s="36"/>
      <c r="BU306" s="36"/>
      <c r="BV306" s="36"/>
      <c r="BW306" s="36"/>
      <c r="BX306" s="36"/>
      <c r="BY306" s="36"/>
      <c r="BZ306" s="36"/>
      <c r="CA306" s="36"/>
      <c r="CB306" s="36"/>
      <c r="CC306" s="36"/>
      <c r="CD306" s="36"/>
      <c r="CE306" s="36"/>
      <c r="CF306" s="36"/>
      <c r="CG306" s="37"/>
      <c r="CH306" s="44"/>
      <c r="CI306" s="36"/>
      <c r="CJ306" s="36"/>
      <c r="CK306" s="36"/>
      <c r="CL306" s="36"/>
      <c r="CM306" s="36"/>
      <c r="CN306" s="36"/>
      <c r="CO306" s="36"/>
      <c r="CP306" s="36"/>
      <c r="CQ306" s="36"/>
      <c r="CR306" s="36"/>
      <c r="CS306" s="36"/>
      <c r="CT306" s="36"/>
      <c r="CU306" s="36"/>
      <c r="CV306" s="36"/>
      <c r="CW306" s="36"/>
      <c r="CX306" s="37"/>
      <c r="CY306" s="44"/>
      <c r="CZ306" s="36"/>
      <c r="DA306" s="36"/>
      <c r="DB306" s="36"/>
      <c r="DC306" s="36"/>
      <c r="DD306" s="36"/>
      <c r="DE306" s="36"/>
      <c r="DF306" s="36"/>
      <c r="DG306" s="36"/>
      <c r="DH306" s="36"/>
      <c r="DI306" s="36"/>
      <c r="DJ306" s="36"/>
      <c r="DK306" s="36"/>
      <c r="DL306" s="36"/>
      <c r="DM306" s="36"/>
      <c r="DN306" s="36"/>
      <c r="DO306" s="37"/>
      <c r="DP306" s="44"/>
      <c r="DQ306" s="36"/>
      <c r="DR306" s="36"/>
      <c r="DS306" s="36"/>
      <c r="DT306" s="36"/>
      <c r="DU306" s="36"/>
      <c r="DV306" s="36"/>
      <c r="DW306" s="36"/>
      <c r="DX306" s="36"/>
      <c r="DY306" s="36"/>
      <c r="DZ306" s="36"/>
      <c r="EA306" s="36"/>
      <c r="EB306" s="36"/>
      <c r="EC306" s="36"/>
      <c r="ED306" s="36"/>
      <c r="EE306" s="36"/>
      <c r="EF306" s="37"/>
      <c r="EG306" s="44"/>
      <c r="EH306" s="36"/>
      <c r="EI306" s="36"/>
      <c r="EJ306" s="36"/>
      <c r="EK306" s="36"/>
      <c r="EL306" s="36"/>
      <c r="EM306" s="36"/>
      <c r="EN306" s="36"/>
      <c r="EO306" s="36"/>
      <c r="EP306" s="36"/>
      <c r="EQ306" s="36"/>
      <c r="ER306" s="36"/>
      <c r="ES306" s="36"/>
      <c r="ET306" s="36"/>
      <c r="EU306" s="36"/>
      <c r="EV306" s="36"/>
      <c r="EW306" s="37"/>
      <c r="EX306" s="44"/>
      <c r="EY306" s="36"/>
      <c r="EZ306" s="36"/>
      <c r="FA306" s="36"/>
      <c r="FB306" s="36"/>
      <c r="FC306" s="36"/>
      <c r="FD306" s="36"/>
      <c r="FE306" s="36"/>
      <c r="FF306" s="36"/>
      <c r="FG306" s="36"/>
      <c r="FH306" s="36"/>
      <c r="FI306" s="36"/>
      <c r="FJ306" s="36"/>
      <c r="FK306" s="36"/>
      <c r="FL306" s="36"/>
      <c r="FM306" s="36"/>
      <c r="FN306" s="37"/>
      <c r="FO306" s="44"/>
      <c r="FP306" s="36"/>
      <c r="FQ306" s="36"/>
      <c r="FR306" s="36"/>
      <c r="FS306" s="36"/>
      <c r="FT306" s="36"/>
      <c r="FU306" s="36"/>
      <c r="FV306" s="36"/>
      <c r="FW306" s="36"/>
      <c r="FX306" s="36"/>
      <c r="FY306" s="36"/>
      <c r="FZ306" s="36"/>
      <c r="GA306" s="36"/>
      <c r="GB306" s="36"/>
      <c r="GC306" s="36"/>
      <c r="GD306" s="36"/>
      <c r="GE306" s="37"/>
      <c r="GF306" s="44"/>
      <c r="GG306" s="36"/>
      <c r="GH306" s="36"/>
      <c r="GI306" s="36"/>
      <c r="GJ306" s="36"/>
      <c r="GK306" s="36"/>
      <c r="GL306" s="36"/>
      <c r="GM306" s="36"/>
      <c r="GN306" s="36"/>
      <c r="GO306" s="36"/>
      <c r="GP306" s="36"/>
      <c r="GQ306" s="36"/>
      <c r="GR306" s="36"/>
      <c r="GS306" s="36"/>
      <c r="GT306" s="36"/>
      <c r="GU306" s="36"/>
      <c r="GV306" s="37"/>
      <c r="GW306" s="44"/>
      <c r="GX306" s="36"/>
      <c r="GY306" s="36"/>
      <c r="GZ306" s="36"/>
      <c r="HA306" s="36"/>
      <c r="HB306" s="36"/>
      <c r="HC306" s="36"/>
      <c r="HD306" s="36"/>
      <c r="HE306" s="36"/>
      <c r="HF306" s="36"/>
      <c r="HG306" s="36"/>
      <c r="HH306" s="36"/>
      <c r="HI306" s="36"/>
      <c r="HJ306" s="36"/>
      <c r="HK306" s="36"/>
      <c r="HL306" s="36"/>
      <c r="HM306" s="37"/>
      <c r="HN306" s="44"/>
      <c r="HO306" s="36"/>
      <c r="HP306" s="36"/>
      <c r="HQ306" s="36"/>
      <c r="HR306" s="36"/>
      <c r="HS306" s="36"/>
      <c r="HT306" s="36"/>
      <c r="HU306" s="36"/>
      <c r="HV306" s="36"/>
      <c r="HW306" s="36"/>
      <c r="HX306" s="36"/>
      <c r="HY306" s="36"/>
      <c r="HZ306" s="36"/>
      <c r="IA306" s="36"/>
      <c r="IB306" s="36"/>
      <c r="IC306" s="36"/>
      <c r="ID306" s="37"/>
      <c r="IE306" s="44"/>
      <c r="IF306" s="36"/>
      <c r="IG306" s="36"/>
      <c r="IH306" s="36"/>
      <c r="II306" s="36"/>
      <c r="IJ306" s="36"/>
      <c r="IK306" s="36"/>
      <c r="IL306" s="36"/>
      <c r="IM306" s="36"/>
      <c r="IN306" s="36"/>
      <c r="IO306" s="36"/>
      <c r="IP306" s="36"/>
      <c r="IQ306" s="36"/>
      <c r="IR306" s="36"/>
      <c r="IS306" s="36"/>
      <c r="IT306" s="36"/>
      <c r="IU306" s="37"/>
      <c r="IV306" s="44"/>
      <c r="IW306" s="36"/>
      <c r="IX306" s="36"/>
      <c r="IY306" s="36"/>
      <c r="IZ306" s="36"/>
      <c r="JA306" s="36"/>
      <c r="JB306" s="36"/>
      <c r="JC306" s="36"/>
      <c r="JD306" s="36"/>
      <c r="JE306" s="36"/>
      <c r="JF306" s="36"/>
      <c r="JG306" s="36"/>
      <c r="JH306" s="36"/>
      <c r="JI306" s="36"/>
      <c r="JJ306" s="36"/>
      <c r="JK306" s="36"/>
      <c r="JL306" s="37"/>
      <c r="JM306" s="44"/>
      <c r="JN306" s="36"/>
      <c r="JO306" s="36"/>
      <c r="JP306" s="36"/>
      <c r="JQ306" s="36"/>
      <c r="JR306" s="36"/>
      <c r="JS306" s="36"/>
      <c r="JT306" s="36"/>
      <c r="JU306" s="36"/>
      <c r="JV306" s="36"/>
      <c r="JW306" s="36"/>
      <c r="JX306" s="36"/>
      <c r="JY306" s="36"/>
      <c r="JZ306" s="36"/>
      <c r="KA306" s="36"/>
      <c r="KB306" s="36"/>
      <c r="KC306" s="37"/>
      <c r="KD306" s="44"/>
      <c r="KE306" s="36"/>
      <c r="KF306" s="36"/>
      <c r="KG306" s="36"/>
      <c r="KH306" s="36"/>
      <c r="KI306" s="36"/>
      <c r="KJ306" s="36"/>
      <c r="KK306" s="36"/>
      <c r="KL306" s="36"/>
      <c r="KM306" s="36"/>
      <c r="KN306" s="36"/>
      <c r="KO306" s="36"/>
      <c r="KP306" s="36"/>
      <c r="KQ306" s="36"/>
      <c r="KR306" s="36"/>
      <c r="KS306" s="36"/>
      <c r="KT306" s="37"/>
      <c r="KU306" s="36"/>
    </row>
    <row r="307" ht="15.0" customHeight="1">
      <c r="A307" s="44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7"/>
      <c r="R307" s="44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7"/>
      <c r="AI307" s="44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  <c r="AU307" s="36"/>
      <c r="AV307" s="36"/>
      <c r="AW307" s="36"/>
      <c r="AX307" s="36"/>
      <c r="AY307" s="37"/>
      <c r="AZ307" s="44"/>
      <c r="BA307" s="36"/>
      <c r="BB307" s="36"/>
      <c r="BC307" s="36"/>
      <c r="BD307" s="36"/>
      <c r="BE307" s="36"/>
      <c r="BF307" s="36"/>
      <c r="BG307" s="36"/>
      <c r="BH307" s="36"/>
      <c r="BI307" s="36"/>
      <c r="BJ307" s="36"/>
      <c r="BK307" s="36"/>
      <c r="BL307" s="36"/>
      <c r="BM307" s="36"/>
      <c r="BN307" s="36"/>
      <c r="BO307" s="36"/>
      <c r="BP307" s="37"/>
      <c r="BQ307" s="44"/>
      <c r="BR307" s="36"/>
      <c r="BS307" s="36"/>
      <c r="BT307" s="36"/>
      <c r="BU307" s="36"/>
      <c r="BV307" s="36"/>
      <c r="BW307" s="36"/>
      <c r="BX307" s="36"/>
      <c r="BY307" s="36"/>
      <c r="BZ307" s="36"/>
      <c r="CA307" s="36"/>
      <c r="CB307" s="36"/>
      <c r="CC307" s="36"/>
      <c r="CD307" s="36"/>
      <c r="CE307" s="36"/>
      <c r="CF307" s="36"/>
      <c r="CG307" s="37"/>
      <c r="CH307" s="44"/>
      <c r="CI307" s="36"/>
      <c r="CJ307" s="36"/>
      <c r="CK307" s="36"/>
      <c r="CL307" s="36"/>
      <c r="CM307" s="36"/>
      <c r="CN307" s="36"/>
      <c r="CO307" s="36"/>
      <c r="CP307" s="36"/>
      <c r="CQ307" s="36"/>
      <c r="CR307" s="36"/>
      <c r="CS307" s="36"/>
      <c r="CT307" s="36"/>
      <c r="CU307" s="36"/>
      <c r="CV307" s="36"/>
      <c r="CW307" s="36"/>
      <c r="CX307" s="37"/>
      <c r="CY307" s="44"/>
      <c r="CZ307" s="36"/>
      <c r="DA307" s="36"/>
      <c r="DB307" s="36"/>
      <c r="DC307" s="36"/>
      <c r="DD307" s="36"/>
      <c r="DE307" s="36"/>
      <c r="DF307" s="36"/>
      <c r="DG307" s="36"/>
      <c r="DH307" s="36"/>
      <c r="DI307" s="36"/>
      <c r="DJ307" s="36"/>
      <c r="DK307" s="36"/>
      <c r="DL307" s="36"/>
      <c r="DM307" s="36"/>
      <c r="DN307" s="36"/>
      <c r="DO307" s="37"/>
      <c r="DP307" s="44"/>
      <c r="DQ307" s="36"/>
      <c r="DR307" s="36"/>
      <c r="DS307" s="36"/>
      <c r="DT307" s="36"/>
      <c r="DU307" s="36"/>
      <c r="DV307" s="36"/>
      <c r="DW307" s="36"/>
      <c r="DX307" s="36"/>
      <c r="DY307" s="36"/>
      <c r="DZ307" s="36"/>
      <c r="EA307" s="36"/>
      <c r="EB307" s="36"/>
      <c r="EC307" s="36"/>
      <c r="ED307" s="36"/>
      <c r="EE307" s="36"/>
      <c r="EF307" s="37"/>
      <c r="EG307" s="44"/>
      <c r="EH307" s="36"/>
      <c r="EI307" s="36"/>
      <c r="EJ307" s="36"/>
      <c r="EK307" s="36"/>
      <c r="EL307" s="36"/>
      <c r="EM307" s="36"/>
      <c r="EN307" s="36"/>
      <c r="EO307" s="36"/>
      <c r="EP307" s="36"/>
      <c r="EQ307" s="36"/>
      <c r="ER307" s="36"/>
      <c r="ES307" s="36"/>
      <c r="ET307" s="36"/>
      <c r="EU307" s="36"/>
      <c r="EV307" s="36"/>
      <c r="EW307" s="37"/>
      <c r="EX307" s="44"/>
      <c r="EY307" s="36"/>
      <c r="EZ307" s="36"/>
      <c r="FA307" s="36"/>
      <c r="FB307" s="36"/>
      <c r="FC307" s="36"/>
      <c r="FD307" s="36"/>
      <c r="FE307" s="36"/>
      <c r="FF307" s="36"/>
      <c r="FG307" s="36"/>
      <c r="FH307" s="36"/>
      <c r="FI307" s="36"/>
      <c r="FJ307" s="36"/>
      <c r="FK307" s="36"/>
      <c r="FL307" s="36"/>
      <c r="FM307" s="36"/>
      <c r="FN307" s="37"/>
      <c r="FO307" s="44"/>
      <c r="FP307" s="36"/>
      <c r="FQ307" s="36"/>
      <c r="FR307" s="36"/>
      <c r="FS307" s="36"/>
      <c r="FT307" s="36"/>
      <c r="FU307" s="36"/>
      <c r="FV307" s="36"/>
      <c r="FW307" s="36"/>
      <c r="FX307" s="36"/>
      <c r="FY307" s="36"/>
      <c r="FZ307" s="36"/>
      <c r="GA307" s="36"/>
      <c r="GB307" s="36"/>
      <c r="GC307" s="36"/>
      <c r="GD307" s="36"/>
      <c r="GE307" s="37"/>
      <c r="GF307" s="44"/>
      <c r="GG307" s="36"/>
      <c r="GH307" s="36"/>
      <c r="GI307" s="36"/>
      <c r="GJ307" s="36"/>
      <c r="GK307" s="36"/>
      <c r="GL307" s="36"/>
      <c r="GM307" s="36"/>
      <c r="GN307" s="36"/>
      <c r="GO307" s="36"/>
      <c r="GP307" s="36"/>
      <c r="GQ307" s="36"/>
      <c r="GR307" s="36"/>
      <c r="GS307" s="36"/>
      <c r="GT307" s="36"/>
      <c r="GU307" s="36"/>
      <c r="GV307" s="37"/>
      <c r="GW307" s="44"/>
      <c r="GX307" s="36"/>
      <c r="GY307" s="36"/>
      <c r="GZ307" s="36"/>
      <c r="HA307" s="36"/>
      <c r="HB307" s="36"/>
      <c r="HC307" s="36"/>
      <c r="HD307" s="36"/>
      <c r="HE307" s="36"/>
      <c r="HF307" s="36"/>
      <c r="HG307" s="36"/>
      <c r="HH307" s="36"/>
      <c r="HI307" s="36"/>
      <c r="HJ307" s="36"/>
      <c r="HK307" s="36"/>
      <c r="HL307" s="36"/>
      <c r="HM307" s="37"/>
      <c r="HN307" s="44"/>
      <c r="HO307" s="36"/>
      <c r="HP307" s="36"/>
      <c r="HQ307" s="36"/>
      <c r="HR307" s="36"/>
      <c r="HS307" s="36"/>
      <c r="HT307" s="36"/>
      <c r="HU307" s="36"/>
      <c r="HV307" s="36"/>
      <c r="HW307" s="36"/>
      <c r="HX307" s="36"/>
      <c r="HY307" s="36"/>
      <c r="HZ307" s="36"/>
      <c r="IA307" s="36"/>
      <c r="IB307" s="36"/>
      <c r="IC307" s="36"/>
      <c r="ID307" s="37"/>
      <c r="IE307" s="44"/>
      <c r="IF307" s="36"/>
      <c r="IG307" s="36"/>
      <c r="IH307" s="36"/>
      <c r="II307" s="36"/>
      <c r="IJ307" s="36"/>
      <c r="IK307" s="36"/>
      <c r="IL307" s="36"/>
      <c r="IM307" s="36"/>
      <c r="IN307" s="36"/>
      <c r="IO307" s="36"/>
      <c r="IP307" s="36"/>
      <c r="IQ307" s="36"/>
      <c r="IR307" s="36"/>
      <c r="IS307" s="36"/>
      <c r="IT307" s="36"/>
      <c r="IU307" s="37"/>
      <c r="IV307" s="44"/>
      <c r="IW307" s="36"/>
      <c r="IX307" s="36"/>
      <c r="IY307" s="36"/>
      <c r="IZ307" s="36"/>
      <c r="JA307" s="36"/>
      <c r="JB307" s="36"/>
      <c r="JC307" s="36"/>
      <c r="JD307" s="36"/>
      <c r="JE307" s="36"/>
      <c r="JF307" s="36"/>
      <c r="JG307" s="36"/>
      <c r="JH307" s="36"/>
      <c r="JI307" s="36"/>
      <c r="JJ307" s="36"/>
      <c r="JK307" s="36"/>
      <c r="JL307" s="37"/>
      <c r="JM307" s="44"/>
      <c r="JN307" s="36"/>
      <c r="JO307" s="36"/>
      <c r="JP307" s="36"/>
      <c r="JQ307" s="36"/>
      <c r="JR307" s="36"/>
      <c r="JS307" s="36"/>
      <c r="JT307" s="36"/>
      <c r="JU307" s="36"/>
      <c r="JV307" s="36"/>
      <c r="JW307" s="36"/>
      <c r="JX307" s="36"/>
      <c r="JY307" s="36"/>
      <c r="JZ307" s="36"/>
      <c r="KA307" s="36"/>
      <c r="KB307" s="36"/>
      <c r="KC307" s="37"/>
      <c r="KD307" s="44"/>
      <c r="KE307" s="36"/>
      <c r="KF307" s="36"/>
      <c r="KG307" s="36"/>
      <c r="KH307" s="36"/>
      <c r="KI307" s="36"/>
      <c r="KJ307" s="36"/>
      <c r="KK307" s="36"/>
      <c r="KL307" s="36"/>
      <c r="KM307" s="36"/>
      <c r="KN307" s="36"/>
      <c r="KO307" s="36"/>
      <c r="KP307" s="36"/>
      <c r="KQ307" s="36"/>
      <c r="KR307" s="36"/>
      <c r="KS307" s="36"/>
      <c r="KT307" s="37"/>
      <c r="KU307" s="36"/>
    </row>
    <row r="308" ht="15.0" customHeight="1">
      <c r="A308" s="44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7"/>
      <c r="R308" s="44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7"/>
      <c r="AI308" s="44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  <c r="AU308" s="36"/>
      <c r="AV308" s="36"/>
      <c r="AW308" s="36"/>
      <c r="AX308" s="36"/>
      <c r="AY308" s="37"/>
      <c r="AZ308" s="44"/>
      <c r="BA308" s="36"/>
      <c r="BB308" s="36"/>
      <c r="BC308" s="36"/>
      <c r="BD308" s="36"/>
      <c r="BE308" s="36"/>
      <c r="BF308" s="36"/>
      <c r="BG308" s="36"/>
      <c r="BH308" s="36"/>
      <c r="BI308" s="36"/>
      <c r="BJ308" s="36"/>
      <c r="BK308" s="36"/>
      <c r="BL308" s="36"/>
      <c r="BM308" s="36"/>
      <c r="BN308" s="36"/>
      <c r="BO308" s="36"/>
      <c r="BP308" s="37"/>
      <c r="BQ308" s="44"/>
      <c r="BR308" s="36"/>
      <c r="BS308" s="36"/>
      <c r="BT308" s="36"/>
      <c r="BU308" s="36"/>
      <c r="BV308" s="36"/>
      <c r="BW308" s="36"/>
      <c r="BX308" s="36"/>
      <c r="BY308" s="36"/>
      <c r="BZ308" s="36"/>
      <c r="CA308" s="36"/>
      <c r="CB308" s="36"/>
      <c r="CC308" s="36"/>
      <c r="CD308" s="36"/>
      <c r="CE308" s="36"/>
      <c r="CF308" s="36"/>
      <c r="CG308" s="37"/>
      <c r="CH308" s="44"/>
      <c r="CI308" s="36"/>
      <c r="CJ308" s="36"/>
      <c r="CK308" s="36"/>
      <c r="CL308" s="36"/>
      <c r="CM308" s="36"/>
      <c r="CN308" s="36"/>
      <c r="CO308" s="36"/>
      <c r="CP308" s="36"/>
      <c r="CQ308" s="36"/>
      <c r="CR308" s="36"/>
      <c r="CS308" s="36"/>
      <c r="CT308" s="36"/>
      <c r="CU308" s="36"/>
      <c r="CV308" s="36"/>
      <c r="CW308" s="36"/>
      <c r="CX308" s="37"/>
      <c r="CY308" s="44"/>
      <c r="CZ308" s="36"/>
      <c r="DA308" s="36"/>
      <c r="DB308" s="36"/>
      <c r="DC308" s="36"/>
      <c r="DD308" s="36"/>
      <c r="DE308" s="36"/>
      <c r="DF308" s="36"/>
      <c r="DG308" s="36"/>
      <c r="DH308" s="36"/>
      <c r="DI308" s="36"/>
      <c r="DJ308" s="36"/>
      <c r="DK308" s="36"/>
      <c r="DL308" s="36"/>
      <c r="DM308" s="36"/>
      <c r="DN308" s="36"/>
      <c r="DO308" s="37"/>
      <c r="DP308" s="44"/>
      <c r="DQ308" s="36"/>
      <c r="DR308" s="36"/>
      <c r="DS308" s="36"/>
      <c r="DT308" s="36"/>
      <c r="DU308" s="36"/>
      <c r="DV308" s="36"/>
      <c r="DW308" s="36"/>
      <c r="DX308" s="36"/>
      <c r="DY308" s="36"/>
      <c r="DZ308" s="36"/>
      <c r="EA308" s="36"/>
      <c r="EB308" s="36"/>
      <c r="EC308" s="36"/>
      <c r="ED308" s="36"/>
      <c r="EE308" s="36"/>
      <c r="EF308" s="37"/>
      <c r="EG308" s="44"/>
      <c r="EH308" s="36"/>
      <c r="EI308" s="36"/>
      <c r="EJ308" s="36"/>
      <c r="EK308" s="36"/>
      <c r="EL308" s="36"/>
      <c r="EM308" s="36"/>
      <c r="EN308" s="36"/>
      <c r="EO308" s="36"/>
      <c r="EP308" s="36"/>
      <c r="EQ308" s="36"/>
      <c r="ER308" s="36"/>
      <c r="ES308" s="36"/>
      <c r="ET308" s="36"/>
      <c r="EU308" s="36"/>
      <c r="EV308" s="36"/>
      <c r="EW308" s="37"/>
      <c r="EX308" s="44"/>
      <c r="EY308" s="36"/>
      <c r="EZ308" s="36"/>
      <c r="FA308" s="36"/>
      <c r="FB308" s="36"/>
      <c r="FC308" s="36"/>
      <c r="FD308" s="36"/>
      <c r="FE308" s="36"/>
      <c r="FF308" s="36"/>
      <c r="FG308" s="36"/>
      <c r="FH308" s="36"/>
      <c r="FI308" s="36"/>
      <c r="FJ308" s="36"/>
      <c r="FK308" s="36"/>
      <c r="FL308" s="36"/>
      <c r="FM308" s="36"/>
      <c r="FN308" s="37"/>
      <c r="FO308" s="44"/>
      <c r="FP308" s="36"/>
      <c r="FQ308" s="36"/>
      <c r="FR308" s="36"/>
      <c r="FS308" s="36"/>
      <c r="FT308" s="36"/>
      <c r="FU308" s="36"/>
      <c r="FV308" s="36"/>
      <c r="FW308" s="36"/>
      <c r="FX308" s="36"/>
      <c r="FY308" s="36"/>
      <c r="FZ308" s="36"/>
      <c r="GA308" s="36"/>
      <c r="GB308" s="36"/>
      <c r="GC308" s="36"/>
      <c r="GD308" s="36"/>
      <c r="GE308" s="37"/>
      <c r="GF308" s="44"/>
      <c r="GG308" s="36"/>
      <c r="GH308" s="36"/>
      <c r="GI308" s="36"/>
      <c r="GJ308" s="36"/>
      <c r="GK308" s="36"/>
      <c r="GL308" s="36"/>
      <c r="GM308" s="36"/>
      <c r="GN308" s="36"/>
      <c r="GO308" s="36"/>
      <c r="GP308" s="36"/>
      <c r="GQ308" s="36"/>
      <c r="GR308" s="36"/>
      <c r="GS308" s="36"/>
      <c r="GT308" s="36"/>
      <c r="GU308" s="36"/>
      <c r="GV308" s="37"/>
      <c r="GW308" s="44"/>
      <c r="GX308" s="36"/>
      <c r="GY308" s="36"/>
      <c r="GZ308" s="36"/>
      <c r="HA308" s="36"/>
      <c r="HB308" s="36"/>
      <c r="HC308" s="36"/>
      <c r="HD308" s="36"/>
      <c r="HE308" s="36"/>
      <c r="HF308" s="36"/>
      <c r="HG308" s="36"/>
      <c r="HH308" s="36"/>
      <c r="HI308" s="36"/>
      <c r="HJ308" s="36"/>
      <c r="HK308" s="36"/>
      <c r="HL308" s="36"/>
      <c r="HM308" s="37"/>
      <c r="HN308" s="44"/>
      <c r="HO308" s="36"/>
      <c r="HP308" s="36"/>
      <c r="HQ308" s="36"/>
      <c r="HR308" s="36"/>
      <c r="HS308" s="36"/>
      <c r="HT308" s="36"/>
      <c r="HU308" s="36"/>
      <c r="HV308" s="36"/>
      <c r="HW308" s="36"/>
      <c r="HX308" s="36"/>
      <c r="HY308" s="36"/>
      <c r="HZ308" s="36"/>
      <c r="IA308" s="36"/>
      <c r="IB308" s="36"/>
      <c r="IC308" s="36"/>
      <c r="ID308" s="37"/>
      <c r="IE308" s="44"/>
      <c r="IF308" s="36"/>
      <c r="IG308" s="36"/>
      <c r="IH308" s="36"/>
      <c r="II308" s="36"/>
      <c r="IJ308" s="36"/>
      <c r="IK308" s="36"/>
      <c r="IL308" s="36"/>
      <c r="IM308" s="36"/>
      <c r="IN308" s="36"/>
      <c r="IO308" s="36"/>
      <c r="IP308" s="36"/>
      <c r="IQ308" s="36"/>
      <c r="IR308" s="36"/>
      <c r="IS308" s="36"/>
      <c r="IT308" s="36"/>
      <c r="IU308" s="37"/>
      <c r="IV308" s="44"/>
      <c r="IW308" s="36"/>
      <c r="IX308" s="36"/>
      <c r="IY308" s="36"/>
      <c r="IZ308" s="36"/>
      <c r="JA308" s="36"/>
      <c r="JB308" s="36"/>
      <c r="JC308" s="36"/>
      <c r="JD308" s="36"/>
      <c r="JE308" s="36"/>
      <c r="JF308" s="36"/>
      <c r="JG308" s="36"/>
      <c r="JH308" s="36"/>
      <c r="JI308" s="36"/>
      <c r="JJ308" s="36"/>
      <c r="JK308" s="36"/>
      <c r="JL308" s="37"/>
      <c r="JM308" s="44"/>
      <c r="JN308" s="36"/>
      <c r="JO308" s="36"/>
      <c r="JP308" s="36"/>
      <c r="JQ308" s="36"/>
      <c r="JR308" s="36"/>
      <c r="JS308" s="36"/>
      <c r="JT308" s="36"/>
      <c r="JU308" s="36"/>
      <c r="JV308" s="36"/>
      <c r="JW308" s="36"/>
      <c r="JX308" s="36"/>
      <c r="JY308" s="36"/>
      <c r="JZ308" s="36"/>
      <c r="KA308" s="36"/>
      <c r="KB308" s="36"/>
      <c r="KC308" s="37"/>
      <c r="KD308" s="44"/>
      <c r="KE308" s="36"/>
      <c r="KF308" s="36"/>
      <c r="KG308" s="36"/>
      <c r="KH308" s="36"/>
      <c r="KI308" s="36"/>
      <c r="KJ308" s="36"/>
      <c r="KK308" s="36"/>
      <c r="KL308" s="36"/>
      <c r="KM308" s="36"/>
      <c r="KN308" s="36"/>
      <c r="KO308" s="36"/>
      <c r="KP308" s="36"/>
      <c r="KQ308" s="36"/>
      <c r="KR308" s="36"/>
      <c r="KS308" s="36"/>
      <c r="KT308" s="37"/>
      <c r="KU308" s="36"/>
    </row>
    <row r="309" ht="15.0" customHeight="1">
      <c r="A309" s="44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7"/>
      <c r="R309" s="44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7"/>
      <c r="AI309" s="44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  <c r="AU309" s="36"/>
      <c r="AV309" s="36"/>
      <c r="AW309" s="36"/>
      <c r="AX309" s="36"/>
      <c r="AY309" s="37"/>
      <c r="AZ309" s="44"/>
      <c r="BA309" s="36"/>
      <c r="BB309" s="36"/>
      <c r="BC309" s="36"/>
      <c r="BD309" s="36"/>
      <c r="BE309" s="36"/>
      <c r="BF309" s="36"/>
      <c r="BG309" s="36"/>
      <c r="BH309" s="36"/>
      <c r="BI309" s="36"/>
      <c r="BJ309" s="36"/>
      <c r="BK309" s="36"/>
      <c r="BL309" s="36"/>
      <c r="BM309" s="36"/>
      <c r="BN309" s="36"/>
      <c r="BO309" s="36"/>
      <c r="BP309" s="37"/>
      <c r="BQ309" s="44"/>
      <c r="BR309" s="36"/>
      <c r="BS309" s="36"/>
      <c r="BT309" s="36"/>
      <c r="BU309" s="36"/>
      <c r="BV309" s="36"/>
      <c r="BW309" s="36"/>
      <c r="BX309" s="36"/>
      <c r="BY309" s="36"/>
      <c r="BZ309" s="36"/>
      <c r="CA309" s="36"/>
      <c r="CB309" s="36"/>
      <c r="CC309" s="36"/>
      <c r="CD309" s="36"/>
      <c r="CE309" s="36"/>
      <c r="CF309" s="36"/>
      <c r="CG309" s="37"/>
      <c r="CH309" s="44"/>
      <c r="CI309" s="36"/>
      <c r="CJ309" s="36"/>
      <c r="CK309" s="36"/>
      <c r="CL309" s="36"/>
      <c r="CM309" s="36"/>
      <c r="CN309" s="36"/>
      <c r="CO309" s="36"/>
      <c r="CP309" s="36"/>
      <c r="CQ309" s="36"/>
      <c r="CR309" s="36"/>
      <c r="CS309" s="36"/>
      <c r="CT309" s="36"/>
      <c r="CU309" s="36"/>
      <c r="CV309" s="36"/>
      <c r="CW309" s="36"/>
      <c r="CX309" s="37"/>
      <c r="CY309" s="44"/>
      <c r="CZ309" s="36"/>
      <c r="DA309" s="36"/>
      <c r="DB309" s="36"/>
      <c r="DC309" s="36"/>
      <c r="DD309" s="36"/>
      <c r="DE309" s="36"/>
      <c r="DF309" s="36"/>
      <c r="DG309" s="36"/>
      <c r="DH309" s="36"/>
      <c r="DI309" s="36"/>
      <c r="DJ309" s="36"/>
      <c r="DK309" s="36"/>
      <c r="DL309" s="36"/>
      <c r="DM309" s="36"/>
      <c r="DN309" s="36"/>
      <c r="DO309" s="37"/>
      <c r="DP309" s="44"/>
      <c r="DQ309" s="36"/>
      <c r="DR309" s="36"/>
      <c r="DS309" s="36"/>
      <c r="DT309" s="36"/>
      <c r="DU309" s="36"/>
      <c r="DV309" s="36"/>
      <c r="DW309" s="36"/>
      <c r="DX309" s="36"/>
      <c r="DY309" s="36"/>
      <c r="DZ309" s="36"/>
      <c r="EA309" s="36"/>
      <c r="EB309" s="36"/>
      <c r="EC309" s="36"/>
      <c r="ED309" s="36"/>
      <c r="EE309" s="36"/>
      <c r="EF309" s="37"/>
      <c r="EG309" s="44"/>
      <c r="EH309" s="36"/>
      <c r="EI309" s="36"/>
      <c r="EJ309" s="36"/>
      <c r="EK309" s="36"/>
      <c r="EL309" s="36"/>
      <c r="EM309" s="36"/>
      <c r="EN309" s="36"/>
      <c r="EO309" s="36"/>
      <c r="EP309" s="36"/>
      <c r="EQ309" s="36"/>
      <c r="ER309" s="36"/>
      <c r="ES309" s="36"/>
      <c r="ET309" s="36"/>
      <c r="EU309" s="36"/>
      <c r="EV309" s="36"/>
      <c r="EW309" s="37"/>
      <c r="EX309" s="44"/>
      <c r="EY309" s="36"/>
      <c r="EZ309" s="36"/>
      <c r="FA309" s="36"/>
      <c r="FB309" s="36"/>
      <c r="FC309" s="36"/>
      <c r="FD309" s="36"/>
      <c r="FE309" s="36"/>
      <c r="FF309" s="36"/>
      <c r="FG309" s="36"/>
      <c r="FH309" s="36"/>
      <c r="FI309" s="36"/>
      <c r="FJ309" s="36"/>
      <c r="FK309" s="36"/>
      <c r="FL309" s="36"/>
      <c r="FM309" s="36"/>
      <c r="FN309" s="37"/>
      <c r="FO309" s="44"/>
      <c r="FP309" s="36"/>
      <c r="FQ309" s="36"/>
      <c r="FR309" s="36"/>
      <c r="FS309" s="36"/>
      <c r="FT309" s="36"/>
      <c r="FU309" s="36"/>
      <c r="FV309" s="36"/>
      <c r="FW309" s="36"/>
      <c r="FX309" s="36"/>
      <c r="FY309" s="36"/>
      <c r="FZ309" s="36"/>
      <c r="GA309" s="36"/>
      <c r="GB309" s="36"/>
      <c r="GC309" s="36"/>
      <c r="GD309" s="36"/>
      <c r="GE309" s="37"/>
      <c r="GF309" s="44"/>
      <c r="GG309" s="36"/>
      <c r="GH309" s="36"/>
      <c r="GI309" s="36"/>
      <c r="GJ309" s="36"/>
      <c r="GK309" s="36"/>
      <c r="GL309" s="36"/>
      <c r="GM309" s="36"/>
      <c r="GN309" s="36"/>
      <c r="GO309" s="36"/>
      <c r="GP309" s="36"/>
      <c r="GQ309" s="36"/>
      <c r="GR309" s="36"/>
      <c r="GS309" s="36"/>
      <c r="GT309" s="36"/>
      <c r="GU309" s="36"/>
      <c r="GV309" s="37"/>
      <c r="GW309" s="44"/>
      <c r="GX309" s="36"/>
      <c r="GY309" s="36"/>
      <c r="GZ309" s="36"/>
      <c r="HA309" s="36"/>
      <c r="HB309" s="36"/>
      <c r="HC309" s="36"/>
      <c r="HD309" s="36"/>
      <c r="HE309" s="36"/>
      <c r="HF309" s="36"/>
      <c r="HG309" s="36"/>
      <c r="HH309" s="36"/>
      <c r="HI309" s="36"/>
      <c r="HJ309" s="36"/>
      <c r="HK309" s="36"/>
      <c r="HL309" s="36"/>
      <c r="HM309" s="37"/>
      <c r="HN309" s="44"/>
      <c r="HO309" s="36"/>
      <c r="HP309" s="36"/>
      <c r="HQ309" s="36"/>
      <c r="HR309" s="36"/>
      <c r="HS309" s="36"/>
      <c r="HT309" s="36"/>
      <c r="HU309" s="36"/>
      <c r="HV309" s="36"/>
      <c r="HW309" s="36"/>
      <c r="HX309" s="36"/>
      <c r="HY309" s="36"/>
      <c r="HZ309" s="36"/>
      <c r="IA309" s="36"/>
      <c r="IB309" s="36"/>
      <c r="IC309" s="36"/>
      <c r="ID309" s="37"/>
      <c r="IE309" s="44"/>
      <c r="IF309" s="36"/>
      <c r="IG309" s="36"/>
      <c r="IH309" s="36"/>
      <c r="II309" s="36"/>
      <c r="IJ309" s="36"/>
      <c r="IK309" s="36"/>
      <c r="IL309" s="36"/>
      <c r="IM309" s="36"/>
      <c r="IN309" s="36"/>
      <c r="IO309" s="36"/>
      <c r="IP309" s="36"/>
      <c r="IQ309" s="36"/>
      <c r="IR309" s="36"/>
      <c r="IS309" s="36"/>
      <c r="IT309" s="36"/>
      <c r="IU309" s="37"/>
      <c r="IV309" s="44"/>
      <c r="IW309" s="36"/>
      <c r="IX309" s="36"/>
      <c r="IY309" s="36"/>
      <c r="IZ309" s="36"/>
      <c r="JA309" s="36"/>
      <c r="JB309" s="36"/>
      <c r="JC309" s="36"/>
      <c r="JD309" s="36"/>
      <c r="JE309" s="36"/>
      <c r="JF309" s="36"/>
      <c r="JG309" s="36"/>
      <c r="JH309" s="36"/>
      <c r="JI309" s="36"/>
      <c r="JJ309" s="36"/>
      <c r="JK309" s="36"/>
      <c r="JL309" s="37"/>
      <c r="JM309" s="44"/>
      <c r="JN309" s="36"/>
      <c r="JO309" s="36"/>
      <c r="JP309" s="36"/>
      <c r="JQ309" s="36"/>
      <c r="JR309" s="36"/>
      <c r="JS309" s="36"/>
      <c r="JT309" s="36"/>
      <c r="JU309" s="36"/>
      <c r="JV309" s="36"/>
      <c r="JW309" s="36"/>
      <c r="JX309" s="36"/>
      <c r="JY309" s="36"/>
      <c r="JZ309" s="36"/>
      <c r="KA309" s="36"/>
      <c r="KB309" s="36"/>
      <c r="KC309" s="37"/>
      <c r="KD309" s="44"/>
      <c r="KE309" s="36"/>
      <c r="KF309" s="36"/>
      <c r="KG309" s="36"/>
      <c r="KH309" s="36"/>
      <c r="KI309" s="36"/>
      <c r="KJ309" s="36"/>
      <c r="KK309" s="36"/>
      <c r="KL309" s="36"/>
      <c r="KM309" s="36"/>
      <c r="KN309" s="36"/>
      <c r="KO309" s="36"/>
      <c r="KP309" s="36"/>
      <c r="KQ309" s="36"/>
      <c r="KR309" s="36"/>
      <c r="KS309" s="36"/>
      <c r="KT309" s="37"/>
      <c r="KU309" s="36"/>
    </row>
    <row r="310" ht="15.0" customHeight="1">
      <c r="A310" s="44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7"/>
      <c r="R310" s="44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7"/>
      <c r="AI310" s="44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  <c r="AU310" s="36"/>
      <c r="AV310" s="36"/>
      <c r="AW310" s="36"/>
      <c r="AX310" s="36"/>
      <c r="AY310" s="37"/>
      <c r="AZ310" s="44"/>
      <c r="BA310" s="36"/>
      <c r="BB310" s="36"/>
      <c r="BC310" s="36"/>
      <c r="BD310" s="36"/>
      <c r="BE310" s="36"/>
      <c r="BF310" s="36"/>
      <c r="BG310" s="36"/>
      <c r="BH310" s="36"/>
      <c r="BI310" s="36"/>
      <c r="BJ310" s="36"/>
      <c r="BK310" s="36"/>
      <c r="BL310" s="36"/>
      <c r="BM310" s="36"/>
      <c r="BN310" s="36"/>
      <c r="BO310" s="36"/>
      <c r="BP310" s="37"/>
      <c r="BQ310" s="44"/>
      <c r="BR310" s="36"/>
      <c r="BS310" s="36"/>
      <c r="BT310" s="36"/>
      <c r="BU310" s="36"/>
      <c r="BV310" s="36"/>
      <c r="BW310" s="36"/>
      <c r="BX310" s="36"/>
      <c r="BY310" s="36"/>
      <c r="BZ310" s="36"/>
      <c r="CA310" s="36"/>
      <c r="CB310" s="36"/>
      <c r="CC310" s="36"/>
      <c r="CD310" s="36"/>
      <c r="CE310" s="36"/>
      <c r="CF310" s="36"/>
      <c r="CG310" s="37"/>
      <c r="CH310" s="44"/>
      <c r="CI310" s="36"/>
      <c r="CJ310" s="36"/>
      <c r="CK310" s="36"/>
      <c r="CL310" s="36"/>
      <c r="CM310" s="36"/>
      <c r="CN310" s="36"/>
      <c r="CO310" s="36"/>
      <c r="CP310" s="36"/>
      <c r="CQ310" s="36"/>
      <c r="CR310" s="36"/>
      <c r="CS310" s="36"/>
      <c r="CT310" s="36"/>
      <c r="CU310" s="36"/>
      <c r="CV310" s="36"/>
      <c r="CW310" s="36"/>
      <c r="CX310" s="37"/>
      <c r="CY310" s="44"/>
      <c r="CZ310" s="36"/>
      <c r="DA310" s="36"/>
      <c r="DB310" s="36"/>
      <c r="DC310" s="36"/>
      <c r="DD310" s="36"/>
      <c r="DE310" s="36"/>
      <c r="DF310" s="36"/>
      <c r="DG310" s="36"/>
      <c r="DH310" s="36"/>
      <c r="DI310" s="36"/>
      <c r="DJ310" s="36"/>
      <c r="DK310" s="36"/>
      <c r="DL310" s="36"/>
      <c r="DM310" s="36"/>
      <c r="DN310" s="36"/>
      <c r="DO310" s="37"/>
      <c r="DP310" s="44"/>
      <c r="DQ310" s="36"/>
      <c r="DR310" s="36"/>
      <c r="DS310" s="36"/>
      <c r="DT310" s="36"/>
      <c r="DU310" s="36"/>
      <c r="DV310" s="36"/>
      <c r="DW310" s="36"/>
      <c r="DX310" s="36"/>
      <c r="DY310" s="36"/>
      <c r="DZ310" s="36"/>
      <c r="EA310" s="36"/>
      <c r="EB310" s="36"/>
      <c r="EC310" s="36"/>
      <c r="ED310" s="36"/>
      <c r="EE310" s="36"/>
      <c r="EF310" s="37"/>
      <c r="EG310" s="44"/>
      <c r="EH310" s="36"/>
      <c r="EI310" s="36"/>
      <c r="EJ310" s="36"/>
      <c r="EK310" s="36"/>
      <c r="EL310" s="36"/>
      <c r="EM310" s="36"/>
      <c r="EN310" s="36"/>
      <c r="EO310" s="36"/>
      <c r="EP310" s="36"/>
      <c r="EQ310" s="36"/>
      <c r="ER310" s="36"/>
      <c r="ES310" s="36"/>
      <c r="ET310" s="36"/>
      <c r="EU310" s="36"/>
      <c r="EV310" s="36"/>
      <c r="EW310" s="37"/>
      <c r="EX310" s="44"/>
      <c r="EY310" s="36"/>
      <c r="EZ310" s="36"/>
      <c r="FA310" s="36"/>
      <c r="FB310" s="36"/>
      <c r="FC310" s="36"/>
      <c r="FD310" s="36"/>
      <c r="FE310" s="36"/>
      <c r="FF310" s="36"/>
      <c r="FG310" s="36"/>
      <c r="FH310" s="36"/>
      <c r="FI310" s="36"/>
      <c r="FJ310" s="36"/>
      <c r="FK310" s="36"/>
      <c r="FL310" s="36"/>
      <c r="FM310" s="36"/>
      <c r="FN310" s="37"/>
      <c r="FO310" s="44"/>
      <c r="FP310" s="36"/>
      <c r="FQ310" s="36"/>
      <c r="FR310" s="36"/>
      <c r="FS310" s="36"/>
      <c r="FT310" s="36"/>
      <c r="FU310" s="36"/>
      <c r="FV310" s="36"/>
      <c r="FW310" s="36"/>
      <c r="FX310" s="36"/>
      <c r="FY310" s="36"/>
      <c r="FZ310" s="36"/>
      <c r="GA310" s="36"/>
      <c r="GB310" s="36"/>
      <c r="GC310" s="36"/>
      <c r="GD310" s="36"/>
      <c r="GE310" s="37"/>
      <c r="GF310" s="44"/>
      <c r="GG310" s="36"/>
      <c r="GH310" s="36"/>
      <c r="GI310" s="36"/>
      <c r="GJ310" s="36"/>
      <c r="GK310" s="36"/>
      <c r="GL310" s="36"/>
      <c r="GM310" s="36"/>
      <c r="GN310" s="36"/>
      <c r="GO310" s="36"/>
      <c r="GP310" s="36"/>
      <c r="GQ310" s="36"/>
      <c r="GR310" s="36"/>
      <c r="GS310" s="36"/>
      <c r="GT310" s="36"/>
      <c r="GU310" s="36"/>
      <c r="GV310" s="37"/>
      <c r="GW310" s="44"/>
      <c r="GX310" s="36"/>
      <c r="GY310" s="36"/>
      <c r="GZ310" s="36"/>
      <c r="HA310" s="36"/>
      <c r="HB310" s="36"/>
      <c r="HC310" s="36"/>
      <c r="HD310" s="36"/>
      <c r="HE310" s="36"/>
      <c r="HF310" s="36"/>
      <c r="HG310" s="36"/>
      <c r="HH310" s="36"/>
      <c r="HI310" s="36"/>
      <c r="HJ310" s="36"/>
      <c r="HK310" s="36"/>
      <c r="HL310" s="36"/>
      <c r="HM310" s="37"/>
      <c r="HN310" s="44"/>
      <c r="HO310" s="36"/>
      <c r="HP310" s="36"/>
      <c r="HQ310" s="36"/>
      <c r="HR310" s="36"/>
      <c r="HS310" s="36"/>
      <c r="HT310" s="36"/>
      <c r="HU310" s="36"/>
      <c r="HV310" s="36"/>
      <c r="HW310" s="36"/>
      <c r="HX310" s="36"/>
      <c r="HY310" s="36"/>
      <c r="HZ310" s="36"/>
      <c r="IA310" s="36"/>
      <c r="IB310" s="36"/>
      <c r="IC310" s="36"/>
      <c r="ID310" s="37"/>
      <c r="IE310" s="44"/>
      <c r="IF310" s="36"/>
      <c r="IG310" s="36"/>
      <c r="IH310" s="36"/>
      <c r="II310" s="36"/>
      <c r="IJ310" s="36"/>
      <c r="IK310" s="36"/>
      <c r="IL310" s="36"/>
      <c r="IM310" s="36"/>
      <c r="IN310" s="36"/>
      <c r="IO310" s="36"/>
      <c r="IP310" s="36"/>
      <c r="IQ310" s="36"/>
      <c r="IR310" s="36"/>
      <c r="IS310" s="36"/>
      <c r="IT310" s="36"/>
      <c r="IU310" s="37"/>
      <c r="IV310" s="44"/>
      <c r="IW310" s="36"/>
      <c r="IX310" s="36"/>
      <c r="IY310" s="36"/>
      <c r="IZ310" s="36"/>
      <c r="JA310" s="36"/>
      <c r="JB310" s="36"/>
      <c r="JC310" s="36"/>
      <c r="JD310" s="36"/>
      <c r="JE310" s="36"/>
      <c r="JF310" s="36"/>
      <c r="JG310" s="36"/>
      <c r="JH310" s="36"/>
      <c r="JI310" s="36"/>
      <c r="JJ310" s="36"/>
      <c r="JK310" s="36"/>
      <c r="JL310" s="37"/>
      <c r="JM310" s="44"/>
      <c r="JN310" s="36"/>
      <c r="JO310" s="36"/>
      <c r="JP310" s="36"/>
      <c r="JQ310" s="36"/>
      <c r="JR310" s="36"/>
      <c r="JS310" s="36"/>
      <c r="JT310" s="36"/>
      <c r="JU310" s="36"/>
      <c r="JV310" s="36"/>
      <c r="JW310" s="36"/>
      <c r="JX310" s="36"/>
      <c r="JY310" s="36"/>
      <c r="JZ310" s="36"/>
      <c r="KA310" s="36"/>
      <c r="KB310" s="36"/>
      <c r="KC310" s="37"/>
      <c r="KD310" s="44"/>
      <c r="KE310" s="36"/>
      <c r="KF310" s="36"/>
      <c r="KG310" s="36"/>
      <c r="KH310" s="36"/>
      <c r="KI310" s="36"/>
      <c r="KJ310" s="36"/>
      <c r="KK310" s="36"/>
      <c r="KL310" s="36"/>
      <c r="KM310" s="36"/>
      <c r="KN310" s="36"/>
      <c r="KO310" s="36"/>
      <c r="KP310" s="36"/>
      <c r="KQ310" s="36"/>
      <c r="KR310" s="36"/>
      <c r="KS310" s="36"/>
      <c r="KT310" s="37"/>
      <c r="KU310" s="36"/>
    </row>
    <row r="311" ht="15.0" customHeight="1">
      <c r="A311" s="44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7"/>
      <c r="R311" s="44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7"/>
      <c r="AI311" s="44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  <c r="AU311" s="36"/>
      <c r="AV311" s="36"/>
      <c r="AW311" s="36"/>
      <c r="AX311" s="36"/>
      <c r="AY311" s="37"/>
      <c r="AZ311" s="44"/>
      <c r="BA311" s="36"/>
      <c r="BB311" s="36"/>
      <c r="BC311" s="36"/>
      <c r="BD311" s="36"/>
      <c r="BE311" s="36"/>
      <c r="BF311" s="36"/>
      <c r="BG311" s="36"/>
      <c r="BH311" s="36"/>
      <c r="BI311" s="36"/>
      <c r="BJ311" s="36"/>
      <c r="BK311" s="36"/>
      <c r="BL311" s="36"/>
      <c r="BM311" s="36"/>
      <c r="BN311" s="36"/>
      <c r="BO311" s="36"/>
      <c r="BP311" s="37"/>
      <c r="BQ311" s="44"/>
      <c r="BR311" s="36"/>
      <c r="BS311" s="36"/>
      <c r="BT311" s="36"/>
      <c r="BU311" s="36"/>
      <c r="BV311" s="36"/>
      <c r="BW311" s="36"/>
      <c r="BX311" s="36"/>
      <c r="BY311" s="36"/>
      <c r="BZ311" s="36"/>
      <c r="CA311" s="36"/>
      <c r="CB311" s="36"/>
      <c r="CC311" s="36"/>
      <c r="CD311" s="36"/>
      <c r="CE311" s="36"/>
      <c r="CF311" s="36"/>
      <c r="CG311" s="37"/>
      <c r="CH311" s="44"/>
      <c r="CI311" s="36"/>
      <c r="CJ311" s="36"/>
      <c r="CK311" s="36"/>
      <c r="CL311" s="36"/>
      <c r="CM311" s="36"/>
      <c r="CN311" s="36"/>
      <c r="CO311" s="36"/>
      <c r="CP311" s="36"/>
      <c r="CQ311" s="36"/>
      <c r="CR311" s="36"/>
      <c r="CS311" s="36"/>
      <c r="CT311" s="36"/>
      <c r="CU311" s="36"/>
      <c r="CV311" s="36"/>
      <c r="CW311" s="36"/>
      <c r="CX311" s="37"/>
      <c r="CY311" s="44"/>
      <c r="CZ311" s="36"/>
      <c r="DA311" s="36"/>
      <c r="DB311" s="36"/>
      <c r="DC311" s="36"/>
      <c r="DD311" s="36"/>
      <c r="DE311" s="36"/>
      <c r="DF311" s="36"/>
      <c r="DG311" s="36"/>
      <c r="DH311" s="36"/>
      <c r="DI311" s="36"/>
      <c r="DJ311" s="36"/>
      <c r="DK311" s="36"/>
      <c r="DL311" s="36"/>
      <c r="DM311" s="36"/>
      <c r="DN311" s="36"/>
      <c r="DO311" s="37"/>
      <c r="DP311" s="44"/>
      <c r="DQ311" s="36"/>
      <c r="DR311" s="36"/>
      <c r="DS311" s="36"/>
      <c r="DT311" s="36"/>
      <c r="DU311" s="36"/>
      <c r="DV311" s="36"/>
      <c r="DW311" s="36"/>
      <c r="DX311" s="36"/>
      <c r="DY311" s="36"/>
      <c r="DZ311" s="36"/>
      <c r="EA311" s="36"/>
      <c r="EB311" s="36"/>
      <c r="EC311" s="36"/>
      <c r="ED311" s="36"/>
      <c r="EE311" s="36"/>
      <c r="EF311" s="37"/>
      <c r="EG311" s="44"/>
      <c r="EH311" s="36"/>
      <c r="EI311" s="36"/>
      <c r="EJ311" s="36"/>
      <c r="EK311" s="36"/>
      <c r="EL311" s="36"/>
      <c r="EM311" s="36"/>
      <c r="EN311" s="36"/>
      <c r="EO311" s="36"/>
      <c r="EP311" s="36"/>
      <c r="EQ311" s="36"/>
      <c r="ER311" s="36"/>
      <c r="ES311" s="36"/>
      <c r="ET311" s="36"/>
      <c r="EU311" s="36"/>
      <c r="EV311" s="36"/>
      <c r="EW311" s="37"/>
      <c r="EX311" s="44"/>
      <c r="EY311" s="36"/>
      <c r="EZ311" s="36"/>
      <c r="FA311" s="36"/>
      <c r="FB311" s="36"/>
      <c r="FC311" s="36"/>
      <c r="FD311" s="36"/>
      <c r="FE311" s="36"/>
      <c r="FF311" s="36"/>
      <c r="FG311" s="36"/>
      <c r="FH311" s="36"/>
      <c r="FI311" s="36"/>
      <c r="FJ311" s="36"/>
      <c r="FK311" s="36"/>
      <c r="FL311" s="36"/>
      <c r="FM311" s="36"/>
      <c r="FN311" s="37"/>
      <c r="FO311" s="44"/>
      <c r="FP311" s="36"/>
      <c r="FQ311" s="36"/>
      <c r="FR311" s="36"/>
      <c r="FS311" s="36"/>
      <c r="FT311" s="36"/>
      <c r="FU311" s="36"/>
      <c r="FV311" s="36"/>
      <c r="FW311" s="36"/>
      <c r="FX311" s="36"/>
      <c r="FY311" s="36"/>
      <c r="FZ311" s="36"/>
      <c r="GA311" s="36"/>
      <c r="GB311" s="36"/>
      <c r="GC311" s="36"/>
      <c r="GD311" s="36"/>
      <c r="GE311" s="37"/>
      <c r="GF311" s="44"/>
      <c r="GG311" s="36"/>
      <c r="GH311" s="36"/>
      <c r="GI311" s="36"/>
      <c r="GJ311" s="36"/>
      <c r="GK311" s="36"/>
      <c r="GL311" s="36"/>
      <c r="GM311" s="36"/>
      <c r="GN311" s="36"/>
      <c r="GO311" s="36"/>
      <c r="GP311" s="36"/>
      <c r="GQ311" s="36"/>
      <c r="GR311" s="36"/>
      <c r="GS311" s="36"/>
      <c r="GT311" s="36"/>
      <c r="GU311" s="36"/>
      <c r="GV311" s="37"/>
      <c r="GW311" s="44"/>
      <c r="GX311" s="36"/>
      <c r="GY311" s="36"/>
      <c r="GZ311" s="36"/>
      <c r="HA311" s="36"/>
      <c r="HB311" s="36"/>
      <c r="HC311" s="36"/>
      <c r="HD311" s="36"/>
      <c r="HE311" s="36"/>
      <c r="HF311" s="36"/>
      <c r="HG311" s="36"/>
      <c r="HH311" s="36"/>
      <c r="HI311" s="36"/>
      <c r="HJ311" s="36"/>
      <c r="HK311" s="36"/>
      <c r="HL311" s="36"/>
      <c r="HM311" s="37"/>
      <c r="HN311" s="44"/>
      <c r="HO311" s="36"/>
      <c r="HP311" s="36"/>
      <c r="HQ311" s="36"/>
      <c r="HR311" s="36"/>
      <c r="HS311" s="36"/>
      <c r="HT311" s="36"/>
      <c r="HU311" s="36"/>
      <c r="HV311" s="36"/>
      <c r="HW311" s="36"/>
      <c r="HX311" s="36"/>
      <c r="HY311" s="36"/>
      <c r="HZ311" s="36"/>
      <c r="IA311" s="36"/>
      <c r="IB311" s="36"/>
      <c r="IC311" s="36"/>
      <c r="ID311" s="37"/>
      <c r="IE311" s="44"/>
      <c r="IF311" s="36"/>
      <c r="IG311" s="36"/>
      <c r="IH311" s="36"/>
      <c r="II311" s="36"/>
      <c r="IJ311" s="36"/>
      <c r="IK311" s="36"/>
      <c r="IL311" s="36"/>
      <c r="IM311" s="36"/>
      <c r="IN311" s="36"/>
      <c r="IO311" s="36"/>
      <c r="IP311" s="36"/>
      <c r="IQ311" s="36"/>
      <c r="IR311" s="36"/>
      <c r="IS311" s="36"/>
      <c r="IT311" s="36"/>
      <c r="IU311" s="37"/>
      <c r="IV311" s="44"/>
      <c r="IW311" s="36"/>
      <c r="IX311" s="36"/>
      <c r="IY311" s="36"/>
      <c r="IZ311" s="36"/>
      <c r="JA311" s="36"/>
      <c r="JB311" s="36"/>
      <c r="JC311" s="36"/>
      <c r="JD311" s="36"/>
      <c r="JE311" s="36"/>
      <c r="JF311" s="36"/>
      <c r="JG311" s="36"/>
      <c r="JH311" s="36"/>
      <c r="JI311" s="36"/>
      <c r="JJ311" s="36"/>
      <c r="JK311" s="36"/>
      <c r="JL311" s="37"/>
      <c r="JM311" s="44"/>
      <c r="JN311" s="36"/>
      <c r="JO311" s="36"/>
      <c r="JP311" s="36"/>
      <c r="JQ311" s="36"/>
      <c r="JR311" s="36"/>
      <c r="JS311" s="36"/>
      <c r="JT311" s="36"/>
      <c r="JU311" s="36"/>
      <c r="JV311" s="36"/>
      <c r="JW311" s="36"/>
      <c r="JX311" s="36"/>
      <c r="JY311" s="36"/>
      <c r="JZ311" s="36"/>
      <c r="KA311" s="36"/>
      <c r="KB311" s="36"/>
      <c r="KC311" s="37"/>
      <c r="KD311" s="44"/>
      <c r="KE311" s="36"/>
      <c r="KF311" s="36"/>
      <c r="KG311" s="36"/>
      <c r="KH311" s="36"/>
      <c r="KI311" s="36"/>
      <c r="KJ311" s="36"/>
      <c r="KK311" s="36"/>
      <c r="KL311" s="36"/>
      <c r="KM311" s="36"/>
      <c r="KN311" s="36"/>
      <c r="KO311" s="36"/>
      <c r="KP311" s="36"/>
      <c r="KQ311" s="36"/>
      <c r="KR311" s="36"/>
      <c r="KS311" s="36"/>
      <c r="KT311" s="37"/>
      <c r="KU311" s="36"/>
    </row>
    <row r="312" ht="15.0" customHeight="1">
      <c r="A312" s="44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7"/>
      <c r="R312" s="44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7"/>
      <c r="AI312" s="44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  <c r="AU312" s="36"/>
      <c r="AV312" s="36"/>
      <c r="AW312" s="36"/>
      <c r="AX312" s="36"/>
      <c r="AY312" s="37"/>
      <c r="AZ312" s="44"/>
      <c r="BA312" s="36"/>
      <c r="BB312" s="36"/>
      <c r="BC312" s="36"/>
      <c r="BD312" s="36"/>
      <c r="BE312" s="36"/>
      <c r="BF312" s="36"/>
      <c r="BG312" s="36"/>
      <c r="BH312" s="36"/>
      <c r="BI312" s="36"/>
      <c r="BJ312" s="36"/>
      <c r="BK312" s="36"/>
      <c r="BL312" s="36"/>
      <c r="BM312" s="36"/>
      <c r="BN312" s="36"/>
      <c r="BO312" s="36"/>
      <c r="BP312" s="37"/>
      <c r="BQ312" s="44"/>
      <c r="BR312" s="36"/>
      <c r="BS312" s="36"/>
      <c r="BT312" s="36"/>
      <c r="BU312" s="36"/>
      <c r="BV312" s="36"/>
      <c r="BW312" s="36"/>
      <c r="BX312" s="36"/>
      <c r="BY312" s="36"/>
      <c r="BZ312" s="36"/>
      <c r="CA312" s="36"/>
      <c r="CB312" s="36"/>
      <c r="CC312" s="36"/>
      <c r="CD312" s="36"/>
      <c r="CE312" s="36"/>
      <c r="CF312" s="36"/>
      <c r="CG312" s="37"/>
      <c r="CH312" s="44"/>
      <c r="CI312" s="36"/>
      <c r="CJ312" s="36"/>
      <c r="CK312" s="36"/>
      <c r="CL312" s="36"/>
      <c r="CM312" s="36"/>
      <c r="CN312" s="36"/>
      <c r="CO312" s="36"/>
      <c r="CP312" s="36"/>
      <c r="CQ312" s="36"/>
      <c r="CR312" s="36"/>
      <c r="CS312" s="36"/>
      <c r="CT312" s="36"/>
      <c r="CU312" s="36"/>
      <c r="CV312" s="36"/>
      <c r="CW312" s="36"/>
      <c r="CX312" s="37"/>
      <c r="CY312" s="44"/>
      <c r="CZ312" s="36"/>
      <c r="DA312" s="36"/>
      <c r="DB312" s="36"/>
      <c r="DC312" s="36"/>
      <c r="DD312" s="36"/>
      <c r="DE312" s="36"/>
      <c r="DF312" s="36"/>
      <c r="DG312" s="36"/>
      <c r="DH312" s="36"/>
      <c r="DI312" s="36"/>
      <c r="DJ312" s="36"/>
      <c r="DK312" s="36"/>
      <c r="DL312" s="36"/>
      <c r="DM312" s="36"/>
      <c r="DN312" s="36"/>
      <c r="DO312" s="37"/>
      <c r="DP312" s="44"/>
      <c r="DQ312" s="36"/>
      <c r="DR312" s="36"/>
      <c r="DS312" s="36"/>
      <c r="DT312" s="36"/>
      <c r="DU312" s="36"/>
      <c r="DV312" s="36"/>
      <c r="DW312" s="36"/>
      <c r="DX312" s="36"/>
      <c r="DY312" s="36"/>
      <c r="DZ312" s="36"/>
      <c r="EA312" s="36"/>
      <c r="EB312" s="36"/>
      <c r="EC312" s="36"/>
      <c r="ED312" s="36"/>
      <c r="EE312" s="36"/>
      <c r="EF312" s="37"/>
      <c r="EG312" s="44"/>
      <c r="EH312" s="36"/>
      <c r="EI312" s="36"/>
      <c r="EJ312" s="36"/>
      <c r="EK312" s="36"/>
      <c r="EL312" s="36"/>
      <c r="EM312" s="36"/>
      <c r="EN312" s="36"/>
      <c r="EO312" s="36"/>
      <c r="EP312" s="36"/>
      <c r="EQ312" s="36"/>
      <c r="ER312" s="36"/>
      <c r="ES312" s="36"/>
      <c r="ET312" s="36"/>
      <c r="EU312" s="36"/>
      <c r="EV312" s="36"/>
      <c r="EW312" s="37"/>
      <c r="EX312" s="44"/>
      <c r="EY312" s="36"/>
      <c r="EZ312" s="36"/>
      <c r="FA312" s="36"/>
      <c r="FB312" s="36"/>
      <c r="FC312" s="36"/>
      <c r="FD312" s="36"/>
      <c r="FE312" s="36"/>
      <c r="FF312" s="36"/>
      <c r="FG312" s="36"/>
      <c r="FH312" s="36"/>
      <c r="FI312" s="36"/>
      <c r="FJ312" s="36"/>
      <c r="FK312" s="36"/>
      <c r="FL312" s="36"/>
      <c r="FM312" s="36"/>
      <c r="FN312" s="37"/>
      <c r="FO312" s="44"/>
      <c r="FP312" s="36"/>
      <c r="FQ312" s="36"/>
      <c r="FR312" s="36"/>
      <c r="FS312" s="36"/>
      <c r="FT312" s="36"/>
      <c r="FU312" s="36"/>
      <c r="FV312" s="36"/>
      <c r="FW312" s="36"/>
      <c r="FX312" s="36"/>
      <c r="FY312" s="36"/>
      <c r="FZ312" s="36"/>
      <c r="GA312" s="36"/>
      <c r="GB312" s="36"/>
      <c r="GC312" s="36"/>
      <c r="GD312" s="36"/>
      <c r="GE312" s="37"/>
      <c r="GF312" s="44"/>
      <c r="GG312" s="36"/>
      <c r="GH312" s="36"/>
      <c r="GI312" s="36"/>
      <c r="GJ312" s="36"/>
      <c r="GK312" s="36"/>
      <c r="GL312" s="36"/>
      <c r="GM312" s="36"/>
      <c r="GN312" s="36"/>
      <c r="GO312" s="36"/>
      <c r="GP312" s="36"/>
      <c r="GQ312" s="36"/>
      <c r="GR312" s="36"/>
      <c r="GS312" s="36"/>
      <c r="GT312" s="36"/>
      <c r="GU312" s="36"/>
      <c r="GV312" s="37"/>
      <c r="GW312" s="44"/>
      <c r="GX312" s="36"/>
      <c r="GY312" s="36"/>
      <c r="GZ312" s="36"/>
      <c r="HA312" s="36"/>
      <c r="HB312" s="36"/>
      <c r="HC312" s="36"/>
      <c r="HD312" s="36"/>
      <c r="HE312" s="36"/>
      <c r="HF312" s="36"/>
      <c r="HG312" s="36"/>
      <c r="HH312" s="36"/>
      <c r="HI312" s="36"/>
      <c r="HJ312" s="36"/>
      <c r="HK312" s="36"/>
      <c r="HL312" s="36"/>
      <c r="HM312" s="37"/>
      <c r="HN312" s="44"/>
      <c r="HO312" s="36"/>
      <c r="HP312" s="36"/>
      <c r="HQ312" s="36"/>
      <c r="HR312" s="36"/>
      <c r="HS312" s="36"/>
      <c r="HT312" s="36"/>
      <c r="HU312" s="36"/>
      <c r="HV312" s="36"/>
      <c r="HW312" s="36"/>
      <c r="HX312" s="36"/>
      <c r="HY312" s="36"/>
      <c r="HZ312" s="36"/>
      <c r="IA312" s="36"/>
      <c r="IB312" s="36"/>
      <c r="IC312" s="36"/>
      <c r="ID312" s="37"/>
      <c r="IE312" s="44"/>
      <c r="IF312" s="36"/>
      <c r="IG312" s="36"/>
      <c r="IH312" s="36"/>
      <c r="II312" s="36"/>
      <c r="IJ312" s="36"/>
      <c r="IK312" s="36"/>
      <c r="IL312" s="36"/>
      <c r="IM312" s="36"/>
      <c r="IN312" s="36"/>
      <c r="IO312" s="36"/>
      <c r="IP312" s="36"/>
      <c r="IQ312" s="36"/>
      <c r="IR312" s="36"/>
      <c r="IS312" s="36"/>
      <c r="IT312" s="36"/>
      <c r="IU312" s="37"/>
      <c r="IV312" s="44"/>
      <c r="IW312" s="36"/>
      <c r="IX312" s="36"/>
      <c r="IY312" s="36"/>
      <c r="IZ312" s="36"/>
      <c r="JA312" s="36"/>
      <c r="JB312" s="36"/>
      <c r="JC312" s="36"/>
      <c r="JD312" s="36"/>
      <c r="JE312" s="36"/>
      <c r="JF312" s="36"/>
      <c r="JG312" s="36"/>
      <c r="JH312" s="36"/>
      <c r="JI312" s="36"/>
      <c r="JJ312" s="36"/>
      <c r="JK312" s="36"/>
      <c r="JL312" s="37"/>
      <c r="JM312" s="44"/>
      <c r="JN312" s="36"/>
      <c r="JO312" s="36"/>
      <c r="JP312" s="36"/>
      <c r="JQ312" s="36"/>
      <c r="JR312" s="36"/>
      <c r="JS312" s="36"/>
      <c r="JT312" s="36"/>
      <c r="JU312" s="36"/>
      <c r="JV312" s="36"/>
      <c r="JW312" s="36"/>
      <c r="JX312" s="36"/>
      <c r="JY312" s="36"/>
      <c r="JZ312" s="36"/>
      <c r="KA312" s="36"/>
      <c r="KB312" s="36"/>
      <c r="KC312" s="37"/>
      <c r="KD312" s="44"/>
      <c r="KE312" s="36"/>
      <c r="KF312" s="36"/>
      <c r="KG312" s="36"/>
      <c r="KH312" s="36"/>
      <c r="KI312" s="36"/>
      <c r="KJ312" s="36"/>
      <c r="KK312" s="36"/>
      <c r="KL312" s="36"/>
      <c r="KM312" s="36"/>
      <c r="KN312" s="36"/>
      <c r="KO312" s="36"/>
      <c r="KP312" s="36"/>
      <c r="KQ312" s="36"/>
      <c r="KR312" s="36"/>
      <c r="KS312" s="36"/>
      <c r="KT312" s="37"/>
      <c r="KU312" s="36"/>
    </row>
    <row r="313" ht="15.0" customHeight="1">
      <c r="A313" s="44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7"/>
      <c r="R313" s="44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7"/>
      <c r="AI313" s="44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  <c r="AU313" s="36"/>
      <c r="AV313" s="36"/>
      <c r="AW313" s="36"/>
      <c r="AX313" s="36"/>
      <c r="AY313" s="37"/>
      <c r="AZ313" s="44"/>
      <c r="BA313" s="36"/>
      <c r="BB313" s="36"/>
      <c r="BC313" s="36"/>
      <c r="BD313" s="36"/>
      <c r="BE313" s="36"/>
      <c r="BF313" s="36"/>
      <c r="BG313" s="36"/>
      <c r="BH313" s="36"/>
      <c r="BI313" s="36"/>
      <c r="BJ313" s="36"/>
      <c r="BK313" s="36"/>
      <c r="BL313" s="36"/>
      <c r="BM313" s="36"/>
      <c r="BN313" s="36"/>
      <c r="BO313" s="36"/>
      <c r="BP313" s="37"/>
      <c r="BQ313" s="44"/>
      <c r="BR313" s="36"/>
      <c r="BS313" s="36"/>
      <c r="BT313" s="36"/>
      <c r="BU313" s="36"/>
      <c r="BV313" s="36"/>
      <c r="BW313" s="36"/>
      <c r="BX313" s="36"/>
      <c r="BY313" s="36"/>
      <c r="BZ313" s="36"/>
      <c r="CA313" s="36"/>
      <c r="CB313" s="36"/>
      <c r="CC313" s="36"/>
      <c r="CD313" s="36"/>
      <c r="CE313" s="36"/>
      <c r="CF313" s="36"/>
      <c r="CG313" s="37"/>
      <c r="CH313" s="44"/>
      <c r="CI313" s="36"/>
      <c r="CJ313" s="36"/>
      <c r="CK313" s="36"/>
      <c r="CL313" s="36"/>
      <c r="CM313" s="36"/>
      <c r="CN313" s="36"/>
      <c r="CO313" s="36"/>
      <c r="CP313" s="36"/>
      <c r="CQ313" s="36"/>
      <c r="CR313" s="36"/>
      <c r="CS313" s="36"/>
      <c r="CT313" s="36"/>
      <c r="CU313" s="36"/>
      <c r="CV313" s="36"/>
      <c r="CW313" s="36"/>
      <c r="CX313" s="37"/>
      <c r="CY313" s="44"/>
      <c r="CZ313" s="36"/>
      <c r="DA313" s="36"/>
      <c r="DB313" s="36"/>
      <c r="DC313" s="36"/>
      <c r="DD313" s="36"/>
      <c r="DE313" s="36"/>
      <c r="DF313" s="36"/>
      <c r="DG313" s="36"/>
      <c r="DH313" s="36"/>
      <c r="DI313" s="36"/>
      <c r="DJ313" s="36"/>
      <c r="DK313" s="36"/>
      <c r="DL313" s="36"/>
      <c r="DM313" s="36"/>
      <c r="DN313" s="36"/>
      <c r="DO313" s="37"/>
      <c r="DP313" s="44"/>
      <c r="DQ313" s="36"/>
      <c r="DR313" s="36"/>
      <c r="DS313" s="36"/>
      <c r="DT313" s="36"/>
      <c r="DU313" s="36"/>
      <c r="DV313" s="36"/>
      <c r="DW313" s="36"/>
      <c r="DX313" s="36"/>
      <c r="DY313" s="36"/>
      <c r="DZ313" s="36"/>
      <c r="EA313" s="36"/>
      <c r="EB313" s="36"/>
      <c r="EC313" s="36"/>
      <c r="ED313" s="36"/>
      <c r="EE313" s="36"/>
      <c r="EF313" s="37"/>
      <c r="EG313" s="44"/>
      <c r="EH313" s="36"/>
      <c r="EI313" s="36"/>
      <c r="EJ313" s="36"/>
      <c r="EK313" s="36"/>
      <c r="EL313" s="36"/>
      <c r="EM313" s="36"/>
      <c r="EN313" s="36"/>
      <c r="EO313" s="36"/>
      <c r="EP313" s="36"/>
      <c r="EQ313" s="36"/>
      <c r="ER313" s="36"/>
      <c r="ES313" s="36"/>
      <c r="ET313" s="36"/>
      <c r="EU313" s="36"/>
      <c r="EV313" s="36"/>
      <c r="EW313" s="37"/>
      <c r="EX313" s="44"/>
      <c r="EY313" s="36"/>
      <c r="EZ313" s="36"/>
      <c r="FA313" s="36"/>
      <c r="FB313" s="36"/>
      <c r="FC313" s="36"/>
      <c r="FD313" s="36"/>
      <c r="FE313" s="36"/>
      <c r="FF313" s="36"/>
      <c r="FG313" s="36"/>
      <c r="FH313" s="36"/>
      <c r="FI313" s="36"/>
      <c r="FJ313" s="36"/>
      <c r="FK313" s="36"/>
      <c r="FL313" s="36"/>
      <c r="FM313" s="36"/>
      <c r="FN313" s="37"/>
      <c r="FO313" s="44"/>
      <c r="FP313" s="36"/>
      <c r="FQ313" s="36"/>
      <c r="FR313" s="36"/>
      <c r="FS313" s="36"/>
      <c r="FT313" s="36"/>
      <c r="FU313" s="36"/>
      <c r="FV313" s="36"/>
      <c r="FW313" s="36"/>
      <c r="FX313" s="36"/>
      <c r="FY313" s="36"/>
      <c r="FZ313" s="36"/>
      <c r="GA313" s="36"/>
      <c r="GB313" s="36"/>
      <c r="GC313" s="36"/>
      <c r="GD313" s="36"/>
      <c r="GE313" s="37"/>
      <c r="GF313" s="44"/>
      <c r="GG313" s="36"/>
      <c r="GH313" s="36"/>
      <c r="GI313" s="36"/>
      <c r="GJ313" s="36"/>
      <c r="GK313" s="36"/>
      <c r="GL313" s="36"/>
      <c r="GM313" s="36"/>
      <c r="GN313" s="36"/>
      <c r="GO313" s="36"/>
      <c r="GP313" s="36"/>
      <c r="GQ313" s="36"/>
      <c r="GR313" s="36"/>
      <c r="GS313" s="36"/>
      <c r="GT313" s="36"/>
      <c r="GU313" s="36"/>
      <c r="GV313" s="37"/>
      <c r="GW313" s="44"/>
      <c r="GX313" s="36"/>
      <c r="GY313" s="36"/>
      <c r="GZ313" s="36"/>
      <c r="HA313" s="36"/>
      <c r="HB313" s="36"/>
      <c r="HC313" s="36"/>
      <c r="HD313" s="36"/>
      <c r="HE313" s="36"/>
      <c r="HF313" s="36"/>
      <c r="HG313" s="36"/>
      <c r="HH313" s="36"/>
      <c r="HI313" s="36"/>
      <c r="HJ313" s="36"/>
      <c r="HK313" s="36"/>
      <c r="HL313" s="36"/>
      <c r="HM313" s="37"/>
      <c r="HN313" s="44"/>
      <c r="HO313" s="36"/>
      <c r="HP313" s="36"/>
      <c r="HQ313" s="36"/>
      <c r="HR313" s="36"/>
      <c r="HS313" s="36"/>
      <c r="HT313" s="36"/>
      <c r="HU313" s="36"/>
      <c r="HV313" s="36"/>
      <c r="HW313" s="36"/>
      <c r="HX313" s="36"/>
      <c r="HY313" s="36"/>
      <c r="HZ313" s="36"/>
      <c r="IA313" s="36"/>
      <c r="IB313" s="36"/>
      <c r="IC313" s="36"/>
      <c r="ID313" s="37"/>
      <c r="IE313" s="44"/>
      <c r="IF313" s="36"/>
      <c r="IG313" s="36"/>
      <c r="IH313" s="36"/>
      <c r="II313" s="36"/>
      <c r="IJ313" s="36"/>
      <c r="IK313" s="36"/>
      <c r="IL313" s="36"/>
      <c r="IM313" s="36"/>
      <c r="IN313" s="36"/>
      <c r="IO313" s="36"/>
      <c r="IP313" s="36"/>
      <c r="IQ313" s="36"/>
      <c r="IR313" s="36"/>
      <c r="IS313" s="36"/>
      <c r="IT313" s="36"/>
      <c r="IU313" s="37"/>
      <c r="IV313" s="44"/>
      <c r="IW313" s="36"/>
      <c r="IX313" s="36"/>
      <c r="IY313" s="36"/>
      <c r="IZ313" s="36"/>
      <c r="JA313" s="36"/>
      <c r="JB313" s="36"/>
      <c r="JC313" s="36"/>
      <c r="JD313" s="36"/>
      <c r="JE313" s="36"/>
      <c r="JF313" s="36"/>
      <c r="JG313" s="36"/>
      <c r="JH313" s="36"/>
      <c r="JI313" s="36"/>
      <c r="JJ313" s="36"/>
      <c r="JK313" s="36"/>
      <c r="JL313" s="37"/>
      <c r="JM313" s="44"/>
      <c r="JN313" s="36"/>
      <c r="JO313" s="36"/>
      <c r="JP313" s="36"/>
      <c r="JQ313" s="36"/>
      <c r="JR313" s="36"/>
      <c r="JS313" s="36"/>
      <c r="JT313" s="36"/>
      <c r="JU313" s="36"/>
      <c r="JV313" s="36"/>
      <c r="JW313" s="36"/>
      <c r="JX313" s="36"/>
      <c r="JY313" s="36"/>
      <c r="JZ313" s="36"/>
      <c r="KA313" s="36"/>
      <c r="KB313" s="36"/>
      <c r="KC313" s="37"/>
      <c r="KD313" s="44"/>
      <c r="KE313" s="36"/>
      <c r="KF313" s="36"/>
      <c r="KG313" s="36"/>
      <c r="KH313" s="36"/>
      <c r="KI313" s="36"/>
      <c r="KJ313" s="36"/>
      <c r="KK313" s="36"/>
      <c r="KL313" s="36"/>
      <c r="KM313" s="36"/>
      <c r="KN313" s="36"/>
      <c r="KO313" s="36"/>
      <c r="KP313" s="36"/>
      <c r="KQ313" s="36"/>
      <c r="KR313" s="36"/>
      <c r="KS313" s="36"/>
      <c r="KT313" s="37"/>
      <c r="KU313" s="36"/>
    </row>
    <row r="314" ht="15.0" customHeight="1">
      <c r="A314" s="44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7"/>
      <c r="R314" s="44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7"/>
      <c r="AI314" s="44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  <c r="AU314" s="36"/>
      <c r="AV314" s="36"/>
      <c r="AW314" s="36"/>
      <c r="AX314" s="36"/>
      <c r="AY314" s="37"/>
      <c r="AZ314" s="44"/>
      <c r="BA314" s="36"/>
      <c r="BB314" s="36"/>
      <c r="BC314" s="36"/>
      <c r="BD314" s="36"/>
      <c r="BE314" s="36"/>
      <c r="BF314" s="36"/>
      <c r="BG314" s="36"/>
      <c r="BH314" s="36"/>
      <c r="BI314" s="36"/>
      <c r="BJ314" s="36"/>
      <c r="BK314" s="36"/>
      <c r="BL314" s="36"/>
      <c r="BM314" s="36"/>
      <c r="BN314" s="36"/>
      <c r="BO314" s="36"/>
      <c r="BP314" s="37"/>
      <c r="BQ314" s="44"/>
      <c r="BR314" s="36"/>
      <c r="BS314" s="36"/>
      <c r="BT314" s="36"/>
      <c r="BU314" s="36"/>
      <c r="BV314" s="36"/>
      <c r="BW314" s="36"/>
      <c r="BX314" s="36"/>
      <c r="BY314" s="36"/>
      <c r="BZ314" s="36"/>
      <c r="CA314" s="36"/>
      <c r="CB314" s="36"/>
      <c r="CC314" s="36"/>
      <c r="CD314" s="36"/>
      <c r="CE314" s="36"/>
      <c r="CF314" s="36"/>
      <c r="CG314" s="37"/>
      <c r="CH314" s="44"/>
      <c r="CI314" s="36"/>
      <c r="CJ314" s="36"/>
      <c r="CK314" s="36"/>
      <c r="CL314" s="36"/>
      <c r="CM314" s="36"/>
      <c r="CN314" s="36"/>
      <c r="CO314" s="36"/>
      <c r="CP314" s="36"/>
      <c r="CQ314" s="36"/>
      <c r="CR314" s="36"/>
      <c r="CS314" s="36"/>
      <c r="CT314" s="36"/>
      <c r="CU314" s="36"/>
      <c r="CV314" s="36"/>
      <c r="CW314" s="36"/>
      <c r="CX314" s="37"/>
      <c r="CY314" s="44"/>
      <c r="CZ314" s="36"/>
      <c r="DA314" s="36"/>
      <c r="DB314" s="36"/>
      <c r="DC314" s="36"/>
      <c r="DD314" s="36"/>
      <c r="DE314" s="36"/>
      <c r="DF314" s="36"/>
      <c r="DG314" s="36"/>
      <c r="DH314" s="36"/>
      <c r="DI314" s="36"/>
      <c r="DJ314" s="36"/>
      <c r="DK314" s="36"/>
      <c r="DL314" s="36"/>
      <c r="DM314" s="36"/>
      <c r="DN314" s="36"/>
      <c r="DO314" s="37"/>
      <c r="DP314" s="44"/>
      <c r="DQ314" s="36"/>
      <c r="DR314" s="36"/>
      <c r="DS314" s="36"/>
      <c r="DT314" s="36"/>
      <c r="DU314" s="36"/>
      <c r="DV314" s="36"/>
      <c r="DW314" s="36"/>
      <c r="DX314" s="36"/>
      <c r="DY314" s="36"/>
      <c r="DZ314" s="36"/>
      <c r="EA314" s="36"/>
      <c r="EB314" s="36"/>
      <c r="EC314" s="36"/>
      <c r="ED314" s="36"/>
      <c r="EE314" s="36"/>
      <c r="EF314" s="37"/>
      <c r="EG314" s="44"/>
      <c r="EH314" s="36"/>
      <c r="EI314" s="36"/>
      <c r="EJ314" s="36"/>
      <c r="EK314" s="36"/>
      <c r="EL314" s="36"/>
      <c r="EM314" s="36"/>
      <c r="EN314" s="36"/>
      <c r="EO314" s="36"/>
      <c r="EP314" s="36"/>
      <c r="EQ314" s="36"/>
      <c r="ER314" s="36"/>
      <c r="ES314" s="36"/>
      <c r="ET314" s="36"/>
      <c r="EU314" s="36"/>
      <c r="EV314" s="36"/>
      <c r="EW314" s="37"/>
      <c r="EX314" s="44"/>
      <c r="EY314" s="36"/>
      <c r="EZ314" s="36"/>
      <c r="FA314" s="36"/>
      <c r="FB314" s="36"/>
      <c r="FC314" s="36"/>
      <c r="FD314" s="36"/>
      <c r="FE314" s="36"/>
      <c r="FF314" s="36"/>
      <c r="FG314" s="36"/>
      <c r="FH314" s="36"/>
      <c r="FI314" s="36"/>
      <c r="FJ314" s="36"/>
      <c r="FK314" s="36"/>
      <c r="FL314" s="36"/>
      <c r="FM314" s="36"/>
      <c r="FN314" s="37"/>
      <c r="FO314" s="44"/>
      <c r="FP314" s="36"/>
      <c r="FQ314" s="36"/>
      <c r="FR314" s="36"/>
      <c r="FS314" s="36"/>
      <c r="FT314" s="36"/>
      <c r="FU314" s="36"/>
      <c r="FV314" s="36"/>
      <c r="FW314" s="36"/>
      <c r="FX314" s="36"/>
      <c r="FY314" s="36"/>
      <c r="FZ314" s="36"/>
      <c r="GA314" s="36"/>
      <c r="GB314" s="36"/>
      <c r="GC314" s="36"/>
      <c r="GD314" s="36"/>
      <c r="GE314" s="37"/>
      <c r="GF314" s="44"/>
      <c r="GG314" s="36"/>
      <c r="GH314" s="36"/>
      <c r="GI314" s="36"/>
      <c r="GJ314" s="36"/>
      <c r="GK314" s="36"/>
      <c r="GL314" s="36"/>
      <c r="GM314" s="36"/>
      <c r="GN314" s="36"/>
      <c r="GO314" s="36"/>
      <c r="GP314" s="36"/>
      <c r="GQ314" s="36"/>
      <c r="GR314" s="36"/>
      <c r="GS314" s="36"/>
      <c r="GT314" s="36"/>
      <c r="GU314" s="36"/>
      <c r="GV314" s="37"/>
      <c r="GW314" s="44"/>
      <c r="GX314" s="36"/>
      <c r="GY314" s="36"/>
      <c r="GZ314" s="36"/>
      <c r="HA314" s="36"/>
      <c r="HB314" s="36"/>
      <c r="HC314" s="36"/>
      <c r="HD314" s="36"/>
      <c r="HE314" s="36"/>
      <c r="HF314" s="36"/>
      <c r="HG314" s="36"/>
      <c r="HH314" s="36"/>
      <c r="HI314" s="36"/>
      <c r="HJ314" s="36"/>
      <c r="HK314" s="36"/>
      <c r="HL314" s="36"/>
      <c r="HM314" s="37"/>
      <c r="HN314" s="44"/>
      <c r="HO314" s="36"/>
      <c r="HP314" s="36"/>
      <c r="HQ314" s="36"/>
      <c r="HR314" s="36"/>
      <c r="HS314" s="36"/>
      <c r="HT314" s="36"/>
      <c r="HU314" s="36"/>
      <c r="HV314" s="36"/>
      <c r="HW314" s="36"/>
      <c r="HX314" s="36"/>
      <c r="HY314" s="36"/>
      <c r="HZ314" s="36"/>
      <c r="IA314" s="36"/>
      <c r="IB314" s="36"/>
      <c r="IC314" s="36"/>
      <c r="ID314" s="37"/>
      <c r="IE314" s="44"/>
      <c r="IF314" s="36"/>
      <c r="IG314" s="36"/>
      <c r="IH314" s="36"/>
      <c r="II314" s="36"/>
      <c r="IJ314" s="36"/>
      <c r="IK314" s="36"/>
      <c r="IL314" s="36"/>
      <c r="IM314" s="36"/>
      <c r="IN314" s="36"/>
      <c r="IO314" s="36"/>
      <c r="IP314" s="36"/>
      <c r="IQ314" s="36"/>
      <c r="IR314" s="36"/>
      <c r="IS314" s="36"/>
      <c r="IT314" s="36"/>
      <c r="IU314" s="37"/>
      <c r="IV314" s="44"/>
      <c r="IW314" s="36"/>
      <c r="IX314" s="36"/>
      <c r="IY314" s="36"/>
      <c r="IZ314" s="36"/>
      <c r="JA314" s="36"/>
      <c r="JB314" s="36"/>
      <c r="JC314" s="36"/>
      <c r="JD314" s="36"/>
      <c r="JE314" s="36"/>
      <c r="JF314" s="36"/>
      <c r="JG314" s="36"/>
      <c r="JH314" s="36"/>
      <c r="JI314" s="36"/>
      <c r="JJ314" s="36"/>
      <c r="JK314" s="36"/>
      <c r="JL314" s="37"/>
      <c r="JM314" s="44"/>
      <c r="JN314" s="36"/>
      <c r="JO314" s="36"/>
      <c r="JP314" s="36"/>
      <c r="JQ314" s="36"/>
      <c r="JR314" s="36"/>
      <c r="JS314" s="36"/>
      <c r="JT314" s="36"/>
      <c r="JU314" s="36"/>
      <c r="JV314" s="36"/>
      <c r="JW314" s="36"/>
      <c r="JX314" s="36"/>
      <c r="JY314" s="36"/>
      <c r="JZ314" s="36"/>
      <c r="KA314" s="36"/>
      <c r="KB314" s="36"/>
      <c r="KC314" s="37"/>
      <c r="KD314" s="44"/>
      <c r="KE314" s="36"/>
      <c r="KF314" s="36"/>
      <c r="KG314" s="36"/>
      <c r="KH314" s="36"/>
      <c r="KI314" s="36"/>
      <c r="KJ314" s="36"/>
      <c r="KK314" s="36"/>
      <c r="KL314" s="36"/>
      <c r="KM314" s="36"/>
      <c r="KN314" s="36"/>
      <c r="KO314" s="36"/>
      <c r="KP314" s="36"/>
      <c r="KQ314" s="36"/>
      <c r="KR314" s="36"/>
      <c r="KS314" s="36"/>
      <c r="KT314" s="37"/>
      <c r="KU314" s="36"/>
    </row>
    <row r="315" ht="15.0" customHeight="1">
      <c r="A315" s="44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7"/>
      <c r="R315" s="44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7"/>
      <c r="AI315" s="44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  <c r="AU315" s="36"/>
      <c r="AV315" s="36"/>
      <c r="AW315" s="36"/>
      <c r="AX315" s="36"/>
      <c r="AY315" s="37"/>
      <c r="AZ315" s="44"/>
      <c r="BA315" s="36"/>
      <c r="BB315" s="36"/>
      <c r="BC315" s="36"/>
      <c r="BD315" s="36"/>
      <c r="BE315" s="36"/>
      <c r="BF315" s="36"/>
      <c r="BG315" s="36"/>
      <c r="BH315" s="36"/>
      <c r="BI315" s="36"/>
      <c r="BJ315" s="36"/>
      <c r="BK315" s="36"/>
      <c r="BL315" s="36"/>
      <c r="BM315" s="36"/>
      <c r="BN315" s="36"/>
      <c r="BO315" s="36"/>
      <c r="BP315" s="37"/>
      <c r="BQ315" s="44"/>
      <c r="BR315" s="36"/>
      <c r="BS315" s="36"/>
      <c r="BT315" s="36"/>
      <c r="BU315" s="36"/>
      <c r="BV315" s="36"/>
      <c r="BW315" s="36"/>
      <c r="BX315" s="36"/>
      <c r="BY315" s="36"/>
      <c r="BZ315" s="36"/>
      <c r="CA315" s="36"/>
      <c r="CB315" s="36"/>
      <c r="CC315" s="36"/>
      <c r="CD315" s="36"/>
      <c r="CE315" s="36"/>
      <c r="CF315" s="36"/>
      <c r="CG315" s="37"/>
      <c r="CH315" s="44"/>
      <c r="CI315" s="36"/>
      <c r="CJ315" s="36"/>
      <c r="CK315" s="36"/>
      <c r="CL315" s="36"/>
      <c r="CM315" s="36"/>
      <c r="CN315" s="36"/>
      <c r="CO315" s="36"/>
      <c r="CP315" s="36"/>
      <c r="CQ315" s="36"/>
      <c r="CR315" s="36"/>
      <c r="CS315" s="36"/>
      <c r="CT315" s="36"/>
      <c r="CU315" s="36"/>
      <c r="CV315" s="36"/>
      <c r="CW315" s="36"/>
      <c r="CX315" s="37"/>
      <c r="CY315" s="44"/>
      <c r="CZ315" s="36"/>
      <c r="DA315" s="36"/>
      <c r="DB315" s="36"/>
      <c r="DC315" s="36"/>
      <c r="DD315" s="36"/>
      <c r="DE315" s="36"/>
      <c r="DF315" s="36"/>
      <c r="DG315" s="36"/>
      <c r="DH315" s="36"/>
      <c r="DI315" s="36"/>
      <c r="DJ315" s="36"/>
      <c r="DK315" s="36"/>
      <c r="DL315" s="36"/>
      <c r="DM315" s="36"/>
      <c r="DN315" s="36"/>
      <c r="DO315" s="37"/>
      <c r="DP315" s="44"/>
      <c r="DQ315" s="36"/>
      <c r="DR315" s="36"/>
      <c r="DS315" s="36"/>
      <c r="DT315" s="36"/>
      <c r="DU315" s="36"/>
      <c r="DV315" s="36"/>
      <c r="DW315" s="36"/>
      <c r="DX315" s="36"/>
      <c r="DY315" s="36"/>
      <c r="DZ315" s="36"/>
      <c r="EA315" s="36"/>
      <c r="EB315" s="36"/>
      <c r="EC315" s="36"/>
      <c r="ED315" s="36"/>
      <c r="EE315" s="36"/>
      <c r="EF315" s="37"/>
      <c r="EG315" s="44"/>
      <c r="EH315" s="36"/>
      <c r="EI315" s="36"/>
      <c r="EJ315" s="36"/>
      <c r="EK315" s="36"/>
      <c r="EL315" s="36"/>
      <c r="EM315" s="36"/>
      <c r="EN315" s="36"/>
      <c r="EO315" s="36"/>
      <c r="EP315" s="36"/>
      <c r="EQ315" s="36"/>
      <c r="ER315" s="36"/>
      <c r="ES315" s="36"/>
      <c r="ET315" s="36"/>
      <c r="EU315" s="36"/>
      <c r="EV315" s="36"/>
      <c r="EW315" s="37"/>
      <c r="EX315" s="44"/>
      <c r="EY315" s="36"/>
      <c r="EZ315" s="36"/>
      <c r="FA315" s="36"/>
      <c r="FB315" s="36"/>
      <c r="FC315" s="36"/>
      <c r="FD315" s="36"/>
      <c r="FE315" s="36"/>
      <c r="FF315" s="36"/>
      <c r="FG315" s="36"/>
      <c r="FH315" s="36"/>
      <c r="FI315" s="36"/>
      <c r="FJ315" s="36"/>
      <c r="FK315" s="36"/>
      <c r="FL315" s="36"/>
      <c r="FM315" s="36"/>
      <c r="FN315" s="37"/>
      <c r="FO315" s="44"/>
      <c r="FP315" s="36"/>
      <c r="FQ315" s="36"/>
      <c r="FR315" s="36"/>
      <c r="FS315" s="36"/>
      <c r="FT315" s="36"/>
      <c r="FU315" s="36"/>
      <c r="FV315" s="36"/>
      <c r="FW315" s="36"/>
      <c r="FX315" s="36"/>
      <c r="FY315" s="36"/>
      <c r="FZ315" s="36"/>
      <c r="GA315" s="36"/>
      <c r="GB315" s="36"/>
      <c r="GC315" s="36"/>
      <c r="GD315" s="36"/>
      <c r="GE315" s="37"/>
      <c r="GF315" s="44"/>
      <c r="GG315" s="36"/>
      <c r="GH315" s="36"/>
      <c r="GI315" s="36"/>
      <c r="GJ315" s="36"/>
      <c r="GK315" s="36"/>
      <c r="GL315" s="36"/>
      <c r="GM315" s="36"/>
      <c r="GN315" s="36"/>
      <c r="GO315" s="36"/>
      <c r="GP315" s="36"/>
      <c r="GQ315" s="36"/>
      <c r="GR315" s="36"/>
      <c r="GS315" s="36"/>
      <c r="GT315" s="36"/>
      <c r="GU315" s="36"/>
      <c r="GV315" s="37"/>
      <c r="GW315" s="44"/>
      <c r="GX315" s="36"/>
      <c r="GY315" s="36"/>
      <c r="GZ315" s="36"/>
      <c r="HA315" s="36"/>
      <c r="HB315" s="36"/>
      <c r="HC315" s="36"/>
      <c r="HD315" s="36"/>
      <c r="HE315" s="36"/>
      <c r="HF315" s="36"/>
      <c r="HG315" s="36"/>
      <c r="HH315" s="36"/>
      <c r="HI315" s="36"/>
      <c r="HJ315" s="36"/>
      <c r="HK315" s="36"/>
      <c r="HL315" s="36"/>
      <c r="HM315" s="37"/>
      <c r="HN315" s="44"/>
      <c r="HO315" s="36"/>
      <c r="HP315" s="36"/>
      <c r="HQ315" s="36"/>
      <c r="HR315" s="36"/>
      <c r="HS315" s="36"/>
      <c r="HT315" s="36"/>
      <c r="HU315" s="36"/>
      <c r="HV315" s="36"/>
      <c r="HW315" s="36"/>
      <c r="HX315" s="36"/>
      <c r="HY315" s="36"/>
      <c r="HZ315" s="36"/>
      <c r="IA315" s="36"/>
      <c r="IB315" s="36"/>
      <c r="IC315" s="36"/>
      <c r="ID315" s="37"/>
      <c r="IE315" s="44"/>
      <c r="IF315" s="36"/>
      <c r="IG315" s="36"/>
      <c r="IH315" s="36"/>
      <c r="II315" s="36"/>
      <c r="IJ315" s="36"/>
      <c r="IK315" s="36"/>
      <c r="IL315" s="36"/>
      <c r="IM315" s="36"/>
      <c r="IN315" s="36"/>
      <c r="IO315" s="36"/>
      <c r="IP315" s="36"/>
      <c r="IQ315" s="36"/>
      <c r="IR315" s="36"/>
      <c r="IS315" s="36"/>
      <c r="IT315" s="36"/>
      <c r="IU315" s="37"/>
      <c r="IV315" s="44"/>
      <c r="IW315" s="36"/>
      <c r="IX315" s="36"/>
      <c r="IY315" s="36"/>
      <c r="IZ315" s="36"/>
      <c r="JA315" s="36"/>
      <c r="JB315" s="36"/>
      <c r="JC315" s="36"/>
      <c r="JD315" s="36"/>
      <c r="JE315" s="36"/>
      <c r="JF315" s="36"/>
      <c r="JG315" s="36"/>
      <c r="JH315" s="36"/>
      <c r="JI315" s="36"/>
      <c r="JJ315" s="36"/>
      <c r="JK315" s="36"/>
      <c r="JL315" s="37"/>
      <c r="JM315" s="44"/>
      <c r="JN315" s="36"/>
      <c r="JO315" s="36"/>
      <c r="JP315" s="36"/>
      <c r="JQ315" s="36"/>
      <c r="JR315" s="36"/>
      <c r="JS315" s="36"/>
      <c r="JT315" s="36"/>
      <c r="JU315" s="36"/>
      <c r="JV315" s="36"/>
      <c r="JW315" s="36"/>
      <c r="JX315" s="36"/>
      <c r="JY315" s="36"/>
      <c r="JZ315" s="36"/>
      <c r="KA315" s="36"/>
      <c r="KB315" s="36"/>
      <c r="KC315" s="37"/>
      <c r="KD315" s="44"/>
      <c r="KE315" s="36"/>
      <c r="KF315" s="36"/>
      <c r="KG315" s="36"/>
      <c r="KH315" s="36"/>
      <c r="KI315" s="36"/>
      <c r="KJ315" s="36"/>
      <c r="KK315" s="36"/>
      <c r="KL315" s="36"/>
      <c r="KM315" s="36"/>
      <c r="KN315" s="36"/>
      <c r="KO315" s="36"/>
      <c r="KP315" s="36"/>
      <c r="KQ315" s="36"/>
      <c r="KR315" s="36"/>
      <c r="KS315" s="36"/>
      <c r="KT315" s="37"/>
      <c r="KU315" s="36"/>
    </row>
    <row r="316" ht="15.0" customHeight="1">
      <c r="A316" s="44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7"/>
      <c r="R316" s="44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7"/>
      <c r="AI316" s="44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  <c r="AU316" s="36"/>
      <c r="AV316" s="36"/>
      <c r="AW316" s="36"/>
      <c r="AX316" s="36"/>
      <c r="AY316" s="37"/>
      <c r="AZ316" s="44"/>
      <c r="BA316" s="36"/>
      <c r="BB316" s="36"/>
      <c r="BC316" s="36"/>
      <c r="BD316" s="36"/>
      <c r="BE316" s="36"/>
      <c r="BF316" s="36"/>
      <c r="BG316" s="36"/>
      <c r="BH316" s="36"/>
      <c r="BI316" s="36"/>
      <c r="BJ316" s="36"/>
      <c r="BK316" s="36"/>
      <c r="BL316" s="36"/>
      <c r="BM316" s="36"/>
      <c r="BN316" s="36"/>
      <c r="BO316" s="36"/>
      <c r="BP316" s="37"/>
      <c r="BQ316" s="44"/>
      <c r="BR316" s="36"/>
      <c r="BS316" s="36"/>
      <c r="BT316" s="36"/>
      <c r="BU316" s="36"/>
      <c r="BV316" s="36"/>
      <c r="BW316" s="36"/>
      <c r="BX316" s="36"/>
      <c r="BY316" s="36"/>
      <c r="BZ316" s="36"/>
      <c r="CA316" s="36"/>
      <c r="CB316" s="36"/>
      <c r="CC316" s="36"/>
      <c r="CD316" s="36"/>
      <c r="CE316" s="36"/>
      <c r="CF316" s="36"/>
      <c r="CG316" s="37"/>
      <c r="CH316" s="44"/>
      <c r="CI316" s="36"/>
      <c r="CJ316" s="36"/>
      <c r="CK316" s="36"/>
      <c r="CL316" s="36"/>
      <c r="CM316" s="36"/>
      <c r="CN316" s="36"/>
      <c r="CO316" s="36"/>
      <c r="CP316" s="36"/>
      <c r="CQ316" s="36"/>
      <c r="CR316" s="36"/>
      <c r="CS316" s="36"/>
      <c r="CT316" s="36"/>
      <c r="CU316" s="36"/>
      <c r="CV316" s="36"/>
      <c r="CW316" s="36"/>
      <c r="CX316" s="37"/>
      <c r="CY316" s="44"/>
      <c r="CZ316" s="36"/>
      <c r="DA316" s="36"/>
      <c r="DB316" s="36"/>
      <c r="DC316" s="36"/>
      <c r="DD316" s="36"/>
      <c r="DE316" s="36"/>
      <c r="DF316" s="36"/>
      <c r="DG316" s="36"/>
      <c r="DH316" s="36"/>
      <c r="DI316" s="36"/>
      <c r="DJ316" s="36"/>
      <c r="DK316" s="36"/>
      <c r="DL316" s="36"/>
      <c r="DM316" s="36"/>
      <c r="DN316" s="36"/>
      <c r="DO316" s="37"/>
      <c r="DP316" s="44"/>
      <c r="DQ316" s="36"/>
      <c r="DR316" s="36"/>
      <c r="DS316" s="36"/>
      <c r="DT316" s="36"/>
      <c r="DU316" s="36"/>
      <c r="DV316" s="36"/>
      <c r="DW316" s="36"/>
      <c r="DX316" s="36"/>
      <c r="DY316" s="36"/>
      <c r="DZ316" s="36"/>
      <c r="EA316" s="36"/>
      <c r="EB316" s="36"/>
      <c r="EC316" s="36"/>
      <c r="ED316" s="36"/>
      <c r="EE316" s="36"/>
      <c r="EF316" s="37"/>
      <c r="EG316" s="44"/>
      <c r="EH316" s="36"/>
      <c r="EI316" s="36"/>
      <c r="EJ316" s="36"/>
      <c r="EK316" s="36"/>
      <c r="EL316" s="36"/>
      <c r="EM316" s="36"/>
      <c r="EN316" s="36"/>
      <c r="EO316" s="36"/>
      <c r="EP316" s="36"/>
      <c r="EQ316" s="36"/>
      <c r="ER316" s="36"/>
      <c r="ES316" s="36"/>
      <c r="ET316" s="36"/>
      <c r="EU316" s="36"/>
      <c r="EV316" s="36"/>
      <c r="EW316" s="37"/>
      <c r="EX316" s="44"/>
      <c r="EY316" s="36"/>
      <c r="EZ316" s="36"/>
      <c r="FA316" s="36"/>
      <c r="FB316" s="36"/>
      <c r="FC316" s="36"/>
      <c r="FD316" s="36"/>
      <c r="FE316" s="36"/>
      <c r="FF316" s="36"/>
      <c r="FG316" s="36"/>
      <c r="FH316" s="36"/>
      <c r="FI316" s="36"/>
      <c r="FJ316" s="36"/>
      <c r="FK316" s="36"/>
      <c r="FL316" s="36"/>
      <c r="FM316" s="36"/>
      <c r="FN316" s="37"/>
      <c r="FO316" s="44"/>
      <c r="FP316" s="36"/>
      <c r="FQ316" s="36"/>
      <c r="FR316" s="36"/>
      <c r="FS316" s="36"/>
      <c r="FT316" s="36"/>
      <c r="FU316" s="36"/>
      <c r="FV316" s="36"/>
      <c r="FW316" s="36"/>
      <c r="FX316" s="36"/>
      <c r="FY316" s="36"/>
      <c r="FZ316" s="36"/>
      <c r="GA316" s="36"/>
      <c r="GB316" s="36"/>
      <c r="GC316" s="36"/>
      <c r="GD316" s="36"/>
      <c r="GE316" s="37"/>
      <c r="GF316" s="44"/>
      <c r="GG316" s="36"/>
      <c r="GH316" s="36"/>
      <c r="GI316" s="36"/>
      <c r="GJ316" s="36"/>
      <c r="GK316" s="36"/>
      <c r="GL316" s="36"/>
      <c r="GM316" s="36"/>
      <c r="GN316" s="36"/>
      <c r="GO316" s="36"/>
      <c r="GP316" s="36"/>
      <c r="GQ316" s="36"/>
      <c r="GR316" s="36"/>
      <c r="GS316" s="36"/>
      <c r="GT316" s="36"/>
      <c r="GU316" s="36"/>
      <c r="GV316" s="37"/>
      <c r="GW316" s="44"/>
      <c r="GX316" s="36"/>
      <c r="GY316" s="36"/>
      <c r="GZ316" s="36"/>
      <c r="HA316" s="36"/>
      <c r="HB316" s="36"/>
      <c r="HC316" s="36"/>
      <c r="HD316" s="36"/>
      <c r="HE316" s="36"/>
      <c r="HF316" s="36"/>
      <c r="HG316" s="36"/>
      <c r="HH316" s="36"/>
      <c r="HI316" s="36"/>
      <c r="HJ316" s="36"/>
      <c r="HK316" s="36"/>
      <c r="HL316" s="36"/>
      <c r="HM316" s="37"/>
      <c r="HN316" s="44"/>
      <c r="HO316" s="36"/>
      <c r="HP316" s="36"/>
      <c r="HQ316" s="36"/>
      <c r="HR316" s="36"/>
      <c r="HS316" s="36"/>
      <c r="HT316" s="36"/>
      <c r="HU316" s="36"/>
      <c r="HV316" s="36"/>
      <c r="HW316" s="36"/>
      <c r="HX316" s="36"/>
      <c r="HY316" s="36"/>
      <c r="HZ316" s="36"/>
      <c r="IA316" s="36"/>
      <c r="IB316" s="36"/>
      <c r="IC316" s="36"/>
      <c r="ID316" s="37"/>
      <c r="IE316" s="44"/>
      <c r="IF316" s="36"/>
      <c r="IG316" s="36"/>
      <c r="IH316" s="36"/>
      <c r="II316" s="36"/>
      <c r="IJ316" s="36"/>
      <c r="IK316" s="36"/>
      <c r="IL316" s="36"/>
      <c r="IM316" s="36"/>
      <c r="IN316" s="36"/>
      <c r="IO316" s="36"/>
      <c r="IP316" s="36"/>
      <c r="IQ316" s="36"/>
      <c r="IR316" s="36"/>
      <c r="IS316" s="36"/>
      <c r="IT316" s="36"/>
      <c r="IU316" s="37"/>
      <c r="IV316" s="44"/>
      <c r="IW316" s="36"/>
      <c r="IX316" s="36"/>
      <c r="IY316" s="36"/>
      <c r="IZ316" s="36"/>
      <c r="JA316" s="36"/>
      <c r="JB316" s="36"/>
      <c r="JC316" s="36"/>
      <c r="JD316" s="36"/>
      <c r="JE316" s="36"/>
      <c r="JF316" s="36"/>
      <c r="JG316" s="36"/>
      <c r="JH316" s="36"/>
      <c r="JI316" s="36"/>
      <c r="JJ316" s="36"/>
      <c r="JK316" s="36"/>
      <c r="JL316" s="37"/>
      <c r="JM316" s="44"/>
      <c r="JN316" s="36"/>
      <c r="JO316" s="36"/>
      <c r="JP316" s="36"/>
      <c r="JQ316" s="36"/>
      <c r="JR316" s="36"/>
      <c r="JS316" s="36"/>
      <c r="JT316" s="36"/>
      <c r="JU316" s="36"/>
      <c r="JV316" s="36"/>
      <c r="JW316" s="36"/>
      <c r="JX316" s="36"/>
      <c r="JY316" s="36"/>
      <c r="JZ316" s="36"/>
      <c r="KA316" s="36"/>
      <c r="KB316" s="36"/>
      <c r="KC316" s="37"/>
      <c r="KD316" s="44"/>
      <c r="KE316" s="36"/>
      <c r="KF316" s="36"/>
      <c r="KG316" s="36"/>
      <c r="KH316" s="36"/>
      <c r="KI316" s="36"/>
      <c r="KJ316" s="36"/>
      <c r="KK316" s="36"/>
      <c r="KL316" s="36"/>
      <c r="KM316" s="36"/>
      <c r="KN316" s="36"/>
      <c r="KO316" s="36"/>
      <c r="KP316" s="36"/>
      <c r="KQ316" s="36"/>
      <c r="KR316" s="36"/>
      <c r="KS316" s="36"/>
      <c r="KT316" s="37"/>
      <c r="KU316" s="36"/>
    </row>
    <row r="317" ht="15.0" customHeight="1">
      <c r="A317" s="44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7"/>
      <c r="R317" s="44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7"/>
      <c r="AI317" s="44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  <c r="AU317" s="36"/>
      <c r="AV317" s="36"/>
      <c r="AW317" s="36"/>
      <c r="AX317" s="36"/>
      <c r="AY317" s="37"/>
      <c r="AZ317" s="44"/>
      <c r="BA317" s="36"/>
      <c r="BB317" s="36"/>
      <c r="BC317" s="36"/>
      <c r="BD317" s="36"/>
      <c r="BE317" s="36"/>
      <c r="BF317" s="36"/>
      <c r="BG317" s="36"/>
      <c r="BH317" s="36"/>
      <c r="BI317" s="36"/>
      <c r="BJ317" s="36"/>
      <c r="BK317" s="36"/>
      <c r="BL317" s="36"/>
      <c r="BM317" s="36"/>
      <c r="BN317" s="36"/>
      <c r="BO317" s="36"/>
      <c r="BP317" s="37"/>
      <c r="BQ317" s="44"/>
      <c r="BR317" s="36"/>
      <c r="BS317" s="36"/>
      <c r="BT317" s="36"/>
      <c r="BU317" s="36"/>
      <c r="BV317" s="36"/>
      <c r="BW317" s="36"/>
      <c r="BX317" s="36"/>
      <c r="BY317" s="36"/>
      <c r="BZ317" s="36"/>
      <c r="CA317" s="36"/>
      <c r="CB317" s="36"/>
      <c r="CC317" s="36"/>
      <c r="CD317" s="36"/>
      <c r="CE317" s="36"/>
      <c r="CF317" s="36"/>
      <c r="CG317" s="37"/>
      <c r="CH317" s="44"/>
      <c r="CI317" s="36"/>
      <c r="CJ317" s="36"/>
      <c r="CK317" s="36"/>
      <c r="CL317" s="36"/>
      <c r="CM317" s="36"/>
      <c r="CN317" s="36"/>
      <c r="CO317" s="36"/>
      <c r="CP317" s="36"/>
      <c r="CQ317" s="36"/>
      <c r="CR317" s="36"/>
      <c r="CS317" s="36"/>
      <c r="CT317" s="36"/>
      <c r="CU317" s="36"/>
      <c r="CV317" s="36"/>
      <c r="CW317" s="36"/>
      <c r="CX317" s="37"/>
      <c r="CY317" s="44"/>
      <c r="CZ317" s="36"/>
      <c r="DA317" s="36"/>
      <c r="DB317" s="36"/>
      <c r="DC317" s="36"/>
      <c r="DD317" s="36"/>
      <c r="DE317" s="36"/>
      <c r="DF317" s="36"/>
      <c r="DG317" s="36"/>
      <c r="DH317" s="36"/>
      <c r="DI317" s="36"/>
      <c r="DJ317" s="36"/>
      <c r="DK317" s="36"/>
      <c r="DL317" s="36"/>
      <c r="DM317" s="36"/>
      <c r="DN317" s="36"/>
      <c r="DO317" s="37"/>
      <c r="DP317" s="44"/>
      <c r="DQ317" s="36"/>
      <c r="DR317" s="36"/>
      <c r="DS317" s="36"/>
      <c r="DT317" s="36"/>
      <c r="DU317" s="36"/>
      <c r="DV317" s="36"/>
      <c r="DW317" s="36"/>
      <c r="DX317" s="36"/>
      <c r="DY317" s="36"/>
      <c r="DZ317" s="36"/>
      <c r="EA317" s="36"/>
      <c r="EB317" s="36"/>
      <c r="EC317" s="36"/>
      <c r="ED317" s="36"/>
      <c r="EE317" s="36"/>
      <c r="EF317" s="37"/>
      <c r="EG317" s="44"/>
      <c r="EH317" s="36"/>
      <c r="EI317" s="36"/>
      <c r="EJ317" s="36"/>
      <c r="EK317" s="36"/>
      <c r="EL317" s="36"/>
      <c r="EM317" s="36"/>
      <c r="EN317" s="36"/>
      <c r="EO317" s="36"/>
      <c r="EP317" s="36"/>
      <c r="EQ317" s="36"/>
      <c r="ER317" s="36"/>
      <c r="ES317" s="36"/>
      <c r="ET317" s="36"/>
      <c r="EU317" s="36"/>
      <c r="EV317" s="36"/>
      <c r="EW317" s="37"/>
      <c r="EX317" s="44"/>
      <c r="EY317" s="36"/>
      <c r="EZ317" s="36"/>
      <c r="FA317" s="36"/>
      <c r="FB317" s="36"/>
      <c r="FC317" s="36"/>
      <c r="FD317" s="36"/>
      <c r="FE317" s="36"/>
      <c r="FF317" s="36"/>
      <c r="FG317" s="36"/>
      <c r="FH317" s="36"/>
      <c r="FI317" s="36"/>
      <c r="FJ317" s="36"/>
      <c r="FK317" s="36"/>
      <c r="FL317" s="36"/>
      <c r="FM317" s="36"/>
      <c r="FN317" s="37"/>
      <c r="FO317" s="44"/>
      <c r="FP317" s="36"/>
      <c r="FQ317" s="36"/>
      <c r="FR317" s="36"/>
      <c r="FS317" s="36"/>
      <c r="FT317" s="36"/>
      <c r="FU317" s="36"/>
      <c r="FV317" s="36"/>
      <c r="FW317" s="36"/>
      <c r="FX317" s="36"/>
      <c r="FY317" s="36"/>
      <c r="FZ317" s="36"/>
      <c r="GA317" s="36"/>
      <c r="GB317" s="36"/>
      <c r="GC317" s="36"/>
      <c r="GD317" s="36"/>
      <c r="GE317" s="37"/>
      <c r="GF317" s="44"/>
      <c r="GG317" s="36"/>
      <c r="GH317" s="36"/>
      <c r="GI317" s="36"/>
      <c r="GJ317" s="36"/>
      <c r="GK317" s="36"/>
      <c r="GL317" s="36"/>
      <c r="GM317" s="36"/>
      <c r="GN317" s="36"/>
      <c r="GO317" s="36"/>
      <c r="GP317" s="36"/>
      <c r="GQ317" s="36"/>
      <c r="GR317" s="36"/>
      <c r="GS317" s="36"/>
      <c r="GT317" s="36"/>
      <c r="GU317" s="36"/>
      <c r="GV317" s="37"/>
      <c r="GW317" s="44"/>
      <c r="GX317" s="36"/>
      <c r="GY317" s="36"/>
      <c r="GZ317" s="36"/>
      <c r="HA317" s="36"/>
      <c r="HB317" s="36"/>
      <c r="HC317" s="36"/>
      <c r="HD317" s="36"/>
      <c r="HE317" s="36"/>
      <c r="HF317" s="36"/>
      <c r="HG317" s="36"/>
      <c r="HH317" s="36"/>
      <c r="HI317" s="36"/>
      <c r="HJ317" s="36"/>
      <c r="HK317" s="36"/>
      <c r="HL317" s="36"/>
      <c r="HM317" s="37"/>
      <c r="HN317" s="44"/>
      <c r="HO317" s="36"/>
      <c r="HP317" s="36"/>
      <c r="HQ317" s="36"/>
      <c r="HR317" s="36"/>
      <c r="HS317" s="36"/>
      <c r="HT317" s="36"/>
      <c r="HU317" s="36"/>
      <c r="HV317" s="36"/>
      <c r="HW317" s="36"/>
      <c r="HX317" s="36"/>
      <c r="HY317" s="36"/>
      <c r="HZ317" s="36"/>
      <c r="IA317" s="36"/>
      <c r="IB317" s="36"/>
      <c r="IC317" s="36"/>
      <c r="ID317" s="37"/>
      <c r="IE317" s="44"/>
      <c r="IF317" s="36"/>
      <c r="IG317" s="36"/>
      <c r="IH317" s="36"/>
      <c r="II317" s="36"/>
      <c r="IJ317" s="36"/>
      <c r="IK317" s="36"/>
      <c r="IL317" s="36"/>
      <c r="IM317" s="36"/>
      <c r="IN317" s="36"/>
      <c r="IO317" s="36"/>
      <c r="IP317" s="36"/>
      <c r="IQ317" s="36"/>
      <c r="IR317" s="36"/>
      <c r="IS317" s="36"/>
      <c r="IT317" s="36"/>
      <c r="IU317" s="37"/>
      <c r="IV317" s="44"/>
      <c r="IW317" s="36"/>
      <c r="IX317" s="36"/>
      <c r="IY317" s="36"/>
      <c r="IZ317" s="36"/>
      <c r="JA317" s="36"/>
      <c r="JB317" s="36"/>
      <c r="JC317" s="36"/>
      <c r="JD317" s="36"/>
      <c r="JE317" s="36"/>
      <c r="JF317" s="36"/>
      <c r="JG317" s="36"/>
      <c r="JH317" s="36"/>
      <c r="JI317" s="36"/>
      <c r="JJ317" s="36"/>
      <c r="JK317" s="36"/>
      <c r="JL317" s="37"/>
      <c r="JM317" s="44"/>
      <c r="JN317" s="36"/>
      <c r="JO317" s="36"/>
      <c r="JP317" s="36"/>
      <c r="JQ317" s="36"/>
      <c r="JR317" s="36"/>
      <c r="JS317" s="36"/>
      <c r="JT317" s="36"/>
      <c r="JU317" s="36"/>
      <c r="JV317" s="36"/>
      <c r="JW317" s="36"/>
      <c r="JX317" s="36"/>
      <c r="JY317" s="36"/>
      <c r="JZ317" s="36"/>
      <c r="KA317" s="36"/>
      <c r="KB317" s="36"/>
      <c r="KC317" s="37"/>
      <c r="KD317" s="44"/>
      <c r="KE317" s="36"/>
      <c r="KF317" s="36"/>
      <c r="KG317" s="36"/>
      <c r="KH317" s="36"/>
      <c r="KI317" s="36"/>
      <c r="KJ317" s="36"/>
      <c r="KK317" s="36"/>
      <c r="KL317" s="36"/>
      <c r="KM317" s="36"/>
      <c r="KN317" s="36"/>
      <c r="KO317" s="36"/>
      <c r="KP317" s="36"/>
      <c r="KQ317" s="36"/>
      <c r="KR317" s="36"/>
      <c r="KS317" s="36"/>
      <c r="KT317" s="37"/>
      <c r="KU317" s="36"/>
    </row>
    <row r="318" ht="15.0" customHeight="1">
      <c r="A318" s="44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7"/>
      <c r="R318" s="44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7"/>
      <c r="AI318" s="44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  <c r="AU318" s="36"/>
      <c r="AV318" s="36"/>
      <c r="AW318" s="36"/>
      <c r="AX318" s="36"/>
      <c r="AY318" s="37"/>
      <c r="AZ318" s="44"/>
      <c r="BA318" s="36"/>
      <c r="BB318" s="36"/>
      <c r="BC318" s="36"/>
      <c r="BD318" s="36"/>
      <c r="BE318" s="36"/>
      <c r="BF318" s="36"/>
      <c r="BG318" s="36"/>
      <c r="BH318" s="36"/>
      <c r="BI318" s="36"/>
      <c r="BJ318" s="36"/>
      <c r="BK318" s="36"/>
      <c r="BL318" s="36"/>
      <c r="BM318" s="36"/>
      <c r="BN318" s="36"/>
      <c r="BO318" s="36"/>
      <c r="BP318" s="37"/>
      <c r="BQ318" s="44"/>
      <c r="BR318" s="36"/>
      <c r="BS318" s="36"/>
      <c r="BT318" s="36"/>
      <c r="BU318" s="36"/>
      <c r="BV318" s="36"/>
      <c r="BW318" s="36"/>
      <c r="BX318" s="36"/>
      <c r="BY318" s="36"/>
      <c r="BZ318" s="36"/>
      <c r="CA318" s="36"/>
      <c r="CB318" s="36"/>
      <c r="CC318" s="36"/>
      <c r="CD318" s="36"/>
      <c r="CE318" s="36"/>
      <c r="CF318" s="36"/>
      <c r="CG318" s="37"/>
      <c r="CH318" s="44"/>
      <c r="CI318" s="36"/>
      <c r="CJ318" s="36"/>
      <c r="CK318" s="36"/>
      <c r="CL318" s="36"/>
      <c r="CM318" s="36"/>
      <c r="CN318" s="36"/>
      <c r="CO318" s="36"/>
      <c r="CP318" s="36"/>
      <c r="CQ318" s="36"/>
      <c r="CR318" s="36"/>
      <c r="CS318" s="36"/>
      <c r="CT318" s="36"/>
      <c r="CU318" s="36"/>
      <c r="CV318" s="36"/>
      <c r="CW318" s="36"/>
      <c r="CX318" s="37"/>
      <c r="CY318" s="44"/>
      <c r="CZ318" s="36"/>
      <c r="DA318" s="36"/>
      <c r="DB318" s="36"/>
      <c r="DC318" s="36"/>
      <c r="DD318" s="36"/>
      <c r="DE318" s="36"/>
      <c r="DF318" s="36"/>
      <c r="DG318" s="36"/>
      <c r="DH318" s="36"/>
      <c r="DI318" s="36"/>
      <c r="DJ318" s="36"/>
      <c r="DK318" s="36"/>
      <c r="DL318" s="36"/>
      <c r="DM318" s="36"/>
      <c r="DN318" s="36"/>
      <c r="DO318" s="37"/>
      <c r="DP318" s="44"/>
      <c r="DQ318" s="36"/>
      <c r="DR318" s="36"/>
      <c r="DS318" s="36"/>
      <c r="DT318" s="36"/>
      <c r="DU318" s="36"/>
      <c r="DV318" s="36"/>
      <c r="DW318" s="36"/>
      <c r="DX318" s="36"/>
      <c r="DY318" s="36"/>
      <c r="DZ318" s="36"/>
      <c r="EA318" s="36"/>
      <c r="EB318" s="36"/>
      <c r="EC318" s="36"/>
      <c r="ED318" s="36"/>
      <c r="EE318" s="36"/>
      <c r="EF318" s="37"/>
      <c r="EG318" s="44"/>
      <c r="EH318" s="36"/>
      <c r="EI318" s="36"/>
      <c r="EJ318" s="36"/>
      <c r="EK318" s="36"/>
      <c r="EL318" s="36"/>
      <c r="EM318" s="36"/>
      <c r="EN318" s="36"/>
      <c r="EO318" s="36"/>
      <c r="EP318" s="36"/>
      <c r="EQ318" s="36"/>
      <c r="ER318" s="36"/>
      <c r="ES318" s="36"/>
      <c r="ET318" s="36"/>
      <c r="EU318" s="36"/>
      <c r="EV318" s="36"/>
      <c r="EW318" s="37"/>
      <c r="EX318" s="44"/>
      <c r="EY318" s="36"/>
      <c r="EZ318" s="36"/>
      <c r="FA318" s="36"/>
      <c r="FB318" s="36"/>
      <c r="FC318" s="36"/>
      <c r="FD318" s="36"/>
      <c r="FE318" s="36"/>
      <c r="FF318" s="36"/>
      <c r="FG318" s="36"/>
      <c r="FH318" s="36"/>
      <c r="FI318" s="36"/>
      <c r="FJ318" s="36"/>
      <c r="FK318" s="36"/>
      <c r="FL318" s="36"/>
      <c r="FM318" s="36"/>
      <c r="FN318" s="37"/>
      <c r="FO318" s="44"/>
      <c r="FP318" s="36"/>
      <c r="FQ318" s="36"/>
      <c r="FR318" s="36"/>
      <c r="FS318" s="36"/>
      <c r="FT318" s="36"/>
      <c r="FU318" s="36"/>
      <c r="FV318" s="36"/>
      <c r="FW318" s="36"/>
      <c r="FX318" s="36"/>
      <c r="FY318" s="36"/>
      <c r="FZ318" s="36"/>
      <c r="GA318" s="36"/>
      <c r="GB318" s="36"/>
      <c r="GC318" s="36"/>
      <c r="GD318" s="36"/>
      <c r="GE318" s="37"/>
      <c r="GF318" s="44"/>
      <c r="GG318" s="36"/>
      <c r="GH318" s="36"/>
      <c r="GI318" s="36"/>
      <c r="GJ318" s="36"/>
      <c r="GK318" s="36"/>
      <c r="GL318" s="36"/>
      <c r="GM318" s="36"/>
      <c r="GN318" s="36"/>
      <c r="GO318" s="36"/>
      <c r="GP318" s="36"/>
      <c r="GQ318" s="36"/>
      <c r="GR318" s="36"/>
      <c r="GS318" s="36"/>
      <c r="GT318" s="36"/>
      <c r="GU318" s="36"/>
      <c r="GV318" s="37"/>
      <c r="GW318" s="44"/>
      <c r="GX318" s="36"/>
      <c r="GY318" s="36"/>
      <c r="GZ318" s="36"/>
      <c r="HA318" s="36"/>
      <c r="HB318" s="36"/>
      <c r="HC318" s="36"/>
      <c r="HD318" s="36"/>
      <c r="HE318" s="36"/>
      <c r="HF318" s="36"/>
      <c r="HG318" s="36"/>
      <c r="HH318" s="36"/>
      <c r="HI318" s="36"/>
      <c r="HJ318" s="36"/>
      <c r="HK318" s="36"/>
      <c r="HL318" s="36"/>
      <c r="HM318" s="37"/>
      <c r="HN318" s="44"/>
      <c r="HO318" s="36"/>
      <c r="HP318" s="36"/>
      <c r="HQ318" s="36"/>
      <c r="HR318" s="36"/>
      <c r="HS318" s="36"/>
      <c r="HT318" s="36"/>
      <c r="HU318" s="36"/>
      <c r="HV318" s="36"/>
      <c r="HW318" s="36"/>
      <c r="HX318" s="36"/>
      <c r="HY318" s="36"/>
      <c r="HZ318" s="36"/>
      <c r="IA318" s="36"/>
      <c r="IB318" s="36"/>
      <c r="IC318" s="36"/>
      <c r="ID318" s="37"/>
      <c r="IE318" s="44"/>
      <c r="IF318" s="36"/>
      <c r="IG318" s="36"/>
      <c r="IH318" s="36"/>
      <c r="II318" s="36"/>
      <c r="IJ318" s="36"/>
      <c r="IK318" s="36"/>
      <c r="IL318" s="36"/>
      <c r="IM318" s="36"/>
      <c r="IN318" s="36"/>
      <c r="IO318" s="36"/>
      <c r="IP318" s="36"/>
      <c r="IQ318" s="36"/>
      <c r="IR318" s="36"/>
      <c r="IS318" s="36"/>
      <c r="IT318" s="36"/>
      <c r="IU318" s="37"/>
      <c r="IV318" s="44"/>
      <c r="IW318" s="36"/>
      <c r="IX318" s="36"/>
      <c r="IY318" s="36"/>
      <c r="IZ318" s="36"/>
      <c r="JA318" s="36"/>
      <c r="JB318" s="36"/>
      <c r="JC318" s="36"/>
      <c r="JD318" s="36"/>
      <c r="JE318" s="36"/>
      <c r="JF318" s="36"/>
      <c r="JG318" s="36"/>
      <c r="JH318" s="36"/>
      <c r="JI318" s="36"/>
      <c r="JJ318" s="36"/>
      <c r="JK318" s="36"/>
      <c r="JL318" s="37"/>
      <c r="JM318" s="44"/>
      <c r="JN318" s="36"/>
      <c r="JO318" s="36"/>
      <c r="JP318" s="36"/>
      <c r="JQ318" s="36"/>
      <c r="JR318" s="36"/>
      <c r="JS318" s="36"/>
      <c r="JT318" s="36"/>
      <c r="JU318" s="36"/>
      <c r="JV318" s="36"/>
      <c r="JW318" s="36"/>
      <c r="JX318" s="36"/>
      <c r="JY318" s="36"/>
      <c r="JZ318" s="36"/>
      <c r="KA318" s="36"/>
      <c r="KB318" s="36"/>
      <c r="KC318" s="37"/>
      <c r="KD318" s="44"/>
      <c r="KE318" s="36"/>
      <c r="KF318" s="36"/>
      <c r="KG318" s="36"/>
      <c r="KH318" s="36"/>
      <c r="KI318" s="36"/>
      <c r="KJ318" s="36"/>
      <c r="KK318" s="36"/>
      <c r="KL318" s="36"/>
      <c r="KM318" s="36"/>
      <c r="KN318" s="36"/>
      <c r="KO318" s="36"/>
      <c r="KP318" s="36"/>
      <c r="KQ318" s="36"/>
      <c r="KR318" s="36"/>
      <c r="KS318" s="36"/>
      <c r="KT318" s="37"/>
      <c r="KU318" s="36"/>
    </row>
    <row r="319" ht="15.0" customHeight="1">
      <c r="A319" s="44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7"/>
      <c r="R319" s="44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7"/>
      <c r="AI319" s="44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  <c r="AU319" s="36"/>
      <c r="AV319" s="36"/>
      <c r="AW319" s="36"/>
      <c r="AX319" s="36"/>
      <c r="AY319" s="37"/>
      <c r="AZ319" s="44"/>
      <c r="BA319" s="36"/>
      <c r="BB319" s="36"/>
      <c r="BC319" s="36"/>
      <c r="BD319" s="36"/>
      <c r="BE319" s="36"/>
      <c r="BF319" s="36"/>
      <c r="BG319" s="36"/>
      <c r="BH319" s="36"/>
      <c r="BI319" s="36"/>
      <c r="BJ319" s="36"/>
      <c r="BK319" s="36"/>
      <c r="BL319" s="36"/>
      <c r="BM319" s="36"/>
      <c r="BN319" s="36"/>
      <c r="BO319" s="36"/>
      <c r="BP319" s="37"/>
      <c r="BQ319" s="44"/>
      <c r="BR319" s="36"/>
      <c r="BS319" s="36"/>
      <c r="BT319" s="36"/>
      <c r="BU319" s="36"/>
      <c r="BV319" s="36"/>
      <c r="BW319" s="36"/>
      <c r="BX319" s="36"/>
      <c r="BY319" s="36"/>
      <c r="BZ319" s="36"/>
      <c r="CA319" s="36"/>
      <c r="CB319" s="36"/>
      <c r="CC319" s="36"/>
      <c r="CD319" s="36"/>
      <c r="CE319" s="36"/>
      <c r="CF319" s="36"/>
      <c r="CG319" s="37"/>
      <c r="CH319" s="44"/>
      <c r="CI319" s="36"/>
      <c r="CJ319" s="36"/>
      <c r="CK319" s="36"/>
      <c r="CL319" s="36"/>
      <c r="CM319" s="36"/>
      <c r="CN319" s="36"/>
      <c r="CO319" s="36"/>
      <c r="CP319" s="36"/>
      <c r="CQ319" s="36"/>
      <c r="CR319" s="36"/>
      <c r="CS319" s="36"/>
      <c r="CT319" s="36"/>
      <c r="CU319" s="36"/>
      <c r="CV319" s="36"/>
      <c r="CW319" s="36"/>
      <c r="CX319" s="37"/>
      <c r="CY319" s="44"/>
      <c r="CZ319" s="36"/>
      <c r="DA319" s="36"/>
      <c r="DB319" s="36"/>
      <c r="DC319" s="36"/>
      <c r="DD319" s="36"/>
      <c r="DE319" s="36"/>
      <c r="DF319" s="36"/>
      <c r="DG319" s="36"/>
      <c r="DH319" s="36"/>
      <c r="DI319" s="36"/>
      <c r="DJ319" s="36"/>
      <c r="DK319" s="36"/>
      <c r="DL319" s="36"/>
      <c r="DM319" s="36"/>
      <c r="DN319" s="36"/>
      <c r="DO319" s="37"/>
      <c r="DP319" s="44"/>
      <c r="DQ319" s="36"/>
      <c r="DR319" s="36"/>
      <c r="DS319" s="36"/>
      <c r="DT319" s="36"/>
      <c r="DU319" s="36"/>
      <c r="DV319" s="36"/>
      <c r="DW319" s="36"/>
      <c r="DX319" s="36"/>
      <c r="DY319" s="36"/>
      <c r="DZ319" s="36"/>
      <c r="EA319" s="36"/>
      <c r="EB319" s="36"/>
      <c r="EC319" s="36"/>
      <c r="ED319" s="36"/>
      <c r="EE319" s="36"/>
      <c r="EF319" s="37"/>
      <c r="EG319" s="44"/>
      <c r="EH319" s="36"/>
      <c r="EI319" s="36"/>
      <c r="EJ319" s="36"/>
      <c r="EK319" s="36"/>
      <c r="EL319" s="36"/>
      <c r="EM319" s="36"/>
      <c r="EN319" s="36"/>
      <c r="EO319" s="36"/>
      <c r="EP319" s="36"/>
      <c r="EQ319" s="36"/>
      <c r="ER319" s="36"/>
      <c r="ES319" s="36"/>
      <c r="ET319" s="36"/>
      <c r="EU319" s="36"/>
      <c r="EV319" s="36"/>
      <c r="EW319" s="37"/>
      <c r="EX319" s="44"/>
      <c r="EY319" s="36"/>
      <c r="EZ319" s="36"/>
      <c r="FA319" s="36"/>
      <c r="FB319" s="36"/>
      <c r="FC319" s="36"/>
      <c r="FD319" s="36"/>
      <c r="FE319" s="36"/>
      <c r="FF319" s="36"/>
      <c r="FG319" s="36"/>
      <c r="FH319" s="36"/>
      <c r="FI319" s="36"/>
      <c r="FJ319" s="36"/>
      <c r="FK319" s="36"/>
      <c r="FL319" s="36"/>
      <c r="FM319" s="36"/>
      <c r="FN319" s="37"/>
      <c r="FO319" s="44"/>
      <c r="FP319" s="36"/>
      <c r="FQ319" s="36"/>
      <c r="FR319" s="36"/>
      <c r="FS319" s="36"/>
      <c r="FT319" s="36"/>
      <c r="FU319" s="36"/>
      <c r="FV319" s="36"/>
      <c r="FW319" s="36"/>
      <c r="FX319" s="36"/>
      <c r="FY319" s="36"/>
      <c r="FZ319" s="36"/>
      <c r="GA319" s="36"/>
      <c r="GB319" s="36"/>
      <c r="GC319" s="36"/>
      <c r="GD319" s="36"/>
      <c r="GE319" s="37"/>
      <c r="GF319" s="44"/>
      <c r="GG319" s="36"/>
      <c r="GH319" s="36"/>
      <c r="GI319" s="36"/>
      <c r="GJ319" s="36"/>
      <c r="GK319" s="36"/>
      <c r="GL319" s="36"/>
      <c r="GM319" s="36"/>
      <c r="GN319" s="36"/>
      <c r="GO319" s="36"/>
      <c r="GP319" s="36"/>
      <c r="GQ319" s="36"/>
      <c r="GR319" s="36"/>
      <c r="GS319" s="36"/>
      <c r="GT319" s="36"/>
      <c r="GU319" s="36"/>
      <c r="GV319" s="37"/>
      <c r="GW319" s="44"/>
      <c r="GX319" s="36"/>
      <c r="GY319" s="36"/>
      <c r="GZ319" s="36"/>
      <c r="HA319" s="36"/>
      <c r="HB319" s="36"/>
      <c r="HC319" s="36"/>
      <c r="HD319" s="36"/>
      <c r="HE319" s="36"/>
      <c r="HF319" s="36"/>
      <c r="HG319" s="36"/>
      <c r="HH319" s="36"/>
      <c r="HI319" s="36"/>
      <c r="HJ319" s="36"/>
      <c r="HK319" s="36"/>
      <c r="HL319" s="36"/>
      <c r="HM319" s="37"/>
      <c r="HN319" s="44"/>
      <c r="HO319" s="36"/>
      <c r="HP319" s="36"/>
      <c r="HQ319" s="36"/>
      <c r="HR319" s="36"/>
      <c r="HS319" s="36"/>
      <c r="HT319" s="36"/>
      <c r="HU319" s="36"/>
      <c r="HV319" s="36"/>
      <c r="HW319" s="36"/>
      <c r="HX319" s="36"/>
      <c r="HY319" s="36"/>
      <c r="HZ319" s="36"/>
      <c r="IA319" s="36"/>
      <c r="IB319" s="36"/>
      <c r="IC319" s="36"/>
      <c r="ID319" s="37"/>
      <c r="IE319" s="44"/>
      <c r="IF319" s="36"/>
      <c r="IG319" s="36"/>
      <c r="IH319" s="36"/>
      <c r="II319" s="36"/>
      <c r="IJ319" s="36"/>
      <c r="IK319" s="36"/>
      <c r="IL319" s="36"/>
      <c r="IM319" s="36"/>
      <c r="IN319" s="36"/>
      <c r="IO319" s="36"/>
      <c r="IP319" s="36"/>
      <c r="IQ319" s="36"/>
      <c r="IR319" s="36"/>
      <c r="IS319" s="36"/>
      <c r="IT319" s="36"/>
      <c r="IU319" s="37"/>
      <c r="IV319" s="44"/>
      <c r="IW319" s="36"/>
      <c r="IX319" s="36"/>
      <c r="IY319" s="36"/>
      <c r="IZ319" s="36"/>
      <c r="JA319" s="36"/>
      <c r="JB319" s="36"/>
      <c r="JC319" s="36"/>
      <c r="JD319" s="36"/>
      <c r="JE319" s="36"/>
      <c r="JF319" s="36"/>
      <c r="JG319" s="36"/>
      <c r="JH319" s="36"/>
      <c r="JI319" s="36"/>
      <c r="JJ319" s="36"/>
      <c r="JK319" s="36"/>
      <c r="JL319" s="37"/>
      <c r="JM319" s="44"/>
      <c r="JN319" s="36"/>
      <c r="JO319" s="36"/>
      <c r="JP319" s="36"/>
      <c r="JQ319" s="36"/>
      <c r="JR319" s="36"/>
      <c r="JS319" s="36"/>
      <c r="JT319" s="36"/>
      <c r="JU319" s="36"/>
      <c r="JV319" s="36"/>
      <c r="JW319" s="36"/>
      <c r="JX319" s="36"/>
      <c r="JY319" s="36"/>
      <c r="JZ319" s="36"/>
      <c r="KA319" s="36"/>
      <c r="KB319" s="36"/>
      <c r="KC319" s="37"/>
      <c r="KD319" s="44"/>
      <c r="KE319" s="36"/>
      <c r="KF319" s="36"/>
      <c r="KG319" s="36"/>
      <c r="KH319" s="36"/>
      <c r="KI319" s="36"/>
      <c r="KJ319" s="36"/>
      <c r="KK319" s="36"/>
      <c r="KL319" s="36"/>
      <c r="KM319" s="36"/>
      <c r="KN319" s="36"/>
      <c r="KO319" s="36"/>
      <c r="KP319" s="36"/>
      <c r="KQ319" s="36"/>
      <c r="KR319" s="36"/>
      <c r="KS319" s="36"/>
      <c r="KT319" s="37"/>
      <c r="KU319" s="36"/>
    </row>
    <row r="320" ht="15.0" customHeight="1">
      <c r="A320" s="44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7"/>
      <c r="R320" s="44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7"/>
      <c r="AI320" s="44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  <c r="AU320" s="36"/>
      <c r="AV320" s="36"/>
      <c r="AW320" s="36"/>
      <c r="AX320" s="36"/>
      <c r="AY320" s="37"/>
      <c r="AZ320" s="44"/>
      <c r="BA320" s="36"/>
      <c r="BB320" s="36"/>
      <c r="BC320" s="36"/>
      <c r="BD320" s="36"/>
      <c r="BE320" s="36"/>
      <c r="BF320" s="36"/>
      <c r="BG320" s="36"/>
      <c r="BH320" s="36"/>
      <c r="BI320" s="36"/>
      <c r="BJ320" s="36"/>
      <c r="BK320" s="36"/>
      <c r="BL320" s="36"/>
      <c r="BM320" s="36"/>
      <c r="BN320" s="36"/>
      <c r="BO320" s="36"/>
      <c r="BP320" s="37"/>
      <c r="BQ320" s="44"/>
      <c r="BR320" s="36"/>
      <c r="BS320" s="36"/>
      <c r="BT320" s="36"/>
      <c r="BU320" s="36"/>
      <c r="BV320" s="36"/>
      <c r="BW320" s="36"/>
      <c r="BX320" s="36"/>
      <c r="BY320" s="36"/>
      <c r="BZ320" s="36"/>
      <c r="CA320" s="36"/>
      <c r="CB320" s="36"/>
      <c r="CC320" s="36"/>
      <c r="CD320" s="36"/>
      <c r="CE320" s="36"/>
      <c r="CF320" s="36"/>
      <c r="CG320" s="37"/>
      <c r="CH320" s="44"/>
      <c r="CI320" s="36"/>
      <c r="CJ320" s="36"/>
      <c r="CK320" s="36"/>
      <c r="CL320" s="36"/>
      <c r="CM320" s="36"/>
      <c r="CN320" s="36"/>
      <c r="CO320" s="36"/>
      <c r="CP320" s="36"/>
      <c r="CQ320" s="36"/>
      <c r="CR320" s="36"/>
      <c r="CS320" s="36"/>
      <c r="CT320" s="36"/>
      <c r="CU320" s="36"/>
      <c r="CV320" s="36"/>
      <c r="CW320" s="36"/>
      <c r="CX320" s="37"/>
      <c r="CY320" s="44"/>
      <c r="CZ320" s="36"/>
      <c r="DA320" s="36"/>
      <c r="DB320" s="36"/>
      <c r="DC320" s="36"/>
      <c r="DD320" s="36"/>
      <c r="DE320" s="36"/>
      <c r="DF320" s="36"/>
      <c r="DG320" s="36"/>
      <c r="DH320" s="36"/>
      <c r="DI320" s="36"/>
      <c r="DJ320" s="36"/>
      <c r="DK320" s="36"/>
      <c r="DL320" s="36"/>
      <c r="DM320" s="36"/>
      <c r="DN320" s="36"/>
      <c r="DO320" s="37"/>
      <c r="DP320" s="44"/>
      <c r="DQ320" s="36"/>
      <c r="DR320" s="36"/>
      <c r="DS320" s="36"/>
      <c r="DT320" s="36"/>
      <c r="DU320" s="36"/>
      <c r="DV320" s="36"/>
      <c r="DW320" s="36"/>
      <c r="DX320" s="36"/>
      <c r="DY320" s="36"/>
      <c r="DZ320" s="36"/>
      <c r="EA320" s="36"/>
      <c r="EB320" s="36"/>
      <c r="EC320" s="36"/>
      <c r="ED320" s="36"/>
      <c r="EE320" s="36"/>
      <c r="EF320" s="37"/>
      <c r="EG320" s="44"/>
      <c r="EH320" s="36"/>
      <c r="EI320" s="36"/>
      <c r="EJ320" s="36"/>
      <c r="EK320" s="36"/>
      <c r="EL320" s="36"/>
      <c r="EM320" s="36"/>
      <c r="EN320" s="36"/>
      <c r="EO320" s="36"/>
      <c r="EP320" s="36"/>
      <c r="EQ320" s="36"/>
      <c r="ER320" s="36"/>
      <c r="ES320" s="36"/>
      <c r="ET320" s="36"/>
      <c r="EU320" s="36"/>
      <c r="EV320" s="36"/>
      <c r="EW320" s="37"/>
      <c r="EX320" s="44"/>
      <c r="EY320" s="36"/>
      <c r="EZ320" s="36"/>
      <c r="FA320" s="36"/>
      <c r="FB320" s="36"/>
      <c r="FC320" s="36"/>
      <c r="FD320" s="36"/>
      <c r="FE320" s="36"/>
      <c r="FF320" s="36"/>
      <c r="FG320" s="36"/>
      <c r="FH320" s="36"/>
      <c r="FI320" s="36"/>
      <c r="FJ320" s="36"/>
      <c r="FK320" s="36"/>
      <c r="FL320" s="36"/>
      <c r="FM320" s="36"/>
      <c r="FN320" s="37"/>
      <c r="FO320" s="44"/>
      <c r="FP320" s="36"/>
      <c r="FQ320" s="36"/>
      <c r="FR320" s="36"/>
      <c r="FS320" s="36"/>
      <c r="FT320" s="36"/>
      <c r="FU320" s="36"/>
      <c r="FV320" s="36"/>
      <c r="FW320" s="36"/>
      <c r="FX320" s="36"/>
      <c r="FY320" s="36"/>
      <c r="FZ320" s="36"/>
      <c r="GA320" s="36"/>
      <c r="GB320" s="36"/>
      <c r="GC320" s="36"/>
      <c r="GD320" s="36"/>
      <c r="GE320" s="37"/>
      <c r="GF320" s="44"/>
      <c r="GG320" s="36"/>
      <c r="GH320" s="36"/>
      <c r="GI320" s="36"/>
      <c r="GJ320" s="36"/>
      <c r="GK320" s="36"/>
      <c r="GL320" s="36"/>
      <c r="GM320" s="36"/>
      <c r="GN320" s="36"/>
      <c r="GO320" s="36"/>
      <c r="GP320" s="36"/>
      <c r="GQ320" s="36"/>
      <c r="GR320" s="36"/>
      <c r="GS320" s="36"/>
      <c r="GT320" s="36"/>
      <c r="GU320" s="36"/>
      <c r="GV320" s="37"/>
      <c r="GW320" s="44"/>
      <c r="GX320" s="36"/>
      <c r="GY320" s="36"/>
      <c r="GZ320" s="36"/>
      <c r="HA320" s="36"/>
      <c r="HB320" s="36"/>
      <c r="HC320" s="36"/>
      <c r="HD320" s="36"/>
      <c r="HE320" s="36"/>
      <c r="HF320" s="36"/>
      <c r="HG320" s="36"/>
      <c r="HH320" s="36"/>
      <c r="HI320" s="36"/>
      <c r="HJ320" s="36"/>
      <c r="HK320" s="36"/>
      <c r="HL320" s="36"/>
      <c r="HM320" s="37"/>
      <c r="HN320" s="44"/>
      <c r="HO320" s="36"/>
      <c r="HP320" s="36"/>
      <c r="HQ320" s="36"/>
      <c r="HR320" s="36"/>
      <c r="HS320" s="36"/>
      <c r="HT320" s="36"/>
      <c r="HU320" s="36"/>
      <c r="HV320" s="36"/>
      <c r="HW320" s="36"/>
      <c r="HX320" s="36"/>
      <c r="HY320" s="36"/>
      <c r="HZ320" s="36"/>
      <c r="IA320" s="36"/>
      <c r="IB320" s="36"/>
      <c r="IC320" s="36"/>
      <c r="ID320" s="37"/>
      <c r="IE320" s="44"/>
      <c r="IF320" s="36"/>
      <c r="IG320" s="36"/>
      <c r="IH320" s="36"/>
      <c r="II320" s="36"/>
      <c r="IJ320" s="36"/>
      <c r="IK320" s="36"/>
      <c r="IL320" s="36"/>
      <c r="IM320" s="36"/>
      <c r="IN320" s="36"/>
      <c r="IO320" s="36"/>
      <c r="IP320" s="36"/>
      <c r="IQ320" s="36"/>
      <c r="IR320" s="36"/>
      <c r="IS320" s="36"/>
      <c r="IT320" s="36"/>
      <c r="IU320" s="37"/>
      <c r="IV320" s="44"/>
      <c r="IW320" s="36"/>
      <c r="IX320" s="36"/>
      <c r="IY320" s="36"/>
      <c r="IZ320" s="36"/>
      <c r="JA320" s="36"/>
      <c r="JB320" s="36"/>
      <c r="JC320" s="36"/>
      <c r="JD320" s="36"/>
      <c r="JE320" s="36"/>
      <c r="JF320" s="36"/>
      <c r="JG320" s="36"/>
      <c r="JH320" s="36"/>
      <c r="JI320" s="36"/>
      <c r="JJ320" s="36"/>
      <c r="JK320" s="36"/>
      <c r="JL320" s="37"/>
      <c r="JM320" s="44"/>
      <c r="JN320" s="36"/>
      <c r="JO320" s="36"/>
      <c r="JP320" s="36"/>
      <c r="JQ320" s="36"/>
      <c r="JR320" s="36"/>
      <c r="JS320" s="36"/>
      <c r="JT320" s="36"/>
      <c r="JU320" s="36"/>
      <c r="JV320" s="36"/>
      <c r="JW320" s="36"/>
      <c r="JX320" s="36"/>
      <c r="JY320" s="36"/>
      <c r="JZ320" s="36"/>
      <c r="KA320" s="36"/>
      <c r="KB320" s="36"/>
      <c r="KC320" s="37"/>
      <c r="KD320" s="44"/>
      <c r="KE320" s="36"/>
      <c r="KF320" s="36"/>
      <c r="KG320" s="36"/>
      <c r="KH320" s="36"/>
      <c r="KI320" s="36"/>
      <c r="KJ320" s="36"/>
      <c r="KK320" s="36"/>
      <c r="KL320" s="36"/>
      <c r="KM320" s="36"/>
      <c r="KN320" s="36"/>
      <c r="KO320" s="36"/>
      <c r="KP320" s="36"/>
      <c r="KQ320" s="36"/>
      <c r="KR320" s="36"/>
      <c r="KS320" s="36"/>
      <c r="KT320" s="37"/>
      <c r="KU320" s="36"/>
    </row>
    <row r="321" ht="15.0" customHeight="1">
      <c r="A321" s="44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7"/>
      <c r="R321" s="44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7"/>
      <c r="AI321" s="44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  <c r="AU321" s="36"/>
      <c r="AV321" s="36"/>
      <c r="AW321" s="36"/>
      <c r="AX321" s="36"/>
      <c r="AY321" s="37"/>
      <c r="AZ321" s="44"/>
      <c r="BA321" s="36"/>
      <c r="BB321" s="36"/>
      <c r="BC321" s="36"/>
      <c r="BD321" s="36"/>
      <c r="BE321" s="36"/>
      <c r="BF321" s="36"/>
      <c r="BG321" s="36"/>
      <c r="BH321" s="36"/>
      <c r="BI321" s="36"/>
      <c r="BJ321" s="36"/>
      <c r="BK321" s="36"/>
      <c r="BL321" s="36"/>
      <c r="BM321" s="36"/>
      <c r="BN321" s="36"/>
      <c r="BO321" s="36"/>
      <c r="BP321" s="37"/>
      <c r="BQ321" s="44"/>
      <c r="BR321" s="36"/>
      <c r="BS321" s="36"/>
      <c r="BT321" s="36"/>
      <c r="BU321" s="36"/>
      <c r="BV321" s="36"/>
      <c r="BW321" s="36"/>
      <c r="BX321" s="36"/>
      <c r="BY321" s="36"/>
      <c r="BZ321" s="36"/>
      <c r="CA321" s="36"/>
      <c r="CB321" s="36"/>
      <c r="CC321" s="36"/>
      <c r="CD321" s="36"/>
      <c r="CE321" s="36"/>
      <c r="CF321" s="36"/>
      <c r="CG321" s="37"/>
      <c r="CH321" s="44"/>
      <c r="CI321" s="36"/>
      <c r="CJ321" s="36"/>
      <c r="CK321" s="36"/>
      <c r="CL321" s="36"/>
      <c r="CM321" s="36"/>
      <c r="CN321" s="36"/>
      <c r="CO321" s="36"/>
      <c r="CP321" s="36"/>
      <c r="CQ321" s="36"/>
      <c r="CR321" s="36"/>
      <c r="CS321" s="36"/>
      <c r="CT321" s="36"/>
      <c r="CU321" s="36"/>
      <c r="CV321" s="36"/>
      <c r="CW321" s="36"/>
      <c r="CX321" s="37"/>
      <c r="CY321" s="44"/>
      <c r="CZ321" s="36"/>
      <c r="DA321" s="36"/>
      <c r="DB321" s="36"/>
      <c r="DC321" s="36"/>
      <c r="DD321" s="36"/>
      <c r="DE321" s="36"/>
      <c r="DF321" s="36"/>
      <c r="DG321" s="36"/>
      <c r="DH321" s="36"/>
      <c r="DI321" s="36"/>
      <c r="DJ321" s="36"/>
      <c r="DK321" s="36"/>
      <c r="DL321" s="36"/>
      <c r="DM321" s="36"/>
      <c r="DN321" s="36"/>
      <c r="DO321" s="37"/>
      <c r="DP321" s="44"/>
      <c r="DQ321" s="36"/>
      <c r="DR321" s="36"/>
      <c r="DS321" s="36"/>
      <c r="DT321" s="36"/>
      <c r="DU321" s="36"/>
      <c r="DV321" s="36"/>
      <c r="DW321" s="36"/>
      <c r="DX321" s="36"/>
      <c r="DY321" s="36"/>
      <c r="DZ321" s="36"/>
      <c r="EA321" s="36"/>
      <c r="EB321" s="36"/>
      <c r="EC321" s="36"/>
      <c r="ED321" s="36"/>
      <c r="EE321" s="36"/>
      <c r="EF321" s="37"/>
      <c r="EG321" s="44"/>
      <c r="EH321" s="36"/>
      <c r="EI321" s="36"/>
      <c r="EJ321" s="36"/>
      <c r="EK321" s="36"/>
      <c r="EL321" s="36"/>
      <c r="EM321" s="36"/>
      <c r="EN321" s="36"/>
      <c r="EO321" s="36"/>
      <c r="EP321" s="36"/>
      <c r="EQ321" s="36"/>
      <c r="ER321" s="36"/>
      <c r="ES321" s="36"/>
      <c r="ET321" s="36"/>
      <c r="EU321" s="36"/>
      <c r="EV321" s="36"/>
      <c r="EW321" s="37"/>
      <c r="EX321" s="44"/>
      <c r="EY321" s="36"/>
      <c r="EZ321" s="36"/>
      <c r="FA321" s="36"/>
      <c r="FB321" s="36"/>
      <c r="FC321" s="36"/>
      <c r="FD321" s="36"/>
      <c r="FE321" s="36"/>
      <c r="FF321" s="36"/>
      <c r="FG321" s="36"/>
      <c r="FH321" s="36"/>
      <c r="FI321" s="36"/>
      <c r="FJ321" s="36"/>
      <c r="FK321" s="36"/>
      <c r="FL321" s="36"/>
      <c r="FM321" s="36"/>
      <c r="FN321" s="37"/>
      <c r="FO321" s="44"/>
      <c r="FP321" s="36"/>
      <c r="FQ321" s="36"/>
      <c r="FR321" s="36"/>
      <c r="FS321" s="36"/>
      <c r="FT321" s="36"/>
      <c r="FU321" s="36"/>
      <c r="FV321" s="36"/>
      <c r="FW321" s="36"/>
      <c r="FX321" s="36"/>
      <c r="FY321" s="36"/>
      <c r="FZ321" s="36"/>
      <c r="GA321" s="36"/>
      <c r="GB321" s="36"/>
      <c r="GC321" s="36"/>
      <c r="GD321" s="36"/>
      <c r="GE321" s="37"/>
      <c r="GF321" s="44"/>
      <c r="GG321" s="36"/>
      <c r="GH321" s="36"/>
      <c r="GI321" s="36"/>
      <c r="GJ321" s="36"/>
      <c r="GK321" s="36"/>
      <c r="GL321" s="36"/>
      <c r="GM321" s="36"/>
      <c r="GN321" s="36"/>
      <c r="GO321" s="36"/>
      <c r="GP321" s="36"/>
      <c r="GQ321" s="36"/>
      <c r="GR321" s="36"/>
      <c r="GS321" s="36"/>
      <c r="GT321" s="36"/>
      <c r="GU321" s="36"/>
      <c r="GV321" s="37"/>
      <c r="GW321" s="44"/>
      <c r="GX321" s="36"/>
      <c r="GY321" s="36"/>
      <c r="GZ321" s="36"/>
      <c r="HA321" s="36"/>
      <c r="HB321" s="36"/>
      <c r="HC321" s="36"/>
      <c r="HD321" s="36"/>
      <c r="HE321" s="36"/>
      <c r="HF321" s="36"/>
      <c r="HG321" s="36"/>
      <c r="HH321" s="36"/>
      <c r="HI321" s="36"/>
      <c r="HJ321" s="36"/>
      <c r="HK321" s="36"/>
      <c r="HL321" s="36"/>
      <c r="HM321" s="37"/>
      <c r="HN321" s="44"/>
      <c r="HO321" s="36"/>
      <c r="HP321" s="36"/>
      <c r="HQ321" s="36"/>
      <c r="HR321" s="36"/>
      <c r="HS321" s="36"/>
      <c r="HT321" s="36"/>
      <c r="HU321" s="36"/>
      <c r="HV321" s="36"/>
      <c r="HW321" s="36"/>
      <c r="HX321" s="36"/>
      <c r="HY321" s="36"/>
      <c r="HZ321" s="36"/>
      <c r="IA321" s="36"/>
      <c r="IB321" s="36"/>
      <c r="IC321" s="36"/>
      <c r="ID321" s="37"/>
      <c r="IE321" s="44"/>
      <c r="IF321" s="36"/>
      <c r="IG321" s="36"/>
      <c r="IH321" s="36"/>
      <c r="II321" s="36"/>
      <c r="IJ321" s="36"/>
      <c r="IK321" s="36"/>
      <c r="IL321" s="36"/>
      <c r="IM321" s="36"/>
      <c r="IN321" s="36"/>
      <c r="IO321" s="36"/>
      <c r="IP321" s="36"/>
      <c r="IQ321" s="36"/>
      <c r="IR321" s="36"/>
      <c r="IS321" s="36"/>
      <c r="IT321" s="36"/>
      <c r="IU321" s="37"/>
      <c r="IV321" s="44"/>
      <c r="IW321" s="36"/>
      <c r="IX321" s="36"/>
      <c r="IY321" s="36"/>
      <c r="IZ321" s="36"/>
      <c r="JA321" s="36"/>
      <c r="JB321" s="36"/>
      <c r="JC321" s="36"/>
      <c r="JD321" s="36"/>
      <c r="JE321" s="36"/>
      <c r="JF321" s="36"/>
      <c r="JG321" s="36"/>
      <c r="JH321" s="36"/>
      <c r="JI321" s="36"/>
      <c r="JJ321" s="36"/>
      <c r="JK321" s="36"/>
      <c r="JL321" s="37"/>
      <c r="JM321" s="44"/>
      <c r="JN321" s="36"/>
      <c r="JO321" s="36"/>
      <c r="JP321" s="36"/>
      <c r="JQ321" s="36"/>
      <c r="JR321" s="36"/>
      <c r="JS321" s="36"/>
      <c r="JT321" s="36"/>
      <c r="JU321" s="36"/>
      <c r="JV321" s="36"/>
      <c r="JW321" s="36"/>
      <c r="JX321" s="36"/>
      <c r="JY321" s="36"/>
      <c r="JZ321" s="36"/>
      <c r="KA321" s="36"/>
      <c r="KB321" s="36"/>
      <c r="KC321" s="37"/>
      <c r="KD321" s="44"/>
      <c r="KE321" s="36"/>
      <c r="KF321" s="36"/>
      <c r="KG321" s="36"/>
      <c r="KH321" s="36"/>
      <c r="KI321" s="36"/>
      <c r="KJ321" s="36"/>
      <c r="KK321" s="36"/>
      <c r="KL321" s="36"/>
      <c r="KM321" s="36"/>
      <c r="KN321" s="36"/>
      <c r="KO321" s="36"/>
      <c r="KP321" s="36"/>
      <c r="KQ321" s="36"/>
      <c r="KR321" s="36"/>
      <c r="KS321" s="36"/>
      <c r="KT321" s="37"/>
      <c r="KU321" s="36"/>
    </row>
    <row r="322" ht="15.0" customHeight="1">
      <c r="A322" s="44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7"/>
      <c r="R322" s="44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7"/>
      <c r="AI322" s="44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  <c r="AU322" s="36"/>
      <c r="AV322" s="36"/>
      <c r="AW322" s="36"/>
      <c r="AX322" s="36"/>
      <c r="AY322" s="37"/>
      <c r="AZ322" s="44"/>
      <c r="BA322" s="36"/>
      <c r="BB322" s="36"/>
      <c r="BC322" s="36"/>
      <c r="BD322" s="36"/>
      <c r="BE322" s="36"/>
      <c r="BF322" s="36"/>
      <c r="BG322" s="36"/>
      <c r="BH322" s="36"/>
      <c r="BI322" s="36"/>
      <c r="BJ322" s="36"/>
      <c r="BK322" s="36"/>
      <c r="BL322" s="36"/>
      <c r="BM322" s="36"/>
      <c r="BN322" s="36"/>
      <c r="BO322" s="36"/>
      <c r="BP322" s="37"/>
      <c r="BQ322" s="44"/>
      <c r="BR322" s="36"/>
      <c r="BS322" s="36"/>
      <c r="BT322" s="36"/>
      <c r="BU322" s="36"/>
      <c r="BV322" s="36"/>
      <c r="BW322" s="36"/>
      <c r="BX322" s="36"/>
      <c r="BY322" s="36"/>
      <c r="BZ322" s="36"/>
      <c r="CA322" s="36"/>
      <c r="CB322" s="36"/>
      <c r="CC322" s="36"/>
      <c r="CD322" s="36"/>
      <c r="CE322" s="36"/>
      <c r="CF322" s="36"/>
      <c r="CG322" s="37"/>
      <c r="CH322" s="44"/>
      <c r="CI322" s="36"/>
      <c r="CJ322" s="36"/>
      <c r="CK322" s="36"/>
      <c r="CL322" s="36"/>
      <c r="CM322" s="36"/>
      <c r="CN322" s="36"/>
      <c r="CO322" s="36"/>
      <c r="CP322" s="36"/>
      <c r="CQ322" s="36"/>
      <c r="CR322" s="36"/>
      <c r="CS322" s="36"/>
      <c r="CT322" s="36"/>
      <c r="CU322" s="36"/>
      <c r="CV322" s="36"/>
      <c r="CW322" s="36"/>
      <c r="CX322" s="37"/>
      <c r="CY322" s="44"/>
      <c r="CZ322" s="36"/>
      <c r="DA322" s="36"/>
      <c r="DB322" s="36"/>
      <c r="DC322" s="36"/>
      <c r="DD322" s="36"/>
      <c r="DE322" s="36"/>
      <c r="DF322" s="36"/>
      <c r="DG322" s="36"/>
      <c r="DH322" s="36"/>
      <c r="DI322" s="36"/>
      <c r="DJ322" s="36"/>
      <c r="DK322" s="36"/>
      <c r="DL322" s="36"/>
      <c r="DM322" s="36"/>
      <c r="DN322" s="36"/>
      <c r="DO322" s="37"/>
      <c r="DP322" s="44"/>
      <c r="DQ322" s="36"/>
      <c r="DR322" s="36"/>
      <c r="DS322" s="36"/>
      <c r="DT322" s="36"/>
      <c r="DU322" s="36"/>
      <c r="DV322" s="36"/>
      <c r="DW322" s="36"/>
      <c r="DX322" s="36"/>
      <c r="DY322" s="36"/>
      <c r="DZ322" s="36"/>
      <c r="EA322" s="36"/>
      <c r="EB322" s="36"/>
      <c r="EC322" s="36"/>
      <c r="ED322" s="36"/>
      <c r="EE322" s="36"/>
      <c r="EF322" s="37"/>
      <c r="EG322" s="44"/>
      <c r="EH322" s="36"/>
      <c r="EI322" s="36"/>
      <c r="EJ322" s="36"/>
      <c r="EK322" s="36"/>
      <c r="EL322" s="36"/>
      <c r="EM322" s="36"/>
      <c r="EN322" s="36"/>
      <c r="EO322" s="36"/>
      <c r="EP322" s="36"/>
      <c r="EQ322" s="36"/>
      <c r="ER322" s="36"/>
      <c r="ES322" s="36"/>
      <c r="ET322" s="36"/>
      <c r="EU322" s="36"/>
      <c r="EV322" s="36"/>
      <c r="EW322" s="37"/>
      <c r="EX322" s="44"/>
      <c r="EY322" s="36"/>
      <c r="EZ322" s="36"/>
      <c r="FA322" s="36"/>
      <c r="FB322" s="36"/>
      <c r="FC322" s="36"/>
      <c r="FD322" s="36"/>
      <c r="FE322" s="36"/>
      <c r="FF322" s="36"/>
      <c r="FG322" s="36"/>
      <c r="FH322" s="36"/>
      <c r="FI322" s="36"/>
      <c r="FJ322" s="36"/>
      <c r="FK322" s="36"/>
      <c r="FL322" s="36"/>
      <c r="FM322" s="36"/>
      <c r="FN322" s="37"/>
      <c r="FO322" s="44"/>
      <c r="FP322" s="36"/>
      <c r="FQ322" s="36"/>
      <c r="FR322" s="36"/>
      <c r="FS322" s="36"/>
      <c r="FT322" s="36"/>
      <c r="FU322" s="36"/>
      <c r="FV322" s="36"/>
      <c r="FW322" s="36"/>
      <c r="FX322" s="36"/>
      <c r="FY322" s="36"/>
      <c r="FZ322" s="36"/>
      <c r="GA322" s="36"/>
      <c r="GB322" s="36"/>
      <c r="GC322" s="36"/>
      <c r="GD322" s="36"/>
      <c r="GE322" s="37"/>
      <c r="GF322" s="44"/>
      <c r="GG322" s="36"/>
      <c r="GH322" s="36"/>
      <c r="GI322" s="36"/>
      <c r="GJ322" s="36"/>
      <c r="GK322" s="36"/>
      <c r="GL322" s="36"/>
      <c r="GM322" s="36"/>
      <c r="GN322" s="36"/>
      <c r="GO322" s="36"/>
      <c r="GP322" s="36"/>
      <c r="GQ322" s="36"/>
      <c r="GR322" s="36"/>
      <c r="GS322" s="36"/>
      <c r="GT322" s="36"/>
      <c r="GU322" s="36"/>
      <c r="GV322" s="37"/>
      <c r="GW322" s="44"/>
      <c r="GX322" s="36"/>
      <c r="GY322" s="36"/>
      <c r="GZ322" s="36"/>
      <c r="HA322" s="36"/>
      <c r="HB322" s="36"/>
      <c r="HC322" s="36"/>
      <c r="HD322" s="36"/>
      <c r="HE322" s="36"/>
      <c r="HF322" s="36"/>
      <c r="HG322" s="36"/>
      <c r="HH322" s="36"/>
      <c r="HI322" s="36"/>
      <c r="HJ322" s="36"/>
      <c r="HK322" s="36"/>
      <c r="HL322" s="36"/>
      <c r="HM322" s="37"/>
      <c r="HN322" s="44"/>
      <c r="HO322" s="36"/>
      <c r="HP322" s="36"/>
      <c r="HQ322" s="36"/>
      <c r="HR322" s="36"/>
      <c r="HS322" s="36"/>
      <c r="HT322" s="36"/>
      <c r="HU322" s="36"/>
      <c r="HV322" s="36"/>
      <c r="HW322" s="36"/>
      <c r="HX322" s="36"/>
      <c r="HY322" s="36"/>
      <c r="HZ322" s="36"/>
      <c r="IA322" s="36"/>
      <c r="IB322" s="36"/>
      <c r="IC322" s="36"/>
      <c r="ID322" s="37"/>
      <c r="IE322" s="44"/>
      <c r="IF322" s="36"/>
      <c r="IG322" s="36"/>
      <c r="IH322" s="36"/>
      <c r="II322" s="36"/>
      <c r="IJ322" s="36"/>
      <c r="IK322" s="36"/>
      <c r="IL322" s="36"/>
      <c r="IM322" s="36"/>
      <c r="IN322" s="36"/>
      <c r="IO322" s="36"/>
      <c r="IP322" s="36"/>
      <c r="IQ322" s="36"/>
      <c r="IR322" s="36"/>
      <c r="IS322" s="36"/>
      <c r="IT322" s="36"/>
      <c r="IU322" s="37"/>
      <c r="IV322" s="44"/>
      <c r="IW322" s="36"/>
      <c r="IX322" s="36"/>
      <c r="IY322" s="36"/>
      <c r="IZ322" s="36"/>
      <c r="JA322" s="36"/>
      <c r="JB322" s="36"/>
      <c r="JC322" s="36"/>
      <c r="JD322" s="36"/>
      <c r="JE322" s="36"/>
      <c r="JF322" s="36"/>
      <c r="JG322" s="36"/>
      <c r="JH322" s="36"/>
      <c r="JI322" s="36"/>
      <c r="JJ322" s="36"/>
      <c r="JK322" s="36"/>
      <c r="JL322" s="37"/>
      <c r="JM322" s="44"/>
      <c r="JN322" s="36"/>
      <c r="JO322" s="36"/>
      <c r="JP322" s="36"/>
      <c r="JQ322" s="36"/>
      <c r="JR322" s="36"/>
      <c r="JS322" s="36"/>
      <c r="JT322" s="36"/>
      <c r="JU322" s="36"/>
      <c r="JV322" s="36"/>
      <c r="JW322" s="36"/>
      <c r="JX322" s="36"/>
      <c r="JY322" s="36"/>
      <c r="JZ322" s="36"/>
      <c r="KA322" s="36"/>
      <c r="KB322" s="36"/>
      <c r="KC322" s="37"/>
      <c r="KD322" s="44"/>
      <c r="KE322" s="36"/>
      <c r="KF322" s="36"/>
      <c r="KG322" s="36"/>
      <c r="KH322" s="36"/>
      <c r="KI322" s="36"/>
      <c r="KJ322" s="36"/>
      <c r="KK322" s="36"/>
      <c r="KL322" s="36"/>
      <c r="KM322" s="36"/>
      <c r="KN322" s="36"/>
      <c r="KO322" s="36"/>
      <c r="KP322" s="36"/>
      <c r="KQ322" s="36"/>
      <c r="KR322" s="36"/>
      <c r="KS322" s="36"/>
      <c r="KT322" s="37"/>
      <c r="KU322" s="36"/>
    </row>
    <row r="323" ht="15.0" customHeight="1">
      <c r="A323" s="44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7"/>
      <c r="R323" s="44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7"/>
      <c r="AI323" s="44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  <c r="AU323" s="36"/>
      <c r="AV323" s="36"/>
      <c r="AW323" s="36"/>
      <c r="AX323" s="36"/>
      <c r="AY323" s="37"/>
      <c r="AZ323" s="44"/>
      <c r="BA323" s="36"/>
      <c r="BB323" s="36"/>
      <c r="BC323" s="36"/>
      <c r="BD323" s="36"/>
      <c r="BE323" s="36"/>
      <c r="BF323" s="36"/>
      <c r="BG323" s="36"/>
      <c r="BH323" s="36"/>
      <c r="BI323" s="36"/>
      <c r="BJ323" s="36"/>
      <c r="BK323" s="36"/>
      <c r="BL323" s="36"/>
      <c r="BM323" s="36"/>
      <c r="BN323" s="36"/>
      <c r="BO323" s="36"/>
      <c r="BP323" s="37"/>
      <c r="BQ323" s="44"/>
      <c r="BR323" s="36"/>
      <c r="BS323" s="36"/>
      <c r="BT323" s="36"/>
      <c r="BU323" s="36"/>
      <c r="BV323" s="36"/>
      <c r="BW323" s="36"/>
      <c r="BX323" s="36"/>
      <c r="BY323" s="36"/>
      <c r="BZ323" s="36"/>
      <c r="CA323" s="36"/>
      <c r="CB323" s="36"/>
      <c r="CC323" s="36"/>
      <c r="CD323" s="36"/>
      <c r="CE323" s="36"/>
      <c r="CF323" s="36"/>
      <c r="CG323" s="37"/>
      <c r="CH323" s="44"/>
      <c r="CI323" s="36"/>
      <c r="CJ323" s="36"/>
      <c r="CK323" s="36"/>
      <c r="CL323" s="36"/>
      <c r="CM323" s="36"/>
      <c r="CN323" s="36"/>
      <c r="CO323" s="36"/>
      <c r="CP323" s="36"/>
      <c r="CQ323" s="36"/>
      <c r="CR323" s="36"/>
      <c r="CS323" s="36"/>
      <c r="CT323" s="36"/>
      <c r="CU323" s="36"/>
      <c r="CV323" s="36"/>
      <c r="CW323" s="36"/>
      <c r="CX323" s="37"/>
      <c r="CY323" s="44"/>
      <c r="CZ323" s="36"/>
      <c r="DA323" s="36"/>
      <c r="DB323" s="36"/>
      <c r="DC323" s="36"/>
      <c r="DD323" s="36"/>
      <c r="DE323" s="36"/>
      <c r="DF323" s="36"/>
      <c r="DG323" s="36"/>
      <c r="DH323" s="36"/>
      <c r="DI323" s="36"/>
      <c r="DJ323" s="36"/>
      <c r="DK323" s="36"/>
      <c r="DL323" s="36"/>
      <c r="DM323" s="36"/>
      <c r="DN323" s="36"/>
      <c r="DO323" s="37"/>
      <c r="DP323" s="44"/>
      <c r="DQ323" s="36"/>
      <c r="DR323" s="36"/>
      <c r="DS323" s="36"/>
      <c r="DT323" s="36"/>
      <c r="DU323" s="36"/>
      <c r="DV323" s="36"/>
      <c r="DW323" s="36"/>
      <c r="DX323" s="36"/>
      <c r="DY323" s="36"/>
      <c r="DZ323" s="36"/>
      <c r="EA323" s="36"/>
      <c r="EB323" s="36"/>
      <c r="EC323" s="36"/>
      <c r="ED323" s="36"/>
      <c r="EE323" s="36"/>
      <c r="EF323" s="37"/>
      <c r="EG323" s="44"/>
      <c r="EH323" s="36"/>
      <c r="EI323" s="36"/>
      <c r="EJ323" s="36"/>
      <c r="EK323" s="36"/>
      <c r="EL323" s="36"/>
      <c r="EM323" s="36"/>
      <c r="EN323" s="36"/>
      <c r="EO323" s="36"/>
      <c r="EP323" s="36"/>
      <c r="EQ323" s="36"/>
      <c r="ER323" s="36"/>
      <c r="ES323" s="36"/>
      <c r="ET323" s="36"/>
      <c r="EU323" s="36"/>
      <c r="EV323" s="36"/>
      <c r="EW323" s="37"/>
      <c r="EX323" s="44"/>
      <c r="EY323" s="36"/>
      <c r="EZ323" s="36"/>
      <c r="FA323" s="36"/>
      <c r="FB323" s="36"/>
      <c r="FC323" s="36"/>
      <c r="FD323" s="36"/>
      <c r="FE323" s="36"/>
      <c r="FF323" s="36"/>
      <c r="FG323" s="36"/>
      <c r="FH323" s="36"/>
      <c r="FI323" s="36"/>
      <c r="FJ323" s="36"/>
      <c r="FK323" s="36"/>
      <c r="FL323" s="36"/>
      <c r="FM323" s="36"/>
      <c r="FN323" s="37"/>
      <c r="FO323" s="44"/>
      <c r="FP323" s="36"/>
      <c r="FQ323" s="36"/>
      <c r="FR323" s="36"/>
      <c r="FS323" s="36"/>
      <c r="FT323" s="36"/>
      <c r="FU323" s="36"/>
      <c r="FV323" s="36"/>
      <c r="FW323" s="36"/>
      <c r="FX323" s="36"/>
      <c r="FY323" s="36"/>
      <c r="FZ323" s="36"/>
      <c r="GA323" s="36"/>
      <c r="GB323" s="36"/>
      <c r="GC323" s="36"/>
      <c r="GD323" s="36"/>
      <c r="GE323" s="37"/>
      <c r="GF323" s="44"/>
      <c r="GG323" s="36"/>
      <c r="GH323" s="36"/>
      <c r="GI323" s="36"/>
      <c r="GJ323" s="36"/>
      <c r="GK323" s="36"/>
      <c r="GL323" s="36"/>
      <c r="GM323" s="36"/>
      <c r="GN323" s="36"/>
      <c r="GO323" s="36"/>
      <c r="GP323" s="36"/>
      <c r="GQ323" s="36"/>
      <c r="GR323" s="36"/>
      <c r="GS323" s="36"/>
      <c r="GT323" s="36"/>
      <c r="GU323" s="36"/>
      <c r="GV323" s="37"/>
      <c r="GW323" s="44"/>
      <c r="GX323" s="36"/>
      <c r="GY323" s="36"/>
      <c r="GZ323" s="36"/>
      <c r="HA323" s="36"/>
      <c r="HB323" s="36"/>
      <c r="HC323" s="36"/>
      <c r="HD323" s="36"/>
      <c r="HE323" s="36"/>
      <c r="HF323" s="36"/>
      <c r="HG323" s="36"/>
      <c r="HH323" s="36"/>
      <c r="HI323" s="36"/>
      <c r="HJ323" s="36"/>
      <c r="HK323" s="36"/>
      <c r="HL323" s="36"/>
      <c r="HM323" s="37"/>
      <c r="HN323" s="44"/>
      <c r="HO323" s="36"/>
      <c r="HP323" s="36"/>
      <c r="HQ323" s="36"/>
      <c r="HR323" s="36"/>
      <c r="HS323" s="36"/>
      <c r="HT323" s="36"/>
      <c r="HU323" s="36"/>
      <c r="HV323" s="36"/>
      <c r="HW323" s="36"/>
      <c r="HX323" s="36"/>
      <c r="HY323" s="36"/>
      <c r="HZ323" s="36"/>
      <c r="IA323" s="36"/>
      <c r="IB323" s="36"/>
      <c r="IC323" s="36"/>
      <c r="ID323" s="37"/>
      <c r="IE323" s="44"/>
      <c r="IF323" s="36"/>
      <c r="IG323" s="36"/>
      <c r="IH323" s="36"/>
      <c r="II323" s="36"/>
      <c r="IJ323" s="36"/>
      <c r="IK323" s="36"/>
      <c r="IL323" s="36"/>
      <c r="IM323" s="36"/>
      <c r="IN323" s="36"/>
      <c r="IO323" s="36"/>
      <c r="IP323" s="36"/>
      <c r="IQ323" s="36"/>
      <c r="IR323" s="36"/>
      <c r="IS323" s="36"/>
      <c r="IT323" s="36"/>
      <c r="IU323" s="37"/>
      <c r="IV323" s="44"/>
      <c r="IW323" s="36"/>
      <c r="IX323" s="36"/>
      <c r="IY323" s="36"/>
      <c r="IZ323" s="36"/>
      <c r="JA323" s="36"/>
      <c r="JB323" s="36"/>
      <c r="JC323" s="36"/>
      <c r="JD323" s="36"/>
      <c r="JE323" s="36"/>
      <c r="JF323" s="36"/>
      <c r="JG323" s="36"/>
      <c r="JH323" s="36"/>
      <c r="JI323" s="36"/>
      <c r="JJ323" s="36"/>
      <c r="JK323" s="36"/>
      <c r="JL323" s="37"/>
      <c r="JM323" s="44"/>
      <c r="JN323" s="36"/>
      <c r="JO323" s="36"/>
      <c r="JP323" s="36"/>
      <c r="JQ323" s="36"/>
      <c r="JR323" s="36"/>
      <c r="JS323" s="36"/>
      <c r="JT323" s="36"/>
      <c r="JU323" s="36"/>
      <c r="JV323" s="36"/>
      <c r="JW323" s="36"/>
      <c r="JX323" s="36"/>
      <c r="JY323" s="36"/>
      <c r="JZ323" s="36"/>
      <c r="KA323" s="36"/>
      <c r="KB323" s="36"/>
      <c r="KC323" s="37"/>
      <c r="KD323" s="44"/>
      <c r="KE323" s="36"/>
      <c r="KF323" s="36"/>
      <c r="KG323" s="36"/>
      <c r="KH323" s="36"/>
      <c r="KI323" s="36"/>
      <c r="KJ323" s="36"/>
      <c r="KK323" s="36"/>
      <c r="KL323" s="36"/>
      <c r="KM323" s="36"/>
      <c r="KN323" s="36"/>
      <c r="KO323" s="36"/>
      <c r="KP323" s="36"/>
      <c r="KQ323" s="36"/>
      <c r="KR323" s="36"/>
      <c r="KS323" s="36"/>
      <c r="KT323" s="37"/>
      <c r="KU323" s="36"/>
    </row>
    <row r="324" ht="15.0" customHeight="1">
      <c r="A324" s="44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7"/>
      <c r="R324" s="44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7"/>
      <c r="AI324" s="44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  <c r="AU324" s="36"/>
      <c r="AV324" s="36"/>
      <c r="AW324" s="36"/>
      <c r="AX324" s="36"/>
      <c r="AY324" s="37"/>
      <c r="AZ324" s="44"/>
      <c r="BA324" s="36"/>
      <c r="BB324" s="36"/>
      <c r="BC324" s="36"/>
      <c r="BD324" s="36"/>
      <c r="BE324" s="36"/>
      <c r="BF324" s="36"/>
      <c r="BG324" s="36"/>
      <c r="BH324" s="36"/>
      <c r="BI324" s="36"/>
      <c r="BJ324" s="36"/>
      <c r="BK324" s="36"/>
      <c r="BL324" s="36"/>
      <c r="BM324" s="36"/>
      <c r="BN324" s="36"/>
      <c r="BO324" s="36"/>
      <c r="BP324" s="37"/>
      <c r="BQ324" s="44"/>
      <c r="BR324" s="36"/>
      <c r="BS324" s="36"/>
      <c r="BT324" s="36"/>
      <c r="BU324" s="36"/>
      <c r="BV324" s="36"/>
      <c r="BW324" s="36"/>
      <c r="BX324" s="36"/>
      <c r="BY324" s="36"/>
      <c r="BZ324" s="36"/>
      <c r="CA324" s="36"/>
      <c r="CB324" s="36"/>
      <c r="CC324" s="36"/>
      <c r="CD324" s="36"/>
      <c r="CE324" s="36"/>
      <c r="CF324" s="36"/>
      <c r="CG324" s="37"/>
      <c r="CH324" s="44"/>
      <c r="CI324" s="36"/>
      <c r="CJ324" s="36"/>
      <c r="CK324" s="36"/>
      <c r="CL324" s="36"/>
      <c r="CM324" s="36"/>
      <c r="CN324" s="36"/>
      <c r="CO324" s="36"/>
      <c r="CP324" s="36"/>
      <c r="CQ324" s="36"/>
      <c r="CR324" s="36"/>
      <c r="CS324" s="36"/>
      <c r="CT324" s="36"/>
      <c r="CU324" s="36"/>
      <c r="CV324" s="36"/>
      <c r="CW324" s="36"/>
      <c r="CX324" s="37"/>
      <c r="CY324" s="44"/>
      <c r="CZ324" s="36"/>
      <c r="DA324" s="36"/>
      <c r="DB324" s="36"/>
      <c r="DC324" s="36"/>
      <c r="DD324" s="36"/>
      <c r="DE324" s="36"/>
      <c r="DF324" s="36"/>
      <c r="DG324" s="36"/>
      <c r="DH324" s="36"/>
      <c r="DI324" s="36"/>
      <c r="DJ324" s="36"/>
      <c r="DK324" s="36"/>
      <c r="DL324" s="36"/>
      <c r="DM324" s="36"/>
      <c r="DN324" s="36"/>
      <c r="DO324" s="37"/>
      <c r="DP324" s="44"/>
      <c r="DQ324" s="36"/>
      <c r="DR324" s="36"/>
      <c r="DS324" s="36"/>
      <c r="DT324" s="36"/>
      <c r="DU324" s="36"/>
      <c r="DV324" s="36"/>
      <c r="DW324" s="36"/>
      <c r="DX324" s="36"/>
      <c r="DY324" s="36"/>
      <c r="DZ324" s="36"/>
      <c r="EA324" s="36"/>
      <c r="EB324" s="36"/>
      <c r="EC324" s="36"/>
      <c r="ED324" s="36"/>
      <c r="EE324" s="36"/>
      <c r="EF324" s="37"/>
      <c r="EG324" s="44"/>
      <c r="EH324" s="36"/>
      <c r="EI324" s="36"/>
      <c r="EJ324" s="36"/>
      <c r="EK324" s="36"/>
      <c r="EL324" s="36"/>
      <c r="EM324" s="36"/>
      <c r="EN324" s="36"/>
      <c r="EO324" s="36"/>
      <c r="EP324" s="36"/>
      <c r="EQ324" s="36"/>
      <c r="ER324" s="36"/>
      <c r="ES324" s="36"/>
      <c r="ET324" s="36"/>
      <c r="EU324" s="36"/>
      <c r="EV324" s="36"/>
      <c r="EW324" s="37"/>
      <c r="EX324" s="44"/>
      <c r="EY324" s="36"/>
      <c r="EZ324" s="36"/>
      <c r="FA324" s="36"/>
      <c r="FB324" s="36"/>
      <c r="FC324" s="36"/>
      <c r="FD324" s="36"/>
      <c r="FE324" s="36"/>
      <c r="FF324" s="36"/>
      <c r="FG324" s="36"/>
      <c r="FH324" s="36"/>
      <c r="FI324" s="36"/>
      <c r="FJ324" s="36"/>
      <c r="FK324" s="36"/>
      <c r="FL324" s="36"/>
      <c r="FM324" s="36"/>
      <c r="FN324" s="37"/>
      <c r="FO324" s="44"/>
      <c r="FP324" s="36"/>
      <c r="FQ324" s="36"/>
      <c r="FR324" s="36"/>
      <c r="FS324" s="36"/>
      <c r="FT324" s="36"/>
      <c r="FU324" s="36"/>
      <c r="FV324" s="36"/>
      <c r="FW324" s="36"/>
      <c r="FX324" s="36"/>
      <c r="FY324" s="36"/>
      <c r="FZ324" s="36"/>
      <c r="GA324" s="36"/>
      <c r="GB324" s="36"/>
      <c r="GC324" s="36"/>
      <c r="GD324" s="36"/>
      <c r="GE324" s="37"/>
      <c r="GF324" s="44"/>
      <c r="GG324" s="36"/>
      <c r="GH324" s="36"/>
      <c r="GI324" s="36"/>
      <c r="GJ324" s="36"/>
      <c r="GK324" s="36"/>
      <c r="GL324" s="36"/>
      <c r="GM324" s="36"/>
      <c r="GN324" s="36"/>
      <c r="GO324" s="36"/>
      <c r="GP324" s="36"/>
      <c r="GQ324" s="36"/>
      <c r="GR324" s="36"/>
      <c r="GS324" s="36"/>
      <c r="GT324" s="36"/>
      <c r="GU324" s="36"/>
      <c r="GV324" s="37"/>
      <c r="GW324" s="44"/>
      <c r="GX324" s="36"/>
      <c r="GY324" s="36"/>
      <c r="GZ324" s="36"/>
      <c r="HA324" s="36"/>
      <c r="HB324" s="36"/>
      <c r="HC324" s="36"/>
      <c r="HD324" s="36"/>
      <c r="HE324" s="36"/>
      <c r="HF324" s="36"/>
      <c r="HG324" s="36"/>
      <c r="HH324" s="36"/>
      <c r="HI324" s="36"/>
      <c r="HJ324" s="36"/>
      <c r="HK324" s="36"/>
      <c r="HL324" s="36"/>
      <c r="HM324" s="37"/>
      <c r="HN324" s="44"/>
      <c r="HO324" s="36"/>
      <c r="HP324" s="36"/>
      <c r="HQ324" s="36"/>
      <c r="HR324" s="36"/>
      <c r="HS324" s="36"/>
      <c r="HT324" s="36"/>
      <c r="HU324" s="36"/>
      <c r="HV324" s="36"/>
      <c r="HW324" s="36"/>
      <c r="HX324" s="36"/>
      <c r="HY324" s="36"/>
      <c r="HZ324" s="36"/>
      <c r="IA324" s="36"/>
      <c r="IB324" s="36"/>
      <c r="IC324" s="36"/>
      <c r="ID324" s="37"/>
      <c r="IE324" s="44"/>
      <c r="IF324" s="36"/>
      <c r="IG324" s="36"/>
      <c r="IH324" s="36"/>
      <c r="II324" s="36"/>
      <c r="IJ324" s="36"/>
      <c r="IK324" s="36"/>
      <c r="IL324" s="36"/>
      <c r="IM324" s="36"/>
      <c r="IN324" s="36"/>
      <c r="IO324" s="36"/>
      <c r="IP324" s="36"/>
      <c r="IQ324" s="36"/>
      <c r="IR324" s="36"/>
      <c r="IS324" s="36"/>
      <c r="IT324" s="36"/>
      <c r="IU324" s="37"/>
      <c r="IV324" s="44"/>
      <c r="IW324" s="36"/>
      <c r="IX324" s="36"/>
      <c r="IY324" s="36"/>
      <c r="IZ324" s="36"/>
      <c r="JA324" s="36"/>
      <c r="JB324" s="36"/>
      <c r="JC324" s="36"/>
      <c r="JD324" s="36"/>
      <c r="JE324" s="36"/>
      <c r="JF324" s="36"/>
      <c r="JG324" s="36"/>
      <c r="JH324" s="36"/>
      <c r="JI324" s="36"/>
      <c r="JJ324" s="36"/>
      <c r="JK324" s="36"/>
      <c r="JL324" s="37"/>
      <c r="JM324" s="44"/>
      <c r="JN324" s="36"/>
      <c r="JO324" s="36"/>
      <c r="JP324" s="36"/>
      <c r="JQ324" s="36"/>
      <c r="JR324" s="36"/>
      <c r="JS324" s="36"/>
      <c r="JT324" s="36"/>
      <c r="JU324" s="36"/>
      <c r="JV324" s="36"/>
      <c r="JW324" s="36"/>
      <c r="JX324" s="36"/>
      <c r="JY324" s="36"/>
      <c r="JZ324" s="36"/>
      <c r="KA324" s="36"/>
      <c r="KB324" s="36"/>
      <c r="KC324" s="37"/>
      <c r="KD324" s="44"/>
      <c r="KE324" s="36"/>
      <c r="KF324" s="36"/>
      <c r="KG324" s="36"/>
      <c r="KH324" s="36"/>
      <c r="KI324" s="36"/>
      <c r="KJ324" s="36"/>
      <c r="KK324" s="36"/>
      <c r="KL324" s="36"/>
      <c r="KM324" s="36"/>
      <c r="KN324" s="36"/>
      <c r="KO324" s="36"/>
      <c r="KP324" s="36"/>
      <c r="KQ324" s="36"/>
      <c r="KR324" s="36"/>
      <c r="KS324" s="36"/>
      <c r="KT324" s="37"/>
      <c r="KU324" s="36"/>
    </row>
    <row r="325" ht="15.0" customHeight="1">
      <c r="A325" s="44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7"/>
      <c r="R325" s="44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7"/>
      <c r="AI325" s="44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36"/>
      <c r="AU325" s="36"/>
      <c r="AV325" s="36"/>
      <c r="AW325" s="36"/>
      <c r="AX325" s="36"/>
      <c r="AY325" s="37"/>
      <c r="AZ325" s="44"/>
      <c r="BA325" s="36"/>
      <c r="BB325" s="36"/>
      <c r="BC325" s="36"/>
      <c r="BD325" s="36"/>
      <c r="BE325" s="36"/>
      <c r="BF325" s="36"/>
      <c r="BG325" s="36"/>
      <c r="BH325" s="36"/>
      <c r="BI325" s="36"/>
      <c r="BJ325" s="36"/>
      <c r="BK325" s="36"/>
      <c r="BL325" s="36"/>
      <c r="BM325" s="36"/>
      <c r="BN325" s="36"/>
      <c r="BO325" s="36"/>
      <c r="BP325" s="37"/>
      <c r="BQ325" s="44"/>
      <c r="BR325" s="36"/>
      <c r="BS325" s="36"/>
      <c r="BT325" s="36"/>
      <c r="BU325" s="36"/>
      <c r="BV325" s="36"/>
      <c r="BW325" s="36"/>
      <c r="BX325" s="36"/>
      <c r="BY325" s="36"/>
      <c r="BZ325" s="36"/>
      <c r="CA325" s="36"/>
      <c r="CB325" s="36"/>
      <c r="CC325" s="36"/>
      <c r="CD325" s="36"/>
      <c r="CE325" s="36"/>
      <c r="CF325" s="36"/>
      <c r="CG325" s="37"/>
      <c r="CH325" s="44"/>
      <c r="CI325" s="36"/>
      <c r="CJ325" s="36"/>
      <c r="CK325" s="36"/>
      <c r="CL325" s="36"/>
      <c r="CM325" s="36"/>
      <c r="CN325" s="36"/>
      <c r="CO325" s="36"/>
      <c r="CP325" s="36"/>
      <c r="CQ325" s="36"/>
      <c r="CR325" s="36"/>
      <c r="CS325" s="36"/>
      <c r="CT325" s="36"/>
      <c r="CU325" s="36"/>
      <c r="CV325" s="36"/>
      <c r="CW325" s="36"/>
      <c r="CX325" s="37"/>
      <c r="CY325" s="44"/>
      <c r="CZ325" s="36"/>
      <c r="DA325" s="36"/>
      <c r="DB325" s="36"/>
      <c r="DC325" s="36"/>
      <c r="DD325" s="36"/>
      <c r="DE325" s="36"/>
      <c r="DF325" s="36"/>
      <c r="DG325" s="36"/>
      <c r="DH325" s="36"/>
      <c r="DI325" s="36"/>
      <c r="DJ325" s="36"/>
      <c r="DK325" s="36"/>
      <c r="DL325" s="36"/>
      <c r="DM325" s="36"/>
      <c r="DN325" s="36"/>
      <c r="DO325" s="37"/>
      <c r="DP325" s="44"/>
      <c r="DQ325" s="36"/>
      <c r="DR325" s="36"/>
      <c r="DS325" s="36"/>
      <c r="DT325" s="36"/>
      <c r="DU325" s="36"/>
      <c r="DV325" s="36"/>
      <c r="DW325" s="36"/>
      <c r="DX325" s="36"/>
      <c r="DY325" s="36"/>
      <c r="DZ325" s="36"/>
      <c r="EA325" s="36"/>
      <c r="EB325" s="36"/>
      <c r="EC325" s="36"/>
      <c r="ED325" s="36"/>
      <c r="EE325" s="36"/>
      <c r="EF325" s="37"/>
      <c r="EG325" s="44"/>
      <c r="EH325" s="36"/>
      <c r="EI325" s="36"/>
      <c r="EJ325" s="36"/>
      <c r="EK325" s="36"/>
      <c r="EL325" s="36"/>
      <c r="EM325" s="36"/>
      <c r="EN325" s="36"/>
      <c r="EO325" s="36"/>
      <c r="EP325" s="36"/>
      <c r="EQ325" s="36"/>
      <c r="ER325" s="36"/>
      <c r="ES325" s="36"/>
      <c r="ET325" s="36"/>
      <c r="EU325" s="36"/>
      <c r="EV325" s="36"/>
      <c r="EW325" s="37"/>
      <c r="EX325" s="44"/>
      <c r="EY325" s="36"/>
      <c r="EZ325" s="36"/>
      <c r="FA325" s="36"/>
      <c r="FB325" s="36"/>
      <c r="FC325" s="36"/>
      <c r="FD325" s="36"/>
      <c r="FE325" s="36"/>
      <c r="FF325" s="36"/>
      <c r="FG325" s="36"/>
      <c r="FH325" s="36"/>
      <c r="FI325" s="36"/>
      <c r="FJ325" s="36"/>
      <c r="FK325" s="36"/>
      <c r="FL325" s="36"/>
      <c r="FM325" s="36"/>
      <c r="FN325" s="37"/>
      <c r="FO325" s="44"/>
      <c r="FP325" s="36"/>
      <c r="FQ325" s="36"/>
      <c r="FR325" s="36"/>
      <c r="FS325" s="36"/>
      <c r="FT325" s="36"/>
      <c r="FU325" s="36"/>
      <c r="FV325" s="36"/>
      <c r="FW325" s="36"/>
      <c r="FX325" s="36"/>
      <c r="FY325" s="36"/>
      <c r="FZ325" s="36"/>
      <c r="GA325" s="36"/>
      <c r="GB325" s="36"/>
      <c r="GC325" s="36"/>
      <c r="GD325" s="36"/>
      <c r="GE325" s="37"/>
      <c r="GF325" s="44"/>
      <c r="GG325" s="36"/>
      <c r="GH325" s="36"/>
      <c r="GI325" s="36"/>
      <c r="GJ325" s="36"/>
      <c r="GK325" s="36"/>
      <c r="GL325" s="36"/>
      <c r="GM325" s="36"/>
      <c r="GN325" s="36"/>
      <c r="GO325" s="36"/>
      <c r="GP325" s="36"/>
      <c r="GQ325" s="36"/>
      <c r="GR325" s="36"/>
      <c r="GS325" s="36"/>
      <c r="GT325" s="36"/>
      <c r="GU325" s="36"/>
      <c r="GV325" s="37"/>
      <c r="GW325" s="44"/>
      <c r="GX325" s="36"/>
      <c r="GY325" s="36"/>
      <c r="GZ325" s="36"/>
      <c r="HA325" s="36"/>
      <c r="HB325" s="36"/>
      <c r="HC325" s="36"/>
      <c r="HD325" s="36"/>
      <c r="HE325" s="36"/>
      <c r="HF325" s="36"/>
      <c r="HG325" s="36"/>
      <c r="HH325" s="36"/>
      <c r="HI325" s="36"/>
      <c r="HJ325" s="36"/>
      <c r="HK325" s="36"/>
      <c r="HL325" s="36"/>
      <c r="HM325" s="37"/>
      <c r="HN325" s="44"/>
      <c r="HO325" s="36"/>
      <c r="HP325" s="36"/>
      <c r="HQ325" s="36"/>
      <c r="HR325" s="36"/>
      <c r="HS325" s="36"/>
      <c r="HT325" s="36"/>
      <c r="HU325" s="36"/>
      <c r="HV325" s="36"/>
      <c r="HW325" s="36"/>
      <c r="HX325" s="36"/>
      <c r="HY325" s="36"/>
      <c r="HZ325" s="36"/>
      <c r="IA325" s="36"/>
      <c r="IB325" s="36"/>
      <c r="IC325" s="36"/>
      <c r="ID325" s="37"/>
      <c r="IE325" s="44"/>
      <c r="IF325" s="36"/>
      <c r="IG325" s="36"/>
      <c r="IH325" s="36"/>
      <c r="II325" s="36"/>
      <c r="IJ325" s="36"/>
      <c r="IK325" s="36"/>
      <c r="IL325" s="36"/>
      <c r="IM325" s="36"/>
      <c r="IN325" s="36"/>
      <c r="IO325" s="36"/>
      <c r="IP325" s="36"/>
      <c r="IQ325" s="36"/>
      <c r="IR325" s="36"/>
      <c r="IS325" s="36"/>
      <c r="IT325" s="36"/>
      <c r="IU325" s="37"/>
      <c r="IV325" s="44"/>
      <c r="IW325" s="36"/>
      <c r="IX325" s="36"/>
      <c r="IY325" s="36"/>
      <c r="IZ325" s="36"/>
      <c r="JA325" s="36"/>
      <c r="JB325" s="36"/>
      <c r="JC325" s="36"/>
      <c r="JD325" s="36"/>
      <c r="JE325" s="36"/>
      <c r="JF325" s="36"/>
      <c r="JG325" s="36"/>
      <c r="JH325" s="36"/>
      <c r="JI325" s="36"/>
      <c r="JJ325" s="36"/>
      <c r="JK325" s="36"/>
      <c r="JL325" s="37"/>
      <c r="JM325" s="44"/>
      <c r="JN325" s="36"/>
      <c r="JO325" s="36"/>
      <c r="JP325" s="36"/>
      <c r="JQ325" s="36"/>
      <c r="JR325" s="36"/>
      <c r="JS325" s="36"/>
      <c r="JT325" s="36"/>
      <c r="JU325" s="36"/>
      <c r="JV325" s="36"/>
      <c r="JW325" s="36"/>
      <c r="JX325" s="36"/>
      <c r="JY325" s="36"/>
      <c r="JZ325" s="36"/>
      <c r="KA325" s="36"/>
      <c r="KB325" s="36"/>
      <c r="KC325" s="37"/>
      <c r="KD325" s="44"/>
      <c r="KE325" s="36"/>
      <c r="KF325" s="36"/>
      <c r="KG325" s="36"/>
      <c r="KH325" s="36"/>
      <c r="KI325" s="36"/>
      <c r="KJ325" s="36"/>
      <c r="KK325" s="36"/>
      <c r="KL325" s="36"/>
      <c r="KM325" s="36"/>
      <c r="KN325" s="36"/>
      <c r="KO325" s="36"/>
      <c r="KP325" s="36"/>
      <c r="KQ325" s="36"/>
      <c r="KR325" s="36"/>
      <c r="KS325" s="36"/>
      <c r="KT325" s="37"/>
      <c r="KU325" s="36"/>
    </row>
    <row r="326" ht="15.0" customHeight="1">
      <c r="A326" s="44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7"/>
      <c r="R326" s="44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7"/>
      <c r="AI326" s="44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  <c r="AU326" s="36"/>
      <c r="AV326" s="36"/>
      <c r="AW326" s="36"/>
      <c r="AX326" s="36"/>
      <c r="AY326" s="37"/>
      <c r="AZ326" s="44"/>
      <c r="BA326" s="36"/>
      <c r="BB326" s="36"/>
      <c r="BC326" s="36"/>
      <c r="BD326" s="36"/>
      <c r="BE326" s="36"/>
      <c r="BF326" s="36"/>
      <c r="BG326" s="36"/>
      <c r="BH326" s="36"/>
      <c r="BI326" s="36"/>
      <c r="BJ326" s="36"/>
      <c r="BK326" s="36"/>
      <c r="BL326" s="36"/>
      <c r="BM326" s="36"/>
      <c r="BN326" s="36"/>
      <c r="BO326" s="36"/>
      <c r="BP326" s="37"/>
      <c r="BQ326" s="44"/>
      <c r="BR326" s="36"/>
      <c r="BS326" s="36"/>
      <c r="BT326" s="36"/>
      <c r="BU326" s="36"/>
      <c r="BV326" s="36"/>
      <c r="BW326" s="36"/>
      <c r="BX326" s="36"/>
      <c r="BY326" s="36"/>
      <c r="BZ326" s="36"/>
      <c r="CA326" s="36"/>
      <c r="CB326" s="36"/>
      <c r="CC326" s="36"/>
      <c r="CD326" s="36"/>
      <c r="CE326" s="36"/>
      <c r="CF326" s="36"/>
      <c r="CG326" s="37"/>
      <c r="CH326" s="44"/>
      <c r="CI326" s="36"/>
      <c r="CJ326" s="36"/>
      <c r="CK326" s="36"/>
      <c r="CL326" s="36"/>
      <c r="CM326" s="36"/>
      <c r="CN326" s="36"/>
      <c r="CO326" s="36"/>
      <c r="CP326" s="36"/>
      <c r="CQ326" s="36"/>
      <c r="CR326" s="36"/>
      <c r="CS326" s="36"/>
      <c r="CT326" s="36"/>
      <c r="CU326" s="36"/>
      <c r="CV326" s="36"/>
      <c r="CW326" s="36"/>
      <c r="CX326" s="37"/>
      <c r="CY326" s="44"/>
      <c r="CZ326" s="36"/>
      <c r="DA326" s="36"/>
      <c r="DB326" s="36"/>
      <c r="DC326" s="36"/>
      <c r="DD326" s="36"/>
      <c r="DE326" s="36"/>
      <c r="DF326" s="36"/>
      <c r="DG326" s="36"/>
      <c r="DH326" s="36"/>
      <c r="DI326" s="36"/>
      <c r="DJ326" s="36"/>
      <c r="DK326" s="36"/>
      <c r="DL326" s="36"/>
      <c r="DM326" s="36"/>
      <c r="DN326" s="36"/>
      <c r="DO326" s="37"/>
      <c r="DP326" s="44"/>
      <c r="DQ326" s="36"/>
      <c r="DR326" s="36"/>
      <c r="DS326" s="36"/>
      <c r="DT326" s="36"/>
      <c r="DU326" s="36"/>
      <c r="DV326" s="36"/>
      <c r="DW326" s="36"/>
      <c r="DX326" s="36"/>
      <c r="DY326" s="36"/>
      <c r="DZ326" s="36"/>
      <c r="EA326" s="36"/>
      <c r="EB326" s="36"/>
      <c r="EC326" s="36"/>
      <c r="ED326" s="36"/>
      <c r="EE326" s="36"/>
      <c r="EF326" s="37"/>
      <c r="EG326" s="44"/>
      <c r="EH326" s="36"/>
      <c r="EI326" s="36"/>
      <c r="EJ326" s="36"/>
      <c r="EK326" s="36"/>
      <c r="EL326" s="36"/>
      <c r="EM326" s="36"/>
      <c r="EN326" s="36"/>
      <c r="EO326" s="36"/>
      <c r="EP326" s="36"/>
      <c r="EQ326" s="36"/>
      <c r="ER326" s="36"/>
      <c r="ES326" s="36"/>
      <c r="ET326" s="36"/>
      <c r="EU326" s="36"/>
      <c r="EV326" s="36"/>
      <c r="EW326" s="37"/>
      <c r="EX326" s="44"/>
      <c r="EY326" s="36"/>
      <c r="EZ326" s="36"/>
      <c r="FA326" s="36"/>
      <c r="FB326" s="36"/>
      <c r="FC326" s="36"/>
      <c r="FD326" s="36"/>
      <c r="FE326" s="36"/>
      <c r="FF326" s="36"/>
      <c r="FG326" s="36"/>
      <c r="FH326" s="36"/>
      <c r="FI326" s="36"/>
      <c r="FJ326" s="36"/>
      <c r="FK326" s="36"/>
      <c r="FL326" s="36"/>
      <c r="FM326" s="36"/>
      <c r="FN326" s="37"/>
      <c r="FO326" s="44"/>
      <c r="FP326" s="36"/>
      <c r="FQ326" s="36"/>
      <c r="FR326" s="36"/>
      <c r="FS326" s="36"/>
      <c r="FT326" s="36"/>
      <c r="FU326" s="36"/>
      <c r="FV326" s="36"/>
      <c r="FW326" s="36"/>
      <c r="FX326" s="36"/>
      <c r="FY326" s="36"/>
      <c r="FZ326" s="36"/>
      <c r="GA326" s="36"/>
      <c r="GB326" s="36"/>
      <c r="GC326" s="36"/>
      <c r="GD326" s="36"/>
      <c r="GE326" s="37"/>
      <c r="GF326" s="44"/>
      <c r="GG326" s="36"/>
      <c r="GH326" s="36"/>
      <c r="GI326" s="36"/>
      <c r="GJ326" s="36"/>
      <c r="GK326" s="36"/>
      <c r="GL326" s="36"/>
      <c r="GM326" s="36"/>
      <c r="GN326" s="36"/>
      <c r="GO326" s="36"/>
      <c r="GP326" s="36"/>
      <c r="GQ326" s="36"/>
      <c r="GR326" s="36"/>
      <c r="GS326" s="36"/>
      <c r="GT326" s="36"/>
      <c r="GU326" s="36"/>
      <c r="GV326" s="37"/>
      <c r="GW326" s="44"/>
      <c r="GX326" s="36"/>
      <c r="GY326" s="36"/>
      <c r="GZ326" s="36"/>
      <c r="HA326" s="36"/>
      <c r="HB326" s="36"/>
      <c r="HC326" s="36"/>
      <c r="HD326" s="36"/>
      <c r="HE326" s="36"/>
      <c r="HF326" s="36"/>
      <c r="HG326" s="36"/>
      <c r="HH326" s="36"/>
      <c r="HI326" s="36"/>
      <c r="HJ326" s="36"/>
      <c r="HK326" s="36"/>
      <c r="HL326" s="36"/>
      <c r="HM326" s="37"/>
      <c r="HN326" s="44"/>
      <c r="HO326" s="36"/>
      <c r="HP326" s="36"/>
      <c r="HQ326" s="36"/>
      <c r="HR326" s="36"/>
      <c r="HS326" s="36"/>
      <c r="HT326" s="36"/>
      <c r="HU326" s="36"/>
      <c r="HV326" s="36"/>
      <c r="HW326" s="36"/>
      <c r="HX326" s="36"/>
      <c r="HY326" s="36"/>
      <c r="HZ326" s="36"/>
      <c r="IA326" s="36"/>
      <c r="IB326" s="36"/>
      <c r="IC326" s="36"/>
      <c r="ID326" s="37"/>
      <c r="IE326" s="44"/>
      <c r="IF326" s="36"/>
      <c r="IG326" s="36"/>
      <c r="IH326" s="36"/>
      <c r="II326" s="36"/>
      <c r="IJ326" s="36"/>
      <c r="IK326" s="36"/>
      <c r="IL326" s="36"/>
      <c r="IM326" s="36"/>
      <c r="IN326" s="36"/>
      <c r="IO326" s="36"/>
      <c r="IP326" s="36"/>
      <c r="IQ326" s="36"/>
      <c r="IR326" s="36"/>
      <c r="IS326" s="36"/>
      <c r="IT326" s="36"/>
      <c r="IU326" s="37"/>
      <c r="IV326" s="44"/>
      <c r="IW326" s="36"/>
      <c r="IX326" s="36"/>
      <c r="IY326" s="36"/>
      <c r="IZ326" s="36"/>
      <c r="JA326" s="36"/>
      <c r="JB326" s="36"/>
      <c r="JC326" s="36"/>
      <c r="JD326" s="36"/>
      <c r="JE326" s="36"/>
      <c r="JF326" s="36"/>
      <c r="JG326" s="36"/>
      <c r="JH326" s="36"/>
      <c r="JI326" s="36"/>
      <c r="JJ326" s="36"/>
      <c r="JK326" s="36"/>
      <c r="JL326" s="37"/>
      <c r="JM326" s="44"/>
      <c r="JN326" s="36"/>
      <c r="JO326" s="36"/>
      <c r="JP326" s="36"/>
      <c r="JQ326" s="36"/>
      <c r="JR326" s="36"/>
      <c r="JS326" s="36"/>
      <c r="JT326" s="36"/>
      <c r="JU326" s="36"/>
      <c r="JV326" s="36"/>
      <c r="JW326" s="36"/>
      <c r="JX326" s="36"/>
      <c r="JY326" s="36"/>
      <c r="JZ326" s="36"/>
      <c r="KA326" s="36"/>
      <c r="KB326" s="36"/>
      <c r="KC326" s="37"/>
      <c r="KD326" s="44"/>
      <c r="KE326" s="36"/>
      <c r="KF326" s="36"/>
      <c r="KG326" s="36"/>
      <c r="KH326" s="36"/>
      <c r="KI326" s="36"/>
      <c r="KJ326" s="36"/>
      <c r="KK326" s="36"/>
      <c r="KL326" s="36"/>
      <c r="KM326" s="36"/>
      <c r="KN326" s="36"/>
      <c r="KO326" s="36"/>
      <c r="KP326" s="36"/>
      <c r="KQ326" s="36"/>
      <c r="KR326" s="36"/>
      <c r="KS326" s="36"/>
      <c r="KT326" s="37"/>
      <c r="KU326" s="36"/>
    </row>
    <row r="327" ht="15.0" customHeight="1">
      <c r="A327" s="44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7"/>
      <c r="R327" s="44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7"/>
      <c r="AI327" s="44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36"/>
      <c r="AU327" s="36"/>
      <c r="AV327" s="36"/>
      <c r="AW327" s="36"/>
      <c r="AX327" s="36"/>
      <c r="AY327" s="37"/>
      <c r="AZ327" s="44"/>
      <c r="BA327" s="36"/>
      <c r="BB327" s="36"/>
      <c r="BC327" s="36"/>
      <c r="BD327" s="36"/>
      <c r="BE327" s="36"/>
      <c r="BF327" s="36"/>
      <c r="BG327" s="36"/>
      <c r="BH327" s="36"/>
      <c r="BI327" s="36"/>
      <c r="BJ327" s="36"/>
      <c r="BK327" s="36"/>
      <c r="BL327" s="36"/>
      <c r="BM327" s="36"/>
      <c r="BN327" s="36"/>
      <c r="BO327" s="36"/>
      <c r="BP327" s="37"/>
      <c r="BQ327" s="44"/>
      <c r="BR327" s="36"/>
      <c r="BS327" s="36"/>
      <c r="BT327" s="36"/>
      <c r="BU327" s="36"/>
      <c r="BV327" s="36"/>
      <c r="BW327" s="36"/>
      <c r="BX327" s="36"/>
      <c r="BY327" s="36"/>
      <c r="BZ327" s="36"/>
      <c r="CA327" s="36"/>
      <c r="CB327" s="36"/>
      <c r="CC327" s="36"/>
      <c r="CD327" s="36"/>
      <c r="CE327" s="36"/>
      <c r="CF327" s="36"/>
      <c r="CG327" s="37"/>
      <c r="CH327" s="44"/>
      <c r="CI327" s="36"/>
      <c r="CJ327" s="36"/>
      <c r="CK327" s="36"/>
      <c r="CL327" s="36"/>
      <c r="CM327" s="36"/>
      <c r="CN327" s="36"/>
      <c r="CO327" s="36"/>
      <c r="CP327" s="36"/>
      <c r="CQ327" s="36"/>
      <c r="CR327" s="36"/>
      <c r="CS327" s="36"/>
      <c r="CT327" s="36"/>
      <c r="CU327" s="36"/>
      <c r="CV327" s="36"/>
      <c r="CW327" s="36"/>
      <c r="CX327" s="37"/>
      <c r="CY327" s="44"/>
      <c r="CZ327" s="36"/>
      <c r="DA327" s="36"/>
      <c r="DB327" s="36"/>
      <c r="DC327" s="36"/>
      <c r="DD327" s="36"/>
      <c r="DE327" s="36"/>
      <c r="DF327" s="36"/>
      <c r="DG327" s="36"/>
      <c r="DH327" s="36"/>
      <c r="DI327" s="36"/>
      <c r="DJ327" s="36"/>
      <c r="DK327" s="36"/>
      <c r="DL327" s="36"/>
      <c r="DM327" s="36"/>
      <c r="DN327" s="36"/>
      <c r="DO327" s="37"/>
      <c r="DP327" s="44"/>
      <c r="DQ327" s="36"/>
      <c r="DR327" s="36"/>
      <c r="DS327" s="36"/>
      <c r="DT327" s="36"/>
      <c r="DU327" s="36"/>
      <c r="DV327" s="36"/>
      <c r="DW327" s="36"/>
      <c r="DX327" s="36"/>
      <c r="DY327" s="36"/>
      <c r="DZ327" s="36"/>
      <c r="EA327" s="36"/>
      <c r="EB327" s="36"/>
      <c r="EC327" s="36"/>
      <c r="ED327" s="36"/>
      <c r="EE327" s="36"/>
      <c r="EF327" s="37"/>
      <c r="EG327" s="44"/>
      <c r="EH327" s="36"/>
      <c r="EI327" s="36"/>
      <c r="EJ327" s="36"/>
      <c r="EK327" s="36"/>
      <c r="EL327" s="36"/>
      <c r="EM327" s="36"/>
      <c r="EN327" s="36"/>
      <c r="EO327" s="36"/>
      <c r="EP327" s="36"/>
      <c r="EQ327" s="36"/>
      <c r="ER327" s="36"/>
      <c r="ES327" s="36"/>
      <c r="ET327" s="36"/>
      <c r="EU327" s="36"/>
      <c r="EV327" s="36"/>
      <c r="EW327" s="37"/>
      <c r="EX327" s="44"/>
      <c r="EY327" s="36"/>
      <c r="EZ327" s="36"/>
      <c r="FA327" s="36"/>
      <c r="FB327" s="36"/>
      <c r="FC327" s="36"/>
      <c r="FD327" s="36"/>
      <c r="FE327" s="36"/>
      <c r="FF327" s="36"/>
      <c r="FG327" s="36"/>
      <c r="FH327" s="36"/>
      <c r="FI327" s="36"/>
      <c r="FJ327" s="36"/>
      <c r="FK327" s="36"/>
      <c r="FL327" s="36"/>
      <c r="FM327" s="36"/>
      <c r="FN327" s="37"/>
      <c r="FO327" s="44"/>
      <c r="FP327" s="36"/>
      <c r="FQ327" s="36"/>
      <c r="FR327" s="36"/>
      <c r="FS327" s="36"/>
      <c r="FT327" s="36"/>
      <c r="FU327" s="36"/>
      <c r="FV327" s="36"/>
      <c r="FW327" s="36"/>
      <c r="FX327" s="36"/>
      <c r="FY327" s="36"/>
      <c r="FZ327" s="36"/>
      <c r="GA327" s="36"/>
      <c r="GB327" s="36"/>
      <c r="GC327" s="36"/>
      <c r="GD327" s="36"/>
      <c r="GE327" s="37"/>
      <c r="GF327" s="44"/>
      <c r="GG327" s="36"/>
      <c r="GH327" s="36"/>
      <c r="GI327" s="36"/>
      <c r="GJ327" s="36"/>
      <c r="GK327" s="36"/>
      <c r="GL327" s="36"/>
      <c r="GM327" s="36"/>
      <c r="GN327" s="36"/>
      <c r="GO327" s="36"/>
      <c r="GP327" s="36"/>
      <c r="GQ327" s="36"/>
      <c r="GR327" s="36"/>
      <c r="GS327" s="36"/>
      <c r="GT327" s="36"/>
      <c r="GU327" s="36"/>
      <c r="GV327" s="37"/>
      <c r="GW327" s="44"/>
      <c r="GX327" s="36"/>
      <c r="GY327" s="36"/>
      <c r="GZ327" s="36"/>
      <c r="HA327" s="36"/>
      <c r="HB327" s="36"/>
      <c r="HC327" s="36"/>
      <c r="HD327" s="36"/>
      <c r="HE327" s="36"/>
      <c r="HF327" s="36"/>
      <c r="HG327" s="36"/>
      <c r="HH327" s="36"/>
      <c r="HI327" s="36"/>
      <c r="HJ327" s="36"/>
      <c r="HK327" s="36"/>
      <c r="HL327" s="36"/>
      <c r="HM327" s="37"/>
      <c r="HN327" s="44"/>
      <c r="HO327" s="36"/>
      <c r="HP327" s="36"/>
      <c r="HQ327" s="36"/>
      <c r="HR327" s="36"/>
      <c r="HS327" s="36"/>
      <c r="HT327" s="36"/>
      <c r="HU327" s="36"/>
      <c r="HV327" s="36"/>
      <c r="HW327" s="36"/>
      <c r="HX327" s="36"/>
      <c r="HY327" s="36"/>
      <c r="HZ327" s="36"/>
      <c r="IA327" s="36"/>
      <c r="IB327" s="36"/>
      <c r="IC327" s="36"/>
      <c r="ID327" s="37"/>
      <c r="IE327" s="44"/>
      <c r="IF327" s="36"/>
      <c r="IG327" s="36"/>
      <c r="IH327" s="36"/>
      <c r="II327" s="36"/>
      <c r="IJ327" s="36"/>
      <c r="IK327" s="36"/>
      <c r="IL327" s="36"/>
      <c r="IM327" s="36"/>
      <c r="IN327" s="36"/>
      <c r="IO327" s="36"/>
      <c r="IP327" s="36"/>
      <c r="IQ327" s="36"/>
      <c r="IR327" s="36"/>
      <c r="IS327" s="36"/>
      <c r="IT327" s="36"/>
      <c r="IU327" s="37"/>
      <c r="IV327" s="44"/>
      <c r="IW327" s="36"/>
      <c r="IX327" s="36"/>
      <c r="IY327" s="36"/>
      <c r="IZ327" s="36"/>
      <c r="JA327" s="36"/>
      <c r="JB327" s="36"/>
      <c r="JC327" s="36"/>
      <c r="JD327" s="36"/>
      <c r="JE327" s="36"/>
      <c r="JF327" s="36"/>
      <c r="JG327" s="36"/>
      <c r="JH327" s="36"/>
      <c r="JI327" s="36"/>
      <c r="JJ327" s="36"/>
      <c r="JK327" s="36"/>
      <c r="JL327" s="37"/>
      <c r="JM327" s="44"/>
      <c r="JN327" s="36"/>
      <c r="JO327" s="36"/>
      <c r="JP327" s="36"/>
      <c r="JQ327" s="36"/>
      <c r="JR327" s="36"/>
      <c r="JS327" s="36"/>
      <c r="JT327" s="36"/>
      <c r="JU327" s="36"/>
      <c r="JV327" s="36"/>
      <c r="JW327" s="36"/>
      <c r="JX327" s="36"/>
      <c r="JY327" s="36"/>
      <c r="JZ327" s="36"/>
      <c r="KA327" s="36"/>
      <c r="KB327" s="36"/>
      <c r="KC327" s="37"/>
      <c r="KD327" s="44"/>
      <c r="KE327" s="36"/>
      <c r="KF327" s="36"/>
      <c r="KG327" s="36"/>
      <c r="KH327" s="36"/>
      <c r="KI327" s="36"/>
      <c r="KJ327" s="36"/>
      <c r="KK327" s="36"/>
      <c r="KL327" s="36"/>
      <c r="KM327" s="36"/>
      <c r="KN327" s="36"/>
      <c r="KO327" s="36"/>
      <c r="KP327" s="36"/>
      <c r="KQ327" s="36"/>
      <c r="KR327" s="36"/>
      <c r="KS327" s="36"/>
      <c r="KT327" s="37"/>
      <c r="KU327" s="36"/>
    </row>
    <row r="328" ht="15.0" customHeight="1">
      <c r="A328" s="44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7"/>
      <c r="R328" s="44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7"/>
      <c r="AI328" s="44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  <c r="AU328" s="36"/>
      <c r="AV328" s="36"/>
      <c r="AW328" s="36"/>
      <c r="AX328" s="36"/>
      <c r="AY328" s="37"/>
      <c r="AZ328" s="44"/>
      <c r="BA328" s="36"/>
      <c r="BB328" s="36"/>
      <c r="BC328" s="36"/>
      <c r="BD328" s="36"/>
      <c r="BE328" s="36"/>
      <c r="BF328" s="36"/>
      <c r="BG328" s="36"/>
      <c r="BH328" s="36"/>
      <c r="BI328" s="36"/>
      <c r="BJ328" s="36"/>
      <c r="BK328" s="36"/>
      <c r="BL328" s="36"/>
      <c r="BM328" s="36"/>
      <c r="BN328" s="36"/>
      <c r="BO328" s="36"/>
      <c r="BP328" s="37"/>
      <c r="BQ328" s="44"/>
      <c r="BR328" s="36"/>
      <c r="BS328" s="36"/>
      <c r="BT328" s="36"/>
      <c r="BU328" s="36"/>
      <c r="BV328" s="36"/>
      <c r="BW328" s="36"/>
      <c r="BX328" s="36"/>
      <c r="BY328" s="36"/>
      <c r="BZ328" s="36"/>
      <c r="CA328" s="36"/>
      <c r="CB328" s="36"/>
      <c r="CC328" s="36"/>
      <c r="CD328" s="36"/>
      <c r="CE328" s="36"/>
      <c r="CF328" s="36"/>
      <c r="CG328" s="37"/>
      <c r="CH328" s="44"/>
      <c r="CI328" s="36"/>
      <c r="CJ328" s="36"/>
      <c r="CK328" s="36"/>
      <c r="CL328" s="36"/>
      <c r="CM328" s="36"/>
      <c r="CN328" s="36"/>
      <c r="CO328" s="36"/>
      <c r="CP328" s="36"/>
      <c r="CQ328" s="36"/>
      <c r="CR328" s="36"/>
      <c r="CS328" s="36"/>
      <c r="CT328" s="36"/>
      <c r="CU328" s="36"/>
      <c r="CV328" s="36"/>
      <c r="CW328" s="36"/>
      <c r="CX328" s="37"/>
      <c r="CY328" s="44"/>
      <c r="CZ328" s="36"/>
      <c r="DA328" s="36"/>
      <c r="DB328" s="36"/>
      <c r="DC328" s="36"/>
      <c r="DD328" s="36"/>
      <c r="DE328" s="36"/>
      <c r="DF328" s="36"/>
      <c r="DG328" s="36"/>
      <c r="DH328" s="36"/>
      <c r="DI328" s="36"/>
      <c r="DJ328" s="36"/>
      <c r="DK328" s="36"/>
      <c r="DL328" s="36"/>
      <c r="DM328" s="36"/>
      <c r="DN328" s="36"/>
      <c r="DO328" s="37"/>
      <c r="DP328" s="44"/>
      <c r="DQ328" s="36"/>
      <c r="DR328" s="36"/>
      <c r="DS328" s="36"/>
      <c r="DT328" s="36"/>
      <c r="DU328" s="36"/>
      <c r="DV328" s="36"/>
      <c r="DW328" s="36"/>
      <c r="DX328" s="36"/>
      <c r="DY328" s="36"/>
      <c r="DZ328" s="36"/>
      <c r="EA328" s="36"/>
      <c r="EB328" s="36"/>
      <c r="EC328" s="36"/>
      <c r="ED328" s="36"/>
      <c r="EE328" s="36"/>
      <c r="EF328" s="37"/>
      <c r="EG328" s="44"/>
      <c r="EH328" s="36"/>
      <c r="EI328" s="36"/>
      <c r="EJ328" s="36"/>
      <c r="EK328" s="36"/>
      <c r="EL328" s="36"/>
      <c r="EM328" s="36"/>
      <c r="EN328" s="36"/>
      <c r="EO328" s="36"/>
      <c r="EP328" s="36"/>
      <c r="EQ328" s="36"/>
      <c r="ER328" s="36"/>
      <c r="ES328" s="36"/>
      <c r="ET328" s="36"/>
      <c r="EU328" s="36"/>
      <c r="EV328" s="36"/>
      <c r="EW328" s="37"/>
      <c r="EX328" s="44"/>
      <c r="EY328" s="36"/>
      <c r="EZ328" s="36"/>
      <c r="FA328" s="36"/>
      <c r="FB328" s="36"/>
      <c r="FC328" s="36"/>
      <c r="FD328" s="36"/>
      <c r="FE328" s="36"/>
      <c r="FF328" s="36"/>
      <c r="FG328" s="36"/>
      <c r="FH328" s="36"/>
      <c r="FI328" s="36"/>
      <c r="FJ328" s="36"/>
      <c r="FK328" s="36"/>
      <c r="FL328" s="36"/>
      <c r="FM328" s="36"/>
      <c r="FN328" s="37"/>
      <c r="FO328" s="44"/>
      <c r="FP328" s="36"/>
      <c r="FQ328" s="36"/>
      <c r="FR328" s="36"/>
      <c r="FS328" s="36"/>
      <c r="FT328" s="36"/>
      <c r="FU328" s="36"/>
      <c r="FV328" s="36"/>
      <c r="FW328" s="36"/>
      <c r="FX328" s="36"/>
      <c r="FY328" s="36"/>
      <c r="FZ328" s="36"/>
      <c r="GA328" s="36"/>
      <c r="GB328" s="36"/>
      <c r="GC328" s="36"/>
      <c r="GD328" s="36"/>
      <c r="GE328" s="37"/>
      <c r="GF328" s="44"/>
      <c r="GG328" s="36"/>
      <c r="GH328" s="36"/>
      <c r="GI328" s="36"/>
      <c r="GJ328" s="36"/>
      <c r="GK328" s="36"/>
      <c r="GL328" s="36"/>
      <c r="GM328" s="36"/>
      <c r="GN328" s="36"/>
      <c r="GO328" s="36"/>
      <c r="GP328" s="36"/>
      <c r="GQ328" s="36"/>
      <c r="GR328" s="36"/>
      <c r="GS328" s="36"/>
      <c r="GT328" s="36"/>
      <c r="GU328" s="36"/>
      <c r="GV328" s="37"/>
      <c r="GW328" s="44"/>
      <c r="GX328" s="36"/>
      <c r="GY328" s="36"/>
      <c r="GZ328" s="36"/>
      <c r="HA328" s="36"/>
      <c r="HB328" s="36"/>
      <c r="HC328" s="36"/>
      <c r="HD328" s="36"/>
      <c r="HE328" s="36"/>
      <c r="HF328" s="36"/>
      <c r="HG328" s="36"/>
      <c r="HH328" s="36"/>
      <c r="HI328" s="36"/>
      <c r="HJ328" s="36"/>
      <c r="HK328" s="36"/>
      <c r="HL328" s="36"/>
      <c r="HM328" s="37"/>
      <c r="HN328" s="44"/>
      <c r="HO328" s="36"/>
      <c r="HP328" s="36"/>
      <c r="HQ328" s="36"/>
      <c r="HR328" s="36"/>
      <c r="HS328" s="36"/>
      <c r="HT328" s="36"/>
      <c r="HU328" s="36"/>
      <c r="HV328" s="36"/>
      <c r="HW328" s="36"/>
      <c r="HX328" s="36"/>
      <c r="HY328" s="36"/>
      <c r="HZ328" s="36"/>
      <c r="IA328" s="36"/>
      <c r="IB328" s="36"/>
      <c r="IC328" s="36"/>
      <c r="ID328" s="37"/>
      <c r="IE328" s="44"/>
      <c r="IF328" s="36"/>
      <c r="IG328" s="36"/>
      <c r="IH328" s="36"/>
      <c r="II328" s="36"/>
      <c r="IJ328" s="36"/>
      <c r="IK328" s="36"/>
      <c r="IL328" s="36"/>
      <c r="IM328" s="36"/>
      <c r="IN328" s="36"/>
      <c r="IO328" s="36"/>
      <c r="IP328" s="36"/>
      <c r="IQ328" s="36"/>
      <c r="IR328" s="36"/>
      <c r="IS328" s="36"/>
      <c r="IT328" s="36"/>
      <c r="IU328" s="37"/>
      <c r="IV328" s="44"/>
      <c r="IW328" s="36"/>
      <c r="IX328" s="36"/>
      <c r="IY328" s="36"/>
      <c r="IZ328" s="36"/>
      <c r="JA328" s="36"/>
      <c r="JB328" s="36"/>
      <c r="JC328" s="36"/>
      <c r="JD328" s="36"/>
      <c r="JE328" s="36"/>
      <c r="JF328" s="36"/>
      <c r="JG328" s="36"/>
      <c r="JH328" s="36"/>
      <c r="JI328" s="36"/>
      <c r="JJ328" s="36"/>
      <c r="JK328" s="36"/>
      <c r="JL328" s="37"/>
      <c r="JM328" s="44"/>
      <c r="JN328" s="36"/>
      <c r="JO328" s="36"/>
      <c r="JP328" s="36"/>
      <c r="JQ328" s="36"/>
      <c r="JR328" s="36"/>
      <c r="JS328" s="36"/>
      <c r="JT328" s="36"/>
      <c r="JU328" s="36"/>
      <c r="JV328" s="36"/>
      <c r="JW328" s="36"/>
      <c r="JX328" s="36"/>
      <c r="JY328" s="36"/>
      <c r="JZ328" s="36"/>
      <c r="KA328" s="36"/>
      <c r="KB328" s="36"/>
      <c r="KC328" s="37"/>
      <c r="KD328" s="44"/>
      <c r="KE328" s="36"/>
      <c r="KF328" s="36"/>
      <c r="KG328" s="36"/>
      <c r="KH328" s="36"/>
      <c r="KI328" s="36"/>
      <c r="KJ328" s="36"/>
      <c r="KK328" s="36"/>
      <c r="KL328" s="36"/>
      <c r="KM328" s="36"/>
      <c r="KN328" s="36"/>
      <c r="KO328" s="36"/>
      <c r="KP328" s="36"/>
      <c r="KQ328" s="36"/>
      <c r="KR328" s="36"/>
      <c r="KS328" s="36"/>
      <c r="KT328" s="37"/>
      <c r="KU328" s="36"/>
    </row>
    <row r="329" ht="15.0" customHeight="1">
      <c r="A329" s="44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7"/>
      <c r="R329" s="44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7"/>
      <c r="AI329" s="44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  <c r="AU329" s="36"/>
      <c r="AV329" s="36"/>
      <c r="AW329" s="36"/>
      <c r="AX329" s="36"/>
      <c r="AY329" s="37"/>
      <c r="AZ329" s="44"/>
      <c r="BA329" s="36"/>
      <c r="BB329" s="36"/>
      <c r="BC329" s="36"/>
      <c r="BD329" s="36"/>
      <c r="BE329" s="36"/>
      <c r="BF329" s="36"/>
      <c r="BG329" s="36"/>
      <c r="BH329" s="36"/>
      <c r="BI329" s="36"/>
      <c r="BJ329" s="36"/>
      <c r="BK329" s="36"/>
      <c r="BL329" s="36"/>
      <c r="BM329" s="36"/>
      <c r="BN329" s="36"/>
      <c r="BO329" s="36"/>
      <c r="BP329" s="37"/>
      <c r="BQ329" s="44"/>
      <c r="BR329" s="36"/>
      <c r="BS329" s="36"/>
      <c r="BT329" s="36"/>
      <c r="BU329" s="36"/>
      <c r="BV329" s="36"/>
      <c r="BW329" s="36"/>
      <c r="BX329" s="36"/>
      <c r="BY329" s="36"/>
      <c r="BZ329" s="36"/>
      <c r="CA329" s="36"/>
      <c r="CB329" s="36"/>
      <c r="CC329" s="36"/>
      <c r="CD329" s="36"/>
      <c r="CE329" s="36"/>
      <c r="CF329" s="36"/>
      <c r="CG329" s="37"/>
      <c r="CH329" s="44"/>
      <c r="CI329" s="36"/>
      <c r="CJ329" s="36"/>
      <c r="CK329" s="36"/>
      <c r="CL329" s="36"/>
      <c r="CM329" s="36"/>
      <c r="CN329" s="36"/>
      <c r="CO329" s="36"/>
      <c r="CP329" s="36"/>
      <c r="CQ329" s="36"/>
      <c r="CR329" s="36"/>
      <c r="CS329" s="36"/>
      <c r="CT329" s="36"/>
      <c r="CU329" s="36"/>
      <c r="CV329" s="36"/>
      <c r="CW329" s="36"/>
      <c r="CX329" s="37"/>
      <c r="CY329" s="44"/>
      <c r="CZ329" s="36"/>
      <c r="DA329" s="36"/>
      <c r="DB329" s="36"/>
      <c r="DC329" s="36"/>
      <c r="DD329" s="36"/>
      <c r="DE329" s="36"/>
      <c r="DF329" s="36"/>
      <c r="DG329" s="36"/>
      <c r="DH329" s="36"/>
      <c r="DI329" s="36"/>
      <c r="DJ329" s="36"/>
      <c r="DK329" s="36"/>
      <c r="DL329" s="36"/>
      <c r="DM329" s="36"/>
      <c r="DN329" s="36"/>
      <c r="DO329" s="37"/>
      <c r="DP329" s="44"/>
      <c r="DQ329" s="36"/>
      <c r="DR329" s="36"/>
      <c r="DS329" s="36"/>
      <c r="DT329" s="36"/>
      <c r="DU329" s="36"/>
      <c r="DV329" s="36"/>
      <c r="DW329" s="36"/>
      <c r="DX329" s="36"/>
      <c r="DY329" s="36"/>
      <c r="DZ329" s="36"/>
      <c r="EA329" s="36"/>
      <c r="EB329" s="36"/>
      <c r="EC329" s="36"/>
      <c r="ED329" s="36"/>
      <c r="EE329" s="36"/>
      <c r="EF329" s="37"/>
      <c r="EG329" s="44"/>
      <c r="EH329" s="36"/>
      <c r="EI329" s="36"/>
      <c r="EJ329" s="36"/>
      <c r="EK329" s="36"/>
      <c r="EL329" s="36"/>
      <c r="EM329" s="36"/>
      <c r="EN329" s="36"/>
      <c r="EO329" s="36"/>
      <c r="EP329" s="36"/>
      <c r="EQ329" s="36"/>
      <c r="ER329" s="36"/>
      <c r="ES329" s="36"/>
      <c r="ET329" s="36"/>
      <c r="EU329" s="36"/>
      <c r="EV329" s="36"/>
      <c r="EW329" s="37"/>
      <c r="EX329" s="44"/>
      <c r="EY329" s="36"/>
      <c r="EZ329" s="36"/>
      <c r="FA329" s="36"/>
      <c r="FB329" s="36"/>
      <c r="FC329" s="36"/>
      <c r="FD329" s="36"/>
      <c r="FE329" s="36"/>
      <c r="FF329" s="36"/>
      <c r="FG329" s="36"/>
      <c r="FH329" s="36"/>
      <c r="FI329" s="36"/>
      <c r="FJ329" s="36"/>
      <c r="FK329" s="36"/>
      <c r="FL329" s="36"/>
      <c r="FM329" s="36"/>
      <c r="FN329" s="37"/>
      <c r="FO329" s="44"/>
      <c r="FP329" s="36"/>
      <c r="FQ329" s="36"/>
      <c r="FR329" s="36"/>
      <c r="FS329" s="36"/>
      <c r="FT329" s="36"/>
      <c r="FU329" s="36"/>
      <c r="FV329" s="36"/>
      <c r="FW329" s="36"/>
      <c r="FX329" s="36"/>
      <c r="FY329" s="36"/>
      <c r="FZ329" s="36"/>
      <c r="GA329" s="36"/>
      <c r="GB329" s="36"/>
      <c r="GC329" s="36"/>
      <c r="GD329" s="36"/>
      <c r="GE329" s="37"/>
      <c r="GF329" s="44"/>
      <c r="GG329" s="36"/>
      <c r="GH329" s="36"/>
      <c r="GI329" s="36"/>
      <c r="GJ329" s="36"/>
      <c r="GK329" s="36"/>
      <c r="GL329" s="36"/>
      <c r="GM329" s="36"/>
      <c r="GN329" s="36"/>
      <c r="GO329" s="36"/>
      <c r="GP329" s="36"/>
      <c r="GQ329" s="36"/>
      <c r="GR329" s="36"/>
      <c r="GS329" s="36"/>
      <c r="GT329" s="36"/>
      <c r="GU329" s="36"/>
      <c r="GV329" s="37"/>
      <c r="GW329" s="44"/>
      <c r="GX329" s="36"/>
      <c r="GY329" s="36"/>
      <c r="GZ329" s="36"/>
      <c r="HA329" s="36"/>
      <c r="HB329" s="36"/>
      <c r="HC329" s="36"/>
      <c r="HD329" s="36"/>
      <c r="HE329" s="36"/>
      <c r="HF329" s="36"/>
      <c r="HG329" s="36"/>
      <c r="HH329" s="36"/>
      <c r="HI329" s="36"/>
      <c r="HJ329" s="36"/>
      <c r="HK329" s="36"/>
      <c r="HL329" s="36"/>
      <c r="HM329" s="37"/>
      <c r="HN329" s="44"/>
      <c r="HO329" s="36"/>
      <c r="HP329" s="36"/>
      <c r="HQ329" s="36"/>
      <c r="HR329" s="36"/>
      <c r="HS329" s="36"/>
      <c r="HT329" s="36"/>
      <c r="HU329" s="36"/>
      <c r="HV329" s="36"/>
      <c r="HW329" s="36"/>
      <c r="HX329" s="36"/>
      <c r="HY329" s="36"/>
      <c r="HZ329" s="36"/>
      <c r="IA329" s="36"/>
      <c r="IB329" s="36"/>
      <c r="IC329" s="36"/>
      <c r="ID329" s="37"/>
      <c r="IE329" s="44"/>
      <c r="IF329" s="36"/>
      <c r="IG329" s="36"/>
      <c r="IH329" s="36"/>
      <c r="II329" s="36"/>
      <c r="IJ329" s="36"/>
      <c r="IK329" s="36"/>
      <c r="IL329" s="36"/>
      <c r="IM329" s="36"/>
      <c r="IN329" s="36"/>
      <c r="IO329" s="36"/>
      <c r="IP329" s="36"/>
      <c r="IQ329" s="36"/>
      <c r="IR329" s="36"/>
      <c r="IS329" s="36"/>
      <c r="IT329" s="36"/>
      <c r="IU329" s="37"/>
      <c r="IV329" s="44"/>
      <c r="IW329" s="36"/>
      <c r="IX329" s="36"/>
      <c r="IY329" s="36"/>
      <c r="IZ329" s="36"/>
      <c r="JA329" s="36"/>
      <c r="JB329" s="36"/>
      <c r="JC329" s="36"/>
      <c r="JD329" s="36"/>
      <c r="JE329" s="36"/>
      <c r="JF329" s="36"/>
      <c r="JG329" s="36"/>
      <c r="JH329" s="36"/>
      <c r="JI329" s="36"/>
      <c r="JJ329" s="36"/>
      <c r="JK329" s="36"/>
      <c r="JL329" s="37"/>
      <c r="JM329" s="44"/>
      <c r="JN329" s="36"/>
      <c r="JO329" s="36"/>
      <c r="JP329" s="36"/>
      <c r="JQ329" s="36"/>
      <c r="JR329" s="36"/>
      <c r="JS329" s="36"/>
      <c r="JT329" s="36"/>
      <c r="JU329" s="36"/>
      <c r="JV329" s="36"/>
      <c r="JW329" s="36"/>
      <c r="JX329" s="36"/>
      <c r="JY329" s="36"/>
      <c r="JZ329" s="36"/>
      <c r="KA329" s="36"/>
      <c r="KB329" s="36"/>
      <c r="KC329" s="37"/>
      <c r="KD329" s="44"/>
      <c r="KE329" s="36"/>
      <c r="KF329" s="36"/>
      <c r="KG329" s="36"/>
      <c r="KH329" s="36"/>
      <c r="KI329" s="36"/>
      <c r="KJ329" s="36"/>
      <c r="KK329" s="36"/>
      <c r="KL329" s="36"/>
      <c r="KM329" s="36"/>
      <c r="KN329" s="36"/>
      <c r="KO329" s="36"/>
      <c r="KP329" s="36"/>
      <c r="KQ329" s="36"/>
      <c r="KR329" s="36"/>
      <c r="KS329" s="36"/>
      <c r="KT329" s="37"/>
      <c r="KU329" s="36"/>
    </row>
    <row r="330" ht="15.0" customHeight="1">
      <c r="A330" s="44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7"/>
      <c r="R330" s="44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7"/>
      <c r="AI330" s="44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  <c r="AU330" s="36"/>
      <c r="AV330" s="36"/>
      <c r="AW330" s="36"/>
      <c r="AX330" s="36"/>
      <c r="AY330" s="37"/>
      <c r="AZ330" s="44"/>
      <c r="BA330" s="36"/>
      <c r="BB330" s="36"/>
      <c r="BC330" s="36"/>
      <c r="BD330" s="36"/>
      <c r="BE330" s="36"/>
      <c r="BF330" s="36"/>
      <c r="BG330" s="36"/>
      <c r="BH330" s="36"/>
      <c r="BI330" s="36"/>
      <c r="BJ330" s="36"/>
      <c r="BK330" s="36"/>
      <c r="BL330" s="36"/>
      <c r="BM330" s="36"/>
      <c r="BN330" s="36"/>
      <c r="BO330" s="36"/>
      <c r="BP330" s="37"/>
      <c r="BQ330" s="44"/>
      <c r="BR330" s="36"/>
      <c r="BS330" s="36"/>
      <c r="BT330" s="36"/>
      <c r="BU330" s="36"/>
      <c r="BV330" s="36"/>
      <c r="BW330" s="36"/>
      <c r="BX330" s="36"/>
      <c r="BY330" s="36"/>
      <c r="BZ330" s="36"/>
      <c r="CA330" s="36"/>
      <c r="CB330" s="36"/>
      <c r="CC330" s="36"/>
      <c r="CD330" s="36"/>
      <c r="CE330" s="36"/>
      <c r="CF330" s="36"/>
      <c r="CG330" s="37"/>
      <c r="CH330" s="44"/>
      <c r="CI330" s="36"/>
      <c r="CJ330" s="36"/>
      <c r="CK330" s="36"/>
      <c r="CL330" s="36"/>
      <c r="CM330" s="36"/>
      <c r="CN330" s="36"/>
      <c r="CO330" s="36"/>
      <c r="CP330" s="36"/>
      <c r="CQ330" s="36"/>
      <c r="CR330" s="36"/>
      <c r="CS330" s="36"/>
      <c r="CT330" s="36"/>
      <c r="CU330" s="36"/>
      <c r="CV330" s="36"/>
      <c r="CW330" s="36"/>
      <c r="CX330" s="37"/>
      <c r="CY330" s="44"/>
      <c r="CZ330" s="36"/>
      <c r="DA330" s="36"/>
      <c r="DB330" s="36"/>
      <c r="DC330" s="36"/>
      <c r="DD330" s="36"/>
      <c r="DE330" s="36"/>
      <c r="DF330" s="36"/>
      <c r="DG330" s="36"/>
      <c r="DH330" s="36"/>
      <c r="DI330" s="36"/>
      <c r="DJ330" s="36"/>
      <c r="DK330" s="36"/>
      <c r="DL330" s="36"/>
      <c r="DM330" s="36"/>
      <c r="DN330" s="36"/>
      <c r="DO330" s="37"/>
      <c r="DP330" s="44"/>
      <c r="DQ330" s="36"/>
      <c r="DR330" s="36"/>
      <c r="DS330" s="36"/>
      <c r="DT330" s="36"/>
      <c r="DU330" s="36"/>
      <c r="DV330" s="36"/>
      <c r="DW330" s="36"/>
      <c r="DX330" s="36"/>
      <c r="DY330" s="36"/>
      <c r="DZ330" s="36"/>
      <c r="EA330" s="36"/>
      <c r="EB330" s="36"/>
      <c r="EC330" s="36"/>
      <c r="ED330" s="36"/>
      <c r="EE330" s="36"/>
      <c r="EF330" s="37"/>
      <c r="EG330" s="44"/>
      <c r="EH330" s="36"/>
      <c r="EI330" s="36"/>
      <c r="EJ330" s="36"/>
      <c r="EK330" s="36"/>
      <c r="EL330" s="36"/>
      <c r="EM330" s="36"/>
      <c r="EN330" s="36"/>
      <c r="EO330" s="36"/>
      <c r="EP330" s="36"/>
      <c r="EQ330" s="36"/>
      <c r="ER330" s="36"/>
      <c r="ES330" s="36"/>
      <c r="ET330" s="36"/>
      <c r="EU330" s="36"/>
      <c r="EV330" s="36"/>
      <c r="EW330" s="37"/>
      <c r="EX330" s="44"/>
      <c r="EY330" s="36"/>
      <c r="EZ330" s="36"/>
      <c r="FA330" s="36"/>
      <c r="FB330" s="36"/>
      <c r="FC330" s="36"/>
      <c r="FD330" s="36"/>
      <c r="FE330" s="36"/>
      <c r="FF330" s="36"/>
      <c r="FG330" s="36"/>
      <c r="FH330" s="36"/>
      <c r="FI330" s="36"/>
      <c r="FJ330" s="36"/>
      <c r="FK330" s="36"/>
      <c r="FL330" s="36"/>
      <c r="FM330" s="36"/>
      <c r="FN330" s="37"/>
      <c r="FO330" s="44"/>
      <c r="FP330" s="36"/>
      <c r="FQ330" s="36"/>
      <c r="FR330" s="36"/>
      <c r="FS330" s="36"/>
      <c r="FT330" s="36"/>
      <c r="FU330" s="36"/>
      <c r="FV330" s="36"/>
      <c r="FW330" s="36"/>
      <c r="FX330" s="36"/>
      <c r="FY330" s="36"/>
      <c r="FZ330" s="36"/>
      <c r="GA330" s="36"/>
      <c r="GB330" s="36"/>
      <c r="GC330" s="36"/>
      <c r="GD330" s="36"/>
      <c r="GE330" s="37"/>
      <c r="GF330" s="44"/>
      <c r="GG330" s="36"/>
      <c r="GH330" s="36"/>
      <c r="GI330" s="36"/>
      <c r="GJ330" s="36"/>
      <c r="GK330" s="36"/>
      <c r="GL330" s="36"/>
      <c r="GM330" s="36"/>
      <c r="GN330" s="36"/>
      <c r="GO330" s="36"/>
      <c r="GP330" s="36"/>
      <c r="GQ330" s="36"/>
      <c r="GR330" s="36"/>
      <c r="GS330" s="36"/>
      <c r="GT330" s="36"/>
      <c r="GU330" s="36"/>
      <c r="GV330" s="37"/>
      <c r="GW330" s="44"/>
      <c r="GX330" s="36"/>
      <c r="GY330" s="36"/>
      <c r="GZ330" s="36"/>
      <c r="HA330" s="36"/>
      <c r="HB330" s="36"/>
      <c r="HC330" s="36"/>
      <c r="HD330" s="36"/>
      <c r="HE330" s="36"/>
      <c r="HF330" s="36"/>
      <c r="HG330" s="36"/>
      <c r="HH330" s="36"/>
      <c r="HI330" s="36"/>
      <c r="HJ330" s="36"/>
      <c r="HK330" s="36"/>
      <c r="HL330" s="36"/>
      <c r="HM330" s="37"/>
      <c r="HN330" s="44"/>
      <c r="HO330" s="36"/>
      <c r="HP330" s="36"/>
      <c r="HQ330" s="36"/>
      <c r="HR330" s="36"/>
      <c r="HS330" s="36"/>
      <c r="HT330" s="36"/>
      <c r="HU330" s="36"/>
      <c r="HV330" s="36"/>
      <c r="HW330" s="36"/>
      <c r="HX330" s="36"/>
      <c r="HY330" s="36"/>
      <c r="HZ330" s="36"/>
      <c r="IA330" s="36"/>
      <c r="IB330" s="36"/>
      <c r="IC330" s="36"/>
      <c r="ID330" s="37"/>
      <c r="IE330" s="44"/>
      <c r="IF330" s="36"/>
      <c r="IG330" s="36"/>
      <c r="IH330" s="36"/>
      <c r="II330" s="36"/>
      <c r="IJ330" s="36"/>
      <c r="IK330" s="36"/>
      <c r="IL330" s="36"/>
      <c r="IM330" s="36"/>
      <c r="IN330" s="36"/>
      <c r="IO330" s="36"/>
      <c r="IP330" s="36"/>
      <c r="IQ330" s="36"/>
      <c r="IR330" s="36"/>
      <c r="IS330" s="36"/>
      <c r="IT330" s="36"/>
      <c r="IU330" s="37"/>
      <c r="IV330" s="44"/>
      <c r="IW330" s="36"/>
      <c r="IX330" s="36"/>
      <c r="IY330" s="36"/>
      <c r="IZ330" s="36"/>
      <c r="JA330" s="36"/>
      <c r="JB330" s="36"/>
      <c r="JC330" s="36"/>
      <c r="JD330" s="36"/>
      <c r="JE330" s="36"/>
      <c r="JF330" s="36"/>
      <c r="JG330" s="36"/>
      <c r="JH330" s="36"/>
      <c r="JI330" s="36"/>
      <c r="JJ330" s="36"/>
      <c r="JK330" s="36"/>
      <c r="JL330" s="37"/>
      <c r="JM330" s="44"/>
      <c r="JN330" s="36"/>
      <c r="JO330" s="36"/>
      <c r="JP330" s="36"/>
      <c r="JQ330" s="36"/>
      <c r="JR330" s="36"/>
      <c r="JS330" s="36"/>
      <c r="JT330" s="36"/>
      <c r="JU330" s="36"/>
      <c r="JV330" s="36"/>
      <c r="JW330" s="36"/>
      <c r="JX330" s="36"/>
      <c r="JY330" s="36"/>
      <c r="JZ330" s="36"/>
      <c r="KA330" s="36"/>
      <c r="KB330" s="36"/>
      <c r="KC330" s="37"/>
      <c r="KD330" s="44"/>
      <c r="KE330" s="36"/>
      <c r="KF330" s="36"/>
      <c r="KG330" s="36"/>
      <c r="KH330" s="36"/>
      <c r="KI330" s="36"/>
      <c r="KJ330" s="36"/>
      <c r="KK330" s="36"/>
      <c r="KL330" s="36"/>
      <c r="KM330" s="36"/>
      <c r="KN330" s="36"/>
      <c r="KO330" s="36"/>
      <c r="KP330" s="36"/>
      <c r="KQ330" s="36"/>
      <c r="KR330" s="36"/>
      <c r="KS330" s="36"/>
      <c r="KT330" s="37"/>
      <c r="KU330" s="36"/>
    </row>
    <row r="331" ht="15.0" customHeight="1">
      <c r="A331" s="44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7"/>
      <c r="R331" s="44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7"/>
      <c r="AI331" s="44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  <c r="AU331" s="36"/>
      <c r="AV331" s="36"/>
      <c r="AW331" s="36"/>
      <c r="AX331" s="36"/>
      <c r="AY331" s="37"/>
      <c r="AZ331" s="44"/>
      <c r="BA331" s="36"/>
      <c r="BB331" s="36"/>
      <c r="BC331" s="36"/>
      <c r="BD331" s="36"/>
      <c r="BE331" s="36"/>
      <c r="BF331" s="36"/>
      <c r="BG331" s="36"/>
      <c r="BH331" s="36"/>
      <c r="BI331" s="36"/>
      <c r="BJ331" s="36"/>
      <c r="BK331" s="36"/>
      <c r="BL331" s="36"/>
      <c r="BM331" s="36"/>
      <c r="BN331" s="36"/>
      <c r="BO331" s="36"/>
      <c r="BP331" s="37"/>
      <c r="BQ331" s="44"/>
      <c r="BR331" s="36"/>
      <c r="BS331" s="36"/>
      <c r="BT331" s="36"/>
      <c r="BU331" s="36"/>
      <c r="BV331" s="36"/>
      <c r="BW331" s="36"/>
      <c r="BX331" s="36"/>
      <c r="BY331" s="36"/>
      <c r="BZ331" s="36"/>
      <c r="CA331" s="36"/>
      <c r="CB331" s="36"/>
      <c r="CC331" s="36"/>
      <c r="CD331" s="36"/>
      <c r="CE331" s="36"/>
      <c r="CF331" s="36"/>
      <c r="CG331" s="37"/>
      <c r="CH331" s="44"/>
      <c r="CI331" s="36"/>
      <c r="CJ331" s="36"/>
      <c r="CK331" s="36"/>
      <c r="CL331" s="36"/>
      <c r="CM331" s="36"/>
      <c r="CN331" s="36"/>
      <c r="CO331" s="36"/>
      <c r="CP331" s="36"/>
      <c r="CQ331" s="36"/>
      <c r="CR331" s="36"/>
      <c r="CS331" s="36"/>
      <c r="CT331" s="36"/>
      <c r="CU331" s="36"/>
      <c r="CV331" s="36"/>
      <c r="CW331" s="36"/>
      <c r="CX331" s="37"/>
      <c r="CY331" s="44"/>
      <c r="CZ331" s="36"/>
      <c r="DA331" s="36"/>
      <c r="DB331" s="36"/>
      <c r="DC331" s="36"/>
      <c r="DD331" s="36"/>
      <c r="DE331" s="36"/>
      <c r="DF331" s="36"/>
      <c r="DG331" s="36"/>
      <c r="DH331" s="36"/>
      <c r="DI331" s="36"/>
      <c r="DJ331" s="36"/>
      <c r="DK331" s="36"/>
      <c r="DL331" s="36"/>
      <c r="DM331" s="36"/>
      <c r="DN331" s="36"/>
      <c r="DO331" s="37"/>
      <c r="DP331" s="44"/>
      <c r="DQ331" s="36"/>
      <c r="DR331" s="36"/>
      <c r="DS331" s="36"/>
      <c r="DT331" s="36"/>
      <c r="DU331" s="36"/>
      <c r="DV331" s="36"/>
      <c r="DW331" s="36"/>
      <c r="DX331" s="36"/>
      <c r="DY331" s="36"/>
      <c r="DZ331" s="36"/>
      <c r="EA331" s="36"/>
      <c r="EB331" s="36"/>
      <c r="EC331" s="36"/>
      <c r="ED331" s="36"/>
      <c r="EE331" s="36"/>
      <c r="EF331" s="37"/>
      <c r="EG331" s="44"/>
      <c r="EH331" s="36"/>
      <c r="EI331" s="36"/>
      <c r="EJ331" s="36"/>
      <c r="EK331" s="36"/>
      <c r="EL331" s="36"/>
      <c r="EM331" s="36"/>
      <c r="EN331" s="36"/>
      <c r="EO331" s="36"/>
      <c r="EP331" s="36"/>
      <c r="EQ331" s="36"/>
      <c r="ER331" s="36"/>
      <c r="ES331" s="36"/>
      <c r="ET331" s="36"/>
      <c r="EU331" s="36"/>
      <c r="EV331" s="36"/>
      <c r="EW331" s="37"/>
      <c r="EX331" s="44"/>
      <c r="EY331" s="36"/>
      <c r="EZ331" s="36"/>
      <c r="FA331" s="36"/>
      <c r="FB331" s="36"/>
      <c r="FC331" s="36"/>
      <c r="FD331" s="36"/>
      <c r="FE331" s="36"/>
      <c r="FF331" s="36"/>
      <c r="FG331" s="36"/>
      <c r="FH331" s="36"/>
      <c r="FI331" s="36"/>
      <c r="FJ331" s="36"/>
      <c r="FK331" s="36"/>
      <c r="FL331" s="36"/>
      <c r="FM331" s="36"/>
      <c r="FN331" s="37"/>
      <c r="FO331" s="44"/>
      <c r="FP331" s="36"/>
      <c r="FQ331" s="36"/>
      <c r="FR331" s="36"/>
      <c r="FS331" s="36"/>
      <c r="FT331" s="36"/>
      <c r="FU331" s="36"/>
      <c r="FV331" s="36"/>
      <c r="FW331" s="36"/>
      <c r="FX331" s="36"/>
      <c r="FY331" s="36"/>
      <c r="FZ331" s="36"/>
      <c r="GA331" s="36"/>
      <c r="GB331" s="36"/>
      <c r="GC331" s="36"/>
      <c r="GD331" s="36"/>
      <c r="GE331" s="37"/>
      <c r="GF331" s="44"/>
      <c r="GG331" s="36"/>
      <c r="GH331" s="36"/>
      <c r="GI331" s="36"/>
      <c r="GJ331" s="36"/>
      <c r="GK331" s="36"/>
      <c r="GL331" s="36"/>
      <c r="GM331" s="36"/>
      <c r="GN331" s="36"/>
      <c r="GO331" s="36"/>
      <c r="GP331" s="36"/>
      <c r="GQ331" s="36"/>
      <c r="GR331" s="36"/>
      <c r="GS331" s="36"/>
      <c r="GT331" s="36"/>
      <c r="GU331" s="36"/>
      <c r="GV331" s="37"/>
      <c r="GW331" s="44"/>
      <c r="GX331" s="36"/>
      <c r="GY331" s="36"/>
      <c r="GZ331" s="36"/>
      <c r="HA331" s="36"/>
      <c r="HB331" s="36"/>
      <c r="HC331" s="36"/>
      <c r="HD331" s="36"/>
      <c r="HE331" s="36"/>
      <c r="HF331" s="36"/>
      <c r="HG331" s="36"/>
      <c r="HH331" s="36"/>
      <c r="HI331" s="36"/>
      <c r="HJ331" s="36"/>
      <c r="HK331" s="36"/>
      <c r="HL331" s="36"/>
      <c r="HM331" s="37"/>
      <c r="HN331" s="44"/>
      <c r="HO331" s="36"/>
      <c r="HP331" s="36"/>
      <c r="HQ331" s="36"/>
      <c r="HR331" s="36"/>
      <c r="HS331" s="36"/>
      <c r="HT331" s="36"/>
      <c r="HU331" s="36"/>
      <c r="HV331" s="36"/>
      <c r="HW331" s="36"/>
      <c r="HX331" s="36"/>
      <c r="HY331" s="36"/>
      <c r="HZ331" s="36"/>
      <c r="IA331" s="36"/>
      <c r="IB331" s="36"/>
      <c r="IC331" s="36"/>
      <c r="ID331" s="37"/>
      <c r="IE331" s="44"/>
      <c r="IF331" s="36"/>
      <c r="IG331" s="36"/>
      <c r="IH331" s="36"/>
      <c r="II331" s="36"/>
      <c r="IJ331" s="36"/>
      <c r="IK331" s="36"/>
      <c r="IL331" s="36"/>
      <c r="IM331" s="36"/>
      <c r="IN331" s="36"/>
      <c r="IO331" s="36"/>
      <c r="IP331" s="36"/>
      <c r="IQ331" s="36"/>
      <c r="IR331" s="36"/>
      <c r="IS331" s="36"/>
      <c r="IT331" s="36"/>
      <c r="IU331" s="37"/>
      <c r="IV331" s="44"/>
      <c r="IW331" s="36"/>
      <c r="IX331" s="36"/>
      <c r="IY331" s="36"/>
      <c r="IZ331" s="36"/>
      <c r="JA331" s="36"/>
      <c r="JB331" s="36"/>
      <c r="JC331" s="36"/>
      <c r="JD331" s="36"/>
      <c r="JE331" s="36"/>
      <c r="JF331" s="36"/>
      <c r="JG331" s="36"/>
      <c r="JH331" s="36"/>
      <c r="JI331" s="36"/>
      <c r="JJ331" s="36"/>
      <c r="JK331" s="36"/>
      <c r="JL331" s="37"/>
      <c r="JM331" s="44"/>
      <c r="JN331" s="36"/>
      <c r="JO331" s="36"/>
      <c r="JP331" s="36"/>
      <c r="JQ331" s="36"/>
      <c r="JR331" s="36"/>
      <c r="JS331" s="36"/>
      <c r="JT331" s="36"/>
      <c r="JU331" s="36"/>
      <c r="JV331" s="36"/>
      <c r="JW331" s="36"/>
      <c r="JX331" s="36"/>
      <c r="JY331" s="36"/>
      <c r="JZ331" s="36"/>
      <c r="KA331" s="36"/>
      <c r="KB331" s="36"/>
      <c r="KC331" s="37"/>
      <c r="KD331" s="44"/>
      <c r="KE331" s="36"/>
      <c r="KF331" s="36"/>
      <c r="KG331" s="36"/>
      <c r="KH331" s="36"/>
      <c r="KI331" s="36"/>
      <c r="KJ331" s="36"/>
      <c r="KK331" s="36"/>
      <c r="KL331" s="36"/>
      <c r="KM331" s="36"/>
      <c r="KN331" s="36"/>
      <c r="KO331" s="36"/>
      <c r="KP331" s="36"/>
      <c r="KQ331" s="36"/>
      <c r="KR331" s="36"/>
      <c r="KS331" s="36"/>
      <c r="KT331" s="37"/>
      <c r="KU331" s="36"/>
    </row>
    <row r="332" ht="15.0" customHeight="1">
      <c r="A332" s="44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7"/>
      <c r="R332" s="44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7"/>
      <c r="AI332" s="44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  <c r="AU332" s="36"/>
      <c r="AV332" s="36"/>
      <c r="AW332" s="36"/>
      <c r="AX332" s="36"/>
      <c r="AY332" s="37"/>
      <c r="AZ332" s="44"/>
      <c r="BA332" s="36"/>
      <c r="BB332" s="36"/>
      <c r="BC332" s="36"/>
      <c r="BD332" s="36"/>
      <c r="BE332" s="36"/>
      <c r="BF332" s="36"/>
      <c r="BG332" s="36"/>
      <c r="BH332" s="36"/>
      <c r="BI332" s="36"/>
      <c r="BJ332" s="36"/>
      <c r="BK332" s="36"/>
      <c r="BL332" s="36"/>
      <c r="BM332" s="36"/>
      <c r="BN332" s="36"/>
      <c r="BO332" s="36"/>
      <c r="BP332" s="37"/>
      <c r="BQ332" s="44"/>
      <c r="BR332" s="36"/>
      <c r="BS332" s="36"/>
      <c r="BT332" s="36"/>
      <c r="BU332" s="36"/>
      <c r="BV332" s="36"/>
      <c r="BW332" s="36"/>
      <c r="BX332" s="36"/>
      <c r="BY332" s="36"/>
      <c r="BZ332" s="36"/>
      <c r="CA332" s="36"/>
      <c r="CB332" s="36"/>
      <c r="CC332" s="36"/>
      <c r="CD332" s="36"/>
      <c r="CE332" s="36"/>
      <c r="CF332" s="36"/>
      <c r="CG332" s="37"/>
      <c r="CH332" s="44"/>
      <c r="CI332" s="36"/>
      <c r="CJ332" s="36"/>
      <c r="CK332" s="36"/>
      <c r="CL332" s="36"/>
      <c r="CM332" s="36"/>
      <c r="CN332" s="36"/>
      <c r="CO332" s="36"/>
      <c r="CP332" s="36"/>
      <c r="CQ332" s="36"/>
      <c r="CR332" s="36"/>
      <c r="CS332" s="36"/>
      <c r="CT332" s="36"/>
      <c r="CU332" s="36"/>
      <c r="CV332" s="36"/>
      <c r="CW332" s="36"/>
      <c r="CX332" s="37"/>
      <c r="CY332" s="44"/>
      <c r="CZ332" s="36"/>
      <c r="DA332" s="36"/>
      <c r="DB332" s="36"/>
      <c r="DC332" s="36"/>
      <c r="DD332" s="36"/>
      <c r="DE332" s="36"/>
      <c r="DF332" s="36"/>
      <c r="DG332" s="36"/>
      <c r="DH332" s="36"/>
      <c r="DI332" s="36"/>
      <c r="DJ332" s="36"/>
      <c r="DK332" s="36"/>
      <c r="DL332" s="36"/>
      <c r="DM332" s="36"/>
      <c r="DN332" s="36"/>
      <c r="DO332" s="37"/>
      <c r="DP332" s="44"/>
      <c r="DQ332" s="36"/>
      <c r="DR332" s="36"/>
      <c r="DS332" s="36"/>
      <c r="DT332" s="36"/>
      <c r="DU332" s="36"/>
      <c r="DV332" s="36"/>
      <c r="DW332" s="36"/>
      <c r="DX332" s="36"/>
      <c r="DY332" s="36"/>
      <c r="DZ332" s="36"/>
      <c r="EA332" s="36"/>
      <c r="EB332" s="36"/>
      <c r="EC332" s="36"/>
      <c r="ED332" s="36"/>
      <c r="EE332" s="36"/>
      <c r="EF332" s="37"/>
      <c r="EG332" s="44"/>
      <c r="EH332" s="36"/>
      <c r="EI332" s="36"/>
      <c r="EJ332" s="36"/>
      <c r="EK332" s="36"/>
      <c r="EL332" s="36"/>
      <c r="EM332" s="36"/>
      <c r="EN332" s="36"/>
      <c r="EO332" s="36"/>
      <c r="EP332" s="36"/>
      <c r="EQ332" s="36"/>
      <c r="ER332" s="36"/>
      <c r="ES332" s="36"/>
      <c r="ET332" s="36"/>
      <c r="EU332" s="36"/>
      <c r="EV332" s="36"/>
      <c r="EW332" s="37"/>
      <c r="EX332" s="44"/>
      <c r="EY332" s="36"/>
      <c r="EZ332" s="36"/>
      <c r="FA332" s="36"/>
      <c r="FB332" s="36"/>
      <c r="FC332" s="36"/>
      <c r="FD332" s="36"/>
      <c r="FE332" s="36"/>
      <c r="FF332" s="36"/>
      <c r="FG332" s="36"/>
      <c r="FH332" s="36"/>
      <c r="FI332" s="36"/>
      <c r="FJ332" s="36"/>
      <c r="FK332" s="36"/>
      <c r="FL332" s="36"/>
      <c r="FM332" s="36"/>
      <c r="FN332" s="37"/>
      <c r="FO332" s="44"/>
      <c r="FP332" s="36"/>
      <c r="FQ332" s="36"/>
      <c r="FR332" s="36"/>
      <c r="FS332" s="36"/>
      <c r="FT332" s="36"/>
      <c r="FU332" s="36"/>
      <c r="FV332" s="36"/>
      <c r="FW332" s="36"/>
      <c r="FX332" s="36"/>
      <c r="FY332" s="36"/>
      <c r="FZ332" s="36"/>
      <c r="GA332" s="36"/>
      <c r="GB332" s="36"/>
      <c r="GC332" s="36"/>
      <c r="GD332" s="36"/>
      <c r="GE332" s="37"/>
      <c r="GF332" s="44"/>
      <c r="GG332" s="36"/>
      <c r="GH332" s="36"/>
      <c r="GI332" s="36"/>
      <c r="GJ332" s="36"/>
      <c r="GK332" s="36"/>
      <c r="GL332" s="36"/>
      <c r="GM332" s="36"/>
      <c r="GN332" s="36"/>
      <c r="GO332" s="36"/>
      <c r="GP332" s="36"/>
      <c r="GQ332" s="36"/>
      <c r="GR332" s="36"/>
      <c r="GS332" s="36"/>
      <c r="GT332" s="36"/>
      <c r="GU332" s="36"/>
      <c r="GV332" s="37"/>
      <c r="GW332" s="44"/>
      <c r="GX332" s="36"/>
      <c r="GY332" s="36"/>
      <c r="GZ332" s="36"/>
      <c r="HA332" s="36"/>
      <c r="HB332" s="36"/>
      <c r="HC332" s="36"/>
      <c r="HD332" s="36"/>
      <c r="HE332" s="36"/>
      <c r="HF332" s="36"/>
      <c r="HG332" s="36"/>
      <c r="HH332" s="36"/>
      <c r="HI332" s="36"/>
      <c r="HJ332" s="36"/>
      <c r="HK332" s="36"/>
      <c r="HL332" s="36"/>
      <c r="HM332" s="37"/>
      <c r="HN332" s="44"/>
      <c r="HO332" s="36"/>
      <c r="HP332" s="36"/>
      <c r="HQ332" s="36"/>
      <c r="HR332" s="36"/>
      <c r="HS332" s="36"/>
      <c r="HT332" s="36"/>
      <c r="HU332" s="36"/>
      <c r="HV332" s="36"/>
      <c r="HW332" s="36"/>
      <c r="HX332" s="36"/>
      <c r="HY332" s="36"/>
      <c r="HZ332" s="36"/>
      <c r="IA332" s="36"/>
      <c r="IB332" s="36"/>
      <c r="IC332" s="36"/>
      <c r="ID332" s="37"/>
      <c r="IE332" s="44"/>
      <c r="IF332" s="36"/>
      <c r="IG332" s="36"/>
      <c r="IH332" s="36"/>
      <c r="II332" s="36"/>
      <c r="IJ332" s="36"/>
      <c r="IK332" s="36"/>
      <c r="IL332" s="36"/>
      <c r="IM332" s="36"/>
      <c r="IN332" s="36"/>
      <c r="IO332" s="36"/>
      <c r="IP332" s="36"/>
      <c r="IQ332" s="36"/>
      <c r="IR332" s="36"/>
      <c r="IS332" s="36"/>
      <c r="IT332" s="36"/>
      <c r="IU332" s="37"/>
      <c r="IV332" s="44"/>
      <c r="IW332" s="36"/>
      <c r="IX332" s="36"/>
      <c r="IY332" s="36"/>
      <c r="IZ332" s="36"/>
      <c r="JA332" s="36"/>
      <c r="JB332" s="36"/>
      <c r="JC332" s="36"/>
      <c r="JD332" s="36"/>
      <c r="JE332" s="36"/>
      <c r="JF332" s="36"/>
      <c r="JG332" s="36"/>
      <c r="JH332" s="36"/>
      <c r="JI332" s="36"/>
      <c r="JJ332" s="36"/>
      <c r="JK332" s="36"/>
      <c r="JL332" s="37"/>
      <c r="JM332" s="44"/>
      <c r="JN332" s="36"/>
      <c r="JO332" s="36"/>
      <c r="JP332" s="36"/>
      <c r="JQ332" s="36"/>
      <c r="JR332" s="36"/>
      <c r="JS332" s="36"/>
      <c r="JT332" s="36"/>
      <c r="JU332" s="36"/>
      <c r="JV332" s="36"/>
      <c r="JW332" s="36"/>
      <c r="JX332" s="36"/>
      <c r="JY332" s="36"/>
      <c r="JZ332" s="36"/>
      <c r="KA332" s="36"/>
      <c r="KB332" s="36"/>
      <c r="KC332" s="37"/>
      <c r="KD332" s="44"/>
      <c r="KE332" s="36"/>
      <c r="KF332" s="36"/>
      <c r="KG332" s="36"/>
      <c r="KH332" s="36"/>
      <c r="KI332" s="36"/>
      <c r="KJ332" s="36"/>
      <c r="KK332" s="36"/>
      <c r="KL332" s="36"/>
      <c r="KM332" s="36"/>
      <c r="KN332" s="36"/>
      <c r="KO332" s="36"/>
      <c r="KP332" s="36"/>
      <c r="KQ332" s="36"/>
      <c r="KR332" s="36"/>
      <c r="KS332" s="36"/>
      <c r="KT332" s="37"/>
      <c r="KU332" s="36"/>
    </row>
    <row r="333" ht="15.0" customHeight="1">
      <c r="A333" s="44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7"/>
      <c r="R333" s="44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7"/>
      <c r="AI333" s="44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  <c r="AU333" s="36"/>
      <c r="AV333" s="36"/>
      <c r="AW333" s="36"/>
      <c r="AX333" s="36"/>
      <c r="AY333" s="37"/>
      <c r="AZ333" s="44"/>
      <c r="BA333" s="36"/>
      <c r="BB333" s="36"/>
      <c r="BC333" s="36"/>
      <c r="BD333" s="36"/>
      <c r="BE333" s="36"/>
      <c r="BF333" s="36"/>
      <c r="BG333" s="36"/>
      <c r="BH333" s="36"/>
      <c r="BI333" s="36"/>
      <c r="BJ333" s="36"/>
      <c r="BK333" s="36"/>
      <c r="BL333" s="36"/>
      <c r="BM333" s="36"/>
      <c r="BN333" s="36"/>
      <c r="BO333" s="36"/>
      <c r="BP333" s="37"/>
      <c r="BQ333" s="44"/>
      <c r="BR333" s="36"/>
      <c r="BS333" s="36"/>
      <c r="BT333" s="36"/>
      <c r="BU333" s="36"/>
      <c r="BV333" s="36"/>
      <c r="BW333" s="36"/>
      <c r="BX333" s="36"/>
      <c r="BY333" s="36"/>
      <c r="BZ333" s="36"/>
      <c r="CA333" s="36"/>
      <c r="CB333" s="36"/>
      <c r="CC333" s="36"/>
      <c r="CD333" s="36"/>
      <c r="CE333" s="36"/>
      <c r="CF333" s="36"/>
      <c r="CG333" s="37"/>
      <c r="CH333" s="44"/>
      <c r="CI333" s="36"/>
      <c r="CJ333" s="36"/>
      <c r="CK333" s="36"/>
      <c r="CL333" s="36"/>
      <c r="CM333" s="36"/>
      <c r="CN333" s="36"/>
      <c r="CO333" s="36"/>
      <c r="CP333" s="36"/>
      <c r="CQ333" s="36"/>
      <c r="CR333" s="36"/>
      <c r="CS333" s="36"/>
      <c r="CT333" s="36"/>
      <c r="CU333" s="36"/>
      <c r="CV333" s="36"/>
      <c r="CW333" s="36"/>
      <c r="CX333" s="37"/>
      <c r="CY333" s="44"/>
      <c r="CZ333" s="36"/>
      <c r="DA333" s="36"/>
      <c r="DB333" s="36"/>
      <c r="DC333" s="36"/>
      <c r="DD333" s="36"/>
      <c r="DE333" s="36"/>
      <c r="DF333" s="36"/>
      <c r="DG333" s="36"/>
      <c r="DH333" s="36"/>
      <c r="DI333" s="36"/>
      <c r="DJ333" s="36"/>
      <c r="DK333" s="36"/>
      <c r="DL333" s="36"/>
      <c r="DM333" s="36"/>
      <c r="DN333" s="36"/>
      <c r="DO333" s="37"/>
      <c r="DP333" s="44"/>
      <c r="DQ333" s="36"/>
      <c r="DR333" s="36"/>
      <c r="DS333" s="36"/>
      <c r="DT333" s="36"/>
      <c r="DU333" s="36"/>
      <c r="DV333" s="36"/>
      <c r="DW333" s="36"/>
      <c r="DX333" s="36"/>
      <c r="DY333" s="36"/>
      <c r="DZ333" s="36"/>
      <c r="EA333" s="36"/>
      <c r="EB333" s="36"/>
      <c r="EC333" s="36"/>
      <c r="ED333" s="36"/>
      <c r="EE333" s="36"/>
      <c r="EF333" s="37"/>
      <c r="EG333" s="44"/>
      <c r="EH333" s="36"/>
      <c r="EI333" s="36"/>
      <c r="EJ333" s="36"/>
      <c r="EK333" s="36"/>
      <c r="EL333" s="36"/>
      <c r="EM333" s="36"/>
      <c r="EN333" s="36"/>
      <c r="EO333" s="36"/>
      <c r="EP333" s="36"/>
      <c r="EQ333" s="36"/>
      <c r="ER333" s="36"/>
      <c r="ES333" s="36"/>
      <c r="ET333" s="36"/>
      <c r="EU333" s="36"/>
      <c r="EV333" s="36"/>
      <c r="EW333" s="37"/>
      <c r="EX333" s="44"/>
      <c r="EY333" s="36"/>
      <c r="EZ333" s="36"/>
      <c r="FA333" s="36"/>
      <c r="FB333" s="36"/>
      <c r="FC333" s="36"/>
      <c r="FD333" s="36"/>
      <c r="FE333" s="36"/>
      <c r="FF333" s="36"/>
      <c r="FG333" s="36"/>
      <c r="FH333" s="36"/>
      <c r="FI333" s="36"/>
      <c r="FJ333" s="36"/>
      <c r="FK333" s="36"/>
      <c r="FL333" s="36"/>
      <c r="FM333" s="36"/>
      <c r="FN333" s="37"/>
      <c r="FO333" s="44"/>
      <c r="FP333" s="36"/>
      <c r="FQ333" s="36"/>
      <c r="FR333" s="36"/>
      <c r="FS333" s="36"/>
      <c r="FT333" s="36"/>
      <c r="FU333" s="36"/>
      <c r="FV333" s="36"/>
      <c r="FW333" s="36"/>
      <c r="FX333" s="36"/>
      <c r="FY333" s="36"/>
      <c r="FZ333" s="36"/>
      <c r="GA333" s="36"/>
      <c r="GB333" s="36"/>
      <c r="GC333" s="36"/>
      <c r="GD333" s="36"/>
      <c r="GE333" s="37"/>
      <c r="GF333" s="44"/>
      <c r="GG333" s="36"/>
      <c r="GH333" s="36"/>
      <c r="GI333" s="36"/>
      <c r="GJ333" s="36"/>
      <c r="GK333" s="36"/>
      <c r="GL333" s="36"/>
      <c r="GM333" s="36"/>
      <c r="GN333" s="36"/>
      <c r="GO333" s="36"/>
      <c r="GP333" s="36"/>
      <c r="GQ333" s="36"/>
      <c r="GR333" s="36"/>
      <c r="GS333" s="36"/>
      <c r="GT333" s="36"/>
      <c r="GU333" s="36"/>
      <c r="GV333" s="37"/>
      <c r="GW333" s="44"/>
      <c r="GX333" s="36"/>
      <c r="GY333" s="36"/>
      <c r="GZ333" s="36"/>
      <c r="HA333" s="36"/>
      <c r="HB333" s="36"/>
      <c r="HC333" s="36"/>
      <c r="HD333" s="36"/>
      <c r="HE333" s="36"/>
      <c r="HF333" s="36"/>
      <c r="HG333" s="36"/>
      <c r="HH333" s="36"/>
      <c r="HI333" s="36"/>
      <c r="HJ333" s="36"/>
      <c r="HK333" s="36"/>
      <c r="HL333" s="36"/>
      <c r="HM333" s="37"/>
      <c r="HN333" s="44"/>
      <c r="HO333" s="36"/>
      <c r="HP333" s="36"/>
      <c r="HQ333" s="36"/>
      <c r="HR333" s="36"/>
      <c r="HS333" s="36"/>
      <c r="HT333" s="36"/>
      <c r="HU333" s="36"/>
      <c r="HV333" s="36"/>
      <c r="HW333" s="36"/>
      <c r="HX333" s="36"/>
      <c r="HY333" s="36"/>
      <c r="HZ333" s="36"/>
      <c r="IA333" s="36"/>
      <c r="IB333" s="36"/>
      <c r="IC333" s="36"/>
      <c r="ID333" s="37"/>
      <c r="IE333" s="44"/>
      <c r="IF333" s="36"/>
      <c r="IG333" s="36"/>
      <c r="IH333" s="36"/>
      <c r="II333" s="36"/>
      <c r="IJ333" s="36"/>
      <c r="IK333" s="36"/>
      <c r="IL333" s="36"/>
      <c r="IM333" s="36"/>
      <c r="IN333" s="36"/>
      <c r="IO333" s="36"/>
      <c r="IP333" s="36"/>
      <c r="IQ333" s="36"/>
      <c r="IR333" s="36"/>
      <c r="IS333" s="36"/>
      <c r="IT333" s="36"/>
      <c r="IU333" s="37"/>
      <c r="IV333" s="44"/>
      <c r="IW333" s="36"/>
      <c r="IX333" s="36"/>
      <c r="IY333" s="36"/>
      <c r="IZ333" s="36"/>
      <c r="JA333" s="36"/>
      <c r="JB333" s="36"/>
      <c r="JC333" s="36"/>
      <c r="JD333" s="36"/>
      <c r="JE333" s="36"/>
      <c r="JF333" s="36"/>
      <c r="JG333" s="36"/>
      <c r="JH333" s="36"/>
      <c r="JI333" s="36"/>
      <c r="JJ333" s="36"/>
      <c r="JK333" s="36"/>
      <c r="JL333" s="37"/>
      <c r="JM333" s="44"/>
      <c r="JN333" s="36"/>
      <c r="JO333" s="36"/>
      <c r="JP333" s="36"/>
      <c r="JQ333" s="36"/>
      <c r="JR333" s="36"/>
      <c r="JS333" s="36"/>
      <c r="JT333" s="36"/>
      <c r="JU333" s="36"/>
      <c r="JV333" s="36"/>
      <c r="JW333" s="36"/>
      <c r="JX333" s="36"/>
      <c r="JY333" s="36"/>
      <c r="JZ333" s="36"/>
      <c r="KA333" s="36"/>
      <c r="KB333" s="36"/>
      <c r="KC333" s="37"/>
      <c r="KD333" s="44"/>
      <c r="KE333" s="36"/>
      <c r="KF333" s="36"/>
      <c r="KG333" s="36"/>
      <c r="KH333" s="36"/>
      <c r="KI333" s="36"/>
      <c r="KJ333" s="36"/>
      <c r="KK333" s="36"/>
      <c r="KL333" s="36"/>
      <c r="KM333" s="36"/>
      <c r="KN333" s="36"/>
      <c r="KO333" s="36"/>
      <c r="KP333" s="36"/>
      <c r="KQ333" s="36"/>
      <c r="KR333" s="36"/>
      <c r="KS333" s="36"/>
      <c r="KT333" s="37"/>
      <c r="KU333" s="36"/>
    </row>
    <row r="334" ht="15.0" customHeight="1">
      <c r="A334" s="44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7"/>
      <c r="R334" s="44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7"/>
      <c r="AI334" s="44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  <c r="AU334" s="36"/>
      <c r="AV334" s="36"/>
      <c r="AW334" s="36"/>
      <c r="AX334" s="36"/>
      <c r="AY334" s="37"/>
      <c r="AZ334" s="44"/>
      <c r="BA334" s="36"/>
      <c r="BB334" s="36"/>
      <c r="BC334" s="36"/>
      <c r="BD334" s="36"/>
      <c r="BE334" s="36"/>
      <c r="BF334" s="36"/>
      <c r="BG334" s="36"/>
      <c r="BH334" s="36"/>
      <c r="BI334" s="36"/>
      <c r="BJ334" s="36"/>
      <c r="BK334" s="36"/>
      <c r="BL334" s="36"/>
      <c r="BM334" s="36"/>
      <c r="BN334" s="36"/>
      <c r="BO334" s="36"/>
      <c r="BP334" s="37"/>
      <c r="BQ334" s="44"/>
      <c r="BR334" s="36"/>
      <c r="BS334" s="36"/>
      <c r="BT334" s="36"/>
      <c r="BU334" s="36"/>
      <c r="BV334" s="36"/>
      <c r="BW334" s="36"/>
      <c r="BX334" s="36"/>
      <c r="BY334" s="36"/>
      <c r="BZ334" s="36"/>
      <c r="CA334" s="36"/>
      <c r="CB334" s="36"/>
      <c r="CC334" s="36"/>
      <c r="CD334" s="36"/>
      <c r="CE334" s="36"/>
      <c r="CF334" s="36"/>
      <c r="CG334" s="37"/>
      <c r="CH334" s="44"/>
      <c r="CI334" s="36"/>
      <c r="CJ334" s="36"/>
      <c r="CK334" s="36"/>
      <c r="CL334" s="36"/>
      <c r="CM334" s="36"/>
      <c r="CN334" s="36"/>
      <c r="CO334" s="36"/>
      <c r="CP334" s="36"/>
      <c r="CQ334" s="36"/>
      <c r="CR334" s="36"/>
      <c r="CS334" s="36"/>
      <c r="CT334" s="36"/>
      <c r="CU334" s="36"/>
      <c r="CV334" s="36"/>
      <c r="CW334" s="36"/>
      <c r="CX334" s="37"/>
      <c r="CY334" s="44"/>
      <c r="CZ334" s="36"/>
      <c r="DA334" s="36"/>
      <c r="DB334" s="36"/>
      <c r="DC334" s="36"/>
      <c r="DD334" s="36"/>
      <c r="DE334" s="36"/>
      <c r="DF334" s="36"/>
      <c r="DG334" s="36"/>
      <c r="DH334" s="36"/>
      <c r="DI334" s="36"/>
      <c r="DJ334" s="36"/>
      <c r="DK334" s="36"/>
      <c r="DL334" s="36"/>
      <c r="DM334" s="36"/>
      <c r="DN334" s="36"/>
      <c r="DO334" s="37"/>
      <c r="DP334" s="44"/>
      <c r="DQ334" s="36"/>
      <c r="DR334" s="36"/>
      <c r="DS334" s="36"/>
      <c r="DT334" s="36"/>
      <c r="DU334" s="36"/>
      <c r="DV334" s="36"/>
      <c r="DW334" s="36"/>
      <c r="DX334" s="36"/>
      <c r="DY334" s="36"/>
      <c r="DZ334" s="36"/>
      <c r="EA334" s="36"/>
      <c r="EB334" s="36"/>
      <c r="EC334" s="36"/>
      <c r="ED334" s="36"/>
      <c r="EE334" s="36"/>
      <c r="EF334" s="37"/>
      <c r="EG334" s="44"/>
      <c r="EH334" s="36"/>
      <c r="EI334" s="36"/>
      <c r="EJ334" s="36"/>
      <c r="EK334" s="36"/>
      <c r="EL334" s="36"/>
      <c r="EM334" s="36"/>
      <c r="EN334" s="36"/>
      <c r="EO334" s="36"/>
      <c r="EP334" s="36"/>
      <c r="EQ334" s="36"/>
      <c r="ER334" s="36"/>
      <c r="ES334" s="36"/>
      <c r="ET334" s="36"/>
      <c r="EU334" s="36"/>
      <c r="EV334" s="36"/>
      <c r="EW334" s="37"/>
      <c r="EX334" s="44"/>
      <c r="EY334" s="36"/>
      <c r="EZ334" s="36"/>
      <c r="FA334" s="36"/>
      <c r="FB334" s="36"/>
      <c r="FC334" s="36"/>
      <c r="FD334" s="36"/>
      <c r="FE334" s="36"/>
      <c r="FF334" s="36"/>
      <c r="FG334" s="36"/>
      <c r="FH334" s="36"/>
      <c r="FI334" s="36"/>
      <c r="FJ334" s="36"/>
      <c r="FK334" s="36"/>
      <c r="FL334" s="36"/>
      <c r="FM334" s="36"/>
      <c r="FN334" s="37"/>
      <c r="FO334" s="44"/>
      <c r="FP334" s="36"/>
      <c r="FQ334" s="36"/>
      <c r="FR334" s="36"/>
      <c r="FS334" s="36"/>
      <c r="FT334" s="36"/>
      <c r="FU334" s="36"/>
      <c r="FV334" s="36"/>
      <c r="FW334" s="36"/>
      <c r="FX334" s="36"/>
      <c r="FY334" s="36"/>
      <c r="FZ334" s="36"/>
      <c r="GA334" s="36"/>
      <c r="GB334" s="36"/>
      <c r="GC334" s="36"/>
      <c r="GD334" s="36"/>
      <c r="GE334" s="37"/>
      <c r="GF334" s="44"/>
      <c r="GG334" s="36"/>
      <c r="GH334" s="36"/>
      <c r="GI334" s="36"/>
      <c r="GJ334" s="36"/>
      <c r="GK334" s="36"/>
      <c r="GL334" s="36"/>
      <c r="GM334" s="36"/>
      <c r="GN334" s="36"/>
      <c r="GO334" s="36"/>
      <c r="GP334" s="36"/>
      <c r="GQ334" s="36"/>
      <c r="GR334" s="36"/>
      <c r="GS334" s="36"/>
      <c r="GT334" s="36"/>
      <c r="GU334" s="36"/>
      <c r="GV334" s="37"/>
      <c r="GW334" s="44"/>
      <c r="GX334" s="36"/>
      <c r="GY334" s="36"/>
      <c r="GZ334" s="36"/>
      <c r="HA334" s="36"/>
      <c r="HB334" s="36"/>
      <c r="HC334" s="36"/>
      <c r="HD334" s="36"/>
      <c r="HE334" s="36"/>
      <c r="HF334" s="36"/>
      <c r="HG334" s="36"/>
      <c r="HH334" s="36"/>
      <c r="HI334" s="36"/>
      <c r="HJ334" s="36"/>
      <c r="HK334" s="36"/>
      <c r="HL334" s="36"/>
      <c r="HM334" s="37"/>
      <c r="HN334" s="44"/>
      <c r="HO334" s="36"/>
      <c r="HP334" s="36"/>
      <c r="HQ334" s="36"/>
      <c r="HR334" s="36"/>
      <c r="HS334" s="36"/>
      <c r="HT334" s="36"/>
      <c r="HU334" s="36"/>
      <c r="HV334" s="36"/>
      <c r="HW334" s="36"/>
      <c r="HX334" s="36"/>
      <c r="HY334" s="36"/>
      <c r="HZ334" s="36"/>
      <c r="IA334" s="36"/>
      <c r="IB334" s="36"/>
      <c r="IC334" s="36"/>
      <c r="ID334" s="37"/>
      <c r="IE334" s="44"/>
      <c r="IF334" s="36"/>
      <c r="IG334" s="36"/>
      <c r="IH334" s="36"/>
      <c r="II334" s="36"/>
      <c r="IJ334" s="36"/>
      <c r="IK334" s="36"/>
      <c r="IL334" s="36"/>
      <c r="IM334" s="36"/>
      <c r="IN334" s="36"/>
      <c r="IO334" s="36"/>
      <c r="IP334" s="36"/>
      <c r="IQ334" s="36"/>
      <c r="IR334" s="36"/>
      <c r="IS334" s="36"/>
      <c r="IT334" s="36"/>
      <c r="IU334" s="37"/>
      <c r="IV334" s="44"/>
      <c r="IW334" s="36"/>
      <c r="IX334" s="36"/>
      <c r="IY334" s="36"/>
      <c r="IZ334" s="36"/>
      <c r="JA334" s="36"/>
      <c r="JB334" s="36"/>
      <c r="JC334" s="36"/>
      <c r="JD334" s="36"/>
      <c r="JE334" s="36"/>
      <c r="JF334" s="36"/>
      <c r="JG334" s="36"/>
      <c r="JH334" s="36"/>
      <c r="JI334" s="36"/>
      <c r="JJ334" s="36"/>
      <c r="JK334" s="36"/>
      <c r="JL334" s="37"/>
      <c r="JM334" s="44"/>
      <c r="JN334" s="36"/>
      <c r="JO334" s="36"/>
      <c r="JP334" s="36"/>
      <c r="JQ334" s="36"/>
      <c r="JR334" s="36"/>
      <c r="JS334" s="36"/>
      <c r="JT334" s="36"/>
      <c r="JU334" s="36"/>
      <c r="JV334" s="36"/>
      <c r="JW334" s="36"/>
      <c r="JX334" s="36"/>
      <c r="JY334" s="36"/>
      <c r="JZ334" s="36"/>
      <c r="KA334" s="36"/>
      <c r="KB334" s="36"/>
      <c r="KC334" s="37"/>
      <c r="KD334" s="44"/>
      <c r="KE334" s="36"/>
      <c r="KF334" s="36"/>
      <c r="KG334" s="36"/>
      <c r="KH334" s="36"/>
      <c r="KI334" s="36"/>
      <c r="KJ334" s="36"/>
      <c r="KK334" s="36"/>
      <c r="KL334" s="36"/>
      <c r="KM334" s="36"/>
      <c r="KN334" s="36"/>
      <c r="KO334" s="36"/>
      <c r="KP334" s="36"/>
      <c r="KQ334" s="36"/>
      <c r="KR334" s="36"/>
      <c r="KS334" s="36"/>
      <c r="KT334" s="37"/>
      <c r="KU334" s="36"/>
    </row>
    <row r="335" ht="15.0" customHeight="1">
      <c r="A335" s="44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7"/>
      <c r="R335" s="44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7"/>
      <c r="AI335" s="44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36"/>
      <c r="AU335" s="36"/>
      <c r="AV335" s="36"/>
      <c r="AW335" s="36"/>
      <c r="AX335" s="36"/>
      <c r="AY335" s="37"/>
      <c r="AZ335" s="44"/>
      <c r="BA335" s="36"/>
      <c r="BB335" s="36"/>
      <c r="BC335" s="36"/>
      <c r="BD335" s="36"/>
      <c r="BE335" s="36"/>
      <c r="BF335" s="36"/>
      <c r="BG335" s="36"/>
      <c r="BH335" s="36"/>
      <c r="BI335" s="36"/>
      <c r="BJ335" s="36"/>
      <c r="BK335" s="36"/>
      <c r="BL335" s="36"/>
      <c r="BM335" s="36"/>
      <c r="BN335" s="36"/>
      <c r="BO335" s="36"/>
      <c r="BP335" s="37"/>
      <c r="BQ335" s="44"/>
      <c r="BR335" s="36"/>
      <c r="BS335" s="36"/>
      <c r="BT335" s="36"/>
      <c r="BU335" s="36"/>
      <c r="BV335" s="36"/>
      <c r="BW335" s="36"/>
      <c r="BX335" s="36"/>
      <c r="BY335" s="36"/>
      <c r="BZ335" s="36"/>
      <c r="CA335" s="36"/>
      <c r="CB335" s="36"/>
      <c r="CC335" s="36"/>
      <c r="CD335" s="36"/>
      <c r="CE335" s="36"/>
      <c r="CF335" s="36"/>
      <c r="CG335" s="37"/>
      <c r="CH335" s="44"/>
      <c r="CI335" s="36"/>
      <c r="CJ335" s="36"/>
      <c r="CK335" s="36"/>
      <c r="CL335" s="36"/>
      <c r="CM335" s="36"/>
      <c r="CN335" s="36"/>
      <c r="CO335" s="36"/>
      <c r="CP335" s="36"/>
      <c r="CQ335" s="36"/>
      <c r="CR335" s="36"/>
      <c r="CS335" s="36"/>
      <c r="CT335" s="36"/>
      <c r="CU335" s="36"/>
      <c r="CV335" s="36"/>
      <c r="CW335" s="36"/>
      <c r="CX335" s="37"/>
      <c r="CY335" s="44"/>
      <c r="CZ335" s="36"/>
      <c r="DA335" s="36"/>
      <c r="DB335" s="36"/>
      <c r="DC335" s="36"/>
      <c r="DD335" s="36"/>
      <c r="DE335" s="36"/>
      <c r="DF335" s="36"/>
      <c r="DG335" s="36"/>
      <c r="DH335" s="36"/>
      <c r="DI335" s="36"/>
      <c r="DJ335" s="36"/>
      <c r="DK335" s="36"/>
      <c r="DL335" s="36"/>
      <c r="DM335" s="36"/>
      <c r="DN335" s="36"/>
      <c r="DO335" s="37"/>
      <c r="DP335" s="44"/>
      <c r="DQ335" s="36"/>
      <c r="DR335" s="36"/>
      <c r="DS335" s="36"/>
      <c r="DT335" s="36"/>
      <c r="DU335" s="36"/>
      <c r="DV335" s="36"/>
      <c r="DW335" s="36"/>
      <c r="DX335" s="36"/>
      <c r="DY335" s="36"/>
      <c r="DZ335" s="36"/>
      <c r="EA335" s="36"/>
      <c r="EB335" s="36"/>
      <c r="EC335" s="36"/>
      <c r="ED335" s="36"/>
      <c r="EE335" s="36"/>
      <c r="EF335" s="37"/>
      <c r="EG335" s="44"/>
      <c r="EH335" s="36"/>
      <c r="EI335" s="36"/>
      <c r="EJ335" s="36"/>
      <c r="EK335" s="36"/>
      <c r="EL335" s="36"/>
      <c r="EM335" s="36"/>
      <c r="EN335" s="36"/>
      <c r="EO335" s="36"/>
      <c r="EP335" s="36"/>
      <c r="EQ335" s="36"/>
      <c r="ER335" s="36"/>
      <c r="ES335" s="36"/>
      <c r="ET335" s="36"/>
      <c r="EU335" s="36"/>
      <c r="EV335" s="36"/>
      <c r="EW335" s="37"/>
      <c r="EX335" s="44"/>
      <c r="EY335" s="36"/>
      <c r="EZ335" s="36"/>
      <c r="FA335" s="36"/>
      <c r="FB335" s="36"/>
      <c r="FC335" s="36"/>
      <c r="FD335" s="36"/>
      <c r="FE335" s="36"/>
      <c r="FF335" s="36"/>
      <c r="FG335" s="36"/>
      <c r="FH335" s="36"/>
      <c r="FI335" s="36"/>
      <c r="FJ335" s="36"/>
      <c r="FK335" s="36"/>
      <c r="FL335" s="36"/>
      <c r="FM335" s="36"/>
      <c r="FN335" s="37"/>
      <c r="FO335" s="44"/>
      <c r="FP335" s="36"/>
      <c r="FQ335" s="36"/>
      <c r="FR335" s="36"/>
      <c r="FS335" s="36"/>
      <c r="FT335" s="36"/>
      <c r="FU335" s="36"/>
      <c r="FV335" s="36"/>
      <c r="FW335" s="36"/>
      <c r="FX335" s="36"/>
      <c r="FY335" s="36"/>
      <c r="FZ335" s="36"/>
      <c r="GA335" s="36"/>
      <c r="GB335" s="36"/>
      <c r="GC335" s="36"/>
      <c r="GD335" s="36"/>
      <c r="GE335" s="37"/>
      <c r="GF335" s="44"/>
      <c r="GG335" s="36"/>
      <c r="GH335" s="36"/>
      <c r="GI335" s="36"/>
      <c r="GJ335" s="36"/>
      <c r="GK335" s="36"/>
      <c r="GL335" s="36"/>
      <c r="GM335" s="36"/>
      <c r="GN335" s="36"/>
      <c r="GO335" s="36"/>
      <c r="GP335" s="36"/>
      <c r="GQ335" s="36"/>
      <c r="GR335" s="36"/>
      <c r="GS335" s="36"/>
      <c r="GT335" s="36"/>
      <c r="GU335" s="36"/>
      <c r="GV335" s="37"/>
      <c r="GW335" s="44"/>
      <c r="GX335" s="36"/>
      <c r="GY335" s="36"/>
      <c r="GZ335" s="36"/>
      <c r="HA335" s="36"/>
      <c r="HB335" s="36"/>
      <c r="HC335" s="36"/>
      <c r="HD335" s="36"/>
      <c r="HE335" s="36"/>
      <c r="HF335" s="36"/>
      <c r="HG335" s="36"/>
      <c r="HH335" s="36"/>
      <c r="HI335" s="36"/>
      <c r="HJ335" s="36"/>
      <c r="HK335" s="36"/>
      <c r="HL335" s="36"/>
      <c r="HM335" s="37"/>
      <c r="HN335" s="44"/>
      <c r="HO335" s="36"/>
      <c r="HP335" s="36"/>
      <c r="HQ335" s="36"/>
      <c r="HR335" s="36"/>
      <c r="HS335" s="36"/>
      <c r="HT335" s="36"/>
      <c r="HU335" s="36"/>
      <c r="HV335" s="36"/>
      <c r="HW335" s="36"/>
      <c r="HX335" s="36"/>
      <c r="HY335" s="36"/>
      <c r="HZ335" s="36"/>
      <c r="IA335" s="36"/>
      <c r="IB335" s="36"/>
      <c r="IC335" s="36"/>
      <c r="ID335" s="37"/>
      <c r="IE335" s="44"/>
      <c r="IF335" s="36"/>
      <c r="IG335" s="36"/>
      <c r="IH335" s="36"/>
      <c r="II335" s="36"/>
      <c r="IJ335" s="36"/>
      <c r="IK335" s="36"/>
      <c r="IL335" s="36"/>
      <c r="IM335" s="36"/>
      <c r="IN335" s="36"/>
      <c r="IO335" s="36"/>
      <c r="IP335" s="36"/>
      <c r="IQ335" s="36"/>
      <c r="IR335" s="36"/>
      <c r="IS335" s="36"/>
      <c r="IT335" s="36"/>
      <c r="IU335" s="37"/>
      <c r="IV335" s="44"/>
      <c r="IW335" s="36"/>
      <c r="IX335" s="36"/>
      <c r="IY335" s="36"/>
      <c r="IZ335" s="36"/>
      <c r="JA335" s="36"/>
      <c r="JB335" s="36"/>
      <c r="JC335" s="36"/>
      <c r="JD335" s="36"/>
      <c r="JE335" s="36"/>
      <c r="JF335" s="36"/>
      <c r="JG335" s="36"/>
      <c r="JH335" s="36"/>
      <c r="JI335" s="36"/>
      <c r="JJ335" s="36"/>
      <c r="JK335" s="36"/>
      <c r="JL335" s="37"/>
      <c r="JM335" s="44"/>
      <c r="JN335" s="36"/>
      <c r="JO335" s="36"/>
      <c r="JP335" s="36"/>
      <c r="JQ335" s="36"/>
      <c r="JR335" s="36"/>
      <c r="JS335" s="36"/>
      <c r="JT335" s="36"/>
      <c r="JU335" s="36"/>
      <c r="JV335" s="36"/>
      <c r="JW335" s="36"/>
      <c r="JX335" s="36"/>
      <c r="JY335" s="36"/>
      <c r="JZ335" s="36"/>
      <c r="KA335" s="36"/>
      <c r="KB335" s="36"/>
      <c r="KC335" s="37"/>
      <c r="KD335" s="44"/>
      <c r="KE335" s="36"/>
      <c r="KF335" s="36"/>
      <c r="KG335" s="36"/>
      <c r="KH335" s="36"/>
      <c r="KI335" s="36"/>
      <c r="KJ335" s="36"/>
      <c r="KK335" s="36"/>
      <c r="KL335" s="36"/>
      <c r="KM335" s="36"/>
      <c r="KN335" s="36"/>
      <c r="KO335" s="36"/>
      <c r="KP335" s="36"/>
      <c r="KQ335" s="36"/>
      <c r="KR335" s="36"/>
      <c r="KS335" s="36"/>
      <c r="KT335" s="37"/>
      <c r="KU335" s="36"/>
    </row>
    <row r="336" ht="15.0" customHeight="1">
      <c r="A336" s="44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7"/>
      <c r="R336" s="44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7"/>
      <c r="AI336" s="44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  <c r="AU336" s="36"/>
      <c r="AV336" s="36"/>
      <c r="AW336" s="36"/>
      <c r="AX336" s="36"/>
      <c r="AY336" s="37"/>
      <c r="AZ336" s="44"/>
      <c r="BA336" s="36"/>
      <c r="BB336" s="36"/>
      <c r="BC336" s="36"/>
      <c r="BD336" s="36"/>
      <c r="BE336" s="36"/>
      <c r="BF336" s="36"/>
      <c r="BG336" s="36"/>
      <c r="BH336" s="36"/>
      <c r="BI336" s="36"/>
      <c r="BJ336" s="36"/>
      <c r="BK336" s="36"/>
      <c r="BL336" s="36"/>
      <c r="BM336" s="36"/>
      <c r="BN336" s="36"/>
      <c r="BO336" s="36"/>
      <c r="BP336" s="37"/>
      <c r="BQ336" s="44"/>
      <c r="BR336" s="36"/>
      <c r="BS336" s="36"/>
      <c r="BT336" s="36"/>
      <c r="BU336" s="36"/>
      <c r="BV336" s="36"/>
      <c r="BW336" s="36"/>
      <c r="BX336" s="36"/>
      <c r="BY336" s="36"/>
      <c r="BZ336" s="36"/>
      <c r="CA336" s="36"/>
      <c r="CB336" s="36"/>
      <c r="CC336" s="36"/>
      <c r="CD336" s="36"/>
      <c r="CE336" s="36"/>
      <c r="CF336" s="36"/>
      <c r="CG336" s="37"/>
      <c r="CH336" s="44"/>
      <c r="CI336" s="36"/>
      <c r="CJ336" s="36"/>
      <c r="CK336" s="36"/>
      <c r="CL336" s="36"/>
      <c r="CM336" s="36"/>
      <c r="CN336" s="36"/>
      <c r="CO336" s="36"/>
      <c r="CP336" s="36"/>
      <c r="CQ336" s="36"/>
      <c r="CR336" s="36"/>
      <c r="CS336" s="36"/>
      <c r="CT336" s="36"/>
      <c r="CU336" s="36"/>
      <c r="CV336" s="36"/>
      <c r="CW336" s="36"/>
      <c r="CX336" s="37"/>
      <c r="CY336" s="44"/>
      <c r="CZ336" s="36"/>
      <c r="DA336" s="36"/>
      <c r="DB336" s="36"/>
      <c r="DC336" s="36"/>
      <c r="DD336" s="36"/>
      <c r="DE336" s="36"/>
      <c r="DF336" s="36"/>
      <c r="DG336" s="36"/>
      <c r="DH336" s="36"/>
      <c r="DI336" s="36"/>
      <c r="DJ336" s="36"/>
      <c r="DK336" s="36"/>
      <c r="DL336" s="36"/>
      <c r="DM336" s="36"/>
      <c r="DN336" s="36"/>
      <c r="DO336" s="37"/>
      <c r="DP336" s="44"/>
      <c r="DQ336" s="36"/>
      <c r="DR336" s="36"/>
      <c r="DS336" s="36"/>
      <c r="DT336" s="36"/>
      <c r="DU336" s="36"/>
      <c r="DV336" s="36"/>
      <c r="DW336" s="36"/>
      <c r="DX336" s="36"/>
      <c r="DY336" s="36"/>
      <c r="DZ336" s="36"/>
      <c r="EA336" s="36"/>
      <c r="EB336" s="36"/>
      <c r="EC336" s="36"/>
      <c r="ED336" s="36"/>
      <c r="EE336" s="36"/>
      <c r="EF336" s="37"/>
      <c r="EG336" s="44"/>
      <c r="EH336" s="36"/>
      <c r="EI336" s="36"/>
      <c r="EJ336" s="36"/>
      <c r="EK336" s="36"/>
      <c r="EL336" s="36"/>
      <c r="EM336" s="36"/>
      <c r="EN336" s="36"/>
      <c r="EO336" s="36"/>
      <c r="EP336" s="36"/>
      <c r="EQ336" s="36"/>
      <c r="ER336" s="36"/>
      <c r="ES336" s="36"/>
      <c r="ET336" s="36"/>
      <c r="EU336" s="36"/>
      <c r="EV336" s="36"/>
      <c r="EW336" s="37"/>
      <c r="EX336" s="44"/>
      <c r="EY336" s="36"/>
      <c r="EZ336" s="36"/>
      <c r="FA336" s="36"/>
      <c r="FB336" s="36"/>
      <c r="FC336" s="36"/>
      <c r="FD336" s="36"/>
      <c r="FE336" s="36"/>
      <c r="FF336" s="36"/>
      <c r="FG336" s="36"/>
      <c r="FH336" s="36"/>
      <c r="FI336" s="36"/>
      <c r="FJ336" s="36"/>
      <c r="FK336" s="36"/>
      <c r="FL336" s="36"/>
      <c r="FM336" s="36"/>
      <c r="FN336" s="37"/>
      <c r="FO336" s="44"/>
      <c r="FP336" s="36"/>
      <c r="FQ336" s="36"/>
      <c r="FR336" s="36"/>
      <c r="FS336" s="36"/>
      <c r="FT336" s="36"/>
      <c r="FU336" s="36"/>
      <c r="FV336" s="36"/>
      <c r="FW336" s="36"/>
      <c r="FX336" s="36"/>
      <c r="FY336" s="36"/>
      <c r="FZ336" s="36"/>
      <c r="GA336" s="36"/>
      <c r="GB336" s="36"/>
      <c r="GC336" s="36"/>
      <c r="GD336" s="36"/>
      <c r="GE336" s="37"/>
      <c r="GF336" s="44"/>
      <c r="GG336" s="36"/>
      <c r="GH336" s="36"/>
      <c r="GI336" s="36"/>
      <c r="GJ336" s="36"/>
      <c r="GK336" s="36"/>
      <c r="GL336" s="36"/>
      <c r="GM336" s="36"/>
      <c r="GN336" s="36"/>
      <c r="GO336" s="36"/>
      <c r="GP336" s="36"/>
      <c r="GQ336" s="36"/>
      <c r="GR336" s="36"/>
      <c r="GS336" s="36"/>
      <c r="GT336" s="36"/>
      <c r="GU336" s="36"/>
      <c r="GV336" s="37"/>
      <c r="GW336" s="44"/>
      <c r="GX336" s="36"/>
      <c r="GY336" s="36"/>
      <c r="GZ336" s="36"/>
      <c r="HA336" s="36"/>
      <c r="HB336" s="36"/>
      <c r="HC336" s="36"/>
      <c r="HD336" s="36"/>
      <c r="HE336" s="36"/>
      <c r="HF336" s="36"/>
      <c r="HG336" s="36"/>
      <c r="HH336" s="36"/>
      <c r="HI336" s="36"/>
      <c r="HJ336" s="36"/>
      <c r="HK336" s="36"/>
      <c r="HL336" s="36"/>
      <c r="HM336" s="37"/>
      <c r="HN336" s="44"/>
      <c r="HO336" s="36"/>
      <c r="HP336" s="36"/>
      <c r="HQ336" s="36"/>
      <c r="HR336" s="36"/>
      <c r="HS336" s="36"/>
      <c r="HT336" s="36"/>
      <c r="HU336" s="36"/>
      <c r="HV336" s="36"/>
      <c r="HW336" s="36"/>
      <c r="HX336" s="36"/>
      <c r="HY336" s="36"/>
      <c r="HZ336" s="36"/>
      <c r="IA336" s="36"/>
      <c r="IB336" s="36"/>
      <c r="IC336" s="36"/>
      <c r="ID336" s="37"/>
      <c r="IE336" s="44"/>
      <c r="IF336" s="36"/>
      <c r="IG336" s="36"/>
      <c r="IH336" s="36"/>
      <c r="II336" s="36"/>
      <c r="IJ336" s="36"/>
      <c r="IK336" s="36"/>
      <c r="IL336" s="36"/>
      <c r="IM336" s="36"/>
      <c r="IN336" s="36"/>
      <c r="IO336" s="36"/>
      <c r="IP336" s="36"/>
      <c r="IQ336" s="36"/>
      <c r="IR336" s="36"/>
      <c r="IS336" s="36"/>
      <c r="IT336" s="36"/>
      <c r="IU336" s="37"/>
      <c r="IV336" s="44"/>
      <c r="IW336" s="36"/>
      <c r="IX336" s="36"/>
      <c r="IY336" s="36"/>
      <c r="IZ336" s="36"/>
      <c r="JA336" s="36"/>
      <c r="JB336" s="36"/>
      <c r="JC336" s="36"/>
      <c r="JD336" s="36"/>
      <c r="JE336" s="36"/>
      <c r="JF336" s="36"/>
      <c r="JG336" s="36"/>
      <c r="JH336" s="36"/>
      <c r="JI336" s="36"/>
      <c r="JJ336" s="36"/>
      <c r="JK336" s="36"/>
      <c r="JL336" s="37"/>
      <c r="JM336" s="44"/>
      <c r="JN336" s="36"/>
      <c r="JO336" s="36"/>
      <c r="JP336" s="36"/>
      <c r="JQ336" s="36"/>
      <c r="JR336" s="36"/>
      <c r="JS336" s="36"/>
      <c r="JT336" s="36"/>
      <c r="JU336" s="36"/>
      <c r="JV336" s="36"/>
      <c r="JW336" s="36"/>
      <c r="JX336" s="36"/>
      <c r="JY336" s="36"/>
      <c r="JZ336" s="36"/>
      <c r="KA336" s="36"/>
      <c r="KB336" s="36"/>
      <c r="KC336" s="37"/>
      <c r="KD336" s="44"/>
      <c r="KE336" s="36"/>
      <c r="KF336" s="36"/>
      <c r="KG336" s="36"/>
      <c r="KH336" s="36"/>
      <c r="KI336" s="36"/>
      <c r="KJ336" s="36"/>
      <c r="KK336" s="36"/>
      <c r="KL336" s="36"/>
      <c r="KM336" s="36"/>
      <c r="KN336" s="36"/>
      <c r="KO336" s="36"/>
      <c r="KP336" s="36"/>
      <c r="KQ336" s="36"/>
      <c r="KR336" s="36"/>
      <c r="KS336" s="36"/>
      <c r="KT336" s="37"/>
      <c r="KU336" s="36"/>
    </row>
    <row r="337" ht="15.0" customHeight="1">
      <c r="A337" s="44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7"/>
      <c r="R337" s="44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7"/>
      <c r="AI337" s="44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  <c r="AU337" s="36"/>
      <c r="AV337" s="36"/>
      <c r="AW337" s="36"/>
      <c r="AX337" s="36"/>
      <c r="AY337" s="37"/>
      <c r="AZ337" s="44"/>
      <c r="BA337" s="36"/>
      <c r="BB337" s="36"/>
      <c r="BC337" s="36"/>
      <c r="BD337" s="36"/>
      <c r="BE337" s="36"/>
      <c r="BF337" s="36"/>
      <c r="BG337" s="36"/>
      <c r="BH337" s="36"/>
      <c r="BI337" s="36"/>
      <c r="BJ337" s="36"/>
      <c r="BK337" s="36"/>
      <c r="BL337" s="36"/>
      <c r="BM337" s="36"/>
      <c r="BN337" s="36"/>
      <c r="BO337" s="36"/>
      <c r="BP337" s="37"/>
      <c r="BQ337" s="44"/>
      <c r="BR337" s="36"/>
      <c r="BS337" s="36"/>
      <c r="BT337" s="36"/>
      <c r="BU337" s="36"/>
      <c r="BV337" s="36"/>
      <c r="BW337" s="36"/>
      <c r="BX337" s="36"/>
      <c r="BY337" s="36"/>
      <c r="BZ337" s="36"/>
      <c r="CA337" s="36"/>
      <c r="CB337" s="36"/>
      <c r="CC337" s="36"/>
      <c r="CD337" s="36"/>
      <c r="CE337" s="36"/>
      <c r="CF337" s="36"/>
      <c r="CG337" s="37"/>
      <c r="CH337" s="44"/>
      <c r="CI337" s="36"/>
      <c r="CJ337" s="36"/>
      <c r="CK337" s="36"/>
      <c r="CL337" s="36"/>
      <c r="CM337" s="36"/>
      <c r="CN337" s="36"/>
      <c r="CO337" s="36"/>
      <c r="CP337" s="36"/>
      <c r="CQ337" s="36"/>
      <c r="CR337" s="36"/>
      <c r="CS337" s="36"/>
      <c r="CT337" s="36"/>
      <c r="CU337" s="36"/>
      <c r="CV337" s="36"/>
      <c r="CW337" s="36"/>
      <c r="CX337" s="37"/>
      <c r="CY337" s="44"/>
      <c r="CZ337" s="36"/>
      <c r="DA337" s="36"/>
      <c r="DB337" s="36"/>
      <c r="DC337" s="36"/>
      <c r="DD337" s="36"/>
      <c r="DE337" s="36"/>
      <c r="DF337" s="36"/>
      <c r="DG337" s="36"/>
      <c r="DH337" s="36"/>
      <c r="DI337" s="36"/>
      <c r="DJ337" s="36"/>
      <c r="DK337" s="36"/>
      <c r="DL337" s="36"/>
      <c r="DM337" s="36"/>
      <c r="DN337" s="36"/>
      <c r="DO337" s="37"/>
      <c r="DP337" s="44"/>
      <c r="DQ337" s="36"/>
      <c r="DR337" s="36"/>
      <c r="DS337" s="36"/>
      <c r="DT337" s="36"/>
      <c r="DU337" s="36"/>
      <c r="DV337" s="36"/>
      <c r="DW337" s="36"/>
      <c r="DX337" s="36"/>
      <c r="DY337" s="36"/>
      <c r="DZ337" s="36"/>
      <c r="EA337" s="36"/>
      <c r="EB337" s="36"/>
      <c r="EC337" s="36"/>
      <c r="ED337" s="36"/>
      <c r="EE337" s="36"/>
      <c r="EF337" s="37"/>
      <c r="EG337" s="44"/>
      <c r="EH337" s="36"/>
      <c r="EI337" s="36"/>
      <c r="EJ337" s="36"/>
      <c r="EK337" s="36"/>
      <c r="EL337" s="36"/>
      <c r="EM337" s="36"/>
      <c r="EN337" s="36"/>
      <c r="EO337" s="36"/>
      <c r="EP337" s="36"/>
      <c r="EQ337" s="36"/>
      <c r="ER337" s="36"/>
      <c r="ES337" s="36"/>
      <c r="ET337" s="36"/>
      <c r="EU337" s="36"/>
      <c r="EV337" s="36"/>
      <c r="EW337" s="37"/>
      <c r="EX337" s="44"/>
      <c r="EY337" s="36"/>
      <c r="EZ337" s="36"/>
      <c r="FA337" s="36"/>
      <c r="FB337" s="36"/>
      <c r="FC337" s="36"/>
      <c r="FD337" s="36"/>
      <c r="FE337" s="36"/>
      <c r="FF337" s="36"/>
      <c r="FG337" s="36"/>
      <c r="FH337" s="36"/>
      <c r="FI337" s="36"/>
      <c r="FJ337" s="36"/>
      <c r="FK337" s="36"/>
      <c r="FL337" s="36"/>
      <c r="FM337" s="36"/>
      <c r="FN337" s="37"/>
      <c r="FO337" s="44"/>
      <c r="FP337" s="36"/>
      <c r="FQ337" s="36"/>
      <c r="FR337" s="36"/>
      <c r="FS337" s="36"/>
      <c r="FT337" s="36"/>
      <c r="FU337" s="36"/>
      <c r="FV337" s="36"/>
      <c r="FW337" s="36"/>
      <c r="FX337" s="36"/>
      <c r="FY337" s="36"/>
      <c r="FZ337" s="36"/>
      <c r="GA337" s="36"/>
      <c r="GB337" s="36"/>
      <c r="GC337" s="36"/>
      <c r="GD337" s="36"/>
      <c r="GE337" s="37"/>
      <c r="GF337" s="44"/>
      <c r="GG337" s="36"/>
      <c r="GH337" s="36"/>
      <c r="GI337" s="36"/>
      <c r="GJ337" s="36"/>
      <c r="GK337" s="36"/>
      <c r="GL337" s="36"/>
      <c r="GM337" s="36"/>
      <c r="GN337" s="36"/>
      <c r="GO337" s="36"/>
      <c r="GP337" s="36"/>
      <c r="GQ337" s="36"/>
      <c r="GR337" s="36"/>
      <c r="GS337" s="36"/>
      <c r="GT337" s="36"/>
      <c r="GU337" s="36"/>
      <c r="GV337" s="37"/>
      <c r="GW337" s="44"/>
      <c r="GX337" s="36"/>
      <c r="GY337" s="36"/>
      <c r="GZ337" s="36"/>
      <c r="HA337" s="36"/>
      <c r="HB337" s="36"/>
      <c r="HC337" s="36"/>
      <c r="HD337" s="36"/>
      <c r="HE337" s="36"/>
      <c r="HF337" s="36"/>
      <c r="HG337" s="36"/>
      <c r="HH337" s="36"/>
      <c r="HI337" s="36"/>
      <c r="HJ337" s="36"/>
      <c r="HK337" s="36"/>
      <c r="HL337" s="36"/>
      <c r="HM337" s="37"/>
      <c r="HN337" s="44"/>
      <c r="HO337" s="36"/>
      <c r="HP337" s="36"/>
      <c r="HQ337" s="36"/>
      <c r="HR337" s="36"/>
      <c r="HS337" s="36"/>
      <c r="HT337" s="36"/>
      <c r="HU337" s="36"/>
      <c r="HV337" s="36"/>
      <c r="HW337" s="36"/>
      <c r="HX337" s="36"/>
      <c r="HY337" s="36"/>
      <c r="HZ337" s="36"/>
      <c r="IA337" s="36"/>
      <c r="IB337" s="36"/>
      <c r="IC337" s="36"/>
      <c r="ID337" s="37"/>
      <c r="IE337" s="44"/>
      <c r="IF337" s="36"/>
      <c r="IG337" s="36"/>
      <c r="IH337" s="36"/>
      <c r="II337" s="36"/>
      <c r="IJ337" s="36"/>
      <c r="IK337" s="36"/>
      <c r="IL337" s="36"/>
      <c r="IM337" s="36"/>
      <c r="IN337" s="36"/>
      <c r="IO337" s="36"/>
      <c r="IP337" s="36"/>
      <c r="IQ337" s="36"/>
      <c r="IR337" s="36"/>
      <c r="IS337" s="36"/>
      <c r="IT337" s="36"/>
      <c r="IU337" s="37"/>
      <c r="IV337" s="44"/>
      <c r="IW337" s="36"/>
      <c r="IX337" s="36"/>
      <c r="IY337" s="36"/>
      <c r="IZ337" s="36"/>
      <c r="JA337" s="36"/>
      <c r="JB337" s="36"/>
      <c r="JC337" s="36"/>
      <c r="JD337" s="36"/>
      <c r="JE337" s="36"/>
      <c r="JF337" s="36"/>
      <c r="JG337" s="36"/>
      <c r="JH337" s="36"/>
      <c r="JI337" s="36"/>
      <c r="JJ337" s="36"/>
      <c r="JK337" s="36"/>
      <c r="JL337" s="37"/>
      <c r="JM337" s="44"/>
      <c r="JN337" s="36"/>
      <c r="JO337" s="36"/>
      <c r="JP337" s="36"/>
      <c r="JQ337" s="36"/>
      <c r="JR337" s="36"/>
      <c r="JS337" s="36"/>
      <c r="JT337" s="36"/>
      <c r="JU337" s="36"/>
      <c r="JV337" s="36"/>
      <c r="JW337" s="36"/>
      <c r="JX337" s="36"/>
      <c r="JY337" s="36"/>
      <c r="JZ337" s="36"/>
      <c r="KA337" s="36"/>
      <c r="KB337" s="36"/>
      <c r="KC337" s="37"/>
      <c r="KD337" s="44"/>
      <c r="KE337" s="36"/>
      <c r="KF337" s="36"/>
      <c r="KG337" s="36"/>
      <c r="KH337" s="36"/>
      <c r="KI337" s="36"/>
      <c r="KJ337" s="36"/>
      <c r="KK337" s="36"/>
      <c r="KL337" s="36"/>
      <c r="KM337" s="36"/>
      <c r="KN337" s="36"/>
      <c r="KO337" s="36"/>
      <c r="KP337" s="36"/>
      <c r="KQ337" s="36"/>
      <c r="KR337" s="36"/>
      <c r="KS337" s="36"/>
      <c r="KT337" s="37"/>
      <c r="KU337" s="36"/>
    </row>
    <row r="338" ht="15.0" customHeight="1">
      <c r="A338" s="44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7"/>
      <c r="R338" s="44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7"/>
      <c r="AI338" s="44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  <c r="AU338" s="36"/>
      <c r="AV338" s="36"/>
      <c r="AW338" s="36"/>
      <c r="AX338" s="36"/>
      <c r="AY338" s="37"/>
      <c r="AZ338" s="44"/>
      <c r="BA338" s="36"/>
      <c r="BB338" s="36"/>
      <c r="BC338" s="36"/>
      <c r="BD338" s="36"/>
      <c r="BE338" s="36"/>
      <c r="BF338" s="36"/>
      <c r="BG338" s="36"/>
      <c r="BH338" s="36"/>
      <c r="BI338" s="36"/>
      <c r="BJ338" s="36"/>
      <c r="BK338" s="36"/>
      <c r="BL338" s="36"/>
      <c r="BM338" s="36"/>
      <c r="BN338" s="36"/>
      <c r="BO338" s="36"/>
      <c r="BP338" s="37"/>
      <c r="BQ338" s="44"/>
      <c r="BR338" s="36"/>
      <c r="BS338" s="36"/>
      <c r="BT338" s="36"/>
      <c r="BU338" s="36"/>
      <c r="BV338" s="36"/>
      <c r="BW338" s="36"/>
      <c r="BX338" s="36"/>
      <c r="BY338" s="36"/>
      <c r="BZ338" s="36"/>
      <c r="CA338" s="36"/>
      <c r="CB338" s="36"/>
      <c r="CC338" s="36"/>
      <c r="CD338" s="36"/>
      <c r="CE338" s="36"/>
      <c r="CF338" s="36"/>
      <c r="CG338" s="37"/>
      <c r="CH338" s="44"/>
      <c r="CI338" s="36"/>
      <c r="CJ338" s="36"/>
      <c r="CK338" s="36"/>
      <c r="CL338" s="36"/>
      <c r="CM338" s="36"/>
      <c r="CN338" s="36"/>
      <c r="CO338" s="36"/>
      <c r="CP338" s="36"/>
      <c r="CQ338" s="36"/>
      <c r="CR338" s="36"/>
      <c r="CS338" s="36"/>
      <c r="CT338" s="36"/>
      <c r="CU338" s="36"/>
      <c r="CV338" s="36"/>
      <c r="CW338" s="36"/>
      <c r="CX338" s="37"/>
      <c r="CY338" s="44"/>
      <c r="CZ338" s="36"/>
      <c r="DA338" s="36"/>
      <c r="DB338" s="36"/>
      <c r="DC338" s="36"/>
      <c r="DD338" s="36"/>
      <c r="DE338" s="36"/>
      <c r="DF338" s="36"/>
      <c r="DG338" s="36"/>
      <c r="DH338" s="36"/>
      <c r="DI338" s="36"/>
      <c r="DJ338" s="36"/>
      <c r="DK338" s="36"/>
      <c r="DL338" s="36"/>
      <c r="DM338" s="36"/>
      <c r="DN338" s="36"/>
      <c r="DO338" s="37"/>
      <c r="DP338" s="44"/>
      <c r="DQ338" s="36"/>
      <c r="DR338" s="36"/>
      <c r="DS338" s="36"/>
      <c r="DT338" s="36"/>
      <c r="DU338" s="36"/>
      <c r="DV338" s="36"/>
      <c r="DW338" s="36"/>
      <c r="DX338" s="36"/>
      <c r="DY338" s="36"/>
      <c r="DZ338" s="36"/>
      <c r="EA338" s="36"/>
      <c r="EB338" s="36"/>
      <c r="EC338" s="36"/>
      <c r="ED338" s="36"/>
      <c r="EE338" s="36"/>
      <c r="EF338" s="37"/>
      <c r="EG338" s="44"/>
      <c r="EH338" s="36"/>
      <c r="EI338" s="36"/>
      <c r="EJ338" s="36"/>
      <c r="EK338" s="36"/>
      <c r="EL338" s="36"/>
      <c r="EM338" s="36"/>
      <c r="EN338" s="36"/>
      <c r="EO338" s="36"/>
      <c r="EP338" s="36"/>
      <c r="EQ338" s="36"/>
      <c r="ER338" s="36"/>
      <c r="ES338" s="36"/>
      <c r="ET338" s="36"/>
      <c r="EU338" s="36"/>
      <c r="EV338" s="36"/>
      <c r="EW338" s="37"/>
      <c r="EX338" s="44"/>
      <c r="EY338" s="36"/>
      <c r="EZ338" s="36"/>
      <c r="FA338" s="36"/>
      <c r="FB338" s="36"/>
      <c r="FC338" s="36"/>
      <c r="FD338" s="36"/>
      <c r="FE338" s="36"/>
      <c r="FF338" s="36"/>
      <c r="FG338" s="36"/>
      <c r="FH338" s="36"/>
      <c r="FI338" s="36"/>
      <c r="FJ338" s="36"/>
      <c r="FK338" s="36"/>
      <c r="FL338" s="36"/>
      <c r="FM338" s="36"/>
      <c r="FN338" s="37"/>
      <c r="FO338" s="44"/>
      <c r="FP338" s="36"/>
      <c r="FQ338" s="36"/>
      <c r="FR338" s="36"/>
      <c r="FS338" s="36"/>
      <c r="FT338" s="36"/>
      <c r="FU338" s="36"/>
      <c r="FV338" s="36"/>
      <c r="FW338" s="36"/>
      <c r="FX338" s="36"/>
      <c r="FY338" s="36"/>
      <c r="FZ338" s="36"/>
      <c r="GA338" s="36"/>
      <c r="GB338" s="36"/>
      <c r="GC338" s="36"/>
      <c r="GD338" s="36"/>
      <c r="GE338" s="37"/>
      <c r="GF338" s="44"/>
      <c r="GG338" s="36"/>
      <c r="GH338" s="36"/>
      <c r="GI338" s="36"/>
      <c r="GJ338" s="36"/>
      <c r="GK338" s="36"/>
      <c r="GL338" s="36"/>
      <c r="GM338" s="36"/>
      <c r="GN338" s="36"/>
      <c r="GO338" s="36"/>
      <c r="GP338" s="36"/>
      <c r="GQ338" s="36"/>
      <c r="GR338" s="36"/>
      <c r="GS338" s="36"/>
      <c r="GT338" s="36"/>
      <c r="GU338" s="36"/>
      <c r="GV338" s="37"/>
      <c r="GW338" s="44"/>
      <c r="GX338" s="36"/>
      <c r="GY338" s="36"/>
      <c r="GZ338" s="36"/>
      <c r="HA338" s="36"/>
      <c r="HB338" s="36"/>
      <c r="HC338" s="36"/>
      <c r="HD338" s="36"/>
      <c r="HE338" s="36"/>
      <c r="HF338" s="36"/>
      <c r="HG338" s="36"/>
      <c r="HH338" s="36"/>
      <c r="HI338" s="36"/>
      <c r="HJ338" s="36"/>
      <c r="HK338" s="36"/>
      <c r="HL338" s="36"/>
      <c r="HM338" s="37"/>
      <c r="HN338" s="44"/>
      <c r="HO338" s="36"/>
      <c r="HP338" s="36"/>
      <c r="HQ338" s="36"/>
      <c r="HR338" s="36"/>
      <c r="HS338" s="36"/>
      <c r="HT338" s="36"/>
      <c r="HU338" s="36"/>
      <c r="HV338" s="36"/>
      <c r="HW338" s="36"/>
      <c r="HX338" s="36"/>
      <c r="HY338" s="36"/>
      <c r="HZ338" s="36"/>
      <c r="IA338" s="36"/>
      <c r="IB338" s="36"/>
      <c r="IC338" s="36"/>
      <c r="ID338" s="37"/>
      <c r="IE338" s="44"/>
      <c r="IF338" s="36"/>
      <c r="IG338" s="36"/>
      <c r="IH338" s="36"/>
      <c r="II338" s="36"/>
      <c r="IJ338" s="36"/>
      <c r="IK338" s="36"/>
      <c r="IL338" s="36"/>
      <c r="IM338" s="36"/>
      <c r="IN338" s="36"/>
      <c r="IO338" s="36"/>
      <c r="IP338" s="36"/>
      <c r="IQ338" s="36"/>
      <c r="IR338" s="36"/>
      <c r="IS338" s="36"/>
      <c r="IT338" s="36"/>
      <c r="IU338" s="37"/>
      <c r="IV338" s="44"/>
      <c r="IW338" s="36"/>
      <c r="IX338" s="36"/>
      <c r="IY338" s="36"/>
      <c r="IZ338" s="36"/>
      <c r="JA338" s="36"/>
      <c r="JB338" s="36"/>
      <c r="JC338" s="36"/>
      <c r="JD338" s="36"/>
      <c r="JE338" s="36"/>
      <c r="JF338" s="36"/>
      <c r="JG338" s="36"/>
      <c r="JH338" s="36"/>
      <c r="JI338" s="36"/>
      <c r="JJ338" s="36"/>
      <c r="JK338" s="36"/>
      <c r="JL338" s="37"/>
      <c r="JM338" s="44"/>
      <c r="JN338" s="36"/>
      <c r="JO338" s="36"/>
      <c r="JP338" s="36"/>
      <c r="JQ338" s="36"/>
      <c r="JR338" s="36"/>
      <c r="JS338" s="36"/>
      <c r="JT338" s="36"/>
      <c r="JU338" s="36"/>
      <c r="JV338" s="36"/>
      <c r="JW338" s="36"/>
      <c r="JX338" s="36"/>
      <c r="JY338" s="36"/>
      <c r="JZ338" s="36"/>
      <c r="KA338" s="36"/>
      <c r="KB338" s="36"/>
      <c r="KC338" s="37"/>
      <c r="KD338" s="44"/>
      <c r="KE338" s="36"/>
      <c r="KF338" s="36"/>
      <c r="KG338" s="36"/>
      <c r="KH338" s="36"/>
      <c r="KI338" s="36"/>
      <c r="KJ338" s="36"/>
      <c r="KK338" s="36"/>
      <c r="KL338" s="36"/>
      <c r="KM338" s="36"/>
      <c r="KN338" s="36"/>
      <c r="KO338" s="36"/>
      <c r="KP338" s="36"/>
      <c r="KQ338" s="36"/>
      <c r="KR338" s="36"/>
      <c r="KS338" s="36"/>
      <c r="KT338" s="37"/>
      <c r="KU338" s="36"/>
    </row>
    <row r="339" ht="15.0" customHeight="1">
      <c r="A339" s="44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7"/>
      <c r="R339" s="44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7"/>
      <c r="AI339" s="44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  <c r="AU339" s="36"/>
      <c r="AV339" s="36"/>
      <c r="AW339" s="36"/>
      <c r="AX339" s="36"/>
      <c r="AY339" s="37"/>
      <c r="AZ339" s="44"/>
      <c r="BA339" s="36"/>
      <c r="BB339" s="36"/>
      <c r="BC339" s="36"/>
      <c r="BD339" s="36"/>
      <c r="BE339" s="36"/>
      <c r="BF339" s="36"/>
      <c r="BG339" s="36"/>
      <c r="BH339" s="36"/>
      <c r="BI339" s="36"/>
      <c r="BJ339" s="36"/>
      <c r="BK339" s="36"/>
      <c r="BL339" s="36"/>
      <c r="BM339" s="36"/>
      <c r="BN339" s="36"/>
      <c r="BO339" s="36"/>
      <c r="BP339" s="37"/>
      <c r="BQ339" s="44"/>
      <c r="BR339" s="36"/>
      <c r="BS339" s="36"/>
      <c r="BT339" s="36"/>
      <c r="BU339" s="36"/>
      <c r="BV339" s="36"/>
      <c r="BW339" s="36"/>
      <c r="BX339" s="36"/>
      <c r="BY339" s="36"/>
      <c r="BZ339" s="36"/>
      <c r="CA339" s="36"/>
      <c r="CB339" s="36"/>
      <c r="CC339" s="36"/>
      <c r="CD339" s="36"/>
      <c r="CE339" s="36"/>
      <c r="CF339" s="36"/>
      <c r="CG339" s="37"/>
      <c r="CH339" s="44"/>
      <c r="CI339" s="36"/>
      <c r="CJ339" s="36"/>
      <c r="CK339" s="36"/>
      <c r="CL339" s="36"/>
      <c r="CM339" s="36"/>
      <c r="CN339" s="36"/>
      <c r="CO339" s="36"/>
      <c r="CP339" s="36"/>
      <c r="CQ339" s="36"/>
      <c r="CR339" s="36"/>
      <c r="CS339" s="36"/>
      <c r="CT339" s="36"/>
      <c r="CU339" s="36"/>
      <c r="CV339" s="36"/>
      <c r="CW339" s="36"/>
      <c r="CX339" s="37"/>
      <c r="CY339" s="44"/>
      <c r="CZ339" s="36"/>
      <c r="DA339" s="36"/>
      <c r="DB339" s="36"/>
      <c r="DC339" s="36"/>
      <c r="DD339" s="36"/>
      <c r="DE339" s="36"/>
      <c r="DF339" s="36"/>
      <c r="DG339" s="36"/>
      <c r="DH339" s="36"/>
      <c r="DI339" s="36"/>
      <c r="DJ339" s="36"/>
      <c r="DK339" s="36"/>
      <c r="DL339" s="36"/>
      <c r="DM339" s="36"/>
      <c r="DN339" s="36"/>
      <c r="DO339" s="37"/>
      <c r="DP339" s="44"/>
      <c r="DQ339" s="36"/>
      <c r="DR339" s="36"/>
      <c r="DS339" s="36"/>
      <c r="DT339" s="36"/>
      <c r="DU339" s="36"/>
      <c r="DV339" s="36"/>
      <c r="DW339" s="36"/>
      <c r="DX339" s="36"/>
      <c r="DY339" s="36"/>
      <c r="DZ339" s="36"/>
      <c r="EA339" s="36"/>
      <c r="EB339" s="36"/>
      <c r="EC339" s="36"/>
      <c r="ED339" s="36"/>
      <c r="EE339" s="36"/>
      <c r="EF339" s="37"/>
      <c r="EG339" s="44"/>
      <c r="EH339" s="36"/>
      <c r="EI339" s="36"/>
      <c r="EJ339" s="36"/>
      <c r="EK339" s="36"/>
      <c r="EL339" s="36"/>
      <c r="EM339" s="36"/>
      <c r="EN339" s="36"/>
      <c r="EO339" s="36"/>
      <c r="EP339" s="36"/>
      <c r="EQ339" s="36"/>
      <c r="ER339" s="36"/>
      <c r="ES339" s="36"/>
      <c r="ET339" s="36"/>
      <c r="EU339" s="36"/>
      <c r="EV339" s="36"/>
      <c r="EW339" s="37"/>
      <c r="EX339" s="44"/>
      <c r="EY339" s="36"/>
      <c r="EZ339" s="36"/>
      <c r="FA339" s="36"/>
      <c r="FB339" s="36"/>
      <c r="FC339" s="36"/>
      <c r="FD339" s="36"/>
      <c r="FE339" s="36"/>
      <c r="FF339" s="36"/>
      <c r="FG339" s="36"/>
      <c r="FH339" s="36"/>
      <c r="FI339" s="36"/>
      <c r="FJ339" s="36"/>
      <c r="FK339" s="36"/>
      <c r="FL339" s="36"/>
      <c r="FM339" s="36"/>
      <c r="FN339" s="37"/>
      <c r="FO339" s="44"/>
      <c r="FP339" s="36"/>
      <c r="FQ339" s="36"/>
      <c r="FR339" s="36"/>
      <c r="FS339" s="36"/>
      <c r="FT339" s="36"/>
      <c r="FU339" s="36"/>
      <c r="FV339" s="36"/>
      <c r="FW339" s="36"/>
      <c r="FX339" s="36"/>
      <c r="FY339" s="36"/>
      <c r="FZ339" s="36"/>
      <c r="GA339" s="36"/>
      <c r="GB339" s="36"/>
      <c r="GC339" s="36"/>
      <c r="GD339" s="36"/>
      <c r="GE339" s="37"/>
      <c r="GF339" s="44"/>
      <c r="GG339" s="36"/>
      <c r="GH339" s="36"/>
      <c r="GI339" s="36"/>
      <c r="GJ339" s="36"/>
      <c r="GK339" s="36"/>
      <c r="GL339" s="36"/>
      <c r="GM339" s="36"/>
      <c r="GN339" s="36"/>
      <c r="GO339" s="36"/>
      <c r="GP339" s="36"/>
      <c r="GQ339" s="36"/>
      <c r="GR339" s="36"/>
      <c r="GS339" s="36"/>
      <c r="GT339" s="36"/>
      <c r="GU339" s="36"/>
      <c r="GV339" s="37"/>
      <c r="GW339" s="44"/>
      <c r="GX339" s="36"/>
      <c r="GY339" s="36"/>
      <c r="GZ339" s="36"/>
      <c r="HA339" s="36"/>
      <c r="HB339" s="36"/>
      <c r="HC339" s="36"/>
      <c r="HD339" s="36"/>
      <c r="HE339" s="36"/>
      <c r="HF339" s="36"/>
      <c r="HG339" s="36"/>
      <c r="HH339" s="36"/>
      <c r="HI339" s="36"/>
      <c r="HJ339" s="36"/>
      <c r="HK339" s="36"/>
      <c r="HL339" s="36"/>
      <c r="HM339" s="37"/>
      <c r="HN339" s="44"/>
      <c r="HO339" s="36"/>
      <c r="HP339" s="36"/>
      <c r="HQ339" s="36"/>
      <c r="HR339" s="36"/>
      <c r="HS339" s="36"/>
      <c r="HT339" s="36"/>
      <c r="HU339" s="36"/>
      <c r="HV339" s="36"/>
      <c r="HW339" s="36"/>
      <c r="HX339" s="36"/>
      <c r="HY339" s="36"/>
      <c r="HZ339" s="36"/>
      <c r="IA339" s="36"/>
      <c r="IB339" s="36"/>
      <c r="IC339" s="36"/>
      <c r="ID339" s="37"/>
      <c r="IE339" s="44"/>
      <c r="IF339" s="36"/>
      <c r="IG339" s="36"/>
      <c r="IH339" s="36"/>
      <c r="II339" s="36"/>
      <c r="IJ339" s="36"/>
      <c r="IK339" s="36"/>
      <c r="IL339" s="36"/>
      <c r="IM339" s="36"/>
      <c r="IN339" s="36"/>
      <c r="IO339" s="36"/>
      <c r="IP339" s="36"/>
      <c r="IQ339" s="36"/>
      <c r="IR339" s="36"/>
      <c r="IS339" s="36"/>
      <c r="IT339" s="36"/>
      <c r="IU339" s="37"/>
      <c r="IV339" s="44"/>
      <c r="IW339" s="36"/>
      <c r="IX339" s="36"/>
      <c r="IY339" s="36"/>
      <c r="IZ339" s="36"/>
      <c r="JA339" s="36"/>
      <c r="JB339" s="36"/>
      <c r="JC339" s="36"/>
      <c r="JD339" s="36"/>
      <c r="JE339" s="36"/>
      <c r="JF339" s="36"/>
      <c r="JG339" s="36"/>
      <c r="JH339" s="36"/>
      <c r="JI339" s="36"/>
      <c r="JJ339" s="36"/>
      <c r="JK339" s="36"/>
      <c r="JL339" s="37"/>
      <c r="JM339" s="44"/>
      <c r="JN339" s="36"/>
      <c r="JO339" s="36"/>
      <c r="JP339" s="36"/>
      <c r="JQ339" s="36"/>
      <c r="JR339" s="36"/>
      <c r="JS339" s="36"/>
      <c r="JT339" s="36"/>
      <c r="JU339" s="36"/>
      <c r="JV339" s="36"/>
      <c r="JW339" s="36"/>
      <c r="JX339" s="36"/>
      <c r="JY339" s="36"/>
      <c r="JZ339" s="36"/>
      <c r="KA339" s="36"/>
      <c r="KB339" s="36"/>
      <c r="KC339" s="37"/>
      <c r="KD339" s="44"/>
      <c r="KE339" s="36"/>
      <c r="KF339" s="36"/>
      <c r="KG339" s="36"/>
      <c r="KH339" s="36"/>
      <c r="KI339" s="36"/>
      <c r="KJ339" s="36"/>
      <c r="KK339" s="36"/>
      <c r="KL339" s="36"/>
      <c r="KM339" s="36"/>
      <c r="KN339" s="36"/>
      <c r="KO339" s="36"/>
      <c r="KP339" s="36"/>
      <c r="KQ339" s="36"/>
      <c r="KR339" s="36"/>
      <c r="KS339" s="36"/>
      <c r="KT339" s="37"/>
      <c r="KU339" s="36"/>
    </row>
    <row r="340" ht="15.0" customHeight="1">
      <c r="A340" s="44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7"/>
      <c r="R340" s="44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7"/>
      <c r="AI340" s="44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  <c r="AU340" s="36"/>
      <c r="AV340" s="36"/>
      <c r="AW340" s="36"/>
      <c r="AX340" s="36"/>
      <c r="AY340" s="37"/>
      <c r="AZ340" s="44"/>
      <c r="BA340" s="36"/>
      <c r="BB340" s="36"/>
      <c r="BC340" s="36"/>
      <c r="BD340" s="36"/>
      <c r="BE340" s="36"/>
      <c r="BF340" s="36"/>
      <c r="BG340" s="36"/>
      <c r="BH340" s="36"/>
      <c r="BI340" s="36"/>
      <c r="BJ340" s="36"/>
      <c r="BK340" s="36"/>
      <c r="BL340" s="36"/>
      <c r="BM340" s="36"/>
      <c r="BN340" s="36"/>
      <c r="BO340" s="36"/>
      <c r="BP340" s="37"/>
      <c r="BQ340" s="44"/>
      <c r="BR340" s="36"/>
      <c r="BS340" s="36"/>
      <c r="BT340" s="36"/>
      <c r="BU340" s="36"/>
      <c r="BV340" s="36"/>
      <c r="BW340" s="36"/>
      <c r="BX340" s="36"/>
      <c r="BY340" s="36"/>
      <c r="BZ340" s="36"/>
      <c r="CA340" s="36"/>
      <c r="CB340" s="36"/>
      <c r="CC340" s="36"/>
      <c r="CD340" s="36"/>
      <c r="CE340" s="36"/>
      <c r="CF340" s="36"/>
      <c r="CG340" s="37"/>
      <c r="CH340" s="44"/>
      <c r="CI340" s="36"/>
      <c r="CJ340" s="36"/>
      <c r="CK340" s="36"/>
      <c r="CL340" s="36"/>
      <c r="CM340" s="36"/>
      <c r="CN340" s="36"/>
      <c r="CO340" s="36"/>
      <c r="CP340" s="36"/>
      <c r="CQ340" s="36"/>
      <c r="CR340" s="36"/>
      <c r="CS340" s="36"/>
      <c r="CT340" s="36"/>
      <c r="CU340" s="36"/>
      <c r="CV340" s="36"/>
      <c r="CW340" s="36"/>
      <c r="CX340" s="37"/>
      <c r="CY340" s="44"/>
      <c r="CZ340" s="36"/>
      <c r="DA340" s="36"/>
      <c r="DB340" s="36"/>
      <c r="DC340" s="36"/>
      <c r="DD340" s="36"/>
      <c r="DE340" s="36"/>
      <c r="DF340" s="36"/>
      <c r="DG340" s="36"/>
      <c r="DH340" s="36"/>
      <c r="DI340" s="36"/>
      <c r="DJ340" s="36"/>
      <c r="DK340" s="36"/>
      <c r="DL340" s="36"/>
      <c r="DM340" s="36"/>
      <c r="DN340" s="36"/>
      <c r="DO340" s="37"/>
      <c r="DP340" s="44"/>
      <c r="DQ340" s="36"/>
      <c r="DR340" s="36"/>
      <c r="DS340" s="36"/>
      <c r="DT340" s="36"/>
      <c r="DU340" s="36"/>
      <c r="DV340" s="36"/>
      <c r="DW340" s="36"/>
      <c r="DX340" s="36"/>
      <c r="DY340" s="36"/>
      <c r="DZ340" s="36"/>
      <c r="EA340" s="36"/>
      <c r="EB340" s="36"/>
      <c r="EC340" s="36"/>
      <c r="ED340" s="36"/>
      <c r="EE340" s="36"/>
      <c r="EF340" s="37"/>
      <c r="EG340" s="44"/>
      <c r="EH340" s="36"/>
      <c r="EI340" s="36"/>
      <c r="EJ340" s="36"/>
      <c r="EK340" s="36"/>
      <c r="EL340" s="36"/>
      <c r="EM340" s="36"/>
      <c r="EN340" s="36"/>
      <c r="EO340" s="36"/>
      <c r="EP340" s="36"/>
      <c r="EQ340" s="36"/>
      <c r="ER340" s="36"/>
      <c r="ES340" s="36"/>
      <c r="ET340" s="36"/>
      <c r="EU340" s="36"/>
      <c r="EV340" s="36"/>
      <c r="EW340" s="37"/>
      <c r="EX340" s="44"/>
      <c r="EY340" s="36"/>
      <c r="EZ340" s="36"/>
      <c r="FA340" s="36"/>
      <c r="FB340" s="36"/>
      <c r="FC340" s="36"/>
      <c r="FD340" s="36"/>
      <c r="FE340" s="36"/>
      <c r="FF340" s="36"/>
      <c r="FG340" s="36"/>
      <c r="FH340" s="36"/>
      <c r="FI340" s="36"/>
      <c r="FJ340" s="36"/>
      <c r="FK340" s="36"/>
      <c r="FL340" s="36"/>
      <c r="FM340" s="36"/>
      <c r="FN340" s="37"/>
      <c r="FO340" s="44"/>
      <c r="FP340" s="36"/>
      <c r="FQ340" s="36"/>
      <c r="FR340" s="36"/>
      <c r="FS340" s="36"/>
      <c r="FT340" s="36"/>
      <c r="FU340" s="36"/>
      <c r="FV340" s="36"/>
      <c r="FW340" s="36"/>
      <c r="FX340" s="36"/>
      <c r="FY340" s="36"/>
      <c r="FZ340" s="36"/>
      <c r="GA340" s="36"/>
      <c r="GB340" s="36"/>
      <c r="GC340" s="36"/>
      <c r="GD340" s="36"/>
      <c r="GE340" s="37"/>
      <c r="GF340" s="44"/>
      <c r="GG340" s="36"/>
      <c r="GH340" s="36"/>
      <c r="GI340" s="36"/>
      <c r="GJ340" s="36"/>
      <c r="GK340" s="36"/>
      <c r="GL340" s="36"/>
      <c r="GM340" s="36"/>
      <c r="GN340" s="36"/>
      <c r="GO340" s="36"/>
      <c r="GP340" s="36"/>
      <c r="GQ340" s="36"/>
      <c r="GR340" s="36"/>
      <c r="GS340" s="36"/>
      <c r="GT340" s="36"/>
      <c r="GU340" s="36"/>
      <c r="GV340" s="37"/>
      <c r="GW340" s="44"/>
      <c r="GX340" s="36"/>
      <c r="GY340" s="36"/>
      <c r="GZ340" s="36"/>
      <c r="HA340" s="36"/>
      <c r="HB340" s="36"/>
      <c r="HC340" s="36"/>
      <c r="HD340" s="36"/>
      <c r="HE340" s="36"/>
      <c r="HF340" s="36"/>
      <c r="HG340" s="36"/>
      <c r="HH340" s="36"/>
      <c r="HI340" s="36"/>
      <c r="HJ340" s="36"/>
      <c r="HK340" s="36"/>
      <c r="HL340" s="36"/>
      <c r="HM340" s="37"/>
      <c r="HN340" s="44"/>
      <c r="HO340" s="36"/>
      <c r="HP340" s="36"/>
      <c r="HQ340" s="36"/>
      <c r="HR340" s="36"/>
      <c r="HS340" s="36"/>
      <c r="HT340" s="36"/>
      <c r="HU340" s="36"/>
      <c r="HV340" s="36"/>
      <c r="HW340" s="36"/>
      <c r="HX340" s="36"/>
      <c r="HY340" s="36"/>
      <c r="HZ340" s="36"/>
      <c r="IA340" s="36"/>
      <c r="IB340" s="36"/>
      <c r="IC340" s="36"/>
      <c r="ID340" s="37"/>
      <c r="IE340" s="44"/>
      <c r="IF340" s="36"/>
      <c r="IG340" s="36"/>
      <c r="IH340" s="36"/>
      <c r="II340" s="36"/>
      <c r="IJ340" s="36"/>
      <c r="IK340" s="36"/>
      <c r="IL340" s="36"/>
      <c r="IM340" s="36"/>
      <c r="IN340" s="36"/>
      <c r="IO340" s="36"/>
      <c r="IP340" s="36"/>
      <c r="IQ340" s="36"/>
      <c r="IR340" s="36"/>
      <c r="IS340" s="36"/>
      <c r="IT340" s="36"/>
      <c r="IU340" s="37"/>
      <c r="IV340" s="44"/>
      <c r="IW340" s="36"/>
      <c r="IX340" s="36"/>
      <c r="IY340" s="36"/>
      <c r="IZ340" s="36"/>
      <c r="JA340" s="36"/>
      <c r="JB340" s="36"/>
      <c r="JC340" s="36"/>
      <c r="JD340" s="36"/>
      <c r="JE340" s="36"/>
      <c r="JF340" s="36"/>
      <c r="JG340" s="36"/>
      <c r="JH340" s="36"/>
      <c r="JI340" s="36"/>
      <c r="JJ340" s="36"/>
      <c r="JK340" s="36"/>
      <c r="JL340" s="37"/>
      <c r="JM340" s="44"/>
      <c r="JN340" s="36"/>
      <c r="JO340" s="36"/>
      <c r="JP340" s="36"/>
      <c r="JQ340" s="36"/>
      <c r="JR340" s="36"/>
      <c r="JS340" s="36"/>
      <c r="JT340" s="36"/>
      <c r="JU340" s="36"/>
      <c r="JV340" s="36"/>
      <c r="JW340" s="36"/>
      <c r="JX340" s="36"/>
      <c r="JY340" s="36"/>
      <c r="JZ340" s="36"/>
      <c r="KA340" s="36"/>
      <c r="KB340" s="36"/>
      <c r="KC340" s="37"/>
      <c r="KD340" s="44"/>
      <c r="KE340" s="36"/>
      <c r="KF340" s="36"/>
      <c r="KG340" s="36"/>
      <c r="KH340" s="36"/>
      <c r="KI340" s="36"/>
      <c r="KJ340" s="36"/>
      <c r="KK340" s="36"/>
      <c r="KL340" s="36"/>
      <c r="KM340" s="36"/>
      <c r="KN340" s="36"/>
      <c r="KO340" s="36"/>
      <c r="KP340" s="36"/>
      <c r="KQ340" s="36"/>
      <c r="KR340" s="36"/>
      <c r="KS340" s="36"/>
      <c r="KT340" s="37"/>
      <c r="KU340" s="36"/>
    </row>
    <row r="341" ht="15.0" customHeight="1">
      <c r="A341" s="44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7"/>
      <c r="R341" s="44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7"/>
      <c r="AI341" s="44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  <c r="AU341" s="36"/>
      <c r="AV341" s="36"/>
      <c r="AW341" s="36"/>
      <c r="AX341" s="36"/>
      <c r="AY341" s="37"/>
      <c r="AZ341" s="44"/>
      <c r="BA341" s="36"/>
      <c r="BB341" s="36"/>
      <c r="BC341" s="36"/>
      <c r="BD341" s="36"/>
      <c r="BE341" s="36"/>
      <c r="BF341" s="36"/>
      <c r="BG341" s="36"/>
      <c r="BH341" s="36"/>
      <c r="BI341" s="36"/>
      <c r="BJ341" s="36"/>
      <c r="BK341" s="36"/>
      <c r="BL341" s="36"/>
      <c r="BM341" s="36"/>
      <c r="BN341" s="36"/>
      <c r="BO341" s="36"/>
      <c r="BP341" s="37"/>
      <c r="BQ341" s="44"/>
      <c r="BR341" s="36"/>
      <c r="BS341" s="36"/>
      <c r="BT341" s="36"/>
      <c r="BU341" s="36"/>
      <c r="BV341" s="36"/>
      <c r="BW341" s="36"/>
      <c r="BX341" s="36"/>
      <c r="BY341" s="36"/>
      <c r="BZ341" s="36"/>
      <c r="CA341" s="36"/>
      <c r="CB341" s="36"/>
      <c r="CC341" s="36"/>
      <c r="CD341" s="36"/>
      <c r="CE341" s="36"/>
      <c r="CF341" s="36"/>
      <c r="CG341" s="37"/>
      <c r="CH341" s="44"/>
      <c r="CI341" s="36"/>
      <c r="CJ341" s="36"/>
      <c r="CK341" s="36"/>
      <c r="CL341" s="36"/>
      <c r="CM341" s="36"/>
      <c r="CN341" s="36"/>
      <c r="CO341" s="36"/>
      <c r="CP341" s="36"/>
      <c r="CQ341" s="36"/>
      <c r="CR341" s="36"/>
      <c r="CS341" s="36"/>
      <c r="CT341" s="36"/>
      <c r="CU341" s="36"/>
      <c r="CV341" s="36"/>
      <c r="CW341" s="36"/>
      <c r="CX341" s="37"/>
      <c r="CY341" s="44"/>
      <c r="CZ341" s="36"/>
      <c r="DA341" s="36"/>
      <c r="DB341" s="36"/>
      <c r="DC341" s="36"/>
      <c r="DD341" s="36"/>
      <c r="DE341" s="36"/>
      <c r="DF341" s="36"/>
      <c r="DG341" s="36"/>
      <c r="DH341" s="36"/>
      <c r="DI341" s="36"/>
      <c r="DJ341" s="36"/>
      <c r="DK341" s="36"/>
      <c r="DL341" s="36"/>
      <c r="DM341" s="36"/>
      <c r="DN341" s="36"/>
      <c r="DO341" s="37"/>
      <c r="DP341" s="44"/>
      <c r="DQ341" s="36"/>
      <c r="DR341" s="36"/>
      <c r="DS341" s="36"/>
      <c r="DT341" s="36"/>
      <c r="DU341" s="36"/>
      <c r="DV341" s="36"/>
      <c r="DW341" s="36"/>
      <c r="DX341" s="36"/>
      <c r="DY341" s="36"/>
      <c r="DZ341" s="36"/>
      <c r="EA341" s="36"/>
      <c r="EB341" s="36"/>
      <c r="EC341" s="36"/>
      <c r="ED341" s="36"/>
      <c r="EE341" s="36"/>
      <c r="EF341" s="37"/>
      <c r="EG341" s="44"/>
      <c r="EH341" s="36"/>
      <c r="EI341" s="36"/>
      <c r="EJ341" s="36"/>
      <c r="EK341" s="36"/>
      <c r="EL341" s="36"/>
      <c r="EM341" s="36"/>
      <c r="EN341" s="36"/>
      <c r="EO341" s="36"/>
      <c r="EP341" s="36"/>
      <c r="EQ341" s="36"/>
      <c r="ER341" s="36"/>
      <c r="ES341" s="36"/>
      <c r="ET341" s="36"/>
      <c r="EU341" s="36"/>
      <c r="EV341" s="36"/>
      <c r="EW341" s="37"/>
      <c r="EX341" s="44"/>
      <c r="EY341" s="36"/>
      <c r="EZ341" s="36"/>
      <c r="FA341" s="36"/>
      <c r="FB341" s="36"/>
      <c r="FC341" s="36"/>
      <c r="FD341" s="36"/>
      <c r="FE341" s="36"/>
      <c r="FF341" s="36"/>
      <c r="FG341" s="36"/>
      <c r="FH341" s="36"/>
      <c r="FI341" s="36"/>
      <c r="FJ341" s="36"/>
      <c r="FK341" s="36"/>
      <c r="FL341" s="36"/>
      <c r="FM341" s="36"/>
      <c r="FN341" s="37"/>
      <c r="FO341" s="44"/>
      <c r="FP341" s="36"/>
      <c r="FQ341" s="36"/>
      <c r="FR341" s="36"/>
      <c r="FS341" s="36"/>
      <c r="FT341" s="36"/>
      <c r="FU341" s="36"/>
      <c r="FV341" s="36"/>
      <c r="FW341" s="36"/>
      <c r="FX341" s="36"/>
      <c r="FY341" s="36"/>
      <c r="FZ341" s="36"/>
      <c r="GA341" s="36"/>
      <c r="GB341" s="36"/>
      <c r="GC341" s="36"/>
      <c r="GD341" s="36"/>
      <c r="GE341" s="37"/>
      <c r="GF341" s="44"/>
      <c r="GG341" s="36"/>
      <c r="GH341" s="36"/>
      <c r="GI341" s="36"/>
      <c r="GJ341" s="36"/>
      <c r="GK341" s="36"/>
      <c r="GL341" s="36"/>
      <c r="GM341" s="36"/>
      <c r="GN341" s="36"/>
      <c r="GO341" s="36"/>
      <c r="GP341" s="36"/>
      <c r="GQ341" s="36"/>
      <c r="GR341" s="36"/>
      <c r="GS341" s="36"/>
      <c r="GT341" s="36"/>
      <c r="GU341" s="36"/>
      <c r="GV341" s="37"/>
      <c r="GW341" s="44"/>
      <c r="GX341" s="36"/>
      <c r="GY341" s="36"/>
      <c r="GZ341" s="36"/>
      <c r="HA341" s="36"/>
      <c r="HB341" s="36"/>
      <c r="HC341" s="36"/>
      <c r="HD341" s="36"/>
      <c r="HE341" s="36"/>
      <c r="HF341" s="36"/>
      <c r="HG341" s="36"/>
      <c r="HH341" s="36"/>
      <c r="HI341" s="36"/>
      <c r="HJ341" s="36"/>
      <c r="HK341" s="36"/>
      <c r="HL341" s="36"/>
      <c r="HM341" s="37"/>
      <c r="HN341" s="44"/>
      <c r="HO341" s="36"/>
      <c r="HP341" s="36"/>
      <c r="HQ341" s="36"/>
      <c r="HR341" s="36"/>
      <c r="HS341" s="36"/>
      <c r="HT341" s="36"/>
      <c r="HU341" s="36"/>
      <c r="HV341" s="36"/>
      <c r="HW341" s="36"/>
      <c r="HX341" s="36"/>
      <c r="HY341" s="36"/>
      <c r="HZ341" s="36"/>
      <c r="IA341" s="36"/>
      <c r="IB341" s="36"/>
      <c r="IC341" s="36"/>
      <c r="ID341" s="37"/>
      <c r="IE341" s="44"/>
      <c r="IF341" s="36"/>
      <c r="IG341" s="36"/>
      <c r="IH341" s="36"/>
      <c r="II341" s="36"/>
      <c r="IJ341" s="36"/>
      <c r="IK341" s="36"/>
      <c r="IL341" s="36"/>
      <c r="IM341" s="36"/>
      <c r="IN341" s="36"/>
      <c r="IO341" s="36"/>
      <c r="IP341" s="36"/>
      <c r="IQ341" s="36"/>
      <c r="IR341" s="36"/>
      <c r="IS341" s="36"/>
      <c r="IT341" s="36"/>
      <c r="IU341" s="37"/>
      <c r="IV341" s="44"/>
      <c r="IW341" s="36"/>
      <c r="IX341" s="36"/>
      <c r="IY341" s="36"/>
      <c r="IZ341" s="36"/>
      <c r="JA341" s="36"/>
      <c r="JB341" s="36"/>
      <c r="JC341" s="36"/>
      <c r="JD341" s="36"/>
      <c r="JE341" s="36"/>
      <c r="JF341" s="36"/>
      <c r="JG341" s="36"/>
      <c r="JH341" s="36"/>
      <c r="JI341" s="36"/>
      <c r="JJ341" s="36"/>
      <c r="JK341" s="36"/>
      <c r="JL341" s="37"/>
      <c r="JM341" s="44"/>
      <c r="JN341" s="36"/>
      <c r="JO341" s="36"/>
      <c r="JP341" s="36"/>
      <c r="JQ341" s="36"/>
      <c r="JR341" s="36"/>
      <c r="JS341" s="36"/>
      <c r="JT341" s="36"/>
      <c r="JU341" s="36"/>
      <c r="JV341" s="36"/>
      <c r="JW341" s="36"/>
      <c r="JX341" s="36"/>
      <c r="JY341" s="36"/>
      <c r="JZ341" s="36"/>
      <c r="KA341" s="36"/>
      <c r="KB341" s="36"/>
      <c r="KC341" s="37"/>
      <c r="KD341" s="44"/>
      <c r="KE341" s="36"/>
      <c r="KF341" s="36"/>
      <c r="KG341" s="36"/>
      <c r="KH341" s="36"/>
      <c r="KI341" s="36"/>
      <c r="KJ341" s="36"/>
      <c r="KK341" s="36"/>
      <c r="KL341" s="36"/>
      <c r="KM341" s="36"/>
      <c r="KN341" s="36"/>
      <c r="KO341" s="36"/>
      <c r="KP341" s="36"/>
      <c r="KQ341" s="36"/>
      <c r="KR341" s="36"/>
      <c r="KS341" s="36"/>
      <c r="KT341" s="37"/>
      <c r="KU341" s="36"/>
    </row>
    <row r="342" ht="15.0" customHeight="1">
      <c r="A342" s="44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7"/>
      <c r="R342" s="44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7"/>
      <c r="AI342" s="44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36"/>
      <c r="AU342" s="36"/>
      <c r="AV342" s="36"/>
      <c r="AW342" s="36"/>
      <c r="AX342" s="36"/>
      <c r="AY342" s="37"/>
      <c r="AZ342" s="44"/>
      <c r="BA342" s="36"/>
      <c r="BB342" s="36"/>
      <c r="BC342" s="36"/>
      <c r="BD342" s="36"/>
      <c r="BE342" s="36"/>
      <c r="BF342" s="36"/>
      <c r="BG342" s="36"/>
      <c r="BH342" s="36"/>
      <c r="BI342" s="36"/>
      <c r="BJ342" s="36"/>
      <c r="BK342" s="36"/>
      <c r="BL342" s="36"/>
      <c r="BM342" s="36"/>
      <c r="BN342" s="36"/>
      <c r="BO342" s="36"/>
      <c r="BP342" s="37"/>
      <c r="BQ342" s="44"/>
      <c r="BR342" s="36"/>
      <c r="BS342" s="36"/>
      <c r="BT342" s="36"/>
      <c r="BU342" s="36"/>
      <c r="BV342" s="36"/>
      <c r="BW342" s="36"/>
      <c r="BX342" s="36"/>
      <c r="BY342" s="36"/>
      <c r="BZ342" s="36"/>
      <c r="CA342" s="36"/>
      <c r="CB342" s="36"/>
      <c r="CC342" s="36"/>
      <c r="CD342" s="36"/>
      <c r="CE342" s="36"/>
      <c r="CF342" s="36"/>
      <c r="CG342" s="37"/>
      <c r="CH342" s="44"/>
      <c r="CI342" s="36"/>
      <c r="CJ342" s="36"/>
      <c r="CK342" s="36"/>
      <c r="CL342" s="36"/>
      <c r="CM342" s="36"/>
      <c r="CN342" s="36"/>
      <c r="CO342" s="36"/>
      <c r="CP342" s="36"/>
      <c r="CQ342" s="36"/>
      <c r="CR342" s="36"/>
      <c r="CS342" s="36"/>
      <c r="CT342" s="36"/>
      <c r="CU342" s="36"/>
      <c r="CV342" s="36"/>
      <c r="CW342" s="36"/>
      <c r="CX342" s="37"/>
      <c r="CY342" s="44"/>
      <c r="CZ342" s="36"/>
      <c r="DA342" s="36"/>
      <c r="DB342" s="36"/>
      <c r="DC342" s="36"/>
      <c r="DD342" s="36"/>
      <c r="DE342" s="36"/>
      <c r="DF342" s="36"/>
      <c r="DG342" s="36"/>
      <c r="DH342" s="36"/>
      <c r="DI342" s="36"/>
      <c r="DJ342" s="36"/>
      <c r="DK342" s="36"/>
      <c r="DL342" s="36"/>
      <c r="DM342" s="36"/>
      <c r="DN342" s="36"/>
      <c r="DO342" s="37"/>
      <c r="DP342" s="44"/>
      <c r="DQ342" s="36"/>
      <c r="DR342" s="36"/>
      <c r="DS342" s="36"/>
      <c r="DT342" s="36"/>
      <c r="DU342" s="36"/>
      <c r="DV342" s="36"/>
      <c r="DW342" s="36"/>
      <c r="DX342" s="36"/>
      <c r="DY342" s="36"/>
      <c r="DZ342" s="36"/>
      <c r="EA342" s="36"/>
      <c r="EB342" s="36"/>
      <c r="EC342" s="36"/>
      <c r="ED342" s="36"/>
      <c r="EE342" s="36"/>
      <c r="EF342" s="37"/>
      <c r="EG342" s="44"/>
      <c r="EH342" s="36"/>
      <c r="EI342" s="36"/>
      <c r="EJ342" s="36"/>
      <c r="EK342" s="36"/>
      <c r="EL342" s="36"/>
      <c r="EM342" s="36"/>
      <c r="EN342" s="36"/>
      <c r="EO342" s="36"/>
      <c r="EP342" s="36"/>
      <c r="EQ342" s="36"/>
      <c r="ER342" s="36"/>
      <c r="ES342" s="36"/>
      <c r="ET342" s="36"/>
      <c r="EU342" s="36"/>
      <c r="EV342" s="36"/>
      <c r="EW342" s="37"/>
      <c r="EX342" s="44"/>
      <c r="EY342" s="36"/>
      <c r="EZ342" s="36"/>
      <c r="FA342" s="36"/>
      <c r="FB342" s="36"/>
      <c r="FC342" s="36"/>
      <c r="FD342" s="36"/>
      <c r="FE342" s="36"/>
      <c r="FF342" s="36"/>
      <c r="FG342" s="36"/>
      <c r="FH342" s="36"/>
      <c r="FI342" s="36"/>
      <c r="FJ342" s="36"/>
      <c r="FK342" s="36"/>
      <c r="FL342" s="36"/>
      <c r="FM342" s="36"/>
      <c r="FN342" s="37"/>
      <c r="FO342" s="44"/>
      <c r="FP342" s="36"/>
      <c r="FQ342" s="36"/>
      <c r="FR342" s="36"/>
      <c r="FS342" s="36"/>
      <c r="FT342" s="36"/>
      <c r="FU342" s="36"/>
      <c r="FV342" s="36"/>
      <c r="FW342" s="36"/>
      <c r="FX342" s="36"/>
      <c r="FY342" s="36"/>
      <c r="FZ342" s="36"/>
      <c r="GA342" s="36"/>
      <c r="GB342" s="36"/>
      <c r="GC342" s="36"/>
      <c r="GD342" s="36"/>
      <c r="GE342" s="37"/>
      <c r="GF342" s="44"/>
      <c r="GG342" s="36"/>
      <c r="GH342" s="36"/>
      <c r="GI342" s="36"/>
      <c r="GJ342" s="36"/>
      <c r="GK342" s="36"/>
      <c r="GL342" s="36"/>
      <c r="GM342" s="36"/>
      <c r="GN342" s="36"/>
      <c r="GO342" s="36"/>
      <c r="GP342" s="36"/>
      <c r="GQ342" s="36"/>
      <c r="GR342" s="36"/>
      <c r="GS342" s="36"/>
      <c r="GT342" s="36"/>
      <c r="GU342" s="36"/>
      <c r="GV342" s="37"/>
      <c r="GW342" s="44"/>
      <c r="GX342" s="36"/>
      <c r="GY342" s="36"/>
      <c r="GZ342" s="36"/>
      <c r="HA342" s="36"/>
      <c r="HB342" s="36"/>
      <c r="HC342" s="36"/>
      <c r="HD342" s="36"/>
      <c r="HE342" s="36"/>
      <c r="HF342" s="36"/>
      <c r="HG342" s="36"/>
      <c r="HH342" s="36"/>
      <c r="HI342" s="36"/>
      <c r="HJ342" s="36"/>
      <c r="HK342" s="36"/>
      <c r="HL342" s="36"/>
      <c r="HM342" s="37"/>
      <c r="HN342" s="44"/>
      <c r="HO342" s="36"/>
      <c r="HP342" s="36"/>
      <c r="HQ342" s="36"/>
      <c r="HR342" s="36"/>
      <c r="HS342" s="36"/>
      <c r="HT342" s="36"/>
      <c r="HU342" s="36"/>
      <c r="HV342" s="36"/>
      <c r="HW342" s="36"/>
      <c r="HX342" s="36"/>
      <c r="HY342" s="36"/>
      <c r="HZ342" s="36"/>
      <c r="IA342" s="36"/>
      <c r="IB342" s="36"/>
      <c r="IC342" s="36"/>
      <c r="ID342" s="37"/>
      <c r="IE342" s="44"/>
      <c r="IF342" s="36"/>
      <c r="IG342" s="36"/>
      <c r="IH342" s="36"/>
      <c r="II342" s="36"/>
      <c r="IJ342" s="36"/>
      <c r="IK342" s="36"/>
      <c r="IL342" s="36"/>
      <c r="IM342" s="36"/>
      <c r="IN342" s="36"/>
      <c r="IO342" s="36"/>
      <c r="IP342" s="36"/>
      <c r="IQ342" s="36"/>
      <c r="IR342" s="36"/>
      <c r="IS342" s="36"/>
      <c r="IT342" s="36"/>
      <c r="IU342" s="37"/>
      <c r="IV342" s="44"/>
      <c r="IW342" s="36"/>
      <c r="IX342" s="36"/>
      <c r="IY342" s="36"/>
      <c r="IZ342" s="36"/>
      <c r="JA342" s="36"/>
      <c r="JB342" s="36"/>
      <c r="JC342" s="36"/>
      <c r="JD342" s="36"/>
      <c r="JE342" s="36"/>
      <c r="JF342" s="36"/>
      <c r="JG342" s="36"/>
      <c r="JH342" s="36"/>
      <c r="JI342" s="36"/>
      <c r="JJ342" s="36"/>
      <c r="JK342" s="36"/>
      <c r="JL342" s="37"/>
      <c r="JM342" s="44"/>
      <c r="JN342" s="36"/>
      <c r="JO342" s="36"/>
      <c r="JP342" s="36"/>
      <c r="JQ342" s="36"/>
      <c r="JR342" s="36"/>
      <c r="JS342" s="36"/>
      <c r="JT342" s="36"/>
      <c r="JU342" s="36"/>
      <c r="JV342" s="36"/>
      <c r="JW342" s="36"/>
      <c r="JX342" s="36"/>
      <c r="JY342" s="36"/>
      <c r="JZ342" s="36"/>
      <c r="KA342" s="36"/>
      <c r="KB342" s="36"/>
      <c r="KC342" s="37"/>
      <c r="KD342" s="44"/>
      <c r="KE342" s="36"/>
      <c r="KF342" s="36"/>
      <c r="KG342" s="36"/>
      <c r="KH342" s="36"/>
      <c r="KI342" s="36"/>
      <c r="KJ342" s="36"/>
      <c r="KK342" s="36"/>
      <c r="KL342" s="36"/>
      <c r="KM342" s="36"/>
      <c r="KN342" s="36"/>
      <c r="KO342" s="36"/>
      <c r="KP342" s="36"/>
      <c r="KQ342" s="36"/>
      <c r="KR342" s="36"/>
      <c r="KS342" s="36"/>
      <c r="KT342" s="37"/>
      <c r="KU342" s="36"/>
    </row>
    <row r="343" ht="15.0" customHeight="1">
      <c r="A343" s="44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7"/>
      <c r="R343" s="44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7"/>
      <c r="AI343" s="44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36"/>
      <c r="AU343" s="36"/>
      <c r="AV343" s="36"/>
      <c r="AW343" s="36"/>
      <c r="AX343" s="36"/>
      <c r="AY343" s="37"/>
      <c r="AZ343" s="44"/>
      <c r="BA343" s="36"/>
      <c r="BB343" s="36"/>
      <c r="BC343" s="36"/>
      <c r="BD343" s="36"/>
      <c r="BE343" s="36"/>
      <c r="BF343" s="36"/>
      <c r="BG343" s="36"/>
      <c r="BH343" s="36"/>
      <c r="BI343" s="36"/>
      <c r="BJ343" s="36"/>
      <c r="BK343" s="36"/>
      <c r="BL343" s="36"/>
      <c r="BM343" s="36"/>
      <c r="BN343" s="36"/>
      <c r="BO343" s="36"/>
      <c r="BP343" s="37"/>
      <c r="BQ343" s="44"/>
      <c r="BR343" s="36"/>
      <c r="BS343" s="36"/>
      <c r="BT343" s="36"/>
      <c r="BU343" s="36"/>
      <c r="BV343" s="36"/>
      <c r="BW343" s="36"/>
      <c r="BX343" s="36"/>
      <c r="BY343" s="36"/>
      <c r="BZ343" s="36"/>
      <c r="CA343" s="36"/>
      <c r="CB343" s="36"/>
      <c r="CC343" s="36"/>
      <c r="CD343" s="36"/>
      <c r="CE343" s="36"/>
      <c r="CF343" s="36"/>
      <c r="CG343" s="37"/>
      <c r="CH343" s="44"/>
      <c r="CI343" s="36"/>
      <c r="CJ343" s="36"/>
      <c r="CK343" s="36"/>
      <c r="CL343" s="36"/>
      <c r="CM343" s="36"/>
      <c r="CN343" s="36"/>
      <c r="CO343" s="36"/>
      <c r="CP343" s="36"/>
      <c r="CQ343" s="36"/>
      <c r="CR343" s="36"/>
      <c r="CS343" s="36"/>
      <c r="CT343" s="36"/>
      <c r="CU343" s="36"/>
      <c r="CV343" s="36"/>
      <c r="CW343" s="36"/>
      <c r="CX343" s="37"/>
      <c r="CY343" s="44"/>
      <c r="CZ343" s="36"/>
      <c r="DA343" s="36"/>
      <c r="DB343" s="36"/>
      <c r="DC343" s="36"/>
      <c r="DD343" s="36"/>
      <c r="DE343" s="36"/>
      <c r="DF343" s="36"/>
      <c r="DG343" s="36"/>
      <c r="DH343" s="36"/>
      <c r="DI343" s="36"/>
      <c r="DJ343" s="36"/>
      <c r="DK343" s="36"/>
      <c r="DL343" s="36"/>
      <c r="DM343" s="36"/>
      <c r="DN343" s="36"/>
      <c r="DO343" s="37"/>
      <c r="DP343" s="44"/>
      <c r="DQ343" s="36"/>
      <c r="DR343" s="36"/>
      <c r="DS343" s="36"/>
      <c r="DT343" s="36"/>
      <c r="DU343" s="36"/>
      <c r="DV343" s="36"/>
      <c r="DW343" s="36"/>
      <c r="DX343" s="36"/>
      <c r="DY343" s="36"/>
      <c r="DZ343" s="36"/>
      <c r="EA343" s="36"/>
      <c r="EB343" s="36"/>
      <c r="EC343" s="36"/>
      <c r="ED343" s="36"/>
      <c r="EE343" s="36"/>
      <c r="EF343" s="37"/>
      <c r="EG343" s="44"/>
      <c r="EH343" s="36"/>
      <c r="EI343" s="36"/>
      <c r="EJ343" s="36"/>
      <c r="EK343" s="36"/>
      <c r="EL343" s="36"/>
      <c r="EM343" s="36"/>
      <c r="EN343" s="36"/>
      <c r="EO343" s="36"/>
      <c r="EP343" s="36"/>
      <c r="EQ343" s="36"/>
      <c r="ER343" s="36"/>
      <c r="ES343" s="36"/>
      <c r="ET343" s="36"/>
      <c r="EU343" s="36"/>
      <c r="EV343" s="36"/>
      <c r="EW343" s="37"/>
      <c r="EX343" s="44"/>
      <c r="EY343" s="36"/>
      <c r="EZ343" s="36"/>
      <c r="FA343" s="36"/>
      <c r="FB343" s="36"/>
      <c r="FC343" s="36"/>
      <c r="FD343" s="36"/>
      <c r="FE343" s="36"/>
      <c r="FF343" s="36"/>
      <c r="FG343" s="36"/>
      <c r="FH343" s="36"/>
      <c r="FI343" s="36"/>
      <c r="FJ343" s="36"/>
      <c r="FK343" s="36"/>
      <c r="FL343" s="36"/>
      <c r="FM343" s="36"/>
      <c r="FN343" s="37"/>
      <c r="FO343" s="44"/>
      <c r="FP343" s="36"/>
      <c r="FQ343" s="36"/>
      <c r="FR343" s="36"/>
      <c r="FS343" s="36"/>
      <c r="FT343" s="36"/>
      <c r="FU343" s="36"/>
      <c r="FV343" s="36"/>
      <c r="FW343" s="36"/>
      <c r="FX343" s="36"/>
      <c r="FY343" s="36"/>
      <c r="FZ343" s="36"/>
      <c r="GA343" s="36"/>
      <c r="GB343" s="36"/>
      <c r="GC343" s="36"/>
      <c r="GD343" s="36"/>
      <c r="GE343" s="37"/>
      <c r="GF343" s="44"/>
      <c r="GG343" s="36"/>
      <c r="GH343" s="36"/>
      <c r="GI343" s="36"/>
      <c r="GJ343" s="36"/>
      <c r="GK343" s="36"/>
      <c r="GL343" s="36"/>
      <c r="GM343" s="36"/>
      <c r="GN343" s="36"/>
      <c r="GO343" s="36"/>
      <c r="GP343" s="36"/>
      <c r="GQ343" s="36"/>
      <c r="GR343" s="36"/>
      <c r="GS343" s="36"/>
      <c r="GT343" s="36"/>
      <c r="GU343" s="36"/>
      <c r="GV343" s="37"/>
      <c r="GW343" s="44"/>
      <c r="GX343" s="36"/>
      <c r="GY343" s="36"/>
      <c r="GZ343" s="36"/>
      <c r="HA343" s="36"/>
      <c r="HB343" s="36"/>
      <c r="HC343" s="36"/>
      <c r="HD343" s="36"/>
      <c r="HE343" s="36"/>
      <c r="HF343" s="36"/>
      <c r="HG343" s="36"/>
      <c r="HH343" s="36"/>
      <c r="HI343" s="36"/>
      <c r="HJ343" s="36"/>
      <c r="HK343" s="36"/>
      <c r="HL343" s="36"/>
      <c r="HM343" s="37"/>
      <c r="HN343" s="44"/>
      <c r="HO343" s="36"/>
      <c r="HP343" s="36"/>
      <c r="HQ343" s="36"/>
      <c r="HR343" s="36"/>
      <c r="HS343" s="36"/>
      <c r="HT343" s="36"/>
      <c r="HU343" s="36"/>
      <c r="HV343" s="36"/>
      <c r="HW343" s="36"/>
      <c r="HX343" s="36"/>
      <c r="HY343" s="36"/>
      <c r="HZ343" s="36"/>
      <c r="IA343" s="36"/>
      <c r="IB343" s="36"/>
      <c r="IC343" s="36"/>
      <c r="ID343" s="37"/>
      <c r="IE343" s="44"/>
      <c r="IF343" s="36"/>
      <c r="IG343" s="36"/>
      <c r="IH343" s="36"/>
      <c r="II343" s="36"/>
      <c r="IJ343" s="36"/>
      <c r="IK343" s="36"/>
      <c r="IL343" s="36"/>
      <c r="IM343" s="36"/>
      <c r="IN343" s="36"/>
      <c r="IO343" s="36"/>
      <c r="IP343" s="36"/>
      <c r="IQ343" s="36"/>
      <c r="IR343" s="36"/>
      <c r="IS343" s="36"/>
      <c r="IT343" s="36"/>
      <c r="IU343" s="37"/>
      <c r="IV343" s="44"/>
      <c r="IW343" s="36"/>
      <c r="IX343" s="36"/>
      <c r="IY343" s="36"/>
      <c r="IZ343" s="36"/>
      <c r="JA343" s="36"/>
      <c r="JB343" s="36"/>
      <c r="JC343" s="36"/>
      <c r="JD343" s="36"/>
      <c r="JE343" s="36"/>
      <c r="JF343" s="36"/>
      <c r="JG343" s="36"/>
      <c r="JH343" s="36"/>
      <c r="JI343" s="36"/>
      <c r="JJ343" s="36"/>
      <c r="JK343" s="36"/>
      <c r="JL343" s="37"/>
      <c r="JM343" s="44"/>
      <c r="JN343" s="36"/>
      <c r="JO343" s="36"/>
      <c r="JP343" s="36"/>
      <c r="JQ343" s="36"/>
      <c r="JR343" s="36"/>
      <c r="JS343" s="36"/>
      <c r="JT343" s="36"/>
      <c r="JU343" s="36"/>
      <c r="JV343" s="36"/>
      <c r="JW343" s="36"/>
      <c r="JX343" s="36"/>
      <c r="JY343" s="36"/>
      <c r="JZ343" s="36"/>
      <c r="KA343" s="36"/>
      <c r="KB343" s="36"/>
      <c r="KC343" s="37"/>
      <c r="KD343" s="44"/>
      <c r="KE343" s="36"/>
      <c r="KF343" s="36"/>
      <c r="KG343" s="36"/>
      <c r="KH343" s="36"/>
      <c r="KI343" s="36"/>
      <c r="KJ343" s="36"/>
      <c r="KK343" s="36"/>
      <c r="KL343" s="36"/>
      <c r="KM343" s="36"/>
      <c r="KN343" s="36"/>
      <c r="KO343" s="36"/>
      <c r="KP343" s="36"/>
      <c r="KQ343" s="36"/>
      <c r="KR343" s="36"/>
      <c r="KS343" s="36"/>
      <c r="KT343" s="37"/>
      <c r="KU343" s="36"/>
    </row>
    <row r="344" ht="15.0" customHeight="1">
      <c r="A344" s="44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7"/>
      <c r="R344" s="44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7"/>
      <c r="AI344" s="44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36"/>
      <c r="AU344" s="36"/>
      <c r="AV344" s="36"/>
      <c r="AW344" s="36"/>
      <c r="AX344" s="36"/>
      <c r="AY344" s="37"/>
      <c r="AZ344" s="44"/>
      <c r="BA344" s="36"/>
      <c r="BB344" s="36"/>
      <c r="BC344" s="36"/>
      <c r="BD344" s="36"/>
      <c r="BE344" s="36"/>
      <c r="BF344" s="36"/>
      <c r="BG344" s="36"/>
      <c r="BH344" s="36"/>
      <c r="BI344" s="36"/>
      <c r="BJ344" s="36"/>
      <c r="BK344" s="36"/>
      <c r="BL344" s="36"/>
      <c r="BM344" s="36"/>
      <c r="BN344" s="36"/>
      <c r="BO344" s="36"/>
      <c r="BP344" s="37"/>
      <c r="BQ344" s="44"/>
      <c r="BR344" s="36"/>
      <c r="BS344" s="36"/>
      <c r="BT344" s="36"/>
      <c r="BU344" s="36"/>
      <c r="BV344" s="36"/>
      <c r="BW344" s="36"/>
      <c r="BX344" s="36"/>
      <c r="BY344" s="36"/>
      <c r="BZ344" s="36"/>
      <c r="CA344" s="36"/>
      <c r="CB344" s="36"/>
      <c r="CC344" s="36"/>
      <c r="CD344" s="36"/>
      <c r="CE344" s="36"/>
      <c r="CF344" s="36"/>
      <c r="CG344" s="37"/>
      <c r="CH344" s="44"/>
      <c r="CI344" s="36"/>
      <c r="CJ344" s="36"/>
      <c r="CK344" s="36"/>
      <c r="CL344" s="36"/>
      <c r="CM344" s="36"/>
      <c r="CN344" s="36"/>
      <c r="CO344" s="36"/>
      <c r="CP344" s="36"/>
      <c r="CQ344" s="36"/>
      <c r="CR344" s="36"/>
      <c r="CS344" s="36"/>
      <c r="CT344" s="36"/>
      <c r="CU344" s="36"/>
      <c r="CV344" s="36"/>
      <c r="CW344" s="36"/>
      <c r="CX344" s="37"/>
      <c r="CY344" s="44"/>
      <c r="CZ344" s="36"/>
      <c r="DA344" s="36"/>
      <c r="DB344" s="36"/>
      <c r="DC344" s="36"/>
      <c r="DD344" s="36"/>
      <c r="DE344" s="36"/>
      <c r="DF344" s="36"/>
      <c r="DG344" s="36"/>
      <c r="DH344" s="36"/>
      <c r="DI344" s="36"/>
      <c r="DJ344" s="36"/>
      <c r="DK344" s="36"/>
      <c r="DL344" s="36"/>
      <c r="DM344" s="36"/>
      <c r="DN344" s="36"/>
      <c r="DO344" s="37"/>
      <c r="DP344" s="44"/>
      <c r="DQ344" s="36"/>
      <c r="DR344" s="36"/>
      <c r="DS344" s="36"/>
      <c r="DT344" s="36"/>
      <c r="DU344" s="36"/>
      <c r="DV344" s="36"/>
      <c r="DW344" s="36"/>
      <c r="DX344" s="36"/>
      <c r="DY344" s="36"/>
      <c r="DZ344" s="36"/>
      <c r="EA344" s="36"/>
      <c r="EB344" s="36"/>
      <c r="EC344" s="36"/>
      <c r="ED344" s="36"/>
      <c r="EE344" s="36"/>
      <c r="EF344" s="37"/>
      <c r="EG344" s="44"/>
      <c r="EH344" s="36"/>
      <c r="EI344" s="36"/>
      <c r="EJ344" s="36"/>
      <c r="EK344" s="36"/>
      <c r="EL344" s="36"/>
      <c r="EM344" s="36"/>
      <c r="EN344" s="36"/>
      <c r="EO344" s="36"/>
      <c r="EP344" s="36"/>
      <c r="EQ344" s="36"/>
      <c r="ER344" s="36"/>
      <c r="ES344" s="36"/>
      <c r="ET344" s="36"/>
      <c r="EU344" s="36"/>
      <c r="EV344" s="36"/>
      <c r="EW344" s="37"/>
      <c r="EX344" s="44"/>
      <c r="EY344" s="36"/>
      <c r="EZ344" s="36"/>
      <c r="FA344" s="36"/>
      <c r="FB344" s="36"/>
      <c r="FC344" s="36"/>
      <c r="FD344" s="36"/>
      <c r="FE344" s="36"/>
      <c r="FF344" s="36"/>
      <c r="FG344" s="36"/>
      <c r="FH344" s="36"/>
      <c r="FI344" s="36"/>
      <c r="FJ344" s="36"/>
      <c r="FK344" s="36"/>
      <c r="FL344" s="36"/>
      <c r="FM344" s="36"/>
      <c r="FN344" s="37"/>
      <c r="FO344" s="44"/>
      <c r="FP344" s="36"/>
      <c r="FQ344" s="36"/>
      <c r="FR344" s="36"/>
      <c r="FS344" s="36"/>
      <c r="FT344" s="36"/>
      <c r="FU344" s="36"/>
      <c r="FV344" s="36"/>
      <c r="FW344" s="36"/>
      <c r="FX344" s="36"/>
      <c r="FY344" s="36"/>
      <c r="FZ344" s="36"/>
      <c r="GA344" s="36"/>
      <c r="GB344" s="36"/>
      <c r="GC344" s="36"/>
      <c r="GD344" s="36"/>
      <c r="GE344" s="37"/>
      <c r="GF344" s="44"/>
      <c r="GG344" s="36"/>
      <c r="GH344" s="36"/>
      <c r="GI344" s="36"/>
      <c r="GJ344" s="36"/>
      <c r="GK344" s="36"/>
      <c r="GL344" s="36"/>
      <c r="GM344" s="36"/>
      <c r="GN344" s="36"/>
      <c r="GO344" s="36"/>
      <c r="GP344" s="36"/>
      <c r="GQ344" s="36"/>
      <c r="GR344" s="36"/>
      <c r="GS344" s="36"/>
      <c r="GT344" s="36"/>
      <c r="GU344" s="36"/>
      <c r="GV344" s="37"/>
      <c r="GW344" s="44"/>
      <c r="GX344" s="36"/>
      <c r="GY344" s="36"/>
      <c r="GZ344" s="36"/>
      <c r="HA344" s="36"/>
      <c r="HB344" s="36"/>
      <c r="HC344" s="36"/>
      <c r="HD344" s="36"/>
      <c r="HE344" s="36"/>
      <c r="HF344" s="36"/>
      <c r="HG344" s="36"/>
      <c r="HH344" s="36"/>
      <c r="HI344" s="36"/>
      <c r="HJ344" s="36"/>
      <c r="HK344" s="36"/>
      <c r="HL344" s="36"/>
      <c r="HM344" s="37"/>
      <c r="HN344" s="44"/>
      <c r="HO344" s="36"/>
      <c r="HP344" s="36"/>
      <c r="HQ344" s="36"/>
      <c r="HR344" s="36"/>
      <c r="HS344" s="36"/>
      <c r="HT344" s="36"/>
      <c r="HU344" s="36"/>
      <c r="HV344" s="36"/>
      <c r="HW344" s="36"/>
      <c r="HX344" s="36"/>
      <c r="HY344" s="36"/>
      <c r="HZ344" s="36"/>
      <c r="IA344" s="36"/>
      <c r="IB344" s="36"/>
      <c r="IC344" s="36"/>
      <c r="ID344" s="37"/>
      <c r="IE344" s="44"/>
      <c r="IF344" s="36"/>
      <c r="IG344" s="36"/>
      <c r="IH344" s="36"/>
      <c r="II344" s="36"/>
      <c r="IJ344" s="36"/>
      <c r="IK344" s="36"/>
      <c r="IL344" s="36"/>
      <c r="IM344" s="36"/>
      <c r="IN344" s="36"/>
      <c r="IO344" s="36"/>
      <c r="IP344" s="36"/>
      <c r="IQ344" s="36"/>
      <c r="IR344" s="36"/>
      <c r="IS344" s="36"/>
      <c r="IT344" s="36"/>
      <c r="IU344" s="37"/>
      <c r="IV344" s="44"/>
      <c r="IW344" s="36"/>
      <c r="IX344" s="36"/>
      <c r="IY344" s="36"/>
      <c r="IZ344" s="36"/>
      <c r="JA344" s="36"/>
      <c r="JB344" s="36"/>
      <c r="JC344" s="36"/>
      <c r="JD344" s="36"/>
      <c r="JE344" s="36"/>
      <c r="JF344" s="36"/>
      <c r="JG344" s="36"/>
      <c r="JH344" s="36"/>
      <c r="JI344" s="36"/>
      <c r="JJ344" s="36"/>
      <c r="JK344" s="36"/>
      <c r="JL344" s="37"/>
      <c r="JM344" s="44"/>
      <c r="JN344" s="36"/>
      <c r="JO344" s="36"/>
      <c r="JP344" s="36"/>
      <c r="JQ344" s="36"/>
      <c r="JR344" s="36"/>
      <c r="JS344" s="36"/>
      <c r="JT344" s="36"/>
      <c r="JU344" s="36"/>
      <c r="JV344" s="36"/>
      <c r="JW344" s="36"/>
      <c r="JX344" s="36"/>
      <c r="JY344" s="36"/>
      <c r="JZ344" s="36"/>
      <c r="KA344" s="36"/>
      <c r="KB344" s="36"/>
      <c r="KC344" s="37"/>
      <c r="KD344" s="44"/>
      <c r="KE344" s="36"/>
      <c r="KF344" s="36"/>
      <c r="KG344" s="36"/>
      <c r="KH344" s="36"/>
      <c r="KI344" s="36"/>
      <c r="KJ344" s="36"/>
      <c r="KK344" s="36"/>
      <c r="KL344" s="36"/>
      <c r="KM344" s="36"/>
      <c r="KN344" s="36"/>
      <c r="KO344" s="36"/>
      <c r="KP344" s="36"/>
      <c r="KQ344" s="36"/>
      <c r="KR344" s="36"/>
      <c r="KS344" s="36"/>
      <c r="KT344" s="37"/>
      <c r="KU344" s="36"/>
    </row>
    <row r="345" ht="15.0" customHeight="1">
      <c r="A345" s="44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7"/>
      <c r="R345" s="44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7"/>
      <c r="AI345" s="44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  <c r="AU345" s="36"/>
      <c r="AV345" s="36"/>
      <c r="AW345" s="36"/>
      <c r="AX345" s="36"/>
      <c r="AY345" s="37"/>
      <c r="AZ345" s="44"/>
      <c r="BA345" s="36"/>
      <c r="BB345" s="36"/>
      <c r="BC345" s="36"/>
      <c r="BD345" s="36"/>
      <c r="BE345" s="36"/>
      <c r="BF345" s="36"/>
      <c r="BG345" s="36"/>
      <c r="BH345" s="36"/>
      <c r="BI345" s="36"/>
      <c r="BJ345" s="36"/>
      <c r="BK345" s="36"/>
      <c r="BL345" s="36"/>
      <c r="BM345" s="36"/>
      <c r="BN345" s="36"/>
      <c r="BO345" s="36"/>
      <c r="BP345" s="37"/>
      <c r="BQ345" s="44"/>
      <c r="BR345" s="36"/>
      <c r="BS345" s="36"/>
      <c r="BT345" s="36"/>
      <c r="BU345" s="36"/>
      <c r="BV345" s="36"/>
      <c r="BW345" s="36"/>
      <c r="BX345" s="36"/>
      <c r="BY345" s="36"/>
      <c r="BZ345" s="36"/>
      <c r="CA345" s="36"/>
      <c r="CB345" s="36"/>
      <c r="CC345" s="36"/>
      <c r="CD345" s="36"/>
      <c r="CE345" s="36"/>
      <c r="CF345" s="36"/>
      <c r="CG345" s="37"/>
      <c r="CH345" s="44"/>
      <c r="CI345" s="36"/>
      <c r="CJ345" s="36"/>
      <c r="CK345" s="36"/>
      <c r="CL345" s="36"/>
      <c r="CM345" s="36"/>
      <c r="CN345" s="36"/>
      <c r="CO345" s="36"/>
      <c r="CP345" s="36"/>
      <c r="CQ345" s="36"/>
      <c r="CR345" s="36"/>
      <c r="CS345" s="36"/>
      <c r="CT345" s="36"/>
      <c r="CU345" s="36"/>
      <c r="CV345" s="36"/>
      <c r="CW345" s="36"/>
      <c r="CX345" s="37"/>
      <c r="CY345" s="44"/>
      <c r="CZ345" s="36"/>
      <c r="DA345" s="36"/>
      <c r="DB345" s="36"/>
      <c r="DC345" s="36"/>
      <c r="DD345" s="36"/>
      <c r="DE345" s="36"/>
      <c r="DF345" s="36"/>
      <c r="DG345" s="36"/>
      <c r="DH345" s="36"/>
      <c r="DI345" s="36"/>
      <c r="DJ345" s="36"/>
      <c r="DK345" s="36"/>
      <c r="DL345" s="36"/>
      <c r="DM345" s="36"/>
      <c r="DN345" s="36"/>
      <c r="DO345" s="37"/>
      <c r="DP345" s="44"/>
      <c r="DQ345" s="36"/>
      <c r="DR345" s="36"/>
      <c r="DS345" s="36"/>
      <c r="DT345" s="36"/>
      <c r="DU345" s="36"/>
      <c r="DV345" s="36"/>
      <c r="DW345" s="36"/>
      <c r="DX345" s="36"/>
      <c r="DY345" s="36"/>
      <c r="DZ345" s="36"/>
      <c r="EA345" s="36"/>
      <c r="EB345" s="36"/>
      <c r="EC345" s="36"/>
      <c r="ED345" s="36"/>
      <c r="EE345" s="36"/>
      <c r="EF345" s="37"/>
      <c r="EG345" s="44"/>
      <c r="EH345" s="36"/>
      <c r="EI345" s="36"/>
      <c r="EJ345" s="36"/>
      <c r="EK345" s="36"/>
      <c r="EL345" s="36"/>
      <c r="EM345" s="36"/>
      <c r="EN345" s="36"/>
      <c r="EO345" s="36"/>
      <c r="EP345" s="36"/>
      <c r="EQ345" s="36"/>
      <c r="ER345" s="36"/>
      <c r="ES345" s="36"/>
      <c r="ET345" s="36"/>
      <c r="EU345" s="36"/>
      <c r="EV345" s="36"/>
      <c r="EW345" s="37"/>
      <c r="EX345" s="44"/>
      <c r="EY345" s="36"/>
      <c r="EZ345" s="36"/>
      <c r="FA345" s="36"/>
      <c r="FB345" s="36"/>
      <c r="FC345" s="36"/>
      <c r="FD345" s="36"/>
      <c r="FE345" s="36"/>
      <c r="FF345" s="36"/>
      <c r="FG345" s="36"/>
      <c r="FH345" s="36"/>
      <c r="FI345" s="36"/>
      <c r="FJ345" s="36"/>
      <c r="FK345" s="36"/>
      <c r="FL345" s="36"/>
      <c r="FM345" s="36"/>
      <c r="FN345" s="37"/>
      <c r="FO345" s="44"/>
      <c r="FP345" s="36"/>
      <c r="FQ345" s="36"/>
      <c r="FR345" s="36"/>
      <c r="FS345" s="36"/>
      <c r="FT345" s="36"/>
      <c r="FU345" s="36"/>
      <c r="FV345" s="36"/>
      <c r="FW345" s="36"/>
      <c r="FX345" s="36"/>
      <c r="FY345" s="36"/>
      <c r="FZ345" s="36"/>
      <c r="GA345" s="36"/>
      <c r="GB345" s="36"/>
      <c r="GC345" s="36"/>
      <c r="GD345" s="36"/>
      <c r="GE345" s="37"/>
      <c r="GF345" s="44"/>
      <c r="GG345" s="36"/>
      <c r="GH345" s="36"/>
      <c r="GI345" s="36"/>
      <c r="GJ345" s="36"/>
      <c r="GK345" s="36"/>
      <c r="GL345" s="36"/>
      <c r="GM345" s="36"/>
      <c r="GN345" s="36"/>
      <c r="GO345" s="36"/>
      <c r="GP345" s="36"/>
      <c r="GQ345" s="36"/>
      <c r="GR345" s="36"/>
      <c r="GS345" s="36"/>
      <c r="GT345" s="36"/>
      <c r="GU345" s="36"/>
      <c r="GV345" s="37"/>
      <c r="GW345" s="44"/>
      <c r="GX345" s="36"/>
      <c r="GY345" s="36"/>
      <c r="GZ345" s="36"/>
      <c r="HA345" s="36"/>
      <c r="HB345" s="36"/>
      <c r="HC345" s="36"/>
      <c r="HD345" s="36"/>
      <c r="HE345" s="36"/>
      <c r="HF345" s="36"/>
      <c r="HG345" s="36"/>
      <c r="HH345" s="36"/>
      <c r="HI345" s="36"/>
      <c r="HJ345" s="36"/>
      <c r="HK345" s="36"/>
      <c r="HL345" s="36"/>
      <c r="HM345" s="37"/>
      <c r="HN345" s="44"/>
      <c r="HO345" s="36"/>
      <c r="HP345" s="36"/>
      <c r="HQ345" s="36"/>
      <c r="HR345" s="36"/>
      <c r="HS345" s="36"/>
      <c r="HT345" s="36"/>
      <c r="HU345" s="36"/>
      <c r="HV345" s="36"/>
      <c r="HW345" s="36"/>
      <c r="HX345" s="36"/>
      <c r="HY345" s="36"/>
      <c r="HZ345" s="36"/>
      <c r="IA345" s="36"/>
      <c r="IB345" s="36"/>
      <c r="IC345" s="36"/>
      <c r="ID345" s="37"/>
      <c r="IE345" s="44"/>
      <c r="IF345" s="36"/>
      <c r="IG345" s="36"/>
      <c r="IH345" s="36"/>
      <c r="II345" s="36"/>
      <c r="IJ345" s="36"/>
      <c r="IK345" s="36"/>
      <c r="IL345" s="36"/>
      <c r="IM345" s="36"/>
      <c r="IN345" s="36"/>
      <c r="IO345" s="36"/>
      <c r="IP345" s="36"/>
      <c r="IQ345" s="36"/>
      <c r="IR345" s="36"/>
      <c r="IS345" s="36"/>
      <c r="IT345" s="36"/>
      <c r="IU345" s="37"/>
      <c r="IV345" s="44"/>
      <c r="IW345" s="36"/>
      <c r="IX345" s="36"/>
      <c r="IY345" s="36"/>
      <c r="IZ345" s="36"/>
      <c r="JA345" s="36"/>
      <c r="JB345" s="36"/>
      <c r="JC345" s="36"/>
      <c r="JD345" s="36"/>
      <c r="JE345" s="36"/>
      <c r="JF345" s="36"/>
      <c r="JG345" s="36"/>
      <c r="JH345" s="36"/>
      <c r="JI345" s="36"/>
      <c r="JJ345" s="36"/>
      <c r="JK345" s="36"/>
      <c r="JL345" s="37"/>
      <c r="JM345" s="44"/>
      <c r="JN345" s="36"/>
      <c r="JO345" s="36"/>
      <c r="JP345" s="36"/>
      <c r="JQ345" s="36"/>
      <c r="JR345" s="36"/>
      <c r="JS345" s="36"/>
      <c r="JT345" s="36"/>
      <c r="JU345" s="36"/>
      <c r="JV345" s="36"/>
      <c r="JW345" s="36"/>
      <c r="JX345" s="36"/>
      <c r="JY345" s="36"/>
      <c r="JZ345" s="36"/>
      <c r="KA345" s="36"/>
      <c r="KB345" s="36"/>
      <c r="KC345" s="37"/>
      <c r="KD345" s="44"/>
      <c r="KE345" s="36"/>
      <c r="KF345" s="36"/>
      <c r="KG345" s="36"/>
      <c r="KH345" s="36"/>
      <c r="KI345" s="36"/>
      <c r="KJ345" s="36"/>
      <c r="KK345" s="36"/>
      <c r="KL345" s="36"/>
      <c r="KM345" s="36"/>
      <c r="KN345" s="36"/>
      <c r="KO345" s="36"/>
      <c r="KP345" s="36"/>
      <c r="KQ345" s="36"/>
      <c r="KR345" s="36"/>
      <c r="KS345" s="36"/>
      <c r="KT345" s="37"/>
      <c r="KU345" s="36"/>
    </row>
    <row r="346" ht="15.0" customHeight="1">
      <c r="A346" s="44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7"/>
      <c r="R346" s="44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7"/>
      <c r="AI346" s="44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  <c r="AU346" s="36"/>
      <c r="AV346" s="36"/>
      <c r="AW346" s="36"/>
      <c r="AX346" s="36"/>
      <c r="AY346" s="37"/>
      <c r="AZ346" s="44"/>
      <c r="BA346" s="36"/>
      <c r="BB346" s="36"/>
      <c r="BC346" s="36"/>
      <c r="BD346" s="36"/>
      <c r="BE346" s="36"/>
      <c r="BF346" s="36"/>
      <c r="BG346" s="36"/>
      <c r="BH346" s="36"/>
      <c r="BI346" s="36"/>
      <c r="BJ346" s="36"/>
      <c r="BK346" s="36"/>
      <c r="BL346" s="36"/>
      <c r="BM346" s="36"/>
      <c r="BN346" s="36"/>
      <c r="BO346" s="36"/>
      <c r="BP346" s="37"/>
      <c r="BQ346" s="44"/>
      <c r="BR346" s="36"/>
      <c r="BS346" s="36"/>
      <c r="BT346" s="36"/>
      <c r="BU346" s="36"/>
      <c r="BV346" s="36"/>
      <c r="BW346" s="36"/>
      <c r="BX346" s="36"/>
      <c r="BY346" s="36"/>
      <c r="BZ346" s="36"/>
      <c r="CA346" s="36"/>
      <c r="CB346" s="36"/>
      <c r="CC346" s="36"/>
      <c r="CD346" s="36"/>
      <c r="CE346" s="36"/>
      <c r="CF346" s="36"/>
      <c r="CG346" s="37"/>
      <c r="CH346" s="44"/>
      <c r="CI346" s="36"/>
      <c r="CJ346" s="36"/>
      <c r="CK346" s="36"/>
      <c r="CL346" s="36"/>
      <c r="CM346" s="36"/>
      <c r="CN346" s="36"/>
      <c r="CO346" s="36"/>
      <c r="CP346" s="36"/>
      <c r="CQ346" s="36"/>
      <c r="CR346" s="36"/>
      <c r="CS346" s="36"/>
      <c r="CT346" s="36"/>
      <c r="CU346" s="36"/>
      <c r="CV346" s="36"/>
      <c r="CW346" s="36"/>
      <c r="CX346" s="37"/>
      <c r="CY346" s="44"/>
      <c r="CZ346" s="36"/>
      <c r="DA346" s="36"/>
      <c r="DB346" s="36"/>
      <c r="DC346" s="36"/>
      <c r="DD346" s="36"/>
      <c r="DE346" s="36"/>
      <c r="DF346" s="36"/>
      <c r="DG346" s="36"/>
      <c r="DH346" s="36"/>
      <c r="DI346" s="36"/>
      <c r="DJ346" s="36"/>
      <c r="DK346" s="36"/>
      <c r="DL346" s="36"/>
      <c r="DM346" s="36"/>
      <c r="DN346" s="36"/>
      <c r="DO346" s="37"/>
      <c r="DP346" s="44"/>
      <c r="DQ346" s="36"/>
      <c r="DR346" s="36"/>
      <c r="DS346" s="36"/>
      <c r="DT346" s="36"/>
      <c r="DU346" s="36"/>
      <c r="DV346" s="36"/>
      <c r="DW346" s="36"/>
      <c r="DX346" s="36"/>
      <c r="DY346" s="36"/>
      <c r="DZ346" s="36"/>
      <c r="EA346" s="36"/>
      <c r="EB346" s="36"/>
      <c r="EC346" s="36"/>
      <c r="ED346" s="36"/>
      <c r="EE346" s="36"/>
      <c r="EF346" s="37"/>
      <c r="EG346" s="44"/>
      <c r="EH346" s="36"/>
      <c r="EI346" s="36"/>
      <c r="EJ346" s="36"/>
      <c r="EK346" s="36"/>
      <c r="EL346" s="36"/>
      <c r="EM346" s="36"/>
      <c r="EN346" s="36"/>
      <c r="EO346" s="36"/>
      <c r="EP346" s="36"/>
      <c r="EQ346" s="36"/>
      <c r="ER346" s="36"/>
      <c r="ES346" s="36"/>
      <c r="ET346" s="36"/>
      <c r="EU346" s="36"/>
      <c r="EV346" s="36"/>
      <c r="EW346" s="37"/>
      <c r="EX346" s="44"/>
      <c r="EY346" s="36"/>
      <c r="EZ346" s="36"/>
      <c r="FA346" s="36"/>
      <c r="FB346" s="36"/>
      <c r="FC346" s="36"/>
      <c r="FD346" s="36"/>
      <c r="FE346" s="36"/>
      <c r="FF346" s="36"/>
      <c r="FG346" s="36"/>
      <c r="FH346" s="36"/>
      <c r="FI346" s="36"/>
      <c r="FJ346" s="36"/>
      <c r="FK346" s="36"/>
      <c r="FL346" s="36"/>
      <c r="FM346" s="36"/>
      <c r="FN346" s="37"/>
      <c r="FO346" s="44"/>
      <c r="FP346" s="36"/>
      <c r="FQ346" s="36"/>
      <c r="FR346" s="36"/>
      <c r="FS346" s="36"/>
      <c r="FT346" s="36"/>
      <c r="FU346" s="36"/>
      <c r="FV346" s="36"/>
      <c r="FW346" s="36"/>
      <c r="FX346" s="36"/>
      <c r="FY346" s="36"/>
      <c r="FZ346" s="36"/>
      <c r="GA346" s="36"/>
      <c r="GB346" s="36"/>
      <c r="GC346" s="36"/>
      <c r="GD346" s="36"/>
      <c r="GE346" s="37"/>
      <c r="GF346" s="44"/>
      <c r="GG346" s="36"/>
      <c r="GH346" s="36"/>
      <c r="GI346" s="36"/>
      <c r="GJ346" s="36"/>
      <c r="GK346" s="36"/>
      <c r="GL346" s="36"/>
      <c r="GM346" s="36"/>
      <c r="GN346" s="36"/>
      <c r="GO346" s="36"/>
      <c r="GP346" s="36"/>
      <c r="GQ346" s="36"/>
      <c r="GR346" s="36"/>
      <c r="GS346" s="36"/>
      <c r="GT346" s="36"/>
      <c r="GU346" s="36"/>
      <c r="GV346" s="37"/>
      <c r="GW346" s="44"/>
      <c r="GX346" s="36"/>
      <c r="GY346" s="36"/>
      <c r="GZ346" s="36"/>
      <c r="HA346" s="36"/>
      <c r="HB346" s="36"/>
      <c r="HC346" s="36"/>
      <c r="HD346" s="36"/>
      <c r="HE346" s="36"/>
      <c r="HF346" s="36"/>
      <c r="HG346" s="36"/>
      <c r="HH346" s="36"/>
      <c r="HI346" s="36"/>
      <c r="HJ346" s="36"/>
      <c r="HK346" s="36"/>
      <c r="HL346" s="36"/>
      <c r="HM346" s="37"/>
      <c r="HN346" s="44"/>
      <c r="HO346" s="36"/>
      <c r="HP346" s="36"/>
      <c r="HQ346" s="36"/>
      <c r="HR346" s="36"/>
      <c r="HS346" s="36"/>
      <c r="HT346" s="36"/>
      <c r="HU346" s="36"/>
      <c r="HV346" s="36"/>
      <c r="HW346" s="36"/>
      <c r="HX346" s="36"/>
      <c r="HY346" s="36"/>
      <c r="HZ346" s="36"/>
      <c r="IA346" s="36"/>
      <c r="IB346" s="36"/>
      <c r="IC346" s="36"/>
      <c r="ID346" s="37"/>
      <c r="IE346" s="44"/>
      <c r="IF346" s="36"/>
      <c r="IG346" s="36"/>
      <c r="IH346" s="36"/>
      <c r="II346" s="36"/>
      <c r="IJ346" s="36"/>
      <c r="IK346" s="36"/>
      <c r="IL346" s="36"/>
      <c r="IM346" s="36"/>
      <c r="IN346" s="36"/>
      <c r="IO346" s="36"/>
      <c r="IP346" s="36"/>
      <c r="IQ346" s="36"/>
      <c r="IR346" s="36"/>
      <c r="IS346" s="36"/>
      <c r="IT346" s="36"/>
      <c r="IU346" s="37"/>
      <c r="IV346" s="44"/>
      <c r="IW346" s="36"/>
      <c r="IX346" s="36"/>
      <c r="IY346" s="36"/>
      <c r="IZ346" s="36"/>
      <c r="JA346" s="36"/>
      <c r="JB346" s="36"/>
      <c r="JC346" s="36"/>
      <c r="JD346" s="36"/>
      <c r="JE346" s="36"/>
      <c r="JF346" s="36"/>
      <c r="JG346" s="36"/>
      <c r="JH346" s="36"/>
      <c r="JI346" s="36"/>
      <c r="JJ346" s="36"/>
      <c r="JK346" s="36"/>
      <c r="JL346" s="37"/>
      <c r="JM346" s="44"/>
      <c r="JN346" s="36"/>
      <c r="JO346" s="36"/>
      <c r="JP346" s="36"/>
      <c r="JQ346" s="36"/>
      <c r="JR346" s="36"/>
      <c r="JS346" s="36"/>
      <c r="JT346" s="36"/>
      <c r="JU346" s="36"/>
      <c r="JV346" s="36"/>
      <c r="JW346" s="36"/>
      <c r="JX346" s="36"/>
      <c r="JY346" s="36"/>
      <c r="JZ346" s="36"/>
      <c r="KA346" s="36"/>
      <c r="KB346" s="36"/>
      <c r="KC346" s="37"/>
      <c r="KD346" s="44"/>
      <c r="KE346" s="36"/>
      <c r="KF346" s="36"/>
      <c r="KG346" s="36"/>
      <c r="KH346" s="36"/>
      <c r="KI346" s="36"/>
      <c r="KJ346" s="36"/>
      <c r="KK346" s="36"/>
      <c r="KL346" s="36"/>
      <c r="KM346" s="36"/>
      <c r="KN346" s="36"/>
      <c r="KO346" s="36"/>
      <c r="KP346" s="36"/>
      <c r="KQ346" s="36"/>
      <c r="KR346" s="36"/>
      <c r="KS346" s="36"/>
      <c r="KT346" s="37"/>
      <c r="KU346" s="36"/>
    </row>
    <row r="347" ht="15.0" customHeight="1">
      <c r="A347" s="44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7"/>
      <c r="R347" s="44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7"/>
      <c r="AI347" s="44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36"/>
      <c r="AU347" s="36"/>
      <c r="AV347" s="36"/>
      <c r="AW347" s="36"/>
      <c r="AX347" s="36"/>
      <c r="AY347" s="37"/>
      <c r="AZ347" s="44"/>
      <c r="BA347" s="36"/>
      <c r="BB347" s="36"/>
      <c r="BC347" s="36"/>
      <c r="BD347" s="36"/>
      <c r="BE347" s="36"/>
      <c r="BF347" s="36"/>
      <c r="BG347" s="36"/>
      <c r="BH347" s="36"/>
      <c r="BI347" s="36"/>
      <c r="BJ347" s="36"/>
      <c r="BK347" s="36"/>
      <c r="BL347" s="36"/>
      <c r="BM347" s="36"/>
      <c r="BN347" s="36"/>
      <c r="BO347" s="36"/>
      <c r="BP347" s="37"/>
      <c r="BQ347" s="44"/>
      <c r="BR347" s="36"/>
      <c r="BS347" s="36"/>
      <c r="BT347" s="36"/>
      <c r="BU347" s="36"/>
      <c r="BV347" s="36"/>
      <c r="BW347" s="36"/>
      <c r="BX347" s="36"/>
      <c r="BY347" s="36"/>
      <c r="BZ347" s="36"/>
      <c r="CA347" s="36"/>
      <c r="CB347" s="36"/>
      <c r="CC347" s="36"/>
      <c r="CD347" s="36"/>
      <c r="CE347" s="36"/>
      <c r="CF347" s="36"/>
      <c r="CG347" s="37"/>
      <c r="CH347" s="44"/>
      <c r="CI347" s="36"/>
      <c r="CJ347" s="36"/>
      <c r="CK347" s="36"/>
      <c r="CL347" s="36"/>
      <c r="CM347" s="36"/>
      <c r="CN347" s="36"/>
      <c r="CO347" s="36"/>
      <c r="CP347" s="36"/>
      <c r="CQ347" s="36"/>
      <c r="CR347" s="36"/>
      <c r="CS347" s="36"/>
      <c r="CT347" s="36"/>
      <c r="CU347" s="36"/>
      <c r="CV347" s="36"/>
      <c r="CW347" s="36"/>
      <c r="CX347" s="37"/>
      <c r="CY347" s="44"/>
      <c r="CZ347" s="36"/>
      <c r="DA347" s="36"/>
      <c r="DB347" s="36"/>
      <c r="DC347" s="36"/>
      <c r="DD347" s="36"/>
      <c r="DE347" s="36"/>
      <c r="DF347" s="36"/>
      <c r="DG347" s="36"/>
      <c r="DH347" s="36"/>
      <c r="DI347" s="36"/>
      <c r="DJ347" s="36"/>
      <c r="DK347" s="36"/>
      <c r="DL347" s="36"/>
      <c r="DM347" s="36"/>
      <c r="DN347" s="36"/>
      <c r="DO347" s="37"/>
      <c r="DP347" s="44"/>
      <c r="DQ347" s="36"/>
      <c r="DR347" s="36"/>
      <c r="DS347" s="36"/>
      <c r="DT347" s="36"/>
      <c r="DU347" s="36"/>
      <c r="DV347" s="36"/>
      <c r="DW347" s="36"/>
      <c r="DX347" s="36"/>
      <c r="DY347" s="36"/>
      <c r="DZ347" s="36"/>
      <c r="EA347" s="36"/>
      <c r="EB347" s="36"/>
      <c r="EC347" s="36"/>
      <c r="ED347" s="36"/>
      <c r="EE347" s="36"/>
      <c r="EF347" s="37"/>
      <c r="EG347" s="44"/>
      <c r="EH347" s="36"/>
      <c r="EI347" s="36"/>
      <c r="EJ347" s="36"/>
      <c r="EK347" s="36"/>
      <c r="EL347" s="36"/>
      <c r="EM347" s="36"/>
      <c r="EN347" s="36"/>
      <c r="EO347" s="36"/>
      <c r="EP347" s="36"/>
      <c r="EQ347" s="36"/>
      <c r="ER347" s="36"/>
      <c r="ES347" s="36"/>
      <c r="ET347" s="36"/>
      <c r="EU347" s="36"/>
      <c r="EV347" s="36"/>
      <c r="EW347" s="37"/>
      <c r="EX347" s="44"/>
      <c r="EY347" s="36"/>
      <c r="EZ347" s="36"/>
      <c r="FA347" s="36"/>
      <c r="FB347" s="36"/>
      <c r="FC347" s="36"/>
      <c r="FD347" s="36"/>
      <c r="FE347" s="36"/>
      <c r="FF347" s="36"/>
      <c r="FG347" s="36"/>
      <c r="FH347" s="36"/>
      <c r="FI347" s="36"/>
      <c r="FJ347" s="36"/>
      <c r="FK347" s="36"/>
      <c r="FL347" s="36"/>
      <c r="FM347" s="36"/>
      <c r="FN347" s="37"/>
      <c r="FO347" s="44"/>
      <c r="FP347" s="36"/>
      <c r="FQ347" s="36"/>
      <c r="FR347" s="36"/>
      <c r="FS347" s="36"/>
      <c r="FT347" s="36"/>
      <c r="FU347" s="36"/>
      <c r="FV347" s="36"/>
      <c r="FW347" s="36"/>
      <c r="FX347" s="36"/>
      <c r="FY347" s="36"/>
      <c r="FZ347" s="36"/>
      <c r="GA347" s="36"/>
      <c r="GB347" s="36"/>
      <c r="GC347" s="36"/>
      <c r="GD347" s="36"/>
      <c r="GE347" s="37"/>
      <c r="GF347" s="44"/>
      <c r="GG347" s="36"/>
      <c r="GH347" s="36"/>
      <c r="GI347" s="36"/>
      <c r="GJ347" s="36"/>
      <c r="GK347" s="36"/>
      <c r="GL347" s="36"/>
      <c r="GM347" s="36"/>
      <c r="GN347" s="36"/>
      <c r="GO347" s="36"/>
      <c r="GP347" s="36"/>
      <c r="GQ347" s="36"/>
      <c r="GR347" s="36"/>
      <c r="GS347" s="36"/>
      <c r="GT347" s="36"/>
      <c r="GU347" s="36"/>
      <c r="GV347" s="37"/>
      <c r="GW347" s="44"/>
      <c r="GX347" s="36"/>
      <c r="GY347" s="36"/>
      <c r="GZ347" s="36"/>
      <c r="HA347" s="36"/>
      <c r="HB347" s="36"/>
      <c r="HC347" s="36"/>
      <c r="HD347" s="36"/>
      <c r="HE347" s="36"/>
      <c r="HF347" s="36"/>
      <c r="HG347" s="36"/>
      <c r="HH347" s="36"/>
      <c r="HI347" s="36"/>
      <c r="HJ347" s="36"/>
      <c r="HK347" s="36"/>
      <c r="HL347" s="36"/>
      <c r="HM347" s="37"/>
      <c r="HN347" s="44"/>
      <c r="HO347" s="36"/>
      <c r="HP347" s="36"/>
      <c r="HQ347" s="36"/>
      <c r="HR347" s="36"/>
      <c r="HS347" s="36"/>
      <c r="HT347" s="36"/>
      <c r="HU347" s="36"/>
      <c r="HV347" s="36"/>
      <c r="HW347" s="36"/>
      <c r="HX347" s="36"/>
      <c r="HY347" s="36"/>
      <c r="HZ347" s="36"/>
      <c r="IA347" s="36"/>
      <c r="IB347" s="36"/>
      <c r="IC347" s="36"/>
      <c r="ID347" s="37"/>
      <c r="IE347" s="44"/>
      <c r="IF347" s="36"/>
      <c r="IG347" s="36"/>
      <c r="IH347" s="36"/>
      <c r="II347" s="36"/>
      <c r="IJ347" s="36"/>
      <c r="IK347" s="36"/>
      <c r="IL347" s="36"/>
      <c r="IM347" s="36"/>
      <c r="IN347" s="36"/>
      <c r="IO347" s="36"/>
      <c r="IP347" s="36"/>
      <c r="IQ347" s="36"/>
      <c r="IR347" s="36"/>
      <c r="IS347" s="36"/>
      <c r="IT347" s="36"/>
      <c r="IU347" s="37"/>
      <c r="IV347" s="44"/>
      <c r="IW347" s="36"/>
      <c r="IX347" s="36"/>
      <c r="IY347" s="36"/>
      <c r="IZ347" s="36"/>
      <c r="JA347" s="36"/>
      <c r="JB347" s="36"/>
      <c r="JC347" s="36"/>
      <c r="JD347" s="36"/>
      <c r="JE347" s="36"/>
      <c r="JF347" s="36"/>
      <c r="JG347" s="36"/>
      <c r="JH347" s="36"/>
      <c r="JI347" s="36"/>
      <c r="JJ347" s="36"/>
      <c r="JK347" s="36"/>
      <c r="JL347" s="37"/>
      <c r="JM347" s="44"/>
      <c r="JN347" s="36"/>
      <c r="JO347" s="36"/>
      <c r="JP347" s="36"/>
      <c r="JQ347" s="36"/>
      <c r="JR347" s="36"/>
      <c r="JS347" s="36"/>
      <c r="JT347" s="36"/>
      <c r="JU347" s="36"/>
      <c r="JV347" s="36"/>
      <c r="JW347" s="36"/>
      <c r="JX347" s="36"/>
      <c r="JY347" s="36"/>
      <c r="JZ347" s="36"/>
      <c r="KA347" s="36"/>
      <c r="KB347" s="36"/>
      <c r="KC347" s="37"/>
      <c r="KD347" s="44"/>
      <c r="KE347" s="36"/>
      <c r="KF347" s="36"/>
      <c r="KG347" s="36"/>
      <c r="KH347" s="36"/>
      <c r="KI347" s="36"/>
      <c r="KJ347" s="36"/>
      <c r="KK347" s="36"/>
      <c r="KL347" s="36"/>
      <c r="KM347" s="36"/>
      <c r="KN347" s="36"/>
      <c r="KO347" s="36"/>
      <c r="KP347" s="36"/>
      <c r="KQ347" s="36"/>
      <c r="KR347" s="36"/>
      <c r="KS347" s="36"/>
      <c r="KT347" s="37"/>
      <c r="KU347" s="36"/>
    </row>
    <row r="348" ht="15.0" customHeight="1">
      <c r="A348" s="44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7"/>
      <c r="R348" s="44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7"/>
      <c r="AI348" s="44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36"/>
      <c r="AU348" s="36"/>
      <c r="AV348" s="36"/>
      <c r="AW348" s="36"/>
      <c r="AX348" s="36"/>
      <c r="AY348" s="37"/>
      <c r="AZ348" s="44"/>
      <c r="BA348" s="36"/>
      <c r="BB348" s="36"/>
      <c r="BC348" s="36"/>
      <c r="BD348" s="36"/>
      <c r="BE348" s="36"/>
      <c r="BF348" s="36"/>
      <c r="BG348" s="36"/>
      <c r="BH348" s="36"/>
      <c r="BI348" s="36"/>
      <c r="BJ348" s="36"/>
      <c r="BK348" s="36"/>
      <c r="BL348" s="36"/>
      <c r="BM348" s="36"/>
      <c r="BN348" s="36"/>
      <c r="BO348" s="36"/>
      <c r="BP348" s="37"/>
      <c r="BQ348" s="44"/>
      <c r="BR348" s="36"/>
      <c r="BS348" s="36"/>
      <c r="BT348" s="36"/>
      <c r="BU348" s="36"/>
      <c r="BV348" s="36"/>
      <c r="BW348" s="36"/>
      <c r="BX348" s="36"/>
      <c r="BY348" s="36"/>
      <c r="BZ348" s="36"/>
      <c r="CA348" s="36"/>
      <c r="CB348" s="36"/>
      <c r="CC348" s="36"/>
      <c r="CD348" s="36"/>
      <c r="CE348" s="36"/>
      <c r="CF348" s="36"/>
      <c r="CG348" s="37"/>
      <c r="CH348" s="44"/>
      <c r="CI348" s="36"/>
      <c r="CJ348" s="36"/>
      <c r="CK348" s="36"/>
      <c r="CL348" s="36"/>
      <c r="CM348" s="36"/>
      <c r="CN348" s="36"/>
      <c r="CO348" s="36"/>
      <c r="CP348" s="36"/>
      <c r="CQ348" s="36"/>
      <c r="CR348" s="36"/>
      <c r="CS348" s="36"/>
      <c r="CT348" s="36"/>
      <c r="CU348" s="36"/>
      <c r="CV348" s="36"/>
      <c r="CW348" s="36"/>
      <c r="CX348" s="37"/>
      <c r="CY348" s="44"/>
      <c r="CZ348" s="36"/>
      <c r="DA348" s="36"/>
      <c r="DB348" s="36"/>
      <c r="DC348" s="36"/>
      <c r="DD348" s="36"/>
      <c r="DE348" s="36"/>
      <c r="DF348" s="36"/>
      <c r="DG348" s="36"/>
      <c r="DH348" s="36"/>
      <c r="DI348" s="36"/>
      <c r="DJ348" s="36"/>
      <c r="DK348" s="36"/>
      <c r="DL348" s="36"/>
      <c r="DM348" s="36"/>
      <c r="DN348" s="36"/>
      <c r="DO348" s="37"/>
      <c r="DP348" s="44"/>
      <c r="DQ348" s="36"/>
      <c r="DR348" s="36"/>
      <c r="DS348" s="36"/>
      <c r="DT348" s="36"/>
      <c r="DU348" s="36"/>
      <c r="DV348" s="36"/>
      <c r="DW348" s="36"/>
      <c r="DX348" s="36"/>
      <c r="DY348" s="36"/>
      <c r="DZ348" s="36"/>
      <c r="EA348" s="36"/>
      <c r="EB348" s="36"/>
      <c r="EC348" s="36"/>
      <c r="ED348" s="36"/>
      <c r="EE348" s="36"/>
      <c r="EF348" s="37"/>
      <c r="EG348" s="44"/>
      <c r="EH348" s="36"/>
      <c r="EI348" s="36"/>
      <c r="EJ348" s="36"/>
      <c r="EK348" s="36"/>
      <c r="EL348" s="36"/>
      <c r="EM348" s="36"/>
      <c r="EN348" s="36"/>
      <c r="EO348" s="36"/>
      <c r="EP348" s="36"/>
      <c r="EQ348" s="36"/>
      <c r="ER348" s="36"/>
      <c r="ES348" s="36"/>
      <c r="ET348" s="36"/>
      <c r="EU348" s="36"/>
      <c r="EV348" s="36"/>
      <c r="EW348" s="37"/>
      <c r="EX348" s="44"/>
      <c r="EY348" s="36"/>
      <c r="EZ348" s="36"/>
      <c r="FA348" s="36"/>
      <c r="FB348" s="36"/>
      <c r="FC348" s="36"/>
      <c r="FD348" s="36"/>
      <c r="FE348" s="36"/>
      <c r="FF348" s="36"/>
      <c r="FG348" s="36"/>
      <c r="FH348" s="36"/>
      <c r="FI348" s="36"/>
      <c r="FJ348" s="36"/>
      <c r="FK348" s="36"/>
      <c r="FL348" s="36"/>
      <c r="FM348" s="36"/>
      <c r="FN348" s="37"/>
      <c r="FO348" s="44"/>
      <c r="FP348" s="36"/>
      <c r="FQ348" s="36"/>
      <c r="FR348" s="36"/>
      <c r="FS348" s="36"/>
      <c r="FT348" s="36"/>
      <c r="FU348" s="36"/>
      <c r="FV348" s="36"/>
      <c r="FW348" s="36"/>
      <c r="FX348" s="36"/>
      <c r="FY348" s="36"/>
      <c r="FZ348" s="36"/>
      <c r="GA348" s="36"/>
      <c r="GB348" s="36"/>
      <c r="GC348" s="36"/>
      <c r="GD348" s="36"/>
      <c r="GE348" s="37"/>
      <c r="GF348" s="44"/>
      <c r="GG348" s="36"/>
      <c r="GH348" s="36"/>
      <c r="GI348" s="36"/>
      <c r="GJ348" s="36"/>
      <c r="GK348" s="36"/>
      <c r="GL348" s="36"/>
      <c r="GM348" s="36"/>
      <c r="GN348" s="36"/>
      <c r="GO348" s="36"/>
      <c r="GP348" s="36"/>
      <c r="GQ348" s="36"/>
      <c r="GR348" s="36"/>
      <c r="GS348" s="36"/>
      <c r="GT348" s="36"/>
      <c r="GU348" s="36"/>
      <c r="GV348" s="37"/>
      <c r="GW348" s="44"/>
      <c r="GX348" s="36"/>
      <c r="GY348" s="36"/>
      <c r="GZ348" s="36"/>
      <c r="HA348" s="36"/>
      <c r="HB348" s="36"/>
      <c r="HC348" s="36"/>
      <c r="HD348" s="36"/>
      <c r="HE348" s="36"/>
      <c r="HF348" s="36"/>
      <c r="HG348" s="36"/>
      <c r="HH348" s="36"/>
      <c r="HI348" s="36"/>
      <c r="HJ348" s="36"/>
      <c r="HK348" s="36"/>
      <c r="HL348" s="36"/>
      <c r="HM348" s="37"/>
      <c r="HN348" s="44"/>
      <c r="HO348" s="36"/>
      <c r="HP348" s="36"/>
      <c r="HQ348" s="36"/>
      <c r="HR348" s="36"/>
      <c r="HS348" s="36"/>
      <c r="HT348" s="36"/>
      <c r="HU348" s="36"/>
      <c r="HV348" s="36"/>
      <c r="HW348" s="36"/>
      <c r="HX348" s="36"/>
      <c r="HY348" s="36"/>
      <c r="HZ348" s="36"/>
      <c r="IA348" s="36"/>
      <c r="IB348" s="36"/>
      <c r="IC348" s="36"/>
      <c r="ID348" s="37"/>
      <c r="IE348" s="44"/>
      <c r="IF348" s="36"/>
      <c r="IG348" s="36"/>
      <c r="IH348" s="36"/>
      <c r="II348" s="36"/>
      <c r="IJ348" s="36"/>
      <c r="IK348" s="36"/>
      <c r="IL348" s="36"/>
      <c r="IM348" s="36"/>
      <c r="IN348" s="36"/>
      <c r="IO348" s="36"/>
      <c r="IP348" s="36"/>
      <c r="IQ348" s="36"/>
      <c r="IR348" s="36"/>
      <c r="IS348" s="36"/>
      <c r="IT348" s="36"/>
      <c r="IU348" s="37"/>
      <c r="IV348" s="44"/>
      <c r="IW348" s="36"/>
      <c r="IX348" s="36"/>
      <c r="IY348" s="36"/>
      <c r="IZ348" s="36"/>
      <c r="JA348" s="36"/>
      <c r="JB348" s="36"/>
      <c r="JC348" s="36"/>
      <c r="JD348" s="36"/>
      <c r="JE348" s="36"/>
      <c r="JF348" s="36"/>
      <c r="JG348" s="36"/>
      <c r="JH348" s="36"/>
      <c r="JI348" s="36"/>
      <c r="JJ348" s="36"/>
      <c r="JK348" s="36"/>
      <c r="JL348" s="37"/>
      <c r="JM348" s="44"/>
      <c r="JN348" s="36"/>
      <c r="JO348" s="36"/>
      <c r="JP348" s="36"/>
      <c r="JQ348" s="36"/>
      <c r="JR348" s="36"/>
      <c r="JS348" s="36"/>
      <c r="JT348" s="36"/>
      <c r="JU348" s="36"/>
      <c r="JV348" s="36"/>
      <c r="JW348" s="36"/>
      <c r="JX348" s="36"/>
      <c r="JY348" s="36"/>
      <c r="JZ348" s="36"/>
      <c r="KA348" s="36"/>
      <c r="KB348" s="36"/>
      <c r="KC348" s="37"/>
      <c r="KD348" s="44"/>
      <c r="KE348" s="36"/>
      <c r="KF348" s="36"/>
      <c r="KG348" s="36"/>
      <c r="KH348" s="36"/>
      <c r="KI348" s="36"/>
      <c r="KJ348" s="36"/>
      <c r="KK348" s="36"/>
      <c r="KL348" s="36"/>
      <c r="KM348" s="36"/>
      <c r="KN348" s="36"/>
      <c r="KO348" s="36"/>
      <c r="KP348" s="36"/>
      <c r="KQ348" s="36"/>
      <c r="KR348" s="36"/>
      <c r="KS348" s="36"/>
      <c r="KT348" s="37"/>
      <c r="KU348" s="36"/>
    </row>
    <row r="349" ht="15.0" customHeight="1">
      <c r="A349" s="44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7"/>
      <c r="R349" s="44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7"/>
      <c r="AI349" s="44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36"/>
      <c r="AU349" s="36"/>
      <c r="AV349" s="36"/>
      <c r="AW349" s="36"/>
      <c r="AX349" s="36"/>
      <c r="AY349" s="37"/>
      <c r="AZ349" s="44"/>
      <c r="BA349" s="36"/>
      <c r="BB349" s="36"/>
      <c r="BC349" s="36"/>
      <c r="BD349" s="36"/>
      <c r="BE349" s="36"/>
      <c r="BF349" s="36"/>
      <c r="BG349" s="36"/>
      <c r="BH349" s="36"/>
      <c r="BI349" s="36"/>
      <c r="BJ349" s="36"/>
      <c r="BK349" s="36"/>
      <c r="BL349" s="36"/>
      <c r="BM349" s="36"/>
      <c r="BN349" s="36"/>
      <c r="BO349" s="36"/>
      <c r="BP349" s="37"/>
      <c r="BQ349" s="44"/>
      <c r="BR349" s="36"/>
      <c r="BS349" s="36"/>
      <c r="BT349" s="36"/>
      <c r="BU349" s="36"/>
      <c r="BV349" s="36"/>
      <c r="BW349" s="36"/>
      <c r="BX349" s="36"/>
      <c r="BY349" s="36"/>
      <c r="BZ349" s="36"/>
      <c r="CA349" s="36"/>
      <c r="CB349" s="36"/>
      <c r="CC349" s="36"/>
      <c r="CD349" s="36"/>
      <c r="CE349" s="36"/>
      <c r="CF349" s="36"/>
      <c r="CG349" s="37"/>
      <c r="CH349" s="44"/>
      <c r="CI349" s="36"/>
      <c r="CJ349" s="36"/>
      <c r="CK349" s="36"/>
      <c r="CL349" s="36"/>
      <c r="CM349" s="36"/>
      <c r="CN349" s="36"/>
      <c r="CO349" s="36"/>
      <c r="CP349" s="36"/>
      <c r="CQ349" s="36"/>
      <c r="CR349" s="36"/>
      <c r="CS349" s="36"/>
      <c r="CT349" s="36"/>
      <c r="CU349" s="36"/>
      <c r="CV349" s="36"/>
      <c r="CW349" s="36"/>
      <c r="CX349" s="37"/>
      <c r="CY349" s="44"/>
      <c r="CZ349" s="36"/>
      <c r="DA349" s="36"/>
      <c r="DB349" s="36"/>
      <c r="DC349" s="36"/>
      <c r="DD349" s="36"/>
      <c r="DE349" s="36"/>
      <c r="DF349" s="36"/>
      <c r="DG349" s="36"/>
      <c r="DH349" s="36"/>
      <c r="DI349" s="36"/>
      <c r="DJ349" s="36"/>
      <c r="DK349" s="36"/>
      <c r="DL349" s="36"/>
      <c r="DM349" s="36"/>
      <c r="DN349" s="36"/>
      <c r="DO349" s="37"/>
      <c r="DP349" s="44"/>
      <c r="DQ349" s="36"/>
      <c r="DR349" s="36"/>
      <c r="DS349" s="36"/>
      <c r="DT349" s="36"/>
      <c r="DU349" s="36"/>
      <c r="DV349" s="36"/>
      <c r="DW349" s="36"/>
      <c r="DX349" s="36"/>
      <c r="DY349" s="36"/>
      <c r="DZ349" s="36"/>
      <c r="EA349" s="36"/>
      <c r="EB349" s="36"/>
      <c r="EC349" s="36"/>
      <c r="ED349" s="36"/>
      <c r="EE349" s="36"/>
      <c r="EF349" s="37"/>
      <c r="EG349" s="44"/>
      <c r="EH349" s="36"/>
      <c r="EI349" s="36"/>
      <c r="EJ349" s="36"/>
      <c r="EK349" s="36"/>
      <c r="EL349" s="36"/>
      <c r="EM349" s="36"/>
      <c r="EN349" s="36"/>
      <c r="EO349" s="36"/>
      <c r="EP349" s="36"/>
      <c r="EQ349" s="36"/>
      <c r="ER349" s="36"/>
      <c r="ES349" s="36"/>
      <c r="ET349" s="36"/>
      <c r="EU349" s="36"/>
      <c r="EV349" s="36"/>
      <c r="EW349" s="37"/>
      <c r="EX349" s="44"/>
      <c r="EY349" s="36"/>
      <c r="EZ349" s="36"/>
      <c r="FA349" s="36"/>
      <c r="FB349" s="36"/>
      <c r="FC349" s="36"/>
      <c r="FD349" s="36"/>
      <c r="FE349" s="36"/>
      <c r="FF349" s="36"/>
      <c r="FG349" s="36"/>
      <c r="FH349" s="36"/>
      <c r="FI349" s="36"/>
      <c r="FJ349" s="36"/>
      <c r="FK349" s="36"/>
      <c r="FL349" s="36"/>
      <c r="FM349" s="36"/>
      <c r="FN349" s="37"/>
      <c r="FO349" s="44"/>
      <c r="FP349" s="36"/>
      <c r="FQ349" s="36"/>
      <c r="FR349" s="36"/>
      <c r="FS349" s="36"/>
      <c r="FT349" s="36"/>
      <c r="FU349" s="36"/>
      <c r="FV349" s="36"/>
      <c r="FW349" s="36"/>
      <c r="FX349" s="36"/>
      <c r="FY349" s="36"/>
      <c r="FZ349" s="36"/>
      <c r="GA349" s="36"/>
      <c r="GB349" s="36"/>
      <c r="GC349" s="36"/>
      <c r="GD349" s="36"/>
      <c r="GE349" s="37"/>
      <c r="GF349" s="44"/>
      <c r="GG349" s="36"/>
      <c r="GH349" s="36"/>
      <c r="GI349" s="36"/>
      <c r="GJ349" s="36"/>
      <c r="GK349" s="36"/>
      <c r="GL349" s="36"/>
      <c r="GM349" s="36"/>
      <c r="GN349" s="36"/>
      <c r="GO349" s="36"/>
      <c r="GP349" s="36"/>
      <c r="GQ349" s="36"/>
      <c r="GR349" s="36"/>
      <c r="GS349" s="36"/>
      <c r="GT349" s="36"/>
      <c r="GU349" s="36"/>
      <c r="GV349" s="37"/>
      <c r="GW349" s="44"/>
      <c r="GX349" s="36"/>
      <c r="GY349" s="36"/>
      <c r="GZ349" s="36"/>
      <c r="HA349" s="36"/>
      <c r="HB349" s="36"/>
      <c r="HC349" s="36"/>
      <c r="HD349" s="36"/>
      <c r="HE349" s="36"/>
      <c r="HF349" s="36"/>
      <c r="HG349" s="36"/>
      <c r="HH349" s="36"/>
      <c r="HI349" s="36"/>
      <c r="HJ349" s="36"/>
      <c r="HK349" s="36"/>
      <c r="HL349" s="36"/>
      <c r="HM349" s="37"/>
      <c r="HN349" s="44"/>
      <c r="HO349" s="36"/>
      <c r="HP349" s="36"/>
      <c r="HQ349" s="36"/>
      <c r="HR349" s="36"/>
      <c r="HS349" s="36"/>
      <c r="HT349" s="36"/>
      <c r="HU349" s="36"/>
      <c r="HV349" s="36"/>
      <c r="HW349" s="36"/>
      <c r="HX349" s="36"/>
      <c r="HY349" s="36"/>
      <c r="HZ349" s="36"/>
      <c r="IA349" s="36"/>
      <c r="IB349" s="36"/>
      <c r="IC349" s="36"/>
      <c r="ID349" s="37"/>
      <c r="IE349" s="44"/>
      <c r="IF349" s="36"/>
      <c r="IG349" s="36"/>
      <c r="IH349" s="36"/>
      <c r="II349" s="36"/>
      <c r="IJ349" s="36"/>
      <c r="IK349" s="36"/>
      <c r="IL349" s="36"/>
      <c r="IM349" s="36"/>
      <c r="IN349" s="36"/>
      <c r="IO349" s="36"/>
      <c r="IP349" s="36"/>
      <c r="IQ349" s="36"/>
      <c r="IR349" s="36"/>
      <c r="IS349" s="36"/>
      <c r="IT349" s="36"/>
      <c r="IU349" s="37"/>
      <c r="IV349" s="44"/>
      <c r="IW349" s="36"/>
      <c r="IX349" s="36"/>
      <c r="IY349" s="36"/>
      <c r="IZ349" s="36"/>
      <c r="JA349" s="36"/>
      <c r="JB349" s="36"/>
      <c r="JC349" s="36"/>
      <c r="JD349" s="36"/>
      <c r="JE349" s="36"/>
      <c r="JF349" s="36"/>
      <c r="JG349" s="36"/>
      <c r="JH349" s="36"/>
      <c r="JI349" s="36"/>
      <c r="JJ349" s="36"/>
      <c r="JK349" s="36"/>
      <c r="JL349" s="37"/>
      <c r="JM349" s="44"/>
      <c r="JN349" s="36"/>
      <c r="JO349" s="36"/>
      <c r="JP349" s="36"/>
      <c r="JQ349" s="36"/>
      <c r="JR349" s="36"/>
      <c r="JS349" s="36"/>
      <c r="JT349" s="36"/>
      <c r="JU349" s="36"/>
      <c r="JV349" s="36"/>
      <c r="JW349" s="36"/>
      <c r="JX349" s="36"/>
      <c r="JY349" s="36"/>
      <c r="JZ349" s="36"/>
      <c r="KA349" s="36"/>
      <c r="KB349" s="36"/>
      <c r="KC349" s="37"/>
      <c r="KD349" s="44"/>
      <c r="KE349" s="36"/>
      <c r="KF349" s="36"/>
      <c r="KG349" s="36"/>
      <c r="KH349" s="36"/>
      <c r="KI349" s="36"/>
      <c r="KJ349" s="36"/>
      <c r="KK349" s="36"/>
      <c r="KL349" s="36"/>
      <c r="KM349" s="36"/>
      <c r="KN349" s="36"/>
      <c r="KO349" s="36"/>
      <c r="KP349" s="36"/>
      <c r="KQ349" s="36"/>
      <c r="KR349" s="36"/>
      <c r="KS349" s="36"/>
      <c r="KT349" s="37"/>
      <c r="KU349" s="36"/>
    </row>
    <row r="350" ht="15.0" customHeight="1">
      <c r="A350" s="44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7"/>
      <c r="R350" s="44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7"/>
      <c r="AI350" s="44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  <c r="AU350" s="36"/>
      <c r="AV350" s="36"/>
      <c r="AW350" s="36"/>
      <c r="AX350" s="36"/>
      <c r="AY350" s="37"/>
      <c r="AZ350" s="44"/>
      <c r="BA350" s="36"/>
      <c r="BB350" s="36"/>
      <c r="BC350" s="36"/>
      <c r="BD350" s="36"/>
      <c r="BE350" s="36"/>
      <c r="BF350" s="36"/>
      <c r="BG350" s="36"/>
      <c r="BH350" s="36"/>
      <c r="BI350" s="36"/>
      <c r="BJ350" s="36"/>
      <c r="BK350" s="36"/>
      <c r="BL350" s="36"/>
      <c r="BM350" s="36"/>
      <c r="BN350" s="36"/>
      <c r="BO350" s="36"/>
      <c r="BP350" s="37"/>
      <c r="BQ350" s="44"/>
      <c r="BR350" s="36"/>
      <c r="BS350" s="36"/>
      <c r="BT350" s="36"/>
      <c r="BU350" s="36"/>
      <c r="BV350" s="36"/>
      <c r="BW350" s="36"/>
      <c r="BX350" s="36"/>
      <c r="BY350" s="36"/>
      <c r="BZ350" s="36"/>
      <c r="CA350" s="36"/>
      <c r="CB350" s="36"/>
      <c r="CC350" s="36"/>
      <c r="CD350" s="36"/>
      <c r="CE350" s="36"/>
      <c r="CF350" s="36"/>
      <c r="CG350" s="37"/>
      <c r="CH350" s="44"/>
      <c r="CI350" s="36"/>
      <c r="CJ350" s="36"/>
      <c r="CK350" s="36"/>
      <c r="CL350" s="36"/>
      <c r="CM350" s="36"/>
      <c r="CN350" s="36"/>
      <c r="CO350" s="36"/>
      <c r="CP350" s="36"/>
      <c r="CQ350" s="36"/>
      <c r="CR350" s="36"/>
      <c r="CS350" s="36"/>
      <c r="CT350" s="36"/>
      <c r="CU350" s="36"/>
      <c r="CV350" s="36"/>
      <c r="CW350" s="36"/>
      <c r="CX350" s="37"/>
      <c r="CY350" s="44"/>
      <c r="CZ350" s="36"/>
      <c r="DA350" s="36"/>
      <c r="DB350" s="36"/>
      <c r="DC350" s="36"/>
      <c r="DD350" s="36"/>
      <c r="DE350" s="36"/>
      <c r="DF350" s="36"/>
      <c r="DG350" s="36"/>
      <c r="DH350" s="36"/>
      <c r="DI350" s="36"/>
      <c r="DJ350" s="36"/>
      <c r="DK350" s="36"/>
      <c r="DL350" s="36"/>
      <c r="DM350" s="36"/>
      <c r="DN350" s="36"/>
      <c r="DO350" s="37"/>
      <c r="DP350" s="44"/>
      <c r="DQ350" s="36"/>
      <c r="DR350" s="36"/>
      <c r="DS350" s="36"/>
      <c r="DT350" s="36"/>
      <c r="DU350" s="36"/>
      <c r="DV350" s="36"/>
      <c r="DW350" s="36"/>
      <c r="DX350" s="36"/>
      <c r="DY350" s="36"/>
      <c r="DZ350" s="36"/>
      <c r="EA350" s="36"/>
      <c r="EB350" s="36"/>
      <c r="EC350" s="36"/>
      <c r="ED350" s="36"/>
      <c r="EE350" s="36"/>
      <c r="EF350" s="37"/>
      <c r="EG350" s="44"/>
      <c r="EH350" s="36"/>
      <c r="EI350" s="36"/>
      <c r="EJ350" s="36"/>
      <c r="EK350" s="36"/>
      <c r="EL350" s="36"/>
      <c r="EM350" s="36"/>
      <c r="EN350" s="36"/>
      <c r="EO350" s="36"/>
      <c r="EP350" s="36"/>
      <c r="EQ350" s="36"/>
      <c r="ER350" s="36"/>
      <c r="ES350" s="36"/>
      <c r="ET350" s="36"/>
      <c r="EU350" s="36"/>
      <c r="EV350" s="36"/>
      <c r="EW350" s="37"/>
      <c r="EX350" s="44"/>
      <c r="EY350" s="36"/>
      <c r="EZ350" s="36"/>
      <c r="FA350" s="36"/>
      <c r="FB350" s="36"/>
      <c r="FC350" s="36"/>
      <c r="FD350" s="36"/>
      <c r="FE350" s="36"/>
      <c r="FF350" s="36"/>
      <c r="FG350" s="36"/>
      <c r="FH350" s="36"/>
      <c r="FI350" s="36"/>
      <c r="FJ350" s="36"/>
      <c r="FK350" s="36"/>
      <c r="FL350" s="36"/>
      <c r="FM350" s="36"/>
      <c r="FN350" s="37"/>
      <c r="FO350" s="44"/>
      <c r="FP350" s="36"/>
      <c r="FQ350" s="36"/>
      <c r="FR350" s="36"/>
      <c r="FS350" s="36"/>
      <c r="FT350" s="36"/>
      <c r="FU350" s="36"/>
      <c r="FV350" s="36"/>
      <c r="FW350" s="36"/>
      <c r="FX350" s="36"/>
      <c r="FY350" s="36"/>
      <c r="FZ350" s="36"/>
      <c r="GA350" s="36"/>
      <c r="GB350" s="36"/>
      <c r="GC350" s="36"/>
      <c r="GD350" s="36"/>
      <c r="GE350" s="37"/>
      <c r="GF350" s="44"/>
      <c r="GG350" s="36"/>
      <c r="GH350" s="36"/>
      <c r="GI350" s="36"/>
      <c r="GJ350" s="36"/>
      <c r="GK350" s="36"/>
      <c r="GL350" s="36"/>
      <c r="GM350" s="36"/>
      <c r="GN350" s="36"/>
      <c r="GO350" s="36"/>
      <c r="GP350" s="36"/>
      <c r="GQ350" s="36"/>
      <c r="GR350" s="36"/>
      <c r="GS350" s="36"/>
      <c r="GT350" s="36"/>
      <c r="GU350" s="36"/>
      <c r="GV350" s="37"/>
      <c r="GW350" s="44"/>
      <c r="GX350" s="36"/>
      <c r="GY350" s="36"/>
      <c r="GZ350" s="36"/>
      <c r="HA350" s="36"/>
      <c r="HB350" s="36"/>
      <c r="HC350" s="36"/>
      <c r="HD350" s="36"/>
      <c r="HE350" s="36"/>
      <c r="HF350" s="36"/>
      <c r="HG350" s="36"/>
      <c r="HH350" s="36"/>
      <c r="HI350" s="36"/>
      <c r="HJ350" s="36"/>
      <c r="HK350" s="36"/>
      <c r="HL350" s="36"/>
      <c r="HM350" s="37"/>
      <c r="HN350" s="44"/>
      <c r="HO350" s="36"/>
      <c r="HP350" s="36"/>
      <c r="HQ350" s="36"/>
      <c r="HR350" s="36"/>
      <c r="HS350" s="36"/>
      <c r="HT350" s="36"/>
      <c r="HU350" s="36"/>
      <c r="HV350" s="36"/>
      <c r="HW350" s="36"/>
      <c r="HX350" s="36"/>
      <c r="HY350" s="36"/>
      <c r="HZ350" s="36"/>
      <c r="IA350" s="36"/>
      <c r="IB350" s="36"/>
      <c r="IC350" s="36"/>
      <c r="ID350" s="37"/>
      <c r="IE350" s="44"/>
      <c r="IF350" s="36"/>
      <c r="IG350" s="36"/>
      <c r="IH350" s="36"/>
      <c r="II350" s="36"/>
      <c r="IJ350" s="36"/>
      <c r="IK350" s="36"/>
      <c r="IL350" s="36"/>
      <c r="IM350" s="36"/>
      <c r="IN350" s="36"/>
      <c r="IO350" s="36"/>
      <c r="IP350" s="36"/>
      <c r="IQ350" s="36"/>
      <c r="IR350" s="36"/>
      <c r="IS350" s="36"/>
      <c r="IT350" s="36"/>
      <c r="IU350" s="37"/>
      <c r="IV350" s="44"/>
      <c r="IW350" s="36"/>
      <c r="IX350" s="36"/>
      <c r="IY350" s="36"/>
      <c r="IZ350" s="36"/>
      <c r="JA350" s="36"/>
      <c r="JB350" s="36"/>
      <c r="JC350" s="36"/>
      <c r="JD350" s="36"/>
      <c r="JE350" s="36"/>
      <c r="JF350" s="36"/>
      <c r="JG350" s="36"/>
      <c r="JH350" s="36"/>
      <c r="JI350" s="36"/>
      <c r="JJ350" s="36"/>
      <c r="JK350" s="36"/>
      <c r="JL350" s="37"/>
      <c r="JM350" s="44"/>
      <c r="JN350" s="36"/>
      <c r="JO350" s="36"/>
      <c r="JP350" s="36"/>
      <c r="JQ350" s="36"/>
      <c r="JR350" s="36"/>
      <c r="JS350" s="36"/>
      <c r="JT350" s="36"/>
      <c r="JU350" s="36"/>
      <c r="JV350" s="36"/>
      <c r="JW350" s="36"/>
      <c r="JX350" s="36"/>
      <c r="JY350" s="36"/>
      <c r="JZ350" s="36"/>
      <c r="KA350" s="36"/>
      <c r="KB350" s="36"/>
      <c r="KC350" s="37"/>
      <c r="KD350" s="44"/>
      <c r="KE350" s="36"/>
      <c r="KF350" s="36"/>
      <c r="KG350" s="36"/>
      <c r="KH350" s="36"/>
      <c r="KI350" s="36"/>
      <c r="KJ350" s="36"/>
      <c r="KK350" s="36"/>
      <c r="KL350" s="36"/>
      <c r="KM350" s="36"/>
      <c r="KN350" s="36"/>
      <c r="KO350" s="36"/>
      <c r="KP350" s="36"/>
      <c r="KQ350" s="36"/>
      <c r="KR350" s="36"/>
      <c r="KS350" s="36"/>
      <c r="KT350" s="37"/>
      <c r="KU350" s="36"/>
    </row>
    <row r="351" ht="15.0" customHeight="1">
      <c r="A351" s="44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7"/>
      <c r="R351" s="44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7"/>
      <c r="AI351" s="44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  <c r="AU351" s="36"/>
      <c r="AV351" s="36"/>
      <c r="AW351" s="36"/>
      <c r="AX351" s="36"/>
      <c r="AY351" s="37"/>
      <c r="AZ351" s="44"/>
      <c r="BA351" s="36"/>
      <c r="BB351" s="36"/>
      <c r="BC351" s="36"/>
      <c r="BD351" s="36"/>
      <c r="BE351" s="36"/>
      <c r="BF351" s="36"/>
      <c r="BG351" s="36"/>
      <c r="BH351" s="36"/>
      <c r="BI351" s="36"/>
      <c r="BJ351" s="36"/>
      <c r="BK351" s="36"/>
      <c r="BL351" s="36"/>
      <c r="BM351" s="36"/>
      <c r="BN351" s="36"/>
      <c r="BO351" s="36"/>
      <c r="BP351" s="37"/>
      <c r="BQ351" s="44"/>
      <c r="BR351" s="36"/>
      <c r="BS351" s="36"/>
      <c r="BT351" s="36"/>
      <c r="BU351" s="36"/>
      <c r="BV351" s="36"/>
      <c r="BW351" s="36"/>
      <c r="BX351" s="36"/>
      <c r="BY351" s="36"/>
      <c r="BZ351" s="36"/>
      <c r="CA351" s="36"/>
      <c r="CB351" s="36"/>
      <c r="CC351" s="36"/>
      <c r="CD351" s="36"/>
      <c r="CE351" s="36"/>
      <c r="CF351" s="36"/>
      <c r="CG351" s="37"/>
      <c r="CH351" s="44"/>
      <c r="CI351" s="36"/>
      <c r="CJ351" s="36"/>
      <c r="CK351" s="36"/>
      <c r="CL351" s="36"/>
      <c r="CM351" s="36"/>
      <c r="CN351" s="36"/>
      <c r="CO351" s="36"/>
      <c r="CP351" s="36"/>
      <c r="CQ351" s="36"/>
      <c r="CR351" s="36"/>
      <c r="CS351" s="36"/>
      <c r="CT351" s="36"/>
      <c r="CU351" s="36"/>
      <c r="CV351" s="36"/>
      <c r="CW351" s="36"/>
      <c r="CX351" s="37"/>
      <c r="CY351" s="44"/>
      <c r="CZ351" s="36"/>
      <c r="DA351" s="36"/>
      <c r="DB351" s="36"/>
      <c r="DC351" s="36"/>
      <c r="DD351" s="36"/>
      <c r="DE351" s="36"/>
      <c r="DF351" s="36"/>
      <c r="DG351" s="36"/>
      <c r="DH351" s="36"/>
      <c r="DI351" s="36"/>
      <c r="DJ351" s="36"/>
      <c r="DK351" s="36"/>
      <c r="DL351" s="36"/>
      <c r="DM351" s="36"/>
      <c r="DN351" s="36"/>
      <c r="DO351" s="37"/>
      <c r="DP351" s="44"/>
      <c r="DQ351" s="36"/>
      <c r="DR351" s="36"/>
      <c r="DS351" s="36"/>
      <c r="DT351" s="36"/>
      <c r="DU351" s="36"/>
      <c r="DV351" s="36"/>
      <c r="DW351" s="36"/>
      <c r="DX351" s="36"/>
      <c r="DY351" s="36"/>
      <c r="DZ351" s="36"/>
      <c r="EA351" s="36"/>
      <c r="EB351" s="36"/>
      <c r="EC351" s="36"/>
      <c r="ED351" s="36"/>
      <c r="EE351" s="36"/>
      <c r="EF351" s="37"/>
      <c r="EG351" s="44"/>
      <c r="EH351" s="36"/>
      <c r="EI351" s="36"/>
      <c r="EJ351" s="36"/>
      <c r="EK351" s="36"/>
      <c r="EL351" s="36"/>
      <c r="EM351" s="36"/>
      <c r="EN351" s="36"/>
      <c r="EO351" s="36"/>
      <c r="EP351" s="36"/>
      <c r="EQ351" s="36"/>
      <c r="ER351" s="36"/>
      <c r="ES351" s="36"/>
      <c r="ET351" s="36"/>
      <c r="EU351" s="36"/>
      <c r="EV351" s="36"/>
      <c r="EW351" s="37"/>
      <c r="EX351" s="44"/>
      <c r="EY351" s="36"/>
      <c r="EZ351" s="36"/>
      <c r="FA351" s="36"/>
      <c r="FB351" s="36"/>
      <c r="FC351" s="36"/>
      <c r="FD351" s="36"/>
      <c r="FE351" s="36"/>
      <c r="FF351" s="36"/>
      <c r="FG351" s="36"/>
      <c r="FH351" s="36"/>
      <c r="FI351" s="36"/>
      <c r="FJ351" s="36"/>
      <c r="FK351" s="36"/>
      <c r="FL351" s="36"/>
      <c r="FM351" s="36"/>
      <c r="FN351" s="37"/>
      <c r="FO351" s="44"/>
      <c r="FP351" s="36"/>
      <c r="FQ351" s="36"/>
      <c r="FR351" s="36"/>
      <c r="FS351" s="36"/>
      <c r="FT351" s="36"/>
      <c r="FU351" s="36"/>
      <c r="FV351" s="36"/>
      <c r="FW351" s="36"/>
      <c r="FX351" s="36"/>
      <c r="FY351" s="36"/>
      <c r="FZ351" s="36"/>
      <c r="GA351" s="36"/>
      <c r="GB351" s="36"/>
      <c r="GC351" s="36"/>
      <c r="GD351" s="36"/>
      <c r="GE351" s="37"/>
      <c r="GF351" s="44"/>
      <c r="GG351" s="36"/>
      <c r="GH351" s="36"/>
      <c r="GI351" s="36"/>
      <c r="GJ351" s="36"/>
      <c r="GK351" s="36"/>
      <c r="GL351" s="36"/>
      <c r="GM351" s="36"/>
      <c r="GN351" s="36"/>
      <c r="GO351" s="36"/>
      <c r="GP351" s="36"/>
      <c r="GQ351" s="36"/>
      <c r="GR351" s="36"/>
      <c r="GS351" s="36"/>
      <c r="GT351" s="36"/>
      <c r="GU351" s="36"/>
      <c r="GV351" s="37"/>
      <c r="GW351" s="44"/>
      <c r="GX351" s="36"/>
      <c r="GY351" s="36"/>
      <c r="GZ351" s="36"/>
      <c r="HA351" s="36"/>
      <c r="HB351" s="36"/>
      <c r="HC351" s="36"/>
      <c r="HD351" s="36"/>
      <c r="HE351" s="36"/>
      <c r="HF351" s="36"/>
      <c r="HG351" s="36"/>
      <c r="HH351" s="36"/>
      <c r="HI351" s="36"/>
      <c r="HJ351" s="36"/>
      <c r="HK351" s="36"/>
      <c r="HL351" s="36"/>
      <c r="HM351" s="37"/>
      <c r="HN351" s="44"/>
      <c r="HO351" s="36"/>
      <c r="HP351" s="36"/>
      <c r="HQ351" s="36"/>
      <c r="HR351" s="36"/>
      <c r="HS351" s="36"/>
      <c r="HT351" s="36"/>
      <c r="HU351" s="36"/>
      <c r="HV351" s="36"/>
      <c r="HW351" s="36"/>
      <c r="HX351" s="36"/>
      <c r="HY351" s="36"/>
      <c r="HZ351" s="36"/>
      <c r="IA351" s="36"/>
      <c r="IB351" s="36"/>
      <c r="IC351" s="36"/>
      <c r="ID351" s="37"/>
      <c r="IE351" s="44"/>
      <c r="IF351" s="36"/>
      <c r="IG351" s="36"/>
      <c r="IH351" s="36"/>
      <c r="II351" s="36"/>
      <c r="IJ351" s="36"/>
      <c r="IK351" s="36"/>
      <c r="IL351" s="36"/>
      <c r="IM351" s="36"/>
      <c r="IN351" s="36"/>
      <c r="IO351" s="36"/>
      <c r="IP351" s="36"/>
      <c r="IQ351" s="36"/>
      <c r="IR351" s="36"/>
      <c r="IS351" s="36"/>
      <c r="IT351" s="36"/>
      <c r="IU351" s="37"/>
      <c r="IV351" s="44"/>
      <c r="IW351" s="36"/>
      <c r="IX351" s="36"/>
      <c r="IY351" s="36"/>
      <c r="IZ351" s="36"/>
      <c r="JA351" s="36"/>
      <c r="JB351" s="36"/>
      <c r="JC351" s="36"/>
      <c r="JD351" s="36"/>
      <c r="JE351" s="36"/>
      <c r="JF351" s="36"/>
      <c r="JG351" s="36"/>
      <c r="JH351" s="36"/>
      <c r="JI351" s="36"/>
      <c r="JJ351" s="36"/>
      <c r="JK351" s="36"/>
      <c r="JL351" s="37"/>
      <c r="JM351" s="44"/>
      <c r="JN351" s="36"/>
      <c r="JO351" s="36"/>
      <c r="JP351" s="36"/>
      <c r="JQ351" s="36"/>
      <c r="JR351" s="36"/>
      <c r="JS351" s="36"/>
      <c r="JT351" s="36"/>
      <c r="JU351" s="36"/>
      <c r="JV351" s="36"/>
      <c r="JW351" s="36"/>
      <c r="JX351" s="36"/>
      <c r="JY351" s="36"/>
      <c r="JZ351" s="36"/>
      <c r="KA351" s="36"/>
      <c r="KB351" s="36"/>
      <c r="KC351" s="37"/>
      <c r="KD351" s="44"/>
      <c r="KE351" s="36"/>
      <c r="KF351" s="36"/>
      <c r="KG351" s="36"/>
      <c r="KH351" s="36"/>
      <c r="KI351" s="36"/>
      <c r="KJ351" s="36"/>
      <c r="KK351" s="36"/>
      <c r="KL351" s="36"/>
      <c r="KM351" s="36"/>
      <c r="KN351" s="36"/>
      <c r="KO351" s="36"/>
      <c r="KP351" s="36"/>
      <c r="KQ351" s="36"/>
      <c r="KR351" s="36"/>
      <c r="KS351" s="36"/>
      <c r="KT351" s="37"/>
      <c r="KU351" s="36"/>
    </row>
    <row r="352" ht="15.0" customHeight="1">
      <c r="A352" s="44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7"/>
      <c r="R352" s="44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7"/>
      <c r="AI352" s="44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  <c r="AU352" s="36"/>
      <c r="AV352" s="36"/>
      <c r="AW352" s="36"/>
      <c r="AX352" s="36"/>
      <c r="AY352" s="37"/>
      <c r="AZ352" s="44"/>
      <c r="BA352" s="36"/>
      <c r="BB352" s="36"/>
      <c r="BC352" s="36"/>
      <c r="BD352" s="36"/>
      <c r="BE352" s="36"/>
      <c r="BF352" s="36"/>
      <c r="BG352" s="36"/>
      <c r="BH352" s="36"/>
      <c r="BI352" s="36"/>
      <c r="BJ352" s="36"/>
      <c r="BK352" s="36"/>
      <c r="BL352" s="36"/>
      <c r="BM352" s="36"/>
      <c r="BN352" s="36"/>
      <c r="BO352" s="36"/>
      <c r="BP352" s="37"/>
      <c r="BQ352" s="44"/>
      <c r="BR352" s="36"/>
      <c r="BS352" s="36"/>
      <c r="BT352" s="36"/>
      <c r="BU352" s="36"/>
      <c r="BV352" s="36"/>
      <c r="BW352" s="36"/>
      <c r="BX352" s="36"/>
      <c r="BY352" s="36"/>
      <c r="BZ352" s="36"/>
      <c r="CA352" s="36"/>
      <c r="CB352" s="36"/>
      <c r="CC352" s="36"/>
      <c r="CD352" s="36"/>
      <c r="CE352" s="36"/>
      <c r="CF352" s="36"/>
      <c r="CG352" s="37"/>
      <c r="CH352" s="44"/>
      <c r="CI352" s="36"/>
      <c r="CJ352" s="36"/>
      <c r="CK352" s="36"/>
      <c r="CL352" s="36"/>
      <c r="CM352" s="36"/>
      <c r="CN352" s="36"/>
      <c r="CO352" s="36"/>
      <c r="CP352" s="36"/>
      <c r="CQ352" s="36"/>
      <c r="CR352" s="36"/>
      <c r="CS352" s="36"/>
      <c r="CT352" s="36"/>
      <c r="CU352" s="36"/>
      <c r="CV352" s="36"/>
      <c r="CW352" s="36"/>
      <c r="CX352" s="37"/>
      <c r="CY352" s="44"/>
      <c r="CZ352" s="36"/>
      <c r="DA352" s="36"/>
      <c r="DB352" s="36"/>
      <c r="DC352" s="36"/>
      <c r="DD352" s="36"/>
      <c r="DE352" s="36"/>
      <c r="DF352" s="36"/>
      <c r="DG352" s="36"/>
      <c r="DH352" s="36"/>
      <c r="DI352" s="36"/>
      <c r="DJ352" s="36"/>
      <c r="DK352" s="36"/>
      <c r="DL352" s="36"/>
      <c r="DM352" s="36"/>
      <c r="DN352" s="36"/>
      <c r="DO352" s="37"/>
      <c r="DP352" s="44"/>
      <c r="DQ352" s="36"/>
      <c r="DR352" s="36"/>
      <c r="DS352" s="36"/>
      <c r="DT352" s="36"/>
      <c r="DU352" s="36"/>
      <c r="DV352" s="36"/>
      <c r="DW352" s="36"/>
      <c r="DX352" s="36"/>
      <c r="DY352" s="36"/>
      <c r="DZ352" s="36"/>
      <c r="EA352" s="36"/>
      <c r="EB352" s="36"/>
      <c r="EC352" s="36"/>
      <c r="ED352" s="36"/>
      <c r="EE352" s="36"/>
      <c r="EF352" s="37"/>
      <c r="EG352" s="44"/>
      <c r="EH352" s="36"/>
      <c r="EI352" s="36"/>
      <c r="EJ352" s="36"/>
      <c r="EK352" s="36"/>
      <c r="EL352" s="36"/>
      <c r="EM352" s="36"/>
      <c r="EN352" s="36"/>
      <c r="EO352" s="36"/>
      <c r="EP352" s="36"/>
      <c r="EQ352" s="36"/>
      <c r="ER352" s="36"/>
      <c r="ES352" s="36"/>
      <c r="ET352" s="36"/>
      <c r="EU352" s="36"/>
      <c r="EV352" s="36"/>
      <c r="EW352" s="37"/>
      <c r="EX352" s="44"/>
      <c r="EY352" s="36"/>
      <c r="EZ352" s="36"/>
      <c r="FA352" s="36"/>
      <c r="FB352" s="36"/>
      <c r="FC352" s="36"/>
      <c r="FD352" s="36"/>
      <c r="FE352" s="36"/>
      <c r="FF352" s="36"/>
      <c r="FG352" s="36"/>
      <c r="FH352" s="36"/>
      <c r="FI352" s="36"/>
      <c r="FJ352" s="36"/>
      <c r="FK352" s="36"/>
      <c r="FL352" s="36"/>
      <c r="FM352" s="36"/>
      <c r="FN352" s="37"/>
      <c r="FO352" s="44"/>
      <c r="FP352" s="36"/>
      <c r="FQ352" s="36"/>
      <c r="FR352" s="36"/>
      <c r="FS352" s="36"/>
      <c r="FT352" s="36"/>
      <c r="FU352" s="36"/>
      <c r="FV352" s="36"/>
      <c r="FW352" s="36"/>
      <c r="FX352" s="36"/>
      <c r="FY352" s="36"/>
      <c r="FZ352" s="36"/>
      <c r="GA352" s="36"/>
      <c r="GB352" s="36"/>
      <c r="GC352" s="36"/>
      <c r="GD352" s="36"/>
      <c r="GE352" s="37"/>
      <c r="GF352" s="44"/>
      <c r="GG352" s="36"/>
      <c r="GH352" s="36"/>
      <c r="GI352" s="36"/>
      <c r="GJ352" s="36"/>
      <c r="GK352" s="36"/>
      <c r="GL352" s="36"/>
      <c r="GM352" s="36"/>
      <c r="GN352" s="36"/>
      <c r="GO352" s="36"/>
      <c r="GP352" s="36"/>
      <c r="GQ352" s="36"/>
      <c r="GR352" s="36"/>
      <c r="GS352" s="36"/>
      <c r="GT352" s="36"/>
      <c r="GU352" s="36"/>
      <c r="GV352" s="37"/>
      <c r="GW352" s="44"/>
      <c r="GX352" s="36"/>
      <c r="GY352" s="36"/>
      <c r="GZ352" s="36"/>
      <c r="HA352" s="36"/>
      <c r="HB352" s="36"/>
      <c r="HC352" s="36"/>
      <c r="HD352" s="36"/>
      <c r="HE352" s="36"/>
      <c r="HF352" s="36"/>
      <c r="HG352" s="36"/>
      <c r="HH352" s="36"/>
      <c r="HI352" s="36"/>
      <c r="HJ352" s="36"/>
      <c r="HK352" s="36"/>
      <c r="HL352" s="36"/>
      <c r="HM352" s="37"/>
      <c r="HN352" s="44"/>
      <c r="HO352" s="36"/>
      <c r="HP352" s="36"/>
      <c r="HQ352" s="36"/>
      <c r="HR352" s="36"/>
      <c r="HS352" s="36"/>
      <c r="HT352" s="36"/>
      <c r="HU352" s="36"/>
      <c r="HV352" s="36"/>
      <c r="HW352" s="36"/>
      <c r="HX352" s="36"/>
      <c r="HY352" s="36"/>
      <c r="HZ352" s="36"/>
      <c r="IA352" s="36"/>
      <c r="IB352" s="36"/>
      <c r="IC352" s="36"/>
      <c r="ID352" s="37"/>
      <c r="IE352" s="44"/>
      <c r="IF352" s="36"/>
      <c r="IG352" s="36"/>
      <c r="IH352" s="36"/>
      <c r="II352" s="36"/>
      <c r="IJ352" s="36"/>
      <c r="IK352" s="36"/>
      <c r="IL352" s="36"/>
      <c r="IM352" s="36"/>
      <c r="IN352" s="36"/>
      <c r="IO352" s="36"/>
      <c r="IP352" s="36"/>
      <c r="IQ352" s="36"/>
      <c r="IR352" s="36"/>
      <c r="IS352" s="36"/>
      <c r="IT352" s="36"/>
      <c r="IU352" s="37"/>
      <c r="IV352" s="44"/>
      <c r="IW352" s="36"/>
      <c r="IX352" s="36"/>
      <c r="IY352" s="36"/>
      <c r="IZ352" s="36"/>
      <c r="JA352" s="36"/>
      <c r="JB352" s="36"/>
      <c r="JC352" s="36"/>
      <c r="JD352" s="36"/>
      <c r="JE352" s="36"/>
      <c r="JF352" s="36"/>
      <c r="JG352" s="36"/>
      <c r="JH352" s="36"/>
      <c r="JI352" s="36"/>
      <c r="JJ352" s="36"/>
      <c r="JK352" s="36"/>
      <c r="JL352" s="37"/>
      <c r="JM352" s="44"/>
      <c r="JN352" s="36"/>
      <c r="JO352" s="36"/>
      <c r="JP352" s="36"/>
      <c r="JQ352" s="36"/>
      <c r="JR352" s="36"/>
      <c r="JS352" s="36"/>
      <c r="JT352" s="36"/>
      <c r="JU352" s="36"/>
      <c r="JV352" s="36"/>
      <c r="JW352" s="36"/>
      <c r="JX352" s="36"/>
      <c r="JY352" s="36"/>
      <c r="JZ352" s="36"/>
      <c r="KA352" s="36"/>
      <c r="KB352" s="36"/>
      <c r="KC352" s="37"/>
      <c r="KD352" s="44"/>
      <c r="KE352" s="36"/>
      <c r="KF352" s="36"/>
      <c r="KG352" s="36"/>
      <c r="KH352" s="36"/>
      <c r="KI352" s="36"/>
      <c r="KJ352" s="36"/>
      <c r="KK352" s="36"/>
      <c r="KL352" s="36"/>
      <c r="KM352" s="36"/>
      <c r="KN352" s="36"/>
      <c r="KO352" s="36"/>
      <c r="KP352" s="36"/>
      <c r="KQ352" s="36"/>
      <c r="KR352" s="36"/>
      <c r="KS352" s="36"/>
      <c r="KT352" s="37"/>
      <c r="KU352" s="36"/>
    </row>
    <row r="353" ht="15.0" customHeight="1">
      <c r="A353" s="44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7"/>
      <c r="R353" s="44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7"/>
      <c r="AI353" s="44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36"/>
      <c r="AU353" s="36"/>
      <c r="AV353" s="36"/>
      <c r="AW353" s="36"/>
      <c r="AX353" s="36"/>
      <c r="AY353" s="37"/>
      <c r="AZ353" s="44"/>
      <c r="BA353" s="36"/>
      <c r="BB353" s="36"/>
      <c r="BC353" s="36"/>
      <c r="BD353" s="36"/>
      <c r="BE353" s="36"/>
      <c r="BF353" s="36"/>
      <c r="BG353" s="36"/>
      <c r="BH353" s="36"/>
      <c r="BI353" s="36"/>
      <c r="BJ353" s="36"/>
      <c r="BK353" s="36"/>
      <c r="BL353" s="36"/>
      <c r="BM353" s="36"/>
      <c r="BN353" s="36"/>
      <c r="BO353" s="36"/>
      <c r="BP353" s="37"/>
      <c r="BQ353" s="44"/>
      <c r="BR353" s="36"/>
      <c r="BS353" s="36"/>
      <c r="BT353" s="36"/>
      <c r="BU353" s="36"/>
      <c r="BV353" s="36"/>
      <c r="BW353" s="36"/>
      <c r="BX353" s="36"/>
      <c r="BY353" s="36"/>
      <c r="BZ353" s="36"/>
      <c r="CA353" s="36"/>
      <c r="CB353" s="36"/>
      <c r="CC353" s="36"/>
      <c r="CD353" s="36"/>
      <c r="CE353" s="36"/>
      <c r="CF353" s="36"/>
      <c r="CG353" s="37"/>
      <c r="CH353" s="44"/>
      <c r="CI353" s="36"/>
      <c r="CJ353" s="36"/>
      <c r="CK353" s="36"/>
      <c r="CL353" s="36"/>
      <c r="CM353" s="36"/>
      <c r="CN353" s="36"/>
      <c r="CO353" s="36"/>
      <c r="CP353" s="36"/>
      <c r="CQ353" s="36"/>
      <c r="CR353" s="36"/>
      <c r="CS353" s="36"/>
      <c r="CT353" s="36"/>
      <c r="CU353" s="36"/>
      <c r="CV353" s="36"/>
      <c r="CW353" s="36"/>
      <c r="CX353" s="37"/>
      <c r="CY353" s="44"/>
      <c r="CZ353" s="36"/>
      <c r="DA353" s="36"/>
      <c r="DB353" s="36"/>
      <c r="DC353" s="36"/>
      <c r="DD353" s="36"/>
      <c r="DE353" s="36"/>
      <c r="DF353" s="36"/>
      <c r="DG353" s="36"/>
      <c r="DH353" s="36"/>
      <c r="DI353" s="36"/>
      <c r="DJ353" s="36"/>
      <c r="DK353" s="36"/>
      <c r="DL353" s="36"/>
      <c r="DM353" s="36"/>
      <c r="DN353" s="36"/>
      <c r="DO353" s="37"/>
      <c r="DP353" s="44"/>
      <c r="DQ353" s="36"/>
      <c r="DR353" s="36"/>
      <c r="DS353" s="36"/>
      <c r="DT353" s="36"/>
      <c r="DU353" s="36"/>
      <c r="DV353" s="36"/>
      <c r="DW353" s="36"/>
      <c r="DX353" s="36"/>
      <c r="DY353" s="36"/>
      <c r="DZ353" s="36"/>
      <c r="EA353" s="36"/>
      <c r="EB353" s="36"/>
      <c r="EC353" s="36"/>
      <c r="ED353" s="36"/>
      <c r="EE353" s="36"/>
      <c r="EF353" s="37"/>
      <c r="EG353" s="44"/>
      <c r="EH353" s="36"/>
      <c r="EI353" s="36"/>
      <c r="EJ353" s="36"/>
      <c r="EK353" s="36"/>
      <c r="EL353" s="36"/>
      <c r="EM353" s="36"/>
      <c r="EN353" s="36"/>
      <c r="EO353" s="36"/>
      <c r="EP353" s="36"/>
      <c r="EQ353" s="36"/>
      <c r="ER353" s="36"/>
      <c r="ES353" s="36"/>
      <c r="ET353" s="36"/>
      <c r="EU353" s="36"/>
      <c r="EV353" s="36"/>
      <c r="EW353" s="37"/>
      <c r="EX353" s="44"/>
      <c r="EY353" s="36"/>
      <c r="EZ353" s="36"/>
      <c r="FA353" s="36"/>
      <c r="FB353" s="36"/>
      <c r="FC353" s="36"/>
      <c r="FD353" s="36"/>
      <c r="FE353" s="36"/>
      <c r="FF353" s="36"/>
      <c r="FG353" s="36"/>
      <c r="FH353" s="36"/>
      <c r="FI353" s="36"/>
      <c r="FJ353" s="36"/>
      <c r="FK353" s="36"/>
      <c r="FL353" s="36"/>
      <c r="FM353" s="36"/>
      <c r="FN353" s="37"/>
      <c r="FO353" s="44"/>
      <c r="FP353" s="36"/>
      <c r="FQ353" s="36"/>
      <c r="FR353" s="36"/>
      <c r="FS353" s="36"/>
      <c r="FT353" s="36"/>
      <c r="FU353" s="36"/>
      <c r="FV353" s="36"/>
      <c r="FW353" s="36"/>
      <c r="FX353" s="36"/>
      <c r="FY353" s="36"/>
      <c r="FZ353" s="36"/>
      <c r="GA353" s="36"/>
      <c r="GB353" s="36"/>
      <c r="GC353" s="36"/>
      <c r="GD353" s="36"/>
      <c r="GE353" s="37"/>
      <c r="GF353" s="44"/>
      <c r="GG353" s="36"/>
      <c r="GH353" s="36"/>
      <c r="GI353" s="36"/>
      <c r="GJ353" s="36"/>
      <c r="GK353" s="36"/>
      <c r="GL353" s="36"/>
      <c r="GM353" s="36"/>
      <c r="GN353" s="36"/>
      <c r="GO353" s="36"/>
      <c r="GP353" s="36"/>
      <c r="GQ353" s="36"/>
      <c r="GR353" s="36"/>
      <c r="GS353" s="36"/>
      <c r="GT353" s="36"/>
      <c r="GU353" s="36"/>
      <c r="GV353" s="37"/>
      <c r="GW353" s="44"/>
      <c r="GX353" s="36"/>
      <c r="GY353" s="36"/>
      <c r="GZ353" s="36"/>
      <c r="HA353" s="36"/>
      <c r="HB353" s="36"/>
      <c r="HC353" s="36"/>
      <c r="HD353" s="36"/>
      <c r="HE353" s="36"/>
      <c r="HF353" s="36"/>
      <c r="HG353" s="36"/>
      <c r="HH353" s="36"/>
      <c r="HI353" s="36"/>
      <c r="HJ353" s="36"/>
      <c r="HK353" s="36"/>
      <c r="HL353" s="36"/>
      <c r="HM353" s="37"/>
      <c r="HN353" s="44"/>
      <c r="HO353" s="36"/>
      <c r="HP353" s="36"/>
      <c r="HQ353" s="36"/>
      <c r="HR353" s="36"/>
      <c r="HS353" s="36"/>
      <c r="HT353" s="36"/>
      <c r="HU353" s="36"/>
      <c r="HV353" s="36"/>
      <c r="HW353" s="36"/>
      <c r="HX353" s="36"/>
      <c r="HY353" s="36"/>
      <c r="HZ353" s="36"/>
      <c r="IA353" s="36"/>
      <c r="IB353" s="36"/>
      <c r="IC353" s="36"/>
      <c r="ID353" s="37"/>
      <c r="IE353" s="44"/>
      <c r="IF353" s="36"/>
      <c r="IG353" s="36"/>
      <c r="IH353" s="36"/>
      <c r="II353" s="36"/>
      <c r="IJ353" s="36"/>
      <c r="IK353" s="36"/>
      <c r="IL353" s="36"/>
      <c r="IM353" s="36"/>
      <c r="IN353" s="36"/>
      <c r="IO353" s="36"/>
      <c r="IP353" s="36"/>
      <c r="IQ353" s="36"/>
      <c r="IR353" s="36"/>
      <c r="IS353" s="36"/>
      <c r="IT353" s="36"/>
      <c r="IU353" s="37"/>
      <c r="IV353" s="44"/>
      <c r="IW353" s="36"/>
      <c r="IX353" s="36"/>
      <c r="IY353" s="36"/>
      <c r="IZ353" s="36"/>
      <c r="JA353" s="36"/>
      <c r="JB353" s="36"/>
      <c r="JC353" s="36"/>
      <c r="JD353" s="36"/>
      <c r="JE353" s="36"/>
      <c r="JF353" s="36"/>
      <c r="JG353" s="36"/>
      <c r="JH353" s="36"/>
      <c r="JI353" s="36"/>
      <c r="JJ353" s="36"/>
      <c r="JK353" s="36"/>
      <c r="JL353" s="37"/>
      <c r="JM353" s="44"/>
      <c r="JN353" s="36"/>
      <c r="JO353" s="36"/>
      <c r="JP353" s="36"/>
      <c r="JQ353" s="36"/>
      <c r="JR353" s="36"/>
      <c r="JS353" s="36"/>
      <c r="JT353" s="36"/>
      <c r="JU353" s="36"/>
      <c r="JV353" s="36"/>
      <c r="JW353" s="36"/>
      <c r="JX353" s="36"/>
      <c r="JY353" s="36"/>
      <c r="JZ353" s="36"/>
      <c r="KA353" s="36"/>
      <c r="KB353" s="36"/>
      <c r="KC353" s="37"/>
      <c r="KD353" s="44"/>
      <c r="KE353" s="36"/>
      <c r="KF353" s="36"/>
      <c r="KG353" s="36"/>
      <c r="KH353" s="36"/>
      <c r="KI353" s="36"/>
      <c r="KJ353" s="36"/>
      <c r="KK353" s="36"/>
      <c r="KL353" s="36"/>
      <c r="KM353" s="36"/>
      <c r="KN353" s="36"/>
      <c r="KO353" s="36"/>
      <c r="KP353" s="36"/>
      <c r="KQ353" s="36"/>
      <c r="KR353" s="36"/>
      <c r="KS353" s="36"/>
      <c r="KT353" s="37"/>
      <c r="KU353" s="36"/>
    </row>
    <row r="354" ht="15.0" customHeight="1">
      <c r="A354" s="44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7"/>
      <c r="R354" s="44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7"/>
      <c r="AI354" s="44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36"/>
      <c r="AU354" s="36"/>
      <c r="AV354" s="36"/>
      <c r="AW354" s="36"/>
      <c r="AX354" s="36"/>
      <c r="AY354" s="37"/>
      <c r="AZ354" s="44"/>
      <c r="BA354" s="36"/>
      <c r="BB354" s="36"/>
      <c r="BC354" s="36"/>
      <c r="BD354" s="36"/>
      <c r="BE354" s="36"/>
      <c r="BF354" s="36"/>
      <c r="BG354" s="36"/>
      <c r="BH354" s="36"/>
      <c r="BI354" s="36"/>
      <c r="BJ354" s="36"/>
      <c r="BK354" s="36"/>
      <c r="BL354" s="36"/>
      <c r="BM354" s="36"/>
      <c r="BN354" s="36"/>
      <c r="BO354" s="36"/>
      <c r="BP354" s="37"/>
      <c r="BQ354" s="44"/>
      <c r="BR354" s="36"/>
      <c r="BS354" s="36"/>
      <c r="BT354" s="36"/>
      <c r="BU354" s="36"/>
      <c r="BV354" s="36"/>
      <c r="BW354" s="36"/>
      <c r="BX354" s="36"/>
      <c r="BY354" s="36"/>
      <c r="BZ354" s="36"/>
      <c r="CA354" s="36"/>
      <c r="CB354" s="36"/>
      <c r="CC354" s="36"/>
      <c r="CD354" s="36"/>
      <c r="CE354" s="36"/>
      <c r="CF354" s="36"/>
      <c r="CG354" s="37"/>
      <c r="CH354" s="44"/>
      <c r="CI354" s="36"/>
      <c r="CJ354" s="36"/>
      <c r="CK354" s="36"/>
      <c r="CL354" s="36"/>
      <c r="CM354" s="36"/>
      <c r="CN354" s="36"/>
      <c r="CO354" s="36"/>
      <c r="CP354" s="36"/>
      <c r="CQ354" s="36"/>
      <c r="CR354" s="36"/>
      <c r="CS354" s="36"/>
      <c r="CT354" s="36"/>
      <c r="CU354" s="36"/>
      <c r="CV354" s="36"/>
      <c r="CW354" s="36"/>
      <c r="CX354" s="37"/>
      <c r="CY354" s="44"/>
      <c r="CZ354" s="36"/>
      <c r="DA354" s="36"/>
      <c r="DB354" s="36"/>
      <c r="DC354" s="36"/>
      <c r="DD354" s="36"/>
      <c r="DE354" s="36"/>
      <c r="DF354" s="36"/>
      <c r="DG354" s="36"/>
      <c r="DH354" s="36"/>
      <c r="DI354" s="36"/>
      <c r="DJ354" s="36"/>
      <c r="DK354" s="36"/>
      <c r="DL354" s="36"/>
      <c r="DM354" s="36"/>
      <c r="DN354" s="36"/>
      <c r="DO354" s="37"/>
      <c r="DP354" s="44"/>
      <c r="DQ354" s="36"/>
      <c r="DR354" s="36"/>
      <c r="DS354" s="36"/>
      <c r="DT354" s="36"/>
      <c r="DU354" s="36"/>
      <c r="DV354" s="36"/>
      <c r="DW354" s="36"/>
      <c r="DX354" s="36"/>
      <c r="DY354" s="36"/>
      <c r="DZ354" s="36"/>
      <c r="EA354" s="36"/>
      <c r="EB354" s="36"/>
      <c r="EC354" s="36"/>
      <c r="ED354" s="36"/>
      <c r="EE354" s="36"/>
      <c r="EF354" s="37"/>
      <c r="EG354" s="44"/>
      <c r="EH354" s="36"/>
      <c r="EI354" s="36"/>
      <c r="EJ354" s="36"/>
      <c r="EK354" s="36"/>
      <c r="EL354" s="36"/>
      <c r="EM354" s="36"/>
      <c r="EN354" s="36"/>
      <c r="EO354" s="36"/>
      <c r="EP354" s="36"/>
      <c r="EQ354" s="36"/>
      <c r="ER354" s="36"/>
      <c r="ES354" s="36"/>
      <c r="ET354" s="36"/>
      <c r="EU354" s="36"/>
      <c r="EV354" s="36"/>
      <c r="EW354" s="37"/>
      <c r="EX354" s="44"/>
      <c r="EY354" s="36"/>
      <c r="EZ354" s="36"/>
      <c r="FA354" s="36"/>
      <c r="FB354" s="36"/>
      <c r="FC354" s="36"/>
      <c r="FD354" s="36"/>
      <c r="FE354" s="36"/>
      <c r="FF354" s="36"/>
      <c r="FG354" s="36"/>
      <c r="FH354" s="36"/>
      <c r="FI354" s="36"/>
      <c r="FJ354" s="36"/>
      <c r="FK354" s="36"/>
      <c r="FL354" s="36"/>
      <c r="FM354" s="36"/>
      <c r="FN354" s="37"/>
      <c r="FO354" s="44"/>
      <c r="FP354" s="36"/>
      <c r="FQ354" s="36"/>
      <c r="FR354" s="36"/>
      <c r="FS354" s="36"/>
      <c r="FT354" s="36"/>
      <c r="FU354" s="36"/>
      <c r="FV354" s="36"/>
      <c r="FW354" s="36"/>
      <c r="FX354" s="36"/>
      <c r="FY354" s="36"/>
      <c r="FZ354" s="36"/>
      <c r="GA354" s="36"/>
      <c r="GB354" s="36"/>
      <c r="GC354" s="36"/>
      <c r="GD354" s="36"/>
      <c r="GE354" s="37"/>
      <c r="GF354" s="44"/>
      <c r="GG354" s="36"/>
      <c r="GH354" s="36"/>
      <c r="GI354" s="36"/>
      <c r="GJ354" s="36"/>
      <c r="GK354" s="36"/>
      <c r="GL354" s="36"/>
      <c r="GM354" s="36"/>
      <c r="GN354" s="36"/>
      <c r="GO354" s="36"/>
      <c r="GP354" s="36"/>
      <c r="GQ354" s="36"/>
      <c r="GR354" s="36"/>
      <c r="GS354" s="36"/>
      <c r="GT354" s="36"/>
      <c r="GU354" s="36"/>
      <c r="GV354" s="37"/>
      <c r="GW354" s="44"/>
      <c r="GX354" s="36"/>
      <c r="GY354" s="36"/>
      <c r="GZ354" s="36"/>
      <c r="HA354" s="36"/>
      <c r="HB354" s="36"/>
      <c r="HC354" s="36"/>
      <c r="HD354" s="36"/>
      <c r="HE354" s="36"/>
      <c r="HF354" s="36"/>
      <c r="HG354" s="36"/>
      <c r="HH354" s="36"/>
      <c r="HI354" s="36"/>
      <c r="HJ354" s="36"/>
      <c r="HK354" s="36"/>
      <c r="HL354" s="36"/>
      <c r="HM354" s="37"/>
      <c r="HN354" s="44"/>
      <c r="HO354" s="36"/>
      <c r="HP354" s="36"/>
      <c r="HQ354" s="36"/>
      <c r="HR354" s="36"/>
      <c r="HS354" s="36"/>
      <c r="HT354" s="36"/>
      <c r="HU354" s="36"/>
      <c r="HV354" s="36"/>
      <c r="HW354" s="36"/>
      <c r="HX354" s="36"/>
      <c r="HY354" s="36"/>
      <c r="HZ354" s="36"/>
      <c r="IA354" s="36"/>
      <c r="IB354" s="36"/>
      <c r="IC354" s="36"/>
      <c r="ID354" s="37"/>
      <c r="IE354" s="44"/>
      <c r="IF354" s="36"/>
      <c r="IG354" s="36"/>
      <c r="IH354" s="36"/>
      <c r="II354" s="36"/>
      <c r="IJ354" s="36"/>
      <c r="IK354" s="36"/>
      <c r="IL354" s="36"/>
      <c r="IM354" s="36"/>
      <c r="IN354" s="36"/>
      <c r="IO354" s="36"/>
      <c r="IP354" s="36"/>
      <c r="IQ354" s="36"/>
      <c r="IR354" s="36"/>
      <c r="IS354" s="36"/>
      <c r="IT354" s="36"/>
      <c r="IU354" s="37"/>
      <c r="IV354" s="44"/>
      <c r="IW354" s="36"/>
      <c r="IX354" s="36"/>
      <c r="IY354" s="36"/>
      <c r="IZ354" s="36"/>
      <c r="JA354" s="36"/>
      <c r="JB354" s="36"/>
      <c r="JC354" s="36"/>
      <c r="JD354" s="36"/>
      <c r="JE354" s="36"/>
      <c r="JF354" s="36"/>
      <c r="JG354" s="36"/>
      <c r="JH354" s="36"/>
      <c r="JI354" s="36"/>
      <c r="JJ354" s="36"/>
      <c r="JK354" s="36"/>
      <c r="JL354" s="37"/>
      <c r="JM354" s="44"/>
      <c r="JN354" s="36"/>
      <c r="JO354" s="36"/>
      <c r="JP354" s="36"/>
      <c r="JQ354" s="36"/>
      <c r="JR354" s="36"/>
      <c r="JS354" s="36"/>
      <c r="JT354" s="36"/>
      <c r="JU354" s="36"/>
      <c r="JV354" s="36"/>
      <c r="JW354" s="36"/>
      <c r="JX354" s="36"/>
      <c r="JY354" s="36"/>
      <c r="JZ354" s="36"/>
      <c r="KA354" s="36"/>
      <c r="KB354" s="36"/>
      <c r="KC354" s="37"/>
      <c r="KD354" s="44"/>
      <c r="KE354" s="36"/>
      <c r="KF354" s="36"/>
      <c r="KG354" s="36"/>
      <c r="KH354" s="36"/>
      <c r="KI354" s="36"/>
      <c r="KJ354" s="36"/>
      <c r="KK354" s="36"/>
      <c r="KL354" s="36"/>
      <c r="KM354" s="36"/>
      <c r="KN354" s="36"/>
      <c r="KO354" s="36"/>
      <c r="KP354" s="36"/>
      <c r="KQ354" s="36"/>
      <c r="KR354" s="36"/>
      <c r="KS354" s="36"/>
      <c r="KT354" s="37"/>
      <c r="KU354" s="36"/>
    </row>
    <row r="355" ht="15.0" customHeight="1">
      <c r="A355" s="44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7"/>
      <c r="R355" s="44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7"/>
      <c r="AI355" s="44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  <c r="AU355" s="36"/>
      <c r="AV355" s="36"/>
      <c r="AW355" s="36"/>
      <c r="AX355" s="36"/>
      <c r="AY355" s="37"/>
      <c r="AZ355" s="44"/>
      <c r="BA355" s="36"/>
      <c r="BB355" s="36"/>
      <c r="BC355" s="36"/>
      <c r="BD355" s="36"/>
      <c r="BE355" s="36"/>
      <c r="BF355" s="36"/>
      <c r="BG355" s="36"/>
      <c r="BH355" s="36"/>
      <c r="BI355" s="36"/>
      <c r="BJ355" s="36"/>
      <c r="BK355" s="36"/>
      <c r="BL355" s="36"/>
      <c r="BM355" s="36"/>
      <c r="BN355" s="36"/>
      <c r="BO355" s="36"/>
      <c r="BP355" s="37"/>
      <c r="BQ355" s="44"/>
      <c r="BR355" s="36"/>
      <c r="BS355" s="36"/>
      <c r="BT355" s="36"/>
      <c r="BU355" s="36"/>
      <c r="BV355" s="36"/>
      <c r="BW355" s="36"/>
      <c r="BX355" s="36"/>
      <c r="BY355" s="36"/>
      <c r="BZ355" s="36"/>
      <c r="CA355" s="36"/>
      <c r="CB355" s="36"/>
      <c r="CC355" s="36"/>
      <c r="CD355" s="36"/>
      <c r="CE355" s="36"/>
      <c r="CF355" s="36"/>
      <c r="CG355" s="37"/>
      <c r="CH355" s="44"/>
      <c r="CI355" s="36"/>
      <c r="CJ355" s="36"/>
      <c r="CK355" s="36"/>
      <c r="CL355" s="36"/>
      <c r="CM355" s="36"/>
      <c r="CN355" s="36"/>
      <c r="CO355" s="36"/>
      <c r="CP355" s="36"/>
      <c r="CQ355" s="36"/>
      <c r="CR355" s="36"/>
      <c r="CS355" s="36"/>
      <c r="CT355" s="36"/>
      <c r="CU355" s="36"/>
      <c r="CV355" s="36"/>
      <c r="CW355" s="36"/>
      <c r="CX355" s="37"/>
      <c r="CY355" s="44"/>
      <c r="CZ355" s="36"/>
      <c r="DA355" s="36"/>
      <c r="DB355" s="36"/>
      <c r="DC355" s="36"/>
      <c r="DD355" s="36"/>
      <c r="DE355" s="36"/>
      <c r="DF355" s="36"/>
      <c r="DG355" s="36"/>
      <c r="DH355" s="36"/>
      <c r="DI355" s="36"/>
      <c r="DJ355" s="36"/>
      <c r="DK355" s="36"/>
      <c r="DL355" s="36"/>
      <c r="DM355" s="36"/>
      <c r="DN355" s="36"/>
      <c r="DO355" s="37"/>
      <c r="DP355" s="44"/>
      <c r="DQ355" s="36"/>
      <c r="DR355" s="36"/>
      <c r="DS355" s="36"/>
      <c r="DT355" s="36"/>
      <c r="DU355" s="36"/>
      <c r="DV355" s="36"/>
      <c r="DW355" s="36"/>
      <c r="DX355" s="36"/>
      <c r="DY355" s="36"/>
      <c r="DZ355" s="36"/>
      <c r="EA355" s="36"/>
      <c r="EB355" s="36"/>
      <c r="EC355" s="36"/>
      <c r="ED355" s="36"/>
      <c r="EE355" s="36"/>
      <c r="EF355" s="37"/>
      <c r="EG355" s="44"/>
      <c r="EH355" s="36"/>
      <c r="EI355" s="36"/>
      <c r="EJ355" s="36"/>
      <c r="EK355" s="36"/>
      <c r="EL355" s="36"/>
      <c r="EM355" s="36"/>
      <c r="EN355" s="36"/>
      <c r="EO355" s="36"/>
      <c r="EP355" s="36"/>
      <c r="EQ355" s="36"/>
      <c r="ER355" s="36"/>
      <c r="ES355" s="36"/>
      <c r="ET355" s="36"/>
      <c r="EU355" s="36"/>
      <c r="EV355" s="36"/>
      <c r="EW355" s="37"/>
      <c r="EX355" s="44"/>
      <c r="EY355" s="36"/>
      <c r="EZ355" s="36"/>
      <c r="FA355" s="36"/>
      <c r="FB355" s="36"/>
      <c r="FC355" s="36"/>
      <c r="FD355" s="36"/>
      <c r="FE355" s="36"/>
      <c r="FF355" s="36"/>
      <c r="FG355" s="36"/>
      <c r="FH355" s="36"/>
      <c r="FI355" s="36"/>
      <c r="FJ355" s="36"/>
      <c r="FK355" s="36"/>
      <c r="FL355" s="36"/>
      <c r="FM355" s="36"/>
      <c r="FN355" s="37"/>
      <c r="FO355" s="44"/>
      <c r="FP355" s="36"/>
      <c r="FQ355" s="36"/>
      <c r="FR355" s="36"/>
      <c r="FS355" s="36"/>
      <c r="FT355" s="36"/>
      <c r="FU355" s="36"/>
      <c r="FV355" s="36"/>
      <c r="FW355" s="36"/>
      <c r="FX355" s="36"/>
      <c r="FY355" s="36"/>
      <c r="FZ355" s="36"/>
      <c r="GA355" s="36"/>
      <c r="GB355" s="36"/>
      <c r="GC355" s="36"/>
      <c r="GD355" s="36"/>
      <c r="GE355" s="37"/>
      <c r="GF355" s="44"/>
      <c r="GG355" s="36"/>
      <c r="GH355" s="36"/>
      <c r="GI355" s="36"/>
      <c r="GJ355" s="36"/>
      <c r="GK355" s="36"/>
      <c r="GL355" s="36"/>
      <c r="GM355" s="36"/>
      <c r="GN355" s="36"/>
      <c r="GO355" s="36"/>
      <c r="GP355" s="36"/>
      <c r="GQ355" s="36"/>
      <c r="GR355" s="36"/>
      <c r="GS355" s="36"/>
      <c r="GT355" s="36"/>
      <c r="GU355" s="36"/>
      <c r="GV355" s="37"/>
      <c r="GW355" s="44"/>
      <c r="GX355" s="36"/>
      <c r="GY355" s="36"/>
      <c r="GZ355" s="36"/>
      <c r="HA355" s="36"/>
      <c r="HB355" s="36"/>
      <c r="HC355" s="36"/>
      <c r="HD355" s="36"/>
      <c r="HE355" s="36"/>
      <c r="HF355" s="36"/>
      <c r="HG355" s="36"/>
      <c r="HH355" s="36"/>
      <c r="HI355" s="36"/>
      <c r="HJ355" s="36"/>
      <c r="HK355" s="36"/>
      <c r="HL355" s="36"/>
      <c r="HM355" s="37"/>
      <c r="HN355" s="44"/>
      <c r="HO355" s="36"/>
      <c r="HP355" s="36"/>
      <c r="HQ355" s="36"/>
      <c r="HR355" s="36"/>
      <c r="HS355" s="36"/>
      <c r="HT355" s="36"/>
      <c r="HU355" s="36"/>
      <c r="HV355" s="36"/>
      <c r="HW355" s="36"/>
      <c r="HX355" s="36"/>
      <c r="HY355" s="36"/>
      <c r="HZ355" s="36"/>
      <c r="IA355" s="36"/>
      <c r="IB355" s="36"/>
      <c r="IC355" s="36"/>
      <c r="ID355" s="37"/>
      <c r="IE355" s="44"/>
      <c r="IF355" s="36"/>
      <c r="IG355" s="36"/>
      <c r="IH355" s="36"/>
      <c r="II355" s="36"/>
      <c r="IJ355" s="36"/>
      <c r="IK355" s="36"/>
      <c r="IL355" s="36"/>
      <c r="IM355" s="36"/>
      <c r="IN355" s="36"/>
      <c r="IO355" s="36"/>
      <c r="IP355" s="36"/>
      <c r="IQ355" s="36"/>
      <c r="IR355" s="36"/>
      <c r="IS355" s="36"/>
      <c r="IT355" s="36"/>
      <c r="IU355" s="37"/>
      <c r="IV355" s="44"/>
      <c r="IW355" s="36"/>
      <c r="IX355" s="36"/>
      <c r="IY355" s="36"/>
      <c r="IZ355" s="36"/>
      <c r="JA355" s="36"/>
      <c r="JB355" s="36"/>
      <c r="JC355" s="36"/>
      <c r="JD355" s="36"/>
      <c r="JE355" s="36"/>
      <c r="JF355" s="36"/>
      <c r="JG355" s="36"/>
      <c r="JH355" s="36"/>
      <c r="JI355" s="36"/>
      <c r="JJ355" s="36"/>
      <c r="JK355" s="36"/>
      <c r="JL355" s="37"/>
      <c r="JM355" s="44"/>
      <c r="JN355" s="36"/>
      <c r="JO355" s="36"/>
      <c r="JP355" s="36"/>
      <c r="JQ355" s="36"/>
      <c r="JR355" s="36"/>
      <c r="JS355" s="36"/>
      <c r="JT355" s="36"/>
      <c r="JU355" s="36"/>
      <c r="JV355" s="36"/>
      <c r="JW355" s="36"/>
      <c r="JX355" s="36"/>
      <c r="JY355" s="36"/>
      <c r="JZ355" s="36"/>
      <c r="KA355" s="36"/>
      <c r="KB355" s="36"/>
      <c r="KC355" s="37"/>
      <c r="KD355" s="44"/>
      <c r="KE355" s="36"/>
      <c r="KF355" s="36"/>
      <c r="KG355" s="36"/>
      <c r="KH355" s="36"/>
      <c r="KI355" s="36"/>
      <c r="KJ355" s="36"/>
      <c r="KK355" s="36"/>
      <c r="KL355" s="36"/>
      <c r="KM355" s="36"/>
      <c r="KN355" s="36"/>
      <c r="KO355" s="36"/>
      <c r="KP355" s="36"/>
      <c r="KQ355" s="36"/>
      <c r="KR355" s="36"/>
      <c r="KS355" s="36"/>
      <c r="KT355" s="37"/>
      <c r="KU355" s="36"/>
    </row>
    <row r="356" ht="15.0" customHeight="1">
      <c r="A356" s="44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7"/>
      <c r="R356" s="44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7"/>
      <c r="AI356" s="44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  <c r="AU356" s="36"/>
      <c r="AV356" s="36"/>
      <c r="AW356" s="36"/>
      <c r="AX356" s="36"/>
      <c r="AY356" s="37"/>
      <c r="AZ356" s="44"/>
      <c r="BA356" s="36"/>
      <c r="BB356" s="36"/>
      <c r="BC356" s="36"/>
      <c r="BD356" s="36"/>
      <c r="BE356" s="36"/>
      <c r="BF356" s="36"/>
      <c r="BG356" s="36"/>
      <c r="BH356" s="36"/>
      <c r="BI356" s="36"/>
      <c r="BJ356" s="36"/>
      <c r="BK356" s="36"/>
      <c r="BL356" s="36"/>
      <c r="BM356" s="36"/>
      <c r="BN356" s="36"/>
      <c r="BO356" s="36"/>
      <c r="BP356" s="37"/>
      <c r="BQ356" s="44"/>
      <c r="BR356" s="36"/>
      <c r="BS356" s="36"/>
      <c r="BT356" s="36"/>
      <c r="BU356" s="36"/>
      <c r="BV356" s="36"/>
      <c r="BW356" s="36"/>
      <c r="BX356" s="36"/>
      <c r="BY356" s="36"/>
      <c r="BZ356" s="36"/>
      <c r="CA356" s="36"/>
      <c r="CB356" s="36"/>
      <c r="CC356" s="36"/>
      <c r="CD356" s="36"/>
      <c r="CE356" s="36"/>
      <c r="CF356" s="36"/>
      <c r="CG356" s="37"/>
      <c r="CH356" s="44"/>
      <c r="CI356" s="36"/>
      <c r="CJ356" s="36"/>
      <c r="CK356" s="36"/>
      <c r="CL356" s="36"/>
      <c r="CM356" s="36"/>
      <c r="CN356" s="36"/>
      <c r="CO356" s="36"/>
      <c r="CP356" s="36"/>
      <c r="CQ356" s="36"/>
      <c r="CR356" s="36"/>
      <c r="CS356" s="36"/>
      <c r="CT356" s="36"/>
      <c r="CU356" s="36"/>
      <c r="CV356" s="36"/>
      <c r="CW356" s="36"/>
      <c r="CX356" s="37"/>
      <c r="CY356" s="44"/>
      <c r="CZ356" s="36"/>
      <c r="DA356" s="36"/>
      <c r="DB356" s="36"/>
      <c r="DC356" s="36"/>
      <c r="DD356" s="36"/>
      <c r="DE356" s="36"/>
      <c r="DF356" s="36"/>
      <c r="DG356" s="36"/>
      <c r="DH356" s="36"/>
      <c r="DI356" s="36"/>
      <c r="DJ356" s="36"/>
      <c r="DK356" s="36"/>
      <c r="DL356" s="36"/>
      <c r="DM356" s="36"/>
      <c r="DN356" s="36"/>
      <c r="DO356" s="37"/>
      <c r="DP356" s="44"/>
      <c r="DQ356" s="36"/>
      <c r="DR356" s="36"/>
      <c r="DS356" s="36"/>
      <c r="DT356" s="36"/>
      <c r="DU356" s="36"/>
      <c r="DV356" s="36"/>
      <c r="DW356" s="36"/>
      <c r="DX356" s="36"/>
      <c r="DY356" s="36"/>
      <c r="DZ356" s="36"/>
      <c r="EA356" s="36"/>
      <c r="EB356" s="36"/>
      <c r="EC356" s="36"/>
      <c r="ED356" s="36"/>
      <c r="EE356" s="36"/>
      <c r="EF356" s="37"/>
      <c r="EG356" s="44"/>
      <c r="EH356" s="36"/>
      <c r="EI356" s="36"/>
      <c r="EJ356" s="36"/>
      <c r="EK356" s="36"/>
      <c r="EL356" s="36"/>
      <c r="EM356" s="36"/>
      <c r="EN356" s="36"/>
      <c r="EO356" s="36"/>
      <c r="EP356" s="36"/>
      <c r="EQ356" s="36"/>
      <c r="ER356" s="36"/>
      <c r="ES356" s="36"/>
      <c r="ET356" s="36"/>
      <c r="EU356" s="36"/>
      <c r="EV356" s="36"/>
      <c r="EW356" s="37"/>
      <c r="EX356" s="44"/>
      <c r="EY356" s="36"/>
      <c r="EZ356" s="36"/>
      <c r="FA356" s="36"/>
      <c r="FB356" s="36"/>
      <c r="FC356" s="36"/>
      <c r="FD356" s="36"/>
      <c r="FE356" s="36"/>
      <c r="FF356" s="36"/>
      <c r="FG356" s="36"/>
      <c r="FH356" s="36"/>
      <c r="FI356" s="36"/>
      <c r="FJ356" s="36"/>
      <c r="FK356" s="36"/>
      <c r="FL356" s="36"/>
      <c r="FM356" s="36"/>
      <c r="FN356" s="37"/>
      <c r="FO356" s="44"/>
      <c r="FP356" s="36"/>
      <c r="FQ356" s="36"/>
      <c r="FR356" s="36"/>
      <c r="FS356" s="36"/>
      <c r="FT356" s="36"/>
      <c r="FU356" s="36"/>
      <c r="FV356" s="36"/>
      <c r="FW356" s="36"/>
      <c r="FX356" s="36"/>
      <c r="FY356" s="36"/>
      <c r="FZ356" s="36"/>
      <c r="GA356" s="36"/>
      <c r="GB356" s="36"/>
      <c r="GC356" s="36"/>
      <c r="GD356" s="36"/>
      <c r="GE356" s="37"/>
      <c r="GF356" s="44"/>
      <c r="GG356" s="36"/>
      <c r="GH356" s="36"/>
      <c r="GI356" s="36"/>
      <c r="GJ356" s="36"/>
      <c r="GK356" s="36"/>
      <c r="GL356" s="36"/>
      <c r="GM356" s="36"/>
      <c r="GN356" s="36"/>
      <c r="GO356" s="36"/>
      <c r="GP356" s="36"/>
      <c r="GQ356" s="36"/>
      <c r="GR356" s="36"/>
      <c r="GS356" s="36"/>
      <c r="GT356" s="36"/>
      <c r="GU356" s="36"/>
      <c r="GV356" s="37"/>
      <c r="GW356" s="44"/>
      <c r="GX356" s="36"/>
      <c r="GY356" s="36"/>
      <c r="GZ356" s="36"/>
      <c r="HA356" s="36"/>
      <c r="HB356" s="36"/>
      <c r="HC356" s="36"/>
      <c r="HD356" s="36"/>
      <c r="HE356" s="36"/>
      <c r="HF356" s="36"/>
      <c r="HG356" s="36"/>
      <c r="HH356" s="36"/>
      <c r="HI356" s="36"/>
      <c r="HJ356" s="36"/>
      <c r="HK356" s="36"/>
      <c r="HL356" s="36"/>
      <c r="HM356" s="37"/>
      <c r="HN356" s="44"/>
      <c r="HO356" s="36"/>
      <c r="HP356" s="36"/>
      <c r="HQ356" s="36"/>
      <c r="HR356" s="36"/>
      <c r="HS356" s="36"/>
      <c r="HT356" s="36"/>
      <c r="HU356" s="36"/>
      <c r="HV356" s="36"/>
      <c r="HW356" s="36"/>
      <c r="HX356" s="36"/>
      <c r="HY356" s="36"/>
      <c r="HZ356" s="36"/>
      <c r="IA356" s="36"/>
      <c r="IB356" s="36"/>
      <c r="IC356" s="36"/>
      <c r="ID356" s="37"/>
      <c r="IE356" s="44"/>
      <c r="IF356" s="36"/>
      <c r="IG356" s="36"/>
      <c r="IH356" s="36"/>
      <c r="II356" s="36"/>
      <c r="IJ356" s="36"/>
      <c r="IK356" s="36"/>
      <c r="IL356" s="36"/>
      <c r="IM356" s="36"/>
      <c r="IN356" s="36"/>
      <c r="IO356" s="36"/>
      <c r="IP356" s="36"/>
      <c r="IQ356" s="36"/>
      <c r="IR356" s="36"/>
      <c r="IS356" s="36"/>
      <c r="IT356" s="36"/>
      <c r="IU356" s="37"/>
      <c r="IV356" s="44"/>
      <c r="IW356" s="36"/>
      <c r="IX356" s="36"/>
      <c r="IY356" s="36"/>
      <c r="IZ356" s="36"/>
      <c r="JA356" s="36"/>
      <c r="JB356" s="36"/>
      <c r="JC356" s="36"/>
      <c r="JD356" s="36"/>
      <c r="JE356" s="36"/>
      <c r="JF356" s="36"/>
      <c r="JG356" s="36"/>
      <c r="JH356" s="36"/>
      <c r="JI356" s="36"/>
      <c r="JJ356" s="36"/>
      <c r="JK356" s="36"/>
      <c r="JL356" s="37"/>
      <c r="JM356" s="44"/>
      <c r="JN356" s="36"/>
      <c r="JO356" s="36"/>
      <c r="JP356" s="36"/>
      <c r="JQ356" s="36"/>
      <c r="JR356" s="36"/>
      <c r="JS356" s="36"/>
      <c r="JT356" s="36"/>
      <c r="JU356" s="36"/>
      <c r="JV356" s="36"/>
      <c r="JW356" s="36"/>
      <c r="JX356" s="36"/>
      <c r="JY356" s="36"/>
      <c r="JZ356" s="36"/>
      <c r="KA356" s="36"/>
      <c r="KB356" s="36"/>
      <c r="KC356" s="37"/>
      <c r="KD356" s="44"/>
      <c r="KE356" s="36"/>
      <c r="KF356" s="36"/>
      <c r="KG356" s="36"/>
      <c r="KH356" s="36"/>
      <c r="KI356" s="36"/>
      <c r="KJ356" s="36"/>
      <c r="KK356" s="36"/>
      <c r="KL356" s="36"/>
      <c r="KM356" s="36"/>
      <c r="KN356" s="36"/>
      <c r="KO356" s="36"/>
      <c r="KP356" s="36"/>
      <c r="KQ356" s="36"/>
      <c r="KR356" s="36"/>
      <c r="KS356" s="36"/>
      <c r="KT356" s="37"/>
      <c r="KU356" s="36"/>
    </row>
    <row r="357" ht="15.0" customHeight="1">
      <c r="A357" s="44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7"/>
      <c r="R357" s="44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7"/>
      <c r="AI357" s="44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36"/>
      <c r="AU357" s="36"/>
      <c r="AV357" s="36"/>
      <c r="AW357" s="36"/>
      <c r="AX357" s="36"/>
      <c r="AY357" s="37"/>
      <c r="AZ357" s="44"/>
      <c r="BA357" s="36"/>
      <c r="BB357" s="36"/>
      <c r="BC357" s="36"/>
      <c r="BD357" s="36"/>
      <c r="BE357" s="36"/>
      <c r="BF357" s="36"/>
      <c r="BG357" s="36"/>
      <c r="BH357" s="36"/>
      <c r="BI357" s="36"/>
      <c r="BJ357" s="36"/>
      <c r="BK357" s="36"/>
      <c r="BL357" s="36"/>
      <c r="BM357" s="36"/>
      <c r="BN357" s="36"/>
      <c r="BO357" s="36"/>
      <c r="BP357" s="37"/>
      <c r="BQ357" s="44"/>
      <c r="BR357" s="36"/>
      <c r="BS357" s="36"/>
      <c r="BT357" s="36"/>
      <c r="BU357" s="36"/>
      <c r="BV357" s="36"/>
      <c r="BW357" s="36"/>
      <c r="BX357" s="36"/>
      <c r="BY357" s="36"/>
      <c r="BZ357" s="36"/>
      <c r="CA357" s="36"/>
      <c r="CB357" s="36"/>
      <c r="CC357" s="36"/>
      <c r="CD357" s="36"/>
      <c r="CE357" s="36"/>
      <c r="CF357" s="36"/>
      <c r="CG357" s="37"/>
      <c r="CH357" s="44"/>
      <c r="CI357" s="36"/>
      <c r="CJ357" s="36"/>
      <c r="CK357" s="36"/>
      <c r="CL357" s="36"/>
      <c r="CM357" s="36"/>
      <c r="CN357" s="36"/>
      <c r="CO357" s="36"/>
      <c r="CP357" s="36"/>
      <c r="CQ357" s="36"/>
      <c r="CR357" s="36"/>
      <c r="CS357" s="36"/>
      <c r="CT357" s="36"/>
      <c r="CU357" s="36"/>
      <c r="CV357" s="36"/>
      <c r="CW357" s="36"/>
      <c r="CX357" s="37"/>
      <c r="CY357" s="44"/>
      <c r="CZ357" s="36"/>
      <c r="DA357" s="36"/>
      <c r="DB357" s="36"/>
      <c r="DC357" s="36"/>
      <c r="DD357" s="36"/>
      <c r="DE357" s="36"/>
      <c r="DF357" s="36"/>
      <c r="DG357" s="36"/>
      <c r="DH357" s="36"/>
      <c r="DI357" s="36"/>
      <c r="DJ357" s="36"/>
      <c r="DK357" s="36"/>
      <c r="DL357" s="36"/>
      <c r="DM357" s="36"/>
      <c r="DN357" s="36"/>
      <c r="DO357" s="37"/>
      <c r="DP357" s="44"/>
      <c r="DQ357" s="36"/>
      <c r="DR357" s="36"/>
      <c r="DS357" s="36"/>
      <c r="DT357" s="36"/>
      <c r="DU357" s="36"/>
      <c r="DV357" s="36"/>
      <c r="DW357" s="36"/>
      <c r="DX357" s="36"/>
      <c r="DY357" s="36"/>
      <c r="DZ357" s="36"/>
      <c r="EA357" s="36"/>
      <c r="EB357" s="36"/>
      <c r="EC357" s="36"/>
      <c r="ED357" s="36"/>
      <c r="EE357" s="36"/>
      <c r="EF357" s="37"/>
      <c r="EG357" s="44"/>
      <c r="EH357" s="36"/>
      <c r="EI357" s="36"/>
      <c r="EJ357" s="36"/>
      <c r="EK357" s="36"/>
      <c r="EL357" s="36"/>
      <c r="EM357" s="36"/>
      <c r="EN357" s="36"/>
      <c r="EO357" s="36"/>
      <c r="EP357" s="36"/>
      <c r="EQ357" s="36"/>
      <c r="ER357" s="36"/>
      <c r="ES357" s="36"/>
      <c r="ET357" s="36"/>
      <c r="EU357" s="36"/>
      <c r="EV357" s="36"/>
      <c r="EW357" s="37"/>
      <c r="EX357" s="44"/>
      <c r="EY357" s="36"/>
      <c r="EZ357" s="36"/>
      <c r="FA357" s="36"/>
      <c r="FB357" s="36"/>
      <c r="FC357" s="36"/>
      <c r="FD357" s="36"/>
      <c r="FE357" s="36"/>
      <c r="FF357" s="36"/>
      <c r="FG357" s="36"/>
      <c r="FH357" s="36"/>
      <c r="FI357" s="36"/>
      <c r="FJ357" s="36"/>
      <c r="FK357" s="36"/>
      <c r="FL357" s="36"/>
      <c r="FM357" s="36"/>
      <c r="FN357" s="37"/>
      <c r="FO357" s="44"/>
      <c r="FP357" s="36"/>
      <c r="FQ357" s="36"/>
      <c r="FR357" s="36"/>
      <c r="FS357" s="36"/>
      <c r="FT357" s="36"/>
      <c r="FU357" s="36"/>
      <c r="FV357" s="36"/>
      <c r="FW357" s="36"/>
      <c r="FX357" s="36"/>
      <c r="FY357" s="36"/>
      <c r="FZ357" s="36"/>
      <c r="GA357" s="36"/>
      <c r="GB357" s="36"/>
      <c r="GC357" s="36"/>
      <c r="GD357" s="36"/>
      <c r="GE357" s="37"/>
      <c r="GF357" s="44"/>
      <c r="GG357" s="36"/>
      <c r="GH357" s="36"/>
      <c r="GI357" s="36"/>
      <c r="GJ357" s="36"/>
      <c r="GK357" s="36"/>
      <c r="GL357" s="36"/>
      <c r="GM357" s="36"/>
      <c r="GN357" s="36"/>
      <c r="GO357" s="36"/>
      <c r="GP357" s="36"/>
      <c r="GQ357" s="36"/>
      <c r="GR357" s="36"/>
      <c r="GS357" s="36"/>
      <c r="GT357" s="36"/>
      <c r="GU357" s="36"/>
      <c r="GV357" s="37"/>
      <c r="GW357" s="44"/>
      <c r="GX357" s="36"/>
      <c r="GY357" s="36"/>
      <c r="GZ357" s="36"/>
      <c r="HA357" s="36"/>
      <c r="HB357" s="36"/>
      <c r="HC357" s="36"/>
      <c r="HD357" s="36"/>
      <c r="HE357" s="36"/>
      <c r="HF357" s="36"/>
      <c r="HG357" s="36"/>
      <c r="HH357" s="36"/>
      <c r="HI357" s="36"/>
      <c r="HJ357" s="36"/>
      <c r="HK357" s="36"/>
      <c r="HL357" s="36"/>
      <c r="HM357" s="37"/>
      <c r="HN357" s="44"/>
      <c r="HO357" s="36"/>
      <c r="HP357" s="36"/>
      <c r="HQ357" s="36"/>
      <c r="HR357" s="36"/>
      <c r="HS357" s="36"/>
      <c r="HT357" s="36"/>
      <c r="HU357" s="36"/>
      <c r="HV357" s="36"/>
      <c r="HW357" s="36"/>
      <c r="HX357" s="36"/>
      <c r="HY357" s="36"/>
      <c r="HZ357" s="36"/>
      <c r="IA357" s="36"/>
      <c r="IB357" s="36"/>
      <c r="IC357" s="36"/>
      <c r="ID357" s="37"/>
      <c r="IE357" s="44"/>
      <c r="IF357" s="36"/>
      <c r="IG357" s="36"/>
      <c r="IH357" s="36"/>
      <c r="II357" s="36"/>
      <c r="IJ357" s="36"/>
      <c r="IK357" s="36"/>
      <c r="IL357" s="36"/>
      <c r="IM357" s="36"/>
      <c r="IN357" s="36"/>
      <c r="IO357" s="36"/>
      <c r="IP357" s="36"/>
      <c r="IQ357" s="36"/>
      <c r="IR357" s="36"/>
      <c r="IS357" s="36"/>
      <c r="IT357" s="36"/>
      <c r="IU357" s="37"/>
      <c r="IV357" s="44"/>
      <c r="IW357" s="36"/>
      <c r="IX357" s="36"/>
      <c r="IY357" s="36"/>
      <c r="IZ357" s="36"/>
      <c r="JA357" s="36"/>
      <c r="JB357" s="36"/>
      <c r="JC357" s="36"/>
      <c r="JD357" s="36"/>
      <c r="JE357" s="36"/>
      <c r="JF357" s="36"/>
      <c r="JG357" s="36"/>
      <c r="JH357" s="36"/>
      <c r="JI357" s="36"/>
      <c r="JJ357" s="36"/>
      <c r="JK357" s="36"/>
      <c r="JL357" s="37"/>
      <c r="JM357" s="44"/>
      <c r="JN357" s="36"/>
      <c r="JO357" s="36"/>
      <c r="JP357" s="36"/>
      <c r="JQ357" s="36"/>
      <c r="JR357" s="36"/>
      <c r="JS357" s="36"/>
      <c r="JT357" s="36"/>
      <c r="JU357" s="36"/>
      <c r="JV357" s="36"/>
      <c r="JW357" s="36"/>
      <c r="JX357" s="36"/>
      <c r="JY357" s="36"/>
      <c r="JZ357" s="36"/>
      <c r="KA357" s="36"/>
      <c r="KB357" s="36"/>
      <c r="KC357" s="37"/>
      <c r="KD357" s="44"/>
      <c r="KE357" s="36"/>
      <c r="KF357" s="36"/>
      <c r="KG357" s="36"/>
      <c r="KH357" s="36"/>
      <c r="KI357" s="36"/>
      <c r="KJ357" s="36"/>
      <c r="KK357" s="36"/>
      <c r="KL357" s="36"/>
      <c r="KM357" s="36"/>
      <c r="KN357" s="36"/>
      <c r="KO357" s="36"/>
      <c r="KP357" s="36"/>
      <c r="KQ357" s="36"/>
      <c r="KR357" s="36"/>
      <c r="KS357" s="36"/>
      <c r="KT357" s="37"/>
      <c r="KU357" s="36"/>
    </row>
    <row r="358" ht="15.0" customHeight="1">
      <c r="A358" s="44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7"/>
      <c r="R358" s="44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7"/>
      <c r="AI358" s="44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  <c r="AU358" s="36"/>
      <c r="AV358" s="36"/>
      <c r="AW358" s="36"/>
      <c r="AX358" s="36"/>
      <c r="AY358" s="37"/>
      <c r="AZ358" s="44"/>
      <c r="BA358" s="36"/>
      <c r="BB358" s="36"/>
      <c r="BC358" s="36"/>
      <c r="BD358" s="36"/>
      <c r="BE358" s="36"/>
      <c r="BF358" s="36"/>
      <c r="BG358" s="36"/>
      <c r="BH358" s="36"/>
      <c r="BI358" s="36"/>
      <c r="BJ358" s="36"/>
      <c r="BK358" s="36"/>
      <c r="BL358" s="36"/>
      <c r="BM358" s="36"/>
      <c r="BN358" s="36"/>
      <c r="BO358" s="36"/>
      <c r="BP358" s="37"/>
      <c r="BQ358" s="44"/>
      <c r="BR358" s="36"/>
      <c r="BS358" s="36"/>
      <c r="BT358" s="36"/>
      <c r="BU358" s="36"/>
      <c r="BV358" s="36"/>
      <c r="BW358" s="36"/>
      <c r="BX358" s="36"/>
      <c r="BY358" s="36"/>
      <c r="BZ358" s="36"/>
      <c r="CA358" s="36"/>
      <c r="CB358" s="36"/>
      <c r="CC358" s="36"/>
      <c r="CD358" s="36"/>
      <c r="CE358" s="36"/>
      <c r="CF358" s="36"/>
      <c r="CG358" s="37"/>
      <c r="CH358" s="44"/>
      <c r="CI358" s="36"/>
      <c r="CJ358" s="36"/>
      <c r="CK358" s="36"/>
      <c r="CL358" s="36"/>
      <c r="CM358" s="36"/>
      <c r="CN358" s="36"/>
      <c r="CO358" s="36"/>
      <c r="CP358" s="36"/>
      <c r="CQ358" s="36"/>
      <c r="CR358" s="36"/>
      <c r="CS358" s="36"/>
      <c r="CT358" s="36"/>
      <c r="CU358" s="36"/>
      <c r="CV358" s="36"/>
      <c r="CW358" s="36"/>
      <c r="CX358" s="37"/>
      <c r="CY358" s="44"/>
      <c r="CZ358" s="36"/>
      <c r="DA358" s="36"/>
      <c r="DB358" s="36"/>
      <c r="DC358" s="36"/>
      <c r="DD358" s="36"/>
      <c r="DE358" s="36"/>
      <c r="DF358" s="36"/>
      <c r="DG358" s="36"/>
      <c r="DH358" s="36"/>
      <c r="DI358" s="36"/>
      <c r="DJ358" s="36"/>
      <c r="DK358" s="36"/>
      <c r="DL358" s="36"/>
      <c r="DM358" s="36"/>
      <c r="DN358" s="36"/>
      <c r="DO358" s="37"/>
      <c r="DP358" s="44"/>
      <c r="DQ358" s="36"/>
      <c r="DR358" s="36"/>
      <c r="DS358" s="36"/>
      <c r="DT358" s="36"/>
      <c r="DU358" s="36"/>
      <c r="DV358" s="36"/>
      <c r="DW358" s="36"/>
      <c r="DX358" s="36"/>
      <c r="DY358" s="36"/>
      <c r="DZ358" s="36"/>
      <c r="EA358" s="36"/>
      <c r="EB358" s="36"/>
      <c r="EC358" s="36"/>
      <c r="ED358" s="36"/>
      <c r="EE358" s="36"/>
      <c r="EF358" s="37"/>
      <c r="EG358" s="44"/>
      <c r="EH358" s="36"/>
      <c r="EI358" s="36"/>
      <c r="EJ358" s="36"/>
      <c r="EK358" s="36"/>
      <c r="EL358" s="36"/>
      <c r="EM358" s="36"/>
      <c r="EN358" s="36"/>
      <c r="EO358" s="36"/>
      <c r="EP358" s="36"/>
      <c r="EQ358" s="36"/>
      <c r="ER358" s="36"/>
      <c r="ES358" s="36"/>
      <c r="ET358" s="36"/>
      <c r="EU358" s="36"/>
      <c r="EV358" s="36"/>
      <c r="EW358" s="37"/>
      <c r="EX358" s="44"/>
      <c r="EY358" s="36"/>
      <c r="EZ358" s="36"/>
      <c r="FA358" s="36"/>
      <c r="FB358" s="36"/>
      <c r="FC358" s="36"/>
      <c r="FD358" s="36"/>
      <c r="FE358" s="36"/>
      <c r="FF358" s="36"/>
      <c r="FG358" s="36"/>
      <c r="FH358" s="36"/>
      <c r="FI358" s="36"/>
      <c r="FJ358" s="36"/>
      <c r="FK358" s="36"/>
      <c r="FL358" s="36"/>
      <c r="FM358" s="36"/>
      <c r="FN358" s="37"/>
      <c r="FO358" s="44"/>
      <c r="FP358" s="36"/>
      <c r="FQ358" s="36"/>
      <c r="FR358" s="36"/>
      <c r="FS358" s="36"/>
      <c r="FT358" s="36"/>
      <c r="FU358" s="36"/>
      <c r="FV358" s="36"/>
      <c r="FW358" s="36"/>
      <c r="FX358" s="36"/>
      <c r="FY358" s="36"/>
      <c r="FZ358" s="36"/>
      <c r="GA358" s="36"/>
      <c r="GB358" s="36"/>
      <c r="GC358" s="36"/>
      <c r="GD358" s="36"/>
      <c r="GE358" s="37"/>
      <c r="GF358" s="44"/>
      <c r="GG358" s="36"/>
      <c r="GH358" s="36"/>
      <c r="GI358" s="36"/>
      <c r="GJ358" s="36"/>
      <c r="GK358" s="36"/>
      <c r="GL358" s="36"/>
      <c r="GM358" s="36"/>
      <c r="GN358" s="36"/>
      <c r="GO358" s="36"/>
      <c r="GP358" s="36"/>
      <c r="GQ358" s="36"/>
      <c r="GR358" s="36"/>
      <c r="GS358" s="36"/>
      <c r="GT358" s="36"/>
      <c r="GU358" s="36"/>
      <c r="GV358" s="37"/>
      <c r="GW358" s="44"/>
      <c r="GX358" s="36"/>
      <c r="GY358" s="36"/>
      <c r="GZ358" s="36"/>
      <c r="HA358" s="36"/>
      <c r="HB358" s="36"/>
      <c r="HC358" s="36"/>
      <c r="HD358" s="36"/>
      <c r="HE358" s="36"/>
      <c r="HF358" s="36"/>
      <c r="HG358" s="36"/>
      <c r="HH358" s="36"/>
      <c r="HI358" s="36"/>
      <c r="HJ358" s="36"/>
      <c r="HK358" s="36"/>
      <c r="HL358" s="36"/>
      <c r="HM358" s="37"/>
      <c r="HN358" s="44"/>
      <c r="HO358" s="36"/>
      <c r="HP358" s="36"/>
      <c r="HQ358" s="36"/>
      <c r="HR358" s="36"/>
      <c r="HS358" s="36"/>
      <c r="HT358" s="36"/>
      <c r="HU358" s="36"/>
      <c r="HV358" s="36"/>
      <c r="HW358" s="36"/>
      <c r="HX358" s="36"/>
      <c r="HY358" s="36"/>
      <c r="HZ358" s="36"/>
      <c r="IA358" s="36"/>
      <c r="IB358" s="36"/>
      <c r="IC358" s="36"/>
      <c r="ID358" s="37"/>
      <c r="IE358" s="44"/>
      <c r="IF358" s="36"/>
      <c r="IG358" s="36"/>
      <c r="IH358" s="36"/>
      <c r="II358" s="36"/>
      <c r="IJ358" s="36"/>
      <c r="IK358" s="36"/>
      <c r="IL358" s="36"/>
      <c r="IM358" s="36"/>
      <c r="IN358" s="36"/>
      <c r="IO358" s="36"/>
      <c r="IP358" s="36"/>
      <c r="IQ358" s="36"/>
      <c r="IR358" s="36"/>
      <c r="IS358" s="36"/>
      <c r="IT358" s="36"/>
      <c r="IU358" s="37"/>
      <c r="IV358" s="44"/>
      <c r="IW358" s="36"/>
      <c r="IX358" s="36"/>
      <c r="IY358" s="36"/>
      <c r="IZ358" s="36"/>
      <c r="JA358" s="36"/>
      <c r="JB358" s="36"/>
      <c r="JC358" s="36"/>
      <c r="JD358" s="36"/>
      <c r="JE358" s="36"/>
      <c r="JF358" s="36"/>
      <c r="JG358" s="36"/>
      <c r="JH358" s="36"/>
      <c r="JI358" s="36"/>
      <c r="JJ358" s="36"/>
      <c r="JK358" s="36"/>
      <c r="JL358" s="37"/>
      <c r="JM358" s="44"/>
      <c r="JN358" s="36"/>
      <c r="JO358" s="36"/>
      <c r="JP358" s="36"/>
      <c r="JQ358" s="36"/>
      <c r="JR358" s="36"/>
      <c r="JS358" s="36"/>
      <c r="JT358" s="36"/>
      <c r="JU358" s="36"/>
      <c r="JV358" s="36"/>
      <c r="JW358" s="36"/>
      <c r="JX358" s="36"/>
      <c r="JY358" s="36"/>
      <c r="JZ358" s="36"/>
      <c r="KA358" s="36"/>
      <c r="KB358" s="36"/>
      <c r="KC358" s="37"/>
      <c r="KD358" s="44"/>
      <c r="KE358" s="36"/>
      <c r="KF358" s="36"/>
      <c r="KG358" s="36"/>
      <c r="KH358" s="36"/>
      <c r="KI358" s="36"/>
      <c r="KJ358" s="36"/>
      <c r="KK358" s="36"/>
      <c r="KL358" s="36"/>
      <c r="KM358" s="36"/>
      <c r="KN358" s="36"/>
      <c r="KO358" s="36"/>
      <c r="KP358" s="36"/>
      <c r="KQ358" s="36"/>
      <c r="KR358" s="36"/>
      <c r="KS358" s="36"/>
      <c r="KT358" s="37"/>
      <c r="KU358" s="36"/>
    </row>
    <row r="359" ht="15.0" customHeight="1">
      <c r="A359" s="44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7"/>
      <c r="R359" s="44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7"/>
      <c r="AI359" s="44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36"/>
      <c r="AU359" s="36"/>
      <c r="AV359" s="36"/>
      <c r="AW359" s="36"/>
      <c r="AX359" s="36"/>
      <c r="AY359" s="37"/>
      <c r="AZ359" s="44"/>
      <c r="BA359" s="36"/>
      <c r="BB359" s="36"/>
      <c r="BC359" s="36"/>
      <c r="BD359" s="36"/>
      <c r="BE359" s="36"/>
      <c r="BF359" s="36"/>
      <c r="BG359" s="36"/>
      <c r="BH359" s="36"/>
      <c r="BI359" s="36"/>
      <c r="BJ359" s="36"/>
      <c r="BK359" s="36"/>
      <c r="BL359" s="36"/>
      <c r="BM359" s="36"/>
      <c r="BN359" s="36"/>
      <c r="BO359" s="36"/>
      <c r="BP359" s="37"/>
      <c r="BQ359" s="44"/>
      <c r="BR359" s="36"/>
      <c r="BS359" s="36"/>
      <c r="BT359" s="36"/>
      <c r="BU359" s="36"/>
      <c r="BV359" s="36"/>
      <c r="BW359" s="36"/>
      <c r="BX359" s="36"/>
      <c r="BY359" s="36"/>
      <c r="BZ359" s="36"/>
      <c r="CA359" s="36"/>
      <c r="CB359" s="36"/>
      <c r="CC359" s="36"/>
      <c r="CD359" s="36"/>
      <c r="CE359" s="36"/>
      <c r="CF359" s="36"/>
      <c r="CG359" s="37"/>
      <c r="CH359" s="44"/>
      <c r="CI359" s="36"/>
      <c r="CJ359" s="36"/>
      <c r="CK359" s="36"/>
      <c r="CL359" s="36"/>
      <c r="CM359" s="36"/>
      <c r="CN359" s="36"/>
      <c r="CO359" s="36"/>
      <c r="CP359" s="36"/>
      <c r="CQ359" s="36"/>
      <c r="CR359" s="36"/>
      <c r="CS359" s="36"/>
      <c r="CT359" s="36"/>
      <c r="CU359" s="36"/>
      <c r="CV359" s="36"/>
      <c r="CW359" s="36"/>
      <c r="CX359" s="37"/>
      <c r="CY359" s="44"/>
      <c r="CZ359" s="36"/>
      <c r="DA359" s="36"/>
      <c r="DB359" s="36"/>
      <c r="DC359" s="36"/>
      <c r="DD359" s="36"/>
      <c r="DE359" s="36"/>
      <c r="DF359" s="36"/>
      <c r="DG359" s="36"/>
      <c r="DH359" s="36"/>
      <c r="DI359" s="36"/>
      <c r="DJ359" s="36"/>
      <c r="DK359" s="36"/>
      <c r="DL359" s="36"/>
      <c r="DM359" s="36"/>
      <c r="DN359" s="36"/>
      <c r="DO359" s="37"/>
      <c r="DP359" s="44"/>
      <c r="DQ359" s="36"/>
      <c r="DR359" s="36"/>
      <c r="DS359" s="36"/>
      <c r="DT359" s="36"/>
      <c r="DU359" s="36"/>
      <c r="DV359" s="36"/>
      <c r="DW359" s="36"/>
      <c r="DX359" s="36"/>
      <c r="DY359" s="36"/>
      <c r="DZ359" s="36"/>
      <c r="EA359" s="36"/>
      <c r="EB359" s="36"/>
      <c r="EC359" s="36"/>
      <c r="ED359" s="36"/>
      <c r="EE359" s="36"/>
      <c r="EF359" s="37"/>
      <c r="EG359" s="44"/>
      <c r="EH359" s="36"/>
      <c r="EI359" s="36"/>
      <c r="EJ359" s="36"/>
      <c r="EK359" s="36"/>
      <c r="EL359" s="36"/>
      <c r="EM359" s="36"/>
      <c r="EN359" s="36"/>
      <c r="EO359" s="36"/>
      <c r="EP359" s="36"/>
      <c r="EQ359" s="36"/>
      <c r="ER359" s="36"/>
      <c r="ES359" s="36"/>
      <c r="ET359" s="36"/>
      <c r="EU359" s="36"/>
      <c r="EV359" s="36"/>
      <c r="EW359" s="37"/>
      <c r="EX359" s="44"/>
      <c r="EY359" s="36"/>
      <c r="EZ359" s="36"/>
      <c r="FA359" s="36"/>
      <c r="FB359" s="36"/>
      <c r="FC359" s="36"/>
      <c r="FD359" s="36"/>
      <c r="FE359" s="36"/>
      <c r="FF359" s="36"/>
      <c r="FG359" s="36"/>
      <c r="FH359" s="36"/>
      <c r="FI359" s="36"/>
      <c r="FJ359" s="36"/>
      <c r="FK359" s="36"/>
      <c r="FL359" s="36"/>
      <c r="FM359" s="36"/>
      <c r="FN359" s="37"/>
      <c r="FO359" s="44"/>
      <c r="FP359" s="36"/>
      <c r="FQ359" s="36"/>
      <c r="FR359" s="36"/>
      <c r="FS359" s="36"/>
      <c r="FT359" s="36"/>
      <c r="FU359" s="36"/>
      <c r="FV359" s="36"/>
      <c r="FW359" s="36"/>
      <c r="FX359" s="36"/>
      <c r="FY359" s="36"/>
      <c r="FZ359" s="36"/>
      <c r="GA359" s="36"/>
      <c r="GB359" s="36"/>
      <c r="GC359" s="36"/>
      <c r="GD359" s="36"/>
      <c r="GE359" s="37"/>
      <c r="GF359" s="44"/>
      <c r="GG359" s="36"/>
      <c r="GH359" s="36"/>
      <c r="GI359" s="36"/>
      <c r="GJ359" s="36"/>
      <c r="GK359" s="36"/>
      <c r="GL359" s="36"/>
      <c r="GM359" s="36"/>
      <c r="GN359" s="36"/>
      <c r="GO359" s="36"/>
      <c r="GP359" s="36"/>
      <c r="GQ359" s="36"/>
      <c r="GR359" s="36"/>
      <c r="GS359" s="36"/>
      <c r="GT359" s="36"/>
      <c r="GU359" s="36"/>
      <c r="GV359" s="37"/>
      <c r="GW359" s="44"/>
      <c r="GX359" s="36"/>
      <c r="GY359" s="36"/>
      <c r="GZ359" s="36"/>
      <c r="HA359" s="36"/>
      <c r="HB359" s="36"/>
      <c r="HC359" s="36"/>
      <c r="HD359" s="36"/>
      <c r="HE359" s="36"/>
      <c r="HF359" s="36"/>
      <c r="HG359" s="36"/>
      <c r="HH359" s="36"/>
      <c r="HI359" s="36"/>
      <c r="HJ359" s="36"/>
      <c r="HK359" s="36"/>
      <c r="HL359" s="36"/>
      <c r="HM359" s="37"/>
      <c r="HN359" s="44"/>
      <c r="HO359" s="36"/>
      <c r="HP359" s="36"/>
      <c r="HQ359" s="36"/>
      <c r="HR359" s="36"/>
      <c r="HS359" s="36"/>
      <c r="HT359" s="36"/>
      <c r="HU359" s="36"/>
      <c r="HV359" s="36"/>
      <c r="HW359" s="36"/>
      <c r="HX359" s="36"/>
      <c r="HY359" s="36"/>
      <c r="HZ359" s="36"/>
      <c r="IA359" s="36"/>
      <c r="IB359" s="36"/>
      <c r="IC359" s="36"/>
      <c r="ID359" s="37"/>
      <c r="IE359" s="44"/>
      <c r="IF359" s="36"/>
      <c r="IG359" s="36"/>
      <c r="IH359" s="36"/>
      <c r="II359" s="36"/>
      <c r="IJ359" s="36"/>
      <c r="IK359" s="36"/>
      <c r="IL359" s="36"/>
      <c r="IM359" s="36"/>
      <c r="IN359" s="36"/>
      <c r="IO359" s="36"/>
      <c r="IP359" s="36"/>
      <c r="IQ359" s="36"/>
      <c r="IR359" s="36"/>
      <c r="IS359" s="36"/>
      <c r="IT359" s="36"/>
      <c r="IU359" s="37"/>
      <c r="IV359" s="44"/>
      <c r="IW359" s="36"/>
      <c r="IX359" s="36"/>
      <c r="IY359" s="36"/>
      <c r="IZ359" s="36"/>
      <c r="JA359" s="36"/>
      <c r="JB359" s="36"/>
      <c r="JC359" s="36"/>
      <c r="JD359" s="36"/>
      <c r="JE359" s="36"/>
      <c r="JF359" s="36"/>
      <c r="JG359" s="36"/>
      <c r="JH359" s="36"/>
      <c r="JI359" s="36"/>
      <c r="JJ359" s="36"/>
      <c r="JK359" s="36"/>
      <c r="JL359" s="37"/>
      <c r="JM359" s="44"/>
      <c r="JN359" s="36"/>
      <c r="JO359" s="36"/>
      <c r="JP359" s="36"/>
      <c r="JQ359" s="36"/>
      <c r="JR359" s="36"/>
      <c r="JS359" s="36"/>
      <c r="JT359" s="36"/>
      <c r="JU359" s="36"/>
      <c r="JV359" s="36"/>
      <c r="JW359" s="36"/>
      <c r="JX359" s="36"/>
      <c r="JY359" s="36"/>
      <c r="JZ359" s="36"/>
      <c r="KA359" s="36"/>
      <c r="KB359" s="36"/>
      <c r="KC359" s="37"/>
      <c r="KD359" s="44"/>
      <c r="KE359" s="36"/>
      <c r="KF359" s="36"/>
      <c r="KG359" s="36"/>
      <c r="KH359" s="36"/>
      <c r="KI359" s="36"/>
      <c r="KJ359" s="36"/>
      <c r="KK359" s="36"/>
      <c r="KL359" s="36"/>
      <c r="KM359" s="36"/>
      <c r="KN359" s="36"/>
      <c r="KO359" s="36"/>
      <c r="KP359" s="36"/>
      <c r="KQ359" s="36"/>
      <c r="KR359" s="36"/>
      <c r="KS359" s="36"/>
      <c r="KT359" s="37"/>
      <c r="KU359" s="36"/>
    </row>
    <row r="360" ht="15.0" customHeight="1">
      <c r="A360" s="44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7"/>
      <c r="R360" s="44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7"/>
      <c r="AI360" s="44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36"/>
      <c r="AU360" s="36"/>
      <c r="AV360" s="36"/>
      <c r="AW360" s="36"/>
      <c r="AX360" s="36"/>
      <c r="AY360" s="37"/>
      <c r="AZ360" s="44"/>
      <c r="BA360" s="36"/>
      <c r="BB360" s="36"/>
      <c r="BC360" s="36"/>
      <c r="BD360" s="36"/>
      <c r="BE360" s="36"/>
      <c r="BF360" s="36"/>
      <c r="BG360" s="36"/>
      <c r="BH360" s="36"/>
      <c r="BI360" s="36"/>
      <c r="BJ360" s="36"/>
      <c r="BK360" s="36"/>
      <c r="BL360" s="36"/>
      <c r="BM360" s="36"/>
      <c r="BN360" s="36"/>
      <c r="BO360" s="36"/>
      <c r="BP360" s="37"/>
      <c r="BQ360" s="44"/>
      <c r="BR360" s="36"/>
      <c r="BS360" s="36"/>
      <c r="BT360" s="36"/>
      <c r="BU360" s="36"/>
      <c r="BV360" s="36"/>
      <c r="BW360" s="36"/>
      <c r="BX360" s="36"/>
      <c r="BY360" s="36"/>
      <c r="BZ360" s="36"/>
      <c r="CA360" s="36"/>
      <c r="CB360" s="36"/>
      <c r="CC360" s="36"/>
      <c r="CD360" s="36"/>
      <c r="CE360" s="36"/>
      <c r="CF360" s="36"/>
      <c r="CG360" s="37"/>
      <c r="CH360" s="44"/>
      <c r="CI360" s="36"/>
      <c r="CJ360" s="36"/>
      <c r="CK360" s="36"/>
      <c r="CL360" s="36"/>
      <c r="CM360" s="36"/>
      <c r="CN360" s="36"/>
      <c r="CO360" s="36"/>
      <c r="CP360" s="36"/>
      <c r="CQ360" s="36"/>
      <c r="CR360" s="36"/>
      <c r="CS360" s="36"/>
      <c r="CT360" s="36"/>
      <c r="CU360" s="36"/>
      <c r="CV360" s="36"/>
      <c r="CW360" s="36"/>
      <c r="CX360" s="37"/>
      <c r="CY360" s="44"/>
      <c r="CZ360" s="36"/>
      <c r="DA360" s="36"/>
      <c r="DB360" s="36"/>
      <c r="DC360" s="36"/>
      <c r="DD360" s="36"/>
      <c r="DE360" s="36"/>
      <c r="DF360" s="36"/>
      <c r="DG360" s="36"/>
      <c r="DH360" s="36"/>
      <c r="DI360" s="36"/>
      <c r="DJ360" s="36"/>
      <c r="DK360" s="36"/>
      <c r="DL360" s="36"/>
      <c r="DM360" s="36"/>
      <c r="DN360" s="36"/>
      <c r="DO360" s="37"/>
      <c r="DP360" s="44"/>
      <c r="DQ360" s="36"/>
      <c r="DR360" s="36"/>
      <c r="DS360" s="36"/>
      <c r="DT360" s="36"/>
      <c r="DU360" s="36"/>
      <c r="DV360" s="36"/>
      <c r="DW360" s="36"/>
      <c r="DX360" s="36"/>
      <c r="DY360" s="36"/>
      <c r="DZ360" s="36"/>
      <c r="EA360" s="36"/>
      <c r="EB360" s="36"/>
      <c r="EC360" s="36"/>
      <c r="ED360" s="36"/>
      <c r="EE360" s="36"/>
      <c r="EF360" s="37"/>
      <c r="EG360" s="44"/>
      <c r="EH360" s="36"/>
      <c r="EI360" s="36"/>
      <c r="EJ360" s="36"/>
      <c r="EK360" s="36"/>
      <c r="EL360" s="36"/>
      <c r="EM360" s="36"/>
      <c r="EN360" s="36"/>
      <c r="EO360" s="36"/>
      <c r="EP360" s="36"/>
      <c r="EQ360" s="36"/>
      <c r="ER360" s="36"/>
      <c r="ES360" s="36"/>
      <c r="ET360" s="36"/>
      <c r="EU360" s="36"/>
      <c r="EV360" s="36"/>
      <c r="EW360" s="37"/>
      <c r="EX360" s="44"/>
      <c r="EY360" s="36"/>
      <c r="EZ360" s="36"/>
      <c r="FA360" s="36"/>
      <c r="FB360" s="36"/>
      <c r="FC360" s="36"/>
      <c r="FD360" s="36"/>
      <c r="FE360" s="36"/>
      <c r="FF360" s="36"/>
      <c r="FG360" s="36"/>
      <c r="FH360" s="36"/>
      <c r="FI360" s="36"/>
      <c r="FJ360" s="36"/>
      <c r="FK360" s="36"/>
      <c r="FL360" s="36"/>
      <c r="FM360" s="36"/>
      <c r="FN360" s="37"/>
      <c r="FO360" s="44"/>
      <c r="FP360" s="36"/>
      <c r="FQ360" s="36"/>
      <c r="FR360" s="36"/>
      <c r="FS360" s="36"/>
      <c r="FT360" s="36"/>
      <c r="FU360" s="36"/>
      <c r="FV360" s="36"/>
      <c r="FW360" s="36"/>
      <c r="FX360" s="36"/>
      <c r="FY360" s="36"/>
      <c r="FZ360" s="36"/>
      <c r="GA360" s="36"/>
      <c r="GB360" s="36"/>
      <c r="GC360" s="36"/>
      <c r="GD360" s="36"/>
      <c r="GE360" s="37"/>
      <c r="GF360" s="44"/>
      <c r="GG360" s="36"/>
      <c r="GH360" s="36"/>
      <c r="GI360" s="36"/>
      <c r="GJ360" s="36"/>
      <c r="GK360" s="36"/>
      <c r="GL360" s="36"/>
      <c r="GM360" s="36"/>
      <c r="GN360" s="36"/>
      <c r="GO360" s="36"/>
      <c r="GP360" s="36"/>
      <c r="GQ360" s="36"/>
      <c r="GR360" s="36"/>
      <c r="GS360" s="36"/>
      <c r="GT360" s="36"/>
      <c r="GU360" s="36"/>
      <c r="GV360" s="37"/>
      <c r="GW360" s="44"/>
      <c r="GX360" s="36"/>
      <c r="GY360" s="36"/>
      <c r="GZ360" s="36"/>
      <c r="HA360" s="36"/>
      <c r="HB360" s="36"/>
      <c r="HC360" s="36"/>
      <c r="HD360" s="36"/>
      <c r="HE360" s="36"/>
      <c r="HF360" s="36"/>
      <c r="HG360" s="36"/>
      <c r="HH360" s="36"/>
      <c r="HI360" s="36"/>
      <c r="HJ360" s="36"/>
      <c r="HK360" s="36"/>
      <c r="HL360" s="36"/>
      <c r="HM360" s="37"/>
      <c r="HN360" s="44"/>
      <c r="HO360" s="36"/>
      <c r="HP360" s="36"/>
      <c r="HQ360" s="36"/>
      <c r="HR360" s="36"/>
      <c r="HS360" s="36"/>
      <c r="HT360" s="36"/>
      <c r="HU360" s="36"/>
      <c r="HV360" s="36"/>
      <c r="HW360" s="36"/>
      <c r="HX360" s="36"/>
      <c r="HY360" s="36"/>
      <c r="HZ360" s="36"/>
      <c r="IA360" s="36"/>
      <c r="IB360" s="36"/>
      <c r="IC360" s="36"/>
      <c r="ID360" s="37"/>
      <c r="IE360" s="44"/>
      <c r="IF360" s="36"/>
      <c r="IG360" s="36"/>
      <c r="IH360" s="36"/>
      <c r="II360" s="36"/>
      <c r="IJ360" s="36"/>
      <c r="IK360" s="36"/>
      <c r="IL360" s="36"/>
      <c r="IM360" s="36"/>
      <c r="IN360" s="36"/>
      <c r="IO360" s="36"/>
      <c r="IP360" s="36"/>
      <c r="IQ360" s="36"/>
      <c r="IR360" s="36"/>
      <c r="IS360" s="36"/>
      <c r="IT360" s="36"/>
      <c r="IU360" s="37"/>
      <c r="IV360" s="44"/>
      <c r="IW360" s="36"/>
      <c r="IX360" s="36"/>
      <c r="IY360" s="36"/>
      <c r="IZ360" s="36"/>
      <c r="JA360" s="36"/>
      <c r="JB360" s="36"/>
      <c r="JC360" s="36"/>
      <c r="JD360" s="36"/>
      <c r="JE360" s="36"/>
      <c r="JF360" s="36"/>
      <c r="JG360" s="36"/>
      <c r="JH360" s="36"/>
      <c r="JI360" s="36"/>
      <c r="JJ360" s="36"/>
      <c r="JK360" s="36"/>
      <c r="JL360" s="37"/>
      <c r="JM360" s="44"/>
      <c r="JN360" s="36"/>
      <c r="JO360" s="36"/>
      <c r="JP360" s="36"/>
      <c r="JQ360" s="36"/>
      <c r="JR360" s="36"/>
      <c r="JS360" s="36"/>
      <c r="JT360" s="36"/>
      <c r="JU360" s="36"/>
      <c r="JV360" s="36"/>
      <c r="JW360" s="36"/>
      <c r="JX360" s="36"/>
      <c r="JY360" s="36"/>
      <c r="JZ360" s="36"/>
      <c r="KA360" s="36"/>
      <c r="KB360" s="36"/>
      <c r="KC360" s="37"/>
      <c r="KD360" s="44"/>
      <c r="KE360" s="36"/>
      <c r="KF360" s="36"/>
      <c r="KG360" s="36"/>
      <c r="KH360" s="36"/>
      <c r="KI360" s="36"/>
      <c r="KJ360" s="36"/>
      <c r="KK360" s="36"/>
      <c r="KL360" s="36"/>
      <c r="KM360" s="36"/>
      <c r="KN360" s="36"/>
      <c r="KO360" s="36"/>
      <c r="KP360" s="36"/>
      <c r="KQ360" s="36"/>
      <c r="KR360" s="36"/>
      <c r="KS360" s="36"/>
      <c r="KT360" s="37"/>
      <c r="KU360" s="36"/>
    </row>
    <row r="361" ht="15.0" customHeight="1">
      <c r="A361" s="44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7"/>
      <c r="R361" s="44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7"/>
      <c r="AI361" s="44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36"/>
      <c r="AU361" s="36"/>
      <c r="AV361" s="36"/>
      <c r="AW361" s="36"/>
      <c r="AX361" s="36"/>
      <c r="AY361" s="37"/>
      <c r="AZ361" s="44"/>
      <c r="BA361" s="36"/>
      <c r="BB361" s="36"/>
      <c r="BC361" s="36"/>
      <c r="BD361" s="36"/>
      <c r="BE361" s="36"/>
      <c r="BF361" s="36"/>
      <c r="BG361" s="36"/>
      <c r="BH361" s="36"/>
      <c r="BI361" s="36"/>
      <c r="BJ361" s="36"/>
      <c r="BK361" s="36"/>
      <c r="BL361" s="36"/>
      <c r="BM361" s="36"/>
      <c r="BN361" s="36"/>
      <c r="BO361" s="36"/>
      <c r="BP361" s="37"/>
      <c r="BQ361" s="44"/>
      <c r="BR361" s="36"/>
      <c r="BS361" s="36"/>
      <c r="BT361" s="36"/>
      <c r="BU361" s="36"/>
      <c r="BV361" s="36"/>
      <c r="BW361" s="36"/>
      <c r="BX361" s="36"/>
      <c r="BY361" s="36"/>
      <c r="BZ361" s="36"/>
      <c r="CA361" s="36"/>
      <c r="CB361" s="36"/>
      <c r="CC361" s="36"/>
      <c r="CD361" s="36"/>
      <c r="CE361" s="36"/>
      <c r="CF361" s="36"/>
      <c r="CG361" s="37"/>
      <c r="CH361" s="44"/>
      <c r="CI361" s="36"/>
      <c r="CJ361" s="36"/>
      <c r="CK361" s="36"/>
      <c r="CL361" s="36"/>
      <c r="CM361" s="36"/>
      <c r="CN361" s="36"/>
      <c r="CO361" s="36"/>
      <c r="CP361" s="36"/>
      <c r="CQ361" s="36"/>
      <c r="CR361" s="36"/>
      <c r="CS361" s="36"/>
      <c r="CT361" s="36"/>
      <c r="CU361" s="36"/>
      <c r="CV361" s="36"/>
      <c r="CW361" s="36"/>
      <c r="CX361" s="37"/>
      <c r="CY361" s="44"/>
      <c r="CZ361" s="36"/>
      <c r="DA361" s="36"/>
      <c r="DB361" s="36"/>
      <c r="DC361" s="36"/>
      <c r="DD361" s="36"/>
      <c r="DE361" s="36"/>
      <c r="DF361" s="36"/>
      <c r="DG361" s="36"/>
      <c r="DH361" s="36"/>
      <c r="DI361" s="36"/>
      <c r="DJ361" s="36"/>
      <c r="DK361" s="36"/>
      <c r="DL361" s="36"/>
      <c r="DM361" s="36"/>
      <c r="DN361" s="36"/>
      <c r="DO361" s="37"/>
      <c r="DP361" s="44"/>
      <c r="DQ361" s="36"/>
      <c r="DR361" s="36"/>
      <c r="DS361" s="36"/>
      <c r="DT361" s="36"/>
      <c r="DU361" s="36"/>
      <c r="DV361" s="36"/>
      <c r="DW361" s="36"/>
      <c r="DX361" s="36"/>
      <c r="DY361" s="36"/>
      <c r="DZ361" s="36"/>
      <c r="EA361" s="36"/>
      <c r="EB361" s="36"/>
      <c r="EC361" s="36"/>
      <c r="ED361" s="36"/>
      <c r="EE361" s="36"/>
      <c r="EF361" s="37"/>
      <c r="EG361" s="44"/>
      <c r="EH361" s="36"/>
      <c r="EI361" s="36"/>
      <c r="EJ361" s="36"/>
      <c r="EK361" s="36"/>
      <c r="EL361" s="36"/>
      <c r="EM361" s="36"/>
      <c r="EN361" s="36"/>
      <c r="EO361" s="36"/>
      <c r="EP361" s="36"/>
      <c r="EQ361" s="36"/>
      <c r="ER361" s="36"/>
      <c r="ES361" s="36"/>
      <c r="ET361" s="36"/>
      <c r="EU361" s="36"/>
      <c r="EV361" s="36"/>
      <c r="EW361" s="37"/>
      <c r="EX361" s="44"/>
      <c r="EY361" s="36"/>
      <c r="EZ361" s="36"/>
      <c r="FA361" s="36"/>
      <c r="FB361" s="36"/>
      <c r="FC361" s="36"/>
      <c r="FD361" s="36"/>
      <c r="FE361" s="36"/>
      <c r="FF361" s="36"/>
      <c r="FG361" s="36"/>
      <c r="FH361" s="36"/>
      <c r="FI361" s="36"/>
      <c r="FJ361" s="36"/>
      <c r="FK361" s="36"/>
      <c r="FL361" s="36"/>
      <c r="FM361" s="36"/>
      <c r="FN361" s="37"/>
      <c r="FO361" s="44"/>
      <c r="FP361" s="36"/>
      <c r="FQ361" s="36"/>
      <c r="FR361" s="36"/>
      <c r="FS361" s="36"/>
      <c r="FT361" s="36"/>
      <c r="FU361" s="36"/>
      <c r="FV361" s="36"/>
      <c r="FW361" s="36"/>
      <c r="FX361" s="36"/>
      <c r="FY361" s="36"/>
      <c r="FZ361" s="36"/>
      <c r="GA361" s="36"/>
      <c r="GB361" s="36"/>
      <c r="GC361" s="36"/>
      <c r="GD361" s="36"/>
      <c r="GE361" s="37"/>
      <c r="GF361" s="44"/>
      <c r="GG361" s="36"/>
      <c r="GH361" s="36"/>
      <c r="GI361" s="36"/>
      <c r="GJ361" s="36"/>
      <c r="GK361" s="36"/>
      <c r="GL361" s="36"/>
      <c r="GM361" s="36"/>
      <c r="GN361" s="36"/>
      <c r="GO361" s="36"/>
      <c r="GP361" s="36"/>
      <c r="GQ361" s="36"/>
      <c r="GR361" s="36"/>
      <c r="GS361" s="36"/>
      <c r="GT361" s="36"/>
      <c r="GU361" s="36"/>
      <c r="GV361" s="37"/>
      <c r="GW361" s="44"/>
      <c r="GX361" s="36"/>
      <c r="GY361" s="36"/>
      <c r="GZ361" s="36"/>
      <c r="HA361" s="36"/>
      <c r="HB361" s="36"/>
      <c r="HC361" s="36"/>
      <c r="HD361" s="36"/>
      <c r="HE361" s="36"/>
      <c r="HF361" s="36"/>
      <c r="HG361" s="36"/>
      <c r="HH361" s="36"/>
      <c r="HI361" s="36"/>
      <c r="HJ361" s="36"/>
      <c r="HK361" s="36"/>
      <c r="HL361" s="36"/>
      <c r="HM361" s="37"/>
      <c r="HN361" s="44"/>
      <c r="HO361" s="36"/>
      <c r="HP361" s="36"/>
      <c r="HQ361" s="36"/>
      <c r="HR361" s="36"/>
      <c r="HS361" s="36"/>
      <c r="HT361" s="36"/>
      <c r="HU361" s="36"/>
      <c r="HV361" s="36"/>
      <c r="HW361" s="36"/>
      <c r="HX361" s="36"/>
      <c r="HY361" s="36"/>
      <c r="HZ361" s="36"/>
      <c r="IA361" s="36"/>
      <c r="IB361" s="36"/>
      <c r="IC361" s="36"/>
      <c r="ID361" s="37"/>
      <c r="IE361" s="44"/>
      <c r="IF361" s="36"/>
      <c r="IG361" s="36"/>
      <c r="IH361" s="36"/>
      <c r="II361" s="36"/>
      <c r="IJ361" s="36"/>
      <c r="IK361" s="36"/>
      <c r="IL361" s="36"/>
      <c r="IM361" s="36"/>
      <c r="IN361" s="36"/>
      <c r="IO361" s="36"/>
      <c r="IP361" s="36"/>
      <c r="IQ361" s="36"/>
      <c r="IR361" s="36"/>
      <c r="IS361" s="36"/>
      <c r="IT361" s="36"/>
      <c r="IU361" s="37"/>
      <c r="IV361" s="44"/>
      <c r="IW361" s="36"/>
      <c r="IX361" s="36"/>
      <c r="IY361" s="36"/>
      <c r="IZ361" s="36"/>
      <c r="JA361" s="36"/>
      <c r="JB361" s="36"/>
      <c r="JC361" s="36"/>
      <c r="JD361" s="36"/>
      <c r="JE361" s="36"/>
      <c r="JF361" s="36"/>
      <c r="JG361" s="36"/>
      <c r="JH361" s="36"/>
      <c r="JI361" s="36"/>
      <c r="JJ361" s="36"/>
      <c r="JK361" s="36"/>
      <c r="JL361" s="37"/>
      <c r="JM361" s="44"/>
      <c r="JN361" s="36"/>
      <c r="JO361" s="36"/>
      <c r="JP361" s="36"/>
      <c r="JQ361" s="36"/>
      <c r="JR361" s="36"/>
      <c r="JS361" s="36"/>
      <c r="JT361" s="36"/>
      <c r="JU361" s="36"/>
      <c r="JV361" s="36"/>
      <c r="JW361" s="36"/>
      <c r="JX361" s="36"/>
      <c r="JY361" s="36"/>
      <c r="JZ361" s="36"/>
      <c r="KA361" s="36"/>
      <c r="KB361" s="36"/>
      <c r="KC361" s="37"/>
      <c r="KD361" s="44"/>
      <c r="KE361" s="36"/>
      <c r="KF361" s="36"/>
      <c r="KG361" s="36"/>
      <c r="KH361" s="36"/>
      <c r="KI361" s="36"/>
      <c r="KJ361" s="36"/>
      <c r="KK361" s="36"/>
      <c r="KL361" s="36"/>
      <c r="KM361" s="36"/>
      <c r="KN361" s="36"/>
      <c r="KO361" s="36"/>
      <c r="KP361" s="36"/>
      <c r="KQ361" s="36"/>
      <c r="KR361" s="36"/>
      <c r="KS361" s="36"/>
      <c r="KT361" s="37"/>
      <c r="KU361" s="36"/>
    </row>
    <row r="362" ht="15.0" customHeight="1">
      <c r="A362" s="44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7"/>
      <c r="R362" s="44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7"/>
      <c r="AI362" s="44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36"/>
      <c r="AU362" s="36"/>
      <c r="AV362" s="36"/>
      <c r="AW362" s="36"/>
      <c r="AX362" s="36"/>
      <c r="AY362" s="37"/>
      <c r="AZ362" s="44"/>
      <c r="BA362" s="36"/>
      <c r="BB362" s="36"/>
      <c r="BC362" s="36"/>
      <c r="BD362" s="36"/>
      <c r="BE362" s="36"/>
      <c r="BF362" s="36"/>
      <c r="BG362" s="36"/>
      <c r="BH362" s="36"/>
      <c r="BI362" s="36"/>
      <c r="BJ362" s="36"/>
      <c r="BK362" s="36"/>
      <c r="BL362" s="36"/>
      <c r="BM362" s="36"/>
      <c r="BN362" s="36"/>
      <c r="BO362" s="36"/>
      <c r="BP362" s="37"/>
      <c r="BQ362" s="44"/>
      <c r="BR362" s="36"/>
      <c r="BS362" s="36"/>
      <c r="BT362" s="36"/>
      <c r="BU362" s="36"/>
      <c r="BV362" s="36"/>
      <c r="BW362" s="36"/>
      <c r="BX362" s="36"/>
      <c r="BY362" s="36"/>
      <c r="BZ362" s="36"/>
      <c r="CA362" s="36"/>
      <c r="CB362" s="36"/>
      <c r="CC362" s="36"/>
      <c r="CD362" s="36"/>
      <c r="CE362" s="36"/>
      <c r="CF362" s="36"/>
      <c r="CG362" s="37"/>
      <c r="CH362" s="44"/>
      <c r="CI362" s="36"/>
      <c r="CJ362" s="36"/>
      <c r="CK362" s="36"/>
      <c r="CL362" s="36"/>
      <c r="CM362" s="36"/>
      <c r="CN362" s="36"/>
      <c r="CO362" s="36"/>
      <c r="CP362" s="36"/>
      <c r="CQ362" s="36"/>
      <c r="CR362" s="36"/>
      <c r="CS362" s="36"/>
      <c r="CT362" s="36"/>
      <c r="CU362" s="36"/>
      <c r="CV362" s="36"/>
      <c r="CW362" s="36"/>
      <c r="CX362" s="37"/>
      <c r="CY362" s="44"/>
      <c r="CZ362" s="36"/>
      <c r="DA362" s="36"/>
      <c r="DB362" s="36"/>
      <c r="DC362" s="36"/>
      <c r="DD362" s="36"/>
      <c r="DE362" s="36"/>
      <c r="DF362" s="36"/>
      <c r="DG362" s="36"/>
      <c r="DH362" s="36"/>
      <c r="DI362" s="36"/>
      <c r="DJ362" s="36"/>
      <c r="DK362" s="36"/>
      <c r="DL362" s="36"/>
      <c r="DM362" s="36"/>
      <c r="DN362" s="36"/>
      <c r="DO362" s="37"/>
      <c r="DP362" s="44"/>
      <c r="DQ362" s="36"/>
      <c r="DR362" s="36"/>
      <c r="DS362" s="36"/>
      <c r="DT362" s="36"/>
      <c r="DU362" s="36"/>
      <c r="DV362" s="36"/>
      <c r="DW362" s="36"/>
      <c r="DX362" s="36"/>
      <c r="DY362" s="36"/>
      <c r="DZ362" s="36"/>
      <c r="EA362" s="36"/>
      <c r="EB362" s="36"/>
      <c r="EC362" s="36"/>
      <c r="ED362" s="36"/>
      <c r="EE362" s="36"/>
      <c r="EF362" s="37"/>
      <c r="EG362" s="44"/>
      <c r="EH362" s="36"/>
      <c r="EI362" s="36"/>
      <c r="EJ362" s="36"/>
      <c r="EK362" s="36"/>
      <c r="EL362" s="36"/>
      <c r="EM362" s="36"/>
      <c r="EN362" s="36"/>
      <c r="EO362" s="36"/>
      <c r="EP362" s="36"/>
      <c r="EQ362" s="36"/>
      <c r="ER362" s="36"/>
      <c r="ES362" s="36"/>
      <c r="ET362" s="36"/>
      <c r="EU362" s="36"/>
      <c r="EV362" s="36"/>
      <c r="EW362" s="37"/>
      <c r="EX362" s="44"/>
      <c r="EY362" s="36"/>
      <c r="EZ362" s="36"/>
      <c r="FA362" s="36"/>
      <c r="FB362" s="36"/>
      <c r="FC362" s="36"/>
      <c r="FD362" s="36"/>
      <c r="FE362" s="36"/>
      <c r="FF362" s="36"/>
      <c r="FG362" s="36"/>
      <c r="FH362" s="36"/>
      <c r="FI362" s="36"/>
      <c r="FJ362" s="36"/>
      <c r="FK362" s="36"/>
      <c r="FL362" s="36"/>
      <c r="FM362" s="36"/>
      <c r="FN362" s="37"/>
      <c r="FO362" s="44"/>
      <c r="FP362" s="36"/>
      <c r="FQ362" s="36"/>
      <c r="FR362" s="36"/>
      <c r="FS362" s="36"/>
      <c r="FT362" s="36"/>
      <c r="FU362" s="36"/>
      <c r="FV362" s="36"/>
      <c r="FW362" s="36"/>
      <c r="FX362" s="36"/>
      <c r="FY362" s="36"/>
      <c r="FZ362" s="36"/>
      <c r="GA362" s="36"/>
      <c r="GB362" s="36"/>
      <c r="GC362" s="36"/>
      <c r="GD362" s="36"/>
      <c r="GE362" s="37"/>
      <c r="GF362" s="44"/>
      <c r="GG362" s="36"/>
      <c r="GH362" s="36"/>
      <c r="GI362" s="36"/>
      <c r="GJ362" s="36"/>
      <c r="GK362" s="36"/>
      <c r="GL362" s="36"/>
      <c r="GM362" s="36"/>
      <c r="GN362" s="36"/>
      <c r="GO362" s="36"/>
      <c r="GP362" s="36"/>
      <c r="GQ362" s="36"/>
      <c r="GR362" s="36"/>
      <c r="GS362" s="36"/>
      <c r="GT362" s="36"/>
      <c r="GU362" s="36"/>
      <c r="GV362" s="37"/>
      <c r="GW362" s="44"/>
      <c r="GX362" s="36"/>
      <c r="GY362" s="36"/>
      <c r="GZ362" s="36"/>
      <c r="HA362" s="36"/>
      <c r="HB362" s="36"/>
      <c r="HC362" s="36"/>
      <c r="HD362" s="36"/>
      <c r="HE362" s="36"/>
      <c r="HF362" s="36"/>
      <c r="HG362" s="36"/>
      <c r="HH362" s="36"/>
      <c r="HI362" s="36"/>
      <c r="HJ362" s="36"/>
      <c r="HK362" s="36"/>
      <c r="HL362" s="36"/>
      <c r="HM362" s="37"/>
      <c r="HN362" s="44"/>
      <c r="HO362" s="36"/>
      <c r="HP362" s="36"/>
      <c r="HQ362" s="36"/>
      <c r="HR362" s="36"/>
      <c r="HS362" s="36"/>
      <c r="HT362" s="36"/>
      <c r="HU362" s="36"/>
      <c r="HV362" s="36"/>
      <c r="HW362" s="36"/>
      <c r="HX362" s="36"/>
      <c r="HY362" s="36"/>
      <c r="HZ362" s="36"/>
      <c r="IA362" s="36"/>
      <c r="IB362" s="36"/>
      <c r="IC362" s="36"/>
      <c r="ID362" s="37"/>
      <c r="IE362" s="44"/>
      <c r="IF362" s="36"/>
      <c r="IG362" s="36"/>
      <c r="IH362" s="36"/>
      <c r="II362" s="36"/>
      <c r="IJ362" s="36"/>
      <c r="IK362" s="36"/>
      <c r="IL362" s="36"/>
      <c r="IM362" s="36"/>
      <c r="IN362" s="36"/>
      <c r="IO362" s="36"/>
      <c r="IP362" s="36"/>
      <c r="IQ362" s="36"/>
      <c r="IR362" s="36"/>
      <c r="IS362" s="36"/>
      <c r="IT362" s="36"/>
      <c r="IU362" s="37"/>
      <c r="IV362" s="44"/>
      <c r="IW362" s="36"/>
      <c r="IX362" s="36"/>
      <c r="IY362" s="36"/>
      <c r="IZ362" s="36"/>
      <c r="JA362" s="36"/>
      <c r="JB362" s="36"/>
      <c r="JC362" s="36"/>
      <c r="JD362" s="36"/>
      <c r="JE362" s="36"/>
      <c r="JF362" s="36"/>
      <c r="JG362" s="36"/>
      <c r="JH362" s="36"/>
      <c r="JI362" s="36"/>
      <c r="JJ362" s="36"/>
      <c r="JK362" s="36"/>
      <c r="JL362" s="37"/>
      <c r="JM362" s="44"/>
      <c r="JN362" s="36"/>
      <c r="JO362" s="36"/>
      <c r="JP362" s="36"/>
      <c r="JQ362" s="36"/>
      <c r="JR362" s="36"/>
      <c r="JS362" s="36"/>
      <c r="JT362" s="36"/>
      <c r="JU362" s="36"/>
      <c r="JV362" s="36"/>
      <c r="JW362" s="36"/>
      <c r="JX362" s="36"/>
      <c r="JY362" s="36"/>
      <c r="JZ362" s="36"/>
      <c r="KA362" s="36"/>
      <c r="KB362" s="36"/>
      <c r="KC362" s="37"/>
      <c r="KD362" s="44"/>
      <c r="KE362" s="36"/>
      <c r="KF362" s="36"/>
      <c r="KG362" s="36"/>
      <c r="KH362" s="36"/>
      <c r="KI362" s="36"/>
      <c r="KJ362" s="36"/>
      <c r="KK362" s="36"/>
      <c r="KL362" s="36"/>
      <c r="KM362" s="36"/>
      <c r="KN362" s="36"/>
      <c r="KO362" s="36"/>
      <c r="KP362" s="36"/>
      <c r="KQ362" s="36"/>
      <c r="KR362" s="36"/>
      <c r="KS362" s="36"/>
      <c r="KT362" s="37"/>
      <c r="KU362" s="36"/>
    </row>
    <row r="363" ht="15.0" customHeight="1">
      <c r="A363" s="44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7"/>
      <c r="R363" s="44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7"/>
      <c r="AI363" s="44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  <c r="AU363" s="36"/>
      <c r="AV363" s="36"/>
      <c r="AW363" s="36"/>
      <c r="AX363" s="36"/>
      <c r="AY363" s="37"/>
      <c r="AZ363" s="44"/>
      <c r="BA363" s="36"/>
      <c r="BB363" s="36"/>
      <c r="BC363" s="36"/>
      <c r="BD363" s="36"/>
      <c r="BE363" s="36"/>
      <c r="BF363" s="36"/>
      <c r="BG363" s="36"/>
      <c r="BH363" s="36"/>
      <c r="BI363" s="36"/>
      <c r="BJ363" s="36"/>
      <c r="BK363" s="36"/>
      <c r="BL363" s="36"/>
      <c r="BM363" s="36"/>
      <c r="BN363" s="36"/>
      <c r="BO363" s="36"/>
      <c r="BP363" s="37"/>
      <c r="BQ363" s="44"/>
      <c r="BR363" s="36"/>
      <c r="BS363" s="36"/>
      <c r="BT363" s="36"/>
      <c r="BU363" s="36"/>
      <c r="BV363" s="36"/>
      <c r="BW363" s="36"/>
      <c r="BX363" s="36"/>
      <c r="BY363" s="36"/>
      <c r="BZ363" s="36"/>
      <c r="CA363" s="36"/>
      <c r="CB363" s="36"/>
      <c r="CC363" s="36"/>
      <c r="CD363" s="36"/>
      <c r="CE363" s="36"/>
      <c r="CF363" s="36"/>
      <c r="CG363" s="37"/>
      <c r="CH363" s="44"/>
      <c r="CI363" s="36"/>
      <c r="CJ363" s="36"/>
      <c r="CK363" s="36"/>
      <c r="CL363" s="36"/>
      <c r="CM363" s="36"/>
      <c r="CN363" s="36"/>
      <c r="CO363" s="36"/>
      <c r="CP363" s="36"/>
      <c r="CQ363" s="36"/>
      <c r="CR363" s="36"/>
      <c r="CS363" s="36"/>
      <c r="CT363" s="36"/>
      <c r="CU363" s="36"/>
      <c r="CV363" s="36"/>
      <c r="CW363" s="36"/>
      <c r="CX363" s="37"/>
      <c r="CY363" s="44"/>
      <c r="CZ363" s="36"/>
      <c r="DA363" s="36"/>
      <c r="DB363" s="36"/>
      <c r="DC363" s="36"/>
      <c r="DD363" s="36"/>
      <c r="DE363" s="36"/>
      <c r="DF363" s="36"/>
      <c r="DG363" s="36"/>
      <c r="DH363" s="36"/>
      <c r="DI363" s="36"/>
      <c r="DJ363" s="36"/>
      <c r="DK363" s="36"/>
      <c r="DL363" s="36"/>
      <c r="DM363" s="36"/>
      <c r="DN363" s="36"/>
      <c r="DO363" s="37"/>
      <c r="DP363" s="44"/>
      <c r="DQ363" s="36"/>
      <c r="DR363" s="36"/>
      <c r="DS363" s="36"/>
      <c r="DT363" s="36"/>
      <c r="DU363" s="36"/>
      <c r="DV363" s="36"/>
      <c r="DW363" s="36"/>
      <c r="DX363" s="36"/>
      <c r="DY363" s="36"/>
      <c r="DZ363" s="36"/>
      <c r="EA363" s="36"/>
      <c r="EB363" s="36"/>
      <c r="EC363" s="36"/>
      <c r="ED363" s="36"/>
      <c r="EE363" s="36"/>
      <c r="EF363" s="37"/>
      <c r="EG363" s="44"/>
      <c r="EH363" s="36"/>
      <c r="EI363" s="36"/>
      <c r="EJ363" s="36"/>
      <c r="EK363" s="36"/>
      <c r="EL363" s="36"/>
      <c r="EM363" s="36"/>
      <c r="EN363" s="36"/>
      <c r="EO363" s="36"/>
      <c r="EP363" s="36"/>
      <c r="EQ363" s="36"/>
      <c r="ER363" s="36"/>
      <c r="ES363" s="36"/>
      <c r="ET363" s="36"/>
      <c r="EU363" s="36"/>
      <c r="EV363" s="36"/>
      <c r="EW363" s="37"/>
      <c r="EX363" s="44"/>
      <c r="EY363" s="36"/>
      <c r="EZ363" s="36"/>
      <c r="FA363" s="36"/>
      <c r="FB363" s="36"/>
      <c r="FC363" s="36"/>
      <c r="FD363" s="36"/>
      <c r="FE363" s="36"/>
      <c r="FF363" s="36"/>
      <c r="FG363" s="36"/>
      <c r="FH363" s="36"/>
      <c r="FI363" s="36"/>
      <c r="FJ363" s="36"/>
      <c r="FK363" s="36"/>
      <c r="FL363" s="36"/>
      <c r="FM363" s="36"/>
      <c r="FN363" s="37"/>
      <c r="FO363" s="44"/>
      <c r="FP363" s="36"/>
      <c r="FQ363" s="36"/>
      <c r="FR363" s="36"/>
      <c r="FS363" s="36"/>
      <c r="FT363" s="36"/>
      <c r="FU363" s="36"/>
      <c r="FV363" s="36"/>
      <c r="FW363" s="36"/>
      <c r="FX363" s="36"/>
      <c r="FY363" s="36"/>
      <c r="FZ363" s="36"/>
      <c r="GA363" s="36"/>
      <c r="GB363" s="36"/>
      <c r="GC363" s="36"/>
      <c r="GD363" s="36"/>
      <c r="GE363" s="37"/>
      <c r="GF363" s="44"/>
      <c r="GG363" s="36"/>
      <c r="GH363" s="36"/>
      <c r="GI363" s="36"/>
      <c r="GJ363" s="36"/>
      <c r="GK363" s="36"/>
      <c r="GL363" s="36"/>
      <c r="GM363" s="36"/>
      <c r="GN363" s="36"/>
      <c r="GO363" s="36"/>
      <c r="GP363" s="36"/>
      <c r="GQ363" s="36"/>
      <c r="GR363" s="36"/>
      <c r="GS363" s="36"/>
      <c r="GT363" s="36"/>
      <c r="GU363" s="36"/>
      <c r="GV363" s="37"/>
      <c r="GW363" s="44"/>
      <c r="GX363" s="36"/>
      <c r="GY363" s="36"/>
      <c r="GZ363" s="36"/>
      <c r="HA363" s="36"/>
      <c r="HB363" s="36"/>
      <c r="HC363" s="36"/>
      <c r="HD363" s="36"/>
      <c r="HE363" s="36"/>
      <c r="HF363" s="36"/>
      <c r="HG363" s="36"/>
      <c r="HH363" s="36"/>
      <c r="HI363" s="36"/>
      <c r="HJ363" s="36"/>
      <c r="HK363" s="36"/>
      <c r="HL363" s="36"/>
      <c r="HM363" s="37"/>
      <c r="HN363" s="44"/>
      <c r="HO363" s="36"/>
      <c r="HP363" s="36"/>
      <c r="HQ363" s="36"/>
      <c r="HR363" s="36"/>
      <c r="HS363" s="36"/>
      <c r="HT363" s="36"/>
      <c r="HU363" s="36"/>
      <c r="HV363" s="36"/>
      <c r="HW363" s="36"/>
      <c r="HX363" s="36"/>
      <c r="HY363" s="36"/>
      <c r="HZ363" s="36"/>
      <c r="IA363" s="36"/>
      <c r="IB363" s="36"/>
      <c r="IC363" s="36"/>
      <c r="ID363" s="37"/>
      <c r="IE363" s="44"/>
      <c r="IF363" s="36"/>
      <c r="IG363" s="36"/>
      <c r="IH363" s="36"/>
      <c r="II363" s="36"/>
      <c r="IJ363" s="36"/>
      <c r="IK363" s="36"/>
      <c r="IL363" s="36"/>
      <c r="IM363" s="36"/>
      <c r="IN363" s="36"/>
      <c r="IO363" s="36"/>
      <c r="IP363" s="36"/>
      <c r="IQ363" s="36"/>
      <c r="IR363" s="36"/>
      <c r="IS363" s="36"/>
      <c r="IT363" s="36"/>
      <c r="IU363" s="37"/>
      <c r="IV363" s="44"/>
      <c r="IW363" s="36"/>
      <c r="IX363" s="36"/>
      <c r="IY363" s="36"/>
      <c r="IZ363" s="36"/>
      <c r="JA363" s="36"/>
      <c r="JB363" s="36"/>
      <c r="JC363" s="36"/>
      <c r="JD363" s="36"/>
      <c r="JE363" s="36"/>
      <c r="JF363" s="36"/>
      <c r="JG363" s="36"/>
      <c r="JH363" s="36"/>
      <c r="JI363" s="36"/>
      <c r="JJ363" s="36"/>
      <c r="JK363" s="36"/>
      <c r="JL363" s="37"/>
      <c r="JM363" s="44"/>
      <c r="JN363" s="36"/>
      <c r="JO363" s="36"/>
      <c r="JP363" s="36"/>
      <c r="JQ363" s="36"/>
      <c r="JR363" s="36"/>
      <c r="JS363" s="36"/>
      <c r="JT363" s="36"/>
      <c r="JU363" s="36"/>
      <c r="JV363" s="36"/>
      <c r="JW363" s="36"/>
      <c r="JX363" s="36"/>
      <c r="JY363" s="36"/>
      <c r="JZ363" s="36"/>
      <c r="KA363" s="36"/>
      <c r="KB363" s="36"/>
      <c r="KC363" s="37"/>
      <c r="KD363" s="44"/>
      <c r="KE363" s="36"/>
      <c r="KF363" s="36"/>
      <c r="KG363" s="36"/>
      <c r="KH363" s="36"/>
      <c r="KI363" s="36"/>
      <c r="KJ363" s="36"/>
      <c r="KK363" s="36"/>
      <c r="KL363" s="36"/>
      <c r="KM363" s="36"/>
      <c r="KN363" s="36"/>
      <c r="KO363" s="36"/>
      <c r="KP363" s="36"/>
      <c r="KQ363" s="36"/>
      <c r="KR363" s="36"/>
      <c r="KS363" s="36"/>
      <c r="KT363" s="37"/>
      <c r="KU363" s="36"/>
    </row>
    <row r="364" ht="15.0" customHeight="1">
      <c r="A364" s="44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7"/>
      <c r="R364" s="44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7"/>
      <c r="AI364" s="44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  <c r="AU364" s="36"/>
      <c r="AV364" s="36"/>
      <c r="AW364" s="36"/>
      <c r="AX364" s="36"/>
      <c r="AY364" s="37"/>
      <c r="AZ364" s="44"/>
      <c r="BA364" s="36"/>
      <c r="BB364" s="36"/>
      <c r="BC364" s="36"/>
      <c r="BD364" s="36"/>
      <c r="BE364" s="36"/>
      <c r="BF364" s="36"/>
      <c r="BG364" s="36"/>
      <c r="BH364" s="36"/>
      <c r="BI364" s="36"/>
      <c r="BJ364" s="36"/>
      <c r="BK364" s="36"/>
      <c r="BL364" s="36"/>
      <c r="BM364" s="36"/>
      <c r="BN364" s="36"/>
      <c r="BO364" s="36"/>
      <c r="BP364" s="37"/>
      <c r="BQ364" s="44"/>
      <c r="BR364" s="36"/>
      <c r="BS364" s="36"/>
      <c r="BT364" s="36"/>
      <c r="BU364" s="36"/>
      <c r="BV364" s="36"/>
      <c r="BW364" s="36"/>
      <c r="BX364" s="36"/>
      <c r="BY364" s="36"/>
      <c r="BZ364" s="36"/>
      <c r="CA364" s="36"/>
      <c r="CB364" s="36"/>
      <c r="CC364" s="36"/>
      <c r="CD364" s="36"/>
      <c r="CE364" s="36"/>
      <c r="CF364" s="36"/>
      <c r="CG364" s="37"/>
      <c r="CH364" s="44"/>
      <c r="CI364" s="36"/>
      <c r="CJ364" s="36"/>
      <c r="CK364" s="36"/>
      <c r="CL364" s="36"/>
      <c r="CM364" s="36"/>
      <c r="CN364" s="36"/>
      <c r="CO364" s="36"/>
      <c r="CP364" s="36"/>
      <c r="CQ364" s="36"/>
      <c r="CR364" s="36"/>
      <c r="CS364" s="36"/>
      <c r="CT364" s="36"/>
      <c r="CU364" s="36"/>
      <c r="CV364" s="36"/>
      <c r="CW364" s="36"/>
      <c r="CX364" s="37"/>
      <c r="CY364" s="44"/>
      <c r="CZ364" s="36"/>
      <c r="DA364" s="36"/>
      <c r="DB364" s="36"/>
      <c r="DC364" s="36"/>
      <c r="DD364" s="36"/>
      <c r="DE364" s="36"/>
      <c r="DF364" s="36"/>
      <c r="DG364" s="36"/>
      <c r="DH364" s="36"/>
      <c r="DI364" s="36"/>
      <c r="DJ364" s="36"/>
      <c r="DK364" s="36"/>
      <c r="DL364" s="36"/>
      <c r="DM364" s="36"/>
      <c r="DN364" s="36"/>
      <c r="DO364" s="37"/>
      <c r="DP364" s="44"/>
      <c r="DQ364" s="36"/>
      <c r="DR364" s="36"/>
      <c r="DS364" s="36"/>
      <c r="DT364" s="36"/>
      <c r="DU364" s="36"/>
      <c r="DV364" s="36"/>
      <c r="DW364" s="36"/>
      <c r="DX364" s="36"/>
      <c r="DY364" s="36"/>
      <c r="DZ364" s="36"/>
      <c r="EA364" s="36"/>
      <c r="EB364" s="36"/>
      <c r="EC364" s="36"/>
      <c r="ED364" s="36"/>
      <c r="EE364" s="36"/>
      <c r="EF364" s="37"/>
      <c r="EG364" s="44"/>
      <c r="EH364" s="36"/>
      <c r="EI364" s="36"/>
      <c r="EJ364" s="36"/>
      <c r="EK364" s="36"/>
      <c r="EL364" s="36"/>
      <c r="EM364" s="36"/>
      <c r="EN364" s="36"/>
      <c r="EO364" s="36"/>
      <c r="EP364" s="36"/>
      <c r="EQ364" s="36"/>
      <c r="ER364" s="36"/>
      <c r="ES364" s="36"/>
      <c r="ET364" s="36"/>
      <c r="EU364" s="36"/>
      <c r="EV364" s="36"/>
      <c r="EW364" s="37"/>
      <c r="EX364" s="44"/>
      <c r="EY364" s="36"/>
      <c r="EZ364" s="36"/>
      <c r="FA364" s="36"/>
      <c r="FB364" s="36"/>
      <c r="FC364" s="36"/>
      <c r="FD364" s="36"/>
      <c r="FE364" s="36"/>
      <c r="FF364" s="36"/>
      <c r="FG364" s="36"/>
      <c r="FH364" s="36"/>
      <c r="FI364" s="36"/>
      <c r="FJ364" s="36"/>
      <c r="FK364" s="36"/>
      <c r="FL364" s="36"/>
      <c r="FM364" s="36"/>
      <c r="FN364" s="37"/>
      <c r="FO364" s="44"/>
      <c r="FP364" s="36"/>
      <c r="FQ364" s="36"/>
      <c r="FR364" s="36"/>
      <c r="FS364" s="36"/>
      <c r="FT364" s="36"/>
      <c r="FU364" s="36"/>
      <c r="FV364" s="36"/>
      <c r="FW364" s="36"/>
      <c r="FX364" s="36"/>
      <c r="FY364" s="36"/>
      <c r="FZ364" s="36"/>
      <c r="GA364" s="36"/>
      <c r="GB364" s="36"/>
      <c r="GC364" s="36"/>
      <c r="GD364" s="36"/>
      <c r="GE364" s="37"/>
      <c r="GF364" s="44"/>
      <c r="GG364" s="36"/>
      <c r="GH364" s="36"/>
      <c r="GI364" s="36"/>
      <c r="GJ364" s="36"/>
      <c r="GK364" s="36"/>
      <c r="GL364" s="36"/>
      <c r="GM364" s="36"/>
      <c r="GN364" s="36"/>
      <c r="GO364" s="36"/>
      <c r="GP364" s="36"/>
      <c r="GQ364" s="36"/>
      <c r="GR364" s="36"/>
      <c r="GS364" s="36"/>
      <c r="GT364" s="36"/>
      <c r="GU364" s="36"/>
      <c r="GV364" s="37"/>
      <c r="GW364" s="44"/>
      <c r="GX364" s="36"/>
      <c r="GY364" s="36"/>
      <c r="GZ364" s="36"/>
      <c r="HA364" s="36"/>
      <c r="HB364" s="36"/>
      <c r="HC364" s="36"/>
      <c r="HD364" s="36"/>
      <c r="HE364" s="36"/>
      <c r="HF364" s="36"/>
      <c r="HG364" s="36"/>
      <c r="HH364" s="36"/>
      <c r="HI364" s="36"/>
      <c r="HJ364" s="36"/>
      <c r="HK364" s="36"/>
      <c r="HL364" s="36"/>
      <c r="HM364" s="37"/>
      <c r="HN364" s="44"/>
      <c r="HO364" s="36"/>
      <c r="HP364" s="36"/>
      <c r="HQ364" s="36"/>
      <c r="HR364" s="36"/>
      <c r="HS364" s="36"/>
      <c r="HT364" s="36"/>
      <c r="HU364" s="36"/>
      <c r="HV364" s="36"/>
      <c r="HW364" s="36"/>
      <c r="HX364" s="36"/>
      <c r="HY364" s="36"/>
      <c r="HZ364" s="36"/>
      <c r="IA364" s="36"/>
      <c r="IB364" s="36"/>
      <c r="IC364" s="36"/>
      <c r="ID364" s="37"/>
      <c r="IE364" s="44"/>
      <c r="IF364" s="36"/>
      <c r="IG364" s="36"/>
      <c r="IH364" s="36"/>
      <c r="II364" s="36"/>
      <c r="IJ364" s="36"/>
      <c r="IK364" s="36"/>
      <c r="IL364" s="36"/>
      <c r="IM364" s="36"/>
      <c r="IN364" s="36"/>
      <c r="IO364" s="36"/>
      <c r="IP364" s="36"/>
      <c r="IQ364" s="36"/>
      <c r="IR364" s="36"/>
      <c r="IS364" s="36"/>
      <c r="IT364" s="36"/>
      <c r="IU364" s="37"/>
      <c r="IV364" s="44"/>
      <c r="IW364" s="36"/>
      <c r="IX364" s="36"/>
      <c r="IY364" s="36"/>
      <c r="IZ364" s="36"/>
      <c r="JA364" s="36"/>
      <c r="JB364" s="36"/>
      <c r="JC364" s="36"/>
      <c r="JD364" s="36"/>
      <c r="JE364" s="36"/>
      <c r="JF364" s="36"/>
      <c r="JG364" s="36"/>
      <c r="JH364" s="36"/>
      <c r="JI364" s="36"/>
      <c r="JJ364" s="36"/>
      <c r="JK364" s="36"/>
      <c r="JL364" s="37"/>
      <c r="JM364" s="44"/>
      <c r="JN364" s="36"/>
      <c r="JO364" s="36"/>
      <c r="JP364" s="36"/>
      <c r="JQ364" s="36"/>
      <c r="JR364" s="36"/>
      <c r="JS364" s="36"/>
      <c r="JT364" s="36"/>
      <c r="JU364" s="36"/>
      <c r="JV364" s="36"/>
      <c r="JW364" s="36"/>
      <c r="JX364" s="36"/>
      <c r="JY364" s="36"/>
      <c r="JZ364" s="36"/>
      <c r="KA364" s="36"/>
      <c r="KB364" s="36"/>
      <c r="KC364" s="37"/>
      <c r="KD364" s="44"/>
      <c r="KE364" s="36"/>
      <c r="KF364" s="36"/>
      <c r="KG364" s="36"/>
      <c r="KH364" s="36"/>
      <c r="KI364" s="36"/>
      <c r="KJ364" s="36"/>
      <c r="KK364" s="36"/>
      <c r="KL364" s="36"/>
      <c r="KM364" s="36"/>
      <c r="KN364" s="36"/>
      <c r="KO364" s="36"/>
      <c r="KP364" s="36"/>
      <c r="KQ364" s="36"/>
      <c r="KR364" s="36"/>
      <c r="KS364" s="36"/>
      <c r="KT364" s="37"/>
      <c r="KU364" s="36"/>
    </row>
    <row r="365" ht="15.0" customHeight="1">
      <c r="A365" s="44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7"/>
      <c r="R365" s="44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7"/>
      <c r="AI365" s="44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36"/>
      <c r="AU365" s="36"/>
      <c r="AV365" s="36"/>
      <c r="AW365" s="36"/>
      <c r="AX365" s="36"/>
      <c r="AY365" s="37"/>
      <c r="AZ365" s="44"/>
      <c r="BA365" s="36"/>
      <c r="BB365" s="36"/>
      <c r="BC365" s="36"/>
      <c r="BD365" s="36"/>
      <c r="BE365" s="36"/>
      <c r="BF365" s="36"/>
      <c r="BG365" s="36"/>
      <c r="BH365" s="36"/>
      <c r="BI365" s="36"/>
      <c r="BJ365" s="36"/>
      <c r="BK365" s="36"/>
      <c r="BL365" s="36"/>
      <c r="BM365" s="36"/>
      <c r="BN365" s="36"/>
      <c r="BO365" s="36"/>
      <c r="BP365" s="37"/>
      <c r="BQ365" s="44"/>
      <c r="BR365" s="36"/>
      <c r="BS365" s="36"/>
      <c r="BT365" s="36"/>
      <c r="BU365" s="36"/>
      <c r="BV365" s="36"/>
      <c r="BW365" s="36"/>
      <c r="BX365" s="36"/>
      <c r="BY365" s="36"/>
      <c r="BZ365" s="36"/>
      <c r="CA365" s="36"/>
      <c r="CB365" s="36"/>
      <c r="CC365" s="36"/>
      <c r="CD365" s="36"/>
      <c r="CE365" s="36"/>
      <c r="CF365" s="36"/>
      <c r="CG365" s="37"/>
      <c r="CH365" s="44"/>
      <c r="CI365" s="36"/>
      <c r="CJ365" s="36"/>
      <c r="CK365" s="36"/>
      <c r="CL365" s="36"/>
      <c r="CM365" s="36"/>
      <c r="CN365" s="36"/>
      <c r="CO365" s="36"/>
      <c r="CP365" s="36"/>
      <c r="CQ365" s="36"/>
      <c r="CR365" s="36"/>
      <c r="CS365" s="36"/>
      <c r="CT365" s="36"/>
      <c r="CU365" s="36"/>
      <c r="CV365" s="36"/>
      <c r="CW365" s="36"/>
      <c r="CX365" s="37"/>
      <c r="CY365" s="44"/>
      <c r="CZ365" s="36"/>
      <c r="DA365" s="36"/>
      <c r="DB365" s="36"/>
      <c r="DC365" s="36"/>
      <c r="DD365" s="36"/>
      <c r="DE365" s="36"/>
      <c r="DF365" s="36"/>
      <c r="DG365" s="36"/>
      <c r="DH365" s="36"/>
      <c r="DI365" s="36"/>
      <c r="DJ365" s="36"/>
      <c r="DK365" s="36"/>
      <c r="DL365" s="36"/>
      <c r="DM365" s="36"/>
      <c r="DN365" s="36"/>
      <c r="DO365" s="37"/>
      <c r="DP365" s="44"/>
      <c r="DQ365" s="36"/>
      <c r="DR365" s="36"/>
      <c r="DS365" s="36"/>
      <c r="DT365" s="36"/>
      <c r="DU365" s="36"/>
      <c r="DV365" s="36"/>
      <c r="DW365" s="36"/>
      <c r="DX365" s="36"/>
      <c r="DY365" s="36"/>
      <c r="DZ365" s="36"/>
      <c r="EA365" s="36"/>
      <c r="EB365" s="36"/>
      <c r="EC365" s="36"/>
      <c r="ED365" s="36"/>
      <c r="EE365" s="36"/>
      <c r="EF365" s="37"/>
      <c r="EG365" s="44"/>
      <c r="EH365" s="36"/>
      <c r="EI365" s="36"/>
      <c r="EJ365" s="36"/>
      <c r="EK365" s="36"/>
      <c r="EL365" s="36"/>
      <c r="EM365" s="36"/>
      <c r="EN365" s="36"/>
      <c r="EO365" s="36"/>
      <c r="EP365" s="36"/>
      <c r="EQ365" s="36"/>
      <c r="ER365" s="36"/>
      <c r="ES365" s="36"/>
      <c r="ET365" s="36"/>
      <c r="EU365" s="36"/>
      <c r="EV365" s="36"/>
      <c r="EW365" s="37"/>
      <c r="EX365" s="44"/>
      <c r="EY365" s="36"/>
      <c r="EZ365" s="36"/>
      <c r="FA365" s="36"/>
      <c r="FB365" s="36"/>
      <c r="FC365" s="36"/>
      <c r="FD365" s="36"/>
      <c r="FE365" s="36"/>
      <c r="FF365" s="36"/>
      <c r="FG365" s="36"/>
      <c r="FH365" s="36"/>
      <c r="FI365" s="36"/>
      <c r="FJ365" s="36"/>
      <c r="FK365" s="36"/>
      <c r="FL365" s="36"/>
      <c r="FM365" s="36"/>
      <c r="FN365" s="37"/>
      <c r="FO365" s="44"/>
      <c r="FP365" s="36"/>
      <c r="FQ365" s="36"/>
      <c r="FR365" s="36"/>
      <c r="FS365" s="36"/>
      <c r="FT365" s="36"/>
      <c r="FU365" s="36"/>
      <c r="FV365" s="36"/>
      <c r="FW365" s="36"/>
      <c r="FX365" s="36"/>
      <c r="FY365" s="36"/>
      <c r="FZ365" s="36"/>
      <c r="GA365" s="36"/>
      <c r="GB365" s="36"/>
      <c r="GC365" s="36"/>
      <c r="GD365" s="36"/>
      <c r="GE365" s="37"/>
      <c r="GF365" s="44"/>
      <c r="GG365" s="36"/>
      <c r="GH365" s="36"/>
      <c r="GI365" s="36"/>
      <c r="GJ365" s="36"/>
      <c r="GK365" s="36"/>
      <c r="GL365" s="36"/>
      <c r="GM365" s="36"/>
      <c r="GN365" s="36"/>
      <c r="GO365" s="36"/>
      <c r="GP365" s="36"/>
      <c r="GQ365" s="36"/>
      <c r="GR365" s="36"/>
      <c r="GS365" s="36"/>
      <c r="GT365" s="36"/>
      <c r="GU365" s="36"/>
      <c r="GV365" s="37"/>
      <c r="GW365" s="44"/>
      <c r="GX365" s="36"/>
      <c r="GY365" s="36"/>
      <c r="GZ365" s="36"/>
      <c r="HA365" s="36"/>
      <c r="HB365" s="36"/>
      <c r="HC365" s="36"/>
      <c r="HD365" s="36"/>
      <c r="HE365" s="36"/>
      <c r="HF365" s="36"/>
      <c r="HG365" s="36"/>
      <c r="HH365" s="36"/>
      <c r="HI365" s="36"/>
      <c r="HJ365" s="36"/>
      <c r="HK365" s="36"/>
      <c r="HL365" s="36"/>
      <c r="HM365" s="37"/>
      <c r="HN365" s="44"/>
      <c r="HO365" s="36"/>
      <c r="HP365" s="36"/>
      <c r="HQ365" s="36"/>
      <c r="HR365" s="36"/>
      <c r="HS365" s="36"/>
      <c r="HT365" s="36"/>
      <c r="HU365" s="36"/>
      <c r="HV365" s="36"/>
      <c r="HW365" s="36"/>
      <c r="HX365" s="36"/>
      <c r="HY365" s="36"/>
      <c r="HZ365" s="36"/>
      <c r="IA365" s="36"/>
      <c r="IB365" s="36"/>
      <c r="IC365" s="36"/>
      <c r="ID365" s="37"/>
      <c r="IE365" s="44"/>
      <c r="IF365" s="36"/>
      <c r="IG365" s="36"/>
      <c r="IH365" s="36"/>
      <c r="II365" s="36"/>
      <c r="IJ365" s="36"/>
      <c r="IK365" s="36"/>
      <c r="IL365" s="36"/>
      <c r="IM365" s="36"/>
      <c r="IN365" s="36"/>
      <c r="IO365" s="36"/>
      <c r="IP365" s="36"/>
      <c r="IQ365" s="36"/>
      <c r="IR365" s="36"/>
      <c r="IS365" s="36"/>
      <c r="IT365" s="36"/>
      <c r="IU365" s="37"/>
      <c r="IV365" s="44"/>
      <c r="IW365" s="36"/>
      <c r="IX365" s="36"/>
      <c r="IY365" s="36"/>
      <c r="IZ365" s="36"/>
      <c r="JA365" s="36"/>
      <c r="JB365" s="36"/>
      <c r="JC365" s="36"/>
      <c r="JD365" s="36"/>
      <c r="JE365" s="36"/>
      <c r="JF365" s="36"/>
      <c r="JG365" s="36"/>
      <c r="JH365" s="36"/>
      <c r="JI365" s="36"/>
      <c r="JJ365" s="36"/>
      <c r="JK365" s="36"/>
      <c r="JL365" s="37"/>
      <c r="JM365" s="44"/>
      <c r="JN365" s="36"/>
      <c r="JO365" s="36"/>
      <c r="JP365" s="36"/>
      <c r="JQ365" s="36"/>
      <c r="JR365" s="36"/>
      <c r="JS365" s="36"/>
      <c r="JT365" s="36"/>
      <c r="JU365" s="36"/>
      <c r="JV365" s="36"/>
      <c r="JW365" s="36"/>
      <c r="JX365" s="36"/>
      <c r="JY365" s="36"/>
      <c r="JZ365" s="36"/>
      <c r="KA365" s="36"/>
      <c r="KB365" s="36"/>
      <c r="KC365" s="37"/>
      <c r="KD365" s="44"/>
      <c r="KE365" s="36"/>
      <c r="KF365" s="36"/>
      <c r="KG365" s="36"/>
      <c r="KH365" s="36"/>
      <c r="KI365" s="36"/>
      <c r="KJ365" s="36"/>
      <c r="KK365" s="36"/>
      <c r="KL365" s="36"/>
      <c r="KM365" s="36"/>
      <c r="KN365" s="36"/>
      <c r="KO365" s="36"/>
      <c r="KP365" s="36"/>
      <c r="KQ365" s="36"/>
      <c r="KR365" s="36"/>
      <c r="KS365" s="36"/>
      <c r="KT365" s="37"/>
      <c r="KU365" s="36"/>
    </row>
    <row r="366" ht="15.0" customHeight="1">
      <c r="A366" s="44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7"/>
      <c r="R366" s="44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7"/>
      <c r="AI366" s="44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36"/>
      <c r="AU366" s="36"/>
      <c r="AV366" s="36"/>
      <c r="AW366" s="36"/>
      <c r="AX366" s="36"/>
      <c r="AY366" s="37"/>
      <c r="AZ366" s="44"/>
      <c r="BA366" s="36"/>
      <c r="BB366" s="36"/>
      <c r="BC366" s="36"/>
      <c r="BD366" s="36"/>
      <c r="BE366" s="36"/>
      <c r="BF366" s="36"/>
      <c r="BG366" s="36"/>
      <c r="BH366" s="36"/>
      <c r="BI366" s="36"/>
      <c r="BJ366" s="36"/>
      <c r="BK366" s="36"/>
      <c r="BL366" s="36"/>
      <c r="BM366" s="36"/>
      <c r="BN366" s="36"/>
      <c r="BO366" s="36"/>
      <c r="BP366" s="37"/>
      <c r="BQ366" s="44"/>
      <c r="BR366" s="36"/>
      <c r="BS366" s="36"/>
      <c r="BT366" s="36"/>
      <c r="BU366" s="36"/>
      <c r="BV366" s="36"/>
      <c r="BW366" s="36"/>
      <c r="BX366" s="36"/>
      <c r="BY366" s="36"/>
      <c r="BZ366" s="36"/>
      <c r="CA366" s="36"/>
      <c r="CB366" s="36"/>
      <c r="CC366" s="36"/>
      <c r="CD366" s="36"/>
      <c r="CE366" s="36"/>
      <c r="CF366" s="36"/>
      <c r="CG366" s="37"/>
      <c r="CH366" s="44"/>
      <c r="CI366" s="36"/>
      <c r="CJ366" s="36"/>
      <c r="CK366" s="36"/>
      <c r="CL366" s="36"/>
      <c r="CM366" s="36"/>
      <c r="CN366" s="36"/>
      <c r="CO366" s="36"/>
      <c r="CP366" s="36"/>
      <c r="CQ366" s="36"/>
      <c r="CR366" s="36"/>
      <c r="CS366" s="36"/>
      <c r="CT366" s="36"/>
      <c r="CU366" s="36"/>
      <c r="CV366" s="36"/>
      <c r="CW366" s="36"/>
      <c r="CX366" s="37"/>
      <c r="CY366" s="44"/>
      <c r="CZ366" s="36"/>
      <c r="DA366" s="36"/>
      <c r="DB366" s="36"/>
      <c r="DC366" s="36"/>
      <c r="DD366" s="36"/>
      <c r="DE366" s="36"/>
      <c r="DF366" s="36"/>
      <c r="DG366" s="36"/>
      <c r="DH366" s="36"/>
      <c r="DI366" s="36"/>
      <c r="DJ366" s="36"/>
      <c r="DK366" s="36"/>
      <c r="DL366" s="36"/>
      <c r="DM366" s="36"/>
      <c r="DN366" s="36"/>
      <c r="DO366" s="37"/>
      <c r="DP366" s="44"/>
      <c r="DQ366" s="36"/>
      <c r="DR366" s="36"/>
      <c r="DS366" s="36"/>
      <c r="DT366" s="36"/>
      <c r="DU366" s="36"/>
      <c r="DV366" s="36"/>
      <c r="DW366" s="36"/>
      <c r="DX366" s="36"/>
      <c r="DY366" s="36"/>
      <c r="DZ366" s="36"/>
      <c r="EA366" s="36"/>
      <c r="EB366" s="36"/>
      <c r="EC366" s="36"/>
      <c r="ED366" s="36"/>
      <c r="EE366" s="36"/>
      <c r="EF366" s="37"/>
      <c r="EG366" s="44"/>
      <c r="EH366" s="36"/>
      <c r="EI366" s="36"/>
      <c r="EJ366" s="36"/>
      <c r="EK366" s="36"/>
      <c r="EL366" s="36"/>
      <c r="EM366" s="36"/>
      <c r="EN366" s="36"/>
      <c r="EO366" s="36"/>
      <c r="EP366" s="36"/>
      <c r="EQ366" s="36"/>
      <c r="ER366" s="36"/>
      <c r="ES366" s="36"/>
      <c r="ET366" s="36"/>
      <c r="EU366" s="36"/>
      <c r="EV366" s="36"/>
      <c r="EW366" s="37"/>
      <c r="EX366" s="44"/>
      <c r="EY366" s="36"/>
      <c r="EZ366" s="36"/>
      <c r="FA366" s="36"/>
      <c r="FB366" s="36"/>
      <c r="FC366" s="36"/>
      <c r="FD366" s="36"/>
      <c r="FE366" s="36"/>
      <c r="FF366" s="36"/>
      <c r="FG366" s="36"/>
      <c r="FH366" s="36"/>
      <c r="FI366" s="36"/>
      <c r="FJ366" s="36"/>
      <c r="FK366" s="36"/>
      <c r="FL366" s="36"/>
      <c r="FM366" s="36"/>
      <c r="FN366" s="37"/>
      <c r="FO366" s="44"/>
      <c r="FP366" s="36"/>
      <c r="FQ366" s="36"/>
      <c r="FR366" s="36"/>
      <c r="FS366" s="36"/>
      <c r="FT366" s="36"/>
      <c r="FU366" s="36"/>
      <c r="FV366" s="36"/>
      <c r="FW366" s="36"/>
      <c r="FX366" s="36"/>
      <c r="FY366" s="36"/>
      <c r="FZ366" s="36"/>
      <c r="GA366" s="36"/>
      <c r="GB366" s="36"/>
      <c r="GC366" s="36"/>
      <c r="GD366" s="36"/>
      <c r="GE366" s="37"/>
      <c r="GF366" s="44"/>
      <c r="GG366" s="36"/>
      <c r="GH366" s="36"/>
      <c r="GI366" s="36"/>
      <c r="GJ366" s="36"/>
      <c r="GK366" s="36"/>
      <c r="GL366" s="36"/>
      <c r="GM366" s="36"/>
      <c r="GN366" s="36"/>
      <c r="GO366" s="36"/>
      <c r="GP366" s="36"/>
      <c r="GQ366" s="36"/>
      <c r="GR366" s="36"/>
      <c r="GS366" s="36"/>
      <c r="GT366" s="36"/>
      <c r="GU366" s="36"/>
      <c r="GV366" s="37"/>
      <c r="GW366" s="44"/>
      <c r="GX366" s="36"/>
      <c r="GY366" s="36"/>
      <c r="GZ366" s="36"/>
      <c r="HA366" s="36"/>
      <c r="HB366" s="36"/>
      <c r="HC366" s="36"/>
      <c r="HD366" s="36"/>
      <c r="HE366" s="36"/>
      <c r="HF366" s="36"/>
      <c r="HG366" s="36"/>
      <c r="HH366" s="36"/>
      <c r="HI366" s="36"/>
      <c r="HJ366" s="36"/>
      <c r="HK366" s="36"/>
      <c r="HL366" s="36"/>
      <c r="HM366" s="37"/>
      <c r="HN366" s="44"/>
      <c r="HO366" s="36"/>
      <c r="HP366" s="36"/>
      <c r="HQ366" s="36"/>
      <c r="HR366" s="36"/>
      <c r="HS366" s="36"/>
      <c r="HT366" s="36"/>
      <c r="HU366" s="36"/>
      <c r="HV366" s="36"/>
      <c r="HW366" s="36"/>
      <c r="HX366" s="36"/>
      <c r="HY366" s="36"/>
      <c r="HZ366" s="36"/>
      <c r="IA366" s="36"/>
      <c r="IB366" s="36"/>
      <c r="IC366" s="36"/>
      <c r="ID366" s="37"/>
      <c r="IE366" s="44"/>
      <c r="IF366" s="36"/>
      <c r="IG366" s="36"/>
      <c r="IH366" s="36"/>
      <c r="II366" s="36"/>
      <c r="IJ366" s="36"/>
      <c r="IK366" s="36"/>
      <c r="IL366" s="36"/>
      <c r="IM366" s="36"/>
      <c r="IN366" s="36"/>
      <c r="IO366" s="36"/>
      <c r="IP366" s="36"/>
      <c r="IQ366" s="36"/>
      <c r="IR366" s="36"/>
      <c r="IS366" s="36"/>
      <c r="IT366" s="36"/>
      <c r="IU366" s="37"/>
      <c r="IV366" s="44"/>
      <c r="IW366" s="36"/>
      <c r="IX366" s="36"/>
      <c r="IY366" s="36"/>
      <c r="IZ366" s="36"/>
      <c r="JA366" s="36"/>
      <c r="JB366" s="36"/>
      <c r="JC366" s="36"/>
      <c r="JD366" s="36"/>
      <c r="JE366" s="36"/>
      <c r="JF366" s="36"/>
      <c r="JG366" s="36"/>
      <c r="JH366" s="36"/>
      <c r="JI366" s="36"/>
      <c r="JJ366" s="36"/>
      <c r="JK366" s="36"/>
      <c r="JL366" s="37"/>
      <c r="JM366" s="44"/>
      <c r="JN366" s="36"/>
      <c r="JO366" s="36"/>
      <c r="JP366" s="36"/>
      <c r="JQ366" s="36"/>
      <c r="JR366" s="36"/>
      <c r="JS366" s="36"/>
      <c r="JT366" s="36"/>
      <c r="JU366" s="36"/>
      <c r="JV366" s="36"/>
      <c r="JW366" s="36"/>
      <c r="JX366" s="36"/>
      <c r="JY366" s="36"/>
      <c r="JZ366" s="36"/>
      <c r="KA366" s="36"/>
      <c r="KB366" s="36"/>
      <c r="KC366" s="37"/>
      <c r="KD366" s="44"/>
      <c r="KE366" s="36"/>
      <c r="KF366" s="36"/>
      <c r="KG366" s="36"/>
      <c r="KH366" s="36"/>
      <c r="KI366" s="36"/>
      <c r="KJ366" s="36"/>
      <c r="KK366" s="36"/>
      <c r="KL366" s="36"/>
      <c r="KM366" s="36"/>
      <c r="KN366" s="36"/>
      <c r="KO366" s="36"/>
      <c r="KP366" s="36"/>
      <c r="KQ366" s="36"/>
      <c r="KR366" s="36"/>
      <c r="KS366" s="36"/>
      <c r="KT366" s="37"/>
      <c r="KU366" s="36"/>
    </row>
    <row r="367" ht="15.0" customHeight="1">
      <c r="A367" s="44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7"/>
      <c r="R367" s="44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7"/>
      <c r="AI367" s="44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36"/>
      <c r="AU367" s="36"/>
      <c r="AV367" s="36"/>
      <c r="AW367" s="36"/>
      <c r="AX367" s="36"/>
      <c r="AY367" s="37"/>
      <c r="AZ367" s="44"/>
      <c r="BA367" s="36"/>
      <c r="BB367" s="36"/>
      <c r="BC367" s="36"/>
      <c r="BD367" s="36"/>
      <c r="BE367" s="36"/>
      <c r="BF367" s="36"/>
      <c r="BG367" s="36"/>
      <c r="BH367" s="36"/>
      <c r="BI367" s="36"/>
      <c r="BJ367" s="36"/>
      <c r="BK367" s="36"/>
      <c r="BL367" s="36"/>
      <c r="BM367" s="36"/>
      <c r="BN367" s="36"/>
      <c r="BO367" s="36"/>
      <c r="BP367" s="37"/>
      <c r="BQ367" s="44"/>
      <c r="BR367" s="36"/>
      <c r="BS367" s="36"/>
      <c r="BT367" s="36"/>
      <c r="BU367" s="36"/>
      <c r="BV367" s="36"/>
      <c r="BW367" s="36"/>
      <c r="BX367" s="36"/>
      <c r="BY367" s="36"/>
      <c r="BZ367" s="36"/>
      <c r="CA367" s="36"/>
      <c r="CB367" s="36"/>
      <c r="CC367" s="36"/>
      <c r="CD367" s="36"/>
      <c r="CE367" s="36"/>
      <c r="CF367" s="36"/>
      <c r="CG367" s="37"/>
      <c r="CH367" s="44"/>
      <c r="CI367" s="36"/>
      <c r="CJ367" s="36"/>
      <c r="CK367" s="36"/>
      <c r="CL367" s="36"/>
      <c r="CM367" s="36"/>
      <c r="CN367" s="36"/>
      <c r="CO367" s="36"/>
      <c r="CP367" s="36"/>
      <c r="CQ367" s="36"/>
      <c r="CR367" s="36"/>
      <c r="CS367" s="36"/>
      <c r="CT367" s="36"/>
      <c r="CU367" s="36"/>
      <c r="CV367" s="36"/>
      <c r="CW367" s="36"/>
      <c r="CX367" s="37"/>
      <c r="CY367" s="44"/>
      <c r="CZ367" s="36"/>
      <c r="DA367" s="36"/>
      <c r="DB367" s="36"/>
      <c r="DC367" s="36"/>
      <c r="DD367" s="36"/>
      <c r="DE367" s="36"/>
      <c r="DF367" s="36"/>
      <c r="DG367" s="36"/>
      <c r="DH367" s="36"/>
      <c r="DI367" s="36"/>
      <c r="DJ367" s="36"/>
      <c r="DK367" s="36"/>
      <c r="DL367" s="36"/>
      <c r="DM367" s="36"/>
      <c r="DN367" s="36"/>
      <c r="DO367" s="37"/>
      <c r="DP367" s="44"/>
      <c r="DQ367" s="36"/>
      <c r="DR367" s="36"/>
      <c r="DS367" s="36"/>
      <c r="DT367" s="36"/>
      <c r="DU367" s="36"/>
      <c r="DV367" s="36"/>
      <c r="DW367" s="36"/>
      <c r="DX367" s="36"/>
      <c r="DY367" s="36"/>
      <c r="DZ367" s="36"/>
      <c r="EA367" s="36"/>
      <c r="EB367" s="36"/>
      <c r="EC367" s="36"/>
      <c r="ED367" s="36"/>
      <c r="EE367" s="36"/>
      <c r="EF367" s="37"/>
      <c r="EG367" s="44"/>
      <c r="EH367" s="36"/>
      <c r="EI367" s="36"/>
      <c r="EJ367" s="36"/>
      <c r="EK367" s="36"/>
      <c r="EL367" s="36"/>
      <c r="EM367" s="36"/>
      <c r="EN367" s="36"/>
      <c r="EO367" s="36"/>
      <c r="EP367" s="36"/>
      <c r="EQ367" s="36"/>
      <c r="ER367" s="36"/>
      <c r="ES367" s="36"/>
      <c r="ET367" s="36"/>
      <c r="EU367" s="36"/>
      <c r="EV367" s="36"/>
      <c r="EW367" s="37"/>
      <c r="EX367" s="44"/>
      <c r="EY367" s="36"/>
      <c r="EZ367" s="36"/>
      <c r="FA367" s="36"/>
      <c r="FB367" s="36"/>
      <c r="FC367" s="36"/>
      <c r="FD367" s="36"/>
      <c r="FE367" s="36"/>
      <c r="FF367" s="36"/>
      <c r="FG367" s="36"/>
      <c r="FH367" s="36"/>
      <c r="FI367" s="36"/>
      <c r="FJ367" s="36"/>
      <c r="FK367" s="36"/>
      <c r="FL367" s="36"/>
      <c r="FM367" s="36"/>
      <c r="FN367" s="37"/>
      <c r="FO367" s="44"/>
      <c r="FP367" s="36"/>
      <c r="FQ367" s="36"/>
      <c r="FR367" s="36"/>
      <c r="FS367" s="36"/>
      <c r="FT367" s="36"/>
      <c r="FU367" s="36"/>
      <c r="FV367" s="36"/>
      <c r="FW367" s="36"/>
      <c r="FX367" s="36"/>
      <c r="FY367" s="36"/>
      <c r="FZ367" s="36"/>
      <c r="GA367" s="36"/>
      <c r="GB367" s="36"/>
      <c r="GC367" s="36"/>
      <c r="GD367" s="36"/>
      <c r="GE367" s="37"/>
      <c r="GF367" s="44"/>
      <c r="GG367" s="36"/>
      <c r="GH367" s="36"/>
      <c r="GI367" s="36"/>
      <c r="GJ367" s="36"/>
      <c r="GK367" s="36"/>
      <c r="GL367" s="36"/>
      <c r="GM367" s="36"/>
      <c r="GN367" s="36"/>
      <c r="GO367" s="36"/>
      <c r="GP367" s="36"/>
      <c r="GQ367" s="36"/>
      <c r="GR367" s="36"/>
      <c r="GS367" s="36"/>
      <c r="GT367" s="36"/>
      <c r="GU367" s="36"/>
      <c r="GV367" s="37"/>
      <c r="GW367" s="44"/>
      <c r="GX367" s="36"/>
      <c r="GY367" s="36"/>
      <c r="GZ367" s="36"/>
      <c r="HA367" s="36"/>
      <c r="HB367" s="36"/>
      <c r="HC367" s="36"/>
      <c r="HD367" s="36"/>
      <c r="HE367" s="36"/>
      <c r="HF367" s="36"/>
      <c r="HG367" s="36"/>
      <c r="HH367" s="36"/>
      <c r="HI367" s="36"/>
      <c r="HJ367" s="36"/>
      <c r="HK367" s="36"/>
      <c r="HL367" s="36"/>
      <c r="HM367" s="37"/>
      <c r="HN367" s="44"/>
      <c r="HO367" s="36"/>
      <c r="HP367" s="36"/>
      <c r="HQ367" s="36"/>
      <c r="HR367" s="36"/>
      <c r="HS367" s="36"/>
      <c r="HT367" s="36"/>
      <c r="HU367" s="36"/>
      <c r="HV367" s="36"/>
      <c r="HW367" s="36"/>
      <c r="HX367" s="36"/>
      <c r="HY367" s="36"/>
      <c r="HZ367" s="36"/>
      <c r="IA367" s="36"/>
      <c r="IB367" s="36"/>
      <c r="IC367" s="36"/>
      <c r="ID367" s="37"/>
      <c r="IE367" s="44"/>
      <c r="IF367" s="36"/>
      <c r="IG367" s="36"/>
      <c r="IH367" s="36"/>
      <c r="II367" s="36"/>
      <c r="IJ367" s="36"/>
      <c r="IK367" s="36"/>
      <c r="IL367" s="36"/>
      <c r="IM367" s="36"/>
      <c r="IN367" s="36"/>
      <c r="IO367" s="36"/>
      <c r="IP367" s="36"/>
      <c r="IQ367" s="36"/>
      <c r="IR367" s="36"/>
      <c r="IS367" s="36"/>
      <c r="IT367" s="36"/>
      <c r="IU367" s="37"/>
      <c r="IV367" s="44"/>
      <c r="IW367" s="36"/>
      <c r="IX367" s="36"/>
      <c r="IY367" s="36"/>
      <c r="IZ367" s="36"/>
      <c r="JA367" s="36"/>
      <c r="JB367" s="36"/>
      <c r="JC367" s="36"/>
      <c r="JD367" s="36"/>
      <c r="JE367" s="36"/>
      <c r="JF367" s="36"/>
      <c r="JG367" s="36"/>
      <c r="JH367" s="36"/>
      <c r="JI367" s="36"/>
      <c r="JJ367" s="36"/>
      <c r="JK367" s="36"/>
      <c r="JL367" s="37"/>
      <c r="JM367" s="44"/>
      <c r="JN367" s="36"/>
      <c r="JO367" s="36"/>
      <c r="JP367" s="36"/>
      <c r="JQ367" s="36"/>
      <c r="JR367" s="36"/>
      <c r="JS367" s="36"/>
      <c r="JT367" s="36"/>
      <c r="JU367" s="36"/>
      <c r="JV367" s="36"/>
      <c r="JW367" s="36"/>
      <c r="JX367" s="36"/>
      <c r="JY367" s="36"/>
      <c r="JZ367" s="36"/>
      <c r="KA367" s="36"/>
      <c r="KB367" s="36"/>
      <c r="KC367" s="37"/>
      <c r="KD367" s="44"/>
      <c r="KE367" s="36"/>
      <c r="KF367" s="36"/>
      <c r="KG367" s="36"/>
      <c r="KH367" s="36"/>
      <c r="KI367" s="36"/>
      <c r="KJ367" s="36"/>
      <c r="KK367" s="36"/>
      <c r="KL367" s="36"/>
      <c r="KM367" s="36"/>
      <c r="KN367" s="36"/>
      <c r="KO367" s="36"/>
      <c r="KP367" s="36"/>
      <c r="KQ367" s="36"/>
      <c r="KR367" s="36"/>
      <c r="KS367" s="36"/>
      <c r="KT367" s="37"/>
      <c r="KU367" s="36"/>
    </row>
    <row r="368" ht="15.0" customHeight="1">
      <c r="A368" s="44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7"/>
      <c r="R368" s="44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7"/>
      <c r="AI368" s="44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36"/>
      <c r="AU368" s="36"/>
      <c r="AV368" s="36"/>
      <c r="AW368" s="36"/>
      <c r="AX368" s="36"/>
      <c r="AY368" s="37"/>
      <c r="AZ368" s="44"/>
      <c r="BA368" s="36"/>
      <c r="BB368" s="36"/>
      <c r="BC368" s="36"/>
      <c r="BD368" s="36"/>
      <c r="BE368" s="36"/>
      <c r="BF368" s="36"/>
      <c r="BG368" s="36"/>
      <c r="BH368" s="36"/>
      <c r="BI368" s="36"/>
      <c r="BJ368" s="36"/>
      <c r="BK368" s="36"/>
      <c r="BL368" s="36"/>
      <c r="BM368" s="36"/>
      <c r="BN368" s="36"/>
      <c r="BO368" s="36"/>
      <c r="BP368" s="37"/>
      <c r="BQ368" s="44"/>
      <c r="BR368" s="36"/>
      <c r="BS368" s="36"/>
      <c r="BT368" s="36"/>
      <c r="BU368" s="36"/>
      <c r="BV368" s="36"/>
      <c r="BW368" s="36"/>
      <c r="BX368" s="36"/>
      <c r="BY368" s="36"/>
      <c r="BZ368" s="36"/>
      <c r="CA368" s="36"/>
      <c r="CB368" s="36"/>
      <c r="CC368" s="36"/>
      <c r="CD368" s="36"/>
      <c r="CE368" s="36"/>
      <c r="CF368" s="36"/>
      <c r="CG368" s="37"/>
      <c r="CH368" s="44"/>
      <c r="CI368" s="36"/>
      <c r="CJ368" s="36"/>
      <c r="CK368" s="36"/>
      <c r="CL368" s="36"/>
      <c r="CM368" s="36"/>
      <c r="CN368" s="36"/>
      <c r="CO368" s="36"/>
      <c r="CP368" s="36"/>
      <c r="CQ368" s="36"/>
      <c r="CR368" s="36"/>
      <c r="CS368" s="36"/>
      <c r="CT368" s="36"/>
      <c r="CU368" s="36"/>
      <c r="CV368" s="36"/>
      <c r="CW368" s="36"/>
      <c r="CX368" s="37"/>
      <c r="CY368" s="44"/>
      <c r="CZ368" s="36"/>
      <c r="DA368" s="36"/>
      <c r="DB368" s="36"/>
      <c r="DC368" s="36"/>
      <c r="DD368" s="36"/>
      <c r="DE368" s="36"/>
      <c r="DF368" s="36"/>
      <c r="DG368" s="36"/>
      <c r="DH368" s="36"/>
      <c r="DI368" s="36"/>
      <c r="DJ368" s="36"/>
      <c r="DK368" s="36"/>
      <c r="DL368" s="36"/>
      <c r="DM368" s="36"/>
      <c r="DN368" s="36"/>
      <c r="DO368" s="37"/>
      <c r="DP368" s="44"/>
      <c r="DQ368" s="36"/>
      <c r="DR368" s="36"/>
      <c r="DS368" s="36"/>
      <c r="DT368" s="36"/>
      <c r="DU368" s="36"/>
      <c r="DV368" s="36"/>
      <c r="DW368" s="36"/>
      <c r="DX368" s="36"/>
      <c r="DY368" s="36"/>
      <c r="DZ368" s="36"/>
      <c r="EA368" s="36"/>
      <c r="EB368" s="36"/>
      <c r="EC368" s="36"/>
      <c r="ED368" s="36"/>
      <c r="EE368" s="36"/>
      <c r="EF368" s="37"/>
      <c r="EG368" s="44"/>
      <c r="EH368" s="36"/>
      <c r="EI368" s="36"/>
      <c r="EJ368" s="36"/>
      <c r="EK368" s="36"/>
      <c r="EL368" s="36"/>
      <c r="EM368" s="36"/>
      <c r="EN368" s="36"/>
      <c r="EO368" s="36"/>
      <c r="EP368" s="36"/>
      <c r="EQ368" s="36"/>
      <c r="ER368" s="36"/>
      <c r="ES368" s="36"/>
      <c r="ET368" s="36"/>
      <c r="EU368" s="36"/>
      <c r="EV368" s="36"/>
      <c r="EW368" s="37"/>
      <c r="EX368" s="44"/>
      <c r="EY368" s="36"/>
      <c r="EZ368" s="36"/>
      <c r="FA368" s="36"/>
      <c r="FB368" s="36"/>
      <c r="FC368" s="36"/>
      <c r="FD368" s="36"/>
      <c r="FE368" s="36"/>
      <c r="FF368" s="36"/>
      <c r="FG368" s="36"/>
      <c r="FH368" s="36"/>
      <c r="FI368" s="36"/>
      <c r="FJ368" s="36"/>
      <c r="FK368" s="36"/>
      <c r="FL368" s="36"/>
      <c r="FM368" s="36"/>
      <c r="FN368" s="37"/>
      <c r="FO368" s="44"/>
      <c r="FP368" s="36"/>
      <c r="FQ368" s="36"/>
      <c r="FR368" s="36"/>
      <c r="FS368" s="36"/>
      <c r="FT368" s="36"/>
      <c r="FU368" s="36"/>
      <c r="FV368" s="36"/>
      <c r="FW368" s="36"/>
      <c r="FX368" s="36"/>
      <c r="FY368" s="36"/>
      <c r="FZ368" s="36"/>
      <c r="GA368" s="36"/>
      <c r="GB368" s="36"/>
      <c r="GC368" s="36"/>
      <c r="GD368" s="36"/>
      <c r="GE368" s="37"/>
      <c r="GF368" s="44"/>
      <c r="GG368" s="36"/>
      <c r="GH368" s="36"/>
      <c r="GI368" s="36"/>
      <c r="GJ368" s="36"/>
      <c r="GK368" s="36"/>
      <c r="GL368" s="36"/>
      <c r="GM368" s="36"/>
      <c r="GN368" s="36"/>
      <c r="GO368" s="36"/>
      <c r="GP368" s="36"/>
      <c r="GQ368" s="36"/>
      <c r="GR368" s="36"/>
      <c r="GS368" s="36"/>
      <c r="GT368" s="36"/>
      <c r="GU368" s="36"/>
      <c r="GV368" s="37"/>
      <c r="GW368" s="44"/>
      <c r="GX368" s="36"/>
      <c r="GY368" s="36"/>
      <c r="GZ368" s="36"/>
      <c r="HA368" s="36"/>
      <c r="HB368" s="36"/>
      <c r="HC368" s="36"/>
      <c r="HD368" s="36"/>
      <c r="HE368" s="36"/>
      <c r="HF368" s="36"/>
      <c r="HG368" s="36"/>
      <c r="HH368" s="36"/>
      <c r="HI368" s="36"/>
      <c r="HJ368" s="36"/>
      <c r="HK368" s="36"/>
      <c r="HL368" s="36"/>
      <c r="HM368" s="37"/>
      <c r="HN368" s="44"/>
      <c r="HO368" s="36"/>
      <c r="HP368" s="36"/>
      <c r="HQ368" s="36"/>
      <c r="HR368" s="36"/>
      <c r="HS368" s="36"/>
      <c r="HT368" s="36"/>
      <c r="HU368" s="36"/>
      <c r="HV368" s="36"/>
      <c r="HW368" s="36"/>
      <c r="HX368" s="36"/>
      <c r="HY368" s="36"/>
      <c r="HZ368" s="36"/>
      <c r="IA368" s="36"/>
      <c r="IB368" s="36"/>
      <c r="IC368" s="36"/>
      <c r="ID368" s="37"/>
      <c r="IE368" s="44"/>
      <c r="IF368" s="36"/>
      <c r="IG368" s="36"/>
      <c r="IH368" s="36"/>
      <c r="II368" s="36"/>
      <c r="IJ368" s="36"/>
      <c r="IK368" s="36"/>
      <c r="IL368" s="36"/>
      <c r="IM368" s="36"/>
      <c r="IN368" s="36"/>
      <c r="IO368" s="36"/>
      <c r="IP368" s="36"/>
      <c r="IQ368" s="36"/>
      <c r="IR368" s="36"/>
      <c r="IS368" s="36"/>
      <c r="IT368" s="36"/>
      <c r="IU368" s="37"/>
      <c r="IV368" s="44"/>
      <c r="IW368" s="36"/>
      <c r="IX368" s="36"/>
      <c r="IY368" s="36"/>
      <c r="IZ368" s="36"/>
      <c r="JA368" s="36"/>
      <c r="JB368" s="36"/>
      <c r="JC368" s="36"/>
      <c r="JD368" s="36"/>
      <c r="JE368" s="36"/>
      <c r="JF368" s="36"/>
      <c r="JG368" s="36"/>
      <c r="JH368" s="36"/>
      <c r="JI368" s="36"/>
      <c r="JJ368" s="36"/>
      <c r="JK368" s="36"/>
      <c r="JL368" s="37"/>
      <c r="JM368" s="44"/>
      <c r="JN368" s="36"/>
      <c r="JO368" s="36"/>
      <c r="JP368" s="36"/>
      <c r="JQ368" s="36"/>
      <c r="JR368" s="36"/>
      <c r="JS368" s="36"/>
      <c r="JT368" s="36"/>
      <c r="JU368" s="36"/>
      <c r="JV368" s="36"/>
      <c r="JW368" s="36"/>
      <c r="JX368" s="36"/>
      <c r="JY368" s="36"/>
      <c r="JZ368" s="36"/>
      <c r="KA368" s="36"/>
      <c r="KB368" s="36"/>
      <c r="KC368" s="37"/>
      <c r="KD368" s="44"/>
      <c r="KE368" s="36"/>
      <c r="KF368" s="36"/>
      <c r="KG368" s="36"/>
      <c r="KH368" s="36"/>
      <c r="KI368" s="36"/>
      <c r="KJ368" s="36"/>
      <c r="KK368" s="36"/>
      <c r="KL368" s="36"/>
      <c r="KM368" s="36"/>
      <c r="KN368" s="36"/>
      <c r="KO368" s="36"/>
      <c r="KP368" s="36"/>
      <c r="KQ368" s="36"/>
      <c r="KR368" s="36"/>
      <c r="KS368" s="36"/>
      <c r="KT368" s="37"/>
      <c r="KU368" s="36"/>
    </row>
    <row r="369" ht="15.0" customHeight="1">
      <c r="A369" s="44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7"/>
      <c r="R369" s="44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7"/>
      <c r="AI369" s="44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36"/>
      <c r="AU369" s="36"/>
      <c r="AV369" s="36"/>
      <c r="AW369" s="36"/>
      <c r="AX369" s="36"/>
      <c r="AY369" s="37"/>
      <c r="AZ369" s="44"/>
      <c r="BA369" s="36"/>
      <c r="BB369" s="36"/>
      <c r="BC369" s="36"/>
      <c r="BD369" s="36"/>
      <c r="BE369" s="36"/>
      <c r="BF369" s="36"/>
      <c r="BG369" s="36"/>
      <c r="BH369" s="36"/>
      <c r="BI369" s="36"/>
      <c r="BJ369" s="36"/>
      <c r="BK369" s="36"/>
      <c r="BL369" s="36"/>
      <c r="BM369" s="36"/>
      <c r="BN369" s="36"/>
      <c r="BO369" s="36"/>
      <c r="BP369" s="37"/>
      <c r="BQ369" s="44"/>
      <c r="BR369" s="36"/>
      <c r="BS369" s="36"/>
      <c r="BT369" s="36"/>
      <c r="BU369" s="36"/>
      <c r="BV369" s="36"/>
      <c r="BW369" s="36"/>
      <c r="BX369" s="36"/>
      <c r="BY369" s="36"/>
      <c r="BZ369" s="36"/>
      <c r="CA369" s="36"/>
      <c r="CB369" s="36"/>
      <c r="CC369" s="36"/>
      <c r="CD369" s="36"/>
      <c r="CE369" s="36"/>
      <c r="CF369" s="36"/>
      <c r="CG369" s="37"/>
      <c r="CH369" s="44"/>
      <c r="CI369" s="36"/>
      <c r="CJ369" s="36"/>
      <c r="CK369" s="36"/>
      <c r="CL369" s="36"/>
      <c r="CM369" s="36"/>
      <c r="CN369" s="36"/>
      <c r="CO369" s="36"/>
      <c r="CP369" s="36"/>
      <c r="CQ369" s="36"/>
      <c r="CR369" s="36"/>
      <c r="CS369" s="36"/>
      <c r="CT369" s="36"/>
      <c r="CU369" s="36"/>
      <c r="CV369" s="36"/>
      <c r="CW369" s="36"/>
      <c r="CX369" s="37"/>
      <c r="CY369" s="44"/>
      <c r="CZ369" s="36"/>
      <c r="DA369" s="36"/>
      <c r="DB369" s="36"/>
      <c r="DC369" s="36"/>
      <c r="DD369" s="36"/>
      <c r="DE369" s="36"/>
      <c r="DF369" s="36"/>
      <c r="DG369" s="36"/>
      <c r="DH369" s="36"/>
      <c r="DI369" s="36"/>
      <c r="DJ369" s="36"/>
      <c r="DK369" s="36"/>
      <c r="DL369" s="36"/>
      <c r="DM369" s="36"/>
      <c r="DN369" s="36"/>
      <c r="DO369" s="37"/>
      <c r="DP369" s="44"/>
      <c r="DQ369" s="36"/>
      <c r="DR369" s="36"/>
      <c r="DS369" s="36"/>
      <c r="DT369" s="36"/>
      <c r="DU369" s="36"/>
      <c r="DV369" s="36"/>
      <c r="DW369" s="36"/>
      <c r="DX369" s="36"/>
      <c r="DY369" s="36"/>
      <c r="DZ369" s="36"/>
      <c r="EA369" s="36"/>
      <c r="EB369" s="36"/>
      <c r="EC369" s="36"/>
      <c r="ED369" s="36"/>
      <c r="EE369" s="36"/>
      <c r="EF369" s="37"/>
      <c r="EG369" s="44"/>
      <c r="EH369" s="36"/>
      <c r="EI369" s="36"/>
      <c r="EJ369" s="36"/>
      <c r="EK369" s="36"/>
      <c r="EL369" s="36"/>
      <c r="EM369" s="36"/>
      <c r="EN369" s="36"/>
      <c r="EO369" s="36"/>
      <c r="EP369" s="36"/>
      <c r="EQ369" s="36"/>
      <c r="ER369" s="36"/>
      <c r="ES369" s="36"/>
      <c r="ET369" s="36"/>
      <c r="EU369" s="36"/>
      <c r="EV369" s="36"/>
      <c r="EW369" s="37"/>
      <c r="EX369" s="44"/>
      <c r="EY369" s="36"/>
      <c r="EZ369" s="36"/>
      <c r="FA369" s="36"/>
      <c r="FB369" s="36"/>
      <c r="FC369" s="36"/>
      <c r="FD369" s="36"/>
      <c r="FE369" s="36"/>
      <c r="FF369" s="36"/>
      <c r="FG369" s="36"/>
      <c r="FH369" s="36"/>
      <c r="FI369" s="36"/>
      <c r="FJ369" s="36"/>
      <c r="FK369" s="36"/>
      <c r="FL369" s="36"/>
      <c r="FM369" s="36"/>
      <c r="FN369" s="37"/>
      <c r="FO369" s="44"/>
      <c r="FP369" s="36"/>
      <c r="FQ369" s="36"/>
      <c r="FR369" s="36"/>
      <c r="FS369" s="36"/>
      <c r="FT369" s="36"/>
      <c r="FU369" s="36"/>
      <c r="FV369" s="36"/>
      <c r="FW369" s="36"/>
      <c r="FX369" s="36"/>
      <c r="FY369" s="36"/>
      <c r="FZ369" s="36"/>
      <c r="GA369" s="36"/>
      <c r="GB369" s="36"/>
      <c r="GC369" s="36"/>
      <c r="GD369" s="36"/>
      <c r="GE369" s="37"/>
      <c r="GF369" s="44"/>
      <c r="GG369" s="36"/>
      <c r="GH369" s="36"/>
      <c r="GI369" s="36"/>
      <c r="GJ369" s="36"/>
      <c r="GK369" s="36"/>
      <c r="GL369" s="36"/>
      <c r="GM369" s="36"/>
      <c r="GN369" s="36"/>
      <c r="GO369" s="36"/>
      <c r="GP369" s="36"/>
      <c r="GQ369" s="36"/>
      <c r="GR369" s="36"/>
      <c r="GS369" s="36"/>
      <c r="GT369" s="36"/>
      <c r="GU369" s="36"/>
      <c r="GV369" s="37"/>
      <c r="GW369" s="44"/>
      <c r="GX369" s="36"/>
      <c r="GY369" s="36"/>
      <c r="GZ369" s="36"/>
      <c r="HA369" s="36"/>
      <c r="HB369" s="36"/>
      <c r="HC369" s="36"/>
      <c r="HD369" s="36"/>
      <c r="HE369" s="36"/>
      <c r="HF369" s="36"/>
      <c r="HG369" s="36"/>
      <c r="HH369" s="36"/>
      <c r="HI369" s="36"/>
      <c r="HJ369" s="36"/>
      <c r="HK369" s="36"/>
      <c r="HL369" s="36"/>
      <c r="HM369" s="37"/>
      <c r="HN369" s="44"/>
      <c r="HO369" s="36"/>
      <c r="HP369" s="36"/>
      <c r="HQ369" s="36"/>
      <c r="HR369" s="36"/>
      <c r="HS369" s="36"/>
      <c r="HT369" s="36"/>
      <c r="HU369" s="36"/>
      <c r="HV369" s="36"/>
      <c r="HW369" s="36"/>
      <c r="HX369" s="36"/>
      <c r="HY369" s="36"/>
      <c r="HZ369" s="36"/>
      <c r="IA369" s="36"/>
      <c r="IB369" s="36"/>
      <c r="IC369" s="36"/>
      <c r="ID369" s="37"/>
      <c r="IE369" s="44"/>
      <c r="IF369" s="36"/>
      <c r="IG369" s="36"/>
      <c r="IH369" s="36"/>
      <c r="II369" s="36"/>
      <c r="IJ369" s="36"/>
      <c r="IK369" s="36"/>
      <c r="IL369" s="36"/>
      <c r="IM369" s="36"/>
      <c r="IN369" s="36"/>
      <c r="IO369" s="36"/>
      <c r="IP369" s="36"/>
      <c r="IQ369" s="36"/>
      <c r="IR369" s="36"/>
      <c r="IS369" s="36"/>
      <c r="IT369" s="36"/>
      <c r="IU369" s="37"/>
      <c r="IV369" s="44"/>
      <c r="IW369" s="36"/>
      <c r="IX369" s="36"/>
      <c r="IY369" s="36"/>
      <c r="IZ369" s="36"/>
      <c r="JA369" s="36"/>
      <c r="JB369" s="36"/>
      <c r="JC369" s="36"/>
      <c r="JD369" s="36"/>
      <c r="JE369" s="36"/>
      <c r="JF369" s="36"/>
      <c r="JG369" s="36"/>
      <c r="JH369" s="36"/>
      <c r="JI369" s="36"/>
      <c r="JJ369" s="36"/>
      <c r="JK369" s="36"/>
      <c r="JL369" s="37"/>
      <c r="JM369" s="44"/>
      <c r="JN369" s="36"/>
      <c r="JO369" s="36"/>
      <c r="JP369" s="36"/>
      <c r="JQ369" s="36"/>
      <c r="JR369" s="36"/>
      <c r="JS369" s="36"/>
      <c r="JT369" s="36"/>
      <c r="JU369" s="36"/>
      <c r="JV369" s="36"/>
      <c r="JW369" s="36"/>
      <c r="JX369" s="36"/>
      <c r="JY369" s="36"/>
      <c r="JZ369" s="36"/>
      <c r="KA369" s="36"/>
      <c r="KB369" s="36"/>
      <c r="KC369" s="37"/>
      <c r="KD369" s="44"/>
      <c r="KE369" s="36"/>
      <c r="KF369" s="36"/>
      <c r="KG369" s="36"/>
      <c r="KH369" s="36"/>
      <c r="KI369" s="36"/>
      <c r="KJ369" s="36"/>
      <c r="KK369" s="36"/>
      <c r="KL369" s="36"/>
      <c r="KM369" s="36"/>
      <c r="KN369" s="36"/>
      <c r="KO369" s="36"/>
      <c r="KP369" s="36"/>
      <c r="KQ369" s="36"/>
      <c r="KR369" s="36"/>
      <c r="KS369" s="36"/>
      <c r="KT369" s="37"/>
      <c r="KU369" s="36"/>
    </row>
    <row r="370" ht="15.0" customHeight="1">
      <c r="A370" s="44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7"/>
      <c r="R370" s="44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7"/>
      <c r="AI370" s="44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  <c r="AU370" s="36"/>
      <c r="AV370" s="36"/>
      <c r="AW370" s="36"/>
      <c r="AX370" s="36"/>
      <c r="AY370" s="37"/>
      <c r="AZ370" s="44"/>
      <c r="BA370" s="36"/>
      <c r="BB370" s="36"/>
      <c r="BC370" s="36"/>
      <c r="BD370" s="36"/>
      <c r="BE370" s="36"/>
      <c r="BF370" s="36"/>
      <c r="BG370" s="36"/>
      <c r="BH370" s="36"/>
      <c r="BI370" s="36"/>
      <c r="BJ370" s="36"/>
      <c r="BK370" s="36"/>
      <c r="BL370" s="36"/>
      <c r="BM370" s="36"/>
      <c r="BN370" s="36"/>
      <c r="BO370" s="36"/>
      <c r="BP370" s="37"/>
      <c r="BQ370" s="44"/>
      <c r="BR370" s="36"/>
      <c r="BS370" s="36"/>
      <c r="BT370" s="36"/>
      <c r="BU370" s="36"/>
      <c r="BV370" s="36"/>
      <c r="BW370" s="36"/>
      <c r="BX370" s="36"/>
      <c r="BY370" s="36"/>
      <c r="BZ370" s="36"/>
      <c r="CA370" s="36"/>
      <c r="CB370" s="36"/>
      <c r="CC370" s="36"/>
      <c r="CD370" s="36"/>
      <c r="CE370" s="36"/>
      <c r="CF370" s="36"/>
      <c r="CG370" s="37"/>
      <c r="CH370" s="44"/>
      <c r="CI370" s="36"/>
      <c r="CJ370" s="36"/>
      <c r="CK370" s="36"/>
      <c r="CL370" s="36"/>
      <c r="CM370" s="36"/>
      <c r="CN370" s="36"/>
      <c r="CO370" s="36"/>
      <c r="CP370" s="36"/>
      <c r="CQ370" s="36"/>
      <c r="CR370" s="36"/>
      <c r="CS370" s="36"/>
      <c r="CT370" s="36"/>
      <c r="CU370" s="36"/>
      <c r="CV370" s="36"/>
      <c r="CW370" s="36"/>
      <c r="CX370" s="37"/>
      <c r="CY370" s="44"/>
      <c r="CZ370" s="36"/>
      <c r="DA370" s="36"/>
      <c r="DB370" s="36"/>
      <c r="DC370" s="36"/>
      <c r="DD370" s="36"/>
      <c r="DE370" s="36"/>
      <c r="DF370" s="36"/>
      <c r="DG370" s="36"/>
      <c r="DH370" s="36"/>
      <c r="DI370" s="36"/>
      <c r="DJ370" s="36"/>
      <c r="DK370" s="36"/>
      <c r="DL370" s="36"/>
      <c r="DM370" s="36"/>
      <c r="DN370" s="36"/>
      <c r="DO370" s="37"/>
      <c r="DP370" s="44"/>
      <c r="DQ370" s="36"/>
      <c r="DR370" s="36"/>
      <c r="DS370" s="36"/>
      <c r="DT370" s="36"/>
      <c r="DU370" s="36"/>
      <c r="DV370" s="36"/>
      <c r="DW370" s="36"/>
      <c r="DX370" s="36"/>
      <c r="DY370" s="36"/>
      <c r="DZ370" s="36"/>
      <c r="EA370" s="36"/>
      <c r="EB370" s="36"/>
      <c r="EC370" s="36"/>
      <c r="ED370" s="36"/>
      <c r="EE370" s="36"/>
      <c r="EF370" s="37"/>
      <c r="EG370" s="44"/>
      <c r="EH370" s="36"/>
      <c r="EI370" s="36"/>
      <c r="EJ370" s="36"/>
      <c r="EK370" s="36"/>
      <c r="EL370" s="36"/>
      <c r="EM370" s="36"/>
      <c r="EN370" s="36"/>
      <c r="EO370" s="36"/>
      <c r="EP370" s="36"/>
      <c r="EQ370" s="36"/>
      <c r="ER370" s="36"/>
      <c r="ES370" s="36"/>
      <c r="ET370" s="36"/>
      <c r="EU370" s="36"/>
      <c r="EV370" s="36"/>
      <c r="EW370" s="37"/>
      <c r="EX370" s="44"/>
      <c r="EY370" s="36"/>
      <c r="EZ370" s="36"/>
      <c r="FA370" s="36"/>
      <c r="FB370" s="36"/>
      <c r="FC370" s="36"/>
      <c r="FD370" s="36"/>
      <c r="FE370" s="36"/>
      <c r="FF370" s="36"/>
      <c r="FG370" s="36"/>
      <c r="FH370" s="36"/>
      <c r="FI370" s="36"/>
      <c r="FJ370" s="36"/>
      <c r="FK370" s="36"/>
      <c r="FL370" s="36"/>
      <c r="FM370" s="36"/>
      <c r="FN370" s="37"/>
      <c r="FO370" s="44"/>
      <c r="FP370" s="36"/>
      <c r="FQ370" s="36"/>
      <c r="FR370" s="36"/>
      <c r="FS370" s="36"/>
      <c r="FT370" s="36"/>
      <c r="FU370" s="36"/>
      <c r="FV370" s="36"/>
      <c r="FW370" s="36"/>
      <c r="FX370" s="36"/>
      <c r="FY370" s="36"/>
      <c r="FZ370" s="36"/>
      <c r="GA370" s="36"/>
      <c r="GB370" s="36"/>
      <c r="GC370" s="36"/>
      <c r="GD370" s="36"/>
      <c r="GE370" s="37"/>
      <c r="GF370" s="44"/>
      <c r="GG370" s="36"/>
      <c r="GH370" s="36"/>
      <c r="GI370" s="36"/>
      <c r="GJ370" s="36"/>
      <c r="GK370" s="36"/>
      <c r="GL370" s="36"/>
      <c r="GM370" s="36"/>
      <c r="GN370" s="36"/>
      <c r="GO370" s="36"/>
      <c r="GP370" s="36"/>
      <c r="GQ370" s="36"/>
      <c r="GR370" s="36"/>
      <c r="GS370" s="36"/>
      <c r="GT370" s="36"/>
      <c r="GU370" s="36"/>
      <c r="GV370" s="37"/>
      <c r="GW370" s="44"/>
      <c r="GX370" s="36"/>
      <c r="GY370" s="36"/>
      <c r="GZ370" s="36"/>
      <c r="HA370" s="36"/>
      <c r="HB370" s="36"/>
      <c r="HC370" s="36"/>
      <c r="HD370" s="36"/>
      <c r="HE370" s="36"/>
      <c r="HF370" s="36"/>
      <c r="HG370" s="36"/>
      <c r="HH370" s="36"/>
      <c r="HI370" s="36"/>
      <c r="HJ370" s="36"/>
      <c r="HK370" s="36"/>
      <c r="HL370" s="36"/>
      <c r="HM370" s="37"/>
      <c r="HN370" s="44"/>
      <c r="HO370" s="36"/>
      <c r="HP370" s="36"/>
      <c r="HQ370" s="36"/>
      <c r="HR370" s="36"/>
      <c r="HS370" s="36"/>
      <c r="HT370" s="36"/>
      <c r="HU370" s="36"/>
      <c r="HV370" s="36"/>
      <c r="HW370" s="36"/>
      <c r="HX370" s="36"/>
      <c r="HY370" s="36"/>
      <c r="HZ370" s="36"/>
      <c r="IA370" s="36"/>
      <c r="IB370" s="36"/>
      <c r="IC370" s="36"/>
      <c r="ID370" s="37"/>
      <c r="IE370" s="44"/>
      <c r="IF370" s="36"/>
      <c r="IG370" s="36"/>
      <c r="IH370" s="36"/>
      <c r="II370" s="36"/>
      <c r="IJ370" s="36"/>
      <c r="IK370" s="36"/>
      <c r="IL370" s="36"/>
      <c r="IM370" s="36"/>
      <c r="IN370" s="36"/>
      <c r="IO370" s="36"/>
      <c r="IP370" s="36"/>
      <c r="IQ370" s="36"/>
      <c r="IR370" s="36"/>
      <c r="IS370" s="36"/>
      <c r="IT370" s="36"/>
      <c r="IU370" s="37"/>
      <c r="IV370" s="44"/>
      <c r="IW370" s="36"/>
      <c r="IX370" s="36"/>
      <c r="IY370" s="36"/>
      <c r="IZ370" s="36"/>
      <c r="JA370" s="36"/>
      <c r="JB370" s="36"/>
      <c r="JC370" s="36"/>
      <c r="JD370" s="36"/>
      <c r="JE370" s="36"/>
      <c r="JF370" s="36"/>
      <c r="JG370" s="36"/>
      <c r="JH370" s="36"/>
      <c r="JI370" s="36"/>
      <c r="JJ370" s="36"/>
      <c r="JK370" s="36"/>
      <c r="JL370" s="37"/>
      <c r="JM370" s="44"/>
      <c r="JN370" s="36"/>
      <c r="JO370" s="36"/>
      <c r="JP370" s="36"/>
      <c r="JQ370" s="36"/>
      <c r="JR370" s="36"/>
      <c r="JS370" s="36"/>
      <c r="JT370" s="36"/>
      <c r="JU370" s="36"/>
      <c r="JV370" s="36"/>
      <c r="JW370" s="36"/>
      <c r="JX370" s="36"/>
      <c r="JY370" s="36"/>
      <c r="JZ370" s="36"/>
      <c r="KA370" s="36"/>
      <c r="KB370" s="36"/>
      <c r="KC370" s="37"/>
      <c r="KD370" s="44"/>
      <c r="KE370" s="36"/>
      <c r="KF370" s="36"/>
      <c r="KG370" s="36"/>
      <c r="KH370" s="36"/>
      <c r="KI370" s="36"/>
      <c r="KJ370" s="36"/>
      <c r="KK370" s="36"/>
      <c r="KL370" s="36"/>
      <c r="KM370" s="36"/>
      <c r="KN370" s="36"/>
      <c r="KO370" s="36"/>
      <c r="KP370" s="36"/>
      <c r="KQ370" s="36"/>
      <c r="KR370" s="36"/>
      <c r="KS370" s="36"/>
      <c r="KT370" s="37"/>
      <c r="KU370" s="36"/>
    </row>
    <row r="371" ht="15.0" customHeight="1">
      <c r="A371" s="44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7"/>
      <c r="R371" s="44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7"/>
      <c r="AI371" s="44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  <c r="AU371" s="36"/>
      <c r="AV371" s="36"/>
      <c r="AW371" s="36"/>
      <c r="AX371" s="36"/>
      <c r="AY371" s="37"/>
      <c r="AZ371" s="44"/>
      <c r="BA371" s="36"/>
      <c r="BB371" s="36"/>
      <c r="BC371" s="36"/>
      <c r="BD371" s="36"/>
      <c r="BE371" s="36"/>
      <c r="BF371" s="36"/>
      <c r="BG371" s="36"/>
      <c r="BH371" s="36"/>
      <c r="BI371" s="36"/>
      <c r="BJ371" s="36"/>
      <c r="BK371" s="36"/>
      <c r="BL371" s="36"/>
      <c r="BM371" s="36"/>
      <c r="BN371" s="36"/>
      <c r="BO371" s="36"/>
      <c r="BP371" s="37"/>
      <c r="BQ371" s="44"/>
      <c r="BR371" s="36"/>
      <c r="BS371" s="36"/>
      <c r="BT371" s="36"/>
      <c r="BU371" s="36"/>
      <c r="BV371" s="36"/>
      <c r="BW371" s="36"/>
      <c r="BX371" s="36"/>
      <c r="BY371" s="36"/>
      <c r="BZ371" s="36"/>
      <c r="CA371" s="36"/>
      <c r="CB371" s="36"/>
      <c r="CC371" s="36"/>
      <c r="CD371" s="36"/>
      <c r="CE371" s="36"/>
      <c r="CF371" s="36"/>
      <c r="CG371" s="37"/>
      <c r="CH371" s="44"/>
      <c r="CI371" s="36"/>
      <c r="CJ371" s="36"/>
      <c r="CK371" s="36"/>
      <c r="CL371" s="36"/>
      <c r="CM371" s="36"/>
      <c r="CN371" s="36"/>
      <c r="CO371" s="36"/>
      <c r="CP371" s="36"/>
      <c r="CQ371" s="36"/>
      <c r="CR371" s="36"/>
      <c r="CS371" s="36"/>
      <c r="CT371" s="36"/>
      <c r="CU371" s="36"/>
      <c r="CV371" s="36"/>
      <c r="CW371" s="36"/>
      <c r="CX371" s="37"/>
      <c r="CY371" s="44"/>
      <c r="CZ371" s="36"/>
      <c r="DA371" s="36"/>
      <c r="DB371" s="36"/>
      <c r="DC371" s="36"/>
      <c r="DD371" s="36"/>
      <c r="DE371" s="36"/>
      <c r="DF371" s="36"/>
      <c r="DG371" s="36"/>
      <c r="DH371" s="36"/>
      <c r="DI371" s="36"/>
      <c r="DJ371" s="36"/>
      <c r="DK371" s="36"/>
      <c r="DL371" s="36"/>
      <c r="DM371" s="36"/>
      <c r="DN371" s="36"/>
      <c r="DO371" s="37"/>
      <c r="DP371" s="44"/>
      <c r="DQ371" s="36"/>
      <c r="DR371" s="36"/>
      <c r="DS371" s="36"/>
      <c r="DT371" s="36"/>
      <c r="DU371" s="36"/>
      <c r="DV371" s="36"/>
      <c r="DW371" s="36"/>
      <c r="DX371" s="36"/>
      <c r="DY371" s="36"/>
      <c r="DZ371" s="36"/>
      <c r="EA371" s="36"/>
      <c r="EB371" s="36"/>
      <c r="EC371" s="36"/>
      <c r="ED371" s="36"/>
      <c r="EE371" s="36"/>
      <c r="EF371" s="37"/>
      <c r="EG371" s="44"/>
      <c r="EH371" s="36"/>
      <c r="EI371" s="36"/>
      <c r="EJ371" s="36"/>
      <c r="EK371" s="36"/>
      <c r="EL371" s="36"/>
      <c r="EM371" s="36"/>
      <c r="EN371" s="36"/>
      <c r="EO371" s="36"/>
      <c r="EP371" s="36"/>
      <c r="EQ371" s="36"/>
      <c r="ER371" s="36"/>
      <c r="ES371" s="36"/>
      <c r="ET371" s="36"/>
      <c r="EU371" s="36"/>
      <c r="EV371" s="36"/>
      <c r="EW371" s="37"/>
      <c r="EX371" s="44"/>
      <c r="EY371" s="36"/>
      <c r="EZ371" s="36"/>
      <c r="FA371" s="36"/>
      <c r="FB371" s="36"/>
      <c r="FC371" s="36"/>
      <c r="FD371" s="36"/>
      <c r="FE371" s="36"/>
      <c r="FF371" s="36"/>
      <c r="FG371" s="36"/>
      <c r="FH371" s="36"/>
      <c r="FI371" s="36"/>
      <c r="FJ371" s="36"/>
      <c r="FK371" s="36"/>
      <c r="FL371" s="36"/>
      <c r="FM371" s="36"/>
      <c r="FN371" s="37"/>
      <c r="FO371" s="44"/>
      <c r="FP371" s="36"/>
      <c r="FQ371" s="36"/>
      <c r="FR371" s="36"/>
      <c r="FS371" s="36"/>
      <c r="FT371" s="36"/>
      <c r="FU371" s="36"/>
      <c r="FV371" s="36"/>
      <c r="FW371" s="36"/>
      <c r="FX371" s="36"/>
      <c r="FY371" s="36"/>
      <c r="FZ371" s="36"/>
      <c r="GA371" s="36"/>
      <c r="GB371" s="36"/>
      <c r="GC371" s="36"/>
      <c r="GD371" s="36"/>
      <c r="GE371" s="37"/>
      <c r="GF371" s="44"/>
      <c r="GG371" s="36"/>
      <c r="GH371" s="36"/>
      <c r="GI371" s="36"/>
      <c r="GJ371" s="36"/>
      <c r="GK371" s="36"/>
      <c r="GL371" s="36"/>
      <c r="GM371" s="36"/>
      <c r="GN371" s="36"/>
      <c r="GO371" s="36"/>
      <c r="GP371" s="36"/>
      <c r="GQ371" s="36"/>
      <c r="GR371" s="36"/>
      <c r="GS371" s="36"/>
      <c r="GT371" s="36"/>
      <c r="GU371" s="36"/>
      <c r="GV371" s="37"/>
      <c r="GW371" s="44"/>
      <c r="GX371" s="36"/>
      <c r="GY371" s="36"/>
      <c r="GZ371" s="36"/>
      <c r="HA371" s="36"/>
      <c r="HB371" s="36"/>
      <c r="HC371" s="36"/>
      <c r="HD371" s="36"/>
      <c r="HE371" s="36"/>
      <c r="HF371" s="36"/>
      <c r="HG371" s="36"/>
      <c r="HH371" s="36"/>
      <c r="HI371" s="36"/>
      <c r="HJ371" s="36"/>
      <c r="HK371" s="36"/>
      <c r="HL371" s="36"/>
      <c r="HM371" s="37"/>
      <c r="HN371" s="44"/>
      <c r="HO371" s="36"/>
      <c r="HP371" s="36"/>
      <c r="HQ371" s="36"/>
      <c r="HR371" s="36"/>
      <c r="HS371" s="36"/>
      <c r="HT371" s="36"/>
      <c r="HU371" s="36"/>
      <c r="HV371" s="36"/>
      <c r="HW371" s="36"/>
      <c r="HX371" s="36"/>
      <c r="HY371" s="36"/>
      <c r="HZ371" s="36"/>
      <c r="IA371" s="36"/>
      <c r="IB371" s="36"/>
      <c r="IC371" s="36"/>
      <c r="ID371" s="37"/>
      <c r="IE371" s="44"/>
      <c r="IF371" s="36"/>
      <c r="IG371" s="36"/>
      <c r="IH371" s="36"/>
      <c r="II371" s="36"/>
      <c r="IJ371" s="36"/>
      <c r="IK371" s="36"/>
      <c r="IL371" s="36"/>
      <c r="IM371" s="36"/>
      <c r="IN371" s="36"/>
      <c r="IO371" s="36"/>
      <c r="IP371" s="36"/>
      <c r="IQ371" s="36"/>
      <c r="IR371" s="36"/>
      <c r="IS371" s="36"/>
      <c r="IT371" s="36"/>
      <c r="IU371" s="37"/>
      <c r="IV371" s="44"/>
      <c r="IW371" s="36"/>
      <c r="IX371" s="36"/>
      <c r="IY371" s="36"/>
      <c r="IZ371" s="36"/>
      <c r="JA371" s="36"/>
      <c r="JB371" s="36"/>
      <c r="JC371" s="36"/>
      <c r="JD371" s="36"/>
      <c r="JE371" s="36"/>
      <c r="JF371" s="36"/>
      <c r="JG371" s="36"/>
      <c r="JH371" s="36"/>
      <c r="JI371" s="36"/>
      <c r="JJ371" s="36"/>
      <c r="JK371" s="36"/>
      <c r="JL371" s="37"/>
      <c r="JM371" s="44"/>
      <c r="JN371" s="36"/>
      <c r="JO371" s="36"/>
      <c r="JP371" s="36"/>
      <c r="JQ371" s="36"/>
      <c r="JR371" s="36"/>
      <c r="JS371" s="36"/>
      <c r="JT371" s="36"/>
      <c r="JU371" s="36"/>
      <c r="JV371" s="36"/>
      <c r="JW371" s="36"/>
      <c r="JX371" s="36"/>
      <c r="JY371" s="36"/>
      <c r="JZ371" s="36"/>
      <c r="KA371" s="36"/>
      <c r="KB371" s="36"/>
      <c r="KC371" s="37"/>
      <c r="KD371" s="44"/>
      <c r="KE371" s="36"/>
      <c r="KF371" s="36"/>
      <c r="KG371" s="36"/>
      <c r="KH371" s="36"/>
      <c r="KI371" s="36"/>
      <c r="KJ371" s="36"/>
      <c r="KK371" s="36"/>
      <c r="KL371" s="36"/>
      <c r="KM371" s="36"/>
      <c r="KN371" s="36"/>
      <c r="KO371" s="36"/>
      <c r="KP371" s="36"/>
      <c r="KQ371" s="36"/>
      <c r="KR371" s="36"/>
      <c r="KS371" s="36"/>
      <c r="KT371" s="37"/>
      <c r="KU371" s="36"/>
    </row>
    <row r="372" ht="15.0" customHeight="1">
      <c r="A372" s="44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7"/>
      <c r="R372" s="44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7"/>
      <c r="AI372" s="44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  <c r="AU372" s="36"/>
      <c r="AV372" s="36"/>
      <c r="AW372" s="36"/>
      <c r="AX372" s="36"/>
      <c r="AY372" s="37"/>
      <c r="AZ372" s="44"/>
      <c r="BA372" s="36"/>
      <c r="BB372" s="36"/>
      <c r="BC372" s="36"/>
      <c r="BD372" s="36"/>
      <c r="BE372" s="36"/>
      <c r="BF372" s="36"/>
      <c r="BG372" s="36"/>
      <c r="BH372" s="36"/>
      <c r="BI372" s="36"/>
      <c r="BJ372" s="36"/>
      <c r="BK372" s="36"/>
      <c r="BL372" s="36"/>
      <c r="BM372" s="36"/>
      <c r="BN372" s="36"/>
      <c r="BO372" s="36"/>
      <c r="BP372" s="37"/>
      <c r="BQ372" s="44"/>
      <c r="BR372" s="36"/>
      <c r="BS372" s="36"/>
      <c r="BT372" s="36"/>
      <c r="BU372" s="36"/>
      <c r="BV372" s="36"/>
      <c r="BW372" s="36"/>
      <c r="BX372" s="36"/>
      <c r="BY372" s="36"/>
      <c r="BZ372" s="36"/>
      <c r="CA372" s="36"/>
      <c r="CB372" s="36"/>
      <c r="CC372" s="36"/>
      <c r="CD372" s="36"/>
      <c r="CE372" s="36"/>
      <c r="CF372" s="36"/>
      <c r="CG372" s="37"/>
      <c r="CH372" s="44"/>
      <c r="CI372" s="36"/>
      <c r="CJ372" s="36"/>
      <c r="CK372" s="36"/>
      <c r="CL372" s="36"/>
      <c r="CM372" s="36"/>
      <c r="CN372" s="36"/>
      <c r="CO372" s="36"/>
      <c r="CP372" s="36"/>
      <c r="CQ372" s="36"/>
      <c r="CR372" s="36"/>
      <c r="CS372" s="36"/>
      <c r="CT372" s="36"/>
      <c r="CU372" s="36"/>
      <c r="CV372" s="36"/>
      <c r="CW372" s="36"/>
      <c r="CX372" s="37"/>
      <c r="CY372" s="44"/>
      <c r="CZ372" s="36"/>
      <c r="DA372" s="36"/>
      <c r="DB372" s="36"/>
      <c r="DC372" s="36"/>
      <c r="DD372" s="36"/>
      <c r="DE372" s="36"/>
      <c r="DF372" s="36"/>
      <c r="DG372" s="36"/>
      <c r="DH372" s="36"/>
      <c r="DI372" s="36"/>
      <c r="DJ372" s="36"/>
      <c r="DK372" s="36"/>
      <c r="DL372" s="36"/>
      <c r="DM372" s="36"/>
      <c r="DN372" s="36"/>
      <c r="DO372" s="37"/>
      <c r="DP372" s="44"/>
      <c r="DQ372" s="36"/>
      <c r="DR372" s="36"/>
      <c r="DS372" s="36"/>
      <c r="DT372" s="36"/>
      <c r="DU372" s="36"/>
      <c r="DV372" s="36"/>
      <c r="DW372" s="36"/>
      <c r="DX372" s="36"/>
      <c r="DY372" s="36"/>
      <c r="DZ372" s="36"/>
      <c r="EA372" s="36"/>
      <c r="EB372" s="36"/>
      <c r="EC372" s="36"/>
      <c r="ED372" s="36"/>
      <c r="EE372" s="36"/>
      <c r="EF372" s="37"/>
      <c r="EG372" s="44"/>
      <c r="EH372" s="36"/>
      <c r="EI372" s="36"/>
      <c r="EJ372" s="36"/>
      <c r="EK372" s="36"/>
      <c r="EL372" s="36"/>
      <c r="EM372" s="36"/>
      <c r="EN372" s="36"/>
      <c r="EO372" s="36"/>
      <c r="EP372" s="36"/>
      <c r="EQ372" s="36"/>
      <c r="ER372" s="36"/>
      <c r="ES372" s="36"/>
      <c r="ET372" s="36"/>
      <c r="EU372" s="36"/>
      <c r="EV372" s="36"/>
      <c r="EW372" s="37"/>
      <c r="EX372" s="44"/>
      <c r="EY372" s="36"/>
      <c r="EZ372" s="36"/>
      <c r="FA372" s="36"/>
      <c r="FB372" s="36"/>
      <c r="FC372" s="36"/>
      <c r="FD372" s="36"/>
      <c r="FE372" s="36"/>
      <c r="FF372" s="36"/>
      <c r="FG372" s="36"/>
      <c r="FH372" s="36"/>
      <c r="FI372" s="36"/>
      <c r="FJ372" s="36"/>
      <c r="FK372" s="36"/>
      <c r="FL372" s="36"/>
      <c r="FM372" s="36"/>
      <c r="FN372" s="37"/>
      <c r="FO372" s="44"/>
      <c r="FP372" s="36"/>
      <c r="FQ372" s="36"/>
      <c r="FR372" s="36"/>
      <c r="FS372" s="36"/>
      <c r="FT372" s="36"/>
      <c r="FU372" s="36"/>
      <c r="FV372" s="36"/>
      <c r="FW372" s="36"/>
      <c r="FX372" s="36"/>
      <c r="FY372" s="36"/>
      <c r="FZ372" s="36"/>
      <c r="GA372" s="36"/>
      <c r="GB372" s="36"/>
      <c r="GC372" s="36"/>
      <c r="GD372" s="36"/>
      <c r="GE372" s="37"/>
      <c r="GF372" s="44"/>
      <c r="GG372" s="36"/>
      <c r="GH372" s="36"/>
      <c r="GI372" s="36"/>
      <c r="GJ372" s="36"/>
      <c r="GK372" s="36"/>
      <c r="GL372" s="36"/>
      <c r="GM372" s="36"/>
      <c r="GN372" s="36"/>
      <c r="GO372" s="36"/>
      <c r="GP372" s="36"/>
      <c r="GQ372" s="36"/>
      <c r="GR372" s="36"/>
      <c r="GS372" s="36"/>
      <c r="GT372" s="36"/>
      <c r="GU372" s="36"/>
      <c r="GV372" s="37"/>
      <c r="GW372" s="44"/>
      <c r="GX372" s="36"/>
      <c r="GY372" s="36"/>
      <c r="GZ372" s="36"/>
      <c r="HA372" s="36"/>
      <c r="HB372" s="36"/>
      <c r="HC372" s="36"/>
      <c r="HD372" s="36"/>
      <c r="HE372" s="36"/>
      <c r="HF372" s="36"/>
      <c r="HG372" s="36"/>
      <c r="HH372" s="36"/>
      <c r="HI372" s="36"/>
      <c r="HJ372" s="36"/>
      <c r="HK372" s="36"/>
      <c r="HL372" s="36"/>
      <c r="HM372" s="37"/>
      <c r="HN372" s="44"/>
      <c r="HO372" s="36"/>
      <c r="HP372" s="36"/>
      <c r="HQ372" s="36"/>
      <c r="HR372" s="36"/>
      <c r="HS372" s="36"/>
      <c r="HT372" s="36"/>
      <c r="HU372" s="36"/>
      <c r="HV372" s="36"/>
      <c r="HW372" s="36"/>
      <c r="HX372" s="36"/>
      <c r="HY372" s="36"/>
      <c r="HZ372" s="36"/>
      <c r="IA372" s="36"/>
      <c r="IB372" s="36"/>
      <c r="IC372" s="36"/>
      <c r="ID372" s="37"/>
      <c r="IE372" s="44"/>
      <c r="IF372" s="36"/>
      <c r="IG372" s="36"/>
      <c r="IH372" s="36"/>
      <c r="II372" s="36"/>
      <c r="IJ372" s="36"/>
      <c r="IK372" s="36"/>
      <c r="IL372" s="36"/>
      <c r="IM372" s="36"/>
      <c r="IN372" s="36"/>
      <c r="IO372" s="36"/>
      <c r="IP372" s="36"/>
      <c r="IQ372" s="36"/>
      <c r="IR372" s="36"/>
      <c r="IS372" s="36"/>
      <c r="IT372" s="36"/>
      <c r="IU372" s="37"/>
      <c r="IV372" s="44"/>
      <c r="IW372" s="36"/>
      <c r="IX372" s="36"/>
      <c r="IY372" s="36"/>
      <c r="IZ372" s="36"/>
      <c r="JA372" s="36"/>
      <c r="JB372" s="36"/>
      <c r="JC372" s="36"/>
      <c r="JD372" s="36"/>
      <c r="JE372" s="36"/>
      <c r="JF372" s="36"/>
      <c r="JG372" s="36"/>
      <c r="JH372" s="36"/>
      <c r="JI372" s="36"/>
      <c r="JJ372" s="36"/>
      <c r="JK372" s="36"/>
      <c r="JL372" s="37"/>
      <c r="JM372" s="44"/>
      <c r="JN372" s="36"/>
      <c r="JO372" s="36"/>
      <c r="JP372" s="36"/>
      <c r="JQ372" s="36"/>
      <c r="JR372" s="36"/>
      <c r="JS372" s="36"/>
      <c r="JT372" s="36"/>
      <c r="JU372" s="36"/>
      <c r="JV372" s="36"/>
      <c r="JW372" s="36"/>
      <c r="JX372" s="36"/>
      <c r="JY372" s="36"/>
      <c r="JZ372" s="36"/>
      <c r="KA372" s="36"/>
      <c r="KB372" s="36"/>
      <c r="KC372" s="37"/>
      <c r="KD372" s="44"/>
      <c r="KE372" s="36"/>
      <c r="KF372" s="36"/>
      <c r="KG372" s="36"/>
      <c r="KH372" s="36"/>
      <c r="KI372" s="36"/>
      <c r="KJ372" s="36"/>
      <c r="KK372" s="36"/>
      <c r="KL372" s="36"/>
      <c r="KM372" s="36"/>
      <c r="KN372" s="36"/>
      <c r="KO372" s="36"/>
      <c r="KP372" s="36"/>
      <c r="KQ372" s="36"/>
      <c r="KR372" s="36"/>
      <c r="KS372" s="36"/>
      <c r="KT372" s="37"/>
      <c r="KU372" s="36"/>
    </row>
    <row r="373" ht="15.0" customHeight="1">
      <c r="A373" s="44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7"/>
      <c r="R373" s="44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7"/>
      <c r="AI373" s="44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  <c r="AU373" s="36"/>
      <c r="AV373" s="36"/>
      <c r="AW373" s="36"/>
      <c r="AX373" s="36"/>
      <c r="AY373" s="37"/>
      <c r="AZ373" s="44"/>
      <c r="BA373" s="36"/>
      <c r="BB373" s="36"/>
      <c r="BC373" s="36"/>
      <c r="BD373" s="36"/>
      <c r="BE373" s="36"/>
      <c r="BF373" s="36"/>
      <c r="BG373" s="36"/>
      <c r="BH373" s="36"/>
      <c r="BI373" s="36"/>
      <c r="BJ373" s="36"/>
      <c r="BK373" s="36"/>
      <c r="BL373" s="36"/>
      <c r="BM373" s="36"/>
      <c r="BN373" s="36"/>
      <c r="BO373" s="36"/>
      <c r="BP373" s="37"/>
      <c r="BQ373" s="44"/>
      <c r="BR373" s="36"/>
      <c r="BS373" s="36"/>
      <c r="BT373" s="36"/>
      <c r="BU373" s="36"/>
      <c r="BV373" s="36"/>
      <c r="BW373" s="36"/>
      <c r="BX373" s="36"/>
      <c r="BY373" s="36"/>
      <c r="BZ373" s="36"/>
      <c r="CA373" s="36"/>
      <c r="CB373" s="36"/>
      <c r="CC373" s="36"/>
      <c r="CD373" s="36"/>
      <c r="CE373" s="36"/>
      <c r="CF373" s="36"/>
      <c r="CG373" s="37"/>
      <c r="CH373" s="44"/>
      <c r="CI373" s="36"/>
      <c r="CJ373" s="36"/>
      <c r="CK373" s="36"/>
      <c r="CL373" s="36"/>
      <c r="CM373" s="36"/>
      <c r="CN373" s="36"/>
      <c r="CO373" s="36"/>
      <c r="CP373" s="36"/>
      <c r="CQ373" s="36"/>
      <c r="CR373" s="36"/>
      <c r="CS373" s="36"/>
      <c r="CT373" s="36"/>
      <c r="CU373" s="36"/>
      <c r="CV373" s="36"/>
      <c r="CW373" s="36"/>
      <c r="CX373" s="37"/>
      <c r="CY373" s="44"/>
      <c r="CZ373" s="36"/>
      <c r="DA373" s="36"/>
      <c r="DB373" s="36"/>
      <c r="DC373" s="36"/>
      <c r="DD373" s="36"/>
      <c r="DE373" s="36"/>
      <c r="DF373" s="36"/>
      <c r="DG373" s="36"/>
      <c r="DH373" s="36"/>
      <c r="DI373" s="36"/>
      <c r="DJ373" s="36"/>
      <c r="DK373" s="36"/>
      <c r="DL373" s="36"/>
      <c r="DM373" s="36"/>
      <c r="DN373" s="36"/>
      <c r="DO373" s="37"/>
      <c r="DP373" s="44"/>
      <c r="DQ373" s="36"/>
      <c r="DR373" s="36"/>
      <c r="DS373" s="36"/>
      <c r="DT373" s="36"/>
      <c r="DU373" s="36"/>
      <c r="DV373" s="36"/>
      <c r="DW373" s="36"/>
      <c r="DX373" s="36"/>
      <c r="DY373" s="36"/>
      <c r="DZ373" s="36"/>
      <c r="EA373" s="36"/>
      <c r="EB373" s="36"/>
      <c r="EC373" s="36"/>
      <c r="ED373" s="36"/>
      <c r="EE373" s="36"/>
      <c r="EF373" s="37"/>
      <c r="EG373" s="44"/>
      <c r="EH373" s="36"/>
      <c r="EI373" s="36"/>
      <c r="EJ373" s="36"/>
      <c r="EK373" s="36"/>
      <c r="EL373" s="36"/>
      <c r="EM373" s="36"/>
      <c r="EN373" s="36"/>
      <c r="EO373" s="36"/>
      <c r="EP373" s="36"/>
      <c r="EQ373" s="36"/>
      <c r="ER373" s="36"/>
      <c r="ES373" s="36"/>
      <c r="ET373" s="36"/>
      <c r="EU373" s="36"/>
      <c r="EV373" s="36"/>
      <c r="EW373" s="37"/>
      <c r="EX373" s="44"/>
      <c r="EY373" s="36"/>
      <c r="EZ373" s="36"/>
      <c r="FA373" s="36"/>
      <c r="FB373" s="36"/>
      <c r="FC373" s="36"/>
      <c r="FD373" s="36"/>
      <c r="FE373" s="36"/>
      <c r="FF373" s="36"/>
      <c r="FG373" s="36"/>
      <c r="FH373" s="36"/>
      <c r="FI373" s="36"/>
      <c r="FJ373" s="36"/>
      <c r="FK373" s="36"/>
      <c r="FL373" s="36"/>
      <c r="FM373" s="36"/>
      <c r="FN373" s="37"/>
      <c r="FO373" s="44"/>
      <c r="FP373" s="36"/>
      <c r="FQ373" s="36"/>
      <c r="FR373" s="36"/>
      <c r="FS373" s="36"/>
      <c r="FT373" s="36"/>
      <c r="FU373" s="36"/>
      <c r="FV373" s="36"/>
      <c r="FW373" s="36"/>
      <c r="FX373" s="36"/>
      <c r="FY373" s="36"/>
      <c r="FZ373" s="36"/>
      <c r="GA373" s="36"/>
      <c r="GB373" s="36"/>
      <c r="GC373" s="36"/>
      <c r="GD373" s="36"/>
      <c r="GE373" s="37"/>
      <c r="GF373" s="44"/>
      <c r="GG373" s="36"/>
      <c r="GH373" s="36"/>
      <c r="GI373" s="36"/>
      <c r="GJ373" s="36"/>
      <c r="GK373" s="36"/>
      <c r="GL373" s="36"/>
      <c r="GM373" s="36"/>
      <c r="GN373" s="36"/>
      <c r="GO373" s="36"/>
      <c r="GP373" s="36"/>
      <c r="GQ373" s="36"/>
      <c r="GR373" s="36"/>
      <c r="GS373" s="36"/>
      <c r="GT373" s="36"/>
      <c r="GU373" s="36"/>
      <c r="GV373" s="37"/>
      <c r="GW373" s="44"/>
      <c r="GX373" s="36"/>
      <c r="GY373" s="36"/>
      <c r="GZ373" s="36"/>
      <c r="HA373" s="36"/>
      <c r="HB373" s="36"/>
      <c r="HC373" s="36"/>
      <c r="HD373" s="36"/>
      <c r="HE373" s="36"/>
      <c r="HF373" s="36"/>
      <c r="HG373" s="36"/>
      <c r="HH373" s="36"/>
      <c r="HI373" s="36"/>
      <c r="HJ373" s="36"/>
      <c r="HK373" s="36"/>
      <c r="HL373" s="36"/>
      <c r="HM373" s="37"/>
      <c r="HN373" s="44"/>
      <c r="HO373" s="36"/>
      <c r="HP373" s="36"/>
      <c r="HQ373" s="36"/>
      <c r="HR373" s="36"/>
      <c r="HS373" s="36"/>
      <c r="HT373" s="36"/>
      <c r="HU373" s="36"/>
      <c r="HV373" s="36"/>
      <c r="HW373" s="36"/>
      <c r="HX373" s="36"/>
      <c r="HY373" s="36"/>
      <c r="HZ373" s="36"/>
      <c r="IA373" s="36"/>
      <c r="IB373" s="36"/>
      <c r="IC373" s="36"/>
      <c r="ID373" s="37"/>
      <c r="IE373" s="44"/>
      <c r="IF373" s="36"/>
      <c r="IG373" s="36"/>
      <c r="IH373" s="36"/>
      <c r="II373" s="36"/>
      <c r="IJ373" s="36"/>
      <c r="IK373" s="36"/>
      <c r="IL373" s="36"/>
      <c r="IM373" s="36"/>
      <c r="IN373" s="36"/>
      <c r="IO373" s="36"/>
      <c r="IP373" s="36"/>
      <c r="IQ373" s="36"/>
      <c r="IR373" s="36"/>
      <c r="IS373" s="36"/>
      <c r="IT373" s="36"/>
      <c r="IU373" s="37"/>
      <c r="IV373" s="44"/>
      <c r="IW373" s="36"/>
      <c r="IX373" s="36"/>
      <c r="IY373" s="36"/>
      <c r="IZ373" s="36"/>
      <c r="JA373" s="36"/>
      <c r="JB373" s="36"/>
      <c r="JC373" s="36"/>
      <c r="JD373" s="36"/>
      <c r="JE373" s="36"/>
      <c r="JF373" s="36"/>
      <c r="JG373" s="36"/>
      <c r="JH373" s="36"/>
      <c r="JI373" s="36"/>
      <c r="JJ373" s="36"/>
      <c r="JK373" s="36"/>
      <c r="JL373" s="37"/>
      <c r="JM373" s="44"/>
      <c r="JN373" s="36"/>
      <c r="JO373" s="36"/>
      <c r="JP373" s="36"/>
      <c r="JQ373" s="36"/>
      <c r="JR373" s="36"/>
      <c r="JS373" s="36"/>
      <c r="JT373" s="36"/>
      <c r="JU373" s="36"/>
      <c r="JV373" s="36"/>
      <c r="JW373" s="36"/>
      <c r="JX373" s="36"/>
      <c r="JY373" s="36"/>
      <c r="JZ373" s="36"/>
      <c r="KA373" s="36"/>
      <c r="KB373" s="36"/>
      <c r="KC373" s="37"/>
      <c r="KD373" s="44"/>
      <c r="KE373" s="36"/>
      <c r="KF373" s="36"/>
      <c r="KG373" s="36"/>
      <c r="KH373" s="36"/>
      <c r="KI373" s="36"/>
      <c r="KJ373" s="36"/>
      <c r="KK373" s="36"/>
      <c r="KL373" s="36"/>
      <c r="KM373" s="36"/>
      <c r="KN373" s="36"/>
      <c r="KO373" s="36"/>
      <c r="KP373" s="36"/>
      <c r="KQ373" s="36"/>
      <c r="KR373" s="36"/>
      <c r="KS373" s="36"/>
      <c r="KT373" s="37"/>
      <c r="KU373" s="36"/>
    </row>
    <row r="374" ht="15.0" customHeight="1">
      <c r="A374" s="44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7"/>
      <c r="R374" s="44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7"/>
      <c r="AI374" s="44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  <c r="AU374" s="36"/>
      <c r="AV374" s="36"/>
      <c r="AW374" s="36"/>
      <c r="AX374" s="36"/>
      <c r="AY374" s="37"/>
      <c r="AZ374" s="44"/>
      <c r="BA374" s="36"/>
      <c r="BB374" s="36"/>
      <c r="BC374" s="36"/>
      <c r="BD374" s="36"/>
      <c r="BE374" s="36"/>
      <c r="BF374" s="36"/>
      <c r="BG374" s="36"/>
      <c r="BH374" s="36"/>
      <c r="BI374" s="36"/>
      <c r="BJ374" s="36"/>
      <c r="BK374" s="36"/>
      <c r="BL374" s="36"/>
      <c r="BM374" s="36"/>
      <c r="BN374" s="36"/>
      <c r="BO374" s="36"/>
      <c r="BP374" s="37"/>
      <c r="BQ374" s="44"/>
      <c r="BR374" s="36"/>
      <c r="BS374" s="36"/>
      <c r="BT374" s="36"/>
      <c r="BU374" s="36"/>
      <c r="BV374" s="36"/>
      <c r="BW374" s="36"/>
      <c r="BX374" s="36"/>
      <c r="BY374" s="36"/>
      <c r="BZ374" s="36"/>
      <c r="CA374" s="36"/>
      <c r="CB374" s="36"/>
      <c r="CC374" s="36"/>
      <c r="CD374" s="36"/>
      <c r="CE374" s="36"/>
      <c r="CF374" s="36"/>
      <c r="CG374" s="37"/>
      <c r="CH374" s="44"/>
      <c r="CI374" s="36"/>
      <c r="CJ374" s="36"/>
      <c r="CK374" s="36"/>
      <c r="CL374" s="36"/>
      <c r="CM374" s="36"/>
      <c r="CN374" s="36"/>
      <c r="CO374" s="36"/>
      <c r="CP374" s="36"/>
      <c r="CQ374" s="36"/>
      <c r="CR374" s="36"/>
      <c r="CS374" s="36"/>
      <c r="CT374" s="36"/>
      <c r="CU374" s="36"/>
      <c r="CV374" s="36"/>
      <c r="CW374" s="36"/>
      <c r="CX374" s="37"/>
      <c r="CY374" s="44"/>
      <c r="CZ374" s="36"/>
      <c r="DA374" s="36"/>
      <c r="DB374" s="36"/>
      <c r="DC374" s="36"/>
      <c r="DD374" s="36"/>
      <c r="DE374" s="36"/>
      <c r="DF374" s="36"/>
      <c r="DG374" s="36"/>
      <c r="DH374" s="36"/>
      <c r="DI374" s="36"/>
      <c r="DJ374" s="36"/>
      <c r="DK374" s="36"/>
      <c r="DL374" s="36"/>
      <c r="DM374" s="36"/>
      <c r="DN374" s="36"/>
      <c r="DO374" s="37"/>
      <c r="DP374" s="44"/>
      <c r="DQ374" s="36"/>
      <c r="DR374" s="36"/>
      <c r="DS374" s="36"/>
      <c r="DT374" s="36"/>
      <c r="DU374" s="36"/>
      <c r="DV374" s="36"/>
      <c r="DW374" s="36"/>
      <c r="DX374" s="36"/>
      <c r="DY374" s="36"/>
      <c r="DZ374" s="36"/>
      <c r="EA374" s="36"/>
      <c r="EB374" s="36"/>
      <c r="EC374" s="36"/>
      <c r="ED374" s="36"/>
      <c r="EE374" s="36"/>
      <c r="EF374" s="37"/>
      <c r="EG374" s="44"/>
      <c r="EH374" s="36"/>
      <c r="EI374" s="36"/>
      <c r="EJ374" s="36"/>
      <c r="EK374" s="36"/>
      <c r="EL374" s="36"/>
      <c r="EM374" s="36"/>
      <c r="EN374" s="36"/>
      <c r="EO374" s="36"/>
      <c r="EP374" s="36"/>
      <c r="EQ374" s="36"/>
      <c r="ER374" s="36"/>
      <c r="ES374" s="36"/>
      <c r="ET374" s="36"/>
      <c r="EU374" s="36"/>
      <c r="EV374" s="36"/>
      <c r="EW374" s="37"/>
      <c r="EX374" s="44"/>
      <c r="EY374" s="36"/>
      <c r="EZ374" s="36"/>
      <c r="FA374" s="36"/>
      <c r="FB374" s="36"/>
      <c r="FC374" s="36"/>
      <c r="FD374" s="36"/>
      <c r="FE374" s="36"/>
      <c r="FF374" s="36"/>
      <c r="FG374" s="36"/>
      <c r="FH374" s="36"/>
      <c r="FI374" s="36"/>
      <c r="FJ374" s="36"/>
      <c r="FK374" s="36"/>
      <c r="FL374" s="36"/>
      <c r="FM374" s="36"/>
      <c r="FN374" s="37"/>
      <c r="FO374" s="44"/>
      <c r="FP374" s="36"/>
      <c r="FQ374" s="36"/>
      <c r="FR374" s="36"/>
      <c r="FS374" s="36"/>
      <c r="FT374" s="36"/>
      <c r="FU374" s="36"/>
      <c r="FV374" s="36"/>
      <c r="FW374" s="36"/>
      <c r="FX374" s="36"/>
      <c r="FY374" s="36"/>
      <c r="FZ374" s="36"/>
      <c r="GA374" s="36"/>
      <c r="GB374" s="36"/>
      <c r="GC374" s="36"/>
      <c r="GD374" s="36"/>
      <c r="GE374" s="37"/>
      <c r="GF374" s="44"/>
      <c r="GG374" s="36"/>
      <c r="GH374" s="36"/>
      <c r="GI374" s="36"/>
      <c r="GJ374" s="36"/>
      <c r="GK374" s="36"/>
      <c r="GL374" s="36"/>
      <c r="GM374" s="36"/>
      <c r="GN374" s="36"/>
      <c r="GO374" s="36"/>
      <c r="GP374" s="36"/>
      <c r="GQ374" s="36"/>
      <c r="GR374" s="36"/>
      <c r="GS374" s="36"/>
      <c r="GT374" s="36"/>
      <c r="GU374" s="36"/>
      <c r="GV374" s="37"/>
      <c r="GW374" s="44"/>
      <c r="GX374" s="36"/>
      <c r="GY374" s="36"/>
      <c r="GZ374" s="36"/>
      <c r="HA374" s="36"/>
      <c r="HB374" s="36"/>
      <c r="HC374" s="36"/>
      <c r="HD374" s="36"/>
      <c r="HE374" s="36"/>
      <c r="HF374" s="36"/>
      <c r="HG374" s="36"/>
      <c r="HH374" s="36"/>
      <c r="HI374" s="36"/>
      <c r="HJ374" s="36"/>
      <c r="HK374" s="36"/>
      <c r="HL374" s="36"/>
      <c r="HM374" s="37"/>
      <c r="HN374" s="44"/>
      <c r="HO374" s="36"/>
      <c r="HP374" s="36"/>
      <c r="HQ374" s="36"/>
      <c r="HR374" s="36"/>
      <c r="HS374" s="36"/>
      <c r="HT374" s="36"/>
      <c r="HU374" s="36"/>
      <c r="HV374" s="36"/>
      <c r="HW374" s="36"/>
      <c r="HX374" s="36"/>
      <c r="HY374" s="36"/>
      <c r="HZ374" s="36"/>
      <c r="IA374" s="36"/>
      <c r="IB374" s="36"/>
      <c r="IC374" s="36"/>
      <c r="ID374" s="37"/>
      <c r="IE374" s="44"/>
      <c r="IF374" s="36"/>
      <c r="IG374" s="36"/>
      <c r="IH374" s="36"/>
      <c r="II374" s="36"/>
      <c r="IJ374" s="36"/>
      <c r="IK374" s="36"/>
      <c r="IL374" s="36"/>
      <c r="IM374" s="36"/>
      <c r="IN374" s="36"/>
      <c r="IO374" s="36"/>
      <c r="IP374" s="36"/>
      <c r="IQ374" s="36"/>
      <c r="IR374" s="36"/>
      <c r="IS374" s="36"/>
      <c r="IT374" s="36"/>
      <c r="IU374" s="37"/>
      <c r="IV374" s="44"/>
      <c r="IW374" s="36"/>
      <c r="IX374" s="36"/>
      <c r="IY374" s="36"/>
      <c r="IZ374" s="36"/>
      <c r="JA374" s="36"/>
      <c r="JB374" s="36"/>
      <c r="JC374" s="36"/>
      <c r="JD374" s="36"/>
      <c r="JE374" s="36"/>
      <c r="JF374" s="36"/>
      <c r="JG374" s="36"/>
      <c r="JH374" s="36"/>
      <c r="JI374" s="36"/>
      <c r="JJ374" s="36"/>
      <c r="JK374" s="36"/>
      <c r="JL374" s="37"/>
      <c r="JM374" s="44"/>
      <c r="JN374" s="36"/>
      <c r="JO374" s="36"/>
      <c r="JP374" s="36"/>
      <c r="JQ374" s="36"/>
      <c r="JR374" s="36"/>
      <c r="JS374" s="36"/>
      <c r="JT374" s="36"/>
      <c r="JU374" s="36"/>
      <c r="JV374" s="36"/>
      <c r="JW374" s="36"/>
      <c r="JX374" s="36"/>
      <c r="JY374" s="36"/>
      <c r="JZ374" s="36"/>
      <c r="KA374" s="36"/>
      <c r="KB374" s="36"/>
      <c r="KC374" s="37"/>
      <c r="KD374" s="44"/>
      <c r="KE374" s="36"/>
      <c r="KF374" s="36"/>
      <c r="KG374" s="36"/>
      <c r="KH374" s="36"/>
      <c r="KI374" s="36"/>
      <c r="KJ374" s="36"/>
      <c r="KK374" s="36"/>
      <c r="KL374" s="36"/>
      <c r="KM374" s="36"/>
      <c r="KN374" s="36"/>
      <c r="KO374" s="36"/>
      <c r="KP374" s="36"/>
      <c r="KQ374" s="36"/>
      <c r="KR374" s="36"/>
      <c r="KS374" s="36"/>
      <c r="KT374" s="37"/>
      <c r="KU374" s="36"/>
    </row>
    <row r="375" ht="15.0" customHeight="1">
      <c r="A375" s="44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7"/>
      <c r="R375" s="44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7"/>
      <c r="AI375" s="44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36"/>
      <c r="AU375" s="36"/>
      <c r="AV375" s="36"/>
      <c r="AW375" s="36"/>
      <c r="AX375" s="36"/>
      <c r="AY375" s="37"/>
      <c r="AZ375" s="44"/>
      <c r="BA375" s="36"/>
      <c r="BB375" s="36"/>
      <c r="BC375" s="36"/>
      <c r="BD375" s="36"/>
      <c r="BE375" s="36"/>
      <c r="BF375" s="36"/>
      <c r="BG375" s="36"/>
      <c r="BH375" s="36"/>
      <c r="BI375" s="36"/>
      <c r="BJ375" s="36"/>
      <c r="BK375" s="36"/>
      <c r="BL375" s="36"/>
      <c r="BM375" s="36"/>
      <c r="BN375" s="36"/>
      <c r="BO375" s="36"/>
      <c r="BP375" s="37"/>
      <c r="BQ375" s="44"/>
      <c r="BR375" s="36"/>
      <c r="BS375" s="36"/>
      <c r="BT375" s="36"/>
      <c r="BU375" s="36"/>
      <c r="BV375" s="36"/>
      <c r="BW375" s="36"/>
      <c r="BX375" s="36"/>
      <c r="BY375" s="36"/>
      <c r="BZ375" s="36"/>
      <c r="CA375" s="36"/>
      <c r="CB375" s="36"/>
      <c r="CC375" s="36"/>
      <c r="CD375" s="36"/>
      <c r="CE375" s="36"/>
      <c r="CF375" s="36"/>
      <c r="CG375" s="37"/>
      <c r="CH375" s="44"/>
      <c r="CI375" s="36"/>
      <c r="CJ375" s="36"/>
      <c r="CK375" s="36"/>
      <c r="CL375" s="36"/>
      <c r="CM375" s="36"/>
      <c r="CN375" s="36"/>
      <c r="CO375" s="36"/>
      <c r="CP375" s="36"/>
      <c r="CQ375" s="36"/>
      <c r="CR375" s="36"/>
      <c r="CS375" s="36"/>
      <c r="CT375" s="36"/>
      <c r="CU375" s="36"/>
      <c r="CV375" s="36"/>
      <c r="CW375" s="36"/>
      <c r="CX375" s="37"/>
      <c r="CY375" s="44"/>
      <c r="CZ375" s="36"/>
      <c r="DA375" s="36"/>
      <c r="DB375" s="36"/>
      <c r="DC375" s="36"/>
      <c r="DD375" s="36"/>
      <c r="DE375" s="36"/>
      <c r="DF375" s="36"/>
      <c r="DG375" s="36"/>
      <c r="DH375" s="36"/>
      <c r="DI375" s="36"/>
      <c r="DJ375" s="36"/>
      <c r="DK375" s="36"/>
      <c r="DL375" s="36"/>
      <c r="DM375" s="36"/>
      <c r="DN375" s="36"/>
      <c r="DO375" s="37"/>
      <c r="DP375" s="44"/>
      <c r="DQ375" s="36"/>
      <c r="DR375" s="36"/>
      <c r="DS375" s="36"/>
      <c r="DT375" s="36"/>
      <c r="DU375" s="36"/>
      <c r="DV375" s="36"/>
      <c r="DW375" s="36"/>
      <c r="DX375" s="36"/>
      <c r="DY375" s="36"/>
      <c r="DZ375" s="36"/>
      <c r="EA375" s="36"/>
      <c r="EB375" s="36"/>
      <c r="EC375" s="36"/>
      <c r="ED375" s="36"/>
      <c r="EE375" s="36"/>
      <c r="EF375" s="37"/>
      <c r="EG375" s="44"/>
      <c r="EH375" s="36"/>
      <c r="EI375" s="36"/>
      <c r="EJ375" s="36"/>
      <c r="EK375" s="36"/>
      <c r="EL375" s="36"/>
      <c r="EM375" s="36"/>
      <c r="EN375" s="36"/>
      <c r="EO375" s="36"/>
      <c r="EP375" s="36"/>
      <c r="EQ375" s="36"/>
      <c r="ER375" s="36"/>
      <c r="ES375" s="36"/>
      <c r="ET375" s="36"/>
      <c r="EU375" s="36"/>
      <c r="EV375" s="36"/>
      <c r="EW375" s="37"/>
      <c r="EX375" s="44"/>
      <c r="EY375" s="36"/>
      <c r="EZ375" s="36"/>
      <c r="FA375" s="36"/>
      <c r="FB375" s="36"/>
      <c r="FC375" s="36"/>
      <c r="FD375" s="36"/>
      <c r="FE375" s="36"/>
      <c r="FF375" s="36"/>
      <c r="FG375" s="36"/>
      <c r="FH375" s="36"/>
      <c r="FI375" s="36"/>
      <c r="FJ375" s="36"/>
      <c r="FK375" s="36"/>
      <c r="FL375" s="36"/>
      <c r="FM375" s="36"/>
      <c r="FN375" s="37"/>
      <c r="FO375" s="44"/>
      <c r="FP375" s="36"/>
      <c r="FQ375" s="36"/>
      <c r="FR375" s="36"/>
      <c r="FS375" s="36"/>
      <c r="FT375" s="36"/>
      <c r="FU375" s="36"/>
      <c r="FV375" s="36"/>
      <c r="FW375" s="36"/>
      <c r="FX375" s="36"/>
      <c r="FY375" s="36"/>
      <c r="FZ375" s="36"/>
      <c r="GA375" s="36"/>
      <c r="GB375" s="36"/>
      <c r="GC375" s="36"/>
      <c r="GD375" s="36"/>
      <c r="GE375" s="37"/>
      <c r="GF375" s="44"/>
      <c r="GG375" s="36"/>
      <c r="GH375" s="36"/>
      <c r="GI375" s="36"/>
      <c r="GJ375" s="36"/>
      <c r="GK375" s="36"/>
      <c r="GL375" s="36"/>
      <c r="GM375" s="36"/>
      <c r="GN375" s="36"/>
      <c r="GO375" s="36"/>
      <c r="GP375" s="36"/>
      <c r="GQ375" s="36"/>
      <c r="GR375" s="36"/>
      <c r="GS375" s="36"/>
      <c r="GT375" s="36"/>
      <c r="GU375" s="36"/>
      <c r="GV375" s="37"/>
      <c r="GW375" s="44"/>
      <c r="GX375" s="36"/>
      <c r="GY375" s="36"/>
      <c r="GZ375" s="36"/>
      <c r="HA375" s="36"/>
      <c r="HB375" s="36"/>
      <c r="HC375" s="36"/>
      <c r="HD375" s="36"/>
      <c r="HE375" s="36"/>
      <c r="HF375" s="36"/>
      <c r="HG375" s="36"/>
      <c r="HH375" s="36"/>
      <c r="HI375" s="36"/>
      <c r="HJ375" s="36"/>
      <c r="HK375" s="36"/>
      <c r="HL375" s="36"/>
      <c r="HM375" s="37"/>
      <c r="HN375" s="44"/>
      <c r="HO375" s="36"/>
      <c r="HP375" s="36"/>
      <c r="HQ375" s="36"/>
      <c r="HR375" s="36"/>
      <c r="HS375" s="36"/>
      <c r="HT375" s="36"/>
      <c r="HU375" s="36"/>
      <c r="HV375" s="36"/>
      <c r="HW375" s="36"/>
      <c r="HX375" s="36"/>
      <c r="HY375" s="36"/>
      <c r="HZ375" s="36"/>
      <c r="IA375" s="36"/>
      <c r="IB375" s="36"/>
      <c r="IC375" s="36"/>
      <c r="ID375" s="37"/>
      <c r="IE375" s="44"/>
      <c r="IF375" s="36"/>
      <c r="IG375" s="36"/>
      <c r="IH375" s="36"/>
      <c r="II375" s="36"/>
      <c r="IJ375" s="36"/>
      <c r="IK375" s="36"/>
      <c r="IL375" s="36"/>
      <c r="IM375" s="36"/>
      <c r="IN375" s="36"/>
      <c r="IO375" s="36"/>
      <c r="IP375" s="36"/>
      <c r="IQ375" s="36"/>
      <c r="IR375" s="36"/>
      <c r="IS375" s="36"/>
      <c r="IT375" s="36"/>
      <c r="IU375" s="37"/>
      <c r="IV375" s="44"/>
      <c r="IW375" s="36"/>
      <c r="IX375" s="36"/>
      <c r="IY375" s="36"/>
      <c r="IZ375" s="36"/>
      <c r="JA375" s="36"/>
      <c r="JB375" s="36"/>
      <c r="JC375" s="36"/>
      <c r="JD375" s="36"/>
      <c r="JE375" s="36"/>
      <c r="JF375" s="36"/>
      <c r="JG375" s="36"/>
      <c r="JH375" s="36"/>
      <c r="JI375" s="36"/>
      <c r="JJ375" s="36"/>
      <c r="JK375" s="36"/>
      <c r="JL375" s="37"/>
      <c r="JM375" s="44"/>
      <c r="JN375" s="36"/>
      <c r="JO375" s="36"/>
      <c r="JP375" s="36"/>
      <c r="JQ375" s="36"/>
      <c r="JR375" s="36"/>
      <c r="JS375" s="36"/>
      <c r="JT375" s="36"/>
      <c r="JU375" s="36"/>
      <c r="JV375" s="36"/>
      <c r="JW375" s="36"/>
      <c r="JX375" s="36"/>
      <c r="JY375" s="36"/>
      <c r="JZ375" s="36"/>
      <c r="KA375" s="36"/>
      <c r="KB375" s="36"/>
      <c r="KC375" s="37"/>
      <c r="KD375" s="44"/>
      <c r="KE375" s="36"/>
      <c r="KF375" s="36"/>
      <c r="KG375" s="36"/>
      <c r="KH375" s="36"/>
      <c r="KI375" s="36"/>
      <c r="KJ375" s="36"/>
      <c r="KK375" s="36"/>
      <c r="KL375" s="36"/>
      <c r="KM375" s="36"/>
      <c r="KN375" s="36"/>
      <c r="KO375" s="36"/>
      <c r="KP375" s="36"/>
      <c r="KQ375" s="36"/>
      <c r="KR375" s="36"/>
      <c r="KS375" s="36"/>
      <c r="KT375" s="37"/>
      <c r="KU375" s="36"/>
    </row>
    <row r="376" ht="15.0" customHeight="1">
      <c r="A376" s="44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7"/>
      <c r="R376" s="44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7"/>
      <c r="AI376" s="44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36"/>
      <c r="AU376" s="36"/>
      <c r="AV376" s="36"/>
      <c r="AW376" s="36"/>
      <c r="AX376" s="36"/>
      <c r="AY376" s="37"/>
      <c r="AZ376" s="44"/>
      <c r="BA376" s="36"/>
      <c r="BB376" s="36"/>
      <c r="BC376" s="36"/>
      <c r="BD376" s="36"/>
      <c r="BE376" s="36"/>
      <c r="BF376" s="36"/>
      <c r="BG376" s="36"/>
      <c r="BH376" s="36"/>
      <c r="BI376" s="36"/>
      <c r="BJ376" s="36"/>
      <c r="BK376" s="36"/>
      <c r="BL376" s="36"/>
      <c r="BM376" s="36"/>
      <c r="BN376" s="36"/>
      <c r="BO376" s="36"/>
      <c r="BP376" s="37"/>
      <c r="BQ376" s="44"/>
      <c r="BR376" s="36"/>
      <c r="BS376" s="36"/>
      <c r="BT376" s="36"/>
      <c r="BU376" s="36"/>
      <c r="BV376" s="36"/>
      <c r="BW376" s="36"/>
      <c r="BX376" s="36"/>
      <c r="BY376" s="36"/>
      <c r="BZ376" s="36"/>
      <c r="CA376" s="36"/>
      <c r="CB376" s="36"/>
      <c r="CC376" s="36"/>
      <c r="CD376" s="36"/>
      <c r="CE376" s="36"/>
      <c r="CF376" s="36"/>
      <c r="CG376" s="37"/>
      <c r="CH376" s="44"/>
      <c r="CI376" s="36"/>
      <c r="CJ376" s="36"/>
      <c r="CK376" s="36"/>
      <c r="CL376" s="36"/>
      <c r="CM376" s="36"/>
      <c r="CN376" s="36"/>
      <c r="CO376" s="36"/>
      <c r="CP376" s="36"/>
      <c r="CQ376" s="36"/>
      <c r="CR376" s="36"/>
      <c r="CS376" s="36"/>
      <c r="CT376" s="36"/>
      <c r="CU376" s="36"/>
      <c r="CV376" s="36"/>
      <c r="CW376" s="36"/>
      <c r="CX376" s="37"/>
      <c r="CY376" s="44"/>
      <c r="CZ376" s="36"/>
      <c r="DA376" s="36"/>
      <c r="DB376" s="36"/>
      <c r="DC376" s="36"/>
      <c r="DD376" s="36"/>
      <c r="DE376" s="36"/>
      <c r="DF376" s="36"/>
      <c r="DG376" s="36"/>
      <c r="DH376" s="36"/>
      <c r="DI376" s="36"/>
      <c r="DJ376" s="36"/>
      <c r="DK376" s="36"/>
      <c r="DL376" s="36"/>
      <c r="DM376" s="36"/>
      <c r="DN376" s="36"/>
      <c r="DO376" s="37"/>
      <c r="DP376" s="44"/>
      <c r="DQ376" s="36"/>
      <c r="DR376" s="36"/>
      <c r="DS376" s="36"/>
      <c r="DT376" s="36"/>
      <c r="DU376" s="36"/>
      <c r="DV376" s="36"/>
      <c r="DW376" s="36"/>
      <c r="DX376" s="36"/>
      <c r="DY376" s="36"/>
      <c r="DZ376" s="36"/>
      <c r="EA376" s="36"/>
      <c r="EB376" s="36"/>
      <c r="EC376" s="36"/>
      <c r="ED376" s="36"/>
      <c r="EE376" s="36"/>
      <c r="EF376" s="37"/>
      <c r="EG376" s="44"/>
      <c r="EH376" s="36"/>
      <c r="EI376" s="36"/>
      <c r="EJ376" s="36"/>
      <c r="EK376" s="36"/>
      <c r="EL376" s="36"/>
      <c r="EM376" s="36"/>
      <c r="EN376" s="36"/>
      <c r="EO376" s="36"/>
      <c r="EP376" s="36"/>
      <c r="EQ376" s="36"/>
      <c r="ER376" s="36"/>
      <c r="ES376" s="36"/>
      <c r="ET376" s="36"/>
      <c r="EU376" s="36"/>
      <c r="EV376" s="36"/>
      <c r="EW376" s="37"/>
      <c r="EX376" s="44"/>
      <c r="EY376" s="36"/>
      <c r="EZ376" s="36"/>
      <c r="FA376" s="36"/>
      <c r="FB376" s="36"/>
      <c r="FC376" s="36"/>
      <c r="FD376" s="36"/>
      <c r="FE376" s="36"/>
      <c r="FF376" s="36"/>
      <c r="FG376" s="36"/>
      <c r="FH376" s="36"/>
      <c r="FI376" s="36"/>
      <c r="FJ376" s="36"/>
      <c r="FK376" s="36"/>
      <c r="FL376" s="36"/>
      <c r="FM376" s="36"/>
      <c r="FN376" s="37"/>
      <c r="FO376" s="44"/>
      <c r="FP376" s="36"/>
      <c r="FQ376" s="36"/>
      <c r="FR376" s="36"/>
      <c r="FS376" s="36"/>
      <c r="FT376" s="36"/>
      <c r="FU376" s="36"/>
      <c r="FV376" s="36"/>
      <c r="FW376" s="36"/>
      <c r="FX376" s="36"/>
      <c r="FY376" s="36"/>
      <c r="FZ376" s="36"/>
      <c r="GA376" s="36"/>
      <c r="GB376" s="36"/>
      <c r="GC376" s="36"/>
      <c r="GD376" s="36"/>
      <c r="GE376" s="37"/>
      <c r="GF376" s="44"/>
      <c r="GG376" s="36"/>
      <c r="GH376" s="36"/>
      <c r="GI376" s="36"/>
      <c r="GJ376" s="36"/>
      <c r="GK376" s="36"/>
      <c r="GL376" s="36"/>
      <c r="GM376" s="36"/>
      <c r="GN376" s="36"/>
      <c r="GO376" s="36"/>
      <c r="GP376" s="36"/>
      <c r="GQ376" s="36"/>
      <c r="GR376" s="36"/>
      <c r="GS376" s="36"/>
      <c r="GT376" s="36"/>
      <c r="GU376" s="36"/>
      <c r="GV376" s="37"/>
      <c r="GW376" s="44"/>
      <c r="GX376" s="36"/>
      <c r="GY376" s="36"/>
      <c r="GZ376" s="36"/>
      <c r="HA376" s="36"/>
      <c r="HB376" s="36"/>
      <c r="HC376" s="36"/>
      <c r="HD376" s="36"/>
      <c r="HE376" s="36"/>
      <c r="HF376" s="36"/>
      <c r="HG376" s="36"/>
      <c r="HH376" s="36"/>
      <c r="HI376" s="36"/>
      <c r="HJ376" s="36"/>
      <c r="HK376" s="36"/>
      <c r="HL376" s="36"/>
      <c r="HM376" s="37"/>
      <c r="HN376" s="44"/>
      <c r="HO376" s="36"/>
      <c r="HP376" s="36"/>
      <c r="HQ376" s="36"/>
      <c r="HR376" s="36"/>
      <c r="HS376" s="36"/>
      <c r="HT376" s="36"/>
      <c r="HU376" s="36"/>
      <c r="HV376" s="36"/>
      <c r="HW376" s="36"/>
      <c r="HX376" s="36"/>
      <c r="HY376" s="36"/>
      <c r="HZ376" s="36"/>
      <c r="IA376" s="36"/>
      <c r="IB376" s="36"/>
      <c r="IC376" s="36"/>
      <c r="ID376" s="37"/>
      <c r="IE376" s="44"/>
      <c r="IF376" s="36"/>
      <c r="IG376" s="36"/>
      <c r="IH376" s="36"/>
      <c r="II376" s="36"/>
      <c r="IJ376" s="36"/>
      <c r="IK376" s="36"/>
      <c r="IL376" s="36"/>
      <c r="IM376" s="36"/>
      <c r="IN376" s="36"/>
      <c r="IO376" s="36"/>
      <c r="IP376" s="36"/>
      <c r="IQ376" s="36"/>
      <c r="IR376" s="36"/>
      <c r="IS376" s="36"/>
      <c r="IT376" s="36"/>
      <c r="IU376" s="37"/>
      <c r="IV376" s="44"/>
      <c r="IW376" s="36"/>
      <c r="IX376" s="36"/>
      <c r="IY376" s="36"/>
      <c r="IZ376" s="36"/>
      <c r="JA376" s="36"/>
      <c r="JB376" s="36"/>
      <c r="JC376" s="36"/>
      <c r="JD376" s="36"/>
      <c r="JE376" s="36"/>
      <c r="JF376" s="36"/>
      <c r="JG376" s="36"/>
      <c r="JH376" s="36"/>
      <c r="JI376" s="36"/>
      <c r="JJ376" s="36"/>
      <c r="JK376" s="36"/>
      <c r="JL376" s="37"/>
      <c r="JM376" s="44"/>
      <c r="JN376" s="36"/>
      <c r="JO376" s="36"/>
      <c r="JP376" s="36"/>
      <c r="JQ376" s="36"/>
      <c r="JR376" s="36"/>
      <c r="JS376" s="36"/>
      <c r="JT376" s="36"/>
      <c r="JU376" s="36"/>
      <c r="JV376" s="36"/>
      <c r="JW376" s="36"/>
      <c r="JX376" s="36"/>
      <c r="JY376" s="36"/>
      <c r="JZ376" s="36"/>
      <c r="KA376" s="36"/>
      <c r="KB376" s="36"/>
      <c r="KC376" s="37"/>
      <c r="KD376" s="44"/>
      <c r="KE376" s="36"/>
      <c r="KF376" s="36"/>
      <c r="KG376" s="36"/>
      <c r="KH376" s="36"/>
      <c r="KI376" s="36"/>
      <c r="KJ376" s="36"/>
      <c r="KK376" s="36"/>
      <c r="KL376" s="36"/>
      <c r="KM376" s="36"/>
      <c r="KN376" s="36"/>
      <c r="KO376" s="36"/>
      <c r="KP376" s="36"/>
      <c r="KQ376" s="36"/>
      <c r="KR376" s="36"/>
      <c r="KS376" s="36"/>
      <c r="KT376" s="37"/>
      <c r="KU376" s="36"/>
    </row>
    <row r="377" ht="15.0" customHeight="1">
      <c r="A377" s="44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7"/>
      <c r="R377" s="44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7"/>
      <c r="AI377" s="44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36"/>
      <c r="AU377" s="36"/>
      <c r="AV377" s="36"/>
      <c r="AW377" s="36"/>
      <c r="AX377" s="36"/>
      <c r="AY377" s="37"/>
      <c r="AZ377" s="44"/>
      <c r="BA377" s="36"/>
      <c r="BB377" s="36"/>
      <c r="BC377" s="36"/>
      <c r="BD377" s="36"/>
      <c r="BE377" s="36"/>
      <c r="BF377" s="36"/>
      <c r="BG377" s="36"/>
      <c r="BH377" s="36"/>
      <c r="BI377" s="36"/>
      <c r="BJ377" s="36"/>
      <c r="BK377" s="36"/>
      <c r="BL377" s="36"/>
      <c r="BM377" s="36"/>
      <c r="BN377" s="36"/>
      <c r="BO377" s="36"/>
      <c r="BP377" s="37"/>
      <c r="BQ377" s="44"/>
      <c r="BR377" s="36"/>
      <c r="BS377" s="36"/>
      <c r="BT377" s="36"/>
      <c r="BU377" s="36"/>
      <c r="BV377" s="36"/>
      <c r="BW377" s="36"/>
      <c r="BX377" s="36"/>
      <c r="BY377" s="36"/>
      <c r="BZ377" s="36"/>
      <c r="CA377" s="36"/>
      <c r="CB377" s="36"/>
      <c r="CC377" s="36"/>
      <c r="CD377" s="36"/>
      <c r="CE377" s="36"/>
      <c r="CF377" s="36"/>
      <c r="CG377" s="37"/>
      <c r="CH377" s="44"/>
      <c r="CI377" s="36"/>
      <c r="CJ377" s="36"/>
      <c r="CK377" s="36"/>
      <c r="CL377" s="36"/>
      <c r="CM377" s="36"/>
      <c r="CN377" s="36"/>
      <c r="CO377" s="36"/>
      <c r="CP377" s="36"/>
      <c r="CQ377" s="36"/>
      <c r="CR377" s="36"/>
      <c r="CS377" s="36"/>
      <c r="CT377" s="36"/>
      <c r="CU377" s="36"/>
      <c r="CV377" s="36"/>
      <c r="CW377" s="36"/>
      <c r="CX377" s="37"/>
      <c r="CY377" s="44"/>
      <c r="CZ377" s="36"/>
      <c r="DA377" s="36"/>
      <c r="DB377" s="36"/>
      <c r="DC377" s="36"/>
      <c r="DD377" s="36"/>
      <c r="DE377" s="36"/>
      <c r="DF377" s="36"/>
      <c r="DG377" s="36"/>
      <c r="DH377" s="36"/>
      <c r="DI377" s="36"/>
      <c r="DJ377" s="36"/>
      <c r="DK377" s="36"/>
      <c r="DL377" s="36"/>
      <c r="DM377" s="36"/>
      <c r="DN377" s="36"/>
      <c r="DO377" s="37"/>
      <c r="DP377" s="44"/>
      <c r="DQ377" s="36"/>
      <c r="DR377" s="36"/>
      <c r="DS377" s="36"/>
      <c r="DT377" s="36"/>
      <c r="DU377" s="36"/>
      <c r="DV377" s="36"/>
      <c r="DW377" s="36"/>
      <c r="DX377" s="36"/>
      <c r="DY377" s="36"/>
      <c r="DZ377" s="36"/>
      <c r="EA377" s="36"/>
      <c r="EB377" s="36"/>
      <c r="EC377" s="36"/>
      <c r="ED377" s="36"/>
      <c r="EE377" s="36"/>
      <c r="EF377" s="37"/>
      <c r="EG377" s="44"/>
      <c r="EH377" s="36"/>
      <c r="EI377" s="36"/>
      <c r="EJ377" s="36"/>
      <c r="EK377" s="36"/>
      <c r="EL377" s="36"/>
      <c r="EM377" s="36"/>
      <c r="EN377" s="36"/>
      <c r="EO377" s="36"/>
      <c r="EP377" s="36"/>
      <c r="EQ377" s="36"/>
      <c r="ER377" s="36"/>
      <c r="ES377" s="36"/>
      <c r="ET377" s="36"/>
      <c r="EU377" s="36"/>
      <c r="EV377" s="36"/>
      <c r="EW377" s="37"/>
      <c r="EX377" s="44"/>
      <c r="EY377" s="36"/>
      <c r="EZ377" s="36"/>
      <c r="FA377" s="36"/>
      <c r="FB377" s="36"/>
      <c r="FC377" s="36"/>
      <c r="FD377" s="36"/>
      <c r="FE377" s="36"/>
      <c r="FF377" s="36"/>
      <c r="FG377" s="36"/>
      <c r="FH377" s="36"/>
      <c r="FI377" s="36"/>
      <c r="FJ377" s="36"/>
      <c r="FK377" s="36"/>
      <c r="FL377" s="36"/>
      <c r="FM377" s="36"/>
      <c r="FN377" s="37"/>
      <c r="FO377" s="44"/>
      <c r="FP377" s="36"/>
      <c r="FQ377" s="36"/>
      <c r="FR377" s="36"/>
      <c r="FS377" s="36"/>
      <c r="FT377" s="36"/>
      <c r="FU377" s="36"/>
      <c r="FV377" s="36"/>
      <c r="FW377" s="36"/>
      <c r="FX377" s="36"/>
      <c r="FY377" s="36"/>
      <c r="FZ377" s="36"/>
      <c r="GA377" s="36"/>
      <c r="GB377" s="36"/>
      <c r="GC377" s="36"/>
      <c r="GD377" s="36"/>
      <c r="GE377" s="37"/>
      <c r="GF377" s="44"/>
      <c r="GG377" s="36"/>
      <c r="GH377" s="36"/>
      <c r="GI377" s="36"/>
      <c r="GJ377" s="36"/>
      <c r="GK377" s="36"/>
      <c r="GL377" s="36"/>
      <c r="GM377" s="36"/>
      <c r="GN377" s="36"/>
      <c r="GO377" s="36"/>
      <c r="GP377" s="36"/>
      <c r="GQ377" s="36"/>
      <c r="GR377" s="36"/>
      <c r="GS377" s="36"/>
      <c r="GT377" s="36"/>
      <c r="GU377" s="36"/>
      <c r="GV377" s="37"/>
      <c r="GW377" s="44"/>
      <c r="GX377" s="36"/>
      <c r="GY377" s="36"/>
      <c r="GZ377" s="36"/>
      <c r="HA377" s="36"/>
      <c r="HB377" s="36"/>
      <c r="HC377" s="36"/>
      <c r="HD377" s="36"/>
      <c r="HE377" s="36"/>
      <c r="HF377" s="36"/>
      <c r="HG377" s="36"/>
      <c r="HH377" s="36"/>
      <c r="HI377" s="36"/>
      <c r="HJ377" s="36"/>
      <c r="HK377" s="36"/>
      <c r="HL377" s="36"/>
      <c r="HM377" s="37"/>
      <c r="HN377" s="44"/>
      <c r="HO377" s="36"/>
      <c r="HP377" s="36"/>
      <c r="HQ377" s="36"/>
      <c r="HR377" s="36"/>
      <c r="HS377" s="36"/>
      <c r="HT377" s="36"/>
      <c r="HU377" s="36"/>
      <c r="HV377" s="36"/>
      <c r="HW377" s="36"/>
      <c r="HX377" s="36"/>
      <c r="HY377" s="36"/>
      <c r="HZ377" s="36"/>
      <c r="IA377" s="36"/>
      <c r="IB377" s="36"/>
      <c r="IC377" s="36"/>
      <c r="ID377" s="37"/>
      <c r="IE377" s="44"/>
      <c r="IF377" s="36"/>
      <c r="IG377" s="36"/>
      <c r="IH377" s="36"/>
      <c r="II377" s="36"/>
      <c r="IJ377" s="36"/>
      <c r="IK377" s="36"/>
      <c r="IL377" s="36"/>
      <c r="IM377" s="36"/>
      <c r="IN377" s="36"/>
      <c r="IO377" s="36"/>
      <c r="IP377" s="36"/>
      <c r="IQ377" s="36"/>
      <c r="IR377" s="36"/>
      <c r="IS377" s="36"/>
      <c r="IT377" s="36"/>
      <c r="IU377" s="37"/>
      <c r="IV377" s="44"/>
      <c r="IW377" s="36"/>
      <c r="IX377" s="36"/>
      <c r="IY377" s="36"/>
      <c r="IZ377" s="36"/>
      <c r="JA377" s="36"/>
      <c r="JB377" s="36"/>
      <c r="JC377" s="36"/>
      <c r="JD377" s="36"/>
      <c r="JE377" s="36"/>
      <c r="JF377" s="36"/>
      <c r="JG377" s="36"/>
      <c r="JH377" s="36"/>
      <c r="JI377" s="36"/>
      <c r="JJ377" s="36"/>
      <c r="JK377" s="36"/>
      <c r="JL377" s="37"/>
      <c r="JM377" s="44"/>
      <c r="JN377" s="36"/>
      <c r="JO377" s="36"/>
      <c r="JP377" s="36"/>
      <c r="JQ377" s="36"/>
      <c r="JR377" s="36"/>
      <c r="JS377" s="36"/>
      <c r="JT377" s="36"/>
      <c r="JU377" s="36"/>
      <c r="JV377" s="36"/>
      <c r="JW377" s="36"/>
      <c r="JX377" s="36"/>
      <c r="JY377" s="36"/>
      <c r="JZ377" s="36"/>
      <c r="KA377" s="36"/>
      <c r="KB377" s="36"/>
      <c r="KC377" s="37"/>
      <c r="KD377" s="44"/>
      <c r="KE377" s="36"/>
      <c r="KF377" s="36"/>
      <c r="KG377" s="36"/>
      <c r="KH377" s="36"/>
      <c r="KI377" s="36"/>
      <c r="KJ377" s="36"/>
      <c r="KK377" s="36"/>
      <c r="KL377" s="36"/>
      <c r="KM377" s="36"/>
      <c r="KN377" s="36"/>
      <c r="KO377" s="36"/>
      <c r="KP377" s="36"/>
      <c r="KQ377" s="36"/>
      <c r="KR377" s="36"/>
      <c r="KS377" s="36"/>
      <c r="KT377" s="37"/>
      <c r="KU377" s="36"/>
    </row>
    <row r="378" ht="15.0" customHeight="1">
      <c r="A378" s="44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7"/>
      <c r="R378" s="44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7"/>
      <c r="AI378" s="44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36"/>
      <c r="AU378" s="36"/>
      <c r="AV378" s="36"/>
      <c r="AW378" s="36"/>
      <c r="AX378" s="36"/>
      <c r="AY378" s="37"/>
      <c r="AZ378" s="44"/>
      <c r="BA378" s="36"/>
      <c r="BB378" s="36"/>
      <c r="BC378" s="36"/>
      <c r="BD378" s="36"/>
      <c r="BE378" s="36"/>
      <c r="BF378" s="36"/>
      <c r="BG378" s="36"/>
      <c r="BH378" s="36"/>
      <c r="BI378" s="36"/>
      <c r="BJ378" s="36"/>
      <c r="BK378" s="36"/>
      <c r="BL378" s="36"/>
      <c r="BM378" s="36"/>
      <c r="BN378" s="36"/>
      <c r="BO378" s="36"/>
      <c r="BP378" s="37"/>
      <c r="BQ378" s="44"/>
      <c r="BR378" s="36"/>
      <c r="BS378" s="36"/>
      <c r="BT378" s="36"/>
      <c r="BU378" s="36"/>
      <c r="BV378" s="36"/>
      <c r="BW378" s="36"/>
      <c r="BX378" s="36"/>
      <c r="BY378" s="36"/>
      <c r="BZ378" s="36"/>
      <c r="CA378" s="36"/>
      <c r="CB378" s="36"/>
      <c r="CC378" s="36"/>
      <c r="CD378" s="36"/>
      <c r="CE378" s="36"/>
      <c r="CF378" s="36"/>
      <c r="CG378" s="37"/>
      <c r="CH378" s="44"/>
      <c r="CI378" s="36"/>
      <c r="CJ378" s="36"/>
      <c r="CK378" s="36"/>
      <c r="CL378" s="36"/>
      <c r="CM378" s="36"/>
      <c r="CN378" s="36"/>
      <c r="CO378" s="36"/>
      <c r="CP378" s="36"/>
      <c r="CQ378" s="36"/>
      <c r="CR378" s="36"/>
      <c r="CS378" s="36"/>
      <c r="CT378" s="36"/>
      <c r="CU378" s="36"/>
      <c r="CV378" s="36"/>
      <c r="CW378" s="36"/>
      <c r="CX378" s="37"/>
      <c r="CY378" s="44"/>
      <c r="CZ378" s="36"/>
      <c r="DA378" s="36"/>
      <c r="DB378" s="36"/>
      <c r="DC378" s="36"/>
      <c r="DD378" s="36"/>
      <c r="DE378" s="36"/>
      <c r="DF378" s="36"/>
      <c r="DG378" s="36"/>
      <c r="DH378" s="36"/>
      <c r="DI378" s="36"/>
      <c r="DJ378" s="36"/>
      <c r="DK378" s="36"/>
      <c r="DL378" s="36"/>
      <c r="DM378" s="36"/>
      <c r="DN378" s="36"/>
      <c r="DO378" s="37"/>
      <c r="DP378" s="44"/>
      <c r="DQ378" s="36"/>
      <c r="DR378" s="36"/>
      <c r="DS378" s="36"/>
      <c r="DT378" s="36"/>
      <c r="DU378" s="36"/>
      <c r="DV378" s="36"/>
      <c r="DW378" s="36"/>
      <c r="DX378" s="36"/>
      <c r="DY378" s="36"/>
      <c r="DZ378" s="36"/>
      <c r="EA378" s="36"/>
      <c r="EB378" s="36"/>
      <c r="EC378" s="36"/>
      <c r="ED378" s="36"/>
      <c r="EE378" s="36"/>
      <c r="EF378" s="37"/>
      <c r="EG378" s="44"/>
      <c r="EH378" s="36"/>
      <c r="EI378" s="36"/>
      <c r="EJ378" s="36"/>
      <c r="EK378" s="36"/>
      <c r="EL378" s="36"/>
      <c r="EM378" s="36"/>
      <c r="EN378" s="36"/>
      <c r="EO378" s="36"/>
      <c r="EP378" s="36"/>
      <c r="EQ378" s="36"/>
      <c r="ER378" s="36"/>
      <c r="ES378" s="36"/>
      <c r="ET378" s="36"/>
      <c r="EU378" s="36"/>
      <c r="EV378" s="36"/>
      <c r="EW378" s="37"/>
      <c r="EX378" s="44"/>
      <c r="EY378" s="36"/>
      <c r="EZ378" s="36"/>
      <c r="FA378" s="36"/>
      <c r="FB378" s="36"/>
      <c r="FC378" s="36"/>
      <c r="FD378" s="36"/>
      <c r="FE378" s="36"/>
      <c r="FF378" s="36"/>
      <c r="FG378" s="36"/>
      <c r="FH378" s="36"/>
      <c r="FI378" s="36"/>
      <c r="FJ378" s="36"/>
      <c r="FK378" s="36"/>
      <c r="FL378" s="36"/>
      <c r="FM378" s="36"/>
      <c r="FN378" s="37"/>
      <c r="FO378" s="44"/>
      <c r="FP378" s="36"/>
      <c r="FQ378" s="36"/>
      <c r="FR378" s="36"/>
      <c r="FS378" s="36"/>
      <c r="FT378" s="36"/>
      <c r="FU378" s="36"/>
      <c r="FV378" s="36"/>
      <c r="FW378" s="36"/>
      <c r="FX378" s="36"/>
      <c r="FY378" s="36"/>
      <c r="FZ378" s="36"/>
      <c r="GA378" s="36"/>
      <c r="GB378" s="36"/>
      <c r="GC378" s="36"/>
      <c r="GD378" s="36"/>
      <c r="GE378" s="37"/>
      <c r="GF378" s="44"/>
      <c r="GG378" s="36"/>
      <c r="GH378" s="36"/>
      <c r="GI378" s="36"/>
      <c r="GJ378" s="36"/>
      <c r="GK378" s="36"/>
      <c r="GL378" s="36"/>
      <c r="GM378" s="36"/>
      <c r="GN378" s="36"/>
      <c r="GO378" s="36"/>
      <c r="GP378" s="36"/>
      <c r="GQ378" s="36"/>
      <c r="GR378" s="36"/>
      <c r="GS378" s="36"/>
      <c r="GT378" s="36"/>
      <c r="GU378" s="36"/>
      <c r="GV378" s="37"/>
      <c r="GW378" s="44"/>
      <c r="GX378" s="36"/>
      <c r="GY378" s="36"/>
      <c r="GZ378" s="36"/>
      <c r="HA378" s="36"/>
      <c r="HB378" s="36"/>
      <c r="HC378" s="36"/>
      <c r="HD378" s="36"/>
      <c r="HE378" s="36"/>
      <c r="HF378" s="36"/>
      <c r="HG378" s="36"/>
      <c r="HH378" s="36"/>
      <c r="HI378" s="36"/>
      <c r="HJ378" s="36"/>
      <c r="HK378" s="36"/>
      <c r="HL378" s="36"/>
      <c r="HM378" s="37"/>
      <c r="HN378" s="44"/>
      <c r="HO378" s="36"/>
      <c r="HP378" s="36"/>
      <c r="HQ378" s="36"/>
      <c r="HR378" s="36"/>
      <c r="HS378" s="36"/>
      <c r="HT378" s="36"/>
      <c r="HU378" s="36"/>
      <c r="HV378" s="36"/>
      <c r="HW378" s="36"/>
      <c r="HX378" s="36"/>
      <c r="HY378" s="36"/>
      <c r="HZ378" s="36"/>
      <c r="IA378" s="36"/>
      <c r="IB378" s="36"/>
      <c r="IC378" s="36"/>
      <c r="ID378" s="37"/>
      <c r="IE378" s="44"/>
      <c r="IF378" s="36"/>
      <c r="IG378" s="36"/>
      <c r="IH378" s="36"/>
      <c r="II378" s="36"/>
      <c r="IJ378" s="36"/>
      <c r="IK378" s="36"/>
      <c r="IL378" s="36"/>
      <c r="IM378" s="36"/>
      <c r="IN378" s="36"/>
      <c r="IO378" s="36"/>
      <c r="IP378" s="36"/>
      <c r="IQ378" s="36"/>
      <c r="IR378" s="36"/>
      <c r="IS378" s="36"/>
      <c r="IT378" s="36"/>
      <c r="IU378" s="37"/>
      <c r="IV378" s="44"/>
      <c r="IW378" s="36"/>
      <c r="IX378" s="36"/>
      <c r="IY378" s="36"/>
      <c r="IZ378" s="36"/>
      <c r="JA378" s="36"/>
      <c r="JB378" s="36"/>
      <c r="JC378" s="36"/>
      <c r="JD378" s="36"/>
      <c r="JE378" s="36"/>
      <c r="JF378" s="36"/>
      <c r="JG378" s="36"/>
      <c r="JH378" s="36"/>
      <c r="JI378" s="36"/>
      <c r="JJ378" s="36"/>
      <c r="JK378" s="36"/>
      <c r="JL378" s="37"/>
      <c r="JM378" s="44"/>
      <c r="JN378" s="36"/>
      <c r="JO378" s="36"/>
      <c r="JP378" s="36"/>
      <c r="JQ378" s="36"/>
      <c r="JR378" s="36"/>
      <c r="JS378" s="36"/>
      <c r="JT378" s="36"/>
      <c r="JU378" s="36"/>
      <c r="JV378" s="36"/>
      <c r="JW378" s="36"/>
      <c r="JX378" s="36"/>
      <c r="JY378" s="36"/>
      <c r="JZ378" s="36"/>
      <c r="KA378" s="36"/>
      <c r="KB378" s="36"/>
      <c r="KC378" s="37"/>
      <c r="KD378" s="44"/>
      <c r="KE378" s="36"/>
      <c r="KF378" s="36"/>
      <c r="KG378" s="36"/>
      <c r="KH378" s="36"/>
      <c r="KI378" s="36"/>
      <c r="KJ378" s="36"/>
      <c r="KK378" s="36"/>
      <c r="KL378" s="36"/>
      <c r="KM378" s="36"/>
      <c r="KN378" s="36"/>
      <c r="KO378" s="36"/>
      <c r="KP378" s="36"/>
      <c r="KQ378" s="36"/>
      <c r="KR378" s="36"/>
      <c r="KS378" s="36"/>
      <c r="KT378" s="37"/>
      <c r="KU378" s="36"/>
    </row>
    <row r="379" ht="15.0" customHeight="1">
      <c r="A379" s="44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7"/>
      <c r="R379" s="44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7"/>
      <c r="AI379" s="44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36"/>
      <c r="AU379" s="36"/>
      <c r="AV379" s="36"/>
      <c r="AW379" s="36"/>
      <c r="AX379" s="36"/>
      <c r="AY379" s="37"/>
      <c r="AZ379" s="44"/>
      <c r="BA379" s="36"/>
      <c r="BB379" s="36"/>
      <c r="BC379" s="36"/>
      <c r="BD379" s="36"/>
      <c r="BE379" s="36"/>
      <c r="BF379" s="36"/>
      <c r="BG379" s="36"/>
      <c r="BH379" s="36"/>
      <c r="BI379" s="36"/>
      <c r="BJ379" s="36"/>
      <c r="BK379" s="36"/>
      <c r="BL379" s="36"/>
      <c r="BM379" s="36"/>
      <c r="BN379" s="36"/>
      <c r="BO379" s="36"/>
      <c r="BP379" s="37"/>
      <c r="BQ379" s="44"/>
      <c r="BR379" s="36"/>
      <c r="BS379" s="36"/>
      <c r="BT379" s="36"/>
      <c r="BU379" s="36"/>
      <c r="BV379" s="36"/>
      <c r="BW379" s="36"/>
      <c r="BX379" s="36"/>
      <c r="BY379" s="36"/>
      <c r="BZ379" s="36"/>
      <c r="CA379" s="36"/>
      <c r="CB379" s="36"/>
      <c r="CC379" s="36"/>
      <c r="CD379" s="36"/>
      <c r="CE379" s="36"/>
      <c r="CF379" s="36"/>
      <c r="CG379" s="37"/>
      <c r="CH379" s="44"/>
      <c r="CI379" s="36"/>
      <c r="CJ379" s="36"/>
      <c r="CK379" s="36"/>
      <c r="CL379" s="36"/>
      <c r="CM379" s="36"/>
      <c r="CN379" s="36"/>
      <c r="CO379" s="36"/>
      <c r="CP379" s="36"/>
      <c r="CQ379" s="36"/>
      <c r="CR379" s="36"/>
      <c r="CS379" s="36"/>
      <c r="CT379" s="36"/>
      <c r="CU379" s="36"/>
      <c r="CV379" s="36"/>
      <c r="CW379" s="36"/>
      <c r="CX379" s="37"/>
      <c r="CY379" s="44"/>
      <c r="CZ379" s="36"/>
      <c r="DA379" s="36"/>
      <c r="DB379" s="36"/>
      <c r="DC379" s="36"/>
      <c r="DD379" s="36"/>
      <c r="DE379" s="36"/>
      <c r="DF379" s="36"/>
      <c r="DG379" s="36"/>
      <c r="DH379" s="36"/>
      <c r="DI379" s="36"/>
      <c r="DJ379" s="36"/>
      <c r="DK379" s="36"/>
      <c r="DL379" s="36"/>
      <c r="DM379" s="36"/>
      <c r="DN379" s="36"/>
      <c r="DO379" s="37"/>
      <c r="DP379" s="44"/>
      <c r="DQ379" s="36"/>
      <c r="DR379" s="36"/>
      <c r="DS379" s="36"/>
      <c r="DT379" s="36"/>
      <c r="DU379" s="36"/>
      <c r="DV379" s="36"/>
      <c r="DW379" s="36"/>
      <c r="DX379" s="36"/>
      <c r="DY379" s="36"/>
      <c r="DZ379" s="36"/>
      <c r="EA379" s="36"/>
      <c r="EB379" s="36"/>
      <c r="EC379" s="36"/>
      <c r="ED379" s="36"/>
      <c r="EE379" s="36"/>
      <c r="EF379" s="37"/>
      <c r="EG379" s="44"/>
      <c r="EH379" s="36"/>
      <c r="EI379" s="36"/>
      <c r="EJ379" s="36"/>
      <c r="EK379" s="36"/>
      <c r="EL379" s="36"/>
      <c r="EM379" s="36"/>
      <c r="EN379" s="36"/>
      <c r="EO379" s="36"/>
      <c r="EP379" s="36"/>
      <c r="EQ379" s="36"/>
      <c r="ER379" s="36"/>
      <c r="ES379" s="36"/>
      <c r="ET379" s="36"/>
      <c r="EU379" s="36"/>
      <c r="EV379" s="36"/>
      <c r="EW379" s="37"/>
      <c r="EX379" s="44"/>
      <c r="EY379" s="36"/>
      <c r="EZ379" s="36"/>
      <c r="FA379" s="36"/>
      <c r="FB379" s="36"/>
      <c r="FC379" s="36"/>
      <c r="FD379" s="36"/>
      <c r="FE379" s="36"/>
      <c r="FF379" s="36"/>
      <c r="FG379" s="36"/>
      <c r="FH379" s="36"/>
      <c r="FI379" s="36"/>
      <c r="FJ379" s="36"/>
      <c r="FK379" s="36"/>
      <c r="FL379" s="36"/>
      <c r="FM379" s="36"/>
      <c r="FN379" s="37"/>
      <c r="FO379" s="44"/>
      <c r="FP379" s="36"/>
      <c r="FQ379" s="36"/>
      <c r="FR379" s="36"/>
      <c r="FS379" s="36"/>
      <c r="FT379" s="36"/>
      <c r="FU379" s="36"/>
      <c r="FV379" s="36"/>
      <c r="FW379" s="36"/>
      <c r="FX379" s="36"/>
      <c r="FY379" s="36"/>
      <c r="FZ379" s="36"/>
      <c r="GA379" s="36"/>
      <c r="GB379" s="36"/>
      <c r="GC379" s="36"/>
      <c r="GD379" s="36"/>
      <c r="GE379" s="37"/>
      <c r="GF379" s="44"/>
      <c r="GG379" s="36"/>
      <c r="GH379" s="36"/>
      <c r="GI379" s="36"/>
      <c r="GJ379" s="36"/>
      <c r="GK379" s="36"/>
      <c r="GL379" s="36"/>
      <c r="GM379" s="36"/>
      <c r="GN379" s="36"/>
      <c r="GO379" s="36"/>
      <c r="GP379" s="36"/>
      <c r="GQ379" s="36"/>
      <c r="GR379" s="36"/>
      <c r="GS379" s="36"/>
      <c r="GT379" s="36"/>
      <c r="GU379" s="36"/>
      <c r="GV379" s="37"/>
      <c r="GW379" s="44"/>
      <c r="GX379" s="36"/>
      <c r="GY379" s="36"/>
      <c r="GZ379" s="36"/>
      <c r="HA379" s="36"/>
      <c r="HB379" s="36"/>
      <c r="HC379" s="36"/>
      <c r="HD379" s="36"/>
      <c r="HE379" s="36"/>
      <c r="HF379" s="36"/>
      <c r="HG379" s="36"/>
      <c r="HH379" s="36"/>
      <c r="HI379" s="36"/>
      <c r="HJ379" s="36"/>
      <c r="HK379" s="36"/>
      <c r="HL379" s="36"/>
      <c r="HM379" s="37"/>
      <c r="HN379" s="44"/>
      <c r="HO379" s="36"/>
      <c r="HP379" s="36"/>
      <c r="HQ379" s="36"/>
      <c r="HR379" s="36"/>
      <c r="HS379" s="36"/>
      <c r="HT379" s="36"/>
      <c r="HU379" s="36"/>
      <c r="HV379" s="36"/>
      <c r="HW379" s="36"/>
      <c r="HX379" s="36"/>
      <c r="HY379" s="36"/>
      <c r="HZ379" s="36"/>
      <c r="IA379" s="36"/>
      <c r="IB379" s="36"/>
      <c r="IC379" s="36"/>
      <c r="ID379" s="37"/>
      <c r="IE379" s="44"/>
      <c r="IF379" s="36"/>
      <c r="IG379" s="36"/>
      <c r="IH379" s="36"/>
      <c r="II379" s="36"/>
      <c r="IJ379" s="36"/>
      <c r="IK379" s="36"/>
      <c r="IL379" s="36"/>
      <c r="IM379" s="36"/>
      <c r="IN379" s="36"/>
      <c r="IO379" s="36"/>
      <c r="IP379" s="36"/>
      <c r="IQ379" s="36"/>
      <c r="IR379" s="36"/>
      <c r="IS379" s="36"/>
      <c r="IT379" s="36"/>
      <c r="IU379" s="37"/>
      <c r="IV379" s="44"/>
      <c r="IW379" s="36"/>
      <c r="IX379" s="36"/>
      <c r="IY379" s="36"/>
      <c r="IZ379" s="36"/>
      <c r="JA379" s="36"/>
      <c r="JB379" s="36"/>
      <c r="JC379" s="36"/>
      <c r="JD379" s="36"/>
      <c r="JE379" s="36"/>
      <c r="JF379" s="36"/>
      <c r="JG379" s="36"/>
      <c r="JH379" s="36"/>
      <c r="JI379" s="36"/>
      <c r="JJ379" s="36"/>
      <c r="JK379" s="36"/>
      <c r="JL379" s="37"/>
      <c r="JM379" s="44"/>
      <c r="JN379" s="36"/>
      <c r="JO379" s="36"/>
      <c r="JP379" s="36"/>
      <c r="JQ379" s="36"/>
      <c r="JR379" s="36"/>
      <c r="JS379" s="36"/>
      <c r="JT379" s="36"/>
      <c r="JU379" s="36"/>
      <c r="JV379" s="36"/>
      <c r="JW379" s="36"/>
      <c r="JX379" s="36"/>
      <c r="JY379" s="36"/>
      <c r="JZ379" s="36"/>
      <c r="KA379" s="36"/>
      <c r="KB379" s="36"/>
      <c r="KC379" s="37"/>
      <c r="KD379" s="44"/>
      <c r="KE379" s="36"/>
      <c r="KF379" s="36"/>
      <c r="KG379" s="36"/>
      <c r="KH379" s="36"/>
      <c r="KI379" s="36"/>
      <c r="KJ379" s="36"/>
      <c r="KK379" s="36"/>
      <c r="KL379" s="36"/>
      <c r="KM379" s="36"/>
      <c r="KN379" s="36"/>
      <c r="KO379" s="36"/>
      <c r="KP379" s="36"/>
      <c r="KQ379" s="36"/>
      <c r="KR379" s="36"/>
      <c r="KS379" s="36"/>
      <c r="KT379" s="37"/>
      <c r="KU379" s="36"/>
    </row>
    <row r="380" ht="15.0" customHeight="1">
      <c r="A380" s="44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7"/>
      <c r="R380" s="44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7"/>
      <c r="AI380" s="44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36"/>
      <c r="AU380" s="36"/>
      <c r="AV380" s="36"/>
      <c r="AW380" s="36"/>
      <c r="AX380" s="36"/>
      <c r="AY380" s="37"/>
      <c r="AZ380" s="44"/>
      <c r="BA380" s="36"/>
      <c r="BB380" s="36"/>
      <c r="BC380" s="36"/>
      <c r="BD380" s="36"/>
      <c r="BE380" s="36"/>
      <c r="BF380" s="36"/>
      <c r="BG380" s="36"/>
      <c r="BH380" s="36"/>
      <c r="BI380" s="36"/>
      <c r="BJ380" s="36"/>
      <c r="BK380" s="36"/>
      <c r="BL380" s="36"/>
      <c r="BM380" s="36"/>
      <c r="BN380" s="36"/>
      <c r="BO380" s="36"/>
      <c r="BP380" s="37"/>
      <c r="BQ380" s="44"/>
      <c r="BR380" s="36"/>
      <c r="BS380" s="36"/>
      <c r="BT380" s="36"/>
      <c r="BU380" s="36"/>
      <c r="BV380" s="36"/>
      <c r="BW380" s="36"/>
      <c r="BX380" s="36"/>
      <c r="BY380" s="36"/>
      <c r="BZ380" s="36"/>
      <c r="CA380" s="36"/>
      <c r="CB380" s="36"/>
      <c r="CC380" s="36"/>
      <c r="CD380" s="36"/>
      <c r="CE380" s="36"/>
      <c r="CF380" s="36"/>
      <c r="CG380" s="37"/>
      <c r="CH380" s="44"/>
      <c r="CI380" s="36"/>
      <c r="CJ380" s="36"/>
      <c r="CK380" s="36"/>
      <c r="CL380" s="36"/>
      <c r="CM380" s="36"/>
      <c r="CN380" s="36"/>
      <c r="CO380" s="36"/>
      <c r="CP380" s="36"/>
      <c r="CQ380" s="36"/>
      <c r="CR380" s="36"/>
      <c r="CS380" s="36"/>
      <c r="CT380" s="36"/>
      <c r="CU380" s="36"/>
      <c r="CV380" s="36"/>
      <c r="CW380" s="36"/>
      <c r="CX380" s="37"/>
      <c r="CY380" s="44"/>
      <c r="CZ380" s="36"/>
      <c r="DA380" s="36"/>
      <c r="DB380" s="36"/>
      <c r="DC380" s="36"/>
      <c r="DD380" s="36"/>
      <c r="DE380" s="36"/>
      <c r="DF380" s="36"/>
      <c r="DG380" s="36"/>
      <c r="DH380" s="36"/>
      <c r="DI380" s="36"/>
      <c r="DJ380" s="36"/>
      <c r="DK380" s="36"/>
      <c r="DL380" s="36"/>
      <c r="DM380" s="36"/>
      <c r="DN380" s="36"/>
      <c r="DO380" s="37"/>
      <c r="DP380" s="44"/>
      <c r="DQ380" s="36"/>
      <c r="DR380" s="36"/>
      <c r="DS380" s="36"/>
      <c r="DT380" s="36"/>
      <c r="DU380" s="36"/>
      <c r="DV380" s="36"/>
      <c r="DW380" s="36"/>
      <c r="DX380" s="36"/>
      <c r="DY380" s="36"/>
      <c r="DZ380" s="36"/>
      <c r="EA380" s="36"/>
      <c r="EB380" s="36"/>
      <c r="EC380" s="36"/>
      <c r="ED380" s="36"/>
      <c r="EE380" s="36"/>
      <c r="EF380" s="37"/>
      <c r="EG380" s="44"/>
      <c r="EH380" s="36"/>
      <c r="EI380" s="36"/>
      <c r="EJ380" s="36"/>
      <c r="EK380" s="36"/>
      <c r="EL380" s="36"/>
      <c r="EM380" s="36"/>
      <c r="EN380" s="36"/>
      <c r="EO380" s="36"/>
      <c r="EP380" s="36"/>
      <c r="EQ380" s="36"/>
      <c r="ER380" s="36"/>
      <c r="ES380" s="36"/>
      <c r="ET380" s="36"/>
      <c r="EU380" s="36"/>
      <c r="EV380" s="36"/>
      <c r="EW380" s="37"/>
      <c r="EX380" s="44"/>
      <c r="EY380" s="36"/>
      <c r="EZ380" s="36"/>
      <c r="FA380" s="36"/>
      <c r="FB380" s="36"/>
      <c r="FC380" s="36"/>
      <c r="FD380" s="36"/>
      <c r="FE380" s="36"/>
      <c r="FF380" s="36"/>
      <c r="FG380" s="36"/>
      <c r="FH380" s="36"/>
      <c r="FI380" s="36"/>
      <c r="FJ380" s="36"/>
      <c r="FK380" s="36"/>
      <c r="FL380" s="36"/>
      <c r="FM380" s="36"/>
      <c r="FN380" s="37"/>
      <c r="FO380" s="44"/>
      <c r="FP380" s="36"/>
      <c r="FQ380" s="36"/>
      <c r="FR380" s="36"/>
      <c r="FS380" s="36"/>
      <c r="FT380" s="36"/>
      <c r="FU380" s="36"/>
      <c r="FV380" s="36"/>
      <c r="FW380" s="36"/>
      <c r="FX380" s="36"/>
      <c r="FY380" s="36"/>
      <c r="FZ380" s="36"/>
      <c r="GA380" s="36"/>
      <c r="GB380" s="36"/>
      <c r="GC380" s="36"/>
      <c r="GD380" s="36"/>
      <c r="GE380" s="37"/>
      <c r="GF380" s="44"/>
      <c r="GG380" s="36"/>
      <c r="GH380" s="36"/>
      <c r="GI380" s="36"/>
      <c r="GJ380" s="36"/>
      <c r="GK380" s="36"/>
      <c r="GL380" s="36"/>
      <c r="GM380" s="36"/>
      <c r="GN380" s="36"/>
      <c r="GO380" s="36"/>
      <c r="GP380" s="36"/>
      <c r="GQ380" s="36"/>
      <c r="GR380" s="36"/>
      <c r="GS380" s="36"/>
      <c r="GT380" s="36"/>
      <c r="GU380" s="36"/>
      <c r="GV380" s="37"/>
      <c r="GW380" s="44"/>
      <c r="GX380" s="36"/>
      <c r="GY380" s="36"/>
      <c r="GZ380" s="36"/>
      <c r="HA380" s="36"/>
      <c r="HB380" s="36"/>
      <c r="HC380" s="36"/>
      <c r="HD380" s="36"/>
      <c r="HE380" s="36"/>
      <c r="HF380" s="36"/>
      <c r="HG380" s="36"/>
      <c r="HH380" s="36"/>
      <c r="HI380" s="36"/>
      <c r="HJ380" s="36"/>
      <c r="HK380" s="36"/>
      <c r="HL380" s="36"/>
      <c r="HM380" s="37"/>
      <c r="HN380" s="44"/>
      <c r="HO380" s="36"/>
      <c r="HP380" s="36"/>
      <c r="HQ380" s="36"/>
      <c r="HR380" s="36"/>
      <c r="HS380" s="36"/>
      <c r="HT380" s="36"/>
      <c r="HU380" s="36"/>
      <c r="HV380" s="36"/>
      <c r="HW380" s="36"/>
      <c r="HX380" s="36"/>
      <c r="HY380" s="36"/>
      <c r="HZ380" s="36"/>
      <c r="IA380" s="36"/>
      <c r="IB380" s="36"/>
      <c r="IC380" s="36"/>
      <c r="ID380" s="37"/>
      <c r="IE380" s="44"/>
      <c r="IF380" s="36"/>
      <c r="IG380" s="36"/>
      <c r="IH380" s="36"/>
      <c r="II380" s="36"/>
      <c r="IJ380" s="36"/>
      <c r="IK380" s="36"/>
      <c r="IL380" s="36"/>
      <c r="IM380" s="36"/>
      <c r="IN380" s="36"/>
      <c r="IO380" s="36"/>
      <c r="IP380" s="36"/>
      <c r="IQ380" s="36"/>
      <c r="IR380" s="36"/>
      <c r="IS380" s="36"/>
      <c r="IT380" s="36"/>
      <c r="IU380" s="37"/>
      <c r="IV380" s="44"/>
      <c r="IW380" s="36"/>
      <c r="IX380" s="36"/>
      <c r="IY380" s="36"/>
      <c r="IZ380" s="36"/>
      <c r="JA380" s="36"/>
      <c r="JB380" s="36"/>
      <c r="JC380" s="36"/>
      <c r="JD380" s="36"/>
      <c r="JE380" s="36"/>
      <c r="JF380" s="36"/>
      <c r="JG380" s="36"/>
      <c r="JH380" s="36"/>
      <c r="JI380" s="36"/>
      <c r="JJ380" s="36"/>
      <c r="JK380" s="36"/>
      <c r="JL380" s="37"/>
      <c r="JM380" s="44"/>
      <c r="JN380" s="36"/>
      <c r="JO380" s="36"/>
      <c r="JP380" s="36"/>
      <c r="JQ380" s="36"/>
      <c r="JR380" s="36"/>
      <c r="JS380" s="36"/>
      <c r="JT380" s="36"/>
      <c r="JU380" s="36"/>
      <c r="JV380" s="36"/>
      <c r="JW380" s="36"/>
      <c r="JX380" s="36"/>
      <c r="JY380" s="36"/>
      <c r="JZ380" s="36"/>
      <c r="KA380" s="36"/>
      <c r="KB380" s="36"/>
      <c r="KC380" s="37"/>
      <c r="KD380" s="44"/>
      <c r="KE380" s="36"/>
      <c r="KF380" s="36"/>
      <c r="KG380" s="36"/>
      <c r="KH380" s="36"/>
      <c r="KI380" s="36"/>
      <c r="KJ380" s="36"/>
      <c r="KK380" s="36"/>
      <c r="KL380" s="36"/>
      <c r="KM380" s="36"/>
      <c r="KN380" s="36"/>
      <c r="KO380" s="36"/>
      <c r="KP380" s="36"/>
      <c r="KQ380" s="36"/>
      <c r="KR380" s="36"/>
      <c r="KS380" s="36"/>
      <c r="KT380" s="37"/>
      <c r="KU380" s="36"/>
    </row>
  </sheetData>
  <mergeCells count="1083">
    <mergeCell ref="CH31:CI31"/>
    <mergeCell ref="CH36:CI36"/>
    <mergeCell ref="CF42:CF43"/>
    <mergeCell ref="CW42:CW43"/>
    <mergeCell ref="AI36:AJ36"/>
    <mergeCell ref="AG40:AG41"/>
    <mergeCell ref="P42:P43"/>
    <mergeCell ref="AG42:AG43"/>
    <mergeCell ref="AX42:AX43"/>
    <mergeCell ref="BQ36:BR36"/>
    <mergeCell ref="BO40:BO41"/>
    <mergeCell ref="BO42:BO43"/>
    <mergeCell ref="A31:B31"/>
    <mergeCell ref="AI31:AJ31"/>
    <mergeCell ref="BQ31:BR31"/>
    <mergeCell ref="CY31:CZ31"/>
    <mergeCell ref="A36:B36"/>
    <mergeCell ref="P40:P41"/>
    <mergeCell ref="AX40:AX41"/>
    <mergeCell ref="GU40:GU41"/>
    <mergeCell ref="HL40:HL41"/>
    <mergeCell ref="IC40:IC41"/>
    <mergeCell ref="IT40:IT41"/>
    <mergeCell ref="JK40:JK41"/>
    <mergeCell ref="KB40:KB41"/>
    <mergeCell ref="KS40:KS41"/>
    <mergeCell ref="EE40:EE41"/>
    <mergeCell ref="EE42:EE43"/>
    <mergeCell ref="GD42:GD43"/>
    <mergeCell ref="GU42:GU43"/>
    <mergeCell ref="HL42:HL43"/>
    <mergeCell ref="IC42:IC43"/>
    <mergeCell ref="IT42:IT43"/>
    <mergeCell ref="JK42:JK43"/>
    <mergeCell ref="KB42:KB43"/>
    <mergeCell ref="KS42:KS43"/>
    <mergeCell ref="DY46:EA46"/>
    <mergeCell ref="EB46:EB47"/>
    <mergeCell ref="DK46:DK47"/>
    <mergeCell ref="DL46:DM46"/>
    <mergeCell ref="DN46:DN47"/>
    <mergeCell ref="DP46:DP47"/>
    <mergeCell ref="DQ46:DQ47"/>
    <mergeCell ref="DR46:DV46"/>
    <mergeCell ref="DW46:DX46"/>
    <mergeCell ref="EP46:ER46"/>
    <mergeCell ref="ET46:EU46"/>
    <mergeCell ref="EC46:ED46"/>
    <mergeCell ref="EE46:EE47"/>
    <mergeCell ref="EG46:EG47"/>
    <mergeCell ref="EH46:EH47"/>
    <mergeCell ref="EI46:EM46"/>
    <mergeCell ref="EN46:EO46"/>
    <mergeCell ref="ES46:ES47"/>
    <mergeCell ref="FG46:FI46"/>
    <mergeCell ref="FJ46:FJ47"/>
    <mergeCell ref="FM40:FM41"/>
    <mergeCell ref="FM42:FM43"/>
    <mergeCell ref="EV46:EV47"/>
    <mergeCell ref="EX46:EX47"/>
    <mergeCell ref="EY46:EY47"/>
    <mergeCell ref="EZ46:FD46"/>
    <mergeCell ref="FE46:FF46"/>
    <mergeCell ref="CF40:CF41"/>
    <mergeCell ref="CW40:CW41"/>
    <mergeCell ref="DN40:DN41"/>
    <mergeCell ref="EV40:EV41"/>
    <mergeCell ref="GD40:GD41"/>
    <mergeCell ref="DN42:DN43"/>
    <mergeCell ref="EV42:EV43"/>
    <mergeCell ref="A46:A47"/>
    <mergeCell ref="B46:B47"/>
    <mergeCell ref="C46:G46"/>
    <mergeCell ref="H46:I46"/>
    <mergeCell ref="J46:L46"/>
    <mergeCell ref="M46:M47"/>
    <mergeCell ref="N46:O46"/>
    <mergeCell ref="P46:P47"/>
    <mergeCell ref="R46:R47"/>
    <mergeCell ref="S46:S47"/>
    <mergeCell ref="T46:X46"/>
    <mergeCell ref="Y46:Z46"/>
    <mergeCell ref="AA46:AC46"/>
    <mergeCell ref="AD46:AD47"/>
    <mergeCell ref="AE46:AF46"/>
    <mergeCell ref="AG46:AG47"/>
    <mergeCell ref="AI46:AI47"/>
    <mergeCell ref="AJ46:AJ47"/>
    <mergeCell ref="AK46:AO46"/>
    <mergeCell ref="AP46:AQ46"/>
    <mergeCell ref="AU46:AU47"/>
    <mergeCell ref="AX46:AX47"/>
    <mergeCell ref="AZ46:AZ47"/>
    <mergeCell ref="BA46:BA47"/>
    <mergeCell ref="BL46:BL47"/>
    <mergeCell ref="BO46:BO47"/>
    <mergeCell ref="BQ46:BQ47"/>
    <mergeCell ref="BR46:BR47"/>
    <mergeCell ref="AR46:AT46"/>
    <mergeCell ref="AV46:AW46"/>
    <mergeCell ref="BB46:BF46"/>
    <mergeCell ref="BG46:BH46"/>
    <mergeCell ref="BI46:BK46"/>
    <mergeCell ref="BM46:BN46"/>
    <mergeCell ref="BS46:BW46"/>
    <mergeCell ref="GD46:GD47"/>
    <mergeCell ref="GF46:GF47"/>
    <mergeCell ref="GG46:GG47"/>
    <mergeCell ref="JZ46:KA46"/>
    <mergeCell ref="KF46:KJ46"/>
    <mergeCell ref="KK46:KL46"/>
    <mergeCell ref="KM46:KO46"/>
    <mergeCell ref="KP46:KP47"/>
    <mergeCell ref="KQ46:KR46"/>
    <mergeCell ref="KS46:KS47"/>
    <mergeCell ref="JO46:JS46"/>
    <mergeCell ref="JT46:JU46"/>
    <mergeCell ref="JV46:JX46"/>
    <mergeCell ref="JY46:JY47"/>
    <mergeCell ref="KB46:KB47"/>
    <mergeCell ref="KD46:KD47"/>
    <mergeCell ref="KE46:KE47"/>
    <mergeCell ref="FK46:FL46"/>
    <mergeCell ref="FM46:FM47"/>
    <mergeCell ref="FO46:FO47"/>
    <mergeCell ref="FP46:FP47"/>
    <mergeCell ref="FQ46:FU46"/>
    <mergeCell ref="FV46:FW46"/>
    <mergeCell ref="GA46:GA47"/>
    <mergeCell ref="FX46:FZ46"/>
    <mergeCell ref="GB46:GC46"/>
    <mergeCell ref="GH46:GL46"/>
    <mergeCell ref="GM46:GN46"/>
    <mergeCell ref="GO46:GQ46"/>
    <mergeCell ref="GR46:GR47"/>
    <mergeCell ref="GS46:GT46"/>
    <mergeCell ref="GU46:GU47"/>
    <mergeCell ref="GW46:GW47"/>
    <mergeCell ref="GX46:GX47"/>
    <mergeCell ref="GY46:HC46"/>
    <mergeCell ref="HD46:HE46"/>
    <mergeCell ref="HF46:HH46"/>
    <mergeCell ref="HI46:HI47"/>
    <mergeCell ref="IC46:IC47"/>
    <mergeCell ref="IE46:IE47"/>
    <mergeCell ref="IF46:IF47"/>
    <mergeCell ref="IQ46:IQ47"/>
    <mergeCell ref="IT46:IT47"/>
    <mergeCell ref="IV46:IV47"/>
    <mergeCell ref="IW46:IW47"/>
    <mergeCell ref="HJ46:HK46"/>
    <mergeCell ref="HL46:HL47"/>
    <mergeCell ref="HN46:HN47"/>
    <mergeCell ref="HO46:HO47"/>
    <mergeCell ref="HP46:HT46"/>
    <mergeCell ref="HU46:HV46"/>
    <mergeCell ref="HZ46:HZ47"/>
    <mergeCell ref="HW46:HY46"/>
    <mergeCell ref="IA46:IB46"/>
    <mergeCell ref="IG46:IK46"/>
    <mergeCell ref="IL46:IM46"/>
    <mergeCell ref="IN46:IP46"/>
    <mergeCell ref="IR46:IS46"/>
    <mergeCell ref="IX46:JB46"/>
    <mergeCell ref="JC46:JD46"/>
    <mergeCell ref="JE46:JG46"/>
    <mergeCell ref="JH46:JH47"/>
    <mergeCell ref="JI46:JJ46"/>
    <mergeCell ref="JK46:JK47"/>
    <mergeCell ref="JM46:JM47"/>
    <mergeCell ref="JN46:JN47"/>
    <mergeCell ref="CJ46:CN46"/>
    <mergeCell ref="CO46:CP46"/>
    <mergeCell ref="BX46:BY46"/>
    <mergeCell ref="BZ46:CB46"/>
    <mergeCell ref="CC46:CC47"/>
    <mergeCell ref="CD46:CE46"/>
    <mergeCell ref="CF46:CF47"/>
    <mergeCell ref="CH46:CH47"/>
    <mergeCell ref="CI46:CI47"/>
    <mergeCell ref="IE67:IF67"/>
    <mergeCell ref="IV67:IW67"/>
    <mergeCell ref="JM67:JN67"/>
    <mergeCell ref="KD67:KE67"/>
    <mergeCell ref="DP67:DQ67"/>
    <mergeCell ref="EG67:EH67"/>
    <mergeCell ref="EX67:EY67"/>
    <mergeCell ref="FO67:FP67"/>
    <mergeCell ref="GF67:GG67"/>
    <mergeCell ref="GW67:GX67"/>
    <mergeCell ref="HN67:HO67"/>
    <mergeCell ref="R67:S67"/>
    <mergeCell ref="R72:S72"/>
    <mergeCell ref="AZ67:BA67"/>
    <mergeCell ref="AZ72:BA72"/>
    <mergeCell ref="HN72:HO72"/>
    <mergeCell ref="IE72:IF72"/>
    <mergeCell ref="IV72:IW72"/>
    <mergeCell ref="JM72:JN72"/>
    <mergeCell ref="KD72:KE72"/>
    <mergeCell ref="CY72:CZ72"/>
    <mergeCell ref="DP72:DQ72"/>
    <mergeCell ref="EG72:EH72"/>
    <mergeCell ref="EX72:EY72"/>
    <mergeCell ref="FO72:FP72"/>
    <mergeCell ref="GF72:GG72"/>
    <mergeCell ref="GW72:GX72"/>
    <mergeCell ref="CH67:CI67"/>
    <mergeCell ref="CH72:CI72"/>
    <mergeCell ref="CF78:CF79"/>
    <mergeCell ref="CW78:CW79"/>
    <mergeCell ref="AI72:AJ72"/>
    <mergeCell ref="AG76:AG77"/>
    <mergeCell ref="P78:P79"/>
    <mergeCell ref="AG78:AG79"/>
    <mergeCell ref="AX78:AX79"/>
    <mergeCell ref="BQ72:BR72"/>
    <mergeCell ref="BO76:BO77"/>
    <mergeCell ref="BO78:BO79"/>
    <mergeCell ref="A67:B67"/>
    <mergeCell ref="AI67:AJ67"/>
    <mergeCell ref="BQ67:BR67"/>
    <mergeCell ref="CY67:CZ67"/>
    <mergeCell ref="A72:B72"/>
    <mergeCell ref="P76:P77"/>
    <mergeCell ref="AX76:AX77"/>
    <mergeCell ref="GU76:GU77"/>
    <mergeCell ref="HL76:HL77"/>
    <mergeCell ref="IC76:IC77"/>
    <mergeCell ref="IT76:IT77"/>
    <mergeCell ref="JK76:JK77"/>
    <mergeCell ref="KB76:KB77"/>
    <mergeCell ref="KS76:KS77"/>
    <mergeCell ref="EE76:EE77"/>
    <mergeCell ref="EE78:EE79"/>
    <mergeCell ref="GD78:GD79"/>
    <mergeCell ref="GU78:GU79"/>
    <mergeCell ref="HL78:HL79"/>
    <mergeCell ref="IC78:IC79"/>
    <mergeCell ref="IT78:IT79"/>
    <mergeCell ref="JK78:JK79"/>
    <mergeCell ref="KB78:KB79"/>
    <mergeCell ref="KS78:KS79"/>
    <mergeCell ref="GU4:GU5"/>
    <mergeCell ref="HL4:HL5"/>
    <mergeCell ref="IC4:IC5"/>
    <mergeCell ref="IT4:IT5"/>
    <mergeCell ref="JK4:JK5"/>
    <mergeCell ref="KB4:KB5"/>
    <mergeCell ref="KS4:KS5"/>
    <mergeCell ref="CF4:CF5"/>
    <mergeCell ref="CW4:CW5"/>
    <mergeCell ref="DN4:DN5"/>
    <mergeCell ref="EE4:EE5"/>
    <mergeCell ref="EV4:EV5"/>
    <mergeCell ref="FM4:FM5"/>
    <mergeCell ref="GD4:GD5"/>
    <mergeCell ref="AG4:AG5"/>
    <mergeCell ref="AG6:AG7"/>
    <mergeCell ref="BO4:BO5"/>
    <mergeCell ref="BO6:BO7"/>
    <mergeCell ref="CF6:CF7"/>
    <mergeCell ref="CW6:CW7"/>
    <mergeCell ref="DN6:DN7"/>
    <mergeCell ref="EE6:EE7"/>
    <mergeCell ref="EV6:EV7"/>
    <mergeCell ref="KB6:KB7"/>
    <mergeCell ref="KS6:KS7"/>
    <mergeCell ref="FM6:FM7"/>
    <mergeCell ref="GD6:GD7"/>
    <mergeCell ref="GU6:GU7"/>
    <mergeCell ref="HL6:HL7"/>
    <mergeCell ref="IC6:IC7"/>
    <mergeCell ref="IT6:IT7"/>
    <mergeCell ref="JK6:JK7"/>
    <mergeCell ref="A1:A2"/>
    <mergeCell ref="B1:B2"/>
    <mergeCell ref="L1:L2"/>
    <mergeCell ref="P4:P5"/>
    <mergeCell ref="AX4:AX5"/>
    <mergeCell ref="P6:P7"/>
    <mergeCell ref="AX6:AX7"/>
    <mergeCell ref="A10:A11"/>
    <mergeCell ref="B10:B11"/>
    <mergeCell ref="C10:G10"/>
    <mergeCell ref="H10:I10"/>
    <mergeCell ref="J10:L10"/>
    <mergeCell ref="M10:M11"/>
    <mergeCell ref="N10:O10"/>
    <mergeCell ref="P10:P11"/>
    <mergeCell ref="R10:R11"/>
    <mergeCell ref="S10:S11"/>
    <mergeCell ref="T10:X10"/>
    <mergeCell ref="Y10:Z10"/>
    <mergeCell ref="AA10:AC10"/>
    <mergeCell ref="AD10:AD11"/>
    <mergeCell ref="AX10:AX11"/>
    <mergeCell ref="AZ10:AZ11"/>
    <mergeCell ref="BA10:BA11"/>
    <mergeCell ref="BL10:BL11"/>
    <mergeCell ref="BO10:BO11"/>
    <mergeCell ref="BQ10:BQ11"/>
    <mergeCell ref="BR10:BR11"/>
    <mergeCell ref="AE10:AF10"/>
    <mergeCell ref="AG10:AG11"/>
    <mergeCell ref="AI10:AI11"/>
    <mergeCell ref="AJ10:AJ11"/>
    <mergeCell ref="AK10:AO10"/>
    <mergeCell ref="AP10:AQ10"/>
    <mergeCell ref="AU10:AU11"/>
    <mergeCell ref="AR10:AT10"/>
    <mergeCell ref="AV10:AW10"/>
    <mergeCell ref="BB10:BF10"/>
    <mergeCell ref="BG10:BH10"/>
    <mergeCell ref="BI10:BK10"/>
    <mergeCell ref="BM10:BN10"/>
    <mergeCell ref="BS10:BW10"/>
    <mergeCell ref="BX10:BY10"/>
    <mergeCell ref="BZ10:CB10"/>
    <mergeCell ref="CC10:CC11"/>
    <mergeCell ref="CD10:CE10"/>
    <mergeCell ref="CF10:CF11"/>
    <mergeCell ref="CH10:CH11"/>
    <mergeCell ref="CI10:CI11"/>
    <mergeCell ref="DP10:DP11"/>
    <mergeCell ref="DQ10:DQ11"/>
    <mergeCell ref="DR10:DV10"/>
    <mergeCell ref="DW10:DX10"/>
    <mergeCell ref="DY10:EA10"/>
    <mergeCell ref="EB10:EB11"/>
    <mergeCell ref="EC10:ED10"/>
    <mergeCell ref="IE10:IE11"/>
    <mergeCell ref="IF10:IF11"/>
    <mergeCell ref="IG10:IK10"/>
    <mergeCell ref="IL10:IM10"/>
    <mergeCell ref="IN10:IP10"/>
    <mergeCell ref="IQ10:IQ11"/>
    <mergeCell ref="IR10:IS10"/>
    <mergeCell ref="IT10:IT11"/>
    <mergeCell ref="IV10:IV11"/>
    <mergeCell ref="IW10:IW11"/>
    <mergeCell ref="IX10:JB10"/>
    <mergeCell ref="JC10:JD10"/>
    <mergeCell ref="JE10:JG10"/>
    <mergeCell ref="JH10:JH11"/>
    <mergeCell ref="JV10:JX10"/>
    <mergeCell ref="JZ10:KA10"/>
    <mergeCell ref="KF10:KJ10"/>
    <mergeCell ref="KK10:KL10"/>
    <mergeCell ref="KM10:KO10"/>
    <mergeCell ref="KQ10:KR10"/>
    <mergeCell ref="KB10:KB11"/>
    <mergeCell ref="KD10:KD11"/>
    <mergeCell ref="KE10:KE11"/>
    <mergeCell ref="KP10:KP11"/>
    <mergeCell ref="KS10:KS11"/>
    <mergeCell ref="JI10:JJ10"/>
    <mergeCell ref="JK10:JK11"/>
    <mergeCell ref="JM10:JM11"/>
    <mergeCell ref="JN10:JN11"/>
    <mergeCell ref="JO10:JS10"/>
    <mergeCell ref="JT10:JU10"/>
    <mergeCell ref="JY10:JY11"/>
    <mergeCell ref="EE10:EE11"/>
    <mergeCell ref="EG10:EG11"/>
    <mergeCell ref="EH10:EH11"/>
    <mergeCell ref="EI10:EM10"/>
    <mergeCell ref="EN10:EO10"/>
    <mergeCell ref="EP10:ER10"/>
    <mergeCell ref="ES10:ES11"/>
    <mergeCell ref="FM10:FM11"/>
    <mergeCell ref="FO10:FO11"/>
    <mergeCell ref="FP10:FP11"/>
    <mergeCell ref="GA10:GA11"/>
    <mergeCell ref="GD10:GD11"/>
    <mergeCell ref="GF10:GF11"/>
    <mergeCell ref="GG10:GG11"/>
    <mergeCell ref="ET10:EU10"/>
    <mergeCell ref="EV10:EV11"/>
    <mergeCell ref="EX10:EX11"/>
    <mergeCell ref="EY10:EY11"/>
    <mergeCell ref="EZ10:FD10"/>
    <mergeCell ref="FE10:FF10"/>
    <mergeCell ref="FJ10:FJ11"/>
    <mergeCell ref="FG10:FI10"/>
    <mergeCell ref="FK10:FL10"/>
    <mergeCell ref="FQ10:FU10"/>
    <mergeCell ref="FV10:FW10"/>
    <mergeCell ref="FX10:FZ10"/>
    <mergeCell ref="GB10:GC10"/>
    <mergeCell ref="GH10:GL10"/>
    <mergeCell ref="GM10:GN10"/>
    <mergeCell ref="GO10:GQ10"/>
    <mergeCell ref="GR10:GR11"/>
    <mergeCell ref="GS10:GT10"/>
    <mergeCell ref="GU10:GU11"/>
    <mergeCell ref="GW10:GW11"/>
    <mergeCell ref="GX10:GX11"/>
    <mergeCell ref="GY10:HC10"/>
    <mergeCell ref="HD10:HE10"/>
    <mergeCell ref="HF10:HH10"/>
    <mergeCell ref="HI10:HI11"/>
    <mergeCell ref="HL10:HL11"/>
    <mergeCell ref="HN10:HN11"/>
    <mergeCell ref="HO10:HO11"/>
    <mergeCell ref="HJ10:HK10"/>
    <mergeCell ref="HP10:HT10"/>
    <mergeCell ref="HU10:HV10"/>
    <mergeCell ref="HW10:HY10"/>
    <mergeCell ref="HZ10:HZ11"/>
    <mergeCell ref="IA10:IB10"/>
    <mergeCell ref="IC10:IC11"/>
    <mergeCell ref="CU10:CV10"/>
    <mergeCell ref="DA10:DE10"/>
    <mergeCell ref="DF10:DG10"/>
    <mergeCell ref="DH10:DJ10"/>
    <mergeCell ref="DK10:DK11"/>
    <mergeCell ref="DL10:DM10"/>
    <mergeCell ref="DN10:DN11"/>
    <mergeCell ref="CJ10:CN10"/>
    <mergeCell ref="CO10:CP10"/>
    <mergeCell ref="CQ10:CS10"/>
    <mergeCell ref="CT10:CT11"/>
    <mergeCell ref="CW10:CW11"/>
    <mergeCell ref="CY10:CY11"/>
    <mergeCell ref="CZ10:CZ11"/>
    <mergeCell ref="IE31:IF31"/>
    <mergeCell ref="IV31:IW31"/>
    <mergeCell ref="JM31:JN31"/>
    <mergeCell ref="KD31:KE31"/>
    <mergeCell ref="DP31:DQ31"/>
    <mergeCell ref="EG31:EH31"/>
    <mergeCell ref="EX31:EY31"/>
    <mergeCell ref="FO31:FP31"/>
    <mergeCell ref="GF31:GG31"/>
    <mergeCell ref="GW31:GX31"/>
    <mergeCell ref="HN31:HO31"/>
    <mergeCell ref="R31:S31"/>
    <mergeCell ref="R36:S36"/>
    <mergeCell ref="AZ31:BA31"/>
    <mergeCell ref="AZ36:BA36"/>
    <mergeCell ref="HN36:HO36"/>
    <mergeCell ref="IE36:IF36"/>
    <mergeCell ref="IV36:IW36"/>
    <mergeCell ref="JM36:JN36"/>
    <mergeCell ref="KD36:KE36"/>
    <mergeCell ref="CY36:CZ36"/>
    <mergeCell ref="DP36:DQ36"/>
    <mergeCell ref="EG36:EH36"/>
    <mergeCell ref="EX36:EY36"/>
    <mergeCell ref="FO36:FP36"/>
    <mergeCell ref="GF36:GG36"/>
    <mergeCell ref="GW36:GX36"/>
    <mergeCell ref="DF46:DG46"/>
    <mergeCell ref="DH46:DJ46"/>
    <mergeCell ref="CQ46:CS46"/>
    <mergeCell ref="CT46:CT47"/>
    <mergeCell ref="CU46:CV46"/>
    <mergeCell ref="CW46:CW47"/>
    <mergeCell ref="CY46:CY47"/>
    <mergeCell ref="CZ46:CZ47"/>
    <mergeCell ref="DA46:DE46"/>
    <mergeCell ref="JM82:JM83"/>
    <mergeCell ref="JN82:JN83"/>
    <mergeCell ref="JO82:JS82"/>
    <mergeCell ref="JT82:JU82"/>
    <mergeCell ref="JV82:JX82"/>
    <mergeCell ref="JY82:JY83"/>
    <mergeCell ref="JZ82:KA82"/>
    <mergeCell ref="KQ82:KR82"/>
    <mergeCell ref="KS82:KS83"/>
    <mergeCell ref="KB82:KB83"/>
    <mergeCell ref="KD82:KD83"/>
    <mergeCell ref="KE82:KE83"/>
    <mergeCell ref="KF82:KJ82"/>
    <mergeCell ref="KK82:KL82"/>
    <mergeCell ref="KM82:KO82"/>
    <mergeCell ref="KP82:KP83"/>
    <mergeCell ref="BX82:BY82"/>
    <mergeCell ref="BZ82:CB82"/>
    <mergeCell ref="CC82:CC83"/>
    <mergeCell ref="CD82:CE82"/>
    <mergeCell ref="CF82:CF83"/>
    <mergeCell ref="CH82:CH83"/>
    <mergeCell ref="CI82:CI83"/>
    <mergeCell ref="GU82:GU83"/>
    <mergeCell ref="GW82:GW83"/>
    <mergeCell ref="GX82:GX83"/>
    <mergeCell ref="HI82:HI83"/>
    <mergeCell ref="HL82:HL83"/>
    <mergeCell ref="HN82:HN83"/>
    <mergeCell ref="HO82:HO83"/>
    <mergeCell ref="CJ82:CN82"/>
    <mergeCell ref="CO82:CP82"/>
    <mergeCell ref="GF82:GF83"/>
    <mergeCell ref="GG82:GG83"/>
    <mergeCell ref="GH82:GL82"/>
    <mergeCell ref="GM82:GN82"/>
    <mergeCell ref="GR82:GR83"/>
    <mergeCell ref="GO82:GQ82"/>
    <mergeCell ref="GS82:GT82"/>
    <mergeCell ref="GY82:HC82"/>
    <mergeCell ref="HD82:HE82"/>
    <mergeCell ref="HF82:HH82"/>
    <mergeCell ref="HJ82:HK82"/>
    <mergeCell ref="HP82:HT82"/>
    <mergeCell ref="HU82:HV82"/>
    <mergeCell ref="HW82:HY82"/>
    <mergeCell ref="HZ82:HZ83"/>
    <mergeCell ref="IA82:IB82"/>
    <mergeCell ref="IC82:IC83"/>
    <mergeCell ref="IE82:IE83"/>
    <mergeCell ref="IF82:IF83"/>
    <mergeCell ref="IG82:IK82"/>
    <mergeCell ref="IL82:IM82"/>
    <mergeCell ref="IN82:IP82"/>
    <mergeCell ref="IQ82:IQ83"/>
    <mergeCell ref="IT82:IT83"/>
    <mergeCell ref="IV82:IV83"/>
    <mergeCell ref="IW82:IW83"/>
    <mergeCell ref="IR82:IS82"/>
    <mergeCell ref="IX82:JB82"/>
    <mergeCell ref="JC82:JD82"/>
    <mergeCell ref="JE82:JG82"/>
    <mergeCell ref="JH82:JH83"/>
    <mergeCell ref="JI82:JJ82"/>
    <mergeCell ref="JK82:JK83"/>
    <mergeCell ref="IT118:IT119"/>
    <mergeCell ref="IV118:IV119"/>
    <mergeCell ref="IW118:IW119"/>
    <mergeCell ref="JH118:JH119"/>
    <mergeCell ref="JK118:JK119"/>
    <mergeCell ref="JM118:JM119"/>
    <mergeCell ref="JN118:JN119"/>
    <mergeCell ref="IN118:IP118"/>
    <mergeCell ref="IR118:IS118"/>
    <mergeCell ref="IX118:JB118"/>
    <mergeCell ref="JC118:JD118"/>
    <mergeCell ref="JE118:JG118"/>
    <mergeCell ref="JI118:JJ118"/>
    <mergeCell ref="JO118:JS118"/>
    <mergeCell ref="FE118:FF118"/>
    <mergeCell ref="FG118:FI118"/>
    <mergeCell ref="FJ118:FJ119"/>
    <mergeCell ref="FK118:FL118"/>
    <mergeCell ref="FM118:FM119"/>
    <mergeCell ref="FO118:FO119"/>
    <mergeCell ref="FP118:FP119"/>
    <mergeCell ref="FQ118:FU118"/>
    <mergeCell ref="FV118:FW118"/>
    <mergeCell ref="FX118:FZ118"/>
    <mergeCell ref="GA118:GA119"/>
    <mergeCell ref="GD118:GD119"/>
    <mergeCell ref="GF118:GF119"/>
    <mergeCell ref="GG118:GG119"/>
    <mergeCell ref="GB118:GC118"/>
    <mergeCell ref="GH118:GL118"/>
    <mergeCell ref="GM118:GN118"/>
    <mergeCell ref="GO118:GQ118"/>
    <mergeCell ref="GR118:GR119"/>
    <mergeCell ref="GS118:GT118"/>
    <mergeCell ref="GU118:GU119"/>
    <mergeCell ref="GW118:GW119"/>
    <mergeCell ref="GX118:GX119"/>
    <mergeCell ref="GY118:HC118"/>
    <mergeCell ref="HD118:HE118"/>
    <mergeCell ref="HF118:HH118"/>
    <mergeCell ref="HI118:HI119"/>
    <mergeCell ref="HJ118:HK118"/>
    <mergeCell ref="HL118:HL119"/>
    <mergeCell ref="HN118:HN119"/>
    <mergeCell ref="HO118:HO119"/>
    <mergeCell ref="HP118:HT118"/>
    <mergeCell ref="HU118:HV118"/>
    <mergeCell ref="HW118:HY118"/>
    <mergeCell ref="HZ118:HZ119"/>
    <mergeCell ref="IA118:IB118"/>
    <mergeCell ref="IC118:IC119"/>
    <mergeCell ref="IE118:IE119"/>
    <mergeCell ref="IF118:IF119"/>
    <mergeCell ref="IG118:IK118"/>
    <mergeCell ref="IL118:IM118"/>
    <mergeCell ref="IQ118:IQ119"/>
    <mergeCell ref="JT118:JU118"/>
    <mergeCell ref="JV118:JX118"/>
    <mergeCell ref="DY82:EA82"/>
    <mergeCell ref="EB82:EB83"/>
    <mergeCell ref="DK82:DK83"/>
    <mergeCell ref="DL82:DM82"/>
    <mergeCell ref="DN82:DN83"/>
    <mergeCell ref="DP82:DP83"/>
    <mergeCell ref="DQ82:DQ83"/>
    <mergeCell ref="DR82:DV82"/>
    <mergeCell ref="DW82:DX82"/>
    <mergeCell ref="EP82:ER82"/>
    <mergeCell ref="ET82:EU82"/>
    <mergeCell ref="EC82:ED82"/>
    <mergeCell ref="EE82:EE83"/>
    <mergeCell ref="EG82:EG83"/>
    <mergeCell ref="EH82:EH83"/>
    <mergeCell ref="EI82:EM82"/>
    <mergeCell ref="EN82:EO82"/>
    <mergeCell ref="ES82:ES83"/>
    <mergeCell ref="FM76:FM77"/>
    <mergeCell ref="FM78:FM79"/>
    <mergeCell ref="EV82:EV83"/>
    <mergeCell ref="EX82:EX83"/>
    <mergeCell ref="EY82:EY83"/>
    <mergeCell ref="EZ82:FD82"/>
    <mergeCell ref="FE82:FF82"/>
    <mergeCell ref="IE103:IF103"/>
    <mergeCell ref="IV103:IW103"/>
    <mergeCell ref="JM103:JN103"/>
    <mergeCell ref="KD103:KE103"/>
    <mergeCell ref="FG82:FI82"/>
    <mergeCell ref="FJ82:FJ83"/>
    <mergeCell ref="EX103:EY103"/>
    <mergeCell ref="FO103:FP103"/>
    <mergeCell ref="GF103:GG103"/>
    <mergeCell ref="GW103:GX103"/>
    <mergeCell ref="HN103:HO103"/>
    <mergeCell ref="CF76:CF77"/>
    <mergeCell ref="CW76:CW77"/>
    <mergeCell ref="DN76:DN77"/>
    <mergeCell ref="EV76:EV77"/>
    <mergeCell ref="GD76:GD77"/>
    <mergeCell ref="DN78:DN79"/>
    <mergeCell ref="EV78:EV79"/>
    <mergeCell ref="A82:A83"/>
    <mergeCell ref="B82:B83"/>
    <mergeCell ref="C82:G82"/>
    <mergeCell ref="H82:I82"/>
    <mergeCell ref="J82:L82"/>
    <mergeCell ref="M82:M83"/>
    <mergeCell ref="N82:O82"/>
    <mergeCell ref="P82:P83"/>
    <mergeCell ref="R82:R83"/>
    <mergeCell ref="S82:S83"/>
    <mergeCell ref="T82:X82"/>
    <mergeCell ref="Y82:Z82"/>
    <mergeCell ref="AA82:AC82"/>
    <mergeCell ref="AD82:AD83"/>
    <mergeCell ref="AE82:AF82"/>
    <mergeCell ref="AG82:AG83"/>
    <mergeCell ref="AI82:AI83"/>
    <mergeCell ref="AJ82:AJ83"/>
    <mergeCell ref="AK82:AO82"/>
    <mergeCell ref="AP82:AQ82"/>
    <mergeCell ref="AU82:AU83"/>
    <mergeCell ref="AX82:AX83"/>
    <mergeCell ref="AZ82:AZ83"/>
    <mergeCell ref="BA82:BA83"/>
    <mergeCell ref="BL82:BL83"/>
    <mergeCell ref="BO82:BO83"/>
    <mergeCell ref="BQ82:BQ83"/>
    <mergeCell ref="BR82:BR83"/>
    <mergeCell ref="AR82:AT82"/>
    <mergeCell ref="AV82:AW82"/>
    <mergeCell ref="BB82:BF82"/>
    <mergeCell ref="BG82:BH82"/>
    <mergeCell ref="BI82:BK82"/>
    <mergeCell ref="BM82:BN82"/>
    <mergeCell ref="BS82:BW82"/>
    <mergeCell ref="FX82:FZ82"/>
    <mergeCell ref="GB82:GC82"/>
    <mergeCell ref="FK82:FL82"/>
    <mergeCell ref="FM82:FM83"/>
    <mergeCell ref="FO82:FO83"/>
    <mergeCell ref="FP82:FP83"/>
    <mergeCell ref="FQ82:FU82"/>
    <mergeCell ref="FV82:FW82"/>
    <mergeCell ref="GA82:GA83"/>
    <mergeCell ref="GD82:GD83"/>
    <mergeCell ref="DP103:DQ103"/>
    <mergeCell ref="EG103:EH103"/>
    <mergeCell ref="DP108:DQ108"/>
    <mergeCell ref="EG108:EH108"/>
    <mergeCell ref="EX108:EY108"/>
    <mergeCell ref="FO108:FP108"/>
    <mergeCell ref="GF108:GG108"/>
    <mergeCell ref="CH103:CI103"/>
    <mergeCell ref="CH108:CI108"/>
    <mergeCell ref="CF112:CF113"/>
    <mergeCell ref="CW112:CW113"/>
    <mergeCell ref="DN112:DN113"/>
    <mergeCell ref="EE112:EE113"/>
    <mergeCell ref="EV112:EV113"/>
    <mergeCell ref="DF82:DG82"/>
    <mergeCell ref="DH82:DJ82"/>
    <mergeCell ref="CQ82:CS82"/>
    <mergeCell ref="CT82:CT83"/>
    <mergeCell ref="CU82:CV82"/>
    <mergeCell ref="CW82:CW83"/>
    <mergeCell ref="CY82:CY83"/>
    <mergeCell ref="CZ82:CZ83"/>
    <mergeCell ref="DA82:DE82"/>
    <mergeCell ref="A103:B103"/>
    <mergeCell ref="AI103:AJ103"/>
    <mergeCell ref="BQ103:BR103"/>
    <mergeCell ref="CY103:CZ103"/>
    <mergeCell ref="A108:B108"/>
    <mergeCell ref="AI108:AJ108"/>
    <mergeCell ref="BQ108:BR108"/>
    <mergeCell ref="CY108:CZ108"/>
    <mergeCell ref="GW108:GX108"/>
    <mergeCell ref="HN108:HO108"/>
    <mergeCell ref="IE108:IF108"/>
    <mergeCell ref="IV108:IW108"/>
    <mergeCell ref="JM108:JN108"/>
    <mergeCell ref="KD108:KE108"/>
    <mergeCell ref="KB112:KB113"/>
    <mergeCell ref="KS112:KS113"/>
    <mergeCell ref="FM112:FM113"/>
    <mergeCell ref="GD112:GD113"/>
    <mergeCell ref="GU112:GU113"/>
    <mergeCell ref="HL112:HL113"/>
    <mergeCell ref="IC112:IC113"/>
    <mergeCell ref="IT112:IT113"/>
    <mergeCell ref="JK112:JK113"/>
    <mergeCell ref="HL114:HL115"/>
    <mergeCell ref="IC114:IC115"/>
    <mergeCell ref="IT114:IT115"/>
    <mergeCell ref="JK114:JK115"/>
    <mergeCell ref="KB114:KB115"/>
    <mergeCell ref="KS114:KS115"/>
    <mergeCell ref="CW114:CW115"/>
    <mergeCell ref="DN114:DN115"/>
    <mergeCell ref="EE114:EE115"/>
    <mergeCell ref="EV114:EV115"/>
    <mergeCell ref="FM114:FM115"/>
    <mergeCell ref="GD114:GD115"/>
    <mergeCell ref="GU114:GU115"/>
    <mergeCell ref="KM118:KO118"/>
    <mergeCell ref="KP118:KP119"/>
    <mergeCell ref="KQ118:KR118"/>
    <mergeCell ref="KS118:KS119"/>
    <mergeCell ref="JY118:JY119"/>
    <mergeCell ref="JZ118:KA118"/>
    <mergeCell ref="KB118:KB119"/>
    <mergeCell ref="KD118:KD119"/>
    <mergeCell ref="KE118:KE119"/>
    <mergeCell ref="KF118:KJ118"/>
    <mergeCell ref="KK118:KL118"/>
    <mergeCell ref="AR118:AT118"/>
    <mergeCell ref="AV118:AW118"/>
    <mergeCell ref="AD118:AD119"/>
    <mergeCell ref="AE118:AF118"/>
    <mergeCell ref="AI118:AI119"/>
    <mergeCell ref="AJ118:AJ119"/>
    <mergeCell ref="AK118:AO118"/>
    <mergeCell ref="AP118:AQ118"/>
    <mergeCell ref="AU118:AU119"/>
    <mergeCell ref="CH118:CH119"/>
    <mergeCell ref="CI118:CI119"/>
    <mergeCell ref="CJ118:CN118"/>
    <mergeCell ref="CO118:CP118"/>
    <mergeCell ref="CQ118:CS118"/>
    <mergeCell ref="CT118:CT119"/>
    <mergeCell ref="CU118:CV118"/>
    <mergeCell ref="CW118:CW119"/>
    <mergeCell ref="CY118:CY119"/>
    <mergeCell ref="CZ118:CZ119"/>
    <mergeCell ref="DA118:DE118"/>
    <mergeCell ref="DF118:DG118"/>
    <mergeCell ref="DH118:DJ118"/>
    <mergeCell ref="DK118:DK119"/>
    <mergeCell ref="DL118:DM118"/>
    <mergeCell ref="DN118:DN119"/>
    <mergeCell ref="DP118:DP119"/>
    <mergeCell ref="DQ118:DQ119"/>
    <mergeCell ref="DR118:DV118"/>
    <mergeCell ref="DW118:DX118"/>
    <mergeCell ref="EB118:EB119"/>
    <mergeCell ref="DY118:EA118"/>
    <mergeCell ref="EC118:ED118"/>
    <mergeCell ref="EI118:EM118"/>
    <mergeCell ref="EN118:EO118"/>
    <mergeCell ref="EP118:ER118"/>
    <mergeCell ref="ET118:EU118"/>
    <mergeCell ref="EZ118:FD118"/>
    <mergeCell ref="EE118:EE119"/>
    <mergeCell ref="EG118:EG119"/>
    <mergeCell ref="EH118:EH119"/>
    <mergeCell ref="ES118:ES119"/>
    <mergeCell ref="EV118:EV119"/>
    <mergeCell ref="EX118:EX119"/>
    <mergeCell ref="EY118:EY119"/>
    <mergeCell ref="BM118:BN118"/>
    <mergeCell ref="BO118:BO119"/>
    <mergeCell ref="BQ118:BQ119"/>
    <mergeCell ref="BR118:BR119"/>
    <mergeCell ref="BS118:BW118"/>
    <mergeCell ref="BX118:BY118"/>
    <mergeCell ref="CC118:CC119"/>
    <mergeCell ref="BZ118:CB118"/>
    <mergeCell ref="CD118:CE118"/>
    <mergeCell ref="BQ139:BR139"/>
    <mergeCell ref="CH139:CI139"/>
    <mergeCell ref="CY139:CZ139"/>
    <mergeCell ref="DP139:DQ139"/>
    <mergeCell ref="EG139:EH139"/>
    <mergeCell ref="JM139:JN139"/>
    <mergeCell ref="KD139:KE139"/>
    <mergeCell ref="EX139:EY139"/>
    <mergeCell ref="FO139:FP139"/>
    <mergeCell ref="GF139:GG139"/>
    <mergeCell ref="GW139:GX139"/>
    <mergeCell ref="HN139:HO139"/>
    <mergeCell ref="IE139:IF139"/>
    <mergeCell ref="IV139:IW139"/>
    <mergeCell ref="AZ103:BA103"/>
    <mergeCell ref="AZ108:BA108"/>
    <mergeCell ref="AX112:AX113"/>
    <mergeCell ref="BO112:BO113"/>
    <mergeCell ref="AX114:AX115"/>
    <mergeCell ref="BO114:BO115"/>
    <mergeCell ref="CF114:CF115"/>
    <mergeCell ref="B118:B119"/>
    <mergeCell ref="C118:G118"/>
    <mergeCell ref="H118:I118"/>
    <mergeCell ref="J118:L118"/>
    <mergeCell ref="M118:M119"/>
    <mergeCell ref="N118:O118"/>
    <mergeCell ref="P118:P119"/>
    <mergeCell ref="R118:R119"/>
    <mergeCell ref="Y118:Z118"/>
    <mergeCell ref="AA118:AC118"/>
    <mergeCell ref="AX118:AX119"/>
    <mergeCell ref="AZ118:AZ119"/>
    <mergeCell ref="BA118:BA119"/>
    <mergeCell ref="BB118:BF118"/>
    <mergeCell ref="BG118:BH118"/>
    <mergeCell ref="BI118:BK118"/>
    <mergeCell ref="BL118:BL119"/>
    <mergeCell ref="CF118:CF119"/>
    <mergeCell ref="S154:S155"/>
    <mergeCell ref="T154:X154"/>
    <mergeCell ref="AD154:AD155"/>
    <mergeCell ref="AE154:AF154"/>
    <mergeCell ref="AG148:AG149"/>
    <mergeCell ref="AG150:AG151"/>
    <mergeCell ref="A154:A155"/>
    <mergeCell ref="B154:B155"/>
    <mergeCell ref="C154:G154"/>
    <mergeCell ref="H154:I154"/>
    <mergeCell ref="M154:M155"/>
    <mergeCell ref="AG154:AG155"/>
    <mergeCell ref="AR154:AT154"/>
    <mergeCell ref="AV154:AW154"/>
    <mergeCell ref="Y154:Z154"/>
    <mergeCell ref="AA154:AC154"/>
    <mergeCell ref="AI154:AI155"/>
    <mergeCell ref="AJ154:AJ155"/>
    <mergeCell ref="AK154:AO154"/>
    <mergeCell ref="AP154:AQ154"/>
    <mergeCell ref="AU154:AU155"/>
    <mergeCell ref="BZ154:CB154"/>
    <mergeCell ref="CD154:CE154"/>
    <mergeCell ref="BM154:BN154"/>
    <mergeCell ref="BO154:BO155"/>
    <mergeCell ref="BQ154:BQ155"/>
    <mergeCell ref="BR154:BR155"/>
    <mergeCell ref="BS154:BW154"/>
    <mergeCell ref="BX154:BY154"/>
    <mergeCell ref="CC154:CC155"/>
    <mergeCell ref="CU154:CV154"/>
    <mergeCell ref="CW154:CW155"/>
    <mergeCell ref="CF154:CF155"/>
    <mergeCell ref="CH154:CH155"/>
    <mergeCell ref="CI154:CI155"/>
    <mergeCell ref="CJ154:CN154"/>
    <mergeCell ref="CO154:CP154"/>
    <mergeCell ref="CQ154:CS154"/>
    <mergeCell ref="CT154:CT155"/>
    <mergeCell ref="CY154:CY155"/>
    <mergeCell ref="CZ154:CZ155"/>
    <mergeCell ref="DA154:DE154"/>
    <mergeCell ref="DF154:DG154"/>
    <mergeCell ref="DH154:DJ154"/>
    <mergeCell ref="DK154:DK155"/>
    <mergeCell ref="DL154:DM154"/>
    <mergeCell ref="JO154:JS154"/>
    <mergeCell ref="JT154:JU154"/>
    <mergeCell ref="JV154:JX154"/>
    <mergeCell ref="JY154:JY155"/>
    <mergeCell ref="JZ154:KA154"/>
    <mergeCell ref="KB154:KB155"/>
    <mergeCell ref="KD154:KD155"/>
    <mergeCell ref="KE154:KE155"/>
    <mergeCell ref="DN154:DN155"/>
    <mergeCell ref="DP154:DP155"/>
    <mergeCell ref="JH154:JH155"/>
    <mergeCell ref="JI154:JJ154"/>
    <mergeCell ref="JK154:JK155"/>
    <mergeCell ref="JM154:JM155"/>
    <mergeCell ref="JN154:JN155"/>
    <mergeCell ref="R103:S103"/>
    <mergeCell ref="R108:S108"/>
    <mergeCell ref="P112:P113"/>
    <mergeCell ref="AG112:AG113"/>
    <mergeCell ref="P114:P115"/>
    <mergeCell ref="AG114:AG115"/>
    <mergeCell ref="A118:A119"/>
    <mergeCell ref="AG118:AG119"/>
    <mergeCell ref="AI139:AJ139"/>
    <mergeCell ref="AI144:AJ144"/>
    <mergeCell ref="BQ144:BR144"/>
    <mergeCell ref="CH144:CI144"/>
    <mergeCell ref="CY144:CZ144"/>
    <mergeCell ref="DP144:DQ144"/>
    <mergeCell ref="EG144:EH144"/>
    <mergeCell ref="JM144:JN144"/>
    <mergeCell ref="KD144:KE144"/>
    <mergeCell ref="EX144:EY144"/>
    <mergeCell ref="FO144:FP144"/>
    <mergeCell ref="GF144:GG144"/>
    <mergeCell ref="GW144:GX144"/>
    <mergeCell ref="HN144:HO144"/>
    <mergeCell ref="IE144:IF144"/>
    <mergeCell ref="IV144:IW144"/>
    <mergeCell ref="S118:S119"/>
    <mergeCell ref="T118:X118"/>
    <mergeCell ref="A139:B139"/>
    <mergeCell ref="R139:S139"/>
    <mergeCell ref="AZ139:BA139"/>
    <mergeCell ref="A144:B144"/>
    <mergeCell ref="AZ144:BA144"/>
    <mergeCell ref="IC148:IC149"/>
    <mergeCell ref="IT148:IT149"/>
    <mergeCell ref="JK148:JK149"/>
    <mergeCell ref="KB148:KB149"/>
    <mergeCell ref="KS148:KS149"/>
    <mergeCell ref="DN148:DN149"/>
    <mergeCell ref="EE148:EE149"/>
    <mergeCell ref="EV148:EV149"/>
    <mergeCell ref="FM148:FM149"/>
    <mergeCell ref="GD148:GD149"/>
    <mergeCell ref="GU148:GU149"/>
    <mergeCell ref="HL148:HL149"/>
    <mergeCell ref="BO148:BO149"/>
    <mergeCell ref="BO150:BO151"/>
    <mergeCell ref="R144:S144"/>
    <mergeCell ref="P148:P149"/>
    <mergeCell ref="AX148:AX149"/>
    <mergeCell ref="CF148:CF149"/>
    <mergeCell ref="P150:P151"/>
    <mergeCell ref="AX150:AX151"/>
    <mergeCell ref="CF150:CF151"/>
    <mergeCell ref="GU150:GU151"/>
    <mergeCell ref="HL150:HL151"/>
    <mergeCell ref="IC150:IC151"/>
    <mergeCell ref="IT150:IT151"/>
    <mergeCell ref="JK150:JK151"/>
    <mergeCell ref="KB150:KB151"/>
    <mergeCell ref="KS150:KS151"/>
    <mergeCell ref="CW148:CW149"/>
    <mergeCell ref="CW150:CW151"/>
    <mergeCell ref="DN150:DN151"/>
    <mergeCell ref="EE150:EE151"/>
    <mergeCell ref="EV150:EV151"/>
    <mergeCell ref="FM150:FM151"/>
    <mergeCell ref="GD150:GD151"/>
    <mergeCell ref="P154:P155"/>
    <mergeCell ref="R154:R155"/>
    <mergeCell ref="AX154:AX155"/>
    <mergeCell ref="AZ154:AZ155"/>
    <mergeCell ref="BA154:BA155"/>
    <mergeCell ref="BB154:BF154"/>
    <mergeCell ref="BG154:BH154"/>
    <mergeCell ref="BI154:BK154"/>
    <mergeCell ref="BL154:BL155"/>
    <mergeCell ref="KF154:KJ154"/>
    <mergeCell ref="KK154:KL154"/>
    <mergeCell ref="KM154:KO154"/>
    <mergeCell ref="KP154:KP155"/>
    <mergeCell ref="KQ154:KR154"/>
    <mergeCell ref="KS154:KS155"/>
    <mergeCell ref="J154:L154"/>
    <mergeCell ref="N154:O154"/>
    <mergeCell ref="EI154:EM154"/>
    <mergeCell ref="EN154:EO154"/>
    <mergeCell ref="EP154:ER154"/>
    <mergeCell ref="ES154:ES155"/>
    <mergeCell ref="ET154:EU154"/>
    <mergeCell ref="EG154:EG155"/>
    <mergeCell ref="EH154:EH155"/>
    <mergeCell ref="DQ154:DQ155"/>
    <mergeCell ref="DR154:DV154"/>
    <mergeCell ref="DW154:DX154"/>
    <mergeCell ref="DY154:EA154"/>
    <mergeCell ref="EB154:EB155"/>
    <mergeCell ref="EC154:ED154"/>
    <mergeCell ref="EE154:EE155"/>
    <mergeCell ref="DP175:DQ175"/>
    <mergeCell ref="EG175:EH175"/>
    <mergeCell ref="DP180:DQ180"/>
    <mergeCell ref="EG180:EH180"/>
    <mergeCell ref="R175:S175"/>
    <mergeCell ref="R180:S180"/>
    <mergeCell ref="AZ175:BA175"/>
    <mergeCell ref="AZ180:BA180"/>
    <mergeCell ref="CH175:CI175"/>
    <mergeCell ref="CH180:CI180"/>
    <mergeCell ref="A175:B175"/>
    <mergeCell ref="AI175:AJ175"/>
    <mergeCell ref="BQ175:BR175"/>
    <mergeCell ref="CY175:CZ175"/>
    <mergeCell ref="A180:B180"/>
    <mergeCell ref="AI180:AJ180"/>
    <mergeCell ref="BQ180:BR180"/>
    <mergeCell ref="CY180:CZ180"/>
    <mergeCell ref="FK154:FL154"/>
    <mergeCell ref="FM154:FM155"/>
    <mergeCell ref="FO175:FP175"/>
    <mergeCell ref="GF175:GG175"/>
    <mergeCell ref="EV154:EV155"/>
    <mergeCell ref="EX154:EX155"/>
    <mergeCell ref="EY154:EY155"/>
    <mergeCell ref="EZ154:FD154"/>
    <mergeCell ref="FE154:FF154"/>
    <mergeCell ref="FG154:FI154"/>
    <mergeCell ref="FJ154:FJ155"/>
    <mergeCell ref="IV180:IW180"/>
    <mergeCell ref="JM180:JN180"/>
    <mergeCell ref="KD180:KE180"/>
    <mergeCell ref="EX175:EY175"/>
    <mergeCell ref="EX180:EY180"/>
    <mergeCell ref="FO180:FP180"/>
    <mergeCell ref="GF180:GG180"/>
    <mergeCell ref="GW180:GX180"/>
    <mergeCell ref="HN180:HO180"/>
    <mergeCell ref="IE180:IF180"/>
    <mergeCell ref="GD154:GD155"/>
    <mergeCell ref="GF154:GF155"/>
    <mergeCell ref="FO154:FO155"/>
    <mergeCell ref="FP154:FP155"/>
    <mergeCell ref="FQ154:FU154"/>
    <mergeCell ref="FV154:FW154"/>
    <mergeCell ref="FX154:FZ154"/>
    <mergeCell ref="GA154:GA155"/>
    <mergeCell ref="GB154:GC154"/>
    <mergeCell ref="GW154:GW155"/>
    <mergeCell ref="GX154:GX155"/>
    <mergeCell ref="GW175:GX175"/>
    <mergeCell ref="HN175:HO175"/>
    <mergeCell ref="IE175:IF175"/>
    <mergeCell ref="IV175:IW175"/>
    <mergeCell ref="JM175:JN175"/>
    <mergeCell ref="KD175:KE175"/>
    <mergeCell ref="GG154:GG155"/>
    <mergeCell ref="GH154:GL154"/>
    <mergeCell ref="GM154:GN154"/>
    <mergeCell ref="GO154:GQ154"/>
    <mergeCell ref="GR154:GR155"/>
    <mergeCell ref="GS154:GT154"/>
    <mergeCell ref="GU154:GU155"/>
    <mergeCell ref="HJ154:HK154"/>
    <mergeCell ref="HP154:HT154"/>
    <mergeCell ref="GY154:HC154"/>
    <mergeCell ref="HD154:HE154"/>
    <mergeCell ref="HF154:HH154"/>
    <mergeCell ref="HI154:HI155"/>
    <mergeCell ref="HL154:HL155"/>
    <mergeCell ref="HN154:HN155"/>
    <mergeCell ref="HO154:HO155"/>
    <mergeCell ref="IG154:IK154"/>
    <mergeCell ref="IL154:IM154"/>
    <mergeCell ref="HU154:HV154"/>
    <mergeCell ref="HW154:HY154"/>
    <mergeCell ref="HZ154:HZ155"/>
    <mergeCell ref="IA154:IB154"/>
    <mergeCell ref="IC154:IC155"/>
    <mergeCell ref="IE154:IE155"/>
    <mergeCell ref="IF154:IF155"/>
    <mergeCell ref="JC154:JD154"/>
    <mergeCell ref="JE154:JG154"/>
    <mergeCell ref="IN154:IP154"/>
    <mergeCell ref="IQ154:IQ155"/>
    <mergeCell ref="IR154:IS154"/>
    <mergeCell ref="IT154:IT155"/>
    <mergeCell ref="IV154:IV155"/>
    <mergeCell ref="IW154:IW155"/>
    <mergeCell ref="IX154:JB154"/>
  </mergeCells>
  <conditionalFormatting sqref="E33:E34">
    <cfRule type="cellIs" dxfId="0" priority="1" operator="equal">
      <formula>0</formula>
    </cfRule>
  </conditionalFormatting>
  <conditionalFormatting sqref="E69:E70">
    <cfRule type="cellIs" dxfId="0" priority="2" operator="equal">
      <formula>0</formula>
    </cfRule>
  </conditionalFormatting>
  <conditionalFormatting sqref="E105:E106">
    <cfRule type="cellIs" dxfId="0" priority="3" operator="equal">
      <formula>0</formula>
    </cfRule>
  </conditionalFormatting>
  <conditionalFormatting sqref="E141:E142">
    <cfRule type="cellIs" dxfId="0" priority="4" operator="equal">
      <formula>0</formula>
    </cfRule>
  </conditionalFormatting>
  <conditionalFormatting sqref="E177:E178">
    <cfRule type="cellIs" dxfId="0" priority="5" operator="equal">
      <formula>0</formula>
    </cfRule>
  </conditionalFormatting>
  <conditionalFormatting sqref="V33:V34 AM33:AM34 BD33:BD34 BU33:BU34 CL33:CL34 DC33:DC34 DT33:DT34 EK33:EK34 FB33:FB34 FS33:FS34 GJ33:GJ34 HA33:HA34 HR33:HR34 II33:II34 IZ33:IZ34 JQ33:JQ34 KH33:KH34">
    <cfRule type="cellIs" dxfId="0" priority="6" operator="equal">
      <formula>0</formula>
    </cfRule>
  </conditionalFormatting>
  <conditionalFormatting sqref="AM33:AM34">
    <cfRule type="cellIs" dxfId="0" priority="7" operator="equal">
      <formula>0</formula>
    </cfRule>
  </conditionalFormatting>
  <conditionalFormatting sqref="BD33:BD34">
    <cfRule type="cellIs" dxfId="0" priority="8" operator="equal">
      <formula>0</formula>
    </cfRule>
  </conditionalFormatting>
  <conditionalFormatting sqref="BU33:BU34">
    <cfRule type="cellIs" dxfId="0" priority="9" operator="equal">
      <formula>0</formula>
    </cfRule>
  </conditionalFormatting>
  <conditionalFormatting sqref="CL33:CL34">
    <cfRule type="cellIs" dxfId="0" priority="10" operator="equal">
      <formula>0</formula>
    </cfRule>
  </conditionalFormatting>
  <conditionalFormatting sqref="DC33:DC34">
    <cfRule type="cellIs" dxfId="0" priority="11" operator="equal">
      <formula>0</formula>
    </cfRule>
  </conditionalFormatting>
  <conditionalFormatting sqref="DT33:DT34">
    <cfRule type="cellIs" dxfId="0" priority="12" operator="equal">
      <formula>0</formula>
    </cfRule>
  </conditionalFormatting>
  <conditionalFormatting sqref="EK33:EK34">
    <cfRule type="cellIs" dxfId="0" priority="13" operator="equal">
      <formula>0</formula>
    </cfRule>
  </conditionalFormatting>
  <conditionalFormatting sqref="FB33:FB34">
    <cfRule type="cellIs" dxfId="0" priority="14" operator="equal">
      <formula>0</formula>
    </cfRule>
  </conditionalFormatting>
  <conditionalFormatting sqref="FS33:FS34">
    <cfRule type="cellIs" dxfId="0" priority="15" operator="equal">
      <formula>0</formula>
    </cfRule>
  </conditionalFormatting>
  <conditionalFormatting sqref="GJ33:GJ34">
    <cfRule type="cellIs" dxfId="0" priority="16" operator="equal">
      <formula>0</formula>
    </cfRule>
  </conditionalFormatting>
  <conditionalFormatting sqref="HA33:HA34">
    <cfRule type="cellIs" dxfId="0" priority="17" operator="equal">
      <formula>0</formula>
    </cfRule>
  </conditionalFormatting>
  <conditionalFormatting sqref="HR33:HR34">
    <cfRule type="cellIs" dxfId="0" priority="18" operator="equal">
      <formula>0</formula>
    </cfRule>
  </conditionalFormatting>
  <conditionalFormatting sqref="II33:II34">
    <cfRule type="cellIs" dxfId="0" priority="19" operator="equal">
      <formula>0</formula>
    </cfRule>
  </conditionalFormatting>
  <conditionalFormatting sqref="IZ33:IZ34 JQ33:JQ34 KH33:KH34">
    <cfRule type="cellIs" dxfId="0" priority="20" operator="equal">
      <formula>0</formula>
    </cfRule>
  </conditionalFormatting>
  <conditionalFormatting sqref="V69:V70 AM69:AM70 BD69:BD70 BU69:BU70 CL69:CL70 DC69:DC70 DT69:DT70 EK69:EK70 FB69:FB70 FS69:FS70 GJ69:GJ70 HA69:HA70 HR69:HR70 II69:II70 IZ69:IZ70 JQ69:JQ70 KH69:KH70">
    <cfRule type="cellIs" dxfId="0" priority="21" operator="equal">
      <formula>0</formula>
    </cfRule>
  </conditionalFormatting>
  <conditionalFormatting sqref="AM69:AM70">
    <cfRule type="cellIs" dxfId="0" priority="22" operator="equal">
      <formula>0</formula>
    </cfRule>
  </conditionalFormatting>
  <conditionalFormatting sqref="BD69:BD70">
    <cfRule type="cellIs" dxfId="0" priority="23" operator="equal">
      <formula>0</formula>
    </cfRule>
  </conditionalFormatting>
  <conditionalFormatting sqref="BU69:BU70">
    <cfRule type="cellIs" dxfId="0" priority="24" operator="equal">
      <formula>0</formula>
    </cfRule>
  </conditionalFormatting>
  <conditionalFormatting sqref="CL69:CL70">
    <cfRule type="cellIs" dxfId="0" priority="25" operator="equal">
      <formula>0</formula>
    </cfRule>
  </conditionalFormatting>
  <conditionalFormatting sqref="DC69:DC70">
    <cfRule type="cellIs" dxfId="0" priority="26" operator="equal">
      <formula>0</formula>
    </cfRule>
  </conditionalFormatting>
  <conditionalFormatting sqref="DT69:DT70">
    <cfRule type="cellIs" dxfId="0" priority="27" operator="equal">
      <formula>0</formula>
    </cfRule>
  </conditionalFormatting>
  <conditionalFormatting sqref="EK69:EK70">
    <cfRule type="cellIs" dxfId="0" priority="28" operator="equal">
      <formula>0</formula>
    </cfRule>
  </conditionalFormatting>
  <conditionalFormatting sqref="FB69:FB70">
    <cfRule type="cellIs" dxfId="0" priority="29" operator="equal">
      <formula>0</formula>
    </cfRule>
  </conditionalFormatting>
  <conditionalFormatting sqref="FS69:FS70">
    <cfRule type="cellIs" dxfId="0" priority="30" operator="equal">
      <formula>0</formula>
    </cfRule>
  </conditionalFormatting>
  <conditionalFormatting sqref="GJ69:GJ70">
    <cfRule type="cellIs" dxfId="0" priority="31" operator="equal">
      <formula>0</formula>
    </cfRule>
  </conditionalFormatting>
  <conditionalFormatting sqref="HA69:HA70">
    <cfRule type="cellIs" dxfId="0" priority="32" operator="equal">
      <formula>0</formula>
    </cfRule>
  </conditionalFormatting>
  <conditionalFormatting sqref="HR69:HR70">
    <cfRule type="cellIs" dxfId="0" priority="33" operator="equal">
      <formula>0</formula>
    </cfRule>
  </conditionalFormatting>
  <conditionalFormatting sqref="II69:II70">
    <cfRule type="cellIs" dxfId="0" priority="34" operator="equal">
      <formula>0</formula>
    </cfRule>
  </conditionalFormatting>
  <conditionalFormatting sqref="IZ69:IZ70 JQ69:JQ70 KH69:KH70">
    <cfRule type="cellIs" dxfId="0" priority="35" operator="equal">
      <formula>0</formula>
    </cfRule>
  </conditionalFormatting>
  <conditionalFormatting sqref="V105:V106 AM105:AM106 BD105:BD106 BU105:BU106 CL105:CL106 DC105:DC106 DT105:DT106 EK105:EK106 FB105:FB106 FS105:FS106 GJ105:GJ106 HA105:HA106 HR105:HR106 II105:II106 IZ105:IZ106 JQ105:JQ106 KH105:KH106">
    <cfRule type="cellIs" dxfId="0" priority="36" operator="equal">
      <formula>0</formula>
    </cfRule>
  </conditionalFormatting>
  <conditionalFormatting sqref="AM105:AM106">
    <cfRule type="cellIs" dxfId="0" priority="37" operator="equal">
      <formula>0</formula>
    </cfRule>
  </conditionalFormatting>
  <conditionalFormatting sqref="BD105:BD106">
    <cfRule type="cellIs" dxfId="0" priority="38" operator="equal">
      <formula>0</formula>
    </cfRule>
  </conditionalFormatting>
  <conditionalFormatting sqref="BU105:BU106">
    <cfRule type="cellIs" dxfId="0" priority="39" operator="equal">
      <formula>0</formula>
    </cfRule>
  </conditionalFormatting>
  <conditionalFormatting sqref="CL105:CL106">
    <cfRule type="cellIs" dxfId="0" priority="40" operator="equal">
      <formula>0</formula>
    </cfRule>
  </conditionalFormatting>
  <conditionalFormatting sqref="DC105:DC106">
    <cfRule type="cellIs" dxfId="0" priority="41" operator="equal">
      <formula>0</formula>
    </cfRule>
  </conditionalFormatting>
  <conditionalFormatting sqref="DT105:DT106">
    <cfRule type="cellIs" dxfId="0" priority="42" operator="equal">
      <formula>0</formula>
    </cfRule>
  </conditionalFormatting>
  <conditionalFormatting sqref="EK105:EK106">
    <cfRule type="cellIs" dxfId="0" priority="43" operator="equal">
      <formula>0</formula>
    </cfRule>
  </conditionalFormatting>
  <conditionalFormatting sqref="FB105:FB106">
    <cfRule type="cellIs" dxfId="0" priority="44" operator="equal">
      <formula>0</formula>
    </cfRule>
  </conditionalFormatting>
  <conditionalFormatting sqref="FS105:FS106">
    <cfRule type="cellIs" dxfId="0" priority="45" operator="equal">
      <formula>0</formula>
    </cfRule>
  </conditionalFormatting>
  <conditionalFormatting sqref="GJ105:GJ106">
    <cfRule type="cellIs" dxfId="0" priority="46" operator="equal">
      <formula>0</formula>
    </cfRule>
  </conditionalFormatting>
  <conditionalFormatting sqref="HA105:HA106">
    <cfRule type="cellIs" dxfId="0" priority="47" operator="equal">
      <formula>0</formula>
    </cfRule>
  </conditionalFormatting>
  <conditionalFormatting sqref="HR105:HR106">
    <cfRule type="cellIs" dxfId="0" priority="48" operator="equal">
      <formula>0</formula>
    </cfRule>
  </conditionalFormatting>
  <conditionalFormatting sqref="II105:II106">
    <cfRule type="cellIs" dxfId="0" priority="49" operator="equal">
      <formula>0</formula>
    </cfRule>
  </conditionalFormatting>
  <conditionalFormatting sqref="IZ105:IZ106 JQ105:JQ106 KH105:KH106">
    <cfRule type="cellIs" dxfId="0" priority="50" operator="equal">
      <formula>0</formula>
    </cfRule>
  </conditionalFormatting>
  <conditionalFormatting sqref="V141:V142 AM141:AM142 BD141:BD142 BU141:BU142 CL141:CL142 DC141:DC142 DT141:DT142 EK141:EK142 FB141:FB142 FS141:FS142 GJ141:GJ142 HA141:HA142 HR141:HR142 II141:II142 IZ141:IZ142 JQ141:JQ142 KH141:KH142">
    <cfRule type="cellIs" dxfId="0" priority="51" operator="equal">
      <formula>0</formula>
    </cfRule>
  </conditionalFormatting>
  <conditionalFormatting sqref="AM141:AM142">
    <cfRule type="cellIs" dxfId="0" priority="52" operator="equal">
      <formula>0</formula>
    </cfRule>
  </conditionalFormatting>
  <conditionalFormatting sqref="BD141:BD142">
    <cfRule type="cellIs" dxfId="0" priority="53" operator="equal">
      <formula>0</formula>
    </cfRule>
  </conditionalFormatting>
  <conditionalFormatting sqref="BU141:BU142">
    <cfRule type="cellIs" dxfId="0" priority="54" operator="equal">
      <formula>0</formula>
    </cfRule>
  </conditionalFormatting>
  <conditionalFormatting sqref="CL141:CL142">
    <cfRule type="cellIs" dxfId="0" priority="55" operator="equal">
      <formula>0</formula>
    </cfRule>
  </conditionalFormatting>
  <conditionalFormatting sqref="DC141:DC142">
    <cfRule type="cellIs" dxfId="0" priority="56" operator="equal">
      <formula>0</formula>
    </cfRule>
  </conditionalFormatting>
  <conditionalFormatting sqref="DT141:DT142">
    <cfRule type="cellIs" dxfId="0" priority="57" operator="equal">
      <formula>0</formula>
    </cfRule>
  </conditionalFormatting>
  <conditionalFormatting sqref="EK141:EK142">
    <cfRule type="cellIs" dxfId="0" priority="58" operator="equal">
      <formula>0</formula>
    </cfRule>
  </conditionalFormatting>
  <conditionalFormatting sqref="FB141:FB142">
    <cfRule type="cellIs" dxfId="0" priority="59" operator="equal">
      <formula>0</formula>
    </cfRule>
  </conditionalFormatting>
  <conditionalFormatting sqref="FS141:FS142">
    <cfRule type="cellIs" dxfId="0" priority="60" operator="equal">
      <formula>0</formula>
    </cfRule>
  </conditionalFormatting>
  <conditionalFormatting sqref="GJ141:GJ142">
    <cfRule type="cellIs" dxfId="0" priority="61" operator="equal">
      <formula>0</formula>
    </cfRule>
  </conditionalFormatting>
  <conditionalFormatting sqref="HA141:HA142">
    <cfRule type="cellIs" dxfId="0" priority="62" operator="equal">
      <formula>0</formula>
    </cfRule>
  </conditionalFormatting>
  <conditionalFormatting sqref="HR141:HR142">
    <cfRule type="cellIs" dxfId="0" priority="63" operator="equal">
      <formula>0</formula>
    </cfRule>
  </conditionalFormatting>
  <conditionalFormatting sqref="II141:II142">
    <cfRule type="cellIs" dxfId="0" priority="64" operator="equal">
      <formula>0</formula>
    </cfRule>
  </conditionalFormatting>
  <conditionalFormatting sqref="IZ141:IZ142 JQ141:JQ142 KH141:KH142">
    <cfRule type="cellIs" dxfId="0" priority="65" operator="equal">
      <formula>0</formula>
    </cfRule>
  </conditionalFormatting>
  <conditionalFormatting sqref="V177:V178 AM177:AM178 BD177:BD178 BU177:BU178 CL177:CL178 DC177:DC178 DT177:DT178 EK177:EK178 FB177:FB178 FS177:FS178 GJ177:GJ178 HA177:HA178 HR177:HR178 II177:II178 IZ177:IZ178 JQ177:JQ178 KH177:KH178">
    <cfRule type="cellIs" dxfId="0" priority="66" operator="equal">
      <formula>0</formula>
    </cfRule>
  </conditionalFormatting>
  <conditionalFormatting sqref="AM177:AM178">
    <cfRule type="cellIs" dxfId="0" priority="67" operator="equal">
      <formula>0</formula>
    </cfRule>
  </conditionalFormatting>
  <conditionalFormatting sqref="BD177:BD178">
    <cfRule type="cellIs" dxfId="0" priority="68" operator="equal">
      <formula>0</formula>
    </cfRule>
  </conditionalFormatting>
  <conditionalFormatting sqref="BU177:BU178">
    <cfRule type="cellIs" dxfId="0" priority="69" operator="equal">
      <formula>0</formula>
    </cfRule>
  </conditionalFormatting>
  <conditionalFormatting sqref="CL177:CL178">
    <cfRule type="cellIs" dxfId="0" priority="70" operator="equal">
      <formula>0</formula>
    </cfRule>
  </conditionalFormatting>
  <conditionalFormatting sqref="DC177:DC178">
    <cfRule type="cellIs" dxfId="0" priority="71" operator="equal">
      <formula>0</formula>
    </cfRule>
  </conditionalFormatting>
  <conditionalFormatting sqref="DT177:DT178">
    <cfRule type="cellIs" dxfId="0" priority="72" operator="equal">
      <formula>0</formula>
    </cfRule>
  </conditionalFormatting>
  <conditionalFormatting sqref="EK177:EK178">
    <cfRule type="cellIs" dxfId="0" priority="73" operator="equal">
      <formula>0</formula>
    </cfRule>
  </conditionalFormatting>
  <conditionalFormatting sqref="FB177:FB178">
    <cfRule type="cellIs" dxfId="0" priority="74" operator="equal">
      <formula>0</formula>
    </cfRule>
  </conditionalFormatting>
  <conditionalFormatting sqref="FS177:FS178">
    <cfRule type="cellIs" dxfId="0" priority="75" operator="equal">
      <formula>0</formula>
    </cfRule>
  </conditionalFormatting>
  <conditionalFormatting sqref="GJ177:GJ178">
    <cfRule type="cellIs" dxfId="0" priority="76" operator="equal">
      <formula>0</formula>
    </cfRule>
  </conditionalFormatting>
  <conditionalFormatting sqref="HA177:HA178">
    <cfRule type="cellIs" dxfId="0" priority="77" operator="equal">
      <formula>0</formula>
    </cfRule>
  </conditionalFormatting>
  <conditionalFormatting sqref="HR177:HR178">
    <cfRule type="cellIs" dxfId="0" priority="78" operator="equal">
      <formula>0</formula>
    </cfRule>
  </conditionalFormatting>
  <conditionalFormatting sqref="II177:II178">
    <cfRule type="cellIs" dxfId="0" priority="79" operator="equal">
      <formula>0</formula>
    </cfRule>
  </conditionalFormatting>
  <conditionalFormatting sqref="IZ177:IZ178 JQ177:JQ178 KH177:KH178">
    <cfRule type="cellIs" dxfId="0" priority="80" operator="equal">
      <formula>0</formula>
    </cfRule>
  </conditionalFormatting>
  <hyperlinks>
    <hyperlink display="Home" location="Home!A1" ref="A1"/>
    <hyperlink display="2010" location="ADHK!A3:P100" ref="D1"/>
    <hyperlink display="2012" location="ADHK!AK3:AX100" ref="E1"/>
    <hyperlink display="2014" location="ADHK!BS3:CF100" ref="F1"/>
    <hyperlink display="2016" location="ADHK!DA3:DN100" ref="G1"/>
    <hyperlink display="2018" location="ADHK!EI3:EV100" ref="H1"/>
    <hyperlink display="2020" location="ADHK!FQ3:GD100" ref="I1"/>
    <hyperlink display="2022" location="ADHK!GY3:HL100" ref="J1"/>
    <hyperlink display="2024" location="ADHK!IG3:IT100" ref="K1"/>
    <hyperlink display="2010" location="ADHK!A3:P100" ref="U1"/>
    <hyperlink display="2012" location="ADHK!AK3:AX100" ref="V1"/>
    <hyperlink display="2014" location="ADHK!BS3:CF100" ref="W1"/>
    <hyperlink display="2016" location="ADHK!DA3:DN100" ref="X1"/>
    <hyperlink display="2018" location="ADHK!EI3:EV100" ref="Y1"/>
    <hyperlink display="2020" location="ADHK!FQ3:GD100" ref="Z1"/>
    <hyperlink display="2022" location="ADHK!GY3:HL100" ref="AA1"/>
    <hyperlink display="2024" location="ADHK!IG3:IT100" ref="AB1"/>
    <hyperlink display="2010" location="ADHK!A3:P100" ref="AL1"/>
    <hyperlink display="2012" location="ADHK!AK3:AX100" ref="AM1"/>
    <hyperlink display="2014" location="ADHK!BS3:CF100" ref="AN1"/>
    <hyperlink display="2016" location="ADHK!DA3:DN100" ref="AO1"/>
    <hyperlink display="2018" location="ADHK!EI3:EV100" ref="AP1"/>
    <hyperlink display="2020" location="ADHK!FQ3:GD100" ref="AQ1"/>
    <hyperlink display="2022" location="ADHK!GY3:HL100" ref="AR1"/>
    <hyperlink display="2024" location="ADHK!IG3:IT100" ref="AS1"/>
    <hyperlink display="2010" location="ADHK!A3:P100" ref="BC1"/>
    <hyperlink display="2012" location="ADHK!AK3:AX100" ref="BD1"/>
    <hyperlink display="2014" location="ADHK!BS3:CF100" ref="BE1"/>
    <hyperlink display="2016" location="ADHK!DA3:DN100" ref="BF1"/>
    <hyperlink display="2018" location="ADHK!EI3:EV100" ref="BG1"/>
    <hyperlink display="2020" location="ADHK!FQ3:GD100" ref="BH1"/>
    <hyperlink display="2022" location="ADHK!GY3:HL100" ref="BI1"/>
    <hyperlink display="2024" location="ADHK!IG3:IT100" ref="BJ1"/>
    <hyperlink display="2010" location="ADHK!A3:P100" ref="BT1"/>
    <hyperlink display="2012" location="ADHK!AK3:AX100" ref="BU1"/>
    <hyperlink display="2014" location="ADHK!BS3:CF100" ref="BV1"/>
    <hyperlink display="2016" location="ADHK!DA3:DN100" ref="BW1"/>
    <hyperlink display="2018" location="ADHK!EI3:EV100" ref="BX1"/>
    <hyperlink display="2020" location="ADHK!FQ3:GD100" ref="BY1"/>
    <hyperlink display="2022" location="ADHK!GY3:HL100" ref="BZ1"/>
    <hyperlink display="2024" location="ADHK!IG3:IT100" ref="CA1"/>
    <hyperlink display="2010" location="ADHK!A3:P100" ref="CK1"/>
    <hyperlink display="2012" location="ADHK!AK3:AX100" ref="CL1"/>
    <hyperlink display="2014" location="ADHK!BS3:CF100" ref="CM1"/>
    <hyperlink display="2016" location="ADHK!DA3:DN100" ref="CN1"/>
    <hyperlink display="2018" location="ADHK!EI3:EV100" ref="CO1"/>
    <hyperlink display="2020" location="ADHK!FQ3:GD100" ref="CP1"/>
    <hyperlink display="2022" location="ADHK!GY3:HL100" ref="CQ1"/>
    <hyperlink display="2024" location="ADHK!IG3:IT100" ref="CR1"/>
    <hyperlink display="2010" location="ADHK!A3:P100" ref="DB1"/>
    <hyperlink display="2012" location="ADHK!AK3:AX100" ref="DC1"/>
    <hyperlink display="2014" location="ADHK!BS3:CF100" ref="DD1"/>
    <hyperlink display="2016" location="ADHK!DA3:DN100" ref="DE1"/>
    <hyperlink display="2018" location="ADHK!EI3:EV100" ref="DF1"/>
    <hyperlink display="2020" location="ADHK!FQ3:GD100" ref="DG1"/>
    <hyperlink display="2022" location="ADHK!GY3:HL100" ref="DH1"/>
    <hyperlink display="2024" location="ADHK!IG3:IT100" ref="DI1"/>
    <hyperlink display="2010" location="ADHK!A3:P100" ref="DS1"/>
    <hyperlink display="2012" location="ADHK!AK3:AX100" ref="DT1"/>
    <hyperlink display="2014" location="ADHK!BS3:CF100" ref="DU1"/>
    <hyperlink display="2016" location="ADHK!DA3:DN100" ref="DV1"/>
    <hyperlink display="2018" location="ADHK!EI3:EV100" ref="DW1"/>
    <hyperlink display="2020" location="ADHK!FQ3:GD100" ref="DX1"/>
    <hyperlink display="2022" location="ADHK!GY3:HL100" ref="DY1"/>
    <hyperlink display="2024" location="ADHK!IG3:IT100" ref="DZ1"/>
    <hyperlink display="2010" location="ADHK!A3:P100" ref="EJ1"/>
    <hyperlink display="2012" location="ADHK!AK3:AX100" ref="EK1"/>
    <hyperlink display="2014" location="ADHK!BS3:CF100" ref="EL1"/>
    <hyperlink display="2016" location="ADHK!DA3:DN100" ref="EM1"/>
    <hyperlink display="2018" location="ADHK!EI3:EV100" ref="EN1"/>
    <hyperlink display="2020" location="ADHK!FQ3:GD100" ref="EO1"/>
    <hyperlink display="2022" location="ADHK!GY3:HL100" ref="EP1"/>
    <hyperlink display="2024" location="ADHK!IG3:IT100" ref="EQ1"/>
    <hyperlink display="2010" location="ADHK!A3:P100" ref="FA1"/>
    <hyperlink display="2012" location="ADHK!AK3:AX100" ref="FB1"/>
    <hyperlink display="2014" location="ADHK!BS3:CF100" ref="FC1"/>
    <hyperlink display="2016" location="ADHK!DA3:DN100" ref="FD1"/>
    <hyperlink display="2018" location="ADHK!EI3:EV100" ref="FE1"/>
    <hyperlink display="2020" location="ADHK!FQ3:GD100" ref="FF1"/>
    <hyperlink display="2022" location="ADHK!GY3:HL100" ref="FG1"/>
    <hyperlink display="2024" location="ADHK!IG3:IT100" ref="FH1"/>
    <hyperlink display="2010" location="ADHK!A3:P100" ref="FR1"/>
    <hyperlink display="2012" location="ADHK!AK3:AX100" ref="FS1"/>
    <hyperlink display="2014" location="ADHK!BS3:CF100" ref="FT1"/>
    <hyperlink display="2016" location="ADHK!DA3:DN100" ref="FU1"/>
    <hyperlink display="2018" location="ADHK!EI3:EV100" ref="FV1"/>
    <hyperlink display="2020" location="ADHK!FQ3:GD100" ref="FW1"/>
    <hyperlink display="2022" location="ADHK!GY3:HL100" ref="FX1"/>
    <hyperlink display="2024" location="ADHK!IG3:IT100" ref="FY1"/>
    <hyperlink display="2010" location="ADHK!A3:P100" ref="GI1"/>
    <hyperlink display="2012" location="ADHK!AK3:AX100" ref="GJ1"/>
    <hyperlink display="2014" location="ADHK!BS3:CF100" ref="GK1"/>
    <hyperlink display="2016" location="ADHK!DA3:DN100" ref="GL1"/>
    <hyperlink display="2018" location="ADHK!EI3:EV100" ref="GM1"/>
    <hyperlink display="2020" location="ADHK!FQ3:GD100" ref="GN1"/>
    <hyperlink display="2022" location="ADHK!GY3:HL100" ref="GO1"/>
    <hyperlink display="2024" location="ADHK!IG3:IT100" ref="GP1"/>
    <hyperlink display="2010" location="ADHK!A3:P100" ref="GZ1"/>
    <hyperlink display="2012" location="ADHK!AK3:AX100" ref="HA1"/>
    <hyperlink display="2014" location="ADHK!BS3:CF100" ref="HB1"/>
    <hyperlink display="2016" location="ADHK!DA3:DN100" ref="HC1"/>
    <hyperlink display="2018" location="ADHK!EI3:EV100" ref="HD1"/>
    <hyperlink display="2020" location="ADHK!FQ3:GD100" ref="HE1"/>
    <hyperlink display="2022" location="ADHK!GY3:HL100" ref="HF1"/>
    <hyperlink display="2024" location="ADHK!IG3:IT100" ref="HG1"/>
    <hyperlink display="2010" location="ADHK!A3:P100" ref="HQ1"/>
    <hyperlink display="2012" location="ADHK!AK3:AX100" ref="HR1"/>
    <hyperlink display="2014" location="ADHK!BS3:CF100" ref="HS1"/>
    <hyperlink display="2016" location="ADHK!DA3:DN100" ref="HT1"/>
    <hyperlink display="2018" location="ADHK!EI3:EV100" ref="HU1"/>
    <hyperlink display="2020" location="ADHK!FQ3:GD100" ref="HV1"/>
    <hyperlink display="2022" location="ADHK!GY3:HL100" ref="HW1"/>
    <hyperlink display="2024" location="ADHK!IG3:IT100" ref="HX1"/>
    <hyperlink display="2010" location="ADHK!A3:P100" ref="IH1"/>
    <hyperlink display="2012" location="ADHK!AK3:AX100" ref="II1"/>
    <hyperlink display="2014" location="ADHK!BS3:CF100" ref="IJ1"/>
    <hyperlink display="2016" location="ADHK!DA3:DN100" ref="IK1"/>
    <hyperlink display="2018" location="ADHK!EI3:EV100" ref="IL1"/>
    <hyperlink display="2020" location="ADHK!FQ3:GD100" ref="IM1"/>
    <hyperlink display="2022" location="ADHK!GY3:HL100" ref="IN1"/>
    <hyperlink display="2024" location="ADHK!IG3:IT100" ref="IO1"/>
    <hyperlink display="2010" location="ADHK!A3:P100" ref="IY1"/>
    <hyperlink display="2012" location="ADHK!AK3:AX100" ref="IZ1"/>
    <hyperlink display="2014" location="ADHK!BS3:CF100" ref="JA1"/>
    <hyperlink display="2016" location="ADHK!DA3:DN100" ref="JB1"/>
    <hyperlink display="2018" location="ADHK!EI3:EV100" ref="JC1"/>
    <hyperlink display="2020" location="ADHK!FQ3:GD100" ref="JD1"/>
    <hyperlink display="2022" location="ADHK!GY3:HL100" ref="JE1"/>
    <hyperlink display="2024" location="ADHK!IG3:IT100" ref="JF1"/>
    <hyperlink display="2010" location="ADHK!A3:P100" ref="JP1"/>
    <hyperlink display="2012" location="ADHK!AK3:AX100" ref="JQ1"/>
    <hyperlink display="2014" location="ADHK!BS3:CF100" ref="JR1"/>
    <hyperlink display="2016" location="ADHK!DA3:DN100" ref="JS1"/>
    <hyperlink display="2018" location="ADHK!EI3:EV100" ref="JT1"/>
    <hyperlink display="2020" location="ADHK!FQ3:GD100" ref="JU1"/>
    <hyperlink display="2022" location="ADHK!GY3:HL100" ref="JV1"/>
    <hyperlink display="2024" location="ADHK!IG3:IT100" ref="JW1"/>
    <hyperlink display="2010" location="ADHK!A3:P100" ref="KG1"/>
    <hyperlink display="2012" location="ADHK!AK3:AX100" ref="KH1"/>
    <hyperlink display="2014" location="ADHK!BS3:CF100" ref="KI1"/>
    <hyperlink display="2016" location="ADHK!DA3:DN100" ref="KJ1"/>
    <hyperlink display="2018" location="ADHK!EI3:EV100" ref="KK1"/>
    <hyperlink display="2020" location="ADHK!FQ3:GD100" ref="KL1"/>
    <hyperlink display="2022" location="ADHK!GY3:HL100" ref="KM1"/>
    <hyperlink display="2024" location="ADHK!IG3:IT100" ref="KN1"/>
    <hyperlink display="2011" location="ADHK!T3:AG100" ref="D2"/>
    <hyperlink display="2013" location="ADHK!BB3:BO100" ref="E2"/>
    <hyperlink display="2015" location="ADHK!CJ3:CW100" ref="F2"/>
    <hyperlink display="2017" location="ADHK!DR3:EE100" ref="G2"/>
    <hyperlink display="2019" location="ADHK!EZ3:FM100" ref="H2"/>
    <hyperlink display="2021" location="ADHK!GH3:GU100" ref="I2"/>
    <hyperlink display="2023" location="ADHK!HP3:IC100" ref="J2"/>
    <hyperlink display="2025" location="ADHK!IX3:JK100" ref="K2"/>
    <hyperlink display="2011" location="ADHK!T3:AG100" ref="U2"/>
    <hyperlink display="2013" location="ADHK!BB3:BO100" ref="V2"/>
    <hyperlink display="2015" location="ADHK!CJ3:CW100" ref="W2"/>
    <hyperlink display="2017" location="ADHK!DR3:EE100" ref="X2"/>
    <hyperlink display="2019" location="ADHK!EZ3:FM100" ref="Y2"/>
    <hyperlink display="2021" location="ADHK!GH3:GU100" ref="Z2"/>
    <hyperlink display="2023" location="ADHK!HP3:IC100" ref="AA2"/>
    <hyperlink display="2025" location="ADHK!IX3:JK100" ref="AB2"/>
    <hyperlink display="2011" location="ADHK!T3:AG100" ref="AL2"/>
    <hyperlink display="2013" location="ADHK!BB3:BO100" ref="AM2"/>
    <hyperlink display="2015" location="ADHK!CJ3:CW100" ref="AN2"/>
    <hyperlink display="2017" location="ADHK!DR3:EE100" ref="AO2"/>
    <hyperlink display="2019" location="ADHK!EZ3:FM100" ref="AP2"/>
    <hyperlink display="2021" location="ADHK!GH3:GU100" ref="AQ2"/>
    <hyperlink display="2023" location="ADHK!HP3:IC100" ref="AR2"/>
    <hyperlink display="2025" location="ADHK!IX3:JK100" ref="AS2"/>
    <hyperlink display="2011" location="ADHK!T3:AG100" ref="BC2"/>
    <hyperlink display="2013" location="ADHK!BB3:BO100" ref="BD2"/>
    <hyperlink display="2015" location="ADHK!CJ3:CW100" ref="BE2"/>
    <hyperlink display="2017" location="ADHK!DR3:EE100" ref="BF2"/>
    <hyperlink display="2019" location="ADHK!EZ3:FM100" ref="BG2"/>
    <hyperlink display="2021" location="ADHK!GH3:GU100" ref="BH2"/>
    <hyperlink display="2023" location="ADHK!HP3:IC100" ref="BI2"/>
    <hyperlink display="2025" location="ADHK!IX3:JK100" ref="BJ2"/>
    <hyperlink display="2011" location="ADHK!T3:AG100" ref="BT2"/>
    <hyperlink display="2013" location="ADHK!BB3:BO100" ref="BU2"/>
    <hyperlink display="2015" location="ADHK!CJ3:CW100" ref="BV2"/>
    <hyperlink display="2017" location="ADHK!DR3:EE100" ref="BW2"/>
    <hyperlink display="2019" location="ADHK!EZ3:FM100" ref="BX2"/>
    <hyperlink display="2021" location="ADHK!GH3:GU100" ref="BY2"/>
    <hyperlink display="2023" location="ADHK!HP3:IC100" ref="BZ2"/>
    <hyperlink display="2025" location="ADHK!IX3:JK100" ref="CA2"/>
    <hyperlink display="2011" location="ADHK!T3:AG100" ref="CK2"/>
    <hyperlink display="2013" location="ADHK!BB3:BO100" ref="CL2"/>
    <hyperlink display="2015" location="ADHK!CJ3:CW100" ref="CM2"/>
    <hyperlink display="2017" location="ADHK!DR3:EE100" ref="CN2"/>
    <hyperlink display="2019" location="ADHK!EZ3:FM100" ref="CO2"/>
    <hyperlink display="2021" location="ADHK!GH3:GU100" ref="CP2"/>
    <hyperlink display="2023" location="ADHK!HP3:IC100" ref="CQ2"/>
    <hyperlink display="2025" location="ADHK!IX3:JK100" ref="CR2"/>
    <hyperlink display="2011" location="ADHK!T3:AG100" ref="DB2"/>
    <hyperlink display="2013" location="ADHK!BB3:BO100" ref="DC2"/>
    <hyperlink display="2015" location="ADHK!CJ3:CW100" ref="DD2"/>
    <hyperlink display="2017" location="ADHK!DR3:EE100" ref="DE2"/>
    <hyperlink display="2019" location="ADHK!EZ3:FM100" ref="DF2"/>
    <hyperlink display="2021" location="ADHK!GH3:GU100" ref="DG2"/>
    <hyperlink display="2023" location="ADHK!HP3:IC100" ref="DH2"/>
    <hyperlink display="2025" location="ADHK!IX3:JK100" ref="DI2"/>
    <hyperlink display="2011" location="ADHK!T3:AG100" ref="DS2"/>
    <hyperlink display="2013" location="ADHK!BB3:BO100" ref="DT2"/>
    <hyperlink display="2015" location="ADHK!CJ3:CW100" ref="DU2"/>
    <hyperlink display="2017" location="ADHK!DR3:EE100" ref="DV2"/>
    <hyperlink display="2019" location="ADHK!EZ3:FM100" ref="DW2"/>
    <hyperlink display="2021" location="ADHK!GH3:GU100" ref="DX2"/>
    <hyperlink display="2023" location="ADHK!HP3:IC100" ref="DY2"/>
    <hyperlink display="2025" location="ADHK!IX3:JK100" ref="DZ2"/>
    <hyperlink display="2011" location="ADHK!T3:AG100" ref="EJ2"/>
    <hyperlink display="2013" location="ADHK!BB3:BO100" ref="EK2"/>
    <hyperlink display="2015" location="ADHK!CJ3:CW100" ref="EL2"/>
    <hyperlink display="2017" location="ADHK!DR3:EE100" ref="EM2"/>
    <hyperlink display="2019" location="ADHK!EZ3:FM100" ref="EN2"/>
    <hyperlink display="2021" location="ADHK!GH3:GU100" ref="EO2"/>
    <hyperlink display="2023" location="ADHK!HP3:IC100" ref="EP2"/>
    <hyperlink display="2025" location="ADHK!IX3:JK100" ref="EQ2"/>
    <hyperlink display="2011" location="ADHK!T3:AG100" ref="FA2"/>
    <hyperlink display="2013" location="ADHK!BB3:BO100" ref="FB2"/>
    <hyperlink display="2015" location="ADHK!CJ3:CW100" ref="FC2"/>
    <hyperlink display="2017" location="ADHK!DR3:EE100" ref="FD2"/>
    <hyperlink display="2019" location="ADHK!EZ3:FM100" ref="FE2"/>
    <hyperlink display="2021" location="ADHK!GH3:GU100" ref="FF2"/>
    <hyperlink display="2023" location="ADHK!HP3:IC100" ref="FG2"/>
    <hyperlink display="2025" location="ADHK!IX3:JK100" ref="FH2"/>
    <hyperlink display="2011" location="ADHK!T3:AG100" ref="FR2"/>
    <hyperlink display="2013" location="ADHK!BB3:BO100" ref="FS2"/>
    <hyperlink display="2015" location="ADHK!CJ3:CW100" ref="FT2"/>
    <hyperlink display="2017" location="ADHK!DR3:EE100" ref="FU2"/>
    <hyperlink display="2019" location="ADHK!EZ3:FM100" ref="FV2"/>
    <hyperlink display="2021" location="ADHK!GH3:GU100" ref="FW2"/>
    <hyperlink display="2023" location="ADHK!HP3:IC100" ref="FX2"/>
    <hyperlink display="2025" location="ADHK!IX3:JK100" ref="FY2"/>
    <hyperlink display="2011" location="ADHK!T3:AG100" ref="GI2"/>
    <hyperlink display="2013" location="ADHK!BB3:BO100" ref="GJ2"/>
    <hyperlink display="2015" location="ADHK!CJ3:CW100" ref="GK2"/>
    <hyperlink display="2017" location="ADHK!DR3:EE100" ref="GL2"/>
    <hyperlink display="2019" location="ADHK!EZ3:FM100" ref="GM2"/>
    <hyperlink display="2021" location="ADHK!GH3:GU100" ref="GN2"/>
    <hyperlink display="2023" location="ADHK!HP3:IC100" ref="GO2"/>
    <hyperlink display="2025" location="ADHK!IX3:JK100" ref="GP2"/>
    <hyperlink display="2011" location="ADHK!T3:AG100" ref="GZ2"/>
    <hyperlink display="2013" location="ADHK!BB3:BO100" ref="HA2"/>
    <hyperlink display="2015" location="ADHK!CJ3:CW100" ref="HB2"/>
    <hyperlink display="2017" location="ADHK!DR3:EE100" ref="HC2"/>
    <hyperlink display="2019" location="ADHK!EZ3:FM100" ref="HD2"/>
    <hyperlink display="2021" location="ADHK!GH3:GU100" ref="HE2"/>
    <hyperlink display="2023" location="ADHK!HP3:IC100" ref="HF2"/>
    <hyperlink display="2025" location="ADHK!IX3:JK100" ref="HG2"/>
    <hyperlink display="2011" location="ADHK!T3:AG100" ref="HQ2"/>
    <hyperlink display="2013" location="ADHK!BB3:BO100" ref="HR2"/>
    <hyperlink display="2015" location="ADHK!CJ3:CW100" ref="HS2"/>
    <hyperlink display="2017" location="ADHK!DR3:EE100" ref="HT2"/>
    <hyperlink display="2019" location="ADHK!EZ3:FM100" ref="HU2"/>
    <hyperlink display="2021" location="ADHK!GH3:GU100" ref="HV2"/>
    <hyperlink display="2023" location="ADHK!HP3:IC100" ref="HW2"/>
    <hyperlink display="2025" location="ADHK!IX3:JK100" ref="HX2"/>
    <hyperlink display="2011" location="ADHK!T3:AG100" ref="IH2"/>
    <hyperlink display="2013" location="ADHK!BB3:BO100" ref="II2"/>
    <hyperlink display="2015" location="ADHK!CJ3:CW100" ref="IJ2"/>
    <hyperlink display="2017" location="ADHK!DR3:EE100" ref="IK2"/>
    <hyperlink display="2019" location="ADHK!EZ3:FM100" ref="IL2"/>
    <hyperlink display="2021" location="ADHK!GH3:GU100" ref="IM2"/>
    <hyperlink display="2023" location="ADHK!HP3:IC100" ref="IN2"/>
    <hyperlink display="2025" location="ADHK!IX3:JK100" ref="IO2"/>
    <hyperlink display="2011" location="ADHK!T3:AG100" ref="IY2"/>
    <hyperlink display="2013" location="ADHK!BB3:BO100" ref="IZ2"/>
    <hyperlink display="2015" location="ADHK!CJ3:CW100" ref="JA2"/>
    <hyperlink display="2017" location="ADHK!DR3:EE100" ref="JB2"/>
    <hyperlink display="2019" location="ADHK!EZ3:FM100" ref="JC2"/>
    <hyperlink display="2021" location="ADHK!GH3:GU100" ref="JD2"/>
    <hyperlink display="2023" location="ADHK!HP3:IC100" ref="JE2"/>
    <hyperlink display="2025" location="ADHK!IX3:JK100" ref="JF2"/>
    <hyperlink display="2011" location="ADHK!T3:AG100" ref="JP2"/>
    <hyperlink display="2013" location="ADHK!BB3:BO100" ref="JQ2"/>
    <hyperlink display="2015" location="ADHK!CJ3:CW100" ref="JR2"/>
    <hyperlink display="2017" location="ADHK!DR3:EE100" ref="JS2"/>
    <hyperlink display="2019" location="ADHK!EZ3:FM100" ref="JT2"/>
    <hyperlink display="2021" location="ADHK!GH3:GU100" ref="JU2"/>
    <hyperlink display="2023" location="ADHK!HP3:IC100" ref="JV2"/>
    <hyperlink display="2025" location="ADHK!IX3:JK100" ref="JW2"/>
    <hyperlink display="2011" location="ADHK!T3:AG100" ref="KG2"/>
    <hyperlink display="2013" location="ADHK!BB3:BO100" ref="KH2"/>
    <hyperlink display="2015" location="ADHK!CJ3:CW100" ref="KI2"/>
    <hyperlink display="2017" location="ADHK!DR3:EE100" ref="KJ2"/>
    <hyperlink display="2019" location="ADHK!EZ3:FM100" ref="KK2"/>
    <hyperlink display="2021" location="ADHK!GH3:GU100" ref="KL2"/>
    <hyperlink display="2023" location="ADHK!HP3:IC100" ref="KM2"/>
    <hyperlink display="2025" location="ADHK!IX3:JK100" ref="KN2"/>
  </hyperlink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1" width="9.0"/>
    <col customWidth="1" min="2" max="2" width="18.0"/>
    <col customWidth="1" min="3" max="3" width="11.29"/>
    <col customWidth="1" min="4" max="93" width="15.71"/>
    <col customWidth="1" min="94" max="103" width="8.71"/>
  </cols>
  <sheetData>
    <row r="1" ht="29.25" customHeight="1">
      <c r="A1" s="29" t="s">
        <v>22</v>
      </c>
      <c r="B1" s="418" t="str">
        <f>"Rekap NTB   "&amp;ADHK!C7</f>
        <v>Rekap NTB   : Pertambangan Bijih Logam</v>
      </c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19" t="s">
        <v>91</v>
      </c>
      <c r="BB1" s="48"/>
      <c r="BC1" s="48"/>
      <c r="BD1" s="48"/>
      <c r="BE1" s="48"/>
      <c r="BF1" s="48"/>
      <c r="BG1" s="58"/>
      <c r="BH1" s="58"/>
      <c r="BI1" s="58"/>
      <c r="BJ1" s="420"/>
      <c r="BK1" s="58"/>
      <c r="BL1" s="421"/>
      <c r="BM1" s="48"/>
      <c r="BN1" s="48"/>
      <c r="BO1" s="48"/>
      <c r="BP1" s="48"/>
      <c r="BQ1" s="419"/>
      <c r="BR1" s="58">
        <v>2.9617684975485616</v>
      </c>
      <c r="BS1" s="48"/>
      <c r="BT1" s="48"/>
      <c r="BU1" s="48"/>
      <c r="BV1" s="48"/>
      <c r="BW1" s="48"/>
      <c r="BX1" s="48"/>
      <c r="BY1" s="48"/>
      <c r="BZ1" s="48"/>
      <c r="CA1" s="48"/>
      <c r="CB1" s="48"/>
      <c r="CC1" s="48"/>
      <c r="CD1" s="48"/>
      <c r="CE1" s="48"/>
      <c r="CF1" s="48"/>
      <c r="CG1" s="48"/>
      <c r="CH1" s="48"/>
      <c r="CI1" s="48"/>
      <c r="CJ1" s="48"/>
      <c r="CK1" s="48"/>
      <c r="CL1" s="48"/>
      <c r="CM1" s="48"/>
      <c r="CN1" s="48"/>
      <c r="CO1" s="48"/>
      <c r="CP1" s="48"/>
      <c r="CQ1" s="48"/>
      <c r="CR1" s="48"/>
      <c r="CS1" s="48"/>
      <c r="CT1" s="48"/>
      <c r="CU1" s="48"/>
      <c r="CV1" s="48"/>
      <c r="CW1" s="48"/>
      <c r="CX1" s="48"/>
      <c r="CY1" s="48"/>
    </row>
    <row r="2" ht="6.75" customHeight="1"/>
    <row r="3" ht="28.5" customHeight="1">
      <c r="B3" s="422" t="s">
        <v>92</v>
      </c>
      <c r="C3" s="423"/>
      <c r="D3" s="424">
        <v>2010.0</v>
      </c>
      <c r="E3" s="425"/>
      <c r="F3" s="425"/>
      <c r="G3" s="425"/>
      <c r="H3" s="426"/>
      <c r="I3" s="427">
        <f>D3+1</f>
        <v>2011</v>
      </c>
      <c r="J3" s="425"/>
      <c r="K3" s="425"/>
      <c r="L3" s="425"/>
      <c r="M3" s="426"/>
      <c r="N3" s="427">
        <f>I3+1</f>
        <v>2012</v>
      </c>
      <c r="O3" s="425"/>
      <c r="P3" s="425"/>
      <c r="Q3" s="425"/>
      <c r="R3" s="426"/>
      <c r="S3" s="427">
        <f>N3+1</f>
        <v>2013</v>
      </c>
      <c r="T3" s="425"/>
      <c r="U3" s="425"/>
      <c r="V3" s="425"/>
      <c r="W3" s="426"/>
      <c r="X3" s="427">
        <f>S3+1</f>
        <v>2014</v>
      </c>
      <c r="Y3" s="425"/>
      <c r="Z3" s="425"/>
      <c r="AA3" s="425"/>
      <c r="AB3" s="426"/>
      <c r="AC3" s="427">
        <f>X3+1</f>
        <v>2015</v>
      </c>
      <c r="AD3" s="425"/>
      <c r="AE3" s="425"/>
      <c r="AF3" s="425"/>
      <c r="AG3" s="426"/>
      <c r="AH3" s="427">
        <f>AC3+1</f>
        <v>2016</v>
      </c>
      <c r="AI3" s="425"/>
      <c r="AJ3" s="425"/>
      <c r="AK3" s="425"/>
      <c r="AL3" s="426"/>
      <c r="AM3" s="427">
        <f>AH3+1</f>
        <v>2017</v>
      </c>
      <c r="AN3" s="425"/>
      <c r="AO3" s="425"/>
      <c r="AP3" s="425"/>
      <c r="AQ3" s="426"/>
      <c r="AR3" s="427">
        <f>AM3+1</f>
        <v>2018</v>
      </c>
      <c r="AS3" s="425"/>
      <c r="AT3" s="425"/>
      <c r="AU3" s="425"/>
      <c r="AV3" s="426"/>
      <c r="AW3" s="427">
        <f>AR3+1</f>
        <v>2019</v>
      </c>
      <c r="AX3" s="425"/>
      <c r="AY3" s="425"/>
      <c r="AZ3" s="425"/>
      <c r="BA3" s="426"/>
      <c r="BB3" s="427">
        <f>AW3+1</f>
        <v>2020</v>
      </c>
      <c r="BC3" s="425"/>
      <c r="BD3" s="425"/>
      <c r="BE3" s="425"/>
      <c r="BF3" s="426"/>
      <c r="BG3" s="427">
        <f>BB3+1</f>
        <v>2021</v>
      </c>
      <c r="BH3" s="425"/>
      <c r="BI3" s="425"/>
      <c r="BJ3" s="425"/>
      <c r="BK3" s="426"/>
      <c r="BL3" s="427">
        <f>BG3+1</f>
        <v>2022</v>
      </c>
      <c r="BM3" s="425"/>
      <c r="BN3" s="425"/>
      <c r="BO3" s="425"/>
      <c r="BP3" s="426"/>
      <c r="BQ3" s="427">
        <f>BL3+1</f>
        <v>2023</v>
      </c>
      <c r="BR3" s="425"/>
      <c r="BS3" s="425"/>
      <c r="BT3" s="425"/>
      <c r="BU3" s="426"/>
      <c r="BV3" s="427">
        <f>BQ3+1</f>
        <v>2024</v>
      </c>
      <c r="BW3" s="425"/>
      <c r="BX3" s="425"/>
      <c r="BY3" s="425"/>
      <c r="BZ3" s="426"/>
      <c r="CA3" s="427">
        <f>BV3+1</f>
        <v>2025</v>
      </c>
      <c r="CB3" s="425"/>
      <c r="CC3" s="425"/>
      <c r="CD3" s="425"/>
      <c r="CE3" s="426"/>
      <c r="CF3" s="427">
        <f>CA3+1</f>
        <v>2026</v>
      </c>
      <c r="CG3" s="425"/>
      <c r="CH3" s="425"/>
      <c r="CI3" s="425"/>
      <c r="CJ3" s="426"/>
      <c r="CK3" s="427">
        <f>CF3+1</f>
        <v>2027</v>
      </c>
      <c r="CL3" s="425"/>
      <c r="CM3" s="425"/>
      <c r="CN3" s="425"/>
      <c r="CO3" s="426"/>
    </row>
    <row r="4" ht="27.0" customHeight="1">
      <c r="A4" s="428"/>
      <c r="B4" s="429"/>
      <c r="C4" s="430"/>
      <c r="D4" s="431" t="s">
        <v>93</v>
      </c>
      <c r="E4" s="432" t="s">
        <v>94</v>
      </c>
      <c r="F4" s="432" t="s">
        <v>95</v>
      </c>
      <c r="G4" s="432" t="s">
        <v>96</v>
      </c>
      <c r="H4" s="432">
        <v>2010.0</v>
      </c>
      <c r="I4" s="432" t="s">
        <v>93</v>
      </c>
      <c r="J4" s="432" t="s">
        <v>94</v>
      </c>
      <c r="K4" s="432" t="s">
        <v>95</v>
      </c>
      <c r="L4" s="432" t="s">
        <v>96</v>
      </c>
      <c r="M4" s="432">
        <v>2011.0</v>
      </c>
      <c r="N4" s="432" t="s">
        <v>93</v>
      </c>
      <c r="O4" s="432" t="s">
        <v>94</v>
      </c>
      <c r="P4" s="432" t="s">
        <v>95</v>
      </c>
      <c r="Q4" s="432" t="s">
        <v>96</v>
      </c>
      <c r="R4" s="432">
        <v>2012.0</v>
      </c>
      <c r="S4" s="432" t="s">
        <v>93</v>
      </c>
      <c r="T4" s="432" t="s">
        <v>94</v>
      </c>
      <c r="U4" s="432" t="s">
        <v>95</v>
      </c>
      <c r="V4" s="432" t="s">
        <v>96</v>
      </c>
      <c r="W4" s="432">
        <v>2013.0</v>
      </c>
      <c r="X4" s="432" t="s">
        <v>93</v>
      </c>
      <c r="Y4" s="432" t="s">
        <v>94</v>
      </c>
      <c r="Z4" s="432" t="s">
        <v>95</v>
      </c>
      <c r="AA4" s="432" t="s">
        <v>96</v>
      </c>
      <c r="AB4" s="432">
        <v>2014.0</v>
      </c>
      <c r="AC4" s="432" t="s">
        <v>93</v>
      </c>
      <c r="AD4" s="432" t="s">
        <v>94</v>
      </c>
      <c r="AE4" s="432" t="s">
        <v>95</v>
      </c>
      <c r="AF4" s="432" t="s">
        <v>96</v>
      </c>
      <c r="AG4" s="432">
        <v>2015.0</v>
      </c>
      <c r="AH4" s="432" t="s">
        <v>93</v>
      </c>
      <c r="AI4" s="432" t="s">
        <v>94</v>
      </c>
      <c r="AJ4" s="432" t="s">
        <v>95</v>
      </c>
      <c r="AK4" s="432" t="s">
        <v>96</v>
      </c>
      <c r="AL4" s="432">
        <v>2016.0</v>
      </c>
      <c r="AM4" s="432" t="s">
        <v>93</v>
      </c>
      <c r="AN4" s="432" t="s">
        <v>94</v>
      </c>
      <c r="AO4" s="432" t="s">
        <v>95</v>
      </c>
      <c r="AP4" s="432" t="s">
        <v>96</v>
      </c>
      <c r="AQ4" s="432">
        <v>2017.0</v>
      </c>
      <c r="AR4" s="432" t="s">
        <v>93</v>
      </c>
      <c r="AS4" s="432" t="s">
        <v>94</v>
      </c>
      <c r="AT4" s="432" t="s">
        <v>95</v>
      </c>
      <c r="AU4" s="432" t="s">
        <v>96</v>
      </c>
      <c r="AV4" s="432">
        <v>2018.0</v>
      </c>
      <c r="AW4" s="432" t="s">
        <v>93</v>
      </c>
      <c r="AX4" s="432" t="s">
        <v>94</v>
      </c>
      <c r="AY4" s="432" t="s">
        <v>95</v>
      </c>
      <c r="AZ4" s="432" t="s">
        <v>96</v>
      </c>
      <c r="BA4" s="432">
        <v>2019.0</v>
      </c>
      <c r="BB4" s="432" t="s">
        <v>93</v>
      </c>
      <c r="BC4" s="432" t="s">
        <v>94</v>
      </c>
      <c r="BD4" s="432" t="s">
        <v>95</v>
      </c>
      <c r="BE4" s="432" t="s">
        <v>96</v>
      </c>
      <c r="BF4" s="432">
        <f>BA4+1</f>
        <v>2020</v>
      </c>
      <c r="BG4" s="432" t="s">
        <v>93</v>
      </c>
      <c r="BH4" s="432" t="s">
        <v>94</v>
      </c>
      <c r="BI4" s="432" t="s">
        <v>95</v>
      </c>
      <c r="BJ4" s="432" t="s">
        <v>96</v>
      </c>
      <c r="BK4" s="432">
        <f>BF4+1</f>
        <v>2021</v>
      </c>
      <c r="BL4" s="432" t="s">
        <v>93</v>
      </c>
      <c r="BM4" s="432" t="s">
        <v>94</v>
      </c>
      <c r="BN4" s="432" t="s">
        <v>95</v>
      </c>
      <c r="BO4" s="432" t="s">
        <v>96</v>
      </c>
      <c r="BP4" s="432">
        <f>BK4+1</f>
        <v>2022</v>
      </c>
      <c r="BQ4" s="432" t="s">
        <v>93</v>
      </c>
      <c r="BR4" s="432" t="s">
        <v>94</v>
      </c>
      <c r="BS4" s="432" t="s">
        <v>95</v>
      </c>
      <c r="BT4" s="432" t="s">
        <v>96</v>
      </c>
      <c r="BU4" s="432">
        <f>BP4+1</f>
        <v>2023</v>
      </c>
      <c r="BV4" s="432" t="s">
        <v>93</v>
      </c>
      <c r="BW4" s="432" t="s">
        <v>94</v>
      </c>
      <c r="BX4" s="432" t="s">
        <v>95</v>
      </c>
      <c r="BY4" s="432" t="s">
        <v>96</v>
      </c>
      <c r="BZ4" s="432">
        <f>BU4+1</f>
        <v>2024</v>
      </c>
      <c r="CA4" s="432" t="s">
        <v>93</v>
      </c>
      <c r="CB4" s="432" t="s">
        <v>94</v>
      </c>
      <c r="CC4" s="432" t="s">
        <v>95</v>
      </c>
      <c r="CD4" s="432" t="s">
        <v>96</v>
      </c>
      <c r="CE4" s="432">
        <f>BZ4+1</f>
        <v>2025</v>
      </c>
      <c r="CF4" s="432" t="s">
        <v>93</v>
      </c>
      <c r="CG4" s="432" t="s">
        <v>94</v>
      </c>
      <c r="CH4" s="432" t="s">
        <v>95</v>
      </c>
      <c r="CI4" s="432" t="s">
        <v>96</v>
      </c>
      <c r="CJ4" s="432">
        <f>CE4+1</f>
        <v>2026</v>
      </c>
      <c r="CK4" s="432" t="s">
        <v>93</v>
      </c>
      <c r="CL4" s="432" t="s">
        <v>94</v>
      </c>
      <c r="CM4" s="432" t="s">
        <v>95</v>
      </c>
      <c r="CN4" s="432" t="s">
        <v>96</v>
      </c>
      <c r="CO4" s="432">
        <f>CJ4+1</f>
        <v>2027</v>
      </c>
      <c r="CP4" s="428"/>
      <c r="CQ4" s="428"/>
      <c r="CR4" s="428"/>
      <c r="CS4" s="428"/>
      <c r="CT4" s="428"/>
      <c r="CU4" s="428"/>
      <c r="CV4" s="428"/>
      <c r="CW4" s="428"/>
      <c r="CX4" s="428"/>
      <c r="CY4" s="428"/>
    </row>
    <row r="5" ht="24.75" customHeight="1">
      <c r="A5" s="433">
        <v>2010.0</v>
      </c>
      <c r="B5" s="434" t="s">
        <v>97</v>
      </c>
      <c r="C5" s="435" t="s">
        <v>26</v>
      </c>
      <c r="D5" s="436">
        <f>IFERROR(__xludf.DUMMYFUNCTION("IMPORTRANGE(""https://docs.google.com/spreadsheets/d/1rDjUxjWxKmNwjaQ2sjBtNn1ISDTAboAwWubYPRN_nM8/edit#gid=521781631"",""Prod!N23:CO23"")"),1066392.6472233534)</f>
        <v>1066392.647</v>
      </c>
      <c r="E5" s="437">
        <f>IFERROR(__xludf.DUMMYFUNCTION("""COMPUTED_VALUE"""),1100442.6778576442)</f>
        <v>1100442.678</v>
      </c>
      <c r="F5" s="437">
        <f>IFERROR(__xludf.DUMMYFUNCTION("""COMPUTED_VALUE"""),1199296.7944380606)</f>
        <v>1199296.794</v>
      </c>
      <c r="G5" s="437">
        <f>IFERROR(__xludf.DUMMYFUNCTION("""COMPUTED_VALUE"""),1154769.8812180576)</f>
        <v>1154769.881</v>
      </c>
      <c r="H5" s="437">
        <f>IFERROR(__xludf.DUMMYFUNCTION("""COMPUTED_VALUE"""),4520902.000737116)</f>
        <v>4520902.001</v>
      </c>
      <c r="I5" s="437">
        <f>IFERROR(__xludf.DUMMYFUNCTION("""COMPUTED_VALUE"""),1328706.4764794423)</f>
        <v>1328706.476</v>
      </c>
      <c r="J5" s="437">
        <f>IFERROR(__xludf.DUMMYFUNCTION("""COMPUTED_VALUE"""),1471073.441115106)</f>
        <v>1471073.441</v>
      </c>
      <c r="K5" s="437">
        <f>IFERROR(__xludf.DUMMYFUNCTION("""COMPUTED_VALUE"""),1682220.894413572)</f>
        <v>1682220.894</v>
      </c>
      <c r="L5" s="437">
        <f>IFERROR(__xludf.DUMMYFUNCTION("""COMPUTED_VALUE"""),1848287.4955770685)</f>
        <v>1848287.496</v>
      </c>
      <c r="M5" s="437">
        <f>IFERROR(__xludf.DUMMYFUNCTION("""COMPUTED_VALUE"""),6330288.307585189)</f>
        <v>6330288.308</v>
      </c>
      <c r="N5" s="437">
        <f>IFERROR(__xludf.DUMMYFUNCTION("""COMPUTED_VALUE"""),2083474.3019356388)</f>
        <v>2083474.302</v>
      </c>
      <c r="O5" s="437">
        <f>IFERROR(__xludf.DUMMYFUNCTION("""COMPUTED_VALUE"""),1063345.0260679491)</f>
        <v>1063345.026</v>
      </c>
      <c r="P5" s="437">
        <f>IFERROR(__xludf.DUMMYFUNCTION("""COMPUTED_VALUE"""),3030140.6733211777)</f>
        <v>3030140.673</v>
      </c>
      <c r="Q5" s="437">
        <f>IFERROR(__xludf.DUMMYFUNCTION("""COMPUTED_VALUE"""),2801400.142171825)</f>
        <v>2801400.142</v>
      </c>
      <c r="R5" s="437">
        <f>IFERROR(__xludf.DUMMYFUNCTION("""COMPUTED_VALUE"""),8978360.14349659)</f>
        <v>8978360.143</v>
      </c>
      <c r="S5" s="437">
        <f>IFERROR(__xludf.DUMMYFUNCTION("""COMPUTED_VALUE"""),1949352.9945339006)</f>
        <v>1949352.995</v>
      </c>
      <c r="T5" s="437">
        <f>IFERROR(__xludf.DUMMYFUNCTION("""COMPUTED_VALUE"""),2549616.2374361446)</f>
        <v>2549616.237</v>
      </c>
      <c r="U5" s="437">
        <f>IFERROR(__xludf.DUMMYFUNCTION("""COMPUTED_VALUE"""),2277393.9624441825)</f>
        <v>2277393.962</v>
      </c>
      <c r="V5" s="437">
        <f>IFERROR(__xludf.DUMMYFUNCTION("""COMPUTED_VALUE"""),2270573.5880913725)</f>
        <v>2270573.588</v>
      </c>
      <c r="W5" s="437">
        <f>IFERROR(__xludf.DUMMYFUNCTION("""COMPUTED_VALUE"""),9046936.782505602)</f>
        <v>9046936.783</v>
      </c>
      <c r="X5" s="437">
        <f>IFERROR(__xludf.DUMMYFUNCTION("""COMPUTED_VALUE"""),1948723.5773186993)</f>
        <v>1948723.577</v>
      </c>
      <c r="Y5" s="437">
        <f>IFERROR(__xludf.DUMMYFUNCTION("""COMPUTED_VALUE"""),1981036.0048119738)</f>
        <v>1981036.005</v>
      </c>
      <c r="Z5" s="437">
        <f>IFERROR(__xludf.DUMMYFUNCTION("""COMPUTED_VALUE"""),2010396.8329501539)</f>
        <v>2010396.833</v>
      </c>
      <c r="AA5" s="437">
        <f>IFERROR(__xludf.DUMMYFUNCTION("""COMPUTED_VALUE"""),2004210.163953219)</f>
        <v>2004210.164</v>
      </c>
      <c r="AB5" s="437">
        <f>IFERROR(__xludf.DUMMYFUNCTION("""COMPUTED_VALUE"""),7944366.579034045)</f>
        <v>7944366.579</v>
      </c>
      <c r="AC5" s="437">
        <f>IFERROR(__xludf.DUMMYFUNCTION("""COMPUTED_VALUE"""),2274188.95480811)</f>
        <v>2274188.955</v>
      </c>
      <c r="AD5" s="437">
        <f>IFERROR(__xludf.DUMMYFUNCTION("""COMPUTED_VALUE"""),2317248.3853936)</f>
        <v>2317248.385</v>
      </c>
      <c r="AE5" s="437">
        <f>IFERROR(__xludf.DUMMYFUNCTION("""COMPUTED_VALUE"""),2453608.37861179)</f>
        <v>2453608.379</v>
      </c>
      <c r="AF5" s="437">
        <f>IFERROR(__xludf.DUMMYFUNCTION("""COMPUTED_VALUE"""),2085686.46785362)</f>
        <v>2085686.468</v>
      </c>
      <c r="AG5" s="437">
        <f>IFERROR(__xludf.DUMMYFUNCTION("""COMPUTED_VALUE"""),9130732.18666712)</f>
        <v>9130732.187</v>
      </c>
      <c r="AH5" s="437">
        <f>IFERROR(__xludf.DUMMYFUNCTION("""COMPUTED_VALUE"""),1798627.8257351099)</f>
        <v>1798627.826</v>
      </c>
      <c r="AI5" s="437">
        <f>IFERROR(__xludf.DUMMYFUNCTION("""COMPUTED_VALUE"""),2274253.39446475)</f>
        <v>2274253.394</v>
      </c>
      <c r="AJ5" s="437">
        <f>IFERROR(__xludf.DUMMYFUNCTION("""COMPUTED_VALUE"""),2208541.24733029)</f>
        <v>2208541.247</v>
      </c>
      <c r="AK5" s="437">
        <f>IFERROR(__xludf.DUMMYFUNCTION("""COMPUTED_VALUE"""),2402755.2023336)</f>
        <v>2402755.202</v>
      </c>
      <c r="AL5" s="437">
        <f>IFERROR(__xludf.DUMMYFUNCTION("""COMPUTED_VALUE"""),8684177.66986375)</f>
        <v>8684177.67</v>
      </c>
      <c r="AM5" s="437">
        <f>IFERROR(__xludf.DUMMYFUNCTION("""COMPUTED_VALUE"""),2397470.3600134696)</f>
        <v>2397470.36</v>
      </c>
      <c r="AN5" s="437">
        <f>IFERROR(__xludf.DUMMYFUNCTION("""COMPUTED_VALUE"""),2899920.1157052596)</f>
        <v>2899920.116</v>
      </c>
      <c r="AO5" s="437">
        <f>IFERROR(__xludf.DUMMYFUNCTION("""COMPUTED_VALUE"""),3104284.9095209497)</f>
        <v>3104284.91</v>
      </c>
      <c r="AP5" s="437">
        <f>IFERROR(__xludf.DUMMYFUNCTION("""COMPUTED_VALUE"""),3188297.1165395696)</f>
        <v>3188297.117</v>
      </c>
      <c r="AQ5" s="437">
        <f>IFERROR(__xludf.DUMMYFUNCTION("""COMPUTED_VALUE"""),1.1589972501779249E7)</f>
        <v>11589972.5</v>
      </c>
      <c r="AR5" s="437">
        <f>IFERROR(__xludf.DUMMYFUNCTION("""COMPUTED_VALUE"""),2913097.9166693627)</f>
        <v>2913097.917</v>
      </c>
      <c r="AS5" s="437">
        <f>IFERROR(__xludf.DUMMYFUNCTION("""COMPUTED_VALUE"""),3236853.6045474173)</f>
        <v>3236853.605</v>
      </c>
      <c r="AT5" s="437">
        <f>IFERROR(__xludf.DUMMYFUNCTION("""COMPUTED_VALUE"""),3429659.891507796)</f>
        <v>3429659.892</v>
      </c>
      <c r="AU5" s="437">
        <f>IFERROR(__xludf.DUMMYFUNCTION("""COMPUTED_VALUE"""),3448715.9658519113)</f>
        <v>3448715.966</v>
      </c>
      <c r="AV5" s="437">
        <f>IFERROR(__xludf.DUMMYFUNCTION("""COMPUTED_VALUE"""),1.3028327378576487E7)</f>
        <v>13028327.38</v>
      </c>
      <c r="AW5" s="437">
        <f>IFERROR(__xludf.DUMMYFUNCTION("""COMPUTED_VALUE"""),3200624.72281639)</f>
        <v>3200624.723</v>
      </c>
      <c r="AX5" s="437">
        <f>IFERROR(__xludf.DUMMYFUNCTION("""COMPUTED_VALUE"""),3565926.12352644)</f>
        <v>3565926.124</v>
      </c>
      <c r="AY5" s="437">
        <f>IFERROR(__xludf.DUMMYFUNCTION("""COMPUTED_VALUE"""),3903329.01314605)</f>
        <v>3903329.013</v>
      </c>
      <c r="AZ5" s="437">
        <f>IFERROR(__xludf.DUMMYFUNCTION("""COMPUTED_VALUE"""),3867847.63293598)</f>
        <v>3867847.633</v>
      </c>
      <c r="BA5" s="437">
        <f>IFERROR(__xludf.DUMMYFUNCTION("""COMPUTED_VALUE"""),1.453772749242486E7)</f>
        <v>14537727.49</v>
      </c>
      <c r="BB5" s="437">
        <f>IFERROR(__xludf.DUMMYFUNCTION("""COMPUTED_VALUE"""),3492538.72249061)</f>
        <v>3492538.722</v>
      </c>
      <c r="BC5" s="437">
        <f>IFERROR(__xludf.DUMMYFUNCTION("""COMPUTED_VALUE"""),3280477.42946819)</f>
        <v>3280477.429</v>
      </c>
      <c r="BD5" s="437">
        <f>IFERROR(__xludf.DUMMYFUNCTION("""COMPUTED_VALUE"""),3591841.91878273)</f>
        <v>3591841.919</v>
      </c>
      <c r="BE5" s="437">
        <f>IFERROR(__xludf.DUMMYFUNCTION("""COMPUTED_VALUE"""),3516656.65906221)</f>
        <v>3516656.659</v>
      </c>
      <c r="BF5" s="437">
        <f>IFERROR(__xludf.DUMMYFUNCTION("""COMPUTED_VALUE"""),1.3881514729803741E7)</f>
        <v>13881514.73</v>
      </c>
      <c r="BG5" s="437">
        <f>IFERROR(__xludf.DUMMYFUNCTION("""COMPUTED_VALUE"""),3304617.98179173)</f>
        <v>3304617.982</v>
      </c>
      <c r="BH5" s="436">
        <f>IFERROR(__xludf.DUMMYFUNCTION("""COMPUTED_VALUE"""),3402425.46257536)</f>
        <v>3402425.463</v>
      </c>
      <c r="BI5" s="437">
        <f>IFERROR(__xludf.DUMMYFUNCTION("""COMPUTED_VALUE"""),3825143.81640003)</f>
        <v>3825143.816</v>
      </c>
      <c r="BJ5" s="437">
        <f>IFERROR(__xludf.DUMMYFUNCTION("""COMPUTED_VALUE"""),3822599.4200633)</f>
        <v>3822599.42</v>
      </c>
      <c r="BK5" s="437">
        <f>IFERROR(__xludf.DUMMYFUNCTION("""COMPUTED_VALUE"""),1.435478668083042E7)</f>
        <v>14354786.68</v>
      </c>
      <c r="BL5" s="438">
        <f>IFERROR(__xludf.DUMMYFUNCTION("""COMPUTED_VALUE"""),3551707.10625234)</f>
        <v>3551707.106</v>
      </c>
      <c r="BM5" s="437">
        <f>IFERROR(__xludf.DUMMYFUNCTION("""COMPUTED_VALUE"""),4428986.73714215)</f>
        <v>4428986.737</v>
      </c>
      <c r="BN5" s="437">
        <f>IFERROR(__xludf.DUMMYFUNCTION("""COMPUTED_VALUE"""),4318672.71880465)</f>
        <v>4318672.719</v>
      </c>
      <c r="BO5" s="437">
        <f>IFERROR(__xludf.DUMMYFUNCTION("""COMPUTED_VALUE"""),5522153.59991148)</f>
        <v>5522153.6</v>
      </c>
      <c r="BP5" s="437">
        <f>IFERROR(__xludf.DUMMYFUNCTION("""COMPUTED_VALUE"""),1.782152016211062E7)</f>
        <v>17821520.16</v>
      </c>
      <c r="BQ5" s="439">
        <f>IFERROR(__xludf.DUMMYFUNCTION("""COMPUTED_VALUE"""),5596201.85980749)</f>
        <v>5596201.86</v>
      </c>
      <c r="BR5" s="439">
        <f>IFERROR(__xludf.DUMMYFUNCTION("""COMPUTED_VALUE"""),5548004.10161888)</f>
        <v>5548004.102</v>
      </c>
      <c r="BS5" s="439">
        <f>IFERROR(__xludf.DUMMYFUNCTION("""COMPUTED_VALUE"""),5659386.20701683)</f>
        <v>5659386.207</v>
      </c>
      <c r="BT5" s="439">
        <f>IFERROR(__xludf.DUMMYFUNCTION("""COMPUTED_VALUE"""),5581415.63769132)</f>
        <v>5581415.638</v>
      </c>
      <c r="BU5" s="437">
        <f>IFERROR(__xludf.DUMMYFUNCTION("""COMPUTED_VALUE"""),2.238500780613452E7)</f>
        <v>22385007.81</v>
      </c>
      <c r="BV5" s="439">
        <f>IFERROR(__xludf.DUMMYFUNCTION("""COMPUTED_VALUE"""),5125964.02821361)</f>
        <v>5125964.028</v>
      </c>
      <c r="BW5" s="439">
        <f>IFERROR(__xludf.DUMMYFUNCTION("""COMPUTED_VALUE"""),5679867.95813564)</f>
        <v>5679867.958</v>
      </c>
      <c r="BX5" s="439">
        <f>IFERROR(__xludf.DUMMYFUNCTION("""COMPUTED_VALUE"""),6181534.49626223)</f>
        <v>6181534.496</v>
      </c>
      <c r="BY5" s="439">
        <f>IFERROR(__xludf.DUMMYFUNCTION("""COMPUTED_VALUE"""),6046822.91332778)</f>
        <v>6046822.913</v>
      </c>
      <c r="BZ5" s="437">
        <f>IFERROR(__xludf.DUMMYFUNCTION("""COMPUTED_VALUE"""),2.303418939593926E7)</f>
        <v>23034189.4</v>
      </c>
      <c r="CA5" s="439">
        <f>IFERROR(__xludf.DUMMYFUNCTION("""COMPUTED_VALUE"""),5856711.27039804)</f>
        <v>5856711.27</v>
      </c>
      <c r="CB5" s="439">
        <f>IFERROR(__xludf.DUMMYFUNCTION("""COMPUTED_VALUE"""),5953419.13599648)</f>
        <v>5953419.136</v>
      </c>
      <c r="CC5" s="439">
        <f>IFERROR(__xludf.DUMMYFUNCTION("""COMPUTED_VALUE"""),5980941.17585648)</f>
        <v>5980941.176</v>
      </c>
      <c r="CD5" s="439">
        <f>IFERROR(__xludf.DUMMYFUNCTION("""COMPUTED_VALUE"""),6193714.67933464)</f>
        <v>6193714.679</v>
      </c>
      <c r="CE5" s="437">
        <f>IFERROR(__xludf.DUMMYFUNCTION("""COMPUTED_VALUE"""),2.3984786261585638E7)</f>
        <v>23984786.26</v>
      </c>
      <c r="CF5" s="439">
        <f t="shared" ref="CF5:CI5" si="1">CF11</f>
        <v>6196754.078</v>
      </c>
      <c r="CG5" s="439">
        <f t="shared" si="1"/>
        <v>0</v>
      </c>
      <c r="CH5" s="439">
        <f t="shared" si="1"/>
        <v>0</v>
      </c>
      <c r="CI5" s="439">
        <f t="shared" si="1"/>
        <v>0</v>
      </c>
      <c r="CJ5" s="437">
        <f t="shared" ref="CJ5:CJ6" si="4">CF5+CG5+CH5+CI5</f>
        <v>6196754.078</v>
      </c>
      <c r="CK5" s="439">
        <f t="shared" ref="CK5:CN5" si="2">CK11</f>
        <v>0</v>
      </c>
      <c r="CL5" s="439">
        <f t="shared" si="2"/>
        <v>0</v>
      </c>
      <c r="CM5" s="439">
        <f t="shared" si="2"/>
        <v>0</v>
      </c>
      <c r="CN5" s="439">
        <f t="shared" si="2"/>
        <v>0</v>
      </c>
      <c r="CO5" s="437">
        <f t="shared" ref="CO5:CO6" si="6">CK5+CL5+CM5+CN5</f>
        <v>0</v>
      </c>
      <c r="CP5" s="440"/>
      <c r="CQ5" s="440"/>
      <c r="CR5" s="440"/>
      <c r="CS5" s="440"/>
      <c r="CT5" s="440"/>
      <c r="CU5" s="440"/>
      <c r="CV5" s="440"/>
      <c r="CW5" s="440"/>
      <c r="CX5" s="440"/>
      <c r="CY5" s="440"/>
    </row>
    <row r="6" ht="24.75" customHeight="1">
      <c r="A6" s="433">
        <v>2011.0</v>
      </c>
      <c r="B6" s="441"/>
      <c r="C6" s="442" t="s">
        <v>60</v>
      </c>
      <c r="D6" s="436">
        <f>IFERROR(__xludf.DUMMYFUNCTION("IMPORTRANGE(""https://docs.google.com/spreadsheets/d/1rDjUxjWxKmNwjaQ2sjBtNn1ISDTAboAwWubYPRN_nM8/edit#gid=521781631"",""Prod!N99:CO99"")"),1153950.1905756865)</f>
        <v>1153950.191</v>
      </c>
      <c r="E6" s="443">
        <f>IFERROR(__xludf.DUMMYFUNCTION("""COMPUTED_VALUE"""),1173365.9402598953)</f>
        <v>1173365.94</v>
      </c>
      <c r="F6" s="443">
        <f>IFERROR(__xludf.DUMMYFUNCTION("""COMPUTED_VALUE"""),1142413.3718211069)</f>
        <v>1142413.372</v>
      </c>
      <c r="G6" s="443">
        <f>IFERROR(__xludf.DUMMYFUNCTION("""COMPUTED_VALUE"""),1051172.4973433116)</f>
        <v>1051172.497</v>
      </c>
      <c r="H6" s="443">
        <f>IFERROR(__xludf.DUMMYFUNCTION("""COMPUTED_VALUE"""),4520902.0)</f>
        <v>4520902</v>
      </c>
      <c r="I6" s="443">
        <f>IFERROR(__xludf.DUMMYFUNCTION("""COMPUTED_VALUE"""),1333420.2896926)</f>
        <v>1333420.29</v>
      </c>
      <c r="J6" s="443">
        <f>IFERROR(__xludf.DUMMYFUNCTION("""COMPUTED_VALUE"""),1422278.3306919027)</f>
        <v>1422278.331</v>
      </c>
      <c r="K6" s="443">
        <f>IFERROR(__xludf.DUMMYFUNCTION("""COMPUTED_VALUE"""),1653940.764700787)</f>
        <v>1653940.765</v>
      </c>
      <c r="L6" s="443">
        <f>IFERROR(__xludf.DUMMYFUNCTION("""COMPUTED_VALUE"""),1661997.2038127892)</f>
        <v>1661997.204</v>
      </c>
      <c r="M6" s="443">
        <f>IFERROR(__xludf.DUMMYFUNCTION("""COMPUTED_VALUE"""),6071636.588898079)</f>
        <v>6071636.589</v>
      </c>
      <c r="N6" s="443">
        <f>IFERROR(__xludf.DUMMYFUNCTION("""COMPUTED_VALUE"""),2182300.416418836)</f>
        <v>2182300.416</v>
      </c>
      <c r="O6" s="443">
        <f>IFERROR(__xludf.DUMMYFUNCTION("""COMPUTED_VALUE"""),1697636.9378851084)</f>
        <v>1697636.938</v>
      </c>
      <c r="P6" s="443">
        <f>IFERROR(__xludf.DUMMYFUNCTION("""COMPUTED_VALUE"""),2161475.476774625)</f>
        <v>2161475.477</v>
      </c>
      <c r="Q6" s="443">
        <f>IFERROR(__xludf.DUMMYFUNCTION("""COMPUTED_VALUE"""),2241252.3224662994)</f>
        <v>2241252.322</v>
      </c>
      <c r="R6" s="443">
        <f>IFERROR(__xludf.DUMMYFUNCTION("""COMPUTED_VALUE"""),8282665.153544869)</f>
        <v>8282665.154</v>
      </c>
      <c r="S6" s="443">
        <f>IFERROR(__xludf.DUMMYFUNCTION("""COMPUTED_VALUE"""),1946620.4610670295)</f>
        <v>1946620.461</v>
      </c>
      <c r="T6" s="443">
        <f>IFERROR(__xludf.DUMMYFUNCTION("""COMPUTED_VALUE"""),2294472.75536422)</f>
        <v>2294472.755</v>
      </c>
      <c r="U6" s="443">
        <f>IFERROR(__xludf.DUMMYFUNCTION("""COMPUTED_VALUE"""),2334309.1435136623)</f>
        <v>2334309.144</v>
      </c>
      <c r="V6" s="443">
        <f>IFERROR(__xludf.DUMMYFUNCTION("""COMPUTED_VALUE"""),2267843.4963996573)</f>
        <v>2267843.496</v>
      </c>
      <c r="W6" s="443">
        <f>IFERROR(__xludf.DUMMYFUNCTION("""COMPUTED_VALUE"""),8843245.85634457)</f>
        <v>8843245.856</v>
      </c>
      <c r="X6" s="443">
        <f>IFERROR(__xludf.DUMMYFUNCTION("""COMPUTED_VALUE"""),1804875.03687941)</f>
        <v>1804875.037</v>
      </c>
      <c r="Y6" s="443">
        <f>IFERROR(__xludf.DUMMYFUNCTION("""COMPUTED_VALUE"""),1805702.31046575)</f>
        <v>1805702.31</v>
      </c>
      <c r="Z6" s="443">
        <f>IFERROR(__xludf.DUMMYFUNCTION("""COMPUTED_VALUE"""),1868224.91678297)</f>
        <v>1868224.917</v>
      </c>
      <c r="AA6" s="443">
        <f>IFERROR(__xludf.DUMMYFUNCTION("""COMPUTED_VALUE"""),1803656.28168869)</f>
        <v>1803656.282</v>
      </c>
      <c r="AB6" s="443">
        <f>IFERROR(__xludf.DUMMYFUNCTION("""COMPUTED_VALUE"""),7282458.54581682)</f>
        <v>7282458.546</v>
      </c>
      <c r="AC6" s="443">
        <f>IFERROR(__xludf.DUMMYFUNCTION("""COMPUTED_VALUE"""),2007377.8679)</f>
        <v>2007377.868</v>
      </c>
      <c r="AD6" s="443">
        <f>IFERROR(__xludf.DUMMYFUNCTION("""COMPUTED_VALUE"""),2026043.5455999998)</f>
        <v>2026043.546</v>
      </c>
      <c r="AE6" s="443">
        <f>IFERROR(__xludf.DUMMYFUNCTION("""COMPUTED_VALUE"""),2149678.50873152)</f>
        <v>2149678.509</v>
      </c>
      <c r="AF6" s="443">
        <f>IFERROR(__xludf.DUMMYFUNCTION("""COMPUTED_VALUE"""),1816791.63400176)</f>
        <v>1816791.634</v>
      </c>
      <c r="AG6" s="443">
        <f>IFERROR(__xludf.DUMMYFUNCTION("""COMPUTED_VALUE"""),7999891.556233279)</f>
        <v>7999891.556</v>
      </c>
      <c r="AH6" s="443">
        <f>IFERROR(__xludf.DUMMYFUNCTION("""COMPUTED_VALUE"""),1523250.37921726)</f>
        <v>1523250.379</v>
      </c>
      <c r="AI6" s="443">
        <f>IFERROR(__xludf.DUMMYFUNCTION("""COMPUTED_VALUE"""),1973577.35203057)</f>
        <v>1973577.352</v>
      </c>
      <c r="AJ6" s="443">
        <f>IFERROR(__xludf.DUMMYFUNCTION("""COMPUTED_VALUE"""),1909794.39698878)</f>
        <v>1909794.397</v>
      </c>
      <c r="AK6" s="443">
        <f>IFERROR(__xludf.DUMMYFUNCTION("""COMPUTED_VALUE"""),2076415.10339553)</f>
        <v>2076415.103</v>
      </c>
      <c r="AL6" s="443">
        <f>IFERROR(__xludf.DUMMYFUNCTION("""COMPUTED_VALUE"""),7483037.23163214)</f>
        <v>7483037.232</v>
      </c>
      <c r="AM6" s="443">
        <f>IFERROR(__xludf.DUMMYFUNCTION("""COMPUTED_VALUE"""),2033706.4827075973)</f>
        <v>2033706.483</v>
      </c>
      <c r="AN6" s="443">
        <f>IFERROR(__xludf.DUMMYFUNCTION("""COMPUTED_VALUE"""),2354278.561453911)</f>
        <v>2354278.561</v>
      </c>
      <c r="AO6" s="443">
        <f>IFERROR(__xludf.DUMMYFUNCTION("""COMPUTED_VALUE"""),2417081.059970285)</f>
        <v>2417081.06</v>
      </c>
      <c r="AP6" s="443">
        <f>IFERROR(__xludf.DUMMYFUNCTION("""COMPUTED_VALUE"""),2473170.029378316)</f>
        <v>2473170.029</v>
      </c>
      <c r="AQ6" s="443">
        <f>IFERROR(__xludf.DUMMYFUNCTION("""COMPUTED_VALUE"""),9278236.133510109)</f>
        <v>9278236.134</v>
      </c>
      <c r="AR6" s="443">
        <f>IFERROR(__xludf.DUMMYFUNCTION("""COMPUTED_VALUE"""),2222526.2415496074)</f>
        <v>2222526.242</v>
      </c>
      <c r="AS6" s="443">
        <f>IFERROR(__xludf.DUMMYFUNCTION("""COMPUTED_VALUE"""),2450557.1709913607)</f>
        <v>2450557.171</v>
      </c>
      <c r="AT6" s="443">
        <f>IFERROR(__xludf.DUMMYFUNCTION("""COMPUTED_VALUE"""),2544344.3801245946)</f>
        <v>2544344.38</v>
      </c>
      <c r="AU6" s="443">
        <f>IFERROR(__xludf.DUMMYFUNCTION("""COMPUTED_VALUE"""),2642276.6012276863)</f>
        <v>2642276.601</v>
      </c>
      <c r="AV6" s="443">
        <f>IFERROR(__xludf.DUMMYFUNCTION("""COMPUTED_VALUE"""),9859704.39389325)</f>
        <v>9859704.394</v>
      </c>
      <c r="AW6" s="443">
        <f>IFERROR(__xludf.DUMMYFUNCTION("""COMPUTED_VALUE"""),2396421.47979688)</f>
        <v>2396421.48</v>
      </c>
      <c r="AX6" s="443">
        <f>IFERROR(__xludf.DUMMYFUNCTION("""COMPUTED_VALUE"""),2647132.8053237)</f>
        <v>2647132.805</v>
      </c>
      <c r="AY6" s="443">
        <f>IFERROR(__xludf.DUMMYFUNCTION("""COMPUTED_VALUE"""),2801879.92295422)</f>
        <v>2801879.923</v>
      </c>
      <c r="AZ6" s="443">
        <f>IFERROR(__xludf.DUMMYFUNCTION("""COMPUTED_VALUE"""),2773864.80529853)</f>
        <v>2773864.805</v>
      </c>
      <c r="BA6" s="443">
        <f>IFERROR(__xludf.DUMMYFUNCTION("""COMPUTED_VALUE"""),1.061929901337333E7)</f>
        <v>10619299.01</v>
      </c>
      <c r="BB6" s="443">
        <f>IFERROR(__xludf.DUMMYFUNCTION("""COMPUTED_VALUE"""),2458439.62545863)</f>
        <v>2458439.625</v>
      </c>
      <c r="BC6" s="443">
        <f>IFERROR(__xludf.DUMMYFUNCTION("""COMPUTED_VALUE"""),2302897.44170467)</f>
        <v>2302897.442</v>
      </c>
      <c r="BD6" s="443">
        <f>IFERROR(__xludf.DUMMYFUNCTION("""COMPUTED_VALUE"""),2479733.10756367)</f>
        <v>2479733.108</v>
      </c>
      <c r="BE6" s="443">
        <f>IFERROR(__xludf.DUMMYFUNCTION("""COMPUTED_VALUE"""),2441953.07668563)</f>
        <v>2441953.077</v>
      </c>
      <c r="BF6" s="443">
        <f>IFERROR(__xludf.DUMMYFUNCTION("""COMPUTED_VALUE"""),9683023.2514126)</f>
        <v>9683023.251</v>
      </c>
      <c r="BG6" s="443">
        <f>IFERROR(__xludf.DUMMYFUNCTION("""COMPUTED_VALUE"""),2291849.63562519)</f>
        <v>2291849.636</v>
      </c>
      <c r="BH6" s="436">
        <f>IFERROR(__xludf.DUMMYFUNCTION("""COMPUTED_VALUE"""),2292430.58487387)</f>
        <v>2292430.585</v>
      </c>
      <c r="BI6" s="437">
        <f>IFERROR(__xludf.DUMMYFUNCTION("""COMPUTED_VALUE"""),2577242.82843178)</f>
        <v>2577242.828</v>
      </c>
      <c r="BJ6" s="437">
        <f>IFERROR(__xludf.DUMMYFUNCTION("""COMPUTED_VALUE"""),2539590.41240781)</f>
        <v>2539590.412</v>
      </c>
      <c r="BK6" s="443">
        <f>IFERROR(__xludf.DUMMYFUNCTION("""COMPUTED_VALUE"""),9701113.46133865)</f>
        <v>9701113.461</v>
      </c>
      <c r="BL6" s="438">
        <f>IFERROR(__xludf.DUMMYFUNCTION("""COMPUTED_VALUE"""),2288638.79776157)</f>
        <v>2288638.798</v>
      </c>
      <c r="BM6" s="437">
        <f>IFERROR(__xludf.DUMMYFUNCTION("""COMPUTED_VALUE"""),2288098.9447482)</f>
        <v>2288098.945</v>
      </c>
      <c r="BN6" s="437">
        <f>IFERROR(__xludf.DUMMYFUNCTION("""COMPUTED_VALUE"""),2254525.62525065)</f>
        <v>2254525.625</v>
      </c>
      <c r="BO6" s="437">
        <f>IFERROR(__xludf.DUMMYFUNCTION("""COMPUTED_VALUE"""),2886604.55498162)</f>
        <v>2886604.555</v>
      </c>
      <c r="BP6" s="443">
        <f>IFERROR(__xludf.DUMMYFUNCTION("""COMPUTED_VALUE"""),9717867.922742039)</f>
        <v>9717867.923</v>
      </c>
      <c r="BQ6" s="444">
        <f>IFERROR(__xludf.DUMMYFUNCTION("""COMPUTED_VALUE"""),2886749.22437688)</f>
        <v>2886749.224</v>
      </c>
      <c r="BR6" s="444">
        <f>IFERROR(__xludf.DUMMYFUNCTION("""COMPUTED_VALUE"""),2778053.73847153)</f>
        <v>2778053.738</v>
      </c>
      <c r="BS6" s="444">
        <f>IFERROR(__xludf.DUMMYFUNCTION("""COMPUTED_VALUE"""),2831614.47470174)</f>
        <v>2831614.475</v>
      </c>
      <c r="BT6" s="444">
        <f>IFERROR(__xludf.DUMMYFUNCTION("""COMPUTED_VALUE"""),2783417.44690162)</f>
        <v>2783417.447</v>
      </c>
      <c r="BU6" s="443">
        <f>IFERROR(__xludf.DUMMYFUNCTION("""COMPUTED_VALUE"""),1.127983488445177E7)</f>
        <v>11279834.88</v>
      </c>
      <c r="BV6" s="444">
        <f>IFERROR(__xludf.DUMMYFUNCTION("""COMPUTED_VALUE"""),2593984.54629012)</f>
        <v>2593984.546</v>
      </c>
      <c r="BW6" s="444">
        <f>IFERROR(__xludf.DUMMYFUNCTION("""COMPUTED_VALUE"""),2821171.60495358)</f>
        <v>2821171.605</v>
      </c>
      <c r="BX6" s="444">
        <f>IFERROR(__xludf.DUMMYFUNCTION("""COMPUTED_VALUE"""),3084589.69332602)</f>
        <v>3084589.693</v>
      </c>
      <c r="BY6" s="444">
        <f>IFERROR(__xludf.DUMMYFUNCTION("""COMPUTED_VALUE"""),3040204.12611895)</f>
        <v>3040204.126</v>
      </c>
      <c r="BZ6" s="443">
        <f>IFERROR(__xludf.DUMMYFUNCTION("""COMPUTED_VALUE"""),1.153994997068867E7)</f>
        <v>11539949.97</v>
      </c>
      <c r="CA6" s="444">
        <f>IFERROR(__xludf.DUMMYFUNCTION("""COMPUTED_VALUE"""),3009289.98534981)</f>
        <v>3009289.985</v>
      </c>
      <c r="CB6" s="444">
        <f>IFERROR(__xludf.DUMMYFUNCTION("""COMPUTED_VALUE"""),3054526.55145475)</f>
        <v>3054526.551</v>
      </c>
      <c r="CC6" s="444">
        <f>IFERROR(__xludf.DUMMYFUNCTION("""COMPUTED_VALUE"""),3169590.55482914)</f>
        <v>3169590.555</v>
      </c>
      <c r="CD6" s="444">
        <f>IFERROR(__xludf.DUMMYFUNCTION("""COMPUTED_VALUE"""),3291480.01343179)</f>
        <v>3291480.013</v>
      </c>
      <c r="CE6" s="443">
        <f>IFERROR(__xludf.DUMMYFUNCTION("""COMPUTED_VALUE"""),1.252488710506549E7)</f>
        <v>12524887.11</v>
      </c>
      <c r="CF6" s="444">
        <f t="shared" ref="CF6:CI6" si="3">CF12</f>
        <v>3041241.081</v>
      </c>
      <c r="CG6" s="444">
        <f t="shared" si="3"/>
        <v>0</v>
      </c>
      <c r="CH6" s="444">
        <f t="shared" si="3"/>
        <v>0</v>
      </c>
      <c r="CI6" s="444">
        <f t="shared" si="3"/>
        <v>0</v>
      </c>
      <c r="CJ6" s="443">
        <f t="shared" si="4"/>
        <v>3041241.081</v>
      </c>
      <c r="CK6" s="444">
        <f t="shared" ref="CK6:CN6" si="5">CK12</f>
        <v>0</v>
      </c>
      <c r="CL6" s="444">
        <f t="shared" si="5"/>
        <v>0</v>
      </c>
      <c r="CM6" s="444">
        <f t="shared" si="5"/>
        <v>0</v>
      </c>
      <c r="CN6" s="444">
        <f t="shared" si="5"/>
        <v>0</v>
      </c>
      <c r="CO6" s="443">
        <f t="shared" si="6"/>
        <v>0</v>
      </c>
      <c r="CP6" s="440"/>
      <c r="CQ6" s="440"/>
      <c r="CR6" s="440"/>
      <c r="CS6" s="440"/>
      <c r="CT6" s="440"/>
      <c r="CU6" s="440"/>
      <c r="CV6" s="440"/>
      <c r="CW6" s="440"/>
      <c r="CX6" s="440"/>
      <c r="CY6" s="440"/>
    </row>
    <row r="7" ht="24.75" customHeight="1">
      <c r="A7" s="445">
        <v>2012.0</v>
      </c>
      <c r="B7" s="446" t="s">
        <v>98</v>
      </c>
      <c r="C7" s="447" t="s">
        <v>26</v>
      </c>
      <c r="D7" s="448">
        <f>VLOOKUP("Jumlah",ADHB!$A$72:$KS$72,D$33,false)</f>
        <v>0</v>
      </c>
      <c r="E7" s="448">
        <f>VLOOKUP("Jumlah",ADHB!$A$108:$KS$108,E$33,false)</f>
        <v>0</v>
      </c>
      <c r="F7" s="448">
        <f>VLOOKUP("Jumlah",ADHB!$A$144:$KS$144,F$33,false)</f>
        <v>0</v>
      </c>
      <c r="G7" s="448">
        <f>VLOOKUP("Jumlah",ADHB!$A$180:$KS$180,G$33,false)</f>
        <v>0</v>
      </c>
      <c r="H7" s="449">
        <f t="shared" ref="H7:H10" si="7">SUM(D7:G7)</f>
        <v>0</v>
      </c>
      <c r="I7" s="448">
        <f>VLOOKUP("Jumlah",ADHB!$A$72:$KS$72,I$33,false)</f>
        <v>0</v>
      </c>
      <c r="J7" s="448">
        <f>VLOOKUP("Jumlah",ADHB!$A$108:$KS$108,J$33,false)</f>
        <v>0</v>
      </c>
      <c r="K7" s="448">
        <f>VLOOKUP("Jumlah",ADHB!$A$144:$KS$144,K$33,false)</f>
        <v>0</v>
      </c>
      <c r="L7" s="448">
        <f>VLOOKUP("Jumlah",ADHB!$A$180:$KS$180,L$33,false)</f>
        <v>0</v>
      </c>
      <c r="M7" s="449">
        <f t="shared" ref="M7:M10" si="8">SUM(I7:L7)</f>
        <v>0</v>
      </c>
      <c r="N7" s="448">
        <f>VLOOKUP("Jumlah",ADHB!$A$72:$KS$72,N$33,false)</f>
        <v>0</v>
      </c>
      <c r="O7" s="448">
        <f>VLOOKUP("Jumlah",ADHB!$A$108:$KS$108,O$33,false)</f>
        <v>0</v>
      </c>
      <c r="P7" s="448">
        <f>VLOOKUP("Jumlah",ADHB!$A$144:$KS$144,P$33,false)</f>
        <v>0</v>
      </c>
      <c r="Q7" s="448">
        <f>VLOOKUP("Jumlah",ADHB!$A$180:$KS$180,Q$33,false)</f>
        <v>0</v>
      </c>
      <c r="R7" s="449">
        <f t="shared" ref="R7:R10" si="9">SUM(N7:Q7)</f>
        <v>0</v>
      </c>
      <c r="S7" s="448">
        <f>VLOOKUP("Jumlah",ADHB!$A$72:$KS$72,S$33,false)</f>
        <v>0</v>
      </c>
      <c r="T7" s="448">
        <f>VLOOKUP("Jumlah",ADHB!$A$108:$KS$108,T$33,false)</f>
        <v>0</v>
      </c>
      <c r="U7" s="448">
        <f>VLOOKUP("Jumlah",ADHB!$A$144:$KS$144,U$33,false)</f>
        <v>0</v>
      </c>
      <c r="V7" s="448">
        <f>VLOOKUP("Jumlah",ADHB!$A$180:$KS$180,V$33,false)</f>
        <v>0</v>
      </c>
      <c r="W7" s="449">
        <f t="shared" ref="W7:W10" si="10">SUM(S7:V7)</f>
        <v>0</v>
      </c>
      <c r="X7" s="448">
        <f>VLOOKUP("Jumlah",ADHB!$A$72:$KS$72,X$33,false)</f>
        <v>0</v>
      </c>
      <c r="Y7" s="448">
        <f>VLOOKUP("Jumlah",ADHB!$A$108:$KS$108,Y$33,false)</f>
        <v>0</v>
      </c>
      <c r="Z7" s="448">
        <f>VLOOKUP("Jumlah",ADHB!$A$144:$KS$144,Z$33,false)</f>
        <v>0</v>
      </c>
      <c r="AA7" s="448">
        <f>VLOOKUP("Jumlah",ADHB!$A$180:$KS$180,AA$33,false)</f>
        <v>0</v>
      </c>
      <c r="AB7" s="449">
        <f t="shared" ref="AB7:AB10" si="11">SUM(X7:AA7)</f>
        <v>0</v>
      </c>
      <c r="AC7" s="448">
        <f>VLOOKUP("Jumlah",ADHB!$A$72:$KS$72,AC$33,false)</f>
        <v>0</v>
      </c>
      <c r="AD7" s="448">
        <f>VLOOKUP("Jumlah",ADHB!$A$108:$KS$108,AD$33,false)</f>
        <v>0</v>
      </c>
      <c r="AE7" s="448">
        <f>VLOOKUP("Jumlah",ADHB!$A$144:$KS$144,AE$33,false)</f>
        <v>0</v>
      </c>
      <c r="AF7" s="448">
        <f>VLOOKUP("Jumlah",ADHB!$A$180:$KS$180,AF$33,false)</f>
        <v>0</v>
      </c>
      <c r="AG7" s="449">
        <f t="shared" ref="AG7:AG10" si="12">SUM(AC7:AF7)</f>
        <v>0</v>
      </c>
      <c r="AH7" s="448">
        <f>VLOOKUP("Jumlah",ADHB!$A$72:$KS$72,AH$33,false)</f>
        <v>0</v>
      </c>
      <c r="AI7" s="448">
        <f>VLOOKUP("Jumlah",ADHB!$A$108:$KS$108,AI$33,false)</f>
        <v>0</v>
      </c>
      <c r="AJ7" s="448">
        <f>VLOOKUP("Jumlah",ADHB!$A$144:$KS$144,AJ$33,false)</f>
        <v>0</v>
      </c>
      <c r="AK7" s="448">
        <f>VLOOKUP("Jumlah",ADHB!$A$180:$KS$180,AK$33,false)</f>
        <v>0</v>
      </c>
      <c r="AL7" s="449">
        <f t="shared" ref="AL7:AL10" si="13">SUM(AH7:AK7)</f>
        <v>0</v>
      </c>
      <c r="AM7" s="448">
        <f>VLOOKUP("Jumlah",ADHB!$A$72:$KS$72,AM$33,false)</f>
        <v>0</v>
      </c>
      <c r="AN7" s="448">
        <f>VLOOKUP("Jumlah",ADHB!$A$108:$KS$108,AN$33,false)</f>
        <v>0</v>
      </c>
      <c r="AO7" s="448">
        <f>VLOOKUP("Jumlah",ADHB!$A$144:$KS$144,AO$33,false)</f>
        <v>0</v>
      </c>
      <c r="AP7" s="448">
        <f>VLOOKUP("Jumlah",ADHB!$A$180:$KS$180,AP$33,false)</f>
        <v>0</v>
      </c>
      <c r="AQ7" s="449">
        <f t="shared" ref="AQ7:AQ10" si="14">SUM(AM7:AP7)</f>
        <v>0</v>
      </c>
      <c r="AR7" s="448">
        <f>VLOOKUP("Jumlah",ADHB!$A$72:$KS$72,AR$33,false)</f>
        <v>0</v>
      </c>
      <c r="AS7" s="448">
        <f>VLOOKUP("Jumlah",ADHB!$A$108:$KS$108,AS$33,false)</f>
        <v>0</v>
      </c>
      <c r="AT7" s="448">
        <f>VLOOKUP("Jumlah",ADHB!$A$144:$KS$144,AT$33,false)</f>
        <v>0</v>
      </c>
      <c r="AU7" s="448">
        <f>VLOOKUP("Jumlah",ADHB!$A$180:$KS$180,AU$33,false)</f>
        <v>0</v>
      </c>
      <c r="AV7" s="449">
        <f t="shared" ref="AV7:AV10" si="15">SUM(AR7:AU7)</f>
        <v>0</v>
      </c>
      <c r="AW7" s="448">
        <f>VLOOKUP("Jumlah",ADHB!$A$72:$KS$72,AW$33,false)</f>
        <v>0</v>
      </c>
      <c r="AX7" s="448">
        <f>VLOOKUP("Jumlah",ADHB!$A$108:$KS$108,AX$33,false)</f>
        <v>0</v>
      </c>
      <c r="AY7" s="448">
        <f>VLOOKUP("Jumlah",ADHB!$A$144:$KS$144,AY$33,false)</f>
        <v>0</v>
      </c>
      <c r="AZ7" s="448">
        <f>VLOOKUP("Jumlah",ADHB!$A$180:$KS$180,AZ$33,false)</f>
        <v>0</v>
      </c>
      <c r="BA7" s="449">
        <f t="shared" ref="BA7:BA10" si="16">SUM(AW7:AZ7)</f>
        <v>0</v>
      </c>
      <c r="BB7" s="448">
        <f>VLOOKUP("Jumlah",ADHB!$A$72:$KS$72,BB$33,false)</f>
        <v>443368.636</v>
      </c>
      <c r="BC7" s="448">
        <f>VLOOKUP("Jumlah",ADHB!$A$108:$KS$108,BC$33,false)</f>
        <v>621256.7191</v>
      </c>
      <c r="BD7" s="448">
        <f>VLOOKUP("Jumlah",ADHB!$A$144:$KS$144,BD$33,false)</f>
        <v>782700.1467</v>
      </c>
      <c r="BE7" s="448">
        <f>VLOOKUP("Jumlah",ADHB!$A$180:$KS$180,BE$33,false)</f>
        <v>1159264.654</v>
      </c>
      <c r="BF7" s="449">
        <f t="shared" ref="BF7:BF10" si="17">SUM(BB7:BE7)</f>
        <v>3006590.155</v>
      </c>
      <c r="BG7" s="448">
        <f>VLOOKUP("Jumlah",ADHB!$A$72:$KS$72,BG$33,false)</f>
        <v>818738.9235</v>
      </c>
      <c r="BH7" s="448">
        <f>VLOOKUP("Jumlah",ADHB!$A$108:$KS$108,BH$33,false)</f>
        <v>767961.3193</v>
      </c>
      <c r="BI7" s="448">
        <f>VLOOKUP("Jumlah",ADHB!$A$144:$KS$144,BI$33,false)</f>
        <v>550404.5506</v>
      </c>
      <c r="BJ7" s="448">
        <f>VLOOKUP("Jumlah",ADHB!$A$180:$KS$180,BJ$33,false)</f>
        <v>1941911.033</v>
      </c>
      <c r="BK7" s="449">
        <f t="shared" ref="BK7:BK8" si="18">SUM(BG7:BJ7)</f>
        <v>4079015.826</v>
      </c>
      <c r="BL7" s="448">
        <f>VLOOKUP("Jumlah",ADHB!$A$72:$KS$72,BL$33,false)</f>
        <v>799931.0317</v>
      </c>
      <c r="BM7" s="448">
        <f>VLOOKUP("Jumlah",ADHB!$A$108:$KS$108,BM$33,false)</f>
        <v>702552.0964</v>
      </c>
      <c r="BN7" s="448">
        <f>VLOOKUP("Jumlah",ADHB!$A$144:$KS$144,BN$33,false)</f>
        <v>1050204.898</v>
      </c>
      <c r="BO7" s="448">
        <f>VLOOKUP("Jumlah",ADHB!$A$180:$KS$180,BO$33,false)</f>
        <v>877368.005</v>
      </c>
      <c r="BP7" s="449">
        <f t="shared" ref="BP7:BP10" si="19">SUM(BL7:BO7)</f>
        <v>3430056.031</v>
      </c>
      <c r="BQ7" s="448">
        <f>VLOOKUP("Jumlah",ADHB!$A$72:$KS$72,BQ$33,false)</f>
        <v>1405755.845</v>
      </c>
      <c r="BR7" s="448">
        <f>VLOOKUP("Jumlah",ADHB!$A$108:$KS$108,BR$33,false)</f>
        <v>1239671.306</v>
      </c>
      <c r="BS7" s="448">
        <f>VLOOKUP("Jumlah",ADHB!$A$144:$KS$144,BS$33,false)</f>
        <v>1702777.477</v>
      </c>
      <c r="BT7" s="448">
        <f>VLOOKUP("Jumlah",ADHB!$A$180:$KS$180,BT$33,false)</f>
        <v>1417549.909</v>
      </c>
      <c r="BU7" s="449">
        <f t="shared" ref="BU7:BU10" si="20">SUM(BQ7:BT7)</f>
        <v>5765754.537</v>
      </c>
      <c r="BV7" s="448">
        <f>VLOOKUP("Jumlah",ADHB!$A$72:$KS$72,BV$33,false)</f>
        <v>1001265.699</v>
      </c>
      <c r="BW7" s="448">
        <f>VLOOKUP("Jumlah",ADHB!$A$108:$KS$108,BW$33,false)</f>
        <v>2541412.597</v>
      </c>
      <c r="BX7" s="448">
        <f>VLOOKUP("Jumlah",ADHB!$A$144:$KS$144,BX$33,false)</f>
        <v>2791054.858</v>
      </c>
      <c r="BY7" s="448">
        <f>VLOOKUP("Jumlah",ADHB!$A$180:$KS$180,BY$33,false)</f>
        <v>2456128.275</v>
      </c>
      <c r="BZ7" s="449">
        <f t="shared" ref="BZ7:BZ10" si="21">SUM(BV7:BY7)</f>
        <v>8789861.428</v>
      </c>
      <c r="CA7" s="448">
        <f>VLOOKUP("Jumlah",ADHB!$A$72:$KS$72,CA$33,false)</f>
        <v>2310902.095</v>
      </c>
      <c r="CB7" s="448">
        <f>VLOOKUP("Jumlah",ADHB!$A$108:$KS$108,CB$33,false)</f>
        <v>2353223.956</v>
      </c>
      <c r="CC7" s="448">
        <f>VLOOKUP("Jumlah",ADHB!$A$144:$KS$144,CC$33,false)</f>
        <v>2611036.584</v>
      </c>
      <c r="CD7" s="448">
        <f>VLOOKUP("Jumlah",ADHB!$A$180:$KS$180,CD$33,false)</f>
        <v>2686764.373</v>
      </c>
      <c r="CE7" s="449">
        <f t="shared" ref="CE7:CE10" si="22">SUM(CA7:CD7)</f>
        <v>9961927.009</v>
      </c>
      <c r="CF7" s="448">
        <f>VLOOKUP("Jumlah",ADHB!$A$72:$KS$72,CF$33,false)</f>
        <v>2551305.129</v>
      </c>
      <c r="CG7" s="448">
        <f>VLOOKUP("Jumlah",ADHB!$A$108:$KS$108,CG$33,false)</f>
        <v>0</v>
      </c>
      <c r="CH7" s="448">
        <f>VLOOKUP("Jumlah",ADHB!$A$144:$KS$144,CH$33,false)</f>
        <v>0</v>
      </c>
      <c r="CI7" s="448">
        <f>VLOOKUP("Jumlah",ADHB!$A$180:$KS$180,CI$33,false)</f>
        <v>0</v>
      </c>
      <c r="CJ7" s="449">
        <f t="shared" ref="CJ7:CJ10" si="23">SUM(CF7:CI7)</f>
        <v>2551305.129</v>
      </c>
      <c r="CK7" s="448">
        <f>VLOOKUP("Jumlah",ADHB!$A$72:$KS$72,CK$33,false)</f>
        <v>0</v>
      </c>
      <c r="CL7" s="448">
        <f>VLOOKUP("Jumlah",ADHB!$A$108:$KS$108,CL$33,false)</f>
        <v>0</v>
      </c>
      <c r="CM7" s="448">
        <f>VLOOKUP("Jumlah",ADHB!$A$144:$KS$144,CM$33,false)</f>
        <v>0</v>
      </c>
      <c r="CN7" s="448">
        <f>VLOOKUP("Jumlah",ADHB!$A$180:$KS$180,CN$33,false)</f>
        <v>0</v>
      </c>
      <c r="CO7" s="449">
        <f t="shared" ref="CO7:CO10" si="24">SUM(CK7:CN7)</f>
        <v>0</v>
      </c>
    </row>
    <row r="8" ht="24.75" customHeight="1">
      <c r="A8" s="445">
        <v>2013.0</v>
      </c>
      <c r="B8" s="441"/>
      <c r="C8" s="447" t="s">
        <v>60</v>
      </c>
      <c r="D8" s="448">
        <f>VLOOKUP("Jumlah",ADHK!$A$72:$MA$72,D$33,false)</f>
        <v>0</v>
      </c>
      <c r="E8" s="448">
        <f>VLOOKUP("Jumlah",ADHK!$A$108:$MA$108,E$33,false)</f>
        <v>0</v>
      </c>
      <c r="F8" s="448">
        <f>VLOOKUP("Jumlah",ADHK!$A$144:$MA$144,F$33,false)</f>
        <v>0</v>
      </c>
      <c r="G8" s="448">
        <f>VLOOKUP("Jumlah",ADHK!$A$180:$MA$180,G$33,false)</f>
        <v>0</v>
      </c>
      <c r="H8" s="449">
        <f t="shared" si="7"/>
        <v>0</v>
      </c>
      <c r="I8" s="448">
        <f>VLOOKUP("Jumlah",ADHK!$A$72:$MA$72,I$33,false)</f>
        <v>0</v>
      </c>
      <c r="J8" s="448">
        <f>VLOOKUP("Jumlah",ADHK!$A$108:$MA$108,J$33,false)</f>
        <v>0</v>
      </c>
      <c r="K8" s="448">
        <f>VLOOKUP("Jumlah",ADHK!$A$144:$MA$144,K$33,false)</f>
        <v>0</v>
      </c>
      <c r="L8" s="448">
        <f>VLOOKUP("Jumlah",ADHK!$A$180:$MA$180,L$33,false)</f>
        <v>0</v>
      </c>
      <c r="M8" s="449">
        <f t="shared" si="8"/>
        <v>0</v>
      </c>
      <c r="N8" s="448">
        <f>VLOOKUP("Jumlah",ADHK!$A$72:$MA$72,N$33,false)</f>
        <v>0</v>
      </c>
      <c r="O8" s="448">
        <f>VLOOKUP("Jumlah",ADHK!$A$108:$MA$108,O$33,false)</f>
        <v>0</v>
      </c>
      <c r="P8" s="448">
        <f>VLOOKUP("Jumlah",ADHK!$A$144:$MA$144,P$33,false)</f>
        <v>0</v>
      </c>
      <c r="Q8" s="448">
        <f>VLOOKUP("Jumlah",ADHK!$A$180:$MA$180,Q$33,false)</f>
        <v>0</v>
      </c>
      <c r="R8" s="449">
        <f t="shared" si="9"/>
        <v>0</v>
      </c>
      <c r="S8" s="448">
        <f>VLOOKUP("Jumlah",ADHK!$A$72:$MA$72,S$33,false)</f>
        <v>0</v>
      </c>
      <c r="T8" s="448">
        <f>VLOOKUP("Jumlah",ADHK!$A$108:$MA$108,T$33,false)</f>
        <v>0</v>
      </c>
      <c r="U8" s="448">
        <f>VLOOKUP("Jumlah",ADHK!$A$144:$MA$144,U$33,false)</f>
        <v>0</v>
      </c>
      <c r="V8" s="448">
        <f>VLOOKUP("Jumlah",ADHK!$A$180:$MA$180,V$33,false)</f>
        <v>0</v>
      </c>
      <c r="W8" s="449">
        <f t="shared" si="10"/>
        <v>0</v>
      </c>
      <c r="X8" s="448">
        <f>VLOOKUP("Jumlah",ADHK!$A$72:$MA$72,X$33,false)</f>
        <v>0</v>
      </c>
      <c r="Y8" s="448">
        <f>VLOOKUP("Jumlah",ADHK!$A$108:$MA$108,Y$33,false)</f>
        <v>0</v>
      </c>
      <c r="Z8" s="448">
        <f>VLOOKUP("Jumlah",ADHK!$A$144:$MA$144,Z$33,false)</f>
        <v>0</v>
      </c>
      <c r="AA8" s="448">
        <f>VLOOKUP("Jumlah",ADHK!$A$180:$MA$180,AA$33,false)</f>
        <v>0</v>
      </c>
      <c r="AB8" s="449">
        <f t="shared" si="11"/>
        <v>0</v>
      </c>
      <c r="AC8" s="448">
        <f>VLOOKUP("Jumlah",ADHK!$A$72:$MA$72,AC$33,false)</f>
        <v>0</v>
      </c>
      <c r="AD8" s="448">
        <f>VLOOKUP("Jumlah",ADHK!$A$108:$MA$108,AD$33,false)</f>
        <v>0</v>
      </c>
      <c r="AE8" s="448">
        <f>VLOOKUP("Jumlah",ADHK!$A$144:$MA$144,AE$33,false)</f>
        <v>0</v>
      </c>
      <c r="AF8" s="448">
        <f>VLOOKUP("Jumlah",ADHK!$A$180:$MA$180,AF$33,false)</f>
        <v>0</v>
      </c>
      <c r="AG8" s="449">
        <f t="shared" si="12"/>
        <v>0</v>
      </c>
      <c r="AH8" s="448">
        <f>VLOOKUP("Jumlah",ADHK!$A$72:$MA$72,AH$33,false)</f>
        <v>0</v>
      </c>
      <c r="AI8" s="448">
        <f>VLOOKUP("Jumlah",ADHK!$A$108:$MA$108,AI$33,false)</f>
        <v>0</v>
      </c>
      <c r="AJ8" s="448">
        <f>VLOOKUP("Jumlah",ADHK!$A$144:$MA$144,AJ$33,false)</f>
        <v>0</v>
      </c>
      <c r="AK8" s="448">
        <f>VLOOKUP("Jumlah",ADHK!$A$180:$MA$180,AK$33,false)</f>
        <v>0</v>
      </c>
      <c r="AL8" s="449">
        <f t="shared" si="13"/>
        <v>0</v>
      </c>
      <c r="AM8" s="448">
        <f>VLOOKUP("Jumlah",ADHK!$A$72:$MA$72,AM$33,false)</f>
        <v>0</v>
      </c>
      <c r="AN8" s="448">
        <f>VLOOKUP("Jumlah",ADHK!$A$108:$MA$108,AN$33,false)</f>
        <v>0</v>
      </c>
      <c r="AO8" s="448">
        <f>VLOOKUP("Jumlah",ADHK!$A$144:$MA$144,AO$33,false)</f>
        <v>0</v>
      </c>
      <c r="AP8" s="448">
        <f>VLOOKUP("Jumlah",ADHK!$A$180:$MA$180,AP$33,false)</f>
        <v>0</v>
      </c>
      <c r="AQ8" s="449">
        <f t="shared" si="14"/>
        <v>0</v>
      </c>
      <c r="AR8" s="448">
        <f>VLOOKUP("Jumlah",ADHK!$A$72:$MA$72,AR$33,false)</f>
        <v>0</v>
      </c>
      <c r="AS8" s="448">
        <f>VLOOKUP("Jumlah",ADHK!$A$108:$MA$108,AS$33,false)</f>
        <v>0</v>
      </c>
      <c r="AT8" s="448">
        <f>VLOOKUP("Jumlah",ADHK!$A$144:$MA$144,AT$33,false)</f>
        <v>0</v>
      </c>
      <c r="AU8" s="448">
        <f>VLOOKUP("Jumlah",ADHK!$A$180:$MA$180,AU$33,false)</f>
        <v>0</v>
      </c>
      <c r="AV8" s="449">
        <f t="shared" si="15"/>
        <v>0</v>
      </c>
      <c r="AW8" s="448">
        <f>VLOOKUP("Jumlah",ADHK!$A$72:$MA$72,AW$33,false)</f>
        <v>0</v>
      </c>
      <c r="AX8" s="448">
        <f>VLOOKUP("Jumlah",ADHK!$A$108:$MA$108,AX$33,false)</f>
        <v>0</v>
      </c>
      <c r="AY8" s="448">
        <f>VLOOKUP("Jumlah",ADHK!$A$144:$MA$144,AY$33,false)</f>
        <v>0</v>
      </c>
      <c r="AZ8" s="448">
        <f>VLOOKUP("Jumlah",ADHK!$A$180:$MA$180,AZ$33,false)</f>
        <v>0</v>
      </c>
      <c r="BA8" s="449">
        <f t="shared" si="16"/>
        <v>0</v>
      </c>
      <c r="BB8" s="448">
        <f>VLOOKUP("Jumlah",ADHK!$A$72:$MA$72,BB$33,false)</f>
        <v>312396.4808</v>
      </c>
      <c r="BC8" s="448">
        <f>VLOOKUP("Jumlah",ADHK!$A$108:$MA$108,BC$33,false)</f>
        <v>435243.0614</v>
      </c>
      <c r="BD8" s="448">
        <f>VLOOKUP("Jumlah",ADHK!$A$144:$MA$144,BD$33,false)</f>
        <v>523386.6006</v>
      </c>
      <c r="BE8" s="448">
        <f>VLOOKUP("Jumlah",ADHK!$A$180:$MA$180,BE$33,false)</f>
        <v>829400.6162</v>
      </c>
      <c r="BF8" s="449">
        <f t="shared" si="17"/>
        <v>2100426.759</v>
      </c>
      <c r="BG8" s="448">
        <f>VLOOKUP("Jumlah",ADHK!$A$72:$MA$72,BG$33,false)</f>
        <v>761187.1585</v>
      </c>
      <c r="BH8" s="448">
        <f>VLOOKUP("Jumlah",ADHK!$A$108:$MA$108,BH$33,false)</f>
        <v>683301.7099</v>
      </c>
      <c r="BI8" s="448">
        <f>VLOOKUP("Jumlah",ADHK!$A$144:$MA$144,BI$33,false)</f>
        <v>582532.1734</v>
      </c>
      <c r="BJ8" s="448">
        <f>VLOOKUP("Jumlah",ADHK!$A$180:$MA$180,BJ$33,false)</f>
        <v>545599.0048</v>
      </c>
      <c r="BK8" s="449">
        <f t="shared" si="18"/>
        <v>2572620.047</v>
      </c>
      <c r="BL8" s="448">
        <f>VLOOKUP("Jumlah",ADHK!$A$72:$MA$72,BL$33,false)</f>
        <v>1632835.121</v>
      </c>
      <c r="BM8" s="448">
        <f>VLOOKUP("Jumlah",ADHK!$A$108:$MA$108,BM$33,false)</f>
        <v>1272860.848</v>
      </c>
      <c r="BN8" s="448">
        <f>VLOOKUP("Jumlah",ADHK!$A$144:$MA$144,BN$33,false)</f>
        <v>1872615.613</v>
      </c>
      <c r="BO8" s="448">
        <f>VLOOKUP("Jumlah",ADHK!$A$180:$MA$180,BO$33,false)</f>
        <v>1564430.93</v>
      </c>
      <c r="BP8" s="449">
        <f t="shared" si="19"/>
        <v>6342742.512</v>
      </c>
      <c r="BQ8" s="448">
        <f>VLOOKUP("Jumlah",ADHK!$A$72:$MA$72,BQ$33,false)</f>
        <v>2086579.189</v>
      </c>
      <c r="BR8" s="448">
        <f>VLOOKUP("Jumlah",ADHK!$A$108:$MA$108,BR$33,false)</f>
        <v>1058611.884</v>
      </c>
      <c r="BS8" s="448">
        <f>VLOOKUP("Jumlah",ADHK!$A$144:$MA$144,BS$33,false)</f>
        <v>1234932.007</v>
      </c>
      <c r="BT8" s="448">
        <f>VLOOKUP("Jumlah",ADHK!$A$180:$MA$180,BT$33,false)</f>
        <v>1234716.327</v>
      </c>
      <c r="BU8" s="449">
        <f t="shared" si="20"/>
        <v>5614839.406</v>
      </c>
      <c r="BV8" s="448">
        <f>VLOOKUP("Jumlah",ADHK!$A$72:$MA$72,BV$33,false)</f>
        <v>884569.4454</v>
      </c>
      <c r="BW8" s="448">
        <f>VLOOKUP("Jumlah",ADHK!$A$108:$MA$108,BW$33,false)</f>
        <v>2167195.141</v>
      </c>
      <c r="BX8" s="448">
        <f>VLOOKUP("Jumlah",ADHK!$A$144:$MA$144,BX$33,false)</f>
        <v>2411546.393</v>
      </c>
      <c r="BY8" s="448">
        <f>VLOOKUP("Jumlah",ADHK!$A$180:$MA$180,BY$33,false)</f>
        <v>2122160.826</v>
      </c>
      <c r="BZ8" s="449">
        <f t="shared" si="21"/>
        <v>7585471.806</v>
      </c>
      <c r="CA8" s="448">
        <f>VLOOKUP("Jumlah",ADHK!$A$72:$MA$72,CA$33,false)</f>
        <v>2114232.851</v>
      </c>
      <c r="CB8" s="448">
        <f>VLOOKUP("Jumlah",ADHK!$A$108:$MA$108,CB$33,false)</f>
        <v>2151231.926</v>
      </c>
      <c r="CC8" s="448">
        <f>VLOOKUP("Jumlah",ADHK!$A$144:$MA$144,CC$33,false)</f>
        <v>2465311.787</v>
      </c>
      <c r="CD8" s="448">
        <f>VLOOKUP("Jumlah",ADHK!$A$180:$MA$180,CD$33,false)</f>
        <v>2620133.368</v>
      </c>
      <c r="CE8" s="449">
        <f t="shared" si="22"/>
        <v>9350909.932</v>
      </c>
      <c r="CF8" s="448">
        <f>VLOOKUP("Jumlah",ADHK!$A$72:$MA$72,CF$33,false)</f>
        <v>2208248.402</v>
      </c>
      <c r="CG8" s="448">
        <f>VLOOKUP("Jumlah",ADHK!$A$108:$MA$108,CG$33,false)</f>
        <v>0</v>
      </c>
      <c r="CH8" s="448">
        <f>VLOOKUP("Jumlah",ADHK!$A$144:$MA$144,CH$33,false)</f>
        <v>0</v>
      </c>
      <c r="CI8" s="448">
        <f>VLOOKUP("Jumlah",ADHK!$A$180:$MA$180,CI$33,false)</f>
        <v>0</v>
      </c>
      <c r="CJ8" s="449">
        <f t="shared" si="23"/>
        <v>2208248.402</v>
      </c>
      <c r="CK8" s="448">
        <f>VLOOKUP("Jumlah",ADHK!$A$72:$MA$72,CK$33,false)</f>
        <v>0</v>
      </c>
      <c r="CL8" s="448">
        <f>VLOOKUP("Jumlah",ADHK!$A$108:$MA$108,CL$33,false)</f>
        <v>0</v>
      </c>
      <c r="CM8" s="448">
        <f>VLOOKUP("Jumlah",ADHK!$A$144:$MA$144,CM$33,false)</f>
        <v>0</v>
      </c>
      <c r="CN8" s="448">
        <f>VLOOKUP("Jumlah",ADHK!$A$180:$MA$180,CN$33,false)</f>
        <v>0</v>
      </c>
      <c r="CO8" s="449">
        <f t="shared" si="24"/>
        <v>0</v>
      </c>
    </row>
    <row r="9" ht="24.75" customHeight="1">
      <c r="A9" s="450">
        <v>2014.0</v>
      </c>
      <c r="B9" s="451" t="s">
        <v>99</v>
      </c>
      <c r="C9" s="452" t="s">
        <v>26</v>
      </c>
      <c r="D9" s="453"/>
      <c r="E9" s="454"/>
      <c r="F9" s="454"/>
      <c r="G9" s="454"/>
      <c r="H9" s="454">
        <f t="shared" si="7"/>
        <v>0</v>
      </c>
      <c r="I9" s="454"/>
      <c r="J9" s="454"/>
      <c r="K9" s="454"/>
      <c r="L9" s="454"/>
      <c r="M9" s="454">
        <f t="shared" si="8"/>
        <v>0</v>
      </c>
      <c r="N9" s="454"/>
      <c r="O9" s="454"/>
      <c r="P9" s="454"/>
      <c r="Q9" s="454"/>
      <c r="R9" s="454">
        <f t="shared" si="9"/>
        <v>0</v>
      </c>
      <c r="S9" s="454"/>
      <c r="T9" s="454"/>
      <c r="U9" s="454"/>
      <c r="V9" s="454"/>
      <c r="W9" s="454">
        <f t="shared" si="10"/>
        <v>0</v>
      </c>
      <c r="X9" s="454"/>
      <c r="Y9" s="454"/>
      <c r="Z9" s="454"/>
      <c r="AA9" s="454"/>
      <c r="AB9" s="454">
        <f t="shared" si="11"/>
        <v>0</v>
      </c>
      <c r="AC9" s="454"/>
      <c r="AD9" s="454"/>
      <c r="AE9" s="454"/>
      <c r="AF9" s="454"/>
      <c r="AG9" s="454">
        <f t="shared" si="12"/>
        <v>0</v>
      </c>
      <c r="AH9" s="454"/>
      <c r="AI9" s="454"/>
      <c r="AJ9" s="454"/>
      <c r="AK9" s="454"/>
      <c r="AL9" s="454">
        <f t="shared" si="13"/>
        <v>0</v>
      </c>
      <c r="AM9" s="454"/>
      <c r="AN9" s="454"/>
      <c r="AO9" s="454"/>
      <c r="AP9" s="454"/>
      <c r="AQ9" s="454">
        <f t="shared" si="14"/>
        <v>0</v>
      </c>
      <c r="AR9" s="454"/>
      <c r="AS9" s="454"/>
      <c r="AT9" s="454"/>
      <c r="AU9" s="454"/>
      <c r="AV9" s="454">
        <f t="shared" si="15"/>
        <v>0</v>
      </c>
      <c r="AW9" s="454"/>
      <c r="AX9" s="454"/>
      <c r="AY9" s="454"/>
      <c r="AZ9" s="454"/>
      <c r="BA9" s="454">
        <f t="shared" si="16"/>
        <v>0</v>
      </c>
      <c r="BB9" s="454"/>
      <c r="BC9" s="454"/>
      <c r="BD9" s="454"/>
      <c r="BE9" s="454"/>
      <c r="BF9" s="454">
        <f t="shared" si="17"/>
        <v>0</v>
      </c>
      <c r="BG9" s="454">
        <f t="shared" ref="BG9:BO9" si="25">BG5-BG7</f>
        <v>2485879.058</v>
      </c>
      <c r="BH9" s="454">
        <f t="shared" si="25"/>
        <v>2634464.143</v>
      </c>
      <c r="BI9" s="454">
        <f t="shared" si="25"/>
        <v>3274739.266</v>
      </c>
      <c r="BJ9" s="454">
        <f t="shared" si="25"/>
        <v>1880688.387</v>
      </c>
      <c r="BK9" s="454">
        <f t="shared" si="25"/>
        <v>10275770.85</v>
      </c>
      <c r="BL9" s="454">
        <f t="shared" si="25"/>
        <v>2751776.075</v>
      </c>
      <c r="BM9" s="454">
        <f t="shared" si="25"/>
        <v>3726434.641</v>
      </c>
      <c r="BN9" s="454">
        <f t="shared" si="25"/>
        <v>3268467.821</v>
      </c>
      <c r="BO9" s="454">
        <f t="shared" si="25"/>
        <v>4644785.595</v>
      </c>
      <c r="BP9" s="454">
        <f t="shared" si="19"/>
        <v>14391464.13</v>
      </c>
      <c r="BQ9" s="454">
        <f t="shared" ref="BQ9:BQ10" si="27">BQ5-BQ7</f>
        <v>4190446.015</v>
      </c>
      <c r="BR9" s="455">
        <f>4162899.58+5000+100000+13000+200000-20590.394-27300-50000-21000-18500-467.891954230843-22000</f>
        <v>4321041.294</v>
      </c>
      <c r="BS9" s="454">
        <f>((0.11+100)*BR5*BS6/(100*BR6))-BS7</f>
        <v>3958412.331</v>
      </c>
      <c r="BT9" s="454">
        <f>((0.33+100)*BS5*BT6/(100*BS6))-BT7</f>
        <v>4163865.74</v>
      </c>
      <c r="BU9" s="454">
        <f t="shared" si="20"/>
        <v>16633765.38</v>
      </c>
      <c r="BV9" s="454">
        <f>4163865.73270015-300000+560000-370000+40000+49852.3410014063-6000-83368.8079484254+129550.000000045-180000+30000+3900+19300+3634.25874190358+53000</f>
        <v>4113733.524</v>
      </c>
      <c r="BW9" s="454">
        <f>4113733.52449508-250000-850000+72000+20319.28+50000-30000</f>
        <v>3126052.804</v>
      </c>
      <c r="BX9" s="454">
        <f>3126052.80449508+100000+100000+100000-40000+20000+10000-10000+0.238047413527966-27982.6610385627-10000</f>
        <v>3368070.382</v>
      </c>
      <c r="BY9" s="454">
        <f>3368070.38150393-244000+200000+150000+60000+30000+20000</f>
        <v>3584070.382</v>
      </c>
      <c r="BZ9" s="454">
        <f t="shared" si="21"/>
        <v>14191927.09</v>
      </c>
      <c r="CA9" s="454">
        <f>4800780.82210591-50000-48807.6+7100.26-14000+35636.9332325607+5000-4887.34</f>
        <v>4730823.075</v>
      </c>
      <c r="CB9" s="455">
        <f>4186878.82+638166.001498634+1700</f>
        <v>4826744.821</v>
      </c>
      <c r="CC9" s="455">
        <f>3077991.82204211+162242.77+45000+28050+46000+10620</f>
        <v>3369904.592</v>
      </c>
      <c r="CD9" s="454">
        <f>3357205.85299704+10244.4529243307+84500+9500+9000+29000+6500+11000-3000+2000-9000</f>
        <v>3506950.306</v>
      </c>
      <c r="CE9" s="454">
        <f t="shared" si="22"/>
        <v>16434422.79</v>
      </c>
      <c r="CF9" s="454">
        <f>3561348.94859097+20500+30000+90000-40000-16400</f>
        <v>3645448.949</v>
      </c>
      <c r="CG9" s="455"/>
      <c r="CH9" s="455"/>
      <c r="CI9" s="454"/>
      <c r="CJ9" s="454">
        <f t="shared" si="23"/>
        <v>3645448.949</v>
      </c>
      <c r="CK9" s="454"/>
      <c r="CL9" s="455"/>
      <c r="CM9" s="455"/>
      <c r="CN9" s="454"/>
      <c r="CO9" s="454">
        <f t="shared" si="24"/>
        <v>0</v>
      </c>
      <c r="CP9" s="456"/>
      <c r="CQ9" s="456"/>
      <c r="CR9" s="456"/>
      <c r="CS9" s="456"/>
      <c r="CT9" s="456"/>
      <c r="CU9" s="456"/>
      <c r="CV9" s="456"/>
      <c r="CW9" s="456"/>
      <c r="CX9" s="456"/>
      <c r="CY9" s="456"/>
    </row>
    <row r="10" ht="24.75" customHeight="1">
      <c r="A10" s="450">
        <v>2015.0</v>
      </c>
      <c r="B10" s="441"/>
      <c r="C10" s="452" t="s">
        <v>60</v>
      </c>
      <c r="D10" s="453"/>
      <c r="E10" s="454"/>
      <c r="F10" s="454"/>
      <c r="G10" s="454"/>
      <c r="H10" s="454">
        <f t="shared" si="7"/>
        <v>0</v>
      </c>
      <c r="I10" s="454"/>
      <c r="J10" s="454"/>
      <c r="K10" s="454"/>
      <c r="L10" s="454"/>
      <c r="M10" s="454">
        <f t="shared" si="8"/>
        <v>0</v>
      </c>
      <c r="N10" s="454"/>
      <c r="O10" s="454"/>
      <c r="P10" s="454"/>
      <c r="Q10" s="454"/>
      <c r="R10" s="454">
        <f t="shared" si="9"/>
        <v>0</v>
      </c>
      <c r="S10" s="454"/>
      <c r="T10" s="454"/>
      <c r="U10" s="454"/>
      <c r="V10" s="454"/>
      <c r="W10" s="454">
        <f t="shared" si="10"/>
        <v>0</v>
      </c>
      <c r="X10" s="454"/>
      <c r="Y10" s="454"/>
      <c r="Z10" s="454"/>
      <c r="AA10" s="454"/>
      <c r="AB10" s="454">
        <f t="shared" si="11"/>
        <v>0</v>
      </c>
      <c r="AC10" s="454"/>
      <c r="AD10" s="454"/>
      <c r="AE10" s="454"/>
      <c r="AF10" s="454"/>
      <c r="AG10" s="454">
        <f t="shared" si="12"/>
        <v>0</v>
      </c>
      <c r="AH10" s="454"/>
      <c r="AI10" s="454"/>
      <c r="AJ10" s="454"/>
      <c r="AK10" s="454"/>
      <c r="AL10" s="454">
        <f t="shared" si="13"/>
        <v>0</v>
      </c>
      <c r="AM10" s="454"/>
      <c r="AN10" s="454"/>
      <c r="AO10" s="454"/>
      <c r="AP10" s="454"/>
      <c r="AQ10" s="454">
        <f t="shared" si="14"/>
        <v>0</v>
      </c>
      <c r="AR10" s="454"/>
      <c r="AS10" s="454"/>
      <c r="AT10" s="454"/>
      <c r="AU10" s="454"/>
      <c r="AV10" s="454">
        <f t="shared" si="15"/>
        <v>0</v>
      </c>
      <c r="AW10" s="454"/>
      <c r="AX10" s="454"/>
      <c r="AY10" s="454"/>
      <c r="AZ10" s="454"/>
      <c r="BA10" s="454">
        <f t="shared" si="16"/>
        <v>0</v>
      </c>
      <c r="BB10" s="454"/>
      <c r="BC10" s="454"/>
      <c r="BD10" s="454"/>
      <c r="BE10" s="454"/>
      <c r="BF10" s="454">
        <f t="shared" si="17"/>
        <v>0</v>
      </c>
      <c r="BG10" s="454">
        <f t="shared" ref="BG10:BO10" si="26">BG6-BG8</f>
        <v>1530662.477</v>
      </c>
      <c r="BH10" s="454">
        <f t="shared" si="26"/>
        <v>1609128.875</v>
      </c>
      <c r="BI10" s="454">
        <f t="shared" si="26"/>
        <v>1994710.655</v>
      </c>
      <c r="BJ10" s="454">
        <f t="shared" si="26"/>
        <v>1993991.408</v>
      </c>
      <c r="BK10" s="454">
        <f t="shared" si="26"/>
        <v>7128493.415</v>
      </c>
      <c r="BL10" s="454">
        <f t="shared" si="26"/>
        <v>655803.6765</v>
      </c>
      <c r="BM10" s="454">
        <f t="shared" si="26"/>
        <v>1015238.097</v>
      </c>
      <c r="BN10" s="454">
        <f t="shared" si="26"/>
        <v>381910.012</v>
      </c>
      <c r="BO10" s="454">
        <f t="shared" si="26"/>
        <v>1322173.625</v>
      </c>
      <c r="BP10" s="454">
        <f t="shared" si="19"/>
        <v>3375125.411</v>
      </c>
      <c r="BQ10" s="454">
        <f t="shared" si="27"/>
        <v>800170.0359</v>
      </c>
      <c r="BR10" s="455">
        <f>3120052.99-1033473.8-98000-50000-12000-340000+6000+130000+75000-18600-7371.59160963687-3000-16000-4486.76594513654</f>
        <v>1748120.832</v>
      </c>
      <c r="BS10" s="454">
        <f>((9.93+100)*BR6)/100-BS8-217300</f>
        <v>1601682.468</v>
      </c>
      <c r="BT10" s="454">
        <f>((4.37+100)*BS6)/100-BT8-65500-63438.5839563012-13000-30000</f>
        <v>1548701.116</v>
      </c>
      <c r="BU10" s="454">
        <f t="shared" si="20"/>
        <v>5698674.452</v>
      </c>
      <c r="BV10" s="454">
        <f>1548701.11624761+89000+100000+90000+70000-100000-35000-130000-30000--43687.34275987-13123.8505980596+2500+15000+32288.5208135881</f>
        <v>1683053.129</v>
      </c>
      <c r="BW10" s="454">
        <f>1683053.12922301-550000-530000-90000+72000+12287.64+221.35+-87.4932105764747+30000</f>
        <v>627474.626</v>
      </c>
      <c r="BX10" s="454">
        <f>627474.626012434+10000+8000+12000+10000-15000+0.297238472849131-18933.4610385671</f>
        <v>633541.4622</v>
      </c>
      <c r="BY10" s="454">
        <f>633541.46221234+3000+180000+75000</f>
        <v>891541.4622</v>
      </c>
      <c r="BZ10" s="454">
        <f t="shared" si="21"/>
        <v>3835610.68</v>
      </c>
      <c r="CA10" s="457">
        <f>1975496.2487443+3648.24-7175.88175221905+29318.7439187302-0.00000108033418655396-10967.5</f>
        <v>1990319.851</v>
      </c>
      <c r="CB10" s="455">
        <f>1707957.86+327410.750406059+1000</f>
        <v>2036368.61</v>
      </c>
      <c r="CC10" s="454">
        <f>549306.267453207+85972.5+24000+15000+35000-5000</f>
        <v>704278.7675</v>
      </c>
      <c r="CD10" s="454">
        <f>592384.967949641+5445.17785900319+45000+7000+5000+13576.5+5000+5000-2060-5000</f>
        <v>671346.6458</v>
      </c>
      <c r="CE10" s="454">
        <f t="shared" si="22"/>
        <v>5402313.875</v>
      </c>
      <c r="CF10" s="457">
        <f>780992.678706464+12000+30000+30000-10000-10000</f>
        <v>832992.6787</v>
      </c>
      <c r="CG10" s="455"/>
      <c r="CH10" s="454"/>
      <c r="CI10" s="454"/>
      <c r="CJ10" s="454">
        <f t="shared" si="23"/>
        <v>832992.6787</v>
      </c>
      <c r="CK10" s="457"/>
      <c r="CL10" s="455"/>
      <c r="CM10" s="454"/>
      <c r="CN10" s="454"/>
      <c r="CO10" s="454">
        <f t="shared" si="24"/>
        <v>0</v>
      </c>
      <c r="CP10" s="456"/>
      <c r="CQ10" s="456"/>
      <c r="CR10" s="456"/>
      <c r="CS10" s="456"/>
      <c r="CT10" s="456"/>
      <c r="CU10" s="456"/>
      <c r="CV10" s="456"/>
      <c r="CW10" s="456"/>
      <c r="CX10" s="456"/>
      <c r="CY10" s="456"/>
    </row>
    <row r="11" ht="24.75" customHeight="1">
      <c r="A11" s="450">
        <v>2016.0</v>
      </c>
      <c r="B11" s="458" t="s">
        <v>100</v>
      </c>
      <c r="C11" s="459" t="s">
        <v>26</v>
      </c>
      <c r="D11" s="460">
        <f t="shared" ref="D11:BO11" si="28">if(D7=0,0,D7+D9)</f>
        <v>0</v>
      </c>
      <c r="E11" s="461">
        <f t="shared" si="28"/>
        <v>0</v>
      </c>
      <c r="F11" s="461">
        <f t="shared" si="28"/>
        <v>0</v>
      </c>
      <c r="G11" s="461">
        <f t="shared" si="28"/>
        <v>0</v>
      </c>
      <c r="H11" s="461">
        <f t="shared" si="28"/>
        <v>0</v>
      </c>
      <c r="I11" s="461">
        <f t="shared" si="28"/>
        <v>0</v>
      </c>
      <c r="J11" s="461">
        <f t="shared" si="28"/>
        <v>0</v>
      </c>
      <c r="K11" s="461">
        <f t="shared" si="28"/>
        <v>0</v>
      </c>
      <c r="L11" s="461">
        <f t="shared" si="28"/>
        <v>0</v>
      </c>
      <c r="M11" s="461">
        <f t="shared" si="28"/>
        <v>0</v>
      </c>
      <c r="N11" s="461">
        <f t="shared" si="28"/>
        <v>0</v>
      </c>
      <c r="O11" s="461">
        <f t="shared" si="28"/>
        <v>0</v>
      </c>
      <c r="P11" s="461">
        <f t="shared" si="28"/>
        <v>0</v>
      </c>
      <c r="Q11" s="461">
        <f t="shared" si="28"/>
        <v>0</v>
      </c>
      <c r="R11" s="461">
        <f t="shared" si="28"/>
        <v>0</v>
      </c>
      <c r="S11" s="461">
        <f t="shared" si="28"/>
        <v>0</v>
      </c>
      <c r="T11" s="461">
        <f t="shared" si="28"/>
        <v>0</v>
      </c>
      <c r="U11" s="461">
        <f t="shared" si="28"/>
        <v>0</v>
      </c>
      <c r="V11" s="461">
        <f t="shared" si="28"/>
        <v>0</v>
      </c>
      <c r="W11" s="461">
        <f t="shared" si="28"/>
        <v>0</v>
      </c>
      <c r="X11" s="461">
        <f t="shared" si="28"/>
        <v>0</v>
      </c>
      <c r="Y11" s="461">
        <f t="shared" si="28"/>
        <v>0</v>
      </c>
      <c r="Z11" s="461">
        <f t="shared" si="28"/>
        <v>0</v>
      </c>
      <c r="AA11" s="461">
        <f t="shared" si="28"/>
        <v>0</v>
      </c>
      <c r="AB11" s="461">
        <f t="shared" si="28"/>
        <v>0</v>
      </c>
      <c r="AC11" s="461">
        <f t="shared" si="28"/>
        <v>0</v>
      </c>
      <c r="AD11" s="461">
        <f t="shared" si="28"/>
        <v>0</v>
      </c>
      <c r="AE11" s="461">
        <f t="shared" si="28"/>
        <v>0</v>
      </c>
      <c r="AF11" s="461">
        <f t="shared" si="28"/>
        <v>0</v>
      </c>
      <c r="AG11" s="461">
        <f t="shared" si="28"/>
        <v>0</v>
      </c>
      <c r="AH11" s="461">
        <f t="shared" si="28"/>
        <v>0</v>
      </c>
      <c r="AI11" s="461">
        <f t="shared" si="28"/>
        <v>0</v>
      </c>
      <c r="AJ11" s="461">
        <f t="shared" si="28"/>
        <v>0</v>
      </c>
      <c r="AK11" s="461">
        <f t="shared" si="28"/>
        <v>0</v>
      </c>
      <c r="AL11" s="461">
        <f t="shared" si="28"/>
        <v>0</v>
      </c>
      <c r="AM11" s="461">
        <f t="shared" si="28"/>
        <v>0</v>
      </c>
      <c r="AN11" s="461">
        <f t="shared" si="28"/>
        <v>0</v>
      </c>
      <c r="AO11" s="461">
        <f t="shared" si="28"/>
        <v>0</v>
      </c>
      <c r="AP11" s="461">
        <f t="shared" si="28"/>
        <v>0</v>
      </c>
      <c r="AQ11" s="461">
        <f t="shared" si="28"/>
        <v>0</v>
      </c>
      <c r="AR11" s="461">
        <f t="shared" si="28"/>
        <v>0</v>
      </c>
      <c r="AS11" s="461">
        <f t="shared" si="28"/>
        <v>0</v>
      </c>
      <c r="AT11" s="461">
        <f t="shared" si="28"/>
        <v>0</v>
      </c>
      <c r="AU11" s="461">
        <f t="shared" si="28"/>
        <v>0</v>
      </c>
      <c r="AV11" s="461">
        <f t="shared" si="28"/>
        <v>0</v>
      </c>
      <c r="AW11" s="461">
        <f t="shared" si="28"/>
        <v>0</v>
      </c>
      <c r="AX11" s="461">
        <f t="shared" si="28"/>
        <v>0</v>
      </c>
      <c r="AY11" s="461">
        <f t="shared" si="28"/>
        <v>0</v>
      </c>
      <c r="AZ11" s="461">
        <f t="shared" si="28"/>
        <v>0</v>
      </c>
      <c r="BA11" s="461">
        <f t="shared" si="28"/>
        <v>0</v>
      </c>
      <c r="BB11" s="461">
        <f t="shared" si="28"/>
        <v>443368.636</v>
      </c>
      <c r="BC11" s="461">
        <f t="shared" si="28"/>
        <v>621256.7191</v>
      </c>
      <c r="BD11" s="461">
        <f t="shared" si="28"/>
        <v>782700.1467</v>
      </c>
      <c r="BE11" s="461">
        <f t="shared" si="28"/>
        <v>1159264.654</v>
      </c>
      <c r="BF11" s="461">
        <f t="shared" si="28"/>
        <v>3006590.155</v>
      </c>
      <c r="BG11" s="461">
        <f t="shared" si="28"/>
        <v>3304617.982</v>
      </c>
      <c r="BH11" s="461">
        <f t="shared" si="28"/>
        <v>3402425.463</v>
      </c>
      <c r="BI11" s="461">
        <f t="shared" si="28"/>
        <v>3825143.816</v>
      </c>
      <c r="BJ11" s="461">
        <f t="shared" si="28"/>
        <v>3822599.42</v>
      </c>
      <c r="BK11" s="461">
        <f t="shared" si="28"/>
        <v>14354786.68</v>
      </c>
      <c r="BL11" s="461">
        <f t="shared" si="28"/>
        <v>3551707.106</v>
      </c>
      <c r="BM11" s="461">
        <f t="shared" si="28"/>
        <v>4428986.737</v>
      </c>
      <c r="BN11" s="461">
        <f t="shared" si="28"/>
        <v>4318672.719</v>
      </c>
      <c r="BO11" s="461">
        <f t="shared" si="28"/>
        <v>5522153.6</v>
      </c>
      <c r="BP11" s="461">
        <f t="shared" ref="BP11:BP12" si="35">BP7+BP9</f>
        <v>17821520.16</v>
      </c>
      <c r="BQ11" s="461">
        <f t="shared" ref="BQ11:BT11" si="29">if(BQ7=0,0,BQ7+BQ9)</f>
        <v>5596201.86</v>
      </c>
      <c r="BR11" s="461">
        <f t="shared" si="29"/>
        <v>5560712.6</v>
      </c>
      <c r="BS11" s="461">
        <f t="shared" si="29"/>
        <v>5661189.808</v>
      </c>
      <c r="BT11" s="461">
        <f t="shared" si="29"/>
        <v>5581415.649</v>
      </c>
      <c r="BU11" s="461">
        <f t="shared" ref="BU11:BU12" si="37">BU7+BU9</f>
        <v>22399519.92</v>
      </c>
      <c r="BV11" s="461">
        <f t="shared" ref="BV11:BY11" si="30">if(BV7=0,0,BV7+BV9)</f>
        <v>5114999.223</v>
      </c>
      <c r="BW11" s="461">
        <f t="shared" si="30"/>
        <v>5667465.401</v>
      </c>
      <c r="BX11" s="461">
        <f t="shared" si="30"/>
        <v>6159125.239</v>
      </c>
      <c r="BY11" s="461">
        <f t="shared" si="30"/>
        <v>6040198.656</v>
      </c>
      <c r="BZ11" s="461">
        <f t="shared" ref="BZ11:BZ12" si="39">BZ7+BZ9</f>
        <v>22981788.52</v>
      </c>
      <c r="CA11" s="461">
        <f t="shared" ref="CA11:CD11" si="31">if(CA7=0,0,CA7+CA9)</f>
        <v>7041725.171</v>
      </c>
      <c r="CB11" s="461">
        <f t="shared" si="31"/>
        <v>7179968.778</v>
      </c>
      <c r="CC11" s="461">
        <f t="shared" si="31"/>
        <v>5980941.176</v>
      </c>
      <c r="CD11" s="461">
        <f t="shared" si="31"/>
        <v>6193714.679</v>
      </c>
      <c r="CE11" s="461">
        <f t="shared" ref="CE11:CE12" si="41">CE7+CE9</f>
        <v>26396349.8</v>
      </c>
      <c r="CF11" s="461">
        <f t="shared" ref="CF11:CI11" si="32">if(CF7=0,0,CF7+CF9)</f>
        <v>6196754.078</v>
      </c>
      <c r="CG11" s="461">
        <f t="shared" si="32"/>
        <v>0</v>
      </c>
      <c r="CH11" s="461">
        <f t="shared" si="32"/>
        <v>0</v>
      </c>
      <c r="CI11" s="461">
        <f t="shared" si="32"/>
        <v>0</v>
      </c>
      <c r="CJ11" s="461">
        <f t="shared" ref="CJ11:CJ12" si="43">CJ7+CJ9</f>
        <v>6196754.078</v>
      </c>
      <c r="CK11" s="461">
        <f t="shared" ref="CK11:CN11" si="33">if(CK7=0,0,CK7+CK9)</f>
        <v>0</v>
      </c>
      <c r="CL11" s="461">
        <f t="shared" si="33"/>
        <v>0</v>
      </c>
      <c r="CM11" s="461">
        <f t="shared" si="33"/>
        <v>0</v>
      </c>
      <c r="CN11" s="461">
        <f t="shared" si="33"/>
        <v>0</v>
      </c>
      <c r="CO11" s="461">
        <f t="shared" ref="CO11:CO12" si="45">CO7+CO9</f>
        <v>0</v>
      </c>
      <c r="CP11" s="462"/>
      <c r="CQ11" s="462"/>
      <c r="CR11" s="462"/>
      <c r="CS11" s="462"/>
      <c r="CT11" s="462"/>
      <c r="CU11" s="462"/>
      <c r="CV11" s="462"/>
      <c r="CW11" s="462"/>
      <c r="CX11" s="462"/>
      <c r="CY11" s="462"/>
    </row>
    <row r="12" ht="24.75" customHeight="1">
      <c r="A12" s="445">
        <v>2017.0</v>
      </c>
      <c r="B12" s="55"/>
      <c r="C12" s="459" t="s">
        <v>60</v>
      </c>
      <c r="D12" s="460">
        <f t="shared" ref="D12:BO12" si="34">if(D8=0,0,D8+D10)</f>
        <v>0</v>
      </c>
      <c r="E12" s="461">
        <f t="shared" si="34"/>
        <v>0</v>
      </c>
      <c r="F12" s="461">
        <f t="shared" si="34"/>
        <v>0</v>
      </c>
      <c r="G12" s="461">
        <f t="shared" si="34"/>
        <v>0</v>
      </c>
      <c r="H12" s="461">
        <f t="shared" si="34"/>
        <v>0</v>
      </c>
      <c r="I12" s="461">
        <f t="shared" si="34"/>
        <v>0</v>
      </c>
      <c r="J12" s="461">
        <f t="shared" si="34"/>
        <v>0</v>
      </c>
      <c r="K12" s="461">
        <f t="shared" si="34"/>
        <v>0</v>
      </c>
      <c r="L12" s="461">
        <f t="shared" si="34"/>
        <v>0</v>
      </c>
      <c r="M12" s="461">
        <f t="shared" si="34"/>
        <v>0</v>
      </c>
      <c r="N12" s="461">
        <f t="shared" si="34"/>
        <v>0</v>
      </c>
      <c r="O12" s="461">
        <f t="shared" si="34"/>
        <v>0</v>
      </c>
      <c r="P12" s="461">
        <f t="shared" si="34"/>
        <v>0</v>
      </c>
      <c r="Q12" s="461">
        <f t="shared" si="34"/>
        <v>0</v>
      </c>
      <c r="R12" s="461">
        <f t="shared" si="34"/>
        <v>0</v>
      </c>
      <c r="S12" s="461">
        <f t="shared" si="34"/>
        <v>0</v>
      </c>
      <c r="T12" s="461">
        <f t="shared" si="34"/>
        <v>0</v>
      </c>
      <c r="U12" s="461">
        <f t="shared" si="34"/>
        <v>0</v>
      </c>
      <c r="V12" s="461">
        <f t="shared" si="34"/>
        <v>0</v>
      </c>
      <c r="W12" s="461">
        <f t="shared" si="34"/>
        <v>0</v>
      </c>
      <c r="X12" s="461">
        <f t="shared" si="34"/>
        <v>0</v>
      </c>
      <c r="Y12" s="461">
        <f t="shared" si="34"/>
        <v>0</v>
      </c>
      <c r="Z12" s="461">
        <f t="shared" si="34"/>
        <v>0</v>
      </c>
      <c r="AA12" s="461">
        <f t="shared" si="34"/>
        <v>0</v>
      </c>
      <c r="AB12" s="461">
        <f t="shared" si="34"/>
        <v>0</v>
      </c>
      <c r="AC12" s="461">
        <f t="shared" si="34"/>
        <v>0</v>
      </c>
      <c r="AD12" s="461">
        <f t="shared" si="34"/>
        <v>0</v>
      </c>
      <c r="AE12" s="461">
        <f t="shared" si="34"/>
        <v>0</v>
      </c>
      <c r="AF12" s="461">
        <f t="shared" si="34"/>
        <v>0</v>
      </c>
      <c r="AG12" s="461">
        <f t="shared" si="34"/>
        <v>0</v>
      </c>
      <c r="AH12" s="461">
        <f t="shared" si="34"/>
        <v>0</v>
      </c>
      <c r="AI12" s="461">
        <f t="shared" si="34"/>
        <v>0</v>
      </c>
      <c r="AJ12" s="461">
        <f t="shared" si="34"/>
        <v>0</v>
      </c>
      <c r="AK12" s="461">
        <f t="shared" si="34"/>
        <v>0</v>
      </c>
      <c r="AL12" s="461">
        <f t="shared" si="34"/>
        <v>0</v>
      </c>
      <c r="AM12" s="461">
        <f t="shared" si="34"/>
        <v>0</v>
      </c>
      <c r="AN12" s="461">
        <f t="shared" si="34"/>
        <v>0</v>
      </c>
      <c r="AO12" s="461">
        <f t="shared" si="34"/>
        <v>0</v>
      </c>
      <c r="AP12" s="461">
        <f t="shared" si="34"/>
        <v>0</v>
      </c>
      <c r="AQ12" s="461">
        <f t="shared" si="34"/>
        <v>0</v>
      </c>
      <c r="AR12" s="461">
        <f t="shared" si="34"/>
        <v>0</v>
      </c>
      <c r="AS12" s="461">
        <f t="shared" si="34"/>
        <v>0</v>
      </c>
      <c r="AT12" s="461">
        <f t="shared" si="34"/>
        <v>0</v>
      </c>
      <c r="AU12" s="461">
        <f t="shared" si="34"/>
        <v>0</v>
      </c>
      <c r="AV12" s="461">
        <f t="shared" si="34"/>
        <v>0</v>
      </c>
      <c r="AW12" s="461">
        <f t="shared" si="34"/>
        <v>0</v>
      </c>
      <c r="AX12" s="461">
        <f t="shared" si="34"/>
        <v>0</v>
      </c>
      <c r="AY12" s="461">
        <f t="shared" si="34"/>
        <v>0</v>
      </c>
      <c r="AZ12" s="461">
        <f t="shared" si="34"/>
        <v>0</v>
      </c>
      <c r="BA12" s="461">
        <f t="shared" si="34"/>
        <v>0</v>
      </c>
      <c r="BB12" s="461">
        <f t="shared" si="34"/>
        <v>312396.4808</v>
      </c>
      <c r="BC12" s="461">
        <f t="shared" si="34"/>
        <v>435243.0614</v>
      </c>
      <c r="BD12" s="461">
        <f t="shared" si="34"/>
        <v>523386.6006</v>
      </c>
      <c r="BE12" s="461">
        <f t="shared" si="34"/>
        <v>829400.6162</v>
      </c>
      <c r="BF12" s="461">
        <f t="shared" si="34"/>
        <v>2100426.759</v>
      </c>
      <c r="BG12" s="461">
        <f t="shared" si="34"/>
        <v>2291849.636</v>
      </c>
      <c r="BH12" s="461">
        <f t="shared" si="34"/>
        <v>2292430.585</v>
      </c>
      <c r="BI12" s="461">
        <f t="shared" si="34"/>
        <v>2577242.828</v>
      </c>
      <c r="BJ12" s="461">
        <f t="shared" si="34"/>
        <v>2539590.412</v>
      </c>
      <c r="BK12" s="461">
        <f t="shared" si="34"/>
        <v>9701113.461</v>
      </c>
      <c r="BL12" s="461">
        <f t="shared" si="34"/>
        <v>2288638.798</v>
      </c>
      <c r="BM12" s="461">
        <f t="shared" si="34"/>
        <v>2288098.945</v>
      </c>
      <c r="BN12" s="461">
        <f t="shared" si="34"/>
        <v>2254525.625</v>
      </c>
      <c r="BO12" s="461">
        <f t="shared" si="34"/>
        <v>2886604.555</v>
      </c>
      <c r="BP12" s="461">
        <f t="shared" si="35"/>
        <v>9717867.923</v>
      </c>
      <c r="BQ12" s="461">
        <f t="shared" ref="BQ12:BT12" si="36">if(BQ8=0,0,BQ8+BQ10)</f>
        <v>2886749.224</v>
      </c>
      <c r="BR12" s="461">
        <f t="shared" si="36"/>
        <v>2806732.716</v>
      </c>
      <c r="BS12" s="461">
        <f t="shared" si="36"/>
        <v>2836614.475</v>
      </c>
      <c r="BT12" s="461">
        <f t="shared" si="36"/>
        <v>2783417.443</v>
      </c>
      <c r="BU12" s="461">
        <f t="shared" si="37"/>
        <v>11313513.86</v>
      </c>
      <c r="BV12" s="461">
        <f t="shared" ref="BV12:BY12" si="38">if(BV8=0,0,BV8+BV10)</f>
        <v>2567622.575</v>
      </c>
      <c r="BW12" s="461">
        <f t="shared" si="38"/>
        <v>2794669.767</v>
      </c>
      <c r="BX12" s="461">
        <f t="shared" si="38"/>
        <v>3045087.856</v>
      </c>
      <c r="BY12" s="461">
        <f t="shared" si="38"/>
        <v>3013702.288</v>
      </c>
      <c r="BZ12" s="461">
        <f t="shared" si="39"/>
        <v>11421082.49</v>
      </c>
      <c r="CA12" s="461">
        <f t="shared" ref="CA12:CD12" si="40">if(CA8=0,0,CA8+CA10)</f>
        <v>4104552.702</v>
      </c>
      <c r="CB12" s="461">
        <f t="shared" si="40"/>
        <v>4187600.537</v>
      </c>
      <c r="CC12" s="461">
        <f t="shared" si="40"/>
        <v>3169590.555</v>
      </c>
      <c r="CD12" s="461">
        <f t="shared" si="40"/>
        <v>3291480.013</v>
      </c>
      <c r="CE12" s="461">
        <f t="shared" si="41"/>
        <v>14753223.81</v>
      </c>
      <c r="CF12" s="461">
        <f t="shared" ref="CF12:CI12" si="42">if(CF8=0,0,CF8+CF10)</f>
        <v>3041241.081</v>
      </c>
      <c r="CG12" s="461">
        <f t="shared" si="42"/>
        <v>0</v>
      </c>
      <c r="CH12" s="461">
        <f t="shared" si="42"/>
        <v>0</v>
      </c>
      <c r="CI12" s="461">
        <f t="shared" si="42"/>
        <v>0</v>
      </c>
      <c r="CJ12" s="461">
        <f t="shared" si="43"/>
        <v>3041241.081</v>
      </c>
      <c r="CK12" s="461">
        <f t="shared" ref="CK12:CN12" si="44">if(CK8=0,0,CK8+CK10)</f>
        <v>0</v>
      </c>
      <c r="CL12" s="461">
        <f t="shared" si="44"/>
        <v>0</v>
      </c>
      <c r="CM12" s="461">
        <f t="shared" si="44"/>
        <v>0</v>
      </c>
      <c r="CN12" s="461">
        <f t="shared" si="44"/>
        <v>0</v>
      </c>
      <c r="CO12" s="461">
        <f t="shared" si="45"/>
        <v>0</v>
      </c>
      <c r="CP12" s="462"/>
      <c r="CQ12" s="462"/>
      <c r="CR12" s="462"/>
      <c r="CS12" s="462"/>
      <c r="CT12" s="462"/>
      <c r="CU12" s="462"/>
      <c r="CV12" s="462"/>
      <c r="CW12" s="462"/>
      <c r="CX12" s="462"/>
      <c r="CY12" s="462"/>
    </row>
    <row r="13" ht="24.75" customHeight="1">
      <c r="A13" s="450">
        <v>2018.0</v>
      </c>
      <c r="B13" s="463" t="s">
        <v>101</v>
      </c>
      <c r="C13" s="464" t="s">
        <v>26</v>
      </c>
      <c r="D13" s="465">
        <f t="shared" ref="D13:CO13" si="46">IFERROR((D5-D7)/D7*100,0)</f>
        <v>0</v>
      </c>
      <c r="E13" s="466">
        <f t="shared" si="46"/>
        <v>0</v>
      </c>
      <c r="F13" s="466">
        <f t="shared" si="46"/>
        <v>0</v>
      </c>
      <c r="G13" s="466">
        <f t="shared" si="46"/>
        <v>0</v>
      </c>
      <c r="H13" s="466">
        <f t="shared" si="46"/>
        <v>0</v>
      </c>
      <c r="I13" s="466">
        <f t="shared" si="46"/>
        <v>0</v>
      </c>
      <c r="J13" s="466">
        <f t="shared" si="46"/>
        <v>0</v>
      </c>
      <c r="K13" s="466">
        <f t="shared" si="46"/>
        <v>0</v>
      </c>
      <c r="L13" s="466">
        <f t="shared" si="46"/>
        <v>0</v>
      </c>
      <c r="M13" s="466">
        <f t="shared" si="46"/>
        <v>0</v>
      </c>
      <c r="N13" s="466">
        <f t="shared" si="46"/>
        <v>0</v>
      </c>
      <c r="O13" s="466">
        <f t="shared" si="46"/>
        <v>0</v>
      </c>
      <c r="P13" s="466">
        <f t="shared" si="46"/>
        <v>0</v>
      </c>
      <c r="Q13" s="466">
        <f t="shared" si="46"/>
        <v>0</v>
      </c>
      <c r="R13" s="466">
        <f t="shared" si="46"/>
        <v>0</v>
      </c>
      <c r="S13" s="466">
        <f t="shared" si="46"/>
        <v>0</v>
      </c>
      <c r="T13" s="466">
        <f t="shared" si="46"/>
        <v>0</v>
      </c>
      <c r="U13" s="466">
        <f t="shared" si="46"/>
        <v>0</v>
      </c>
      <c r="V13" s="466">
        <f t="shared" si="46"/>
        <v>0</v>
      </c>
      <c r="W13" s="466">
        <f t="shared" si="46"/>
        <v>0</v>
      </c>
      <c r="X13" s="466">
        <f t="shared" si="46"/>
        <v>0</v>
      </c>
      <c r="Y13" s="466">
        <f t="shared" si="46"/>
        <v>0</v>
      </c>
      <c r="Z13" s="466">
        <f t="shared" si="46"/>
        <v>0</v>
      </c>
      <c r="AA13" s="466">
        <f t="shared" si="46"/>
        <v>0</v>
      </c>
      <c r="AB13" s="466">
        <f t="shared" si="46"/>
        <v>0</v>
      </c>
      <c r="AC13" s="466">
        <f t="shared" si="46"/>
        <v>0</v>
      </c>
      <c r="AD13" s="466">
        <f t="shared" si="46"/>
        <v>0</v>
      </c>
      <c r="AE13" s="466">
        <f t="shared" si="46"/>
        <v>0</v>
      </c>
      <c r="AF13" s="466">
        <f t="shared" si="46"/>
        <v>0</v>
      </c>
      <c r="AG13" s="466">
        <f t="shared" si="46"/>
        <v>0</v>
      </c>
      <c r="AH13" s="466">
        <f t="shared" si="46"/>
        <v>0</v>
      </c>
      <c r="AI13" s="466">
        <f t="shared" si="46"/>
        <v>0</v>
      </c>
      <c r="AJ13" s="466">
        <f t="shared" si="46"/>
        <v>0</v>
      </c>
      <c r="AK13" s="466">
        <f t="shared" si="46"/>
        <v>0</v>
      </c>
      <c r="AL13" s="466">
        <f t="shared" si="46"/>
        <v>0</v>
      </c>
      <c r="AM13" s="466">
        <f t="shared" si="46"/>
        <v>0</v>
      </c>
      <c r="AN13" s="466">
        <f t="shared" si="46"/>
        <v>0</v>
      </c>
      <c r="AO13" s="466">
        <f t="shared" si="46"/>
        <v>0</v>
      </c>
      <c r="AP13" s="466">
        <f t="shared" si="46"/>
        <v>0</v>
      </c>
      <c r="AQ13" s="466">
        <f t="shared" si="46"/>
        <v>0</v>
      </c>
      <c r="AR13" s="466">
        <f t="shared" si="46"/>
        <v>0</v>
      </c>
      <c r="AS13" s="466">
        <f t="shared" si="46"/>
        <v>0</v>
      </c>
      <c r="AT13" s="466">
        <f t="shared" si="46"/>
        <v>0</v>
      </c>
      <c r="AU13" s="466">
        <f t="shared" si="46"/>
        <v>0</v>
      </c>
      <c r="AV13" s="466">
        <f t="shared" si="46"/>
        <v>0</v>
      </c>
      <c r="AW13" s="466">
        <f t="shared" si="46"/>
        <v>0</v>
      </c>
      <c r="AX13" s="466">
        <f t="shared" si="46"/>
        <v>0</v>
      </c>
      <c r="AY13" s="466">
        <f t="shared" si="46"/>
        <v>0</v>
      </c>
      <c r="AZ13" s="466">
        <f t="shared" si="46"/>
        <v>0</v>
      </c>
      <c r="BA13" s="466">
        <f t="shared" si="46"/>
        <v>0</v>
      </c>
      <c r="BB13" s="466">
        <f t="shared" si="46"/>
        <v>687.7279624</v>
      </c>
      <c r="BC13" s="466">
        <f t="shared" si="46"/>
        <v>428.0389457</v>
      </c>
      <c r="BD13" s="466">
        <f t="shared" si="46"/>
        <v>358.9039537</v>
      </c>
      <c r="BE13" s="466">
        <f t="shared" si="46"/>
        <v>203.3523578</v>
      </c>
      <c r="BF13" s="466">
        <f t="shared" si="46"/>
        <v>361.7029263</v>
      </c>
      <c r="BG13" s="466">
        <f t="shared" si="46"/>
        <v>303.6229238</v>
      </c>
      <c r="BH13" s="466">
        <f t="shared" si="46"/>
        <v>343.046463</v>
      </c>
      <c r="BI13" s="466">
        <f t="shared" si="46"/>
        <v>594.9695115</v>
      </c>
      <c r="BJ13" s="466">
        <f t="shared" si="46"/>
        <v>96.84729917</v>
      </c>
      <c r="BK13" s="466">
        <f t="shared" si="46"/>
        <v>251.9178962</v>
      </c>
      <c r="BL13" s="466">
        <f t="shared" si="46"/>
        <v>344.0016658</v>
      </c>
      <c r="BM13" s="466">
        <f t="shared" si="46"/>
        <v>530.4139949</v>
      </c>
      <c r="BN13" s="466">
        <f t="shared" si="46"/>
        <v>311.2219176</v>
      </c>
      <c r="BO13" s="466">
        <f t="shared" si="46"/>
        <v>529.3999289</v>
      </c>
      <c r="BP13" s="466">
        <f t="shared" si="46"/>
        <v>419.5693598</v>
      </c>
      <c r="BQ13" s="466">
        <f t="shared" si="46"/>
        <v>298.0920214</v>
      </c>
      <c r="BR13" s="466">
        <f t="shared" si="46"/>
        <v>347.5383171</v>
      </c>
      <c r="BS13" s="466">
        <f t="shared" si="46"/>
        <v>232.3620546</v>
      </c>
      <c r="BT13" s="466">
        <f t="shared" si="46"/>
        <v>293.7367992</v>
      </c>
      <c r="BU13" s="466">
        <f t="shared" si="46"/>
        <v>288.2407352</v>
      </c>
      <c r="BV13" s="466">
        <f t="shared" si="46"/>
        <v>411.9484303</v>
      </c>
      <c r="BW13" s="466">
        <f t="shared" si="46"/>
        <v>123.4925555</v>
      </c>
      <c r="BX13" s="466">
        <f t="shared" si="46"/>
        <v>121.4766392</v>
      </c>
      <c r="BY13" s="466">
        <f t="shared" si="46"/>
        <v>146.1932862</v>
      </c>
      <c r="BZ13" s="466">
        <f t="shared" si="46"/>
        <v>162.0540675</v>
      </c>
      <c r="CA13" s="466">
        <f t="shared" si="46"/>
        <v>153.4383124</v>
      </c>
      <c r="CB13" s="466">
        <f t="shared" si="46"/>
        <v>152.9899086</v>
      </c>
      <c r="CC13" s="466">
        <f t="shared" si="46"/>
        <v>129.0638597</v>
      </c>
      <c r="CD13" s="466">
        <f t="shared" si="46"/>
        <v>130.5269022</v>
      </c>
      <c r="CE13" s="466">
        <f t="shared" si="46"/>
        <v>140.7645252</v>
      </c>
      <c r="CF13" s="466">
        <f t="shared" si="46"/>
        <v>142.8856512</v>
      </c>
      <c r="CG13" s="466">
        <f t="shared" si="46"/>
        <v>0</v>
      </c>
      <c r="CH13" s="466">
        <f t="shared" si="46"/>
        <v>0</v>
      </c>
      <c r="CI13" s="466">
        <f t="shared" si="46"/>
        <v>0</v>
      </c>
      <c r="CJ13" s="466">
        <f t="shared" si="46"/>
        <v>142.8856512</v>
      </c>
      <c r="CK13" s="466">
        <f t="shared" si="46"/>
        <v>0</v>
      </c>
      <c r="CL13" s="466">
        <f t="shared" si="46"/>
        <v>0</v>
      </c>
      <c r="CM13" s="466">
        <f t="shared" si="46"/>
        <v>0</v>
      </c>
      <c r="CN13" s="466">
        <f t="shared" si="46"/>
        <v>0</v>
      </c>
      <c r="CO13" s="466">
        <f t="shared" si="46"/>
        <v>0</v>
      </c>
      <c r="CP13" s="467"/>
      <c r="CQ13" s="467"/>
      <c r="CR13" s="467"/>
      <c r="CS13" s="467"/>
      <c r="CT13" s="467"/>
      <c r="CU13" s="467"/>
      <c r="CV13" s="467"/>
      <c r="CW13" s="467"/>
      <c r="CX13" s="467"/>
      <c r="CY13" s="467"/>
    </row>
    <row r="14" ht="24.75" customHeight="1">
      <c r="A14" s="445">
        <v>2019.0</v>
      </c>
      <c r="B14" s="441"/>
      <c r="C14" s="464" t="s">
        <v>60</v>
      </c>
      <c r="D14" s="465">
        <f t="shared" ref="D14:CO14" si="47">IFERROR((D6-D8)/D8*100,0)</f>
        <v>0</v>
      </c>
      <c r="E14" s="466">
        <f t="shared" si="47"/>
        <v>0</v>
      </c>
      <c r="F14" s="466">
        <f t="shared" si="47"/>
        <v>0</v>
      </c>
      <c r="G14" s="466">
        <f t="shared" si="47"/>
        <v>0</v>
      </c>
      <c r="H14" s="466">
        <f t="shared" si="47"/>
        <v>0</v>
      </c>
      <c r="I14" s="466">
        <f t="shared" si="47"/>
        <v>0</v>
      </c>
      <c r="J14" s="466">
        <f t="shared" si="47"/>
        <v>0</v>
      </c>
      <c r="K14" s="466">
        <f t="shared" si="47"/>
        <v>0</v>
      </c>
      <c r="L14" s="466">
        <f t="shared" si="47"/>
        <v>0</v>
      </c>
      <c r="M14" s="466">
        <f t="shared" si="47"/>
        <v>0</v>
      </c>
      <c r="N14" s="466">
        <f t="shared" si="47"/>
        <v>0</v>
      </c>
      <c r="O14" s="466">
        <f t="shared" si="47"/>
        <v>0</v>
      </c>
      <c r="P14" s="466">
        <f t="shared" si="47"/>
        <v>0</v>
      </c>
      <c r="Q14" s="466">
        <f t="shared" si="47"/>
        <v>0</v>
      </c>
      <c r="R14" s="466">
        <f t="shared" si="47"/>
        <v>0</v>
      </c>
      <c r="S14" s="466">
        <f t="shared" si="47"/>
        <v>0</v>
      </c>
      <c r="T14" s="466">
        <f t="shared" si="47"/>
        <v>0</v>
      </c>
      <c r="U14" s="466">
        <f t="shared" si="47"/>
        <v>0</v>
      </c>
      <c r="V14" s="466">
        <f t="shared" si="47"/>
        <v>0</v>
      </c>
      <c r="W14" s="466">
        <f t="shared" si="47"/>
        <v>0</v>
      </c>
      <c r="X14" s="466">
        <f t="shared" si="47"/>
        <v>0</v>
      </c>
      <c r="Y14" s="466">
        <f t="shared" si="47"/>
        <v>0</v>
      </c>
      <c r="Z14" s="466">
        <f t="shared" si="47"/>
        <v>0</v>
      </c>
      <c r="AA14" s="466">
        <f t="shared" si="47"/>
        <v>0</v>
      </c>
      <c r="AB14" s="466">
        <f t="shared" si="47"/>
        <v>0</v>
      </c>
      <c r="AC14" s="466">
        <f t="shared" si="47"/>
        <v>0</v>
      </c>
      <c r="AD14" s="466">
        <f t="shared" si="47"/>
        <v>0</v>
      </c>
      <c r="AE14" s="466">
        <f t="shared" si="47"/>
        <v>0</v>
      </c>
      <c r="AF14" s="466">
        <f t="shared" si="47"/>
        <v>0</v>
      </c>
      <c r="AG14" s="466">
        <f t="shared" si="47"/>
        <v>0</v>
      </c>
      <c r="AH14" s="466">
        <f t="shared" si="47"/>
        <v>0</v>
      </c>
      <c r="AI14" s="466">
        <f t="shared" si="47"/>
        <v>0</v>
      </c>
      <c r="AJ14" s="466">
        <f t="shared" si="47"/>
        <v>0</v>
      </c>
      <c r="AK14" s="466">
        <f t="shared" si="47"/>
        <v>0</v>
      </c>
      <c r="AL14" s="466">
        <f t="shared" si="47"/>
        <v>0</v>
      </c>
      <c r="AM14" s="466">
        <f t="shared" si="47"/>
        <v>0</v>
      </c>
      <c r="AN14" s="466">
        <f t="shared" si="47"/>
        <v>0</v>
      </c>
      <c r="AO14" s="466">
        <f t="shared" si="47"/>
        <v>0</v>
      </c>
      <c r="AP14" s="466">
        <f t="shared" si="47"/>
        <v>0</v>
      </c>
      <c r="AQ14" s="466">
        <f t="shared" si="47"/>
        <v>0</v>
      </c>
      <c r="AR14" s="466">
        <f t="shared" si="47"/>
        <v>0</v>
      </c>
      <c r="AS14" s="466">
        <f t="shared" si="47"/>
        <v>0</v>
      </c>
      <c r="AT14" s="466">
        <f t="shared" si="47"/>
        <v>0</v>
      </c>
      <c r="AU14" s="466">
        <f t="shared" si="47"/>
        <v>0</v>
      </c>
      <c r="AV14" s="466">
        <f t="shared" si="47"/>
        <v>0</v>
      </c>
      <c r="AW14" s="466">
        <f t="shared" si="47"/>
        <v>0</v>
      </c>
      <c r="AX14" s="466">
        <f t="shared" si="47"/>
        <v>0</v>
      </c>
      <c r="AY14" s="466">
        <f t="shared" si="47"/>
        <v>0</v>
      </c>
      <c r="AZ14" s="466">
        <f t="shared" si="47"/>
        <v>0</v>
      </c>
      <c r="BA14" s="466">
        <f t="shared" si="47"/>
        <v>0</v>
      </c>
      <c r="BB14" s="466">
        <f t="shared" si="47"/>
        <v>686.9613701</v>
      </c>
      <c r="BC14" s="466">
        <f t="shared" si="47"/>
        <v>429.1060664</v>
      </c>
      <c r="BD14" s="466">
        <f t="shared" si="47"/>
        <v>373.7861276</v>
      </c>
      <c r="BE14" s="466">
        <f t="shared" si="47"/>
        <v>194.423832</v>
      </c>
      <c r="BF14" s="466">
        <f t="shared" si="47"/>
        <v>361.002661</v>
      </c>
      <c r="BG14" s="466">
        <f t="shared" si="47"/>
        <v>201.0888465</v>
      </c>
      <c r="BH14" s="466">
        <f t="shared" si="47"/>
        <v>235.4931726</v>
      </c>
      <c r="BI14" s="466">
        <f t="shared" si="47"/>
        <v>342.4206844</v>
      </c>
      <c r="BJ14" s="466">
        <f t="shared" si="47"/>
        <v>365.4683</v>
      </c>
      <c r="BK14" s="466">
        <f t="shared" si="47"/>
        <v>277.0907979</v>
      </c>
      <c r="BL14" s="466">
        <f t="shared" si="47"/>
        <v>40.16349648</v>
      </c>
      <c r="BM14" s="466">
        <f t="shared" si="47"/>
        <v>79.76033666</v>
      </c>
      <c r="BN14" s="466">
        <f t="shared" si="47"/>
        <v>20.39446907</v>
      </c>
      <c r="BO14" s="466">
        <f t="shared" si="47"/>
        <v>84.51466919</v>
      </c>
      <c r="BP14" s="466">
        <f t="shared" si="47"/>
        <v>53.21239833</v>
      </c>
      <c r="BQ14" s="466">
        <f t="shared" si="47"/>
        <v>38.34841449</v>
      </c>
      <c r="BR14" s="466">
        <f t="shared" si="47"/>
        <v>162.4241973</v>
      </c>
      <c r="BS14" s="466">
        <f t="shared" si="47"/>
        <v>129.2931481</v>
      </c>
      <c r="BT14" s="466">
        <f t="shared" si="47"/>
        <v>125.4297109</v>
      </c>
      <c r="BU14" s="466">
        <f t="shared" si="47"/>
        <v>100.8932771</v>
      </c>
      <c r="BV14" s="466">
        <f t="shared" si="47"/>
        <v>193.2482644</v>
      </c>
      <c r="BW14" s="466">
        <f t="shared" si="47"/>
        <v>30.17616879</v>
      </c>
      <c r="BX14" s="466">
        <f t="shared" si="47"/>
        <v>27.90919975</v>
      </c>
      <c r="BY14" s="466">
        <f t="shared" si="47"/>
        <v>43.25983632</v>
      </c>
      <c r="BZ14" s="466">
        <f t="shared" si="47"/>
        <v>52.13226369</v>
      </c>
      <c r="CA14" s="466">
        <f t="shared" si="47"/>
        <v>42.33484186</v>
      </c>
      <c r="CB14" s="466">
        <f t="shared" si="47"/>
        <v>41.9896439</v>
      </c>
      <c r="CC14" s="466">
        <f t="shared" si="47"/>
        <v>28.56753337</v>
      </c>
      <c r="CD14" s="466">
        <f t="shared" si="47"/>
        <v>25.62261349</v>
      </c>
      <c r="CE14" s="466">
        <f t="shared" si="47"/>
        <v>33.94297663</v>
      </c>
      <c r="CF14" s="466">
        <f t="shared" si="47"/>
        <v>37.72187395</v>
      </c>
      <c r="CG14" s="466">
        <f t="shared" si="47"/>
        <v>0</v>
      </c>
      <c r="CH14" s="466">
        <f t="shared" si="47"/>
        <v>0</v>
      </c>
      <c r="CI14" s="466">
        <f t="shared" si="47"/>
        <v>0</v>
      </c>
      <c r="CJ14" s="466">
        <f t="shared" si="47"/>
        <v>37.72187395</v>
      </c>
      <c r="CK14" s="466">
        <f t="shared" si="47"/>
        <v>0</v>
      </c>
      <c r="CL14" s="466">
        <f t="shared" si="47"/>
        <v>0</v>
      </c>
      <c r="CM14" s="466">
        <f t="shared" si="47"/>
        <v>0</v>
      </c>
      <c r="CN14" s="466">
        <f t="shared" si="47"/>
        <v>0</v>
      </c>
      <c r="CO14" s="466">
        <f t="shared" si="47"/>
        <v>0</v>
      </c>
      <c r="CP14" s="467"/>
      <c r="CQ14" s="467"/>
      <c r="CR14" s="467"/>
      <c r="CS14" s="467"/>
      <c r="CT14" s="467"/>
      <c r="CU14" s="467"/>
      <c r="CV14" s="467"/>
      <c r="CW14" s="467"/>
      <c r="CX14" s="467"/>
      <c r="CY14" s="467"/>
    </row>
    <row r="15" ht="24.75" customHeight="1">
      <c r="A15" s="433">
        <v>2020.0</v>
      </c>
      <c r="B15" s="468" t="s">
        <v>102</v>
      </c>
      <c r="C15" s="469" t="s">
        <v>97</v>
      </c>
      <c r="D15" s="470">
        <f t="shared" ref="D15:H15" si="48">IFERROR(D6/#REF!*100-100,0)</f>
        <v>0</v>
      </c>
      <c r="E15" s="471">
        <f t="shared" si="48"/>
        <v>0</v>
      </c>
      <c r="F15" s="471">
        <f t="shared" si="48"/>
        <v>0</v>
      </c>
      <c r="G15" s="471">
        <f t="shared" si="48"/>
        <v>0</v>
      </c>
      <c r="H15" s="471">
        <f t="shared" si="48"/>
        <v>0</v>
      </c>
      <c r="I15" s="471">
        <f t="shared" ref="I15:CO15" si="49">IFERROR(I6/D6*100-100,0)</f>
        <v>15.55267295</v>
      </c>
      <c r="J15" s="471">
        <f t="shared" si="49"/>
        <v>21.21353466</v>
      </c>
      <c r="K15" s="471">
        <f t="shared" si="49"/>
        <v>44.7760334</v>
      </c>
      <c r="L15" s="471">
        <f t="shared" si="49"/>
        <v>58.10889345</v>
      </c>
      <c r="M15" s="471">
        <f t="shared" si="49"/>
        <v>34.30144225</v>
      </c>
      <c r="N15" s="471">
        <f t="shared" si="49"/>
        <v>63.66185765</v>
      </c>
      <c r="O15" s="471">
        <f t="shared" si="49"/>
        <v>19.36038828</v>
      </c>
      <c r="P15" s="471">
        <f t="shared" si="49"/>
        <v>30.68638992</v>
      </c>
      <c r="Q15" s="471">
        <f t="shared" si="49"/>
        <v>34.85295386</v>
      </c>
      <c r="R15" s="471">
        <f t="shared" si="49"/>
        <v>36.4156934</v>
      </c>
      <c r="S15" s="471">
        <f t="shared" si="49"/>
        <v>-10.79961098</v>
      </c>
      <c r="T15" s="471">
        <f t="shared" si="49"/>
        <v>35.15685858</v>
      </c>
      <c r="U15" s="471">
        <f t="shared" si="49"/>
        <v>7.996096583</v>
      </c>
      <c r="V15" s="471">
        <f t="shared" si="49"/>
        <v>1.186442672</v>
      </c>
      <c r="W15" s="471">
        <f t="shared" si="49"/>
        <v>6.768119831</v>
      </c>
      <c r="X15" s="471">
        <f t="shared" si="49"/>
        <v>-7.281615858</v>
      </c>
      <c r="Y15" s="471">
        <f t="shared" si="49"/>
        <v>-21.302081</v>
      </c>
      <c r="Z15" s="471">
        <f t="shared" si="49"/>
        <v>-19.96668813</v>
      </c>
      <c r="AA15" s="471">
        <f t="shared" si="49"/>
        <v>-20.46822082</v>
      </c>
      <c r="AB15" s="471">
        <f t="shared" si="49"/>
        <v>-17.64948454</v>
      </c>
      <c r="AC15" s="471">
        <f t="shared" si="49"/>
        <v>11.21977017</v>
      </c>
      <c r="AD15" s="471">
        <f t="shared" si="49"/>
        <v>12.20252274</v>
      </c>
      <c r="AE15" s="471">
        <f t="shared" si="49"/>
        <v>15.06529484</v>
      </c>
      <c r="AF15" s="471">
        <f t="shared" si="49"/>
        <v>0.7282624991</v>
      </c>
      <c r="AG15" s="471">
        <f t="shared" si="49"/>
        <v>9.851522064</v>
      </c>
      <c r="AH15" s="471">
        <f t="shared" si="49"/>
        <v>-24.11740691</v>
      </c>
      <c r="AI15" s="471">
        <f t="shared" si="49"/>
        <v>-2.589588644</v>
      </c>
      <c r="AJ15" s="471">
        <f t="shared" si="49"/>
        <v>-11.15906917</v>
      </c>
      <c r="AK15" s="471">
        <f t="shared" si="49"/>
        <v>14.29021714</v>
      </c>
      <c r="AL15" s="471">
        <f t="shared" si="49"/>
        <v>-6.460766636</v>
      </c>
      <c r="AM15" s="471">
        <f t="shared" si="49"/>
        <v>33.51097826</v>
      </c>
      <c r="AN15" s="471">
        <f t="shared" si="49"/>
        <v>19.28990566</v>
      </c>
      <c r="AO15" s="471">
        <f t="shared" si="49"/>
        <v>26.56237047</v>
      </c>
      <c r="AP15" s="471">
        <f t="shared" si="49"/>
        <v>19.10768831</v>
      </c>
      <c r="AQ15" s="471">
        <f t="shared" si="49"/>
        <v>23.99024415</v>
      </c>
      <c r="AR15" s="471">
        <f t="shared" si="49"/>
        <v>9.28451379</v>
      </c>
      <c r="AS15" s="471">
        <f t="shared" si="49"/>
        <v>4.089516471</v>
      </c>
      <c r="AT15" s="471">
        <f t="shared" si="49"/>
        <v>5.265165586</v>
      </c>
      <c r="AU15" s="471">
        <f t="shared" si="49"/>
        <v>6.837644393</v>
      </c>
      <c r="AV15" s="471">
        <f t="shared" si="49"/>
        <v>6.267012954</v>
      </c>
      <c r="AW15" s="471">
        <f t="shared" si="49"/>
        <v>7.8242153</v>
      </c>
      <c r="AX15" s="471">
        <f t="shared" si="49"/>
        <v>8.021671017</v>
      </c>
      <c r="AY15" s="471">
        <f t="shared" si="49"/>
        <v>10.12188228</v>
      </c>
      <c r="AZ15" s="471">
        <f t="shared" si="49"/>
        <v>4.980107079</v>
      </c>
      <c r="BA15" s="471">
        <f t="shared" si="49"/>
        <v>7.704030356</v>
      </c>
      <c r="BB15" s="471">
        <f t="shared" si="49"/>
        <v>2.587948163</v>
      </c>
      <c r="BC15" s="471">
        <f t="shared" si="49"/>
        <v>-13.00408362</v>
      </c>
      <c r="BD15" s="471">
        <f t="shared" si="49"/>
        <v>-11.49752396</v>
      </c>
      <c r="BE15" s="471">
        <f t="shared" si="49"/>
        <v>-11.96567792</v>
      </c>
      <c r="BF15" s="471">
        <f t="shared" si="49"/>
        <v>-8.816737911</v>
      </c>
      <c r="BG15" s="471">
        <f t="shared" si="49"/>
        <v>-6.776248971</v>
      </c>
      <c r="BH15" s="471">
        <f t="shared" si="49"/>
        <v>-0.4545081618</v>
      </c>
      <c r="BI15" s="471">
        <f t="shared" si="49"/>
        <v>3.932266766</v>
      </c>
      <c r="BJ15" s="471">
        <f t="shared" si="49"/>
        <v>3.998329724</v>
      </c>
      <c r="BK15" s="471">
        <f t="shared" si="49"/>
        <v>0.1868239852</v>
      </c>
      <c r="BL15" s="471">
        <f t="shared" si="49"/>
        <v>-0.140098103</v>
      </c>
      <c r="BM15" s="471">
        <f t="shared" si="49"/>
        <v>-0.1889540366</v>
      </c>
      <c r="BN15" s="471">
        <f t="shared" si="49"/>
        <v>-12.52180041</v>
      </c>
      <c r="BO15" s="471">
        <f t="shared" si="49"/>
        <v>13.66417753</v>
      </c>
      <c r="BP15" s="471">
        <f t="shared" si="49"/>
        <v>0.1727065813</v>
      </c>
      <c r="BQ15" s="471">
        <f t="shared" si="49"/>
        <v>26.13389353</v>
      </c>
      <c r="BR15" s="471">
        <f t="shared" si="49"/>
        <v>21.4131821</v>
      </c>
      <c r="BS15" s="471">
        <f t="shared" si="49"/>
        <v>25.59690797</v>
      </c>
      <c r="BT15" s="471">
        <f t="shared" si="49"/>
        <v>-3.57468805</v>
      </c>
      <c r="BU15" s="471">
        <f t="shared" si="49"/>
        <v>16.07314458</v>
      </c>
      <c r="BV15" s="471">
        <f t="shared" si="49"/>
        <v>-10.1416734</v>
      </c>
      <c r="BW15" s="471">
        <f t="shared" si="49"/>
        <v>1.552089</v>
      </c>
      <c r="BX15" s="471">
        <f t="shared" si="49"/>
        <v>8.933956966</v>
      </c>
      <c r="BY15" s="471">
        <f t="shared" si="49"/>
        <v>9.225589913</v>
      </c>
      <c r="BZ15" s="471">
        <f t="shared" si="49"/>
        <v>2.306018562</v>
      </c>
      <c r="CA15" s="471">
        <f t="shared" si="49"/>
        <v>16.01032819</v>
      </c>
      <c r="CB15" s="471">
        <f t="shared" si="49"/>
        <v>8.271561577</v>
      </c>
      <c r="CC15" s="471">
        <f t="shared" si="49"/>
        <v>2.755661853</v>
      </c>
      <c r="CD15" s="471">
        <f t="shared" si="49"/>
        <v>8.265099213</v>
      </c>
      <c r="CE15" s="471">
        <f t="shared" si="49"/>
        <v>8.535020835</v>
      </c>
      <c r="CF15" s="471">
        <f t="shared" si="49"/>
        <v>1.061748643</v>
      </c>
      <c r="CG15" s="471">
        <f t="shared" si="49"/>
        <v>-100</v>
      </c>
      <c r="CH15" s="471">
        <f t="shared" si="49"/>
        <v>-100</v>
      </c>
      <c r="CI15" s="471">
        <f t="shared" si="49"/>
        <v>-100</v>
      </c>
      <c r="CJ15" s="471">
        <f t="shared" si="49"/>
        <v>-75.71841522</v>
      </c>
      <c r="CK15" s="471">
        <f t="shared" si="49"/>
        <v>-100</v>
      </c>
      <c r="CL15" s="471">
        <f t="shared" si="49"/>
        <v>0</v>
      </c>
      <c r="CM15" s="471">
        <f t="shared" si="49"/>
        <v>0</v>
      </c>
      <c r="CN15" s="471">
        <f t="shared" si="49"/>
        <v>0</v>
      </c>
      <c r="CO15" s="471">
        <f t="shared" si="49"/>
        <v>-100</v>
      </c>
      <c r="CP15" s="440"/>
      <c r="CQ15" s="440"/>
      <c r="CR15" s="440"/>
      <c r="CS15" s="440"/>
      <c r="CT15" s="440"/>
      <c r="CU15" s="440"/>
      <c r="CV15" s="440"/>
      <c r="CW15" s="440"/>
      <c r="CX15" s="440"/>
      <c r="CY15" s="440"/>
    </row>
    <row r="16" ht="24.75" customHeight="1">
      <c r="A16" s="433">
        <v>2021.0</v>
      </c>
      <c r="B16" s="441"/>
      <c r="C16" s="472" t="s">
        <v>98</v>
      </c>
      <c r="D16" s="473">
        <f t="shared" ref="D16:H16" si="50">IFERROR(D8/#REF!*100-100,0)</f>
        <v>0</v>
      </c>
      <c r="E16" s="474">
        <f t="shared" si="50"/>
        <v>0</v>
      </c>
      <c r="F16" s="474">
        <f t="shared" si="50"/>
        <v>0</v>
      </c>
      <c r="G16" s="474">
        <f t="shared" si="50"/>
        <v>0</v>
      </c>
      <c r="H16" s="474">
        <f t="shared" si="50"/>
        <v>0</v>
      </c>
      <c r="I16" s="474">
        <f t="shared" ref="I16:CO16" si="51">IFERROR(I8/D8*100-100,0)</f>
        <v>0</v>
      </c>
      <c r="J16" s="474">
        <f t="shared" si="51"/>
        <v>0</v>
      </c>
      <c r="K16" s="474">
        <f t="shared" si="51"/>
        <v>0</v>
      </c>
      <c r="L16" s="474">
        <f t="shared" si="51"/>
        <v>0</v>
      </c>
      <c r="M16" s="474">
        <f t="shared" si="51"/>
        <v>0</v>
      </c>
      <c r="N16" s="474">
        <f t="shared" si="51"/>
        <v>0</v>
      </c>
      <c r="O16" s="474">
        <f t="shared" si="51"/>
        <v>0</v>
      </c>
      <c r="P16" s="474">
        <f t="shared" si="51"/>
        <v>0</v>
      </c>
      <c r="Q16" s="474">
        <f t="shared" si="51"/>
        <v>0</v>
      </c>
      <c r="R16" s="474">
        <f t="shared" si="51"/>
        <v>0</v>
      </c>
      <c r="S16" s="474">
        <f t="shared" si="51"/>
        <v>0</v>
      </c>
      <c r="T16" s="474">
        <f t="shared" si="51"/>
        <v>0</v>
      </c>
      <c r="U16" s="474">
        <f t="shared" si="51"/>
        <v>0</v>
      </c>
      <c r="V16" s="474">
        <f t="shared" si="51"/>
        <v>0</v>
      </c>
      <c r="W16" s="474">
        <f t="shared" si="51"/>
        <v>0</v>
      </c>
      <c r="X16" s="474">
        <f t="shared" si="51"/>
        <v>0</v>
      </c>
      <c r="Y16" s="474">
        <f t="shared" si="51"/>
        <v>0</v>
      </c>
      <c r="Z16" s="474">
        <f t="shared" si="51"/>
        <v>0</v>
      </c>
      <c r="AA16" s="474">
        <f t="shared" si="51"/>
        <v>0</v>
      </c>
      <c r="AB16" s="474">
        <f t="shared" si="51"/>
        <v>0</v>
      </c>
      <c r="AC16" s="474">
        <f t="shared" si="51"/>
        <v>0</v>
      </c>
      <c r="AD16" s="474">
        <f t="shared" si="51"/>
        <v>0</v>
      </c>
      <c r="AE16" s="474">
        <f t="shared" si="51"/>
        <v>0</v>
      </c>
      <c r="AF16" s="474">
        <f t="shared" si="51"/>
        <v>0</v>
      </c>
      <c r="AG16" s="474">
        <f t="shared" si="51"/>
        <v>0</v>
      </c>
      <c r="AH16" s="474">
        <f t="shared" si="51"/>
        <v>0</v>
      </c>
      <c r="AI16" s="474">
        <f t="shared" si="51"/>
        <v>0</v>
      </c>
      <c r="AJ16" s="474">
        <f t="shared" si="51"/>
        <v>0</v>
      </c>
      <c r="AK16" s="474">
        <f t="shared" si="51"/>
        <v>0</v>
      </c>
      <c r="AL16" s="474">
        <f t="shared" si="51"/>
        <v>0</v>
      </c>
      <c r="AM16" s="474">
        <f t="shared" si="51"/>
        <v>0</v>
      </c>
      <c r="AN16" s="474">
        <f t="shared" si="51"/>
        <v>0</v>
      </c>
      <c r="AO16" s="474">
        <f t="shared" si="51"/>
        <v>0</v>
      </c>
      <c r="AP16" s="474">
        <f t="shared" si="51"/>
        <v>0</v>
      </c>
      <c r="AQ16" s="474">
        <f t="shared" si="51"/>
        <v>0</v>
      </c>
      <c r="AR16" s="474">
        <f t="shared" si="51"/>
        <v>0</v>
      </c>
      <c r="AS16" s="474">
        <f t="shared" si="51"/>
        <v>0</v>
      </c>
      <c r="AT16" s="474">
        <f t="shared" si="51"/>
        <v>0</v>
      </c>
      <c r="AU16" s="474">
        <f t="shared" si="51"/>
        <v>0</v>
      </c>
      <c r="AV16" s="474">
        <f t="shared" si="51"/>
        <v>0</v>
      </c>
      <c r="AW16" s="474">
        <f t="shared" si="51"/>
        <v>0</v>
      </c>
      <c r="AX16" s="474">
        <f t="shared" si="51"/>
        <v>0</v>
      </c>
      <c r="AY16" s="474">
        <f t="shared" si="51"/>
        <v>0</v>
      </c>
      <c r="AZ16" s="474">
        <f t="shared" si="51"/>
        <v>0</v>
      </c>
      <c r="BA16" s="474">
        <f t="shared" si="51"/>
        <v>0</v>
      </c>
      <c r="BB16" s="474">
        <f t="shared" si="51"/>
        <v>0</v>
      </c>
      <c r="BC16" s="474">
        <f t="shared" si="51"/>
        <v>0</v>
      </c>
      <c r="BD16" s="474">
        <f t="shared" si="51"/>
        <v>0</v>
      </c>
      <c r="BE16" s="474">
        <f t="shared" si="51"/>
        <v>0</v>
      </c>
      <c r="BF16" s="474">
        <f t="shared" si="51"/>
        <v>0</v>
      </c>
      <c r="BG16" s="474">
        <f t="shared" si="51"/>
        <v>143.6606061</v>
      </c>
      <c r="BH16" s="474">
        <f t="shared" si="51"/>
        <v>56.99313107</v>
      </c>
      <c r="BI16" s="474">
        <f t="shared" si="51"/>
        <v>11.30055157</v>
      </c>
      <c r="BJ16" s="474">
        <f t="shared" si="51"/>
        <v>-34.2176755</v>
      </c>
      <c r="BK16" s="474">
        <f t="shared" si="51"/>
        <v>22.48082612</v>
      </c>
      <c r="BL16" s="474">
        <f t="shared" si="51"/>
        <v>114.5116484</v>
      </c>
      <c r="BM16" s="474">
        <f t="shared" si="51"/>
        <v>86.2809399</v>
      </c>
      <c r="BN16" s="474">
        <f t="shared" si="51"/>
        <v>221.4613199</v>
      </c>
      <c r="BO16" s="474">
        <f t="shared" si="51"/>
        <v>186.7363973</v>
      </c>
      <c r="BP16" s="474">
        <f t="shared" si="51"/>
        <v>146.5479704</v>
      </c>
      <c r="BQ16" s="474">
        <f t="shared" si="51"/>
        <v>27.78872535</v>
      </c>
      <c r="BR16" s="474">
        <f t="shared" si="51"/>
        <v>-16.83208059</v>
      </c>
      <c r="BS16" s="474">
        <f t="shared" si="51"/>
        <v>-34.05309675</v>
      </c>
      <c r="BT16" s="474">
        <f t="shared" si="51"/>
        <v>-21.07568935</v>
      </c>
      <c r="BU16" s="474">
        <f t="shared" si="51"/>
        <v>-11.47615727</v>
      </c>
      <c r="BV16" s="474">
        <f t="shared" si="51"/>
        <v>-57.6067158</v>
      </c>
      <c r="BW16" s="474">
        <f t="shared" si="51"/>
        <v>104.7204622</v>
      </c>
      <c r="BX16" s="474">
        <f t="shared" si="51"/>
        <v>95.27766551</v>
      </c>
      <c r="BY16" s="474">
        <f t="shared" si="51"/>
        <v>71.87436334</v>
      </c>
      <c r="BZ16" s="474">
        <f t="shared" si="51"/>
        <v>35.09686132</v>
      </c>
      <c r="CA16" s="474">
        <f t="shared" si="51"/>
        <v>139.0126476</v>
      </c>
      <c r="CB16" s="474">
        <f t="shared" si="51"/>
        <v>-0.7365841109</v>
      </c>
      <c r="CC16" s="474">
        <f t="shared" si="51"/>
        <v>2.229498638</v>
      </c>
      <c r="CD16" s="474">
        <f t="shared" si="51"/>
        <v>23.46535358</v>
      </c>
      <c r="CE16" s="474">
        <f t="shared" si="51"/>
        <v>23.2739396</v>
      </c>
      <c r="CF16" s="474">
        <f t="shared" si="51"/>
        <v>4.446792647</v>
      </c>
      <c r="CG16" s="474">
        <f t="shared" si="51"/>
        <v>-100</v>
      </c>
      <c r="CH16" s="474">
        <f t="shared" si="51"/>
        <v>-100</v>
      </c>
      <c r="CI16" s="474">
        <f t="shared" si="51"/>
        <v>-100</v>
      </c>
      <c r="CJ16" s="474">
        <f t="shared" si="51"/>
        <v>-76.38466825</v>
      </c>
      <c r="CK16" s="474">
        <f t="shared" si="51"/>
        <v>-100</v>
      </c>
      <c r="CL16" s="474">
        <f t="shared" si="51"/>
        <v>0</v>
      </c>
      <c r="CM16" s="474">
        <f t="shared" si="51"/>
        <v>0</v>
      </c>
      <c r="CN16" s="474">
        <f t="shared" si="51"/>
        <v>0</v>
      </c>
      <c r="CO16" s="474">
        <f t="shared" si="51"/>
        <v>-100</v>
      </c>
    </row>
    <row r="17" ht="24.75" customHeight="1">
      <c r="A17" s="433">
        <v>2022.0</v>
      </c>
      <c r="B17" s="475" t="s">
        <v>103</v>
      </c>
      <c r="C17" s="476" t="s">
        <v>97</v>
      </c>
      <c r="D17" s="477">
        <f>+IFERROR(D6/#REF!*100-100,0)</f>
        <v>0</v>
      </c>
      <c r="E17" s="478">
        <f t="shared" ref="E17:G17" si="52">+IFERROR(E6/D6*100-100,0)</f>
        <v>1.682546599</v>
      </c>
      <c r="F17" s="478">
        <f t="shared" si="52"/>
        <v>-2.637929684</v>
      </c>
      <c r="G17" s="478">
        <f t="shared" si="52"/>
        <v>-7.986677741</v>
      </c>
      <c r="H17" s="478"/>
      <c r="I17" s="478">
        <f>+IFERROR(I6/G6*100-100,0)</f>
        <v>26.85075885</v>
      </c>
      <c r="J17" s="478">
        <f t="shared" ref="J17:L17" si="53">+IFERROR(J6/I6*100-100,0)</f>
        <v>6.663918472</v>
      </c>
      <c r="K17" s="478">
        <f t="shared" si="53"/>
        <v>16.2881223</v>
      </c>
      <c r="L17" s="478">
        <f t="shared" si="53"/>
        <v>0.4871056621</v>
      </c>
      <c r="M17" s="478"/>
      <c r="N17" s="478">
        <f>+IFERROR(N6/L6*100-100,0)</f>
        <v>31.3059018</v>
      </c>
      <c r="O17" s="478">
        <f t="shared" ref="O17:Q17" si="54">+IFERROR(O6/N6*100-100,0)</f>
        <v>-22.20883408</v>
      </c>
      <c r="P17" s="478">
        <f t="shared" si="54"/>
        <v>27.32259935</v>
      </c>
      <c r="Q17" s="478">
        <f t="shared" si="54"/>
        <v>3.690851298</v>
      </c>
      <c r="R17" s="478"/>
      <c r="S17" s="478">
        <f>+IFERROR(S6/Q6*100-100,0)</f>
        <v>-13.14585861</v>
      </c>
      <c r="T17" s="478">
        <f t="shared" ref="T17:V17" si="55">+IFERROR(T6/S6*100-100,0)</f>
        <v>17.86954885</v>
      </c>
      <c r="U17" s="478">
        <f t="shared" si="55"/>
        <v>1.736189199</v>
      </c>
      <c r="V17" s="478">
        <f t="shared" si="55"/>
        <v>-2.847336965</v>
      </c>
      <c r="W17" s="478"/>
      <c r="X17" s="478">
        <f>+IFERROR(X6/V6*100-100,0)</f>
        <v>-20.41448011</v>
      </c>
      <c r="Y17" s="478">
        <f t="shared" ref="Y17:AA17" si="56">+IFERROR(Y6/X6*100-100,0)</f>
        <v>0.04583550492</v>
      </c>
      <c r="Z17" s="478">
        <f t="shared" si="56"/>
        <v>3.462509072</v>
      </c>
      <c r="AA17" s="478">
        <f t="shared" si="56"/>
        <v>-3.45614891</v>
      </c>
      <c r="AB17" s="478"/>
      <c r="AC17" s="478">
        <f>+IFERROR(AC6/AA6*100-100,0)</f>
        <v>11.29492289</v>
      </c>
      <c r="AD17" s="478">
        <f t="shared" ref="AD17:AF17" si="57">+IFERROR(AD6/AC6*100-100,0)</f>
        <v>0.9298537161</v>
      </c>
      <c r="AE17" s="478">
        <f t="shared" si="57"/>
        <v>6.10228558</v>
      </c>
      <c r="AF17" s="478">
        <f t="shared" si="57"/>
        <v>-15.485426</v>
      </c>
      <c r="AG17" s="478"/>
      <c r="AH17" s="478">
        <f>+IFERROR(AH6/AF6*100-100,0)</f>
        <v>-16.15712277</v>
      </c>
      <c r="AI17" s="478">
        <f t="shared" ref="AI17:AK17" si="58">+IFERROR(AI6/AH6*100-100,0)</f>
        <v>29.5635556</v>
      </c>
      <c r="AJ17" s="478">
        <f t="shared" si="58"/>
        <v>-3.231844699</v>
      </c>
      <c r="AK17" s="478">
        <f t="shared" si="58"/>
        <v>8.724536352</v>
      </c>
      <c r="AL17" s="478"/>
      <c r="AM17" s="478">
        <f>+IFERROR(AM6/AK6*100-100,0)</f>
        <v>-2.056844059</v>
      </c>
      <c r="AN17" s="478">
        <f t="shared" ref="AN17:AP17" si="59">+IFERROR(AN6/AM6*100-100,0)</f>
        <v>15.76294718</v>
      </c>
      <c r="AO17" s="478">
        <f t="shared" si="59"/>
        <v>2.667589959</v>
      </c>
      <c r="AP17" s="478">
        <f t="shared" si="59"/>
        <v>2.320524964</v>
      </c>
      <c r="AQ17" s="478"/>
      <c r="AR17" s="478">
        <f>+IFERROR(AR6/AP6*100-100,0)</f>
        <v>-10.13451501</v>
      </c>
      <c r="AS17" s="478">
        <f t="shared" ref="AS17:AU17" si="60">+IFERROR(AS6/AR6*100-100,0)</f>
        <v>10.25998817</v>
      </c>
      <c r="AT17" s="478">
        <f t="shared" si="60"/>
        <v>3.827178988</v>
      </c>
      <c r="AU17" s="478">
        <f t="shared" si="60"/>
        <v>3.849015954</v>
      </c>
      <c r="AV17" s="478"/>
      <c r="AW17" s="478">
        <f>+IFERROR(AW6/AU6*100-100,0)</f>
        <v>-9.304670121</v>
      </c>
      <c r="AX17" s="478">
        <f t="shared" ref="AX17:AZ17" si="61">+IFERROR(AX6/AW6*100-100,0)</f>
        <v>10.46190445</v>
      </c>
      <c r="AY17" s="478">
        <f t="shared" si="61"/>
        <v>5.845838838</v>
      </c>
      <c r="AZ17" s="478">
        <f t="shared" si="61"/>
        <v>-0.9998686034</v>
      </c>
      <c r="BA17" s="478"/>
      <c r="BB17" s="478">
        <f>+IFERROR(BB6/AZ6*100-100,0)</f>
        <v>-11.37132492</v>
      </c>
      <c r="BC17" s="478">
        <f t="shared" ref="BC17:BE17" si="62">+IFERROR(BC6/BB6*100-100,0)</f>
        <v>-6.32686612</v>
      </c>
      <c r="BD17" s="478">
        <f t="shared" si="62"/>
        <v>7.678833745</v>
      </c>
      <c r="BE17" s="478">
        <f t="shared" si="62"/>
        <v>-1.523552303</v>
      </c>
      <c r="BF17" s="478"/>
      <c r="BG17" s="478">
        <f>+IFERROR(BG6/BE6*100-100,0)</f>
        <v>-6.146860171</v>
      </c>
      <c r="BH17" s="478">
        <f t="shared" ref="BH17:BJ17" si="63">+IFERROR(BH6/BG6*100-100,0)</f>
        <v>0.02534848882</v>
      </c>
      <c r="BI17" s="478">
        <f t="shared" si="63"/>
        <v>12.42402913</v>
      </c>
      <c r="BJ17" s="478">
        <f t="shared" si="63"/>
        <v>-1.460957253</v>
      </c>
      <c r="BK17" s="478"/>
      <c r="BL17" s="478">
        <f>+IFERROR(BL6/BJ6*100-100,0)</f>
        <v>-9.881578282</v>
      </c>
      <c r="BM17" s="478">
        <f t="shared" ref="BM17:BO17" si="64">+IFERROR(BM6/BL6*100-100,0)</f>
        <v>-0.0235883886</v>
      </c>
      <c r="BN17" s="478">
        <f t="shared" si="64"/>
        <v>-1.467301909</v>
      </c>
      <c r="BO17" s="478">
        <f t="shared" si="64"/>
        <v>28.03600556</v>
      </c>
      <c r="BP17" s="478"/>
      <c r="BQ17" s="478">
        <f>+IFERROR(BQ6/BO6*100-100,0)</f>
        <v>0.005011749705</v>
      </c>
      <c r="BR17" s="478">
        <f t="shared" ref="BR17:BT17" si="65">+IFERROR(BR6/BQ6*100-100,0)</f>
        <v>-3.76532485</v>
      </c>
      <c r="BS17" s="478">
        <f t="shared" si="65"/>
        <v>1.927994966</v>
      </c>
      <c r="BT17" s="478">
        <f t="shared" si="65"/>
        <v>-1.702104161</v>
      </c>
      <c r="BU17" s="478"/>
      <c r="BV17" s="478">
        <f>+IFERROR(BV6/BT6*100-100,0)</f>
        <v>-6.805766804</v>
      </c>
      <c r="BW17" s="478">
        <f t="shared" ref="BW17:BY17" si="66">+IFERROR(BW6/BV6*100-100,0)</f>
        <v>8.758227145</v>
      </c>
      <c r="BX17" s="478">
        <f t="shared" si="66"/>
        <v>9.33718771</v>
      </c>
      <c r="BY17" s="478">
        <f t="shared" si="66"/>
        <v>-1.438945585</v>
      </c>
      <c r="BZ17" s="478"/>
      <c r="CA17" s="478">
        <f>+IFERROR(CA6/BY6*100-100,0)</f>
        <v>-1.016844248</v>
      </c>
      <c r="CB17" s="478">
        <f t="shared" ref="CB17:CD17" si="67">+IFERROR(CB6/CA6*100-100,0)</f>
        <v>1.50323054</v>
      </c>
      <c r="CC17" s="478">
        <f t="shared" si="67"/>
        <v>3.766999613</v>
      </c>
      <c r="CD17" s="478">
        <f t="shared" si="67"/>
        <v>3.845590037</v>
      </c>
      <c r="CE17" s="478"/>
      <c r="CF17" s="478">
        <f>+IFERROR(CF6/CD6*100-100,0)</f>
        <v>-7.602626523</v>
      </c>
      <c r="CG17" s="478">
        <f t="shared" ref="CG17:CI17" si="68">+IFERROR(CG6/CF6*100-100,0)</f>
        <v>-100</v>
      </c>
      <c r="CH17" s="478">
        <f t="shared" si="68"/>
        <v>0</v>
      </c>
      <c r="CI17" s="478">
        <f t="shared" si="68"/>
        <v>0</v>
      </c>
      <c r="CJ17" s="478"/>
      <c r="CK17" s="478">
        <f>+IFERROR(CK6/CI6*100-100,0)</f>
        <v>0</v>
      </c>
      <c r="CL17" s="478">
        <f t="shared" ref="CL17:CN17" si="69">+IFERROR(CL6/CK6*100-100,0)</f>
        <v>0</v>
      </c>
      <c r="CM17" s="478">
        <f t="shared" si="69"/>
        <v>0</v>
      </c>
      <c r="CN17" s="478">
        <f t="shared" si="69"/>
        <v>0</v>
      </c>
      <c r="CO17" s="478"/>
      <c r="CP17" s="440"/>
      <c r="CQ17" s="440"/>
      <c r="CR17" s="440"/>
      <c r="CS17" s="440"/>
      <c r="CT17" s="440"/>
      <c r="CU17" s="440"/>
      <c r="CV17" s="440"/>
      <c r="CW17" s="440"/>
      <c r="CX17" s="440"/>
      <c r="CY17" s="440"/>
    </row>
    <row r="18" ht="24.75" customHeight="1">
      <c r="A18" s="445">
        <v>2023.0</v>
      </c>
      <c r="B18" s="441"/>
      <c r="C18" s="479" t="s">
        <v>98</v>
      </c>
      <c r="D18" s="480">
        <f>+IFERROR(D8/#REF!*100-100,0)</f>
        <v>0</v>
      </c>
      <c r="E18" s="481">
        <f t="shared" ref="E18:G18" si="70">+IFERROR(E8/D8*100-100,0)</f>
        <v>0</v>
      </c>
      <c r="F18" s="481">
        <f t="shared" si="70"/>
        <v>0</v>
      </c>
      <c r="G18" s="481">
        <f t="shared" si="70"/>
        <v>0</v>
      </c>
      <c r="H18" s="481"/>
      <c r="I18" s="481">
        <f>+IFERROR(I8/G8*100-100,0)</f>
        <v>0</v>
      </c>
      <c r="J18" s="481">
        <f t="shared" ref="J18:L18" si="71">+IFERROR(J8/I8*100-100,0)</f>
        <v>0</v>
      </c>
      <c r="K18" s="481">
        <f t="shared" si="71"/>
        <v>0</v>
      </c>
      <c r="L18" s="481">
        <f t="shared" si="71"/>
        <v>0</v>
      </c>
      <c r="M18" s="481"/>
      <c r="N18" s="481">
        <f>+IFERROR(N8/L8*100-100,0)</f>
        <v>0</v>
      </c>
      <c r="O18" s="481">
        <f t="shared" ref="O18:Q18" si="72">+IFERROR(O8/N8*100-100,0)</f>
        <v>0</v>
      </c>
      <c r="P18" s="481">
        <f t="shared" si="72"/>
        <v>0</v>
      </c>
      <c r="Q18" s="481">
        <f t="shared" si="72"/>
        <v>0</v>
      </c>
      <c r="R18" s="481"/>
      <c r="S18" s="481">
        <f>+IFERROR(S8/Q8*100-100,0)</f>
        <v>0</v>
      </c>
      <c r="T18" s="481">
        <f t="shared" ref="T18:V18" si="73">+IFERROR(T8/S8*100-100,0)</f>
        <v>0</v>
      </c>
      <c r="U18" s="481">
        <f t="shared" si="73"/>
        <v>0</v>
      </c>
      <c r="V18" s="481">
        <f t="shared" si="73"/>
        <v>0</v>
      </c>
      <c r="W18" s="481"/>
      <c r="X18" s="481">
        <f>+IFERROR(X8/V8*100-100,0)</f>
        <v>0</v>
      </c>
      <c r="Y18" s="481">
        <f t="shared" ref="Y18:AA18" si="74">+IFERROR(Y8/X8*100-100,0)</f>
        <v>0</v>
      </c>
      <c r="Z18" s="481">
        <f t="shared" si="74"/>
        <v>0</v>
      </c>
      <c r="AA18" s="481">
        <f t="shared" si="74"/>
        <v>0</v>
      </c>
      <c r="AB18" s="481"/>
      <c r="AC18" s="481">
        <f>+IFERROR(AC8/AA8*100-100,0)</f>
        <v>0</v>
      </c>
      <c r="AD18" s="481">
        <f t="shared" ref="AD18:AF18" si="75">+IFERROR(AD8/AC8*100-100,0)</f>
        <v>0</v>
      </c>
      <c r="AE18" s="481">
        <f t="shared" si="75"/>
        <v>0</v>
      </c>
      <c r="AF18" s="481">
        <f t="shared" si="75"/>
        <v>0</v>
      </c>
      <c r="AG18" s="481"/>
      <c r="AH18" s="481">
        <f>+IFERROR(AH8/AF8*100-100,0)</f>
        <v>0</v>
      </c>
      <c r="AI18" s="481">
        <f t="shared" ref="AI18:AK18" si="76">+IFERROR(AI8/AH8*100-100,0)</f>
        <v>0</v>
      </c>
      <c r="AJ18" s="481">
        <f t="shared" si="76"/>
        <v>0</v>
      </c>
      <c r="AK18" s="481">
        <f t="shared" si="76"/>
        <v>0</v>
      </c>
      <c r="AL18" s="481"/>
      <c r="AM18" s="481">
        <f>+IFERROR(AM8/AK8*100-100,0)</f>
        <v>0</v>
      </c>
      <c r="AN18" s="481">
        <f t="shared" ref="AN18:AP18" si="77">+IFERROR(AN8/AM8*100-100,0)</f>
        <v>0</v>
      </c>
      <c r="AO18" s="481">
        <f t="shared" si="77"/>
        <v>0</v>
      </c>
      <c r="AP18" s="481">
        <f t="shared" si="77"/>
        <v>0</v>
      </c>
      <c r="AQ18" s="481"/>
      <c r="AR18" s="481">
        <f>+IFERROR(AR8/AP8*100-100,0)</f>
        <v>0</v>
      </c>
      <c r="AS18" s="481">
        <f t="shared" ref="AS18:AU18" si="78">+IFERROR(AS8/AR8*100-100,0)</f>
        <v>0</v>
      </c>
      <c r="AT18" s="481">
        <f t="shared" si="78"/>
        <v>0</v>
      </c>
      <c r="AU18" s="481">
        <f t="shared" si="78"/>
        <v>0</v>
      </c>
      <c r="AV18" s="481"/>
      <c r="AW18" s="481">
        <f>+IFERROR(AW8/AU8*100-100,0)</f>
        <v>0</v>
      </c>
      <c r="AX18" s="481">
        <f t="shared" ref="AX18:AZ18" si="79">+IFERROR(AX8/AW8*100-100,0)</f>
        <v>0</v>
      </c>
      <c r="AY18" s="481">
        <f t="shared" si="79"/>
        <v>0</v>
      </c>
      <c r="AZ18" s="481">
        <f t="shared" si="79"/>
        <v>0</v>
      </c>
      <c r="BA18" s="481"/>
      <c r="BB18" s="481">
        <f>+IFERROR(BB8/AZ8*100-100,0)</f>
        <v>0</v>
      </c>
      <c r="BC18" s="481">
        <f t="shared" ref="BC18:BE18" si="80">+IFERROR(BC8/BB8*100-100,0)</f>
        <v>39.32393231</v>
      </c>
      <c r="BD18" s="481">
        <f t="shared" si="80"/>
        <v>20.25156677</v>
      </c>
      <c r="BE18" s="481">
        <f t="shared" si="80"/>
        <v>58.46806457</v>
      </c>
      <c r="BF18" s="481"/>
      <c r="BG18" s="481">
        <f>+IFERROR(BG8/BE8*100-100,0)</f>
        <v>-8.224428143</v>
      </c>
      <c r="BH18" s="481">
        <f t="shared" ref="BH18:BJ18" si="81">+IFERROR(BH8/BG8*100-100,0)</f>
        <v>-10.23210228</v>
      </c>
      <c r="BI18" s="481">
        <f t="shared" si="81"/>
        <v>-14.74744393</v>
      </c>
      <c r="BJ18" s="481">
        <f t="shared" si="81"/>
        <v>-6.340107944</v>
      </c>
      <c r="BK18" s="481"/>
      <c r="BL18" s="481">
        <f>+IFERROR(BL8/BJ8*100-100,0)</f>
        <v>199.2738453</v>
      </c>
      <c r="BM18" s="481">
        <f t="shared" ref="BM18:BO18" si="82">+IFERROR(BM8/BL8*100-100,0)</f>
        <v>-22.04596588</v>
      </c>
      <c r="BN18" s="481">
        <f t="shared" si="82"/>
        <v>47.11864355</v>
      </c>
      <c r="BO18" s="481">
        <f t="shared" si="82"/>
        <v>-16.45744493</v>
      </c>
      <c r="BP18" s="481"/>
      <c r="BQ18" s="481">
        <f>+IFERROR(BQ8/BO8*100-100,0)</f>
        <v>33.37624235</v>
      </c>
      <c r="BR18" s="481">
        <f t="shared" ref="BR18:BT18" si="83">+IFERROR(BR8/BQ8*100-100,0)</f>
        <v>-49.26567418</v>
      </c>
      <c r="BS18" s="481">
        <f t="shared" si="83"/>
        <v>16.65578533</v>
      </c>
      <c r="BT18" s="481">
        <f t="shared" si="83"/>
        <v>-0.01746490662</v>
      </c>
      <c r="BU18" s="481"/>
      <c r="BV18" s="481">
        <f>+IFERROR(BV8/BT8*100-100,0)</f>
        <v>-28.35848802</v>
      </c>
      <c r="BW18" s="481">
        <f t="shared" ref="BW18:BY18" si="84">+IFERROR(BW8/BV8*100-100,0)</f>
        <v>145</v>
      </c>
      <c r="BX18" s="481">
        <f t="shared" si="84"/>
        <v>11.275</v>
      </c>
      <c r="BY18" s="481">
        <f t="shared" si="84"/>
        <v>-12</v>
      </c>
      <c r="BZ18" s="481"/>
      <c r="CA18" s="481">
        <f>+IFERROR(CA8/BY8*100-100,0)</f>
        <v>-0.3735803068</v>
      </c>
      <c r="CB18" s="481">
        <f t="shared" ref="CB18:CD18" si="85">+IFERROR(CB8/CA8*100-100,0)</f>
        <v>1.75</v>
      </c>
      <c r="CC18" s="481">
        <f t="shared" si="85"/>
        <v>14.6</v>
      </c>
      <c r="CD18" s="481">
        <f t="shared" si="85"/>
        <v>6.28</v>
      </c>
      <c r="CE18" s="481"/>
      <c r="CF18" s="481">
        <f>+IFERROR(CF8/CD8*100-100,0)</f>
        <v>-15.72</v>
      </c>
      <c r="CG18" s="481">
        <f t="shared" ref="CG18:CI18" si="86">+IFERROR(CG8/CF8*100-100,0)</f>
        <v>-100</v>
      </c>
      <c r="CH18" s="481">
        <f t="shared" si="86"/>
        <v>0</v>
      </c>
      <c r="CI18" s="481">
        <f t="shared" si="86"/>
        <v>0</v>
      </c>
      <c r="CJ18" s="481"/>
      <c r="CK18" s="481">
        <f>+IFERROR(CK8/CI8*100-100,0)</f>
        <v>0</v>
      </c>
      <c r="CL18" s="481">
        <f t="shared" ref="CL18:CN18" si="87">+IFERROR(CL8/CK8*100-100,0)</f>
        <v>0</v>
      </c>
      <c r="CM18" s="481">
        <f t="shared" si="87"/>
        <v>0</v>
      </c>
      <c r="CN18" s="481">
        <f t="shared" si="87"/>
        <v>0</v>
      </c>
      <c r="CO18" s="481"/>
    </row>
    <row r="19" ht="24.75" customHeight="1">
      <c r="A19" s="450">
        <v>2024.0</v>
      </c>
      <c r="B19" s="468" t="s">
        <v>104</v>
      </c>
      <c r="C19" s="469" t="s">
        <v>97</v>
      </c>
      <c r="D19" s="470"/>
      <c r="E19" s="471"/>
      <c r="F19" s="471"/>
      <c r="G19" s="471"/>
      <c r="H19" s="471"/>
      <c r="I19" s="471">
        <f>IFERROR(SUM(I6)/SUM(D6)*100-100,0)</f>
        <v>15.55267295</v>
      </c>
      <c r="J19" s="471">
        <f>IFERROR(SUM(I6:J6)/SUM(D6:E6)*100-100,0)</f>
        <v>18.40671681</v>
      </c>
      <c r="K19" s="471">
        <f>IFERROR(SUM(I6:K6)/SUM(D6:F6)*100-100,0)</f>
        <v>27.08885179</v>
      </c>
      <c r="L19" s="471">
        <f>IFERROR(SUM(I6:L6)/SUM(D6:G6)*100-100,0)</f>
        <v>34.30144225</v>
      </c>
      <c r="M19" s="471"/>
      <c r="N19" s="471">
        <f>IFERROR(SUM(N6)/SUM(I6)*100-100,0)</f>
        <v>63.66185765</v>
      </c>
      <c r="O19" s="471">
        <f>IFERROR(SUM(N6:O6)/SUM(I6:J6)*100-100,0)</f>
        <v>40.79686819</v>
      </c>
      <c r="P19" s="471">
        <f>IFERROR(SUM(N6:P6)/SUM(I6:K6)*100-100,0)</f>
        <v>37.00469139</v>
      </c>
      <c r="Q19" s="471">
        <f>IFERROR(SUM(N6:Q6)/SUM(I6:L6)*100-100,0)</f>
        <v>36.4156934</v>
      </c>
      <c r="R19" s="471"/>
      <c r="S19" s="471">
        <f>IFERROR(SUM(S6)/SUM(N6)*100-100,0)</f>
        <v>-10.79961098</v>
      </c>
      <c r="T19" s="471">
        <f>IFERROR(SUM(S6:T6)/SUM(N6:O6)*100-100,0)</f>
        <v>9.308291066</v>
      </c>
      <c r="U19" s="471">
        <f>IFERROR(SUM(S6:U6)/SUM(N6:P6)*100-100,0)</f>
        <v>8.83881873</v>
      </c>
      <c r="V19" s="471">
        <f>IFERROR(SUM(S6:V6)/SUM(N6:Q6)*100-100,0)</f>
        <v>6.768119831</v>
      </c>
      <c r="W19" s="471"/>
      <c r="X19" s="471">
        <f>IFERROR(SUM(X6)/SUM(S6)*100-100,0)</f>
        <v>-7.281615858</v>
      </c>
      <c r="Y19" s="471">
        <f>IFERROR(SUM(X6:Y6)/SUM(S6:T6)*100-100,0)</f>
        <v>-14.86682412</v>
      </c>
      <c r="Z19" s="471">
        <f>IFERROR(SUM(X6:Z6)/SUM(S6:U6)*100-100,0)</f>
        <v>-16.67730788</v>
      </c>
      <c r="AA19" s="471">
        <f>IFERROR(SUM(X6:AA6)/SUM(S6:V6)*100-100,0)</f>
        <v>-17.64948454</v>
      </c>
      <c r="AB19" s="471"/>
      <c r="AC19" s="471">
        <f>IFERROR(SUM(AC6)/SUM(X6)*100-100,0)</f>
        <v>11.21977017</v>
      </c>
      <c r="AD19" s="471">
        <f>IFERROR(SUM(AC6:AD6)/SUM(X6:Y6)*100-100,0)</f>
        <v>11.71125904</v>
      </c>
      <c r="AE19" s="471">
        <f>IFERROR(SUM(AC6:AE6)/SUM(X6:Z6)*100-100,0)</f>
        <v>12.85495669</v>
      </c>
      <c r="AF19" s="471">
        <f>IFERROR(SUM(AC6:AF6)/SUM(X6:AA6)*100-100,0)</f>
        <v>9.851522064</v>
      </c>
      <c r="AG19" s="471"/>
      <c r="AH19" s="471">
        <f>IFERROR(SUM(AH6)/SUM(AC6)*100-100,0)</f>
        <v>-24.11740691</v>
      </c>
      <c r="AI19" s="471">
        <f>IFERROR(SUM(AH6:AI6)/SUM(AC6:AD6)*100-100,0)</f>
        <v>-13.30368507</v>
      </c>
      <c r="AJ19" s="471">
        <f>IFERROR(SUM(AH6:AJ6)/SUM(AC6:AE6)*100-100,0)</f>
        <v>-12.5580664</v>
      </c>
      <c r="AK19" s="471">
        <f>IFERROR(SUM(AH6:AK6)/SUM(AC6:AF6)*100-100,0)</f>
        <v>-6.460766636</v>
      </c>
      <c r="AL19" s="471"/>
      <c r="AM19" s="471">
        <f>IFERROR(SUM(AM6)/SUM(AH6)*100-100,0)</f>
        <v>33.51097826</v>
      </c>
      <c r="AN19" s="471">
        <f>IFERROR(SUM(AM6:AN6)/SUM(AH6:AI6)*100-100,0)</f>
        <v>25.48473592</v>
      </c>
      <c r="AO19" s="471">
        <f>IFERROR(SUM(AM6:AO6)/SUM(AH6:AJ6)*100-100,0)</f>
        <v>25.86539142</v>
      </c>
      <c r="AP19" s="471">
        <f>IFERROR(SUM(AM6:AP6)/SUM(AH6:AK6)*100-100,0)</f>
        <v>23.99024415</v>
      </c>
      <c r="AQ19" s="471"/>
      <c r="AR19" s="471">
        <f>IFERROR(SUM(AR6)/SUM(AM6)*100-100,0)</f>
        <v>9.28451379</v>
      </c>
      <c r="AS19" s="471">
        <f>IFERROR(SUM(AR6:AS6)/SUM(AM6:AN6)*100-100,0)</f>
        <v>6.49725023</v>
      </c>
      <c r="AT19" s="471">
        <f>IFERROR(SUM(AR6:AT6)/SUM(AM6:AO6)*100-100,0)</f>
        <v>6.059627963</v>
      </c>
      <c r="AU19" s="471">
        <f>IFERROR(SUM(AR6:AU6)/SUM(AM6:AP6)*100-100,0)</f>
        <v>6.267012954</v>
      </c>
      <c r="AV19" s="471"/>
      <c r="AW19" s="471">
        <f>IFERROR(SUM(AW6)/SUM(AR6)*100-100,0)</f>
        <v>7.8242153</v>
      </c>
      <c r="AX19" s="471">
        <f>IFERROR(SUM(AW6:AX6)/SUM(AR6:AS6)*100-100,0)</f>
        <v>7.92776075</v>
      </c>
      <c r="AY19" s="471">
        <f>IFERROR(SUM(AW6:AY6)/SUM(AR6:AT6)*100-100,0)</f>
        <v>8.701249717</v>
      </c>
      <c r="AZ19" s="471">
        <f>IFERROR(SUM(AW6:AZ6)/SUM(AR6:AU6)*100-100,0)</f>
        <v>7.704030356</v>
      </c>
      <c r="BA19" s="471"/>
      <c r="BB19" s="471">
        <f>IFERROR(SUM(BB6)/SUM(AW6)*100-100,0)</f>
        <v>2.587948163</v>
      </c>
      <c r="BC19" s="471">
        <f>IFERROR(SUM(BB6:BC6)/SUM(AW6:AX6)*100-100,0)</f>
        <v>-5.595601871</v>
      </c>
      <c r="BD19" s="471">
        <f>IFERROR(SUM(BB6:BD6)/SUM(AW6:AY6)*100-100,0)</f>
        <v>-7.7033854</v>
      </c>
      <c r="BE19" s="471">
        <f>IFERROR(SUM(BB6:BE6)/SUM(AW6:AZ6)*100-100,0)</f>
        <v>-8.816737911</v>
      </c>
      <c r="BF19" s="471"/>
      <c r="BG19" s="471">
        <f>IFERROR(SUM(BG6)/SUM(BB6)*100-100,0)</f>
        <v>-6.776248971</v>
      </c>
      <c r="BH19" s="471">
        <f>IFERROR(SUM(BG6:BH6)/SUM(BB6:BC6)*100-100,0)</f>
        <v>-3.718637101</v>
      </c>
      <c r="BI19" s="471">
        <f>IFERROR(SUM(BG6:BI6)/SUM(BB6:BD6)*100-100,0)</f>
        <v>-1.098554825</v>
      </c>
      <c r="BJ19" s="471">
        <f>IFERROR(SUM(BG6:BJ6)/SUM(BB6:BE6)*100-100,0)</f>
        <v>0.1868239852</v>
      </c>
      <c r="BK19" s="471"/>
      <c r="BL19" s="471">
        <f>IFERROR(SUM(BL6)/SUM(BG6)*100-100,0)</f>
        <v>-0.140098103</v>
      </c>
      <c r="BM19" s="471">
        <f>IFERROR(SUM(BL6:BM6)/SUM(BG6:BH6)*100-100,0)</f>
        <v>-0.1645291655</v>
      </c>
      <c r="BN19" s="471">
        <f>IFERROR(SUM(BL6:BN6)/SUM(BG6:BI6)*100-100,0)</f>
        <v>-4.61158442</v>
      </c>
      <c r="BO19" s="471">
        <f>IFERROR(SUM(BL6:BO6)/SUM(BG6:BJ6)*100-100,0)</f>
        <v>0.1727065813</v>
      </c>
      <c r="BP19" s="471"/>
      <c r="BQ19" s="471">
        <f>IFERROR(SUM(BQ6)/SUM(BL6)*100-100,0)</f>
        <v>26.13389353</v>
      </c>
      <c r="BR19" s="471">
        <f>IFERROR(SUM(BQ6:BR6)/SUM(BL6:BM6)*100-100,0)</f>
        <v>23.77381623</v>
      </c>
      <c r="BS19" s="471">
        <f>IFERROR(SUM(BQ6:BS6)/SUM(BL6:BN6)*100-100,0)</f>
        <v>24.37549221</v>
      </c>
      <c r="BT19" s="471">
        <f>IFERROR(SUM(BQ6:BT6)/SUM(BL6:BO6)*100-100,0)</f>
        <v>16.07314458</v>
      </c>
      <c r="BU19" s="471"/>
      <c r="BV19" s="471">
        <f>IFERROR(SUM(BV6)/SUM(BQ6)*100-100,0)</f>
        <v>-10.1416734</v>
      </c>
      <c r="BW19" s="471">
        <f>IFERROR(SUM(BV6:BW6)/SUM(BQ6:BR6)*100-100,0)</f>
        <v>-4.406981377</v>
      </c>
      <c r="BX19" s="471">
        <f>IFERROR(SUM(BV6:BX6)/SUM(BQ6:BS6)*100-100,0)</f>
        <v>0.03917424072</v>
      </c>
      <c r="BY19" s="471">
        <f>IFERROR(SUM(BV6:BY6)/SUM(BQ6:BT6)*100-100,0)</f>
        <v>2.306018562</v>
      </c>
      <c r="BZ19" s="471"/>
      <c r="CA19" s="471">
        <f>IFERROR(SUM(CA6)/SUM(BV6)*100-100,0)</f>
        <v>16.01032819</v>
      </c>
      <c r="CB19" s="471">
        <f>IFERROR(SUM(CA6:CB6)/SUM(BV6:BW6)*100-100,0)</f>
        <v>11.97860906</v>
      </c>
      <c r="CC19" s="471">
        <f>IFERROR(SUM(CA6:CC6)/SUM(BV6:BX6)*100-100,0)</f>
        <v>8.631566878</v>
      </c>
      <c r="CD19" s="471">
        <f>IFERROR(SUM(CA6:CD6)/SUM(BV6:BY6)*100-100,0)</f>
        <v>8.535020835</v>
      </c>
      <c r="CE19" s="471"/>
      <c r="CF19" s="471">
        <f>IFERROR(SUM(CF6)/SUM(CA6)*100-100,0)</f>
        <v>1.061748643</v>
      </c>
      <c r="CG19" s="471">
        <f>IFERROR(SUM(CF6:CG6)/SUM(CA6:CB6)*100-100,0)</f>
        <v>-49.84609012</v>
      </c>
      <c r="CH19" s="471">
        <f>IFERROR(SUM(CF6:CH6)/SUM(CA6:CC6)*100-100,0)</f>
        <v>-67.06263408</v>
      </c>
      <c r="CI19" s="471">
        <f>IFERROR(SUM(CF6:CI6)/SUM(CA6:CD6)*100-100,0)</f>
        <v>-75.71841522</v>
      </c>
      <c r="CJ19" s="471"/>
      <c r="CK19" s="471">
        <f>IFERROR(SUM(CK6)/SUM(CF6)*100-100,0)</f>
        <v>-100</v>
      </c>
      <c r="CL19" s="471">
        <f>IFERROR(SUM(CK6:CL6)/SUM(CF6:CG6)*100-100,0)</f>
        <v>-100</v>
      </c>
      <c r="CM19" s="471">
        <f>IFERROR(SUM(CK6:CM6)/SUM(CF6:CH6)*100-100,0)</f>
        <v>-100</v>
      </c>
      <c r="CN19" s="471">
        <f>IFERROR(SUM(CK6:CN6)/SUM(CF6:CI6)*100-100,0)</f>
        <v>-100</v>
      </c>
      <c r="CO19" s="471"/>
      <c r="CP19" s="440"/>
      <c r="CQ19" s="440"/>
      <c r="CR19" s="440"/>
      <c r="CS19" s="440"/>
      <c r="CT19" s="440"/>
      <c r="CU19" s="440"/>
      <c r="CV19" s="440"/>
      <c r="CW19" s="440"/>
      <c r="CX19" s="440"/>
      <c r="CY19" s="440"/>
    </row>
    <row r="20" ht="24.75" customHeight="1">
      <c r="A20" s="445">
        <v>2025.0</v>
      </c>
      <c r="B20" s="441"/>
      <c r="C20" s="472" t="s">
        <v>98</v>
      </c>
      <c r="D20" s="473"/>
      <c r="E20" s="474"/>
      <c r="F20" s="474"/>
      <c r="G20" s="474"/>
      <c r="H20" s="474"/>
      <c r="I20" s="474">
        <f>IFERROR(SUM(I8)/SUM(D8)*100-100,0)</f>
        <v>0</v>
      </c>
      <c r="J20" s="474">
        <f>IFERROR(SUM(I8:J8)/SUM(D8:E8)*100-100,0)</f>
        <v>0</v>
      </c>
      <c r="K20" s="474">
        <f>IFERROR(SUM(I8:K8)/SUM(D8:F8)*100-100,0)</f>
        <v>0</v>
      </c>
      <c r="L20" s="474">
        <f>IFERROR(SUM(I8:L8)/SUM(D8:G8)*100-100,0)</f>
        <v>0</v>
      </c>
      <c r="M20" s="474"/>
      <c r="N20" s="474">
        <f>IFERROR(SUM(N8)/SUM(I8)*100-100,0)</f>
        <v>0</v>
      </c>
      <c r="O20" s="474">
        <f>IFERROR(SUM(N8:O8)/SUM(I8:J8)*100-100,0)</f>
        <v>0</v>
      </c>
      <c r="P20" s="474">
        <f>IFERROR(SUM(N8:P8)/SUM(I8:K8)*100-100,0)</f>
        <v>0</v>
      </c>
      <c r="Q20" s="474">
        <f>IFERROR(SUM(N8:Q8)/SUM(I8:L8)*100-100,0)</f>
        <v>0</v>
      </c>
      <c r="R20" s="474"/>
      <c r="S20" s="474">
        <f>IFERROR(SUM(S8)/SUM(N8)*100-100,0)</f>
        <v>0</v>
      </c>
      <c r="T20" s="474">
        <f>IFERROR(SUM(S8:T8)/SUM(N8:O8)*100-100,0)</f>
        <v>0</v>
      </c>
      <c r="U20" s="474">
        <f>IFERROR(SUM(S8:U8)/SUM(N8:P8)*100-100,0)</f>
        <v>0</v>
      </c>
      <c r="V20" s="474">
        <f>IFERROR(SUM(S8:V8)/SUM(N8:Q8)*100-100,0)</f>
        <v>0</v>
      </c>
      <c r="W20" s="474"/>
      <c r="X20" s="474">
        <f>IFERROR(SUM(X8)/SUM(S8)*100-100,0)</f>
        <v>0</v>
      </c>
      <c r="Y20" s="474">
        <f>IFERROR(SUM(X8:Y8)/SUM(S8:T8)*100-100,0)</f>
        <v>0</v>
      </c>
      <c r="Z20" s="474">
        <f>IFERROR(SUM(X8:Z8)/SUM(S8:U8)*100-100,0)</f>
        <v>0</v>
      </c>
      <c r="AA20" s="474">
        <f>IFERROR(SUM(X8:AA8)/SUM(S8:V8)*100-100,0)</f>
        <v>0</v>
      </c>
      <c r="AB20" s="474"/>
      <c r="AC20" s="474">
        <f>IFERROR(SUM(AC8)/SUM(X8)*100-100,0)</f>
        <v>0</v>
      </c>
      <c r="AD20" s="474">
        <f>IFERROR(SUM(AC8:AD8)/SUM(X8:Y8)*100-100,0)</f>
        <v>0</v>
      </c>
      <c r="AE20" s="474">
        <f>IFERROR(SUM(AC8:AE8)/SUM(X8:Z8)*100-100,0)</f>
        <v>0</v>
      </c>
      <c r="AF20" s="474">
        <f>IFERROR(SUM(AC8:AF8)/SUM(X8:AA8)*100-100,0)</f>
        <v>0</v>
      </c>
      <c r="AG20" s="474"/>
      <c r="AH20" s="474">
        <f>IFERROR(SUM(AH8)/SUM(AC8)*100-100,0)</f>
        <v>0</v>
      </c>
      <c r="AI20" s="474">
        <f>IFERROR(SUM(AH8:AI8)/SUM(AC8:AD8)*100-100,0)</f>
        <v>0</v>
      </c>
      <c r="AJ20" s="474">
        <f>IFERROR(SUM(AH8:AJ8)/SUM(AC8:AE8)*100-100,0)</f>
        <v>0</v>
      </c>
      <c r="AK20" s="474">
        <f>IFERROR(SUM(AH8:AK8)/SUM(AC8:AF8)*100-100,0)</f>
        <v>0</v>
      </c>
      <c r="AL20" s="474"/>
      <c r="AM20" s="474">
        <f>IFERROR(SUM(AM8)/SUM(AH8)*100-100,0)</f>
        <v>0</v>
      </c>
      <c r="AN20" s="474">
        <f>IFERROR(SUM(AM8:AN8)/SUM(AH8:AI8)*100-100,0)</f>
        <v>0</v>
      </c>
      <c r="AO20" s="474">
        <f>IFERROR(SUM(AM8:AO8)/SUM(AH8:AJ8)*100-100,0)</f>
        <v>0</v>
      </c>
      <c r="AP20" s="474">
        <f>IFERROR(SUM(AM8:AP8)/SUM(AH8:AK8)*100-100,0)</f>
        <v>0</v>
      </c>
      <c r="AQ20" s="474"/>
      <c r="AR20" s="474">
        <f>IFERROR(SUM(AR8)/SUM(AM8)*100-100,0)</f>
        <v>0</v>
      </c>
      <c r="AS20" s="474">
        <f>IFERROR(SUM(AR8:AS8)/SUM(AM8:AN8)*100-100,0)</f>
        <v>0</v>
      </c>
      <c r="AT20" s="474">
        <f>IFERROR(SUM(AR8:AT8)/SUM(AM8:AO8)*100-100,0)</f>
        <v>0</v>
      </c>
      <c r="AU20" s="474">
        <f>IFERROR(SUM(AR8:AU8)/SUM(AM8:AP8)*100-100,0)</f>
        <v>0</v>
      </c>
      <c r="AV20" s="474"/>
      <c r="AW20" s="474">
        <f>IFERROR(SUM(AW8)/SUM(AR8)*100-100,0)</f>
        <v>0</v>
      </c>
      <c r="AX20" s="474">
        <f>IFERROR(SUM(AW8:AX8)/SUM(AR8:AS8)*100-100,0)</f>
        <v>0</v>
      </c>
      <c r="AY20" s="474">
        <f>IFERROR(SUM(AW8:AY8)/SUM(AR8:AT8)*100-100,0)</f>
        <v>0</v>
      </c>
      <c r="AZ20" s="474">
        <f>IFERROR(SUM(AW8:AZ8)/SUM(AR8:AU8)*100-100,0)</f>
        <v>0</v>
      </c>
      <c r="BA20" s="474"/>
      <c r="BB20" s="474">
        <f>IFERROR(SUM(BB8)/SUM(AW8)*100-100,0)</f>
        <v>0</v>
      </c>
      <c r="BC20" s="474">
        <f>IFERROR(SUM(BB8:BC8)/SUM(AW8:AX8)*100-100,0)</f>
        <v>0</v>
      </c>
      <c r="BD20" s="474">
        <f>IFERROR(SUM(BB8:BD8)/SUM(AW8:AY8)*100-100,0)</f>
        <v>0</v>
      </c>
      <c r="BE20" s="474">
        <f>IFERROR(SUM(BB8:BE8)/SUM(AW8:AZ8)*100-100,0)</f>
        <v>0</v>
      </c>
      <c r="BF20" s="474"/>
      <c r="BG20" s="474">
        <f>IFERROR(SUM(BG8)/SUM(BB8)*100-100,0)</f>
        <v>143.6606061</v>
      </c>
      <c r="BH20" s="474">
        <f>IFERROR(SUM(BG8:BH8)/SUM(BB8:BC8)*100-100,0)</f>
        <v>93.20659045</v>
      </c>
      <c r="BI20" s="474">
        <f>IFERROR(SUM(BG8:BI8)/SUM(BB8:BD8)*100-100,0)</f>
        <v>59.47909909</v>
      </c>
      <c r="BJ20" s="474">
        <f>IFERROR(SUM(BG8:BJ8)/SUM(BB8:BE8)*100-100,0)</f>
        <v>22.48082612</v>
      </c>
      <c r="BK20" s="474"/>
      <c r="BL20" s="474">
        <f>IFERROR(SUM(BL8)/SUM(BG8)*100-100,0)</f>
        <v>114.5116484</v>
      </c>
      <c r="BM20" s="474">
        <f>IFERROR(SUM(BL8:BM8)/SUM(BG8:BH8)*100-100,0)</f>
        <v>101.1573805</v>
      </c>
      <c r="BN20" s="474">
        <f>IFERROR(SUM(BL8:BN8)/SUM(BG8:BI8)*100-100,0)</f>
        <v>135.7307341</v>
      </c>
      <c r="BO20" s="474">
        <f>IFERROR(SUM(BL8:BO8)/SUM(BG8:BJ8)*100-100,0)</f>
        <v>146.5479704</v>
      </c>
      <c r="BP20" s="474"/>
      <c r="BQ20" s="474">
        <f>IFERROR(SUM(BQ8)/SUM(BL8)*100-100,0)</f>
        <v>27.78872535</v>
      </c>
      <c r="BR20" s="474">
        <f>IFERROR(SUM(BQ8:BR8)/SUM(BL8:BM8)*100-100,0)</f>
        <v>8.242262995</v>
      </c>
      <c r="BS20" s="474">
        <f>IFERROR(SUM(BQ8:BS8)/SUM(BL8:BN8)*100-100,0)</f>
        <v>-8.333246923</v>
      </c>
      <c r="BT20" s="474">
        <f>IFERROR(SUM(BQ8:BT8)/SUM(BL8:BO8)*100-100,0)</f>
        <v>-11.47615727</v>
      </c>
      <c r="BU20" s="474"/>
      <c r="BV20" s="474">
        <f>IFERROR(SUM(BV8)/SUM(BQ8)*100-100,0)</f>
        <v>-57.6067158</v>
      </c>
      <c r="BW20" s="474">
        <f>IFERROR(SUM(BV8:BW8)/SUM(BQ8:BR8)*100-100,0)</f>
        <v>-2.970455011</v>
      </c>
      <c r="BX20" s="474">
        <f>IFERROR(SUM(BV8:BX8)/SUM(BQ8:BS8)*100-100,0)</f>
        <v>24.72962246</v>
      </c>
      <c r="BY20" s="474">
        <f>IFERROR(SUM(BV8:BY8)/SUM(BQ8:BT8)*100-100,0)</f>
        <v>35.09686132</v>
      </c>
      <c r="BZ20" s="474"/>
      <c r="CA20" s="474">
        <f>IFERROR(SUM(CA8)/SUM(BV8)*100-100,0)</f>
        <v>139.0126476</v>
      </c>
      <c r="CB20" s="474">
        <f>IFERROR(SUM(CA8:CB8)/SUM(BV8:BW8)*100-100,0)</f>
        <v>39.77043957</v>
      </c>
      <c r="CC20" s="474">
        <f>IFERROR(SUM(CA8:CC8)/SUM(BV8:BX8)*100-100,0)</f>
        <v>23.19958702</v>
      </c>
      <c r="CD20" s="474">
        <f>IFERROR(SUM(CA8:CD8)/SUM(BV8:BY8)*100-100,0)</f>
        <v>23.2739396</v>
      </c>
      <c r="CE20" s="474"/>
      <c r="CF20" s="474">
        <f>IFERROR(SUM(CF8)/SUM(CA8)*100-100,0)</f>
        <v>4.446792647</v>
      </c>
      <c r="CG20" s="474">
        <f>IFERROR(SUM(CF8:CG8)/SUM(CA8:CB8)*100-100,0)</f>
        <v>-48.22959472</v>
      </c>
      <c r="CH20" s="474">
        <f>IFERROR(SUM(CF8:CH8)/SUM(CA8:CC8)*100-100,0)</f>
        <v>-67.19177377</v>
      </c>
      <c r="CI20" s="474">
        <f>IFERROR(SUM(CF8:CI8)/SUM(CA8:CD8)*100-100,0)</f>
        <v>-76.38466825</v>
      </c>
      <c r="CJ20" s="474"/>
      <c r="CK20" s="474">
        <f>IFERROR(SUM(CK8)/SUM(CF8)*100-100,0)</f>
        <v>-100</v>
      </c>
      <c r="CL20" s="474">
        <f>IFERROR(SUM(CK8:CL8)/SUM(CF8:CG8)*100-100,0)</f>
        <v>-100</v>
      </c>
      <c r="CM20" s="474">
        <f>IFERROR(SUM(CK8:CM8)/SUM(CF8:CH8)*100-100,0)</f>
        <v>-100</v>
      </c>
      <c r="CN20" s="474">
        <f>IFERROR(SUM(CK8:CN8)/SUM(CF8:CI8)*100-100,0)</f>
        <v>-100</v>
      </c>
      <c r="CO20" s="474"/>
    </row>
    <row r="21" ht="24.75" customHeight="1">
      <c r="A21" s="482"/>
      <c r="B21" s="475" t="s">
        <v>105</v>
      </c>
      <c r="C21" s="476" t="s">
        <v>97</v>
      </c>
      <c r="D21" s="477">
        <f t="shared" ref="D21:CO21" si="88">+D5/D6*100</f>
        <v>92.41236372</v>
      </c>
      <c r="E21" s="478">
        <f t="shared" si="88"/>
        <v>93.78512194</v>
      </c>
      <c r="F21" s="478">
        <f t="shared" si="88"/>
        <v>104.9792329</v>
      </c>
      <c r="G21" s="478">
        <f t="shared" si="88"/>
        <v>109.8554123</v>
      </c>
      <c r="H21" s="478">
        <f t="shared" si="88"/>
        <v>100</v>
      </c>
      <c r="I21" s="478">
        <f t="shared" si="88"/>
        <v>99.64648706</v>
      </c>
      <c r="J21" s="478">
        <f t="shared" si="88"/>
        <v>103.4307709</v>
      </c>
      <c r="K21" s="478">
        <f t="shared" si="88"/>
        <v>101.7098635</v>
      </c>
      <c r="L21" s="478">
        <f t="shared" si="88"/>
        <v>111.208821</v>
      </c>
      <c r="M21" s="478">
        <f t="shared" si="88"/>
        <v>104.26</v>
      </c>
      <c r="N21" s="478">
        <f t="shared" si="88"/>
        <v>95.47147067</v>
      </c>
      <c r="O21" s="478">
        <f t="shared" si="88"/>
        <v>62.63677482</v>
      </c>
      <c r="P21" s="478">
        <f t="shared" si="88"/>
        <v>140.1885289</v>
      </c>
      <c r="Q21" s="478">
        <f t="shared" si="88"/>
        <v>124.9926264</v>
      </c>
      <c r="R21" s="478">
        <f t="shared" si="88"/>
        <v>108.3994098</v>
      </c>
      <c r="S21" s="478">
        <f t="shared" si="88"/>
        <v>100.1403732</v>
      </c>
      <c r="T21" s="478">
        <f t="shared" si="88"/>
        <v>111.1199177</v>
      </c>
      <c r="U21" s="478">
        <f t="shared" si="88"/>
        <v>97.56179762</v>
      </c>
      <c r="V21" s="478">
        <f t="shared" si="88"/>
        <v>100.1203827</v>
      </c>
      <c r="W21" s="478">
        <f t="shared" si="88"/>
        <v>102.3033503</v>
      </c>
      <c r="X21" s="478">
        <f t="shared" si="88"/>
        <v>107.97</v>
      </c>
      <c r="Y21" s="478">
        <f t="shared" si="88"/>
        <v>109.71</v>
      </c>
      <c r="Z21" s="478">
        <f t="shared" si="88"/>
        <v>107.61</v>
      </c>
      <c r="AA21" s="478">
        <f t="shared" si="88"/>
        <v>111.1192961</v>
      </c>
      <c r="AB21" s="478">
        <f t="shared" si="88"/>
        <v>109.0890738</v>
      </c>
      <c r="AC21" s="478">
        <f t="shared" si="88"/>
        <v>113.2915228</v>
      </c>
      <c r="AD21" s="478">
        <f t="shared" si="88"/>
        <v>114.373079</v>
      </c>
      <c r="AE21" s="478">
        <f t="shared" si="88"/>
        <v>114.1383871</v>
      </c>
      <c r="AF21" s="478">
        <f t="shared" si="88"/>
        <v>114.8005324</v>
      </c>
      <c r="AG21" s="478">
        <f t="shared" si="88"/>
        <v>114.1356995</v>
      </c>
      <c r="AH21" s="478">
        <f t="shared" si="88"/>
        <v>118.0782785</v>
      </c>
      <c r="AI21" s="478">
        <f t="shared" si="88"/>
        <v>115.2350777</v>
      </c>
      <c r="AJ21" s="478">
        <f t="shared" si="88"/>
        <v>115.6428802</v>
      </c>
      <c r="AK21" s="478">
        <f t="shared" si="88"/>
        <v>115.7165154</v>
      </c>
      <c r="AL21" s="478">
        <f t="shared" si="88"/>
        <v>116.0515096</v>
      </c>
      <c r="AM21" s="478">
        <f t="shared" si="88"/>
        <v>117.8867442</v>
      </c>
      <c r="AN21" s="478">
        <f t="shared" si="88"/>
        <v>123.1765927</v>
      </c>
      <c r="AO21" s="478">
        <f t="shared" si="88"/>
        <v>128.4311462</v>
      </c>
      <c r="AP21" s="478">
        <f t="shared" si="88"/>
        <v>128.9154033</v>
      </c>
      <c r="AQ21" s="478">
        <f t="shared" si="88"/>
        <v>124.915688</v>
      </c>
      <c r="AR21" s="478">
        <f t="shared" si="88"/>
        <v>131.0714745</v>
      </c>
      <c r="AS21" s="478">
        <f t="shared" si="88"/>
        <v>132.086435</v>
      </c>
      <c r="AT21" s="478">
        <f t="shared" si="88"/>
        <v>134.7954278</v>
      </c>
      <c r="AU21" s="478">
        <f t="shared" si="88"/>
        <v>130.5206262</v>
      </c>
      <c r="AV21" s="478">
        <f t="shared" si="88"/>
        <v>132.1370992</v>
      </c>
      <c r="AW21" s="478">
        <f t="shared" si="88"/>
        <v>133.5585059</v>
      </c>
      <c r="AX21" s="478">
        <f t="shared" si="88"/>
        <v>134.7089997</v>
      </c>
      <c r="AY21" s="478">
        <f t="shared" si="88"/>
        <v>139.311074</v>
      </c>
      <c r="AZ21" s="478">
        <f t="shared" si="88"/>
        <v>139.4389382</v>
      </c>
      <c r="BA21" s="478">
        <f t="shared" si="88"/>
        <v>136.8991256</v>
      </c>
      <c r="BB21" s="478">
        <f t="shared" si="88"/>
        <v>142.0632293</v>
      </c>
      <c r="BC21" s="478">
        <f t="shared" si="88"/>
        <v>142.450001</v>
      </c>
      <c r="BD21" s="478">
        <f t="shared" si="88"/>
        <v>144.8479237</v>
      </c>
      <c r="BE21" s="478">
        <f t="shared" si="88"/>
        <v>144.0100014</v>
      </c>
      <c r="BF21" s="478">
        <f t="shared" si="88"/>
        <v>143.3593039</v>
      </c>
      <c r="BG21" s="478">
        <f t="shared" si="88"/>
        <v>144.1899997</v>
      </c>
      <c r="BH21" s="478">
        <f t="shared" si="88"/>
        <v>148.4199995</v>
      </c>
      <c r="BI21" s="478">
        <f t="shared" si="88"/>
        <v>148.4200004</v>
      </c>
      <c r="BJ21" s="478">
        <f t="shared" si="88"/>
        <v>150.5203123</v>
      </c>
      <c r="BK21" s="478">
        <f t="shared" si="88"/>
        <v>147.970506</v>
      </c>
      <c r="BL21" s="478">
        <f t="shared" si="88"/>
        <v>155.1886261</v>
      </c>
      <c r="BM21" s="478">
        <f t="shared" si="88"/>
        <v>193.5662244</v>
      </c>
      <c r="BN21" s="478">
        <f t="shared" si="88"/>
        <v>191.5557167</v>
      </c>
      <c r="BO21" s="478">
        <f t="shared" si="88"/>
        <v>191.3027398</v>
      </c>
      <c r="BP21" s="478">
        <f t="shared" si="88"/>
        <v>183.3891992</v>
      </c>
      <c r="BQ21" s="478">
        <f t="shared" si="88"/>
        <v>193.8582615</v>
      </c>
      <c r="BR21" s="478">
        <f t="shared" si="88"/>
        <v>199.7083075</v>
      </c>
      <c r="BS21" s="478">
        <f t="shared" si="88"/>
        <v>199.8642915</v>
      </c>
      <c r="BT21" s="478">
        <f t="shared" si="88"/>
        <v>200.5238432</v>
      </c>
      <c r="BU21" s="478">
        <f t="shared" si="88"/>
        <v>198.4515557</v>
      </c>
      <c r="BV21" s="478">
        <f t="shared" si="88"/>
        <v>197.6096595</v>
      </c>
      <c r="BW21" s="478">
        <f t="shared" si="88"/>
        <v>201.3301122</v>
      </c>
      <c r="BX21" s="478">
        <f t="shared" si="88"/>
        <v>200.400543</v>
      </c>
      <c r="BY21" s="478">
        <f t="shared" si="88"/>
        <v>198.8952933</v>
      </c>
      <c r="BZ21" s="478">
        <f t="shared" si="88"/>
        <v>199.603893</v>
      </c>
      <c r="CA21" s="478">
        <f t="shared" si="88"/>
        <v>194.6210335</v>
      </c>
      <c r="CB21" s="478">
        <f t="shared" si="88"/>
        <v>194.9048088</v>
      </c>
      <c r="CC21" s="478">
        <f t="shared" si="88"/>
        <v>188.6975959</v>
      </c>
      <c r="CD21" s="478">
        <f t="shared" si="88"/>
        <v>188.1741543</v>
      </c>
      <c r="CE21" s="478">
        <f t="shared" si="88"/>
        <v>191.4970256</v>
      </c>
      <c r="CF21" s="478">
        <f t="shared" si="88"/>
        <v>203.7574106</v>
      </c>
      <c r="CG21" s="478" t="str">
        <f t="shared" si="88"/>
        <v>#DIV/0!</v>
      </c>
      <c r="CH21" s="478" t="str">
        <f t="shared" si="88"/>
        <v>#DIV/0!</v>
      </c>
      <c r="CI21" s="478" t="str">
        <f t="shared" si="88"/>
        <v>#DIV/0!</v>
      </c>
      <c r="CJ21" s="478">
        <f t="shared" si="88"/>
        <v>203.7574106</v>
      </c>
      <c r="CK21" s="478" t="str">
        <f t="shared" si="88"/>
        <v>#DIV/0!</v>
      </c>
      <c r="CL21" s="478" t="str">
        <f t="shared" si="88"/>
        <v>#DIV/0!</v>
      </c>
      <c r="CM21" s="478" t="str">
        <f t="shared" si="88"/>
        <v>#DIV/0!</v>
      </c>
      <c r="CN21" s="478" t="str">
        <f t="shared" si="88"/>
        <v>#DIV/0!</v>
      </c>
      <c r="CO21" s="478" t="str">
        <f t="shared" si="88"/>
        <v>#DIV/0!</v>
      </c>
      <c r="CP21" s="440"/>
      <c r="CQ21" s="440"/>
      <c r="CR21" s="440"/>
      <c r="CS21" s="440"/>
      <c r="CT21" s="440"/>
      <c r="CU21" s="440"/>
      <c r="CV21" s="440"/>
      <c r="CW21" s="440"/>
      <c r="CX21" s="440"/>
      <c r="CY21" s="440"/>
    </row>
    <row r="22" ht="24.75" customHeight="1">
      <c r="A22" s="482"/>
      <c r="B22" s="441"/>
      <c r="C22" s="479" t="s">
        <v>98</v>
      </c>
      <c r="D22" s="480" t="str">
        <f t="shared" ref="D22:CO22" si="89">+D7/D8*100</f>
        <v>#DIV/0!</v>
      </c>
      <c r="E22" s="481" t="str">
        <f t="shared" si="89"/>
        <v>#DIV/0!</v>
      </c>
      <c r="F22" s="481" t="str">
        <f t="shared" si="89"/>
        <v>#DIV/0!</v>
      </c>
      <c r="G22" s="481" t="str">
        <f t="shared" si="89"/>
        <v>#DIV/0!</v>
      </c>
      <c r="H22" s="481" t="str">
        <f t="shared" si="89"/>
        <v>#DIV/0!</v>
      </c>
      <c r="I22" s="481" t="str">
        <f t="shared" si="89"/>
        <v>#DIV/0!</v>
      </c>
      <c r="J22" s="481" t="str">
        <f t="shared" si="89"/>
        <v>#DIV/0!</v>
      </c>
      <c r="K22" s="481" t="str">
        <f t="shared" si="89"/>
        <v>#DIV/0!</v>
      </c>
      <c r="L22" s="481" t="str">
        <f t="shared" si="89"/>
        <v>#DIV/0!</v>
      </c>
      <c r="M22" s="481" t="str">
        <f t="shared" si="89"/>
        <v>#DIV/0!</v>
      </c>
      <c r="N22" s="481" t="str">
        <f t="shared" si="89"/>
        <v>#DIV/0!</v>
      </c>
      <c r="O22" s="481" t="str">
        <f t="shared" si="89"/>
        <v>#DIV/0!</v>
      </c>
      <c r="P22" s="481" t="str">
        <f t="shared" si="89"/>
        <v>#DIV/0!</v>
      </c>
      <c r="Q22" s="481" t="str">
        <f t="shared" si="89"/>
        <v>#DIV/0!</v>
      </c>
      <c r="R22" s="481" t="str">
        <f t="shared" si="89"/>
        <v>#DIV/0!</v>
      </c>
      <c r="S22" s="481" t="str">
        <f t="shared" si="89"/>
        <v>#DIV/0!</v>
      </c>
      <c r="T22" s="481" t="str">
        <f t="shared" si="89"/>
        <v>#DIV/0!</v>
      </c>
      <c r="U22" s="481" t="str">
        <f t="shared" si="89"/>
        <v>#DIV/0!</v>
      </c>
      <c r="V22" s="481" t="str">
        <f t="shared" si="89"/>
        <v>#DIV/0!</v>
      </c>
      <c r="W22" s="481" t="str">
        <f t="shared" si="89"/>
        <v>#DIV/0!</v>
      </c>
      <c r="X22" s="481" t="str">
        <f t="shared" si="89"/>
        <v>#DIV/0!</v>
      </c>
      <c r="Y22" s="481" t="str">
        <f t="shared" si="89"/>
        <v>#DIV/0!</v>
      </c>
      <c r="Z22" s="481" t="str">
        <f t="shared" si="89"/>
        <v>#DIV/0!</v>
      </c>
      <c r="AA22" s="481" t="str">
        <f t="shared" si="89"/>
        <v>#DIV/0!</v>
      </c>
      <c r="AB22" s="481" t="str">
        <f t="shared" si="89"/>
        <v>#DIV/0!</v>
      </c>
      <c r="AC22" s="481" t="str">
        <f t="shared" si="89"/>
        <v>#DIV/0!</v>
      </c>
      <c r="AD22" s="481" t="str">
        <f t="shared" si="89"/>
        <v>#DIV/0!</v>
      </c>
      <c r="AE22" s="481" t="str">
        <f t="shared" si="89"/>
        <v>#DIV/0!</v>
      </c>
      <c r="AF22" s="481" t="str">
        <f t="shared" si="89"/>
        <v>#DIV/0!</v>
      </c>
      <c r="AG22" s="481" t="str">
        <f t="shared" si="89"/>
        <v>#DIV/0!</v>
      </c>
      <c r="AH22" s="481" t="str">
        <f t="shared" si="89"/>
        <v>#DIV/0!</v>
      </c>
      <c r="AI22" s="481" t="str">
        <f t="shared" si="89"/>
        <v>#DIV/0!</v>
      </c>
      <c r="AJ22" s="481" t="str">
        <f t="shared" si="89"/>
        <v>#DIV/0!</v>
      </c>
      <c r="AK22" s="481" t="str">
        <f t="shared" si="89"/>
        <v>#DIV/0!</v>
      </c>
      <c r="AL22" s="481" t="str">
        <f t="shared" si="89"/>
        <v>#DIV/0!</v>
      </c>
      <c r="AM22" s="481" t="str">
        <f t="shared" si="89"/>
        <v>#DIV/0!</v>
      </c>
      <c r="AN22" s="481" t="str">
        <f t="shared" si="89"/>
        <v>#DIV/0!</v>
      </c>
      <c r="AO22" s="481" t="str">
        <f t="shared" si="89"/>
        <v>#DIV/0!</v>
      </c>
      <c r="AP22" s="481" t="str">
        <f t="shared" si="89"/>
        <v>#DIV/0!</v>
      </c>
      <c r="AQ22" s="481" t="str">
        <f t="shared" si="89"/>
        <v>#DIV/0!</v>
      </c>
      <c r="AR22" s="481" t="str">
        <f t="shared" si="89"/>
        <v>#DIV/0!</v>
      </c>
      <c r="AS22" s="481" t="str">
        <f t="shared" si="89"/>
        <v>#DIV/0!</v>
      </c>
      <c r="AT22" s="481" t="str">
        <f t="shared" si="89"/>
        <v>#DIV/0!</v>
      </c>
      <c r="AU22" s="481" t="str">
        <f t="shared" si="89"/>
        <v>#DIV/0!</v>
      </c>
      <c r="AV22" s="481" t="str">
        <f t="shared" si="89"/>
        <v>#DIV/0!</v>
      </c>
      <c r="AW22" s="481" t="str">
        <f t="shared" si="89"/>
        <v>#DIV/0!</v>
      </c>
      <c r="AX22" s="481" t="str">
        <f t="shared" si="89"/>
        <v>#DIV/0!</v>
      </c>
      <c r="AY22" s="481" t="str">
        <f t="shared" si="89"/>
        <v>#DIV/0!</v>
      </c>
      <c r="AZ22" s="481" t="str">
        <f t="shared" si="89"/>
        <v>#DIV/0!</v>
      </c>
      <c r="BA22" s="481" t="str">
        <f t="shared" si="89"/>
        <v>#DIV/0!</v>
      </c>
      <c r="BB22" s="481">
        <f t="shared" si="89"/>
        <v>141.9249778</v>
      </c>
      <c r="BC22" s="481">
        <f t="shared" si="89"/>
        <v>142.7378801</v>
      </c>
      <c r="BD22" s="481">
        <f t="shared" si="89"/>
        <v>149.5453162</v>
      </c>
      <c r="BE22" s="481">
        <f t="shared" si="89"/>
        <v>139.771376</v>
      </c>
      <c r="BF22" s="481">
        <f t="shared" si="89"/>
        <v>143.1418707</v>
      </c>
      <c r="BG22" s="481">
        <f t="shared" si="89"/>
        <v>107.5607903</v>
      </c>
      <c r="BH22" s="481">
        <f t="shared" si="89"/>
        <v>112.3897845</v>
      </c>
      <c r="BI22" s="481">
        <f t="shared" si="89"/>
        <v>94.4848329</v>
      </c>
      <c r="BJ22" s="481">
        <f t="shared" si="89"/>
        <v>355.9227593</v>
      </c>
      <c r="BK22" s="481">
        <f t="shared" si="89"/>
        <v>158.5549266</v>
      </c>
      <c r="BL22" s="481">
        <f t="shared" si="89"/>
        <v>48.99031269</v>
      </c>
      <c r="BM22" s="481">
        <f t="shared" si="89"/>
        <v>55.19472908</v>
      </c>
      <c r="BN22" s="481">
        <f t="shared" si="89"/>
        <v>56.08224616</v>
      </c>
      <c r="BO22" s="481">
        <f t="shared" si="89"/>
        <v>56.08224616</v>
      </c>
      <c r="BP22" s="481">
        <f t="shared" si="89"/>
        <v>54.07843728</v>
      </c>
      <c r="BQ22" s="481">
        <f t="shared" si="89"/>
        <v>67.37131535</v>
      </c>
      <c r="BR22" s="481">
        <f t="shared" si="89"/>
        <v>117.1034753</v>
      </c>
      <c r="BS22" s="481">
        <f t="shared" si="89"/>
        <v>137.88431</v>
      </c>
      <c r="BT22" s="481">
        <f t="shared" si="89"/>
        <v>114.8077399</v>
      </c>
      <c r="BU22" s="481">
        <f t="shared" si="89"/>
        <v>102.6877907</v>
      </c>
      <c r="BV22" s="481">
        <f t="shared" si="89"/>
        <v>113.1924355</v>
      </c>
      <c r="BW22" s="481">
        <f t="shared" si="89"/>
        <v>117.2673632</v>
      </c>
      <c r="BX22" s="481">
        <f t="shared" si="89"/>
        <v>115.7371413</v>
      </c>
      <c r="BY22" s="481">
        <f t="shared" si="89"/>
        <v>115.7371413</v>
      </c>
      <c r="BZ22" s="481">
        <f t="shared" si="89"/>
        <v>115.8775835</v>
      </c>
      <c r="CA22" s="481">
        <f t="shared" si="89"/>
        <v>109.3021563</v>
      </c>
      <c r="CB22" s="481">
        <f t="shared" si="89"/>
        <v>109.389598</v>
      </c>
      <c r="CC22" s="481">
        <f t="shared" si="89"/>
        <v>105.9110088</v>
      </c>
      <c r="CD22" s="481">
        <f t="shared" si="89"/>
        <v>102.5430387</v>
      </c>
      <c r="CE22" s="481">
        <f t="shared" si="89"/>
        <v>106.5343061</v>
      </c>
      <c r="CF22" s="481">
        <f t="shared" si="89"/>
        <v>115.5352417</v>
      </c>
      <c r="CG22" s="481" t="str">
        <f t="shared" si="89"/>
        <v>#DIV/0!</v>
      </c>
      <c r="CH22" s="481" t="str">
        <f t="shared" si="89"/>
        <v>#DIV/0!</v>
      </c>
      <c r="CI22" s="481" t="str">
        <f t="shared" si="89"/>
        <v>#DIV/0!</v>
      </c>
      <c r="CJ22" s="481">
        <f t="shared" si="89"/>
        <v>115.5352417</v>
      </c>
      <c r="CK22" s="481" t="str">
        <f t="shared" si="89"/>
        <v>#DIV/0!</v>
      </c>
      <c r="CL22" s="481" t="str">
        <f t="shared" si="89"/>
        <v>#DIV/0!</v>
      </c>
      <c r="CM22" s="481" t="str">
        <f t="shared" si="89"/>
        <v>#DIV/0!</v>
      </c>
      <c r="CN22" s="481" t="str">
        <f t="shared" si="89"/>
        <v>#DIV/0!</v>
      </c>
      <c r="CO22" s="481" t="str">
        <f t="shared" si="89"/>
        <v>#DIV/0!</v>
      </c>
    </row>
    <row r="23" ht="24.75" customHeight="1">
      <c r="A23" s="482"/>
      <c r="B23" s="468" t="s">
        <v>106</v>
      </c>
      <c r="C23" s="469" t="s">
        <v>97</v>
      </c>
      <c r="D23" s="470">
        <f t="shared" ref="D23:H23" si="90">+IFERROR(D21/#REF!*100-100,0)</f>
        <v>0</v>
      </c>
      <c r="E23" s="471">
        <f t="shared" si="90"/>
        <v>0</v>
      </c>
      <c r="F23" s="471">
        <f t="shared" si="90"/>
        <v>0</v>
      </c>
      <c r="G23" s="471">
        <f t="shared" si="90"/>
        <v>0</v>
      </c>
      <c r="H23" s="471">
        <f t="shared" si="90"/>
        <v>0</v>
      </c>
      <c r="I23" s="471">
        <f t="shared" ref="I23:CO23" si="91">+IFERROR(I21/D21*100-100,0)</f>
        <v>7.828090373</v>
      </c>
      <c r="J23" s="471">
        <f t="shared" si="91"/>
        <v>10.28483913</v>
      </c>
      <c r="K23" s="471">
        <f t="shared" si="91"/>
        <v>-3.114301092</v>
      </c>
      <c r="L23" s="471">
        <f t="shared" si="91"/>
        <v>1.2319909</v>
      </c>
      <c r="M23" s="471">
        <f t="shared" si="91"/>
        <v>4.259999983</v>
      </c>
      <c r="N23" s="471">
        <f t="shared" si="91"/>
        <v>-4.189827981</v>
      </c>
      <c r="O23" s="471">
        <f t="shared" si="91"/>
        <v>-39.44087015</v>
      </c>
      <c r="P23" s="471">
        <f t="shared" si="91"/>
        <v>37.83179335</v>
      </c>
      <c r="Q23" s="471">
        <f t="shared" si="91"/>
        <v>12.39452524</v>
      </c>
      <c r="R23" s="471">
        <f t="shared" si="91"/>
        <v>3.970276056</v>
      </c>
      <c r="S23" s="471">
        <f t="shared" si="91"/>
        <v>4.890364107</v>
      </c>
      <c r="T23" s="471">
        <f t="shared" si="91"/>
        <v>77.40363871</v>
      </c>
      <c r="U23" s="471">
        <f t="shared" si="91"/>
        <v>-30.40671845</v>
      </c>
      <c r="V23" s="471">
        <f t="shared" si="91"/>
        <v>-19.89896876</v>
      </c>
      <c r="W23" s="471">
        <f t="shared" si="91"/>
        <v>-5.623701798</v>
      </c>
      <c r="X23" s="471">
        <f t="shared" si="91"/>
        <v>7.818651507</v>
      </c>
      <c r="Y23" s="471">
        <f t="shared" si="91"/>
        <v>-1.268825365</v>
      </c>
      <c r="Z23" s="471">
        <f t="shared" si="91"/>
        <v>10.29932066</v>
      </c>
      <c r="AA23" s="471">
        <f t="shared" si="91"/>
        <v>10.98568849</v>
      </c>
      <c r="AB23" s="471">
        <f t="shared" si="91"/>
        <v>6.63294364</v>
      </c>
      <c r="AC23" s="471">
        <f t="shared" si="91"/>
        <v>4.928705007</v>
      </c>
      <c r="AD23" s="471">
        <f t="shared" si="91"/>
        <v>4.250368262</v>
      </c>
      <c r="AE23" s="471">
        <f t="shared" si="91"/>
        <v>6.066710475</v>
      </c>
      <c r="AF23" s="471">
        <f t="shared" si="91"/>
        <v>3.312868616</v>
      </c>
      <c r="AG23" s="471">
        <f t="shared" si="91"/>
        <v>4.626151363</v>
      </c>
      <c r="AH23" s="471">
        <f t="shared" si="91"/>
        <v>4.225166749</v>
      </c>
      <c r="AI23" s="471">
        <f t="shared" si="91"/>
        <v>0.7536726788</v>
      </c>
      <c r="AJ23" s="471">
        <f t="shared" si="91"/>
        <v>1.318130679</v>
      </c>
      <c r="AK23" s="471">
        <f t="shared" si="91"/>
        <v>0.7978909037</v>
      </c>
      <c r="AL23" s="471">
        <f t="shared" si="91"/>
        <v>1.678537122</v>
      </c>
      <c r="AM23" s="471">
        <f t="shared" si="91"/>
        <v>-0.1622095965</v>
      </c>
      <c r="AN23" s="471">
        <f t="shared" si="91"/>
        <v>6.891577839</v>
      </c>
      <c r="AO23" s="471">
        <f t="shared" si="91"/>
        <v>11.05841183</v>
      </c>
      <c r="AP23" s="471">
        <f t="shared" si="91"/>
        <v>11.40622653</v>
      </c>
      <c r="AQ23" s="471">
        <f t="shared" si="91"/>
        <v>7.638141429</v>
      </c>
      <c r="AR23" s="471">
        <f t="shared" si="91"/>
        <v>11.18423481</v>
      </c>
      <c r="AS23" s="471">
        <f t="shared" si="91"/>
        <v>7.23338911</v>
      </c>
      <c r="AT23" s="471">
        <f t="shared" si="91"/>
        <v>4.955403568</v>
      </c>
      <c r="AU23" s="471">
        <f t="shared" si="91"/>
        <v>1.245175444</v>
      </c>
      <c r="AV23" s="471">
        <f t="shared" si="91"/>
        <v>5.781028251</v>
      </c>
      <c r="AW23" s="471">
        <f t="shared" si="91"/>
        <v>1.897461937</v>
      </c>
      <c r="AX23" s="471">
        <f t="shared" si="91"/>
        <v>1.985491348</v>
      </c>
      <c r="AY23" s="471">
        <f t="shared" si="91"/>
        <v>3.349999551</v>
      </c>
      <c r="AZ23" s="471">
        <f t="shared" si="91"/>
        <v>6.832875621</v>
      </c>
      <c r="BA23" s="471">
        <f t="shared" si="91"/>
        <v>3.603852652</v>
      </c>
      <c r="BB23" s="471">
        <f t="shared" si="91"/>
        <v>6.367788693</v>
      </c>
      <c r="BC23" s="471">
        <f t="shared" si="91"/>
        <v>5.746461869</v>
      </c>
      <c r="BD23" s="471">
        <f t="shared" si="91"/>
        <v>3.974450485</v>
      </c>
      <c r="BE23" s="471">
        <f t="shared" si="91"/>
        <v>3.278182676</v>
      </c>
      <c r="BF23" s="471">
        <f t="shared" si="91"/>
        <v>4.718933222</v>
      </c>
      <c r="BG23" s="471">
        <f t="shared" si="91"/>
        <v>1.497058994</v>
      </c>
      <c r="BH23" s="471">
        <f t="shared" si="91"/>
        <v>4.190943084</v>
      </c>
      <c r="BI23" s="471">
        <f t="shared" si="91"/>
        <v>2.466087637</v>
      </c>
      <c r="BJ23" s="471">
        <f t="shared" si="91"/>
        <v>4.520735282</v>
      </c>
      <c r="BK23" s="471">
        <f t="shared" si="91"/>
        <v>3.216534971</v>
      </c>
      <c r="BL23" s="471">
        <f t="shared" si="91"/>
        <v>7.627870484</v>
      </c>
      <c r="BM23" s="471">
        <f t="shared" si="91"/>
        <v>30.41788507</v>
      </c>
      <c r="BN23" s="471">
        <f t="shared" si="91"/>
        <v>29.06327728</v>
      </c>
      <c r="BO23" s="471">
        <f t="shared" si="91"/>
        <v>27.09430165</v>
      </c>
      <c r="BP23" s="471">
        <f t="shared" si="91"/>
        <v>23.93631954</v>
      </c>
      <c r="BQ23" s="471">
        <f t="shared" si="91"/>
        <v>24.91782831</v>
      </c>
      <c r="BR23" s="471">
        <f t="shared" si="91"/>
        <v>3.173117169</v>
      </c>
      <c r="BS23" s="471">
        <f t="shared" si="91"/>
        <v>4.337419395</v>
      </c>
      <c r="BT23" s="471">
        <f t="shared" si="91"/>
        <v>4.820162783</v>
      </c>
      <c r="BU23" s="471">
        <f t="shared" si="91"/>
        <v>8.213328021</v>
      </c>
      <c r="BV23" s="471">
        <f t="shared" si="91"/>
        <v>1.935124116</v>
      </c>
      <c r="BW23" s="471">
        <f t="shared" si="91"/>
        <v>0.8120867742</v>
      </c>
      <c r="BX23" s="471">
        <f t="shared" si="91"/>
        <v>0.268307848</v>
      </c>
      <c r="BY23" s="471">
        <f t="shared" si="91"/>
        <v>-0.8121477788</v>
      </c>
      <c r="BZ23" s="471">
        <f t="shared" si="91"/>
        <v>0.5806643108</v>
      </c>
      <c r="CA23" s="471">
        <f t="shared" si="91"/>
        <v>-1.512388598</v>
      </c>
      <c r="CB23" s="471">
        <f t="shared" si="91"/>
        <v>-3.191426911</v>
      </c>
      <c r="CC23" s="471">
        <f t="shared" si="91"/>
        <v>-5.839778177</v>
      </c>
      <c r="CD23" s="471">
        <f t="shared" si="91"/>
        <v>-5.390343236</v>
      </c>
      <c r="CE23" s="471">
        <f t="shared" si="91"/>
        <v>-4.061477633</v>
      </c>
      <c r="CF23" s="471">
        <f t="shared" si="91"/>
        <v>4.694444879</v>
      </c>
      <c r="CG23" s="471">
        <f t="shared" si="91"/>
        <v>0</v>
      </c>
      <c r="CH23" s="471">
        <f t="shared" si="91"/>
        <v>0</v>
      </c>
      <c r="CI23" s="471">
        <f t="shared" si="91"/>
        <v>0</v>
      </c>
      <c r="CJ23" s="471">
        <f t="shared" si="91"/>
        <v>6.402389299</v>
      </c>
      <c r="CK23" s="471">
        <f t="shared" si="91"/>
        <v>0</v>
      </c>
      <c r="CL23" s="471">
        <f t="shared" si="91"/>
        <v>0</v>
      </c>
      <c r="CM23" s="471">
        <f t="shared" si="91"/>
        <v>0</v>
      </c>
      <c r="CN23" s="471">
        <f t="shared" si="91"/>
        <v>0</v>
      </c>
      <c r="CO23" s="471">
        <f t="shared" si="91"/>
        <v>0</v>
      </c>
      <c r="CP23" s="440"/>
      <c r="CQ23" s="440"/>
      <c r="CR23" s="440"/>
      <c r="CS23" s="440"/>
      <c r="CT23" s="440"/>
      <c r="CU23" s="440"/>
      <c r="CV23" s="440"/>
      <c r="CW23" s="440"/>
      <c r="CX23" s="440"/>
      <c r="CY23" s="440"/>
    </row>
    <row r="24" ht="24.75" customHeight="1">
      <c r="A24" s="482"/>
      <c r="B24" s="441"/>
      <c r="C24" s="472" t="s">
        <v>98</v>
      </c>
      <c r="D24" s="473">
        <f t="shared" ref="D24:H24" si="92">+IFERROR(D22/#REF!*100-100,0)</f>
        <v>0</v>
      </c>
      <c r="E24" s="474">
        <f t="shared" si="92"/>
        <v>0</v>
      </c>
      <c r="F24" s="474">
        <f t="shared" si="92"/>
        <v>0</v>
      </c>
      <c r="G24" s="474">
        <f t="shared" si="92"/>
        <v>0</v>
      </c>
      <c r="H24" s="474">
        <f t="shared" si="92"/>
        <v>0</v>
      </c>
      <c r="I24" s="474">
        <f t="shared" ref="I24:CO24" si="93">+IFERROR(I22/D22*100-100,0)</f>
        <v>0</v>
      </c>
      <c r="J24" s="474">
        <f t="shared" si="93"/>
        <v>0</v>
      </c>
      <c r="K24" s="474">
        <f t="shared" si="93"/>
        <v>0</v>
      </c>
      <c r="L24" s="474">
        <f t="shared" si="93"/>
        <v>0</v>
      </c>
      <c r="M24" s="474">
        <f t="shared" si="93"/>
        <v>0</v>
      </c>
      <c r="N24" s="474">
        <f t="shared" si="93"/>
        <v>0</v>
      </c>
      <c r="O24" s="474">
        <f t="shared" si="93"/>
        <v>0</v>
      </c>
      <c r="P24" s="474">
        <f t="shared" si="93"/>
        <v>0</v>
      </c>
      <c r="Q24" s="474">
        <f t="shared" si="93"/>
        <v>0</v>
      </c>
      <c r="R24" s="474">
        <f t="shared" si="93"/>
        <v>0</v>
      </c>
      <c r="S24" s="474">
        <f t="shared" si="93"/>
        <v>0</v>
      </c>
      <c r="T24" s="474">
        <f t="shared" si="93"/>
        <v>0</v>
      </c>
      <c r="U24" s="474">
        <f t="shared" si="93"/>
        <v>0</v>
      </c>
      <c r="V24" s="474">
        <f t="shared" si="93"/>
        <v>0</v>
      </c>
      <c r="W24" s="474">
        <f t="shared" si="93"/>
        <v>0</v>
      </c>
      <c r="X24" s="474">
        <f t="shared" si="93"/>
        <v>0</v>
      </c>
      <c r="Y24" s="474">
        <f t="shared" si="93"/>
        <v>0</v>
      </c>
      <c r="Z24" s="474">
        <f t="shared" si="93"/>
        <v>0</v>
      </c>
      <c r="AA24" s="474">
        <f t="shared" si="93"/>
        <v>0</v>
      </c>
      <c r="AB24" s="474">
        <f t="shared" si="93"/>
        <v>0</v>
      </c>
      <c r="AC24" s="474">
        <f t="shared" si="93"/>
        <v>0</v>
      </c>
      <c r="AD24" s="474">
        <f t="shared" si="93"/>
        <v>0</v>
      </c>
      <c r="AE24" s="474">
        <f t="shared" si="93"/>
        <v>0</v>
      </c>
      <c r="AF24" s="474">
        <f t="shared" si="93"/>
        <v>0</v>
      </c>
      <c r="AG24" s="474">
        <f t="shared" si="93"/>
        <v>0</v>
      </c>
      <c r="AH24" s="474">
        <f t="shared" si="93"/>
        <v>0</v>
      </c>
      <c r="AI24" s="474">
        <f t="shared" si="93"/>
        <v>0</v>
      </c>
      <c r="AJ24" s="474">
        <f t="shared" si="93"/>
        <v>0</v>
      </c>
      <c r="AK24" s="474">
        <f t="shared" si="93"/>
        <v>0</v>
      </c>
      <c r="AL24" s="474">
        <f t="shared" si="93"/>
        <v>0</v>
      </c>
      <c r="AM24" s="474">
        <f t="shared" si="93"/>
        <v>0</v>
      </c>
      <c r="AN24" s="474">
        <f t="shared" si="93"/>
        <v>0</v>
      </c>
      <c r="AO24" s="474">
        <f t="shared" si="93"/>
        <v>0</v>
      </c>
      <c r="AP24" s="474">
        <f t="shared" si="93"/>
        <v>0</v>
      </c>
      <c r="AQ24" s="474">
        <f t="shared" si="93"/>
        <v>0</v>
      </c>
      <c r="AR24" s="474">
        <f t="shared" si="93"/>
        <v>0</v>
      </c>
      <c r="AS24" s="474">
        <f t="shared" si="93"/>
        <v>0</v>
      </c>
      <c r="AT24" s="474">
        <f t="shared" si="93"/>
        <v>0</v>
      </c>
      <c r="AU24" s="474">
        <f t="shared" si="93"/>
        <v>0</v>
      </c>
      <c r="AV24" s="474">
        <f t="shared" si="93"/>
        <v>0</v>
      </c>
      <c r="AW24" s="474">
        <f t="shared" si="93"/>
        <v>0</v>
      </c>
      <c r="AX24" s="474">
        <f t="shared" si="93"/>
        <v>0</v>
      </c>
      <c r="AY24" s="474">
        <f t="shared" si="93"/>
        <v>0</v>
      </c>
      <c r="AZ24" s="474">
        <f t="shared" si="93"/>
        <v>0</v>
      </c>
      <c r="BA24" s="474">
        <f t="shared" si="93"/>
        <v>0</v>
      </c>
      <c r="BB24" s="474">
        <f t="shared" si="93"/>
        <v>0</v>
      </c>
      <c r="BC24" s="474">
        <f t="shared" si="93"/>
        <v>0</v>
      </c>
      <c r="BD24" s="474">
        <f t="shared" si="93"/>
        <v>0</v>
      </c>
      <c r="BE24" s="474">
        <f t="shared" si="93"/>
        <v>0</v>
      </c>
      <c r="BF24" s="474">
        <f t="shared" si="93"/>
        <v>0</v>
      </c>
      <c r="BG24" s="474">
        <f t="shared" si="93"/>
        <v>-24.21292432</v>
      </c>
      <c r="BH24" s="474">
        <f t="shared" si="93"/>
        <v>-21.26141677</v>
      </c>
      <c r="BI24" s="474">
        <f t="shared" si="93"/>
        <v>-36.81859431</v>
      </c>
      <c r="BJ24" s="474">
        <f t="shared" si="93"/>
        <v>154.6463873</v>
      </c>
      <c r="BK24" s="474">
        <f t="shared" si="93"/>
        <v>10.76767812</v>
      </c>
      <c r="BL24" s="474">
        <f t="shared" si="93"/>
        <v>-54.45337232</v>
      </c>
      <c r="BM24" s="474">
        <f t="shared" si="93"/>
        <v>-50.88990576</v>
      </c>
      <c r="BN24" s="474">
        <f t="shared" si="93"/>
        <v>-40.64418126</v>
      </c>
      <c r="BO24" s="474">
        <f t="shared" si="93"/>
        <v>-84.24314133</v>
      </c>
      <c r="BP24" s="474">
        <f t="shared" si="93"/>
        <v>-65.89293159</v>
      </c>
      <c r="BQ24" s="474">
        <f t="shared" si="93"/>
        <v>37.51966796</v>
      </c>
      <c r="BR24" s="474">
        <f t="shared" si="93"/>
        <v>112.1642361</v>
      </c>
      <c r="BS24" s="474">
        <f t="shared" si="93"/>
        <v>145.8608909</v>
      </c>
      <c r="BT24" s="474">
        <f t="shared" si="93"/>
        <v>104.7131628</v>
      </c>
      <c r="BU24" s="474">
        <f t="shared" si="93"/>
        <v>89.88675683</v>
      </c>
      <c r="BV24" s="474">
        <f t="shared" si="93"/>
        <v>68.01280323</v>
      </c>
      <c r="BW24" s="474">
        <f t="shared" si="93"/>
        <v>0.1399512989</v>
      </c>
      <c r="BX24" s="474">
        <f t="shared" si="93"/>
        <v>-16.06213838</v>
      </c>
      <c r="BY24" s="474">
        <f t="shared" si="93"/>
        <v>0.8095285818</v>
      </c>
      <c r="BZ24" s="474">
        <f t="shared" si="93"/>
        <v>12.84455801</v>
      </c>
      <c r="CA24" s="474">
        <f t="shared" si="93"/>
        <v>-3.436872072</v>
      </c>
      <c r="CB24" s="474">
        <f t="shared" si="93"/>
        <v>-6.717781438</v>
      </c>
      <c r="CC24" s="474">
        <f t="shared" si="93"/>
        <v>-8.490042554</v>
      </c>
      <c r="CD24" s="474">
        <f t="shared" si="93"/>
        <v>-11.4000592</v>
      </c>
      <c r="CE24" s="474">
        <f t="shared" si="93"/>
        <v>-8.063058585</v>
      </c>
      <c r="CF24" s="474">
        <f t="shared" si="93"/>
        <v>5.70261891</v>
      </c>
      <c r="CG24" s="474">
        <f t="shared" si="93"/>
        <v>0</v>
      </c>
      <c r="CH24" s="474">
        <f t="shared" si="93"/>
        <v>0</v>
      </c>
      <c r="CI24" s="474">
        <f t="shared" si="93"/>
        <v>0</v>
      </c>
      <c r="CJ24" s="474">
        <f t="shared" si="93"/>
        <v>8.448861185</v>
      </c>
      <c r="CK24" s="474">
        <f t="shared" si="93"/>
        <v>0</v>
      </c>
      <c r="CL24" s="474">
        <f t="shared" si="93"/>
        <v>0</v>
      </c>
      <c r="CM24" s="474">
        <f t="shared" si="93"/>
        <v>0</v>
      </c>
      <c r="CN24" s="474">
        <f t="shared" si="93"/>
        <v>0</v>
      </c>
      <c r="CO24" s="474">
        <f t="shared" si="93"/>
        <v>0</v>
      </c>
    </row>
    <row r="25" ht="24.75" customHeight="1">
      <c r="A25" s="440"/>
      <c r="B25" s="483" t="s">
        <v>107</v>
      </c>
      <c r="C25" s="476" t="s">
        <v>97</v>
      </c>
      <c r="D25" s="477">
        <f t="shared" ref="D25:D26" si="112">+IFERROR(D21/#REF!*100-100,0)</f>
        <v>0</v>
      </c>
      <c r="E25" s="478">
        <f t="shared" ref="E25:G25" si="94">+IFERROR(E21/D21*100-100,0)</f>
        <v>1.485470306</v>
      </c>
      <c r="F25" s="478">
        <f t="shared" si="94"/>
        <v>11.93591344</v>
      </c>
      <c r="G25" s="478">
        <f t="shared" si="94"/>
        <v>4.64489907</v>
      </c>
      <c r="H25" s="478"/>
      <c r="I25" s="478">
        <f t="shared" ref="I25:I26" si="114">+IFERROR(I21/G21*100-100,0)</f>
        <v>-9.293056251</v>
      </c>
      <c r="J25" s="478">
        <f t="shared" ref="J25:L25" si="95">+IFERROR(J21/I21*100-100,0)</f>
        <v>3.797709182</v>
      </c>
      <c r="K25" s="478">
        <f t="shared" si="95"/>
        <v>-1.663825304</v>
      </c>
      <c r="L25" s="478">
        <f t="shared" si="95"/>
        <v>9.339268745</v>
      </c>
      <c r="M25" s="478"/>
      <c r="N25" s="478">
        <f t="shared" ref="N25:N26" si="116">+IFERROR(N21/L21*100-100,0)</f>
        <v>-14.15117092</v>
      </c>
      <c r="O25" s="478">
        <f t="shared" ref="O25:Q25" si="96">+IFERROR(O21/N21*100-100,0)</f>
        <v>-34.39215466</v>
      </c>
      <c r="P25" s="478">
        <f t="shared" si="96"/>
        <v>123.811857</v>
      </c>
      <c r="Q25" s="478">
        <f t="shared" si="96"/>
        <v>-10.83961906</v>
      </c>
      <c r="R25" s="478"/>
      <c r="S25" s="478">
        <f t="shared" ref="S25:S26" si="118">+IFERROR(S21/Q21*100-100,0)</f>
        <v>-19.88297543</v>
      </c>
      <c r="T25" s="478">
        <f t="shared" ref="T25:V25" si="97">+IFERROR(T21/S21*100-100,0)</f>
        <v>10.96415377</v>
      </c>
      <c r="U25" s="478">
        <f t="shared" si="97"/>
        <v>-12.201341</v>
      </c>
      <c r="V25" s="478">
        <f t="shared" si="97"/>
        <v>2.62252763</v>
      </c>
      <c r="W25" s="478"/>
      <c r="X25" s="478">
        <f t="shared" ref="X25:X26" si="120">+IFERROR(X21/V21*100-100,0)</f>
        <v>7.840179059</v>
      </c>
      <c r="Y25" s="478">
        <f t="shared" ref="Y25:AA25" si="98">+IFERROR(Y21/X21*100-100,0)</f>
        <v>1.611558766</v>
      </c>
      <c r="Z25" s="478">
        <f t="shared" si="98"/>
        <v>-1.914137271</v>
      </c>
      <c r="AA25" s="478">
        <f t="shared" si="98"/>
        <v>3.261124507</v>
      </c>
      <c r="AB25" s="478"/>
      <c r="AC25" s="478">
        <f t="shared" ref="AC25:AC26" si="122">+IFERROR(AC21/AA21*100-100,0)</f>
        <v>1.954860038</v>
      </c>
      <c r="AD25" s="478">
        <f t="shared" ref="AD25:AF25" si="99">+IFERROR(AD21/AC21*100-100,0)</f>
        <v>0.954666508</v>
      </c>
      <c r="AE25" s="478">
        <f t="shared" si="99"/>
        <v>-0.2051985309</v>
      </c>
      <c r="AF25" s="478">
        <f t="shared" si="99"/>
        <v>0.5801249188</v>
      </c>
      <c r="AG25" s="478"/>
      <c r="AH25" s="478">
        <f t="shared" ref="AH25:AH26" si="124">+IFERROR(AH21/AF21*100-100,0)</f>
        <v>2.855166358</v>
      </c>
      <c r="AI25" s="478">
        <f t="shared" ref="AI25:AK25" si="100">+IFERROR(AI21/AH21*100-100,0)</f>
        <v>-2.407894926</v>
      </c>
      <c r="AJ25" s="478">
        <f t="shared" si="100"/>
        <v>0.3538875306</v>
      </c>
      <c r="AK25" s="478">
        <f t="shared" si="100"/>
        <v>0.06367459339</v>
      </c>
      <c r="AL25" s="478"/>
      <c r="AM25" s="478">
        <f t="shared" ref="AM25:AM26" si="126">+IFERROR(AM21/AK21*100-100,0)</f>
        <v>1.875470297</v>
      </c>
      <c r="AN25" s="478">
        <f t="shared" ref="AN25:AP25" si="101">+IFERROR(AN21/AM21*100-100,0)</f>
        <v>4.487229273</v>
      </c>
      <c r="AO25" s="478">
        <f t="shared" si="101"/>
        <v>4.2658701</v>
      </c>
      <c r="AP25" s="478">
        <f t="shared" si="101"/>
        <v>0.3770557879</v>
      </c>
      <c r="AQ25" s="478"/>
      <c r="AR25" s="478">
        <f t="shared" ref="AR25:AR26" si="128">+IFERROR(AR21/AP21*100-100,0)</f>
        <v>1.672469871</v>
      </c>
      <c r="AS25" s="478">
        <f t="shared" ref="AS25:AU25" si="102">+IFERROR(AS21/AR21*100-100,0)</f>
        <v>0.7743564806</v>
      </c>
      <c r="AT25" s="478">
        <f t="shared" si="102"/>
        <v>2.050924302</v>
      </c>
      <c r="AU25" s="478">
        <f t="shared" si="102"/>
        <v>-3.17132536</v>
      </c>
      <c r="AV25" s="478"/>
      <c r="AW25" s="478">
        <f t="shared" ref="AW25:AW26" si="130">+IFERROR(AW21/AU21*100-100,0)</f>
        <v>2.327509269</v>
      </c>
      <c r="AX25" s="478">
        <f t="shared" ref="AX25:AZ25" si="103">+IFERROR(AX21/AW21*100-100,0)</f>
        <v>0.8614156384</v>
      </c>
      <c r="AY25" s="478">
        <f t="shared" si="103"/>
        <v>3.416307961</v>
      </c>
      <c r="AZ25" s="478">
        <f t="shared" si="103"/>
        <v>0.09178325439</v>
      </c>
      <c r="BA25" s="478"/>
      <c r="BB25" s="478">
        <f t="shared" ref="BB25:BB26" si="132">+IFERROR(BB21/AZ21*100-100,0)</f>
        <v>1.882036031</v>
      </c>
      <c r="BC25" s="478">
        <f t="shared" ref="BC25:BE25" si="104">+IFERROR(BC21/BB21*100-100,0)</f>
        <v>0.272253226</v>
      </c>
      <c r="BD25" s="478">
        <f t="shared" si="104"/>
        <v>1.683343361</v>
      </c>
      <c r="BE25" s="478">
        <f t="shared" si="104"/>
        <v>-0.5784841652</v>
      </c>
      <c r="BF25" s="478"/>
      <c r="BG25" s="478">
        <f t="shared" ref="BG25:BG26" si="134">+IFERROR(BG21/BE21*100-100,0)</f>
        <v>0.1249901343</v>
      </c>
      <c r="BH25" s="478">
        <f t="shared" ref="BH25:BJ25" si="105">+IFERROR(BH21/BG21*100-100,0)</f>
        <v>2.933629135</v>
      </c>
      <c r="BI25" s="478">
        <f t="shared" si="105"/>
        <v>0.0000006108029709</v>
      </c>
      <c r="BJ25" s="478">
        <f t="shared" si="105"/>
        <v>1.415113796</v>
      </c>
      <c r="BK25" s="478"/>
      <c r="BL25" s="478">
        <f t="shared" ref="BL25:BL26" si="136">+IFERROR(BL21/BJ21*100-100,0)</f>
        <v>3.10145103</v>
      </c>
      <c r="BM25" s="478">
        <f t="shared" ref="BM25:BO25" si="106">+IFERROR(BM21/BL21*100-100,0)</f>
        <v>24.72964627</v>
      </c>
      <c r="BN25" s="478">
        <f t="shared" si="106"/>
        <v>-1.038666591</v>
      </c>
      <c r="BO25" s="478">
        <f t="shared" si="106"/>
        <v>-0.132064394</v>
      </c>
      <c r="BP25" s="478"/>
      <c r="BQ25" s="478">
        <f t="shared" ref="BQ25:BQ26" si="138">+IFERROR(BQ21/BO21*100-100,0)</f>
        <v>1.335852127</v>
      </c>
      <c r="BR25" s="478">
        <f t="shared" ref="BR25:BT25" si="107">+IFERROR(BR21/BQ21*100-100,0)</f>
        <v>3.017692378</v>
      </c>
      <c r="BS25" s="478">
        <f t="shared" si="107"/>
        <v>0.07810591604</v>
      </c>
      <c r="BT25" s="478">
        <f t="shared" si="107"/>
        <v>0.3299997996</v>
      </c>
      <c r="BU25" s="478"/>
      <c r="BV25" s="478">
        <f t="shared" ref="BV25:BV26" si="140">+IFERROR(BV21/BT21*100-100,0)</f>
        <v>-1.45328542</v>
      </c>
      <c r="BW25" s="478">
        <f t="shared" ref="BW25:BY25" si="108">+IFERROR(BW21/BV21*100-100,0)</f>
        <v>1.88272819</v>
      </c>
      <c r="BX25" s="478">
        <f t="shared" si="108"/>
        <v>-0.4617139281</v>
      </c>
      <c r="BY25" s="478">
        <f t="shared" si="108"/>
        <v>-0.7511205978</v>
      </c>
      <c r="BZ25" s="478"/>
      <c r="CA25" s="478">
        <f t="shared" ref="CA25:CA26" si="142">+IFERROR(CA21/BY21*100-100,0)</f>
        <v>-2.148999971</v>
      </c>
      <c r="CB25" s="478">
        <f t="shared" ref="CB25:CD25" si="109">+IFERROR(CB21/CA21*100-100,0)</f>
        <v>0.1458091839</v>
      </c>
      <c r="CC25" s="478">
        <f t="shared" si="109"/>
        <v>-3.1847408</v>
      </c>
      <c r="CD25" s="478">
        <f t="shared" si="109"/>
        <v>-0.2773970508</v>
      </c>
      <c r="CE25" s="478"/>
      <c r="CF25" s="478">
        <f t="shared" ref="CF25:CF26" si="144">+IFERROR(CF21/CD21*100-100,0)</f>
        <v>8.281294736</v>
      </c>
      <c r="CG25" s="478">
        <f t="shared" ref="CG25:CI25" si="110">+IFERROR(CG21/CF21*100-100,0)</f>
        <v>0</v>
      </c>
      <c r="CH25" s="478">
        <f t="shared" si="110"/>
        <v>0</v>
      </c>
      <c r="CI25" s="478">
        <f t="shared" si="110"/>
        <v>0</v>
      </c>
      <c r="CJ25" s="478"/>
      <c r="CK25" s="478">
        <f t="shared" ref="CK25:CK26" si="146">+IFERROR(CK21/CI21*100-100,0)</f>
        <v>0</v>
      </c>
      <c r="CL25" s="478">
        <f t="shared" ref="CL25:CN25" si="111">+IFERROR(CL21/CK21*100-100,0)</f>
        <v>0</v>
      </c>
      <c r="CM25" s="478">
        <f t="shared" si="111"/>
        <v>0</v>
      </c>
      <c r="CN25" s="478">
        <f t="shared" si="111"/>
        <v>0</v>
      </c>
      <c r="CO25" s="478"/>
      <c r="CP25" s="440"/>
      <c r="CQ25" s="440"/>
      <c r="CR25" s="440"/>
      <c r="CS25" s="440"/>
      <c r="CT25" s="440"/>
      <c r="CU25" s="440"/>
      <c r="CV25" s="440"/>
      <c r="CW25" s="440"/>
      <c r="CX25" s="440"/>
      <c r="CY25" s="440"/>
    </row>
    <row r="26" ht="24.75" customHeight="1">
      <c r="B26" s="55"/>
      <c r="C26" s="479" t="s">
        <v>98</v>
      </c>
      <c r="D26" s="480">
        <f t="shared" si="112"/>
        <v>0</v>
      </c>
      <c r="E26" s="481">
        <f t="shared" ref="E26:G26" si="113">+IFERROR(E22/D22*100-100,0)</f>
        <v>0</v>
      </c>
      <c r="F26" s="481">
        <f t="shared" si="113"/>
        <v>0</v>
      </c>
      <c r="G26" s="481">
        <f t="shared" si="113"/>
        <v>0</v>
      </c>
      <c r="H26" s="481"/>
      <c r="I26" s="481">
        <f t="shared" si="114"/>
        <v>0</v>
      </c>
      <c r="J26" s="481">
        <f t="shared" ref="J26:L26" si="115">+IFERROR(J22/I22*100-100,0)</f>
        <v>0</v>
      </c>
      <c r="K26" s="481">
        <f t="shared" si="115"/>
        <v>0</v>
      </c>
      <c r="L26" s="481">
        <f t="shared" si="115"/>
        <v>0</v>
      </c>
      <c r="M26" s="481"/>
      <c r="N26" s="481">
        <f t="shared" si="116"/>
        <v>0</v>
      </c>
      <c r="O26" s="481">
        <f t="shared" ref="O26:Q26" si="117">+IFERROR(O22/N22*100-100,0)</f>
        <v>0</v>
      </c>
      <c r="P26" s="481">
        <f t="shared" si="117"/>
        <v>0</v>
      </c>
      <c r="Q26" s="481">
        <f t="shared" si="117"/>
        <v>0</v>
      </c>
      <c r="R26" s="481"/>
      <c r="S26" s="481">
        <f t="shared" si="118"/>
        <v>0</v>
      </c>
      <c r="T26" s="481">
        <f t="shared" ref="T26:V26" si="119">+IFERROR(T22/S22*100-100,0)</f>
        <v>0</v>
      </c>
      <c r="U26" s="481">
        <f t="shared" si="119"/>
        <v>0</v>
      </c>
      <c r="V26" s="481">
        <f t="shared" si="119"/>
        <v>0</v>
      </c>
      <c r="W26" s="481"/>
      <c r="X26" s="481">
        <f t="shared" si="120"/>
        <v>0</v>
      </c>
      <c r="Y26" s="481">
        <f t="shared" ref="Y26:AA26" si="121">+IFERROR(Y22/X22*100-100,0)</f>
        <v>0</v>
      </c>
      <c r="Z26" s="481">
        <f t="shared" si="121"/>
        <v>0</v>
      </c>
      <c r="AA26" s="481">
        <f t="shared" si="121"/>
        <v>0</v>
      </c>
      <c r="AB26" s="481"/>
      <c r="AC26" s="481">
        <f t="shared" si="122"/>
        <v>0</v>
      </c>
      <c r="AD26" s="481">
        <f t="shared" ref="AD26:AF26" si="123">+IFERROR(AD22/AC22*100-100,0)</f>
        <v>0</v>
      </c>
      <c r="AE26" s="481">
        <f t="shared" si="123"/>
        <v>0</v>
      </c>
      <c r="AF26" s="481">
        <f t="shared" si="123"/>
        <v>0</v>
      </c>
      <c r="AG26" s="481"/>
      <c r="AH26" s="481">
        <f t="shared" si="124"/>
        <v>0</v>
      </c>
      <c r="AI26" s="481">
        <f t="shared" ref="AI26:AK26" si="125">+IFERROR(AI22/AH22*100-100,0)</f>
        <v>0</v>
      </c>
      <c r="AJ26" s="481">
        <f t="shared" si="125"/>
        <v>0</v>
      </c>
      <c r="AK26" s="481">
        <f t="shared" si="125"/>
        <v>0</v>
      </c>
      <c r="AL26" s="481"/>
      <c r="AM26" s="481">
        <f t="shared" si="126"/>
        <v>0</v>
      </c>
      <c r="AN26" s="481">
        <f t="shared" ref="AN26:AP26" si="127">+IFERROR(AN22/AM22*100-100,0)</f>
        <v>0</v>
      </c>
      <c r="AO26" s="481">
        <f t="shared" si="127"/>
        <v>0</v>
      </c>
      <c r="AP26" s="481">
        <f t="shared" si="127"/>
        <v>0</v>
      </c>
      <c r="AQ26" s="481"/>
      <c r="AR26" s="481">
        <f t="shared" si="128"/>
        <v>0</v>
      </c>
      <c r="AS26" s="481">
        <f t="shared" ref="AS26:AU26" si="129">+IFERROR(AS22/AR22*100-100,0)</f>
        <v>0</v>
      </c>
      <c r="AT26" s="481">
        <f t="shared" si="129"/>
        <v>0</v>
      </c>
      <c r="AU26" s="481">
        <f t="shared" si="129"/>
        <v>0</v>
      </c>
      <c r="AV26" s="481"/>
      <c r="AW26" s="481">
        <f t="shared" si="130"/>
        <v>0</v>
      </c>
      <c r="AX26" s="481">
        <f t="shared" ref="AX26:AZ26" si="131">+IFERROR(AX22/AW22*100-100,0)</f>
        <v>0</v>
      </c>
      <c r="AY26" s="481">
        <f t="shared" si="131"/>
        <v>0</v>
      </c>
      <c r="AZ26" s="481">
        <f t="shared" si="131"/>
        <v>0</v>
      </c>
      <c r="BA26" s="481"/>
      <c r="BB26" s="481">
        <f t="shared" si="132"/>
        <v>0</v>
      </c>
      <c r="BC26" s="481">
        <f t="shared" ref="BC26:BE26" si="133">+IFERROR(BC22/BB22*100-100,0)</f>
        <v>0.5727690105</v>
      </c>
      <c r="BD26" s="481">
        <f t="shared" si="133"/>
        <v>4.769186771</v>
      </c>
      <c r="BE26" s="481">
        <f t="shared" si="133"/>
        <v>-6.535771541</v>
      </c>
      <c r="BF26" s="481"/>
      <c r="BG26" s="481">
        <f t="shared" si="134"/>
        <v>-23.04519464</v>
      </c>
      <c r="BH26" s="481">
        <f t="shared" ref="BH26:BJ26" si="135">+IFERROR(BH22/BG22*100-100,0)</f>
        <v>4.489548814</v>
      </c>
      <c r="BI26" s="481">
        <f t="shared" si="135"/>
        <v>-15.93112015</v>
      </c>
      <c r="BJ26" s="481">
        <f t="shared" si="135"/>
        <v>276.6983</v>
      </c>
      <c r="BK26" s="481"/>
      <c r="BL26" s="481">
        <f t="shared" si="136"/>
        <v>-86.23568979</v>
      </c>
      <c r="BM26" s="481">
        <f t="shared" ref="BM26:BO26" si="137">+IFERROR(BM22/BL22*100-100,0)</f>
        <v>12.66457806</v>
      </c>
      <c r="BN26" s="481">
        <f t="shared" si="137"/>
        <v>1.607974324</v>
      </c>
      <c r="BO26" s="481">
        <f t="shared" si="137"/>
        <v>0</v>
      </c>
      <c r="BP26" s="481"/>
      <c r="BQ26" s="481">
        <f t="shared" si="138"/>
        <v>20.12948832</v>
      </c>
      <c r="BR26" s="481">
        <f t="shared" ref="BR26:BT26" si="139">+IFERROR(BR22/BQ22*100-100,0)</f>
        <v>73.81800359</v>
      </c>
      <c r="BS26" s="481">
        <f t="shared" si="139"/>
        <v>17.74570279</v>
      </c>
      <c r="BT26" s="481">
        <f t="shared" si="139"/>
        <v>-16.73618278</v>
      </c>
      <c r="BU26" s="481"/>
      <c r="BV26" s="481">
        <f t="shared" si="140"/>
        <v>-1.406964712</v>
      </c>
      <c r="BW26" s="481">
        <f t="shared" ref="BW26:BY26" si="141">+IFERROR(BW22/BV22*100-100,0)</f>
        <v>3.6</v>
      </c>
      <c r="BX26" s="481">
        <f t="shared" si="141"/>
        <v>-1.3049</v>
      </c>
      <c r="BY26" s="481">
        <f t="shared" si="141"/>
        <v>0</v>
      </c>
      <c r="BZ26" s="481"/>
      <c r="CA26" s="481">
        <f t="shared" si="142"/>
        <v>-5.56</v>
      </c>
      <c r="CB26" s="481">
        <f t="shared" ref="CB26:CD26" si="143">+IFERROR(CB22/CA22*100-100,0)</f>
        <v>0.08</v>
      </c>
      <c r="CC26" s="481">
        <f t="shared" si="143"/>
        <v>-3.18</v>
      </c>
      <c r="CD26" s="481">
        <f t="shared" si="143"/>
        <v>-3.18</v>
      </c>
      <c r="CE26" s="481"/>
      <c r="CF26" s="481">
        <f t="shared" si="144"/>
        <v>12.67</v>
      </c>
      <c r="CG26" s="481">
        <f t="shared" ref="CG26:CI26" si="145">+IFERROR(CG22/CF22*100-100,0)</f>
        <v>0</v>
      </c>
      <c r="CH26" s="481">
        <f t="shared" si="145"/>
        <v>0</v>
      </c>
      <c r="CI26" s="481">
        <f t="shared" si="145"/>
        <v>0</v>
      </c>
      <c r="CJ26" s="481"/>
      <c r="CK26" s="481">
        <f t="shared" si="146"/>
        <v>0</v>
      </c>
      <c r="CL26" s="481">
        <f t="shared" ref="CL26:CN26" si="147">+IFERROR(CL22/CK22*100-100,0)</f>
        <v>0</v>
      </c>
      <c r="CM26" s="481">
        <f t="shared" si="147"/>
        <v>0</v>
      </c>
      <c r="CN26" s="481">
        <f t="shared" si="147"/>
        <v>0</v>
      </c>
      <c r="CO26" s="481"/>
    </row>
    <row r="27" ht="24.75" customHeight="1">
      <c r="B27" s="484"/>
      <c r="C27" s="472"/>
      <c r="D27" s="485"/>
      <c r="E27" s="484"/>
      <c r="F27" s="484"/>
      <c r="G27" s="484"/>
      <c r="H27" s="484"/>
      <c r="I27" s="484"/>
      <c r="J27" s="484"/>
      <c r="K27" s="484"/>
      <c r="L27" s="484"/>
      <c r="M27" s="484"/>
      <c r="N27" s="484"/>
      <c r="O27" s="484"/>
      <c r="P27" s="484"/>
      <c r="Q27" s="484"/>
      <c r="R27" s="484"/>
      <c r="S27" s="484"/>
      <c r="T27" s="484"/>
      <c r="U27" s="484"/>
      <c r="V27" s="484"/>
      <c r="W27" s="484"/>
      <c r="X27" s="484"/>
      <c r="Y27" s="484"/>
      <c r="Z27" s="484"/>
      <c r="AA27" s="484"/>
      <c r="AB27" s="484"/>
      <c r="AC27" s="484"/>
      <c r="AD27" s="484"/>
      <c r="AE27" s="484"/>
      <c r="AF27" s="484"/>
      <c r="AG27" s="484"/>
      <c r="AH27" s="484"/>
      <c r="AI27" s="484"/>
      <c r="AJ27" s="484"/>
      <c r="AK27" s="484"/>
      <c r="AL27" s="484"/>
      <c r="AM27" s="484"/>
      <c r="AN27" s="484"/>
      <c r="AO27" s="484"/>
      <c r="AP27" s="484"/>
      <c r="AQ27" s="484"/>
      <c r="AR27" s="484"/>
      <c r="AS27" s="484"/>
      <c r="AT27" s="484"/>
      <c r="AU27" s="484"/>
      <c r="AV27" s="484"/>
      <c r="AW27" s="484"/>
      <c r="AX27" s="484"/>
      <c r="AY27" s="484"/>
      <c r="AZ27" s="484"/>
      <c r="BA27" s="484"/>
      <c r="BB27" s="484"/>
      <c r="BC27" s="484"/>
      <c r="BD27" s="484"/>
      <c r="BE27" s="484"/>
      <c r="BF27" s="484"/>
      <c r="BG27" s="484"/>
      <c r="BH27" s="484"/>
      <c r="BI27" s="484"/>
      <c r="BJ27" s="484"/>
      <c r="BK27" s="484"/>
      <c r="BL27" s="484"/>
      <c r="BM27" s="484"/>
      <c r="BN27" s="484"/>
      <c r="BO27" s="484"/>
      <c r="BP27" s="484"/>
      <c r="BQ27" s="484"/>
      <c r="BR27" s="484"/>
      <c r="BS27" s="484"/>
      <c r="BT27" s="484"/>
      <c r="BU27" s="484"/>
      <c r="BV27" s="484"/>
      <c r="BW27" s="484"/>
      <c r="BX27" s="484"/>
      <c r="BY27" s="484"/>
      <c r="BZ27" s="484"/>
      <c r="CA27" s="484"/>
      <c r="CB27" s="484"/>
      <c r="CC27" s="484"/>
      <c r="CD27" s="484"/>
      <c r="CE27" s="484"/>
      <c r="CF27" s="484"/>
      <c r="CG27" s="484"/>
      <c r="CH27" s="484"/>
      <c r="CI27" s="484"/>
      <c r="CJ27" s="484"/>
      <c r="CK27" s="484"/>
      <c r="CL27" s="484"/>
      <c r="CM27" s="484"/>
      <c r="CN27" s="484"/>
      <c r="CO27" s="484"/>
    </row>
    <row r="28" ht="24.75" customHeight="1">
      <c r="A28" s="486"/>
      <c r="B28" s="487" t="s">
        <v>108</v>
      </c>
      <c r="C28" s="472" t="s">
        <v>26</v>
      </c>
      <c r="D28" s="473"/>
      <c r="E28" s="474"/>
      <c r="F28" s="474"/>
      <c r="G28" s="474"/>
      <c r="H28" s="474">
        <f t="shared" ref="H28:H29" si="148">SUM(D28:G28)</f>
        <v>0</v>
      </c>
      <c r="I28" s="474"/>
      <c r="J28" s="474"/>
      <c r="K28" s="474"/>
      <c r="L28" s="474"/>
      <c r="M28" s="474">
        <f t="shared" ref="M28:M29" si="149">SUM(I28:L28)</f>
        <v>0</v>
      </c>
      <c r="N28" s="474"/>
      <c r="O28" s="474"/>
      <c r="P28" s="474"/>
      <c r="Q28" s="474"/>
      <c r="R28" s="474">
        <f t="shared" ref="R28:R29" si="150">SUM(N28:Q28)</f>
        <v>0</v>
      </c>
      <c r="S28" s="474"/>
      <c r="T28" s="474"/>
      <c r="U28" s="474"/>
      <c r="V28" s="474"/>
      <c r="W28" s="474">
        <f t="shared" ref="W28:W29" si="151">SUM(S28:V28)</f>
        <v>0</v>
      </c>
      <c r="X28" s="474"/>
      <c r="Y28" s="474"/>
      <c r="Z28" s="474"/>
      <c r="AA28" s="474"/>
      <c r="AB28" s="474">
        <f t="shared" ref="AB28:AB29" si="152">SUM(X28:AA28)</f>
        <v>0</v>
      </c>
      <c r="AC28" s="474"/>
      <c r="AD28" s="474"/>
      <c r="AE28" s="474"/>
      <c r="AF28" s="474"/>
      <c r="AG28" s="474">
        <f t="shared" ref="AG28:AG29" si="153">SUM(AC28:AF28)</f>
        <v>0</v>
      </c>
      <c r="AH28" s="474"/>
      <c r="AI28" s="474"/>
      <c r="AJ28" s="474"/>
      <c r="AK28" s="474"/>
      <c r="AL28" s="474">
        <f t="shared" ref="AL28:AL29" si="154">SUM(AH28:AK28)</f>
        <v>0</v>
      </c>
      <c r="AM28" s="474"/>
      <c r="AN28" s="474"/>
      <c r="AO28" s="474"/>
      <c r="AP28" s="474"/>
      <c r="AQ28" s="474">
        <f t="shared" ref="AQ28:AQ29" si="155">SUM(AM28:AP28)</f>
        <v>0</v>
      </c>
      <c r="AR28" s="474"/>
      <c r="AS28" s="474"/>
      <c r="AT28" s="474"/>
      <c r="AU28" s="474"/>
      <c r="AV28" s="474">
        <f t="shared" ref="AV28:AV29" si="156">SUM(AR28:AU28)</f>
        <v>0</v>
      </c>
      <c r="AW28" s="474"/>
      <c r="AX28" s="474"/>
      <c r="AY28" s="474"/>
      <c r="AZ28" s="474"/>
      <c r="BA28" s="474">
        <f t="shared" ref="BA28:BA29" si="157">SUM(AW28:AZ28)</f>
        <v>0</v>
      </c>
      <c r="BB28" s="474"/>
      <c r="BC28" s="474"/>
      <c r="BD28" s="474"/>
      <c r="BE28" s="474"/>
      <c r="BF28" s="474">
        <f t="shared" ref="BF28:BF29" si="158">SUM(BB28:BE28)</f>
        <v>0</v>
      </c>
      <c r="BG28" s="474"/>
      <c r="BH28" s="474"/>
      <c r="BI28" s="474"/>
      <c r="BJ28" s="474"/>
      <c r="BK28" s="474">
        <f t="shared" ref="BK28:BK29" si="159">SUM(BG28:BJ28)</f>
        <v>0</v>
      </c>
      <c r="BL28" s="474"/>
      <c r="BM28" s="474"/>
      <c r="BN28" s="474"/>
      <c r="BO28" s="474"/>
      <c r="BP28" s="474">
        <f t="shared" ref="BP28:BP29" si="160">SUM(BL28:BO28)</f>
        <v>0</v>
      </c>
      <c r="BQ28" s="474"/>
      <c r="BR28" s="474"/>
      <c r="BS28" s="474"/>
      <c r="BT28" s="474"/>
      <c r="BU28" s="474">
        <f t="shared" ref="BU28:BU29" si="161">SUM(BQ28:BT28)</f>
        <v>0</v>
      </c>
      <c r="BV28" s="474"/>
      <c r="BW28" s="474"/>
      <c r="BX28" s="474"/>
      <c r="BY28" s="474"/>
      <c r="BZ28" s="474">
        <f t="shared" ref="BZ28:BZ29" si="162">SUM(BV28:BY28)</f>
        <v>0</v>
      </c>
      <c r="CA28" s="474"/>
      <c r="CB28" s="474"/>
      <c r="CC28" s="474"/>
      <c r="CD28" s="474"/>
      <c r="CE28" s="474">
        <f t="shared" ref="CE28:CE29" si="163">SUM(CA28:CD28)</f>
        <v>0</v>
      </c>
      <c r="CF28" s="474"/>
      <c r="CG28" s="474"/>
      <c r="CH28" s="474"/>
      <c r="CI28" s="474"/>
      <c r="CJ28" s="474">
        <f t="shared" ref="CJ28:CJ29" si="164">SUM(CF28:CI28)</f>
        <v>0</v>
      </c>
      <c r="CK28" s="474"/>
      <c r="CL28" s="474"/>
      <c r="CM28" s="474"/>
      <c r="CN28" s="474"/>
      <c r="CO28" s="474">
        <f t="shared" ref="CO28:CO29" si="165">SUM(CK28:CN28)</f>
        <v>0</v>
      </c>
    </row>
    <row r="29" ht="24.75" customHeight="1">
      <c r="A29" s="486"/>
      <c r="B29" s="55"/>
      <c r="C29" s="472" t="s">
        <v>60</v>
      </c>
      <c r="D29" s="473"/>
      <c r="E29" s="474"/>
      <c r="F29" s="474"/>
      <c r="G29" s="474"/>
      <c r="H29" s="474">
        <f t="shared" si="148"/>
        <v>0</v>
      </c>
      <c r="I29" s="474"/>
      <c r="J29" s="474"/>
      <c r="K29" s="474"/>
      <c r="L29" s="474"/>
      <c r="M29" s="474">
        <f t="shared" si="149"/>
        <v>0</v>
      </c>
      <c r="N29" s="474"/>
      <c r="O29" s="474"/>
      <c r="P29" s="474"/>
      <c r="Q29" s="474"/>
      <c r="R29" s="474">
        <f t="shared" si="150"/>
        <v>0</v>
      </c>
      <c r="S29" s="474"/>
      <c r="T29" s="474"/>
      <c r="U29" s="474"/>
      <c r="V29" s="474"/>
      <c r="W29" s="474">
        <f t="shared" si="151"/>
        <v>0</v>
      </c>
      <c r="X29" s="474"/>
      <c r="Y29" s="474"/>
      <c r="Z29" s="474"/>
      <c r="AA29" s="474"/>
      <c r="AB29" s="474">
        <f t="shared" si="152"/>
        <v>0</v>
      </c>
      <c r="AC29" s="474"/>
      <c r="AD29" s="474"/>
      <c r="AE29" s="474"/>
      <c r="AF29" s="474"/>
      <c r="AG29" s="474">
        <f t="shared" si="153"/>
        <v>0</v>
      </c>
      <c r="AH29" s="474"/>
      <c r="AI29" s="474"/>
      <c r="AJ29" s="474"/>
      <c r="AK29" s="474"/>
      <c r="AL29" s="474">
        <f t="shared" si="154"/>
        <v>0</v>
      </c>
      <c r="AM29" s="474"/>
      <c r="AN29" s="474"/>
      <c r="AO29" s="474"/>
      <c r="AP29" s="474"/>
      <c r="AQ29" s="474">
        <f t="shared" si="155"/>
        <v>0</v>
      </c>
      <c r="AR29" s="474"/>
      <c r="AS29" s="474"/>
      <c r="AT29" s="474"/>
      <c r="AU29" s="474"/>
      <c r="AV29" s="474">
        <f t="shared" si="156"/>
        <v>0</v>
      </c>
      <c r="AW29" s="474"/>
      <c r="AX29" s="474"/>
      <c r="AY29" s="474"/>
      <c r="AZ29" s="474"/>
      <c r="BA29" s="474">
        <f t="shared" si="157"/>
        <v>0</v>
      </c>
      <c r="BB29" s="474"/>
      <c r="BC29" s="474"/>
      <c r="BD29" s="474"/>
      <c r="BE29" s="474"/>
      <c r="BF29" s="474">
        <f t="shared" si="158"/>
        <v>0</v>
      </c>
      <c r="BG29" s="474"/>
      <c r="BH29" s="474"/>
      <c r="BI29" s="474"/>
      <c r="BJ29" s="474"/>
      <c r="BK29" s="474">
        <f t="shared" si="159"/>
        <v>0</v>
      </c>
      <c r="BL29" s="474"/>
      <c r="BM29" s="474"/>
      <c r="BN29" s="474"/>
      <c r="BO29" s="474"/>
      <c r="BP29" s="474">
        <f t="shared" si="160"/>
        <v>0</v>
      </c>
      <c r="BQ29" s="474"/>
      <c r="BR29" s="474"/>
      <c r="BS29" s="474"/>
      <c r="BT29" s="474"/>
      <c r="BU29" s="474">
        <f t="shared" si="161"/>
        <v>0</v>
      </c>
      <c r="BV29" s="474"/>
      <c r="BW29" s="474"/>
      <c r="BX29" s="474"/>
      <c r="BY29" s="474"/>
      <c r="BZ29" s="474">
        <f t="shared" si="162"/>
        <v>0</v>
      </c>
      <c r="CA29" s="474"/>
      <c r="CB29" s="474"/>
      <c r="CC29" s="474"/>
      <c r="CD29" s="474"/>
      <c r="CE29" s="474">
        <f t="shared" si="163"/>
        <v>0</v>
      </c>
      <c r="CF29" s="474"/>
      <c r="CG29" s="474"/>
      <c r="CH29" s="474"/>
      <c r="CI29" s="474"/>
      <c r="CJ29" s="474">
        <f t="shared" si="164"/>
        <v>0</v>
      </c>
      <c r="CK29" s="474"/>
      <c r="CL29" s="474"/>
      <c r="CM29" s="474"/>
      <c r="CN29" s="474"/>
      <c r="CO29" s="474">
        <f t="shared" si="165"/>
        <v>0</v>
      </c>
    </row>
    <row r="30" ht="24.75" customHeight="1">
      <c r="A30" s="488"/>
      <c r="B30" s="489" t="s">
        <v>109</v>
      </c>
      <c r="C30" s="490" t="s">
        <v>26</v>
      </c>
      <c r="D30" s="491"/>
      <c r="E30" s="492"/>
      <c r="F30" s="492"/>
      <c r="G30" s="492"/>
      <c r="H30" s="492"/>
      <c r="I30" s="492"/>
      <c r="J30" s="492"/>
      <c r="K30" s="492"/>
      <c r="L30" s="492"/>
      <c r="M30" s="492"/>
      <c r="N30" s="492"/>
      <c r="O30" s="492"/>
      <c r="P30" s="492"/>
      <c r="Q30" s="492"/>
      <c r="R30" s="492"/>
      <c r="S30" s="492"/>
      <c r="T30" s="492"/>
      <c r="U30" s="492"/>
      <c r="V30" s="492"/>
      <c r="W30" s="492"/>
      <c r="X30" s="492"/>
      <c r="Y30" s="492"/>
      <c r="Z30" s="492"/>
      <c r="AA30" s="492"/>
      <c r="AB30" s="492"/>
      <c r="AC30" s="492"/>
      <c r="AD30" s="492"/>
      <c r="AE30" s="492"/>
      <c r="AF30" s="492"/>
      <c r="AG30" s="492"/>
      <c r="AH30" s="492"/>
      <c r="AI30" s="492"/>
      <c r="AJ30" s="492"/>
      <c r="AK30" s="492"/>
      <c r="AL30" s="492"/>
      <c r="AM30" s="492"/>
      <c r="AN30" s="492"/>
      <c r="AO30" s="492"/>
      <c r="AP30" s="492"/>
      <c r="AQ30" s="492"/>
      <c r="AR30" s="492"/>
      <c r="AS30" s="492"/>
      <c r="AT30" s="492"/>
      <c r="AU30" s="492"/>
      <c r="AV30" s="492"/>
      <c r="AW30" s="492"/>
      <c r="AX30" s="492"/>
      <c r="AY30" s="492"/>
      <c r="AZ30" s="492"/>
      <c r="BA30" s="492"/>
      <c r="BB30" s="492"/>
      <c r="BC30" s="492"/>
      <c r="BD30" s="492"/>
      <c r="BE30" s="492"/>
      <c r="BF30" s="492"/>
      <c r="BG30" s="492"/>
      <c r="BH30" s="492"/>
      <c r="BI30" s="492"/>
      <c r="BJ30" s="492"/>
      <c r="BK30" s="492"/>
      <c r="BL30" s="492"/>
      <c r="BM30" s="492"/>
      <c r="BN30" s="492"/>
      <c r="BO30" s="492"/>
      <c r="BP30" s="492"/>
      <c r="BQ30" s="492"/>
      <c r="BR30" s="492"/>
      <c r="BS30" s="492"/>
      <c r="BT30" s="492"/>
      <c r="BU30" s="492"/>
      <c r="BV30" s="492"/>
      <c r="BW30" s="492"/>
      <c r="BX30" s="492"/>
      <c r="BY30" s="492"/>
      <c r="BZ30" s="492"/>
      <c r="CA30" s="492"/>
      <c r="CB30" s="492"/>
      <c r="CC30" s="492"/>
      <c r="CD30" s="492"/>
      <c r="CE30" s="492"/>
      <c r="CF30" s="492"/>
      <c r="CG30" s="492"/>
      <c r="CH30" s="492"/>
      <c r="CI30" s="492"/>
      <c r="CJ30" s="492"/>
      <c r="CK30" s="492"/>
      <c r="CL30" s="492"/>
      <c r="CM30" s="492"/>
      <c r="CN30" s="492"/>
      <c r="CO30" s="492"/>
      <c r="CP30" s="440"/>
      <c r="CQ30" s="440"/>
      <c r="CR30" s="440"/>
      <c r="CS30" s="440"/>
      <c r="CT30" s="440"/>
      <c r="CU30" s="440"/>
      <c r="CV30" s="440"/>
      <c r="CW30" s="440"/>
      <c r="CX30" s="440"/>
      <c r="CY30" s="440"/>
    </row>
    <row r="31" ht="24.75" customHeight="1">
      <c r="A31" s="488"/>
      <c r="B31" s="55"/>
      <c r="C31" s="490" t="s">
        <v>60</v>
      </c>
      <c r="D31" s="491"/>
      <c r="E31" s="492"/>
      <c r="F31" s="492"/>
      <c r="G31" s="492"/>
      <c r="H31" s="492"/>
      <c r="I31" s="492"/>
      <c r="J31" s="492"/>
      <c r="K31" s="492"/>
      <c r="L31" s="492"/>
      <c r="M31" s="492"/>
      <c r="N31" s="492"/>
      <c r="O31" s="492"/>
      <c r="P31" s="492"/>
      <c r="Q31" s="492"/>
      <c r="R31" s="492"/>
      <c r="S31" s="492"/>
      <c r="T31" s="492"/>
      <c r="U31" s="492"/>
      <c r="V31" s="492"/>
      <c r="W31" s="492"/>
      <c r="X31" s="492"/>
      <c r="Y31" s="492"/>
      <c r="Z31" s="492"/>
      <c r="AA31" s="492"/>
      <c r="AB31" s="492"/>
      <c r="AC31" s="492"/>
      <c r="AD31" s="492"/>
      <c r="AE31" s="492"/>
      <c r="AF31" s="492"/>
      <c r="AG31" s="492"/>
      <c r="AH31" s="492"/>
      <c r="AI31" s="492"/>
      <c r="AJ31" s="492"/>
      <c r="AK31" s="492"/>
      <c r="AL31" s="492"/>
      <c r="AM31" s="492"/>
      <c r="AN31" s="492"/>
      <c r="AO31" s="492"/>
      <c r="AP31" s="492"/>
      <c r="AQ31" s="492"/>
      <c r="AR31" s="492"/>
      <c r="AS31" s="492"/>
      <c r="AT31" s="492"/>
      <c r="AU31" s="492"/>
      <c r="AV31" s="492"/>
      <c r="AW31" s="492"/>
      <c r="AX31" s="492"/>
      <c r="AY31" s="492"/>
      <c r="AZ31" s="492"/>
      <c r="BA31" s="492"/>
      <c r="BB31" s="492"/>
      <c r="BC31" s="492"/>
      <c r="BD31" s="492"/>
      <c r="BE31" s="492"/>
      <c r="BF31" s="492"/>
      <c r="BG31" s="492"/>
      <c r="BH31" s="492"/>
      <c r="BI31" s="492"/>
      <c r="BJ31" s="492"/>
      <c r="BK31" s="492"/>
      <c r="BL31" s="492"/>
      <c r="BM31" s="492"/>
      <c r="BN31" s="492"/>
      <c r="BO31" s="492"/>
      <c r="BP31" s="492"/>
      <c r="BQ31" s="492"/>
      <c r="BR31" s="492"/>
      <c r="BS31" s="492"/>
      <c r="BT31" s="492"/>
      <c r="BU31" s="492"/>
      <c r="BV31" s="492"/>
      <c r="BW31" s="492"/>
      <c r="BX31" s="492"/>
      <c r="BY31" s="492"/>
      <c r="BZ31" s="492"/>
      <c r="CA31" s="492"/>
      <c r="CB31" s="492"/>
      <c r="CC31" s="492"/>
      <c r="CD31" s="492"/>
      <c r="CE31" s="492"/>
      <c r="CF31" s="492"/>
      <c r="CG31" s="492"/>
      <c r="CH31" s="492"/>
      <c r="CI31" s="492"/>
      <c r="CJ31" s="492"/>
      <c r="CK31" s="492"/>
      <c r="CL31" s="492"/>
      <c r="CM31" s="492"/>
      <c r="CN31" s="492"/>
      <c r="CO31" s="492"/>
      <c r="CP31" s="440"/>
      <c r="CQ31" s="440"/>
      <c r="CR31" s="440"/>
      <c r="CS31" s="440"/>
      <c r="CT31" s="440"/>
      <c r="CU31" s="440"/>
      <c r="CV31" s="440"/>
      <c r="CW31" s="440"/>
      <c r="CX31" s="440"/>
      <c r="CY31" s="440"/>
    </row>
    <row r="32" ht="15.75" customHeight="1"/>
    <row r="33" ht="15.75" customHeight="1">
      <c r="A33" s="493"/>
      <c r="B33" s="494" t="s">
        <v>110</v>
      </c>
      <c r="C33" s="493"/>
      <c r="D33" s="495">
        <v>16.0</v>
      </c>
      <c r="E33" s="495">
        <f t="shared" ref="E33:G33" si="166">D33</f>
        <v>16</v>
      </c>
      <c r="F33" s="495">
        <f t="shared" si="166"/>
        <v>16</v>
      </c>
      <c r="G33" s="495">
        <f t="shared" si="166"/>
        <v>16</v>
      </c>
      <c r="H33" s="493"/>
      <c r="I33" s="495">
        <f>D33+17</f>
        <v>33</v>
      </c>
      <c r="J33" s="495">
        <f t="shared" ref="J33:L33" si="167">I33</f>
        <v>33</v>
      </c>
      <c r="K33" s="495">
        <f t="shared" si="167"/>
        <v>33</v>
      </c>
      <c r="L33" s="495">
        <f t="shared" si="167"/>
        <v>33</v>
      </c>
      <c r="M33" s="493"/>
      <c r="N33" s="495">
        <f>I33+17</f>
        <v>50</v>
      </c>
      <c r="O33" s="495">
        <f t="shared" ref="O33:Q33" si="168">N33</f>
        <v>50</v>
      </c>
      <c r="P33" s="495">
        <f t="shared" si="168"/>
        <v>50</v>
      </c>
      <c r="Q33" s="495">
        <f t="shared" si="168"/>
        <v>50</v>
      </c>
      <c r="R33" s="493"/>
      <c r="S33" s="495">
        <f>N33+17</f>
        <v>67</v>
      </c>
      <c r="T33" s="495">
        <f t="shared" ref="T33:V33" si="169">S33</f>
        <v>67</v>
      </c>
      <c r="U33" s="495">
        <f t="shared" si="169"/>
        <v>67</v>
      </c>
      <c r="V33" s="495">
        <f t="shared" si="169"/>
        <v>67</v>
      </c>
      <c r="W33" s="493"/>
      <c r="X33" s="495">
        <f>S33+17</f>
        <v>84</v>
      </c>
      <c r="Y33" s="495">
        <f t="shared" ref="Y33:AA33" si="170">X33</f>
        <v>84</v>
      </c>
      <c r="Z33" s="495">
        <f t="shared" si="170"/>
        <v>84</v>
      </c>
      <c r="AA33" s="495">
        <f t="shared" si="170"/>
        <v>84</v>
      </c>
      <c r="AB33" s="493"/>
      <c r="AC33" s="495">
        <f>X33+17</f>
        <v>101</v>
      </c>
      <c r="AD33" s="495">
        <f t="shared" ref="AD33:AF33" si="171">AC33</f>
        <v>101</v>
      </c>
      <c r="AE33" s="495">
        <f t="shared" si="171"/>
        <v>101</v>
      </c>
      <c r="AF33" s="495">
        <f t="shared" si="171"/>
        <v>101</v>
      </c>
      <c r="AG33" s="493"/>
      <c r="AH33" s="495">
        <f>AC33+17</f>
        <v>118</v>
      </c>
      <c r="AI33" s="495">
        <f t="shared" ref="AI33:AK33" si="172">AH33</f>
        <v>118</v>
      </c>
      <c r="AJ33" s="495">
        <f t="shared" si="172"/>
        <v>118</v>
      </c>
      <c r="AK33" s="495">
        <f t="shared" si="172"/>
        <v>118</v>
      </c>
      <c r="AL33" s="493"/>
      <c r="AM33" s="495">
        <f>AH33+17</f>
        <v>135</v>
      </c>
      <c r="AN33" s="495">
        <f t="shared" ref="AN33:AP33" si="173">AM33</f>
        <v>135</v>
      </c>
      <c r="AO33" s="495">
        <f t="shared" si="173"/>
        <v>135</v>
      </c>
      <c r="AP33" s="495">
        <f t="shared" si="173"/>
        <v>135</v>
      </c>
      <c r="AQ33" s="493"/>
      <c r="AR33" s="495">
        <f>AM33+17</f>
        <v>152</v>
      </c>
      <c r="AS33" s="495">
        <f t="shared" ref="AS33:AU33" si="174">AR33</f>
        <v>152</v>
      </c>
      <c r="AT33" s="495">
        <f t="shared" si="174"/>
        <v>152</v>
      </c>
      <c r="AU33" s="495">
        <f t="shared" si="174"/>
        <v>152</v>
      </c>
      <c r="AV33" s="493"/>
      <c r="AW33" s="495">
        <f>AR33+17</f>
        <v>169</v>
      </c>
      <c r="AX33" s="495">
        <f t="shared" ref="AX33:AZ33" si="175">AW33</f>
        <v>169</v>
      </c>
      <c r="AY33" s="495">
        <f t="shared" si="175"/>
        <v>169</v>
      </c>
      <c r="AZ33" s="495">
        <f t="shared" si="175"/>
        <v>169</v>
      </c>
      <c r="BA33" s="493"/>
      <c r="BB33" s="495">
        <f>AW33+17</f>
        <v>186</v>
      </c>
      <c r="BC33" s="495">
        <f t="shared" ref="BC33:BE33" si="176">BB33</f>
        <v>186</v>
      </c>
      <c r="BD33" s="495">
        <f t="shared" si="176"/>
        <v>186</v>
      </c>
      <c r="BE33" s="495">
        <f t="shared" si="176"/>
        <v>186</v>
      </c>
      <c r="BF33" s="493"/>
      <c r="BG33" s="495">
        <f>BB33+17</f>
        <v>203</v>
      </c>
      <c r="BH33" s="495">
        <f t="shared" ref="BH33:BJ33" si="177">BG33</f>
        <v>203</v>
      </c>
      <c r="BI33" s="495">
        <f t="shared" si="177"/>
        <v>203</v>
      </c>
      <c r="BJ33" s="495">
        <f t="shared" si="177"/>
        <v>203</v>
      </c>
      <c r="BK33" s="493"/>
      <c r="BL33" s="495">
        <f>BG33+17</f>
        <v>220</v>
      </c>
      <c r="BM33" s="495">
        <f t="shared" ref="BM33:BO33" si="178">BL33</f>
        <v>220</v>
      </c>
      <c r="BN33" s="495">
        <f t="shared" si="178"/>
        <v>220</v>
      </c>
      <c r="BO33" s="495">
        <f t="shared" si="178"/>
        <v>220</v>
      </c>
      <c r="BP33" s="493"/>
      <c r="BQ33" s="495">
        <f>BL33+17</f>
        <v>237</v>
      </c>
      <c r="BR33" s="495">
        <f t="shared" ref="BR33:BT33" si="179">BQ33</f>
        <v>237</v>
      </c>
      <c r="BS33" s="495">
        <f t="shared" si="179"/>
        <v>237</v>
      </c>
      <c r="BT33" s="495">
        <f t="shared" si="179"/>
        <v>237</v>
      </c>
      <c r="BU33" s="493"/>
      <c r="BV33" s="495">
        <f>BQ33+17</f>
        <v>254</v>
      </c>
      <c r="BW33" s="495">
        <f t="shared" ref="BW33:BY33" si="180">BV33</f>
        <v>254</v>
      </c>
      <c r="BX33" s="495">
        <f t="shared" si="180"/>
        <v>254</v>
      </c>
      <c r="BY33" s="495">
        <f t="shared" si="180"/>
        <v>254</v>
      </c>
      <c r="BZ33" s="493"/>
      <c r="CA33" s="495">
        <f>BV33+17</f>
        <v>271</v>
      </c>
      <c r="CB33" s="495">
        <f t="shared" ref="CB33:CD33" si="181">CA33</f>
        <v>271</v>
      </c>
      <c r="CC33" s="495">
        <f t="shared" si="181"/>
        <v>271</v>
      </c>
      <c r="CD33" s="495">
        <f t="shared" si="181"/>
        <v>271</v>
      </c>
      <c r="CE33" s="493"/>
      <c r="CF33" s="495">
        <f>CA33+17</f>
        <v>288</v>
      </c>
      <c r="CG33" s="495">
        <f t="shared" ref="CG33:CI33" si="182">CF33</f>
        <v>288</v>
      </c>
      <c r="CH33" s="495">
        <f t="shared" si="182"/>
        <v>288</v>
      </c>
      <c r="CI33" s="495">
        <f t="shared" si="182"/>
        <v>288</v>
      </c>
      <c r="CJ33" s="493"/>
      <c r="CK33" s="495">
        <f>CF33+17</f>
        <v>305</v>
      </c>
      <c r="CL33" s="495">
        <f t="shared" ref="CL33:CN33" si="183">CK33</f>
        <v>305</v>
      </c>
      <c r="CM33" s="495">
        <f t="shared" si="183"/>
        <v>305</v>
      </c>
      <c r="CN33" s="495">
        <f t="shared" si="183"/>
        <v>305</v>
      </c>
      <c r="CO33" s="493"/>
      <c r="CP33" s="493"/>
      <c r="CQ33" s="493"/>
      <c r="CR33" s="493"/>
      <c r="CS33" s="493"/>
      <c r="CT33" s="493"/>
      <c r="CU33" s="493"/>
      <c r="CV33" s="493"/>
      <c r="CW33" s="493"/>
      <c r="CX33" s="493"/>
      <c r="CY33" s="493"/>
    </row>
    <row r="34" ht="15.75" customHeight="1"/>
    <row r="35" ht="15.75" customHeight="1"/>
    <row r="36" ht="15.75" customHeight="1">
      <c r="A36" s="12"/>
      <c r="B36" s="12" t="s">
        <v>111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>
        <v>0.31844872571487315</v>
      </c>
      <c r="BM36" s="12">
        <v>22.826414655956967</v>
      </c>
      <c r="BN36" s="12">
        <v>-1.369481762089947</v>
      </c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</row>
    <row r="37" ht="15.75" customHeight="1">
      <c r="A37" s="12"/>
      <c r="B37" s="12" t="s">
        <v>26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496">
        <f>IFERROR(__xludf.DUMMYFUNCTION("IMPORTRANGE(""https://docs.google.com/spreadsheets/d/1rDjUxjWxKmNwjaQ2sjBtNn1ISDTAboAwWubYPRN_nM8/edit#gid=521781631"",""Prod!BQ23:BR23"")"),3304617.98179173)</f>
        <v>3304617.982</v>
      </c>
      <c r="BH37" s="497">
        <f>IFERROR(__xludf.DUMMYFUNCTION("""COMPUTED_VALUE"""),3402425.46257536)</f>
        <v>3402425.463</v>
      </c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</row>
    <row r="38" ht="15.75" customHeight="1">
      <c r="A38" s="12"/>
      <c r="B38" s="12" t="s">
        <v>60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496">
        <f>IFERROR(__xludf.DUMMYFUNCTION("IMPORTRANGE(""https://docs.google.com/spreadsheets/d/1rDjUxjWxKmNwjaQ2sjBtNn1ISDTAboAwWubYPRN_nM8/edit#gid=521781631"",""Prod!BQ99:BR99"")"),2291849.63562519)</f>
        <v>2291849.636</v>
      </c>
      <c r="BH38" s="497">
        <f>IFERROR(__xludf.DUMMYFUNCTION("""COMPUTED_VALUE"""),2292430.58487387)</f>
        <v>2292430.585</v>
      </c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</row>
    <row r="39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</row>
    <row r="40" ht="15.75" customHeight="1">
      <c r="A40" s="12"/>
      <c r="B40" s="12" t="s">
        <v>112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</row>
    <row r="41" ht="15.75" customHeight="1">
      <c r="A41" s="12"/>
      <c r="B41" s="12" t="s">
        <v>26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498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</row>
    <row r="42" ht="15.75" customHeight="1">
      <c r="A42" s="12"/>
      <c r="B42" s="12" t="s">
        <v>60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498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</row>
    <row r="44" ht="15.75" customHeight="1">
      <c r="A44" s="12"/>
      <c r="B44" s="12" t="s">
        <v>113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</row>
    <row r="45" ht="15.75" customHeight="1">
      <c r="A45" s="12"/>
      <c r="B45" s="12" t="s">
        <v>26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496">
        <f t="shared" ref="BG45:BH45" si="184">BG37+BG41</f>
        <v>3304617.982</v>
      </c>
      <c r="BH45" s="496">
        <f t="shared" si="184"/>
        <v>3402425.463</v>
      </c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</row>
    <row r="46" ht="15.75" customHeight="1">
      <c r="A46" s="12"/>
      <c r="B46" s="12" t="s">
        <v>60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496">
        <f t="shared" ref="BG46:BH46" si="185">BG38+BG42</f>
        <v>2291849.636</v>
      </c>
      <c r="BH46" s="496">
        <f t="shared" si="185"/>
        <v>2292430.585</v>
      </c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</row>
    <row r="49" ht="15.75" customHeight="1">
      <c r="A49" s="12"/>
      <c r="B49" s="12" t="s">
        <v>114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499">
        <f>BE5/BE6*100</f>
        <v>144.0100014</v>
      </c>
      <c r="BF49" s="12"/>
      <c r="BG49" s="499">
        <f t="shared" ref="BG49:BH49" si="186">BG37/BG38*100</f>
        <v>144.1899997</v>
      </c>
      <c r="BH49" s="499">
        <f t="shared" si="186"/>
        <v>148.4199995</v>
      </c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</row>
    <row r="50" ht="15.75" customHeight="1">
      <c r="A50" s="12"/>
      <c r="B50" s="500" t="s">
        <v>115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501">
        <f>BG49/BE49*100-100</f>
        <v>0.1249901343</v>
      </c>
      <c r="BH50" s="501">
        <f>BH49/BG49*100-100</f>
        <v>2.933629135</v>
      </c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32">
    <mergeCell ref="BQ3:BU3"/>
    <mergeCell ref="BV3:BZ3"/>
    <mergeCell ref="CA3:CE3"/>
    <mergeCell ref="CF3:CJ3"/>
    <mergeCell ref="CK3:CO3"/>
    <mergeCell ref="AH3:AL3"/>
    <mergeCell ref="AM3:AQ3"/>
    <mergeCell ref="AR3:AV3"/>
    <mergeCell ref="AW3:BA3"/>
    <mergeCell ref="BB3:BF3"/>
    <mergeCell ref="BG3:BK3"/>
    <mergeCell ref="BL3:BP3"/>
    <mergeCell ref="B3:C4"/>
    <mergeCell ref="D3:H3"/>
    <mergeCell ref="I3:M3"/>
    <mergeCell ref="N3:R3"/>
    <mergeCell ref="S3:W3"/>
    <mergeCell ref="X3:AB3"/>
    <mergeCell ref="AC3:AG3"/>
    <mergeCell ref="B19:B20"/>
    <mergeCell ref="B21:B22"/>
    <mergeCell ref="B23:B24"/>
    <mergeCell ref="B25:B26"/>
    <mergeCell ref="B28:B29"/>
    <mergeCell ref="B30:B31"/>
    <mergeCell ref="B5:B6"/>
    <mergeCell ref="B7:B8"/>
    <mergeCell ref="B9:B10"/>
    <mergeCell ref="B11:B12"/>
    <mergeCell ref="B13:B14"/>
    <mergeCell ref="B15:B16"/>
    <mergeCell ref="B17:B18"/>
  </mergeCells>
  <hyperlinks>
    <hyperlink display="Home" location="Home!A1" ref="A1"/>
    <hyperlink display="2010" location="Rekap!D3:H3" ref="A5"/>
    <hyperlink display="2011" location="Rekap!I3:M3" ref="A6"/>
    <hyperlink display="2020" location="Rekap!BB3:BF3" ref="A15"/>
    <hyperlink display="2021" location="Rekap!BG3:BK3" ref="A16"/>
    <hyperlink display="2022" location="Rekap!BL3:BP3" ref="A17"/>
  </hyperlinks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sheetData>
    <row r="1">
      <c r="A1" s="502" t="s">
        <v>116</v>
      </c>
    </row>
    <row r="2">
      <c r="A2" s="503"/>
      <c r="B2" s="503"/>
      <c r="C2" s="503"/>
      <c r="D2" s="503"/>
      <c r="E2" s="503"/>
      <c r="F2" s="503"/>
      <c r="G2" s="503"/>
      <c r="H2" s="503"/>
      <c r="I2" s="503"/>
      <c r="J2" s="503"/>
      <c r="K2" s="503"/>
      <c r="L2" s="503"/>
      <c r="M2" s="503"/>
      <c r="N2" s="503"/>
      <c r="O2" s="503"/>
      <c r="P2" s="503"/>
      <c r="Q2" s="503"/>
      <c r="R2" s="503"/>
      <c r="S2" s="503"/>
      <c r="T2" s="503"/>
      <c r="U2" s="503"/>
      <c r="V2" s="503"/>
      <c r="W2" s="503"/>
      <c r="X2" s="503"/>
      <c r="Y2" s="503"/>
      <c r="Z2" s="503"/>
      <c r="AA2" s="503"/>
      <c r="AB2" s="503"/>
      <c r="AC2" s="503"/>
      <c r="AD2" s="503"/>
      <c r="AE2" s="503"/>
      <c r="AF2" s="503"/>
      <c r="AG2" s="503"/>
      <c r="AH2" s="503"/>
      <c r="AI2" s="503"/>
      <c r="AJ2" s="503"/>
      <c r="AK2" s="503"/>
      <c r="AL2" s="503"/>
      <c r="AM2" s="503"/>
      <c r="AN2" s="503"/>
      <c r="AO2" s="503"/>
      <c r="AP2" s="503"/>
      <c r="AQ2" s="503"/>
      <c r="AR2" s="503"/>
      <c r="AS2" s="503"/>
      <c r="AT2" s="503"/>
      <c r="AU2" s="503"/>
      <c r="AV2" s="503"/>
      <c r="AW2" s="503"/>
      <c r="AX2" s="503"/>
      <c r="AY2" s="503"/>
      <c r="AZ2" s="503"/>
      <c r="BA2" s="503"/>
      <c r="BB2" s="503"/>
      <c r="BC2" s="503"/>
      <c r="BD2" s="503"/>
      <c r="BE2" s="503"/>
      <c r="BF2" s="503"/>
      <c r="BG2" s="503"/>
      <c r="BH2" s="503"/>
      <c r="BI2" s="503"/>
      <c r="BJ2" s="503"/>
      <c r="BK2" s="503"/>
      <c r="BL2" s="503"/>
      <c r="BM2" s="503"/>
    </row>
    <row r="3">
      <c r="A3" s="504" t="s">
        <v>117</v>
      </c>
      <c r="B3" s="505">
        <v>2010.0</v>
      </c>
      <c r="C3" s="506"/>
      <c r="D3" s="506"/>
      <c r="E3" s="507"/>
      <c r="F3" s="505">
        <v>2011.0</v>
      </c>
      <c r="G3" s="506"/>
      <c r="H3" s="506"/>
      <c r="I3" s="507"/>
      <c r="J3" s="505">
        <v>2012.0</v>
      </c>
      <c r="K3" s="506"/>
      <c r="L3" s="506"/>
      <c r="M3" s="507"/>
      <c r="N3" s="505">
        <v>2013.0</v>
      </c>
      <c r="O3" s="506"/>
      <c r="P3" s="506"/>
      <c r="Q3" s="507"/>
      <c r="R3" s="508">
        <v>2014.0</v>
      </c>
      <c r="S3" s="509"/>
      <c r="T3" s="509"/>
      <c r="U3" s="510"/>
      <c r="V3" s="511">
        <v>2015.0</v>
      </c>
      <c r="W3" s="509"/>
      <c r="X3" s="509"/>
      <c r="Y3" s="510"/>
      <c r="Z3" s="512">
        <v>2016.0</v>
      </c>
      <c r="AA3" s="506"/>
      <c r="AB3" s="506"/>
      <c r="AC3" s="507"/>
      <c r="AD3" s="512">
        <v>2017.0</v>
      </c>
      <c r="AE3" s="506"/>
      <c r="AF3" s="506"/>
      <c r="AG3" s="507"/>
      <c r="AH3" s="512">
        <v>2018.0</v>
      </c>
      <c r="AI3" s="506"/>
      <c r="AJ3" s="506"/>
      <c r="AK3" s="507"/>
      <c r="AL3" s="512">
        <v>2019.0</v>
      </c>
      <c r="AM3" s="506"/>
      <c r="AN3" s="506"/>
      <c r="AO3" s="507"/>
      <c r="AP3" s="512">
        <v>2020.0</v>
      </c>
      <c r="AQ3" s="506"/>
      <c r="AR3" s="506"/>
      <c r="AS3" s="507"/>
      <c r="AT3" s="505">
        <v>2021.0</v>
      </c>
      <c r="AU3" s="506"/>
      <c r="AV3" s="506"/>
      <c r="AW3" s="507"/>
      <c r="AX3" s="505">
        <v>2022.0</v>
      </c>
      <c r="AY3" s="506"/>
      <c r="AZ3" s="506"/>
      <c r="BA3" s="507"/>
      <c r="BB3" s="505">
        <v>2023.0</v>
      </c>
      <c r="BC3" s="506"/>
      <c r="BD3" s="506"/>
      <c r="BE3" s="507"/>
      <c r="BF3" s="505">
        <v>2024.0</v>
      </c>
      <c r="BG3" s="506"/>
      <c r="BH3" s="506"/>
      <c r="BI3" s="507"/>
      <c r="BJ3" s="505">
        <v>2025.0</v>
      </c>
      <c r="BK3" s="506"/>
      <c r="BL3" s="506"/>
      <c r="BM3" s="507"/>
    </row>
    <row r="4">
      <c r="A4" s="513"/>
      <c r="B4" s="504" t="s">
        <v>118</v>
      </c>
      <c r="C4" s="504" t="s">
        <v>119</v>
      </c>
      <c r="D4" s="504" t="s">
        <v>120</v>
      </c>
      <c r="E4" s="504" t="s">
        <v>121</v>
      </c>
      <c r="F4" s="504" t="s">
        <v>118</v>
      </c>
      <c r="G4" s="504" t="s">
        <v>119</v>
      </c>
      <c r="H4" s="504" t="s">
        <v>120</v>
      </c>
      <c r="I4" s="504" t="s">
        <v>121</v>
      </c>
      <c r="J4" s="504" t="s">
        <v>118</v>
      </c>
      <c r="K4" s="504" t="s">
        <v>119</v>
      </c>
      <c r="L4" s="504" t="s">
        <v>120</v>
      </c>
      <c r="M4" s="504" t="s">
        <v>121</v>
      </c>
      <c r="N4" s="504" t="s">
        <v>118</v>
      </c>
      <c r="O4" s="504" t="s">
        <v>119</v>
      </c>
      <c r="P4" s="504" t="s">
        <v>120</v>
      </c>
      <c r="Q4" s="504" t="s">
        <v>121</v>
      </c>
      <c r="R4" s="504" t="s">
        <v>118</v>
      </c>
      <c r="S4" s="504" t="s">
        <v>119</v>
      </c>
      <c r="T4" s="504" t="s">
        <v>120</v>
      </c>
      <c r="U4" s="504" t="s">
        <v>121</v>
      </c>
      <c r="V4" s="504" t="s">
        <v>118</v>
      </c>
      <c r="W4" s="504" t="s">
        <v>119</v>
      </c>
      <c r="X4" s="504" t="s">
        <v>120</v>
      </c>
      <c r="Y4" s="504" t="s">
        <v>121</v>
      </c>
      <c r="Z4" s="514" t="s">
        <v>118</v>
      </c>
      <c r="AA4" s="514" t="s">
        <v>119</v>
      </c>
      <c r="AB4" s="514" t="s">
        <v>120</v>
      </c>
      <c r="AC4" s="514" t="s">
        <v>121</v>
      </c>
      <c r="AD4" s="514" t="s">
        <v>118</v>
      </c>
      <c r="AE4" s="514" t="s">
        <v>119</v>
      </c>
      <c r="AF4" s="514" t="s">
        <v>120</v>
      </c>
      <c r="AG4" s="514" t="s">
        <v>121</v>
      </c>
      <c r="AH4" s="514" t="s">
        <v>118</v>
      </c>
      <c r="AI4" s="514" t="s">
        <v>119</v>
      </c>
      <c r="AJ4" s="514" t="s">
        <v>120</v>
      </c>
      <c r="AK4" s="514" t="s">
        <v>121</v>
      </c>
      <c r="AL4" s="514" t="s">
        <v>118</v>
      </c>
      <c r="AM4" s="514" t="s">
        <v>119</v>
      </c>
      <c r="AN4" s="514" t="s">
        <v>120</v>
      </c>
      <c r="AO4" s="514" t="s">
        <v>121</v>
      </c>
      <c r="AP4" s="514" t="s">
        <v>118</v>
      </c>
      <c r="AQ4" s="514" t="s">
        <v>119</v>
      </c>
      <c r="AR4" s="514" t="s">
        <v>120</v>
      </c>
      <c r="AS4" s="514" t="s">
        <v>121</v>
      </c>
      <c r="AT4" s="504" t="s">
        <v>118</v>
      </c>
      <c r="AU4" s="504" t="s">
        <v>119</v>
      </c>
      <c r="AV4" s="504" t="s">
        <v>120</v>
      </c>
      <c r="AW4" s="504" t="s">
        <v>121</v>
      </c>
      <c r="AX4" s="504" t="s">
        <v>118</v>
      </c>
      <c r="AY4" s="504" t="s">
        <v>119</v>
      </c>
      <c r="AZ4" s="504" t="s">
        <v>120</v>
      </c>
      <c r="BA4" s="504" t="s">
        <v>121</v>
      </c>
      <c r="BB4" s="504" t="s">
        <v>118</v>
      </c>
      <c r="BC4" s="504" t="s">
        <v>119</v>
      </c>
      <c r="BD4" s="504" t="s">
        <v>120</v>
      </c>
      <c r="BE4" s="504" t="s">
        <v>121</v>
      </c>
      <c r="BF4" s="504" t="s">
        <v>118</v>
      </c>
      <c r="BG4" s="504" t="s">
        <v>119</v>
      </c>
      <c r="BH4" s="504" t="s">
        <v>120</v>
      </c>
      <c r="BI4" s="504" t="s">
        <v>121</v>
      </c>
      <c r="BJ4" s="504" t="s">
        <v>118</v>
      </c>
      <c r="BK4" s="504" t="s">
        <v>119</v>
      </c>
      <c r="BL4" s="504" t="s">
        <v>120</v>
      </c>
      <c r="BM4" s="504" t="s">
        <v>121</v>
      </c>
    </row>
    <row r="5">
      <c r="A5" s="55"/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5"/>
      <c r="BD5" s="55"/>
      <c r="BE5" s="55"/>
      <c r="BF5" s="55"/>
      <c r="BG5" s="55"/>
      <c r="BH5" s="55"/>
      <c r="BI5" s="55"/>
      <c r="BJ5" s="55"/>
      <c r="BK5" s="55"/>
      <c r="BL5" s="55"/>
      <c r="BM5" s="55"/>
    </row>
    <row r="6">
      <c r="A6" s="515" t="s">
        <v>122</v>
      </c>
      <c r="B6" s="516">
        <v>95.39771409364766</v>
      </c>
      <c r="C6" s="517">
        <v>96.21196749338247</v>
      </c>
      <c r="D6" s="517">
        <v>98.38765897190255</v>
      </c>
      <c r="E6" s="518">
        <v>110.00265944106769</v>
      </c>
      <c r="F6" s="516">
        <v>126.55074820963655</v>
      </c>
      <c r="G6" s="517">
        <v>134.32882716584868</v>
      </c>
      <c r="H6" s="517">
        <v>128.28611056267474</v>
      </c>
      <c r="I6" s="517">
        <v>127.44924111025301</v>
      </c>
      <c r="J6" s="517">
        <v>139.3756811588723</v>
      </c>
      <c r="K6" s="517">
        <v>131.23049770697665</v>
      </c>
      <c r="L6" s="517">
        <v>124.72316246441726</v>
      </c>
      <c r="M6" s="518">
        <v>121.78959676549802</v>
      </c>
      <c r="N6" s="516">
        <v>123.82385543637058</v>
      </c>
      <c r="O6" s="517">
        <v>111.33917083028571</v>
      </c>
      <c r="P6" s="517">
        <v>112.86766738071363</v>
      </c>
      <c r="Q6" s="517">
        <v>111.98145078392405</v>
      </c>
      <c r="R6" s="517">
        <v>111.51402882005907</v>
      </c>
      <c r="S6" s="517">
        <v>110.56899055258725</v>
      </c>
      <c r="T6" s="517">
        <v>104.28893494927193</v>
      </c>
      <c r="U6" s="518">
        <v>94.51245915697193</v>
      </c>
      <c r="V6" s="516">
        <v>86.24425737129303</v>
      </c>
      <c r="W6" s="517">
        <v>88.50775258010748</v>
      </c>
      <c r="X6" s="517">
        <v>77.69033787414865</v>
      </c>
      <c r="Y6" s="517">
        <v>72.41199391816525</v>
      </c>
      <c r="Z6" s="517">
        <v>69.0578818071697</v>
      </c>
      <c r="AA6" s="517">
        <v>75.22569461104044</v>
      </c>
      <c r="AB6" s="517">
        <v>79.1676539852058</v>
      </c>
      <c r="AC6" s="518">
        <v>90.46225119242574</v>
      </c>
      <c r="AD6" s="516">
        <v>92.38338583993432</v>
      </c>
      <c r="AE6" s="517">
        <v>89.36786655373788</v>
      </c>
      <c r="AF6" s="517">
        <v>91.24537600022406</v>
      </c>
      <c r="AG6" s="517">
        <v>99.16494861829568</v>
      </c>
      <c r="AH6" s="517">
        <v>103.74090958891834</v>
      </c>
      <c r="AI6" s="517">
        <v>105.1862581613518</v>
      </c>
      <c r="AJ6" s="517">
        <v>110.68525486201749</v>
      </c>
      <c r="AK6" s="518">
        <v>106.2999032142606</v>
      </c>
      <c r="AL6" s="516">
        <v>103.71232009287682</v>
      </c>
      <c r="AM6" s="517">
        <v>103.74058956314703</v>
      </c>
      <c r="AN6" s="517">
        <v>95.75768736904257</v>
      </c>
      <c r="AO6" s="517">
        <v>96.44265826363926</v>
      </c>
      <c r="AP6" s="517">
        <v>90.68190265519026</v>
      </c>
      <c r="AQ6" s="518">
        <v>76.43823243662827</v>
      </c>
      <c r="AR6" s="516">
        <v>82.1800075553747</v>
      </c>
      <c r="AS6" s="518">
        <v>86.05989299935868</v>
      </c>
      <c r="AT6" s="516">
        <v>105.97084808977532</v>
      </c>
      <c r="AU6" s="517">
        <v>115.3866070790419</v>
      </c>
      <c r="AV6" s="517">
        <v>133.40428679407884</v>
      </c>
      <c r="AW6" s="517">
        <v>152.4917915948005</v>
      </c>
      <c r="AX6" s="517">
        <v>165.275914738911</v>
      </c>
      <c r="AY6" s="517">
        <v>211.116551902651</v>
      </c>
      <c r="AZ6" s="517">
        <v>217.274309102743</v>
      </c>
      <c r="BA6" s="517">
        <v>209.861217921235</v>
      </c>
      <c r="BB6" s="519">
        <v>145.82</v>
      </c>
      <c r="BC6" s="519">
        <v>101.46</v>
      </c>
      <c r="BD6" s="519">
        <v>95.46</v>
      </c>
      <c r="BE6" s="519">
        <v>102.72</v>
      </c>
      <c r="BF6" s="520">
        <v>96.66</v>
      </c>
      <c r="BG6" s="520">
        <v>109.78</v>
      </c>
      <c r="BH6" s="520">
        <v>102.79</v>
      </c>
      <c r="BI6" s="520">
        <v>102.79</v>
      </c>
      <c r="BJ6" s="521"/>
      <c r="BK6" s="521"/>
      <c r="BL6" s="521"/>
      <c r="BM6" s="521"/>
    </row>
    <row r="7">
      <c r="A7" s="522" t="s">
        <v>123</v>
      </c>
      <c r="B7" s="516">
        <v>88.622754491018</v>
      </c>
      <c r="C7" s="517">
        <v>98.60279441117758</v>
      </c>
      <c r="D7" s="517">
        <v>101.077844311377</v>
      </c>
      <c r="E7" s="518">
        <v>111.69660678642698</v>
      </c>
      <c r="F7" s="516">
        <v>111.77644710578834</v>
      </c>
      <c r="G7" s="517">
        <v>120.47904191616725</v>
      </c>
      <c r="H7" s="517">
        <v>135.32934131736536</v>
      </c>
      <c r="I7" s="517">
        <v>132.85429141716577</v>
      </c>
      <c r="J7" s="517">
        <v>135.32934131736567</v>
      </c>
      <c r="K7" s="517">
        <v>126.7065868263477</v>
      </c>
      <c r="L7" s="517">
        <v>137.96407185628757</v>
      </c>
      <c r="M7" s="518">
        <v>134.1317365269462</v>
      </c>
      <c r="N7" s="516">
        <v>128.06387225548914</v>
      </c>
      <c r="O7" s="517">
        <v>98.56921670677343</v>
      </c>
      <c r="P7" s="517">
        <v>99.24077079485882</v>
      </c>
      <c r="Q7" s="517">
        <v>90.95827037513756</v>
      </c>
      <c r="R7" s="517">
        <v>96.92764004700855</v>
      </c>
      <c r="S7" s="517">
        <v>96.55455444251663</v>
      </c>
      <c r="T7" s="517">
        <v>90.95827037513733</v>
      </c>
      <c r="U7" s="518">
        <v>88.9436081108808</v>
      </c>
      <c r="V7" s="516">
        <v>88.49590538549045</v>
      </c>
      <c r="W7" s="517">
        <v>87.5258828138114</v>
      </c>
      <c r="X7" s="517">
        <v>83.34732404350153</v>
      </c>
      <c r="Y7" s="517">
        <v>79.54185087768366</v>
      </c>
      <c r="Z7" s="517">
        <v>91.62982446322252</v>
      </c>
      <c r="AA7" s="517">
        <v>96.4053202007196</v>
      </c>
      <c r="AB7" s="517">
        <v>99.01691943216288</v>
      </c>
      <c r="AC7" s="518">
        <v>87.60049993470928</v>
      </c>
      <c r="AD7" s="516">
        <v>92.77076046440898</v>
      </c>
      <c r="AE7" s="517">
        <v>94.73040824572583</v>
      </c>
      <c r="AF7" s="517">
        <v>98.31233035960305</v>
      </c>
      <c r="AG7" s="517">
        <v>97.93127481557356</v>
      </c>
      <c r="AH7" s="517">
        <v>100.1495245004528</v>
      </c>
      <c r="AI7" s="517">
        <v>101.58310287563928</v>
      </c>
      <c r="AJ7" s="517">
        <v>96.10830106578248</v>
      </c>
      <c r="AK7" s="518">
        <v>92.72237661017459</v>
      </c>
      <c r="AL7" s="516">
        <v>97.76559641587347</v>
      </c>
      <c r="AM7" s="517">
        <v>99.41087496845451</v>
      </c>
      <c r="AN7" s="517">
        <v>106.90603281910388</v>
      </c>
      <c r="AO7" s="517">
        <v>115.00100783903969</v>
      </c>
      <c r="AP7" s="517">
        <v>116.9569333910596</v>
      </c>
      <c r="AQ7" s="518">
        <v>127.28195279709092</v>
      </c>
      <c r="AR7" s="516">
        <v>148.0132224127083</v>
      </c>
      <c r="AS7" s="518">
        <v>151.85379762483333</v>
      </c>
      <c r="AT7" s="516">
        <v>144.70378285420176</v>
      </c>
      <c r="AU7" s="517">
        <v>140.12465867080135</v>
      </c>
      <c r="AV7" s="517">
        <v>144.72607076695206</v>
      </c>
      <c r="AW7" s="517">
        <v>141.26084034286544</v>
      </c>
      <c r="AX7" s="517">
        <v>143.371033154764</v>
      </c>
      <c r="AY7" s="517">
        <v>154.330481122586</v>
      </c>
      <c r="AZ7" s="517">
        <v>148.062018341278</v>
      </c>
      <c r="BA7" s="517">
        <v>145.46904921072</v>
      </c>
      <c r="BB7" s="519">
        <v>175.47</v>
      </c>
      <c r="BC7" s="519">
        <v>181.04</v>
      </c>
      <c r="BD7" s="519">
        <v>184.65</v>
      </c>
      <c r="BE7" s="519">
        <v>188.12</v>
      </c>
      <c r="BF7" s="520">
        <v>198.35</v>
      </c>
      <c r="BG7" s="520">
        <v>226.49</v>
      </c>
      <c r="BH7" s="520">
        <v>235.0</v>
      </c>
      <c r="BI7" s="521"/>
      <c r="BJ7" s="521"/>
      <c r="BK7" s="521"/>
      <c r="BL7" s="521"/>
      <c r="BM7" s="521"/>
    </row>
    <row r="8">
      <c r="BB8" s="523" t="s">
        <v>124</v>
      </c>
    </row>
    <row r="10">
      <c r="A10" s="502" t="s">
        <v>125</v>
      </c>
      <c r="B10" s="505">
        <v>2010.0</v>
      </c>
      <c r="C10" s="506"/>
      <c r="D10" s="506"/>
      <c r="E10" s="507"/>
      <c r="F10" s="512">
        <v>2011.0</v>
      </c>
      <c r="G10" s="506"/>
      <c r="H10" s="506"/>
      <c r="I10" s="507"/>
      <c r="J10" s="512">
        <v>2012.0</v>
      </c>
      <c r="K10" s="506"/>
      <c r="L10" s="506"/>
      <c r="M10" s="507"/>
      <c r="N10" s="511">
        <v>2013.0</v>
      </c>
      <c r="O10" s="509"/>
      <c r="P10" s="509"/>
      <c r="Q10" s="510"/>
      <c r="R10" s="511">
        <v>2014.0</v>
      </c>
      <c r="S10" s="509"/>
      <c r="T10" s="509"/>
      <c r="U10" s="510"/>
      <c r="V10" s="511">
        <v>2015.0</v>
      </c>
      <c r="W10" s="509"/>
      <c r="X10" s="509"/>
      <c r="Y10" s="510"/>
      <c r="Z10" s="512">
        <v>2016.0</v>
      </c>
      <c r="AA10" s="506"/>
      <c r="AB10" s="506"/>
      <c r="AC10" s="507"/>
      <c r="AD10" s="512">
        <v>2017.0</v>
      </c>
      <c r="AE10" s="506"/>
      <c r="AF10" s="506"/>
      <c r="AG10" s="507"/>
      <c r="AH10" s="512">
        <v>2018.0</v>
      </c>
      <c r="AI10" s="506"/>
      <c r="AJ10" s="506"/>
      <c r="AK10" s="507"/>
      <c r="AL10" s="512">
        <v>2019.0</v>
      </c>
      <c r="AM10" s="506"/>
      <c r="AN10" s="506"/>
      <c r="AO10" s="507"/>
      <c r="AP10" s="512">
        <v>2020.0</v>
      </c>
      <c r="AQ10" s="506"/>
      <c r="AR10" s="506"/>
      <c r="AS10" s="507"/>
      <c r="AT10" s="505">
        <v>2021.0</v>
      </c>
      <c r="AU10" s="506"/>
      <c r="AV10" s="506"/>
      <c r="AW10" s="507"/>
      <c r="AX10" s="505">
        <v>2022.0</v>
      </c>
      <c r="AY10" s="506"/>
      <c r="AZ10" s="506"/>
      <c r="BA10" s="507"/>
      <c r="BB10" s="505">
        <v>2023.0</v>
      </c>
      <c r="BC10" s="506"/>
      <c r="BD10" s="506"/>
      <c r="BE10" s="507"/>
      <c r="BF10" s="505">
        <v>2024.0</v>
      </c>
      <c r="BG10" s="506"/>
      <c r="BH10" s="506"/>
      <c r="BI10" s="507"/>
      <c r="BJ10" s="505">
        <v>2025.0</v>
      </c>
      <c r="BK10" s="506"/>
      <c r="BL10" s="506"/>
      <c r="BM10" s="507"/>
    </row>
    <row r="11">
      <c r="A11" s="524"/>
      <c r="B11" s="514" t="s">
        <v>118</v>
      </c>
      <c r="C11" s="514" t="s">
        <v>119</v>
      </c>
      <c r="D11" s="514" t="s">
        <v>120</v>
      </c>
      <c r="E11" s="514" t="s">
        <v>121</v>
      </c>
      <c r="F11" s="514" t="s">
        <v>118</v>
      </c>
      <c r="G11" s="514" t="s">
        <v>119</v>
      </c>
      <c r="H11" s="514" t="s">
        <v>120</v>
      </c>
      <c r="I11" s="514" t="s">
        <v>121</v>
      </c>
      <c r="J11" s="514" t="s">
        <v>118</v>
      </c>
      <c r="K11" s="514" t="s">
        <v>119</v>
      </c>
      <c r="L11" s="514" t="s">
        <v>120</v>
      </c>
      <c r="M11" s="514" t="s">
        <v>121</v>
      </c>
      <c r="N11" s="504" t="s">
        <v>118</v>
      </c>
      <c r="O11" s="504" t="s">
        <v>119</v>
      </c>
      <c r="P11" s="504" t="s">
        <v>120</v>
      </c>
      <c r="Q11" s="504" t="s">
        <v>121</v>
      </c>
      <c r="R11" s="504" t="s">
        <v>118</v>
      </c>
      <c r="S11" s="504" t="s">
        <v>119</v>
      </c>
      <c r="T11" s="504" t="s">
        <v>120</v>
      </c>
      <c r="U11" s="504" t="s">
        <v>121</v>
      </c>
      <c r="V11" s="504" t="s">
        <v>118</v>
      </c>
      <c r="W11" s="504" t="s">
        <v>119</v>
      </c>
      <c r="X11" s="504" t="s">
        <v>120</v>
      </c>
      <c r="Y11" s="504" t="s">
        <v>121</v>
      </c>
      <c r="Z11" s="514" t="s">
        <v>118</v>
      </c>
      <c r="AA11" s="514" t="s">
        <v>119</v>
      </c>
      <c r="AB11" s="514" t="s">
        <v>120</v>
      </c>
      <c r="AC11" s="514" t="s">
        <v>121</v>
      </c>
      <c r="AD11" s="514" t="s">
        <v>118</v>
      </c>
      <c r="AE11" s="514" t="s">
        <v>119</v>
      </c>
      <c r="AF11" s="514" t="s">
        <v>120</v>
      </c>
      <c r="AG11" s="514" t="s">
        <v>121</v>
      </c>
      <c r="AH11" s="514" t="s">
        <v>118</v>
      </c>
      <c r="AI11" s="514" t="s">
        <v>119</v>
      </c>
      <c r="AJ11" s="514" t="s">
        <v>120</v>
      </c>
      <c r="AK11" s="514" t="s">
        <v>121</v>
      </c>
      <c r="AL11" s="514" t="s">
        <v>118</v>
      </c>
      <c r="AM11" s="514" t="s">
        <v>119</v>
      </c>
      <c r="AN11" s="514" t="s">
        <v>120</v>
      </c>
      <c r="AO11" s="514" t="s">
        <v>121</v>
      </c>
      <c r="AP11" s="514" t="s">
        <v>118</v>
      </c>
      <c r="AQ11" s="514" t="s">
        <v>119</v>
      </c>
      <c r="AR11" s="514" t="s">
        <v>120</v>
      </c>
      <c r="AS11" s="514" t="s">
        <v>121</v>
      </c>
      <c r="AT11" s="504" t="s">
        <v>118</v>
      </c>
      <c r="AU11" s="504" t="s">
        <v>119</v>
      </c>
      <c r="AV11" s="504" t="s">
        <v>120</v>
      </c>
      <c r="AW11" s="504" t="s">
        <v>121</v>
      </c>
      <c r="AX11" s="504" t="s">
        <v>118</v>
      </c>
      <c r="AY11" s="504" t="s">
        <v>119</v>
      </c>
      <c r="AZ11" s="504" t="s">
        <v>120</v>
      </c>
      <c r="BA11" s="504" t="s">
        <v>121</v>
      </c>
      <c r="BB11" s="504" t="s">
        <v>118</v>
      </c>
      <c r="BC11" s="504" t="s">
        <v>119</v>
      </c>
      <c r="BD11" s="504" t="s">
        <v>120</v>
      </c>
      <c r="BE11" s="504" t="s">
        <v>121</v>
      </c>
      <c r="BF11" s="504" t="s">
        <v>118</v>
      </c>
      <c r="BG11" s="504" t="s">
        <v>119</v>
      </c>
      <c r="BH11" s="504" t="s">
        <v>120</v>
      </c>
      <c r="BI11" s="504" t="s">
        <v>121</v>
      </c>
      <c r="BJ11" s="504" t="s">
        <v>118</v>
      </c>
      <c r="BK11" s="504" t="s">
        <v>119</v>
      </c>
      <c r="BL11" s="504" t="s">
        <v>120</v>
      </c>
      <c r="BM11" s="504" t="s">
        <v>121</v>
      </c>
    </row>
    <row r="12">
      <c r="A12" s="524"/>
      <c r="B12" s="525"/>
      <c r="C12" s="525"/>
      <c r="D12" s="525"/>
      <c r="E12" s="525"/>
      <c r="F12" s="525"/>
      <c r="G12" s="525"/>
      <c r="H12" s="525"/>
      <c r="I12" s="525"/>
      <c r="J12" s="525"/>
      <c r="K12" s="525"/>
      <c r="L12" s="525"/>
      <c r="M12" s="52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AX12" s="55"/>
      <c r="AY12" s="55"/>
      <c r="AZ12" s="55"/>
      <c r="BA12" s="55"/>
      <c r="BB12" s="55"/>
      <c r="BC12" s="55"/>
      <c r="BD12" s="55"/>
      <c r="BE12" s="55"/>
      <c r="BF12" s="55"/>
      <c r="BG12" s="55"/>
      <c r="BH12" s="55"/>
      <c r="BI12" s="55"/>
      <c r="BJ12" s="55"/>
      <c r="BK12" s="55"/>
      <c r="BL12" s="55"/>
      <c r="BM12" s="55"/>
    </row>
    <row r="13">
      <c r="A13" s="526" t="s">
        <v>122</v>
      </c>
      <c r="B13" s="527">
        <f t="shared" ref="B13:BF13" si="1">B6/C6*C13</f>
        <v>80270.0478</v>
      </c>
      <c r="C13" s="527">
        <f t="shared" si="1"/>
        <v>80955.18119</v>
      </c>
      <c r="D13" s="527">
        <f t="shared" si="1"/>
        <v>82785.86299</v>
      </c>
      <c r="E13" s="527">
        <f t="shared" si="1"/>
        <v>92559.01795</v>
      </c>
      <c r="F13" s="527">
        <f t="shared" si="1"/>
        <v>106482.9981</v>
      </c>
      <c r="G13" s="527">
        <f t="shared" si="1"/>
        <v>113027.6703</v>
      </c>
      <c r="H13" s="527">
        <f t="shared" si="1"/>
        <v>107943.1758</v>
      </c>
      <c r="I13" s="527">
        <f t="shared" si="1"/>
        <v>107239.0127</v>
      </c>
      <c r="J13" s="527">
        <f t="shared" si="1"/>
        <v>117274.2208</v>
      </c>
      <c r="K13" s="527">
        <f t="shared" si="1"/>
        <v>110420.6576</v>
      </c>
      <c r="L13" s="527">
        <f t="shared" si="1"/>
        <v>104945.2212</v>
      </c>
      <c r="M13" s="527">
        <f t="shared" si="1"/>
        <v>102476.8449</v>
      </c>
      <c r="N13" s="527">
        <f t="shared" si="1"/>
        <v>104188.5216</v>
      </c>
      <c r="O13" s="527">
        <f t="shared" si="1"/>
        <v>93683.59241</v>
      </c>
      <c r="P13" s="527">
        <f t="shared" si="1"/>
        <v>94969.70804</v>
      </c>
      <c r="Q13" s="527">
        <f t="shared" si="1"/>
        <v>94224.023</v>
      </c>
      <c r="R13" s="527">
        <f t="shared" si="1"/>
        <v>93830.72234</v>
      </c>
      <c r="S13" s="527">
        <f t="shared" si="1"/>
        <v>93035.54326</v>
      </c>
      <c r="T13" s="527">
        <f t="shared" si="1"/>
        <v>87751.34575</v>
      </c>
      <c r="U13" s="527">
        <f t="shared" si="1"/>
        <v>79525.17192</v>
      </c>
      <c r="V13" s="527">
        <f t="shared" si="1"/>
        <v>72568.09796</v>
      </c>
      <c r="W13" s="527">
        <f t="shared" si="1"/>
        <v>74472.66004</v>
      </c>
      <c r="X13" s="527">
        <f t="shared" si="1"/>
        <v>65370.61389</v>
      </c>
      <c r="Y13" s="527">
        <f t="shared" si="1"/>
        <v>60929.28188</v>
      </c>
      <c r="Z13" s="527">
        <f t="shared" si="1"/>
        <v>58107.04718</v>
      </c>
      <c r="AA13" s="527">
        <f t="shared" si="1"/>
        <v>63296.80076</v>
      </c>
      <c r="AB13" s="527">
        <f t="shared" si="1"/>
        <v>66613.66501</v>
      </c>
      <c r="AC13" s="527">
        <f t="shared" si="1"/>
        <v>76117.22457</v>
      </c>
      <c r="AD13" s="527">
        <f t="shared" si="1"/>
        <v>77733.71582</v>
      </c>
      <c r="AE13" s="527">
        <f t="shared" si="1"/>
        <v>75196.38167</v>
      </c>
      <c r="AF13" s="527">
        <f t="shared" si="1"/>
        <v>76776.16557</v>
      </c>
      <c r="AG13" s="527">
        <f t="shared" si="1"/>
        <v>83439.89414</v>
      </c>
      <c r="AH13" s="527">
        <f t="shared" si="1"/>
        <v>87290.22336</v>
      </c>
      <c r="AI13" s="527">
        <f t="shared" si="1"/>
        <v>88506.37618</v>
      </c>
      <c r="AJ13" s="527">
        <f t="shared" si="1"/>
        <v>93133.37099</v>
      </c>
      <c r="AK13" s="527">
        <f t="shared" si="1"/>
        <v>89443.42527</v>
      </c>
      <c r="AL13" s="527">
        <f t="shared" si="1"/>
        <v>87266.16743</v>
      </c>
      <c r="AM13" s="527">
        <f t="shared" si="1"/>
        <v>87289.95408</v>
      </c>
      <c r="AN13" s="527">
        <f t="shared" si="1"/>
        <v>80572.93841</v>
      </c>
      <c r="AO13" s="527">
        <f t="shared" si="1"/>
        <v>81149.29023</v>
      </c>
      <c r="AP13" s="527">
        <f t="shared" si="1"/>
        <v>76302.04486</v>
      </c>
      <c r="AQ13" s="527">
        <f t="shared" si="1"/>
        <v>64317.06073</v>
      </c>
      <c r="AR13" s="527">
        <f t="shared" si="1"/>
        <v>69148.33544</v>
      </c>
      <c r="AS13" s="527">
        <f t="shared" si="1"/>
        <v>72412.96912</v>
      </c>
      <c r="AT13" s="527">
        <f t="shared" si="1"/>
        <v>89166.54997</v>
      </c>
      <c r="AU13" s="527">
        <f t="shared" si="1"/>
        <v>97089.20757</v>
      </c>
      <c r="AV13" s="527">
        <f t="shared" si="1"/>
        <v>112249.7387</v>
      </c>
      <c r="AW13" s="527">
        <f t="shared" si="1"/>
        <v>128310.4476</v>
      </c>
      <c r="AX13" s="527">
        <f t="shared" si="1"/>
        <v>139067.332</v>
      </c>
      <c r="AY13" s="527">
        <f t="shared" si="1"/>
        <v>177638.8027</v>
      </c>
      <c r="AZ13" s="527">
        <f t="shared" si="1"/>
        <v>182820.0952</v>
      </c>
      <c r="BA13" s="527">
        <f t="shared" si="1"/>
        <v>176582.533</v>
      </c>
      <c r="BB13" s="527">
        <f t="shared" si="1"/>
        <v>122696.6336</v>
      </c>
      <c r="BC13" s="527">
        <f t="shared" si="1"/>
        <v>85371.00838</v>
      </c>
      <c r="BD13" s="527">
        <f t="shared" si="1"/>
        <v>80322.45673</v>
      </c>
      <c r="BE13" s="527">
        <f t="shared" si="1"/>
        <v>86431.20423</v>
      </c>
      <c r="BF13" s="527">
        <f t="shared" si="1"/>
        <v>81332.16706</v>
      </c>
      <c r="BG13" s="528">
        <v>92371.66666666667</v>
      </c>
      <c r="BH13" s="527">
        <f t="shared" ref="BH13:BI13" si="2">BG13-((BG13*6.3672)/100)</f>
        <v>86490.17791</v>
      </c>
      <c r="BI13" s="527">
        <f t="shared" si="2"/>
        <v>80983.1753</v>
      </c>
      <c r="BJ13" s="527"/>
      <c r="BK13" s="527"/>
      <c r="BL13" s="527"/>
      <c r="BM13" s="527"/>
    </row>
    <row r="14">
      <c r="A14" s="522" t="s">
        <v>123</v>
      </c>
      <c r="BF14" s="527">
        <f t="shared" ref="BF14:BI14" si="3">BF6/BG6*BG13</f>
        <v>81332.16706</v>
      </c>
      <c r="BG14" s="527">
        <f t="shared" si="3"/>
        <v>92371.7456</v>
      </c>
      <c r="BH14" s="527">
        <f t="shared" si="3"/>
        <v>80983.1753</v>
      </c>
      <c r="BI14" s="527" t="str">
        <f t="shared" si="3"/>
        <v>#DIV/0!</v>
      </c>
    </row>
    <row r="15">
      <c r="BG15" s="528"/>
    </row>
    <row r="17">
      <c r="BG17" s="529">
        <f t="shared" ref="BG17:BI17" si="4">BG6/BF6*100-100</f>
        <v>13.57334989</v>
      </c>
      <c r="BH17" s="529">
        <f t="shared" si="4"/>
        <v>-6.367280015</v>
      </c>
      <c r="BI17" s="529">
        <f t="shared" si="4"/>
        <v>0</v>
      </c>
    </row>
    <row r="18">
      <c r="BG18" s="529">
        <f t="shared" ref="BG18:BI18" si="5">BG7/BF7*100-100</f>
        <v>14.18704311</v>
      </c>
      <c r="BH18" s="529">
        <f t="shared" si="5"/>
        <v>3.75734028</v>
      </c>
      <c r="BI18" s="529">
        <f t="shared" si="5"/>
        <v>-100</v>
      </c>
    </row>
    <row r="19">
      <c r="BG19" s="529">
        <f t="shared" ref="BG19:BI19" si="6">average(BG17:BG18)</f>
        <v>13.8801965</v>
      </c>
      <c r="BH19" s="529">
        <f t="shared" si="6"/>
        <v>-1.304969867</v>
      </c>
      <c r="BI19" s="529">
        <f t="shared" si="6"/>
        <v>-50</v>
      </c>
    </row>
  </sheetData>
  <mergeCells count="161">
    <mergeCell ref="Z3:AC3"/>
    <mergeCell ref="AD3:AG3"/>
    <mergeCell ref="AH3:AK3"/>
    <mergeCell ref="AL3:AO3"/>
    <mergeCell ref="AP3:AS3"/>
    <mergeCell ref="AT3:AW3"/>
    <mergeCell ref="AX3:BA3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Z4:Z5"/>
    <mergeCell ref="AA4:AA5"/>
    <mergeCell ref="AB4:AB5"/>
    <mergeCell ref="AC4:AC5"/>
    <mergeCell ref="AD4:AD5"/>
    <mergeCell ref="BJ4:BJ5"/>
    <mergeCell ref="BK4:BK5"/>
    <mergeCell ref="AQ11:AQ12"/>
    <mergeCell ref="AR11:AR12"/>
    <mergeCell ref="AJ11:AJ12"/>
    <mergeCell ref="AK11:AK12"/>
    <mergeCell ref="AL11:AL12"/>
    <mergeCell ref="AM11:AM12"/>
    <mergeCell ref="AN11:AN12"/>
    <mergeCell ref="AO11:AO12"/>
    <mergeCell ref="AP11:AP12"/>
    <mergeCell ref="AZ11:AZ12"/>
    <mergeCell ref="BA11:BA12"/>
    <mergeCell ref="AS11:AS12"/>
    <mergeCell ref="AT11:AT12"/>
    <mergeCell ref="AU11:AU12"/>
    <mergeCell ref="AV11:AV12"/>
    <mergeCell ref="AW11:AW12"/>
    <mergeCell ref="AX11:AX12"/>
    <mergeCell ref="AY11:AY12"/>
    <mergeCell ref="BI11:BI12"/>
    <mergeCell ref="BJ11:BJ12"/>
    <mergeCell ref="BB11:BB12"/>
    <mergeCell ref="BC11:BC12"/>
    <mergeCell ref="BD11:BD12"/>
    <mergeCell ref="BE11:BE12"/>
    <mergeCell ref="BF11:BF12"/>
    <mergeCell ref="BG11:BG12"/>
    <mergeCell ref="BH11:BH12"/>
    <mergeCell ref="N4:N5"/>
    <mergeCell ref="O4:O5"/>
    <mergeCell ref="P4:P5"/>
    <mergeCell ref="Q4:Q5"/>
    <mergeCell ref="N10:Q10"/>
    <mergeCell ref="N11:N12"/>
    <mergeCell ref="O11:O12"/>
    <mergeCell ref="P11:P12"/>
    <mergeCell ref="Q11:Q12"/>
    <mergeCell ref="R4:R5"/>
    <mergeCell ref="S4:S5"/>
    <mergeCell ref="A3:A5"/>
    <mergeCell ref="B3:E3"/>
    <mergeCell ref="F3:I3"/>
    <mergeCell ref="J3:M3"/>
    <mergeCell ref="N3:Q3"/>
    <mergeCell ref="R3:U3"/>
    <mergeCell ref="V3:Y3"/>
    <mergeCell ref="T4:T5"/>
    <mergeCell ref="U4:U5"/>
    <mergeCell ref="R10:U10"/>
    <mergeCell ref="R11:R12"/>
    <mergeCell ref="S11:S12"/>
    <mergeCell ref="T11:T12"/>
    <mergeCell ref="U11:U12"/>
    <mergeCell ref="D11:D12"/>
    <mergeCell ref="E11:E12"/>
    <mergeCell ref="AE11:AE12"/>
    <mergeCell ref="AF11:AF12"/>
    <mergeCell ref="AG11:AG12"/>
    <mergeCell ref="AH11:AH12"/>
    <mergeCell ref="AI11:AI12"/>
    <mergeCell ref="BL11:BL12"/>
    <mergeCell ref="BM11:BM12"/>
    <mergeCell ref="AP10:AS10"/>
    <mergeCell ref="AT10:AW10"/>
    <mergeCell ref="AX10:BA10"/>
    <mergeCell ref="BB10:BE10"/>
    <mergeCell ref="BF10:BI10"/>
    <mergeCell ref="BJ10:BM10"/>
    <mergeCell ref="BK11:BK12"/>
    <mergeCell ref="AL4:AL5"/>
    <mergeCell ref="AM4:AM5"/>
    <mergeCell ref="AE4:AE5"/>
    <mergeCell ref="AF4:AF5"/>
    <mergeCell ref="AG4:AG5"/>
    <mergeCell ref="AH4:AH5"/>
    <mergeCell ref="AI4:AI5"/>
    <mergeCell ref="AJ4:AJ5"/>
    <mergeCell ref="AK4:AK5"/>
    <mergeCell ref="AU4:AU5"/>
    <mergeCell ref="AV4:AV5"/>
    <mergeCell ref="AN4:AN5"/>
    <mergeCell ref="AO4:AO5"/>
    <mergeCell ref="AP4:AP5"/>
    <mergeCell ref="AQ4:AQ5"/>
    <mergeCell ref="AR4:AR5"/>
    <mergeCell ref="AS4:AS5"/>
    <mergeCell ref="AT4:AT5"/>
    <mergeCell ref="BD4:BD5"/>
    <mergeCell ref="BE4:BE5"/>
    <mergeCell ref="AW4:AW5"/>
    <mergeCell ref="AX4:AX5"/>
    <mergeCell ref="AY4:AY5"/>
    <mergeCell ref="AZ4:AZ5"/>
    <mergeCell ref="BA4:BA5"/>
    <mergeCell ref="BB4:BB5"/>
    <mergeCell ref="BC4:BC5"/>
    <mergeCell ref="BL4:BL5"/>
    <mergeCell ref="BM4:BM5"/>
    <mergeCell ref="BB3:BE3"/>
    <mergeCell ref="BF3:BI3"/>
    <mergeCell ref="BJ3:BM3"/>
    <mergeCell ref="BF4:BF5"/>
    <mergeCell ref="BG4:BG5"/>
    <mergeCell ref="BH4:BH5"/>
    <mergeCell ref="BI4:BI5"/>
    <mergeCell ref="V4:V5"/>
    <mergeCell ref="W4:W5"/>
    <mergeCell ref="X4:X5"/>
    <mergeCell ref="Y4:Y5"/>
    <mergeCell ref="V10:Y10"/>
    <mergeCell ref="Z10:AC10"/>
    <mergeCell ref="AD10:AG10"/>
    <mergeCell ref="AH10:AK10"/>
    <mergeCell ref="AL10:AO10"/>
    <mergeCell ref="F11:F12"/>
    <mergeCell ref="G11:G12"/>
    <mergeCell ref="H11:H12"/>
    <mergeCell ref="I11:I12"/>
    <mergeCell ref="J11:J12"/>
    <mergeCell ref="K11:K12"/>
    <mergeCell ref="L11:L12"/>
    <mergeCell ref="M11:M12"/>
    <mergeCell ref="L4:L5"/>
    <mergeCell ref="M4:M5"/>
    <mergeCell ref="B10:E10"/>
    <mergeCell ref="F10:I10"/>
    <mergeCell ref="J10:M10"/>
    <mergeCell ref="B11:B12"/>
    <mergeCell ref="C11:C12"/>
    <mergeCell ref="AC11:AC12"/>
    <mergeCell ref="AD11:AD12"/>
    <mergeCell ref="V11:V12"/>
    <mergeCell ref="W11:W12"/>
    <mergeCell ref="X11:X12"/>
    <mergeCell ref="Y11:Y12"/>
    <mergeCell ref="Z11:Z12"/>
    <mergeCell ref="AA11:AA12"/>
    <mergeCell ref="AB11:AB12"/>
  </mergeCell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4.43" defaultRowHeight="15.0"/>
  <cols>
    <col customWidth="1" min="1" max="1" width="5.29"/>
  </cols>
  <sheetData>
    <row r="2">
      <c r="A2" s="530" t="s">
        <v>126</v>
      </c>
      <c r="B2" s="531"/>
      <c r="C2" s="532"/>
    </row>
    <row r="3">
      <c r="A3" s="533" t="s">
        <v>127</v>
      </c>
      <c r="B3" s="534" t="s">
        <v>128</v>
      </c>
      <c r="C3" s="534" t="s">
        <v>129</v>
      </c>
      <c r="D3" s="535">
        <v>2016.0</v>
      </c>
      <c r="E3" s="506"/>
      <c r="F3" s="506"/>
      <c r="G3" s="506"/>
      <c r="H3" s="506"/>
      <c r="I3" s="506"/>
      <c r="J3" s="506"/>
      <c r="K3" s="506"/>
      <c r="L3" s="506"/>
      <c r="M3" s="506"/>
      <c r="N3" s="506"/>
      <c r="O3" s="506"/>
      <c r="P3" s="506"/>
      <c r="Q3" s="506"/>
      <c r="R3" s="506"/>
      <c r="S3" s="506"/>
      <c r="T3" s="507"/>
      <c r="U3" s="535">
        <v>2017.0</v>
      </c>
      <c r="V3" s="506"/>
      <c r="W3" s="506"/>
      <c r="X3" s="506"/>
      <c r="Y3" s="506"/>
      <c r="Z3" s="506"/>
      <c r="AA3" s="506"/>
      <c r="AB3" s="506"/>
      <c r="AC3" s="506"/>
      <c r="AD3" s="506"/>
      <c r="AE3" s="506"/>
      <c r="AF3" s="506"/>
      <c r="AG3" s="506"/>
      <c r="AH3" s="506"/>
      <c r="AI3" s="506"/>
      <c r="AJ3" s="506"/>
      <c r="AK3" s="507"/>
      <c r="AL3" s="535">
        <v>2018.0</v>
      </c>
      <c r="AM3" s="506"/>
      <c r="AN3" s="506"/>
      <c r="AO3" s="506"/>
      <c r="AP3" s="506"/>
      <c r="AQ3" s="506"/>
      <c r="AR3" s="506"/>
      <c r="AS3" s="506"/>
      <c r="AT3" s="506"/>
      <c r="AU3" s="506"/>
      <c r="AV3" s="506"/>
      <c r="AW3" s="506"/>
      <c r="AX3" s="506"/>
      <c r="AY3" s="506"/>
      <c r="AZ3" s="506"/>
      <c r="BA3" s="506"/>
      <c r="BB3" s="507"/>
      <c r="BC3" s="536">
        <v>2019.0</v>
      </c>
      <c r="BD3" s="425"/>
      <c r="BE3" s="425"/>
      <c r="BF3" s="425"/>
      <c r="BG3" s="425"/>
      <c r="BH3" s="425"/>
      <c r="BI3" s="425"/>
      <c r="BJ3" s="425"/>
      <c r="BK3" s="425"/>
      <c r="BL3" s="425"/>
      <c r="BM3" s="425"/>
      <c r="BN3" s="425"/>
      <c r="BO3" s="425"/>
      <c r="BP3" s="425"/>
      <c r="BQ3" s="425"/>
      <c r="BR3" s="425"/>
      <c r="BS3" s="426"/>
      <c r="BT3" s="536">
        <v>2020.0</v>
      </c>
      <c r="BU3" s="425"/>
      <c r="BV3" s="425"/>
      <c r="BW3" s="425"/>
      <c r="BX3" s="425"/>
      <c r="BY3" s="425"/>
      <c r="BZ3" s="425"/>
      <c r="CA3" s="425"/>
      <c r="CB3" s="425"/>
      <c r="CC3" s="425"/>
      <c r="CD3" s="425"/>
      <c r="CE3" s="425"/>
      <c r="CF3" s="425"/>
      <c r="CG3" s="425"/>
      <c r="CH3" s="425"/>
      <c r="CI3" s="425"/>
      <c r="CJ3" s="426"/>
      <c r="CK3" s="536">
        <f>CJ3+1</f>
        <v>1</v>
      </c>
      <c r="CL3" s="425"/>
      <c r="CM3" s="425"/>
      <c r="CN3" s="425"/>
      <c r="CO3" s="425"/>
      <c r="CP3" s="425"/>
      <c r="CQ3" s="425"/>
      <c r="CR3" s="425"/>
      <c r="CS3" s="425"/>
      <c r="CT3" s="425"/>
      <c r="CU3" s="425"/>
      <c r="CV3" s="425"/>
      <c r="CW3" s="425"/>
      <c r="CX3" s="425"/>
      <c r="CY3" s="425"/>
      <c r="CZ3" s="425"/>
      <c r="DA3" s="426"/>
      <c r="DB3" s="537">
        <v>2022.0</v>
      </c>
      <c r="DC3" s="425"/>
      <c r="DD3" s="425"/>
      <c r="DE3" s="425"/>
      <c r="DF3" s="425"/>
      <c r="DG3" s="425"/>
      <c r="DH3" s="425"/>
      <c r="DI3" s="425"/>
      <c r="DJ3" s="425"/>
      <c r="DK3" s="425"/>
      <c r="DL3" s="425"/>
      <c r="DM3" s="425"/>
      <c r="DN3" s="425"/>
      <c r="DO3" s="425"/>
      <c r="DP3" s="425"/>
      <c r="DQ3" s="425"/>
      <c r="DR3" s="426"/>
      <c r="DS3" s="537">
        <v>2023.0</v>
      </c>
      <c r="DT3" s="425"/>
      <c r="DU3" s="425"/>
      <c r="DV3" s="425"/>
      <c r="DW3" s="425"/>
      <c r="DX3" s="425"/>
      <c r="DY3" s="425"/>
      <c r="DZ3" s="425"/>
      <c r="EA3" s="425"/>
      <c r="EB3" s="425"/>
      <c r="EC3" s="425"/>
      <c r="ED3" s="425"/>
      <c r="EE3" s="425"/>
      <c r="EF3" s="425"/>
      <c r="EG3" s="425"/>
      <c r="EH3" s="425"/>
      <c r="EI3" s="426"/>
      <c r="EJ3" s="12"/>
      <c r="EK3" s="12"/>
      <c r="EL3" s="12"/>
      <c r="EM3" s="499">
        <v>2023.0</v>
      </c>
      <c r="EN3" s="12"/>
      <c r="EO3" s="12"/>
      <c r="EP3" s="12"/>
      <c r="EQ3" s="12"/>
      <c r="ER3" s="12"/>
      <c r="ES3" s="12"/>
      <c r="ET3" s="12"/>
      <c r="EU3" s="12"/>
    </row>
    <row r="4">
      <c r="A4" s="538"/>
      <c r="B4" s="539"/>
      <c r="C4" s="539"/>
      <c r="D4" s="540" t="s">
        <v>130</v>
      </c>
      <c r="E4" s="540" t="s">
        <v>131</v>
      </c>
      <c r="F4" s="540" t="s">
        <v>132</v>
      </c>
      <c r="G4" s="540" t="s">
        <v>133</v>
      </c>
      <c r="H4" s="540" t="s">
        <v>134</v>
      </c>
      <c r="I4" s="540" t="s">
        <v>135</v>
      </c>
      <c r="J4" s="540" t="s">
        <v>136</v>
      </c>
      <c r="K4" s="540" t="s">
        <v>137</v>
      </c>
      <c r="L4" s="540" t="s">
        <v>138</v>
      </c>
      <c r="M4" s="540" t="s">
        <v>139</v>
      </c>
      <c r="N4" s="540" t="s">
        <v>140</v>
      </c>
      <c r="O4" s="540" t="s">
        <v>141</v>
      </c>
      <c r="P4" s="541" t="s">
        <v>142</v>
      </c>
      <c r="Q4" s="541" t="s">
        <v>143</v>
      </c>
      <c r="R4" s="541" t="s">
        <v>144</v>
      </c>
      <c r="S4" s="540" t="s">
        <v>145</v>
      </c>
      <c r="T4" s="542" t="s">
        <v>52</v>
      </c>
      <c r="U4" s="540" t="s">
        <v>130</v>
      </c>
      <c r="V4" s="540" t="s">
        <v>131</v>
      </c>
      <c r="W4" s="540" t="s">
        <v>132</v>
      </c>
      <c r="X4" s="540" t="s">
        <v>133</v>
      </c>
      <c r="Y4" s="540" t="s">
        <v>134</v>
      </c>
      <c r="Z4" s="540" t="s">
        <v>135</v>
      </c>
      <c r="AA4" s="540" t="s">
        <v>136</v>
      </c>
      <c r="AB4" s="540" t="s">
        <v>137</v>
      </c>
      <c r="AC4" s="540" t="s">
        <v>138</v>
      </c>
      <c r="AD4" s="540" t="s">
        <v>139</v>
      </c>
      <c r="AE4" s="540" t="s">
        <v>140</v>
      </c>
      <c r="AF4" s="540" t="s">
        <v>141</v>
      </c>
      <c r="AG4" s="541" t="s">
        <v>142</v>
      </c>
      <c r="AH4" s="541" t="s">
        <v>143</v>
      </c>
      <c r="AI4" s="541" t="s">
        <v>144</v>
      </c>
      <c r="AJ4" s="540" t="s">
        <v>145</v>
      </c>
      <c r="AK4" s="542" t="s">
        <v>52</v>
      </c>
      <c r="AL4" s="540" t="s">
        <v>130</v>
      </c>
      <c r="AM4" s="540" t="s">
        <v>131</v>
      </c>
      <c r="AN4" s="540" t="s">
        <v>132</v>
      </c>
      <c r="AO4" s="540" t="s">
        <v>133</v>
      </c>
      <c r="AP4" s="540" t="s">
        <v>134</v>
      </c>
      <c r="AQ4" s="540" t="s">
        <v>135</v>
      </c>
      <c r="AR4" s="540" t="s">
        <v>136</v>
      </c>
      <c r="AS4" s="540" t="s">
        <v>137</v>
      </c>
      <c r="AT4" s="540" t="s">
        <v>138</v>
      </c>
      <c r="AU4" s="540" t="s">
        <v>139</v>
      </c>
      <c r="AV4" s="540" t="s">
        <v>140</v>
      </c>
      <c r="AW4" s="540" t="s">
        <v>141</v>
      </c>
      <c r="AX4" s="541" t="s">
        <v>142</v>
      </c>
      <c r="AY4" s="541" t="s">
        <v>143</v>
      </c>
      <c r="AZ4" s="541" t="s">
        <v>144</v>
      </c>
      <c r="BA4" s="540" t="s">
        <v>145</v>
      </c>
      <c r="BB4" s="542" t="s">
        <v>52</v>
      </c>
      <c r="BC4" s="543" t="s">
        <v>130</v>
      </c>
      <c r="BD4" s="543" t="s">
        <v>131</v>
      </c>
      <c r="BE4" s="543" t="s">
        <v>132</v>
      </c>
      <c r="BF4" s="543" t="s">
        <v>133</v>
      </c>
      <c r="BG4" s="543" t="s">
        <v>134</v>
      </c>
      <c r="BH4" s="543" t="s">
        <v>135</v>
      </c>
      <c r="BI4" s="543" t="s">
        <v>136</v>
      </c>
      <c r="BJ4" s="543" t="s">
        <v>137</v>
      </c>
      <c r="BK4" s="543" t="s">
        <v>138</v>
      </c>
      <c r="BL4" s="543" t="s">
        <v>139</v>
      </c>
      <c r="BM4" s="543" t="s">
        <v>140</v>
      </c>
      <c r="BN4" s="540" t="s">
        <v>141</v>
      </c>
      <c r="BO4" s="544" t="s">
        <v>142</v>
      </c>
      <c r="BP4" s="544" t="s">
        <v>143</v>
      </c>
      <c r="BQ4" s="544" t="s">
        <v>144</v>
      </c>
      <c r="BR4" s="543" t="s">
        <v>145</v>
      </c>
      <c r="BS4" s="542" t="s">
        <v>52</v>
      </c>
      <c r="BT4" s="543" t="s">
        <v>130</v>
      </c>
      <c r="BU4" s="543" t="s">
        <v>131</v>
      </c>
      <c r="BV4" s="543" t="s">
        <v>132</v>
      </c>
      <c r="BW4" s="543" t="s">
        <v>133</v>
      </c>
      <c r="BX4" s="543" t="s">
        <v>134</v>
      </c>
      <c r="BY4" s="543" t="s">
        <v>135</v>
      </c>
      <c r="BZ4" s="543" t="s">
        <v>136</v>
      </c>
      <c r="CA4" s="543" t="s">
        <v>137</v>
      </c>
      <c r="CB4" s="543" t="s">
        <v>138</v>
      </c>
      <c r="CC4" s="543" t="s">
        <v>139</v>
      </c>
      <c r="CD4" s="543" t="s">
        <v>140</v>
      </c>
      <c r="CE4" s="540" t="s">
        <v>141</v>
      </c>
      <c r="CF4" s="545" t="s">
        <v>142</v>
      </c>
      <c r="CG4" s="545" t="s">
        <v>143</v>
      </c>
      <c r="CH4" s="545" t="s">
        <v>144</v>
      </c>
      <c r="CI4" s="546" t="s">
        <v>145</v>
      </c>
      <c r="CJ4" s="547" t="s">
        <v>52</v>
      </c>
      <c r="CK4" s="543" t="s">
        <v>130</v>
      </c>
      <c r="CL4" s="543" t="s">
        <v>131</v>
      </c>
      <c r="CM4" s="543" t="s">
        <v>132</v>
      </c>
      <c r="CN4" s="543" t="s">
        <v>133</v>
      </c>
      <c r="CO4" s="543" t="s">
        <v>134</v>
      </c>
      <c r="CP4" s="543" t="s">
        <v>135</v>
      </c>
      <c r="CQ4" s="543" t="s">
        <v>136</v>
      </c>
      <c r="CR4" s="543" t="s">
        <v>137</v>
      </c>
      <c r="CS4" s="543" t="s">
        <v>138</v>
      </c>
      <c r="CT4" s="543" t="s">
        <v>139</v>
      </c>
      <c r="CU4" s="543" t="s">
        <v>140</v>
      </c>
      <c r="CV4" s="540" t="s">
        <v>141</v>
      </c>
      <c r="CW4" s="545" t="s">
        <v>142</v>
      </c>
      <c r="CX4" s="545" t="s">
        <v>143</v>
      </c>
      <c r="CY4" s="545" t="s">
        <v>144</v>
      </c>
      <c r="CZ4" s="546" t="s">
        <v>145</v>
      </c>
      <c r="DA4" s="547" t="s">
        <v>52</v>
      </c>
      <c r="DB4" s="543" t="s">
        <v>130</v>
      </c>
      <c r="DC4" s="543" t="s">
        <v>131</v>
      </c>
      <c r="DD4" s="543" t="s">
        <v>132</v>
      </c>
      <c r="DE4" s="543" t="s">
        <v>133</v>
      </c>
      <c r="DF4" s="543" t="s">
        <v>134</v>
      </c>
      <c r="DG4" s="543" t="s">
        <v>135</v>
      </c>
      <c r="DH4" s="543" t="s">
        <v>136</v>
      </c>
      <c r="DI4" s="543" t="s">
        <v>137</v>
      </c>
      <c r="DJ4" s="543" t="s">
        <v>138</v>
      </c>
      <c r="DK4" s="543" t="s">
        <v>139</v>
      </c>
      <c r="DL4" s="543" t="s">
        <v>140</v>
      </c>
      <c r="DM4" s="540" t="s">
        <v>141</v>
      </c>
      <c r="DN4" s="545" t="s">
        <v>142</v>
      </c>
      <c r="DO4" s="545" t="s">
        <v>143</v>
      </c>
      <c r="DP4" s="545" t="s">
        <v>144</v>
      </c>
      <c r="DQ4" s="546" t="s">
        <v>145</v>
      </c>
      <c r="DR4" s="547" t="s">
        <v>52</v>
      </c>
      <c r="DS4" s="543" t="s">
        <v>130</v>
      </c>
      <c r="DT4" s="543" t="s">
        <v>131</v>
      </c>
      <c r="DU4" s="543" t="s">
        <v>132</v>
      </c>
      <c r="DV4" s="543" t="s">
        <v>133</v>
      </c>
      <c r="DW4" s="543" t="s">
        <v>134</v>
      </c>
      <c r="DX4" s="543" t="s">
        <v>135</v>
      </c>
      <c r="DY4" s="543" t="s">
        <v>136</v>
      </c>
      <c r="DZ4" s="543" t="s">
        <v>137</v>
      </c>
      <c r="EA4" s="543" t="s">
        <v>138</v>
      </c>
      <c r="EB4" s="543" t="s">
        <v>139</v>
      </c>
      <c r="EC4" s="543" t="s">
        <v>140</v>
      </c>
      <c r="ED4" s="540" t="s">
        <v>141</v>
      </c>
      <c r="EE4" s="545" t="s">
        <v>142</v>
      </c>
      <c r="EF4" s="545" t="s">
        <v>143</v>
      </c>
      <c r="EG4" s="545" t="s">
        <v>144</v>
      </c>
      <c r="EH4" s="546" t="s">
        <v>145</v>
      </c>
      <c r="EI4" s="547" t="s">
        <v>52</v>
      </c>
      <c r="EJ4" s="12" t="s">
        <v>146</v>
      </c>
      <c r="EK4" s="12" t="s">
        <v>147</v>
      </c>
      <c r="EL4" s="12" t="s">
        <v>148</v>
      </c>
      <c r="EM4" s="12" t="s">
        <v>146</v>
      </c>
      <c r="EN4" s="12" t="s">
        <v>147</v>
      </c>
      <c r="EO4" s="12" t="s">
        <v>148</v>
      </c>
      <c r="EP4" s="12" t="s">
        <v>146</v>
      </c>
      <c r="EQ4" s="12" t="s">
        <v>147</v>
      </c>
      <c r="ER4" s="12" t="s">
        <v>148</v>
      </c>
      <c r="ES4" s="12" t="s">
        <v>146</v>
      </c>
      <c r="ET4" s="12" t="s">
        <v>147</v>
      </c>
      <c r="EU4" s="12" t="s">
        <v>148</v>
      </c>
    </row>
    <row r="5">
      <c r="A5" s="548">
        <v>-1.0</v>
      </c>
      <c r="B5" s="549">
        <f t="shared" ref="B5:T5" si="1">A5-1</f>
        <v>-2</v>
      </c>
      <c r="C5" s="549">
        <f t="shared" si="1"/>
        <v>-3</v>
      </c>
      <c r="D5" s="549">
        <f t="shared" si="1"/>
        <v>-4</v>
      </c>
      <c r="E5" s="549">
        <f t="shared" si="1"/>
        <v>-5</v>
      </c>
      <c r="F5" s="549">
        <f t="shared" si="1"/>
        <v>-6</v>
      </c>
      <c r="G5" s="549">
        <f t="shared" si="1"/>
        <v>-7</v>
      </c>
      <c r="H5" s="549">
        <f t="shared" si="1"/>
        <v>-8</v>
      </c>
      <c r="I5" s="549">
        <f t="shared" si="1"/>
        <v>-9</v>
      </c>
      <c r="J5" s="549">
        <f t="shared" si="1"/>
        <v>-10</v>
      </c>
      <c r="K5" s="549">
        <f t="shared" si="1"/>
        <v>-11</v>
      </c>
      <c r="L5" s="549">
        <f t="shared" si="1"/>
        <v>-12</v>
      </c>
      <c r="M5" s="549">
        <f t="shared" si="1"/>
        <v>-13</v>
      </c>
      <c r="N5" s="549">
        <f t="shared" si="1"/>
        <v>-14</v>
      </c>
      <c r="O5" s="549">
        <f t="shared" si="1"/>
        <v>-15</v>
      </c>
      <c r="P5" s="549">
        <f t="shared" si="1"/>
        <v>-16</v>
      </c>
      <c r="Q5" s="549">
        <f t="shared" si="1"/>
        <v>-17</v>
      </c>
      <c r="R5" s="549">
        <f t="shared" si="1"/>
        <v>-18</v>
      </c>
      <c r="S5" s="549">
        <f t="shared" si="1"/>
        <v>-19</v>
      </c>
      <c r="T5" s="549">
        <f t="shared" si="1"/>
        <v>-20</v>
      </c>
      <c r="U5" s="549">
        <f>C5-1</f>
        <v>-4</v>
      </c>
      <c r="V5" s="549">
        <f t="shared" ref="V5:BB5" si="2">U5-1</f>
        <v>-5</v>
      </c>
      <c r="W5" s="549">
        <f t="shared" si="2"/>
        <v>-6</v>
      </c>
      <c r="X5" s="549">
        <f t="shared" si="2"/>
        <v>-7</v>
      </c>
      <c r="Y5" s="549">
        <f t="shared" si="2"/>
        <v>-8</v>
      </c>
      <c r="Z5" s="549">
        <f t="shared" si="2"/>
        <v>-9</v>
      </c>
      <c r="AA5" s="549">
        <f t="shared" si="2"/>
        <v>-10</v>
      </c>
      <c r="AB5" s="549">
        <f t="shared" si="2"/>
        <v>-11</v>
      </c>
      <c r="AC5" s="549">
        <f t="shared" si="2"/>
        <v>-12</v>
      </c>
      <c r="AD5" s="549">
        <f t="shared" si="2"/>
        <v>-13</v>
      </c>
      <c r="AE5" s="549">
        <f t="shared" si="2"/>
        <v>-14</v>
      </c>
      <c r="AF5" s="549">
        <f t="shared" si="2"/>
        <v>-15</v>
      </c>
      <c r="AG5" s="549">
        <f t="shared" si="2"/>
        <v>-16</v>
      </c>
      <c r="AH5" s="549">
        <f t="shared" si="2"/>
        <v>-17</v>
      </c>
      <c r="AI5" s="549">
        <f t="shared" si="2"/>
        <v>-18</v>
      </c>
      <c r="AJ5" s="549">
        <f t="shared" si="2"/>
        <v>-19</v>
      </c>
      <c r="AK5" s="549">
        <f t="shared" si="2"/>
        <v>-20</v>
      </c>
      <c r="AL5" s="549">
        <f t="shared" si="2"/>
        <v>-21</v>
      </c>
      <c r="AM5" s="549">
        <f t="shared" si="2"/>
        <v>-22</v>
      </c>
      <c r="AN5" s="549">
        <f t="shared" si="2"/>
        <v>-23</v>
      </c>
      <c r="AO5" s="549">
        <f t="shared" si="2"/>
        <v>-24</v>
      </c>
      <c r="AP5" s="549">
        <f t="shared" si="2"/>
        <v>-25</v>
      </c>
      <c r="AQ5" s="549">
        <f t="shared" si="2"/>
        <v>-26</v>
      </c>
      <c r="AR5" s="549">
        <f t="shared" si="2"/>
        <v>-27</v>
      </c>
      <c r="AS5" s="549">
        <f t="shared" si="2"/>
        <v>-28</v>
      </c>
      <c r="AT5" s="549">
        <f t="shared" si="2"/>
        <v>-29</v>
      </c>
      <c r="AU5" s="549">
        <f t="shared" si="2"/>
        <v>-30</v>
      </c>
      <c r="AV5" s="549">
        <f t="shared" si="2"/>
        <v>-31</v>
      </c>
      <c r="AW5" s="549">
        <f t="shared" si="2"/>
        <v>-32</v>
      </c>
      <c r="AX5" s="549">
        <f t="shared" si="2"/>
        <v>-33</v>
      </c>
      <c r="AY5" s="549">
        <f t="shared" si="2"/>
        <v>-34</v>
      </c>
      <c r="AZ5" s="549">
        <f t="shared" si="2"/>
        <v>-35</v>
      </c>
      <c r="BA5" s="549">
        <f t="shared" si="2"/>
        <v>-36</v>
      </c>
      <c r="BB5" s="549">
        <f t="shared" si="2"/>
        <v>-37</v>
      </c>
      <c r="BC5" s="549">
        <f>B5-1</f>
        <v>-3</v>
      </c>
      <c r="BD5" s="549">
        <f t="shared" ref="BD5:EI5" si="3">BC5-1</f>
        <v>-4</v>
      </c>
      <c r="BE5" s="549">
        <f t="shared" si="3"/>
        <v>-5</v>
      </c>
      <c r="BF5" s="549">
        <f t="shared" si="3"/>
        <v>-6</v>
      </c>
      <c r="BG5" s="549">
        <f t="shared" si="3"/>
        <v>-7</v>
      </c>
      <c r="BH5" s="549">
        <f t="shared" si="3"/>
        <v>-8</v>
      </c>
      <c r="BI5" s="549">
        <f t="shared" si="3"/>
        <v>-9</v>
      </c>
      <c r="BJ5" s="549">
        <f t="shared" si="3"/>
        <v>-10</v>
      </c>
      <c r="BK5" s="549">
        <f t="shared" si="3"/>
        <v>-11</v>
      </c>
      <c r="BL5" s="549">
        <f t="shared" si="3"/>
        <v>-12</v>
      </c>
      <c r="BM5" s="549">
        <f t="shared" si="3"/>
        <v>-13</v>
      </c>
      <c r="BN5" s="549">
        <f t="shared" si="3"/>
        <v>-14</v>
      </c>
      <c r="BO5" s="549">
        <f t="shared" si="3"/>
        <v>-15</v>
      </c>
      <c r="BP5" s="549">
        <f t="shared" si="3"/>
        <v>-16</v>
      </c>
      <c r="BQ5" s="549">
        <f t="shared" si="3"/>
        <v>-17</v>
      </c>
      <c r="BR5" s="549">
        <f t="shared" si="3"/>
        <v>-18</v>
      </c>
      <c r="BS5" s="549">
        <f t="shared" si="3"/>
        <v>-19</v>
      </c>
      <c r="BT5" s="549">
        <f t="shared" si="3"/>
        <v>-20</v>
      </c>
      <c r="BU5" s="549">
        <f t="shared" si="3"/>
        <v>-21</v>
      </c>
      <c r="BV5" s="549">
        <f t="shared" si="3"/>
        <v>-22</v>
      </c>
      <c r="BW5" s="549">
        <f t="shared" si="3"/>
        <v>-23</v>
      </c>
      <c r="BX5" s="549">
        <f t="shared" si="3"/>
        <v>-24</v>
      </c>
      <c r="BY5" s="549">
        <f t="shared" si="3"/>
        <v>-25</v>
      </c>
      <c r="BZ5" s="549">
        <f t="shared" si="3"/>
        <v>-26</v>
      </c>
      <c r="CA5" s="549">
        <f t="shared" si="3"/>
        <v>-27</v>
      </c>
      <c r="CB5" s="549">
        <f t="shared" si="3"/>
        <v>-28</v>
      </c>
      <c r="CC5" s="549">
        <f t="shared" si="3"/>
        <v>-29</v>
      </c>
      <c r="CD5" s="549">
        <f t="shared" si="3"/>
        <v>-30</v>
      </c>
      <c r="CE5" s="549">
        <f t="shared" si="3"/>
        <v>-31</v>
      </c>
      <c r="CF5" s="550">
        <f t="shared" si="3"/>
        <v>-32</v>
      </c>
      <c r="CG5" s="550">
        <f t="shared" si="3"/>
        <v>-33</v>
      </c>
      <c r="CH5" s="550">
        <f t="shared" si="3"/>
        <v>-34</v>
      </c>
      <c r="CI5" s="550">
        <f t="shared" si="3"/>
        <v>-35</v>
      </c>
      <c r="CJ5" s="550">
        <f t="shared" si="3"/>
        <v>-36</v>
      </c>
      <c r="CK5" s="549">
        <f t="shared" si="3"/>
        <v>-37</v>
      </c>
      <c r="CL5" s="549">
        <f t="shared" si="3"/>
        <v>-38</v>
      </c>
      <c r="CM5" s="549">
        <f t="shared" si="3"/>
        <v>-39</v>
      </c>
      <c r="CN5" s="549">
        <f t="shared" si="3"/>
        <v>-40</v>
      </c>
      <c r="CO5" s="549">
        <f t="shared" si="3"/>
        <v>-41</v>
      </c>
      <c r="CP5" s="549">
        <f t="shared" si="3"/>
        <v>-42</v>
      </c>
      <c r="CQ5" s="549">
        <f t="shared" si="3"/>
        <v>-43</v>
      </c>
      <c r="CR5" s="549">
        <f t="shared" si="3"/>
        <v>-44</v>
      </c>
      <c r="CS5" s="549">
        <f t="shared" si="3"/>
        <v>-45</v>
      </c>
      <c r="CT5" s="549">
        <f t="shared" si="3"/>
        <v>-46</v>
      </c>
      <c r="CU5" s="549">
        <f t="shared" si="3"/>
        <v>-47</v>
      </c>
      <c r="CV5" s="549">
        <f t="shared" si="3"/>
        <v>-48</v>
      </c>
      <c r="CW5" s="550">
        <f t="shared" si="3"/>
        <v>-49</v>
      </c>
      <c r="CX5" s="550">
        <f t="shared" si="3"/>
        <v>-50</v>
      </c>
      <c r="CY5" s="550">
        <f t="shared" si="3"/>
        <v>-51</v>
      </c>
      <c r="CZ5" s="550">
        <f t="shared" si="3"/>
        <v>-52</v>
      </c>
      <c r="DA5" s="550">
        <f t="shared" si="3"/>
        <v>-53</v>
      </c>
      <c r="DB5" s="549">
        <f t="shared" si="3"/>
        <v>-54</v>
      </c>
      <c r="DC5" s="549">
        <f t="shared" si="3"/>
        <v>-55</v>
      </c>
      <c r="DD5" s="549">
        <f t="shared" si="3"/>
        <v>-56</v>
      </c>
      <c r="DE5" s="549">
        <f t="shared" si="3"/>
        <v>-57</v>
      </c>
      <c r="DF5" s="549">
        <f t="shared" si="3"/>
        <v>-58</v>
      </c>
      <c r="DG5" s="549">
        <f t="shared" si="3"/>
        <v>-59</v>
      </c>
      <c r="DH5" s="549">
        <f t="shared" si="3"/>
        <v>-60</v>
      </c>
      <c r="DI5" s="549">
        <f t="shared" si="3"/>
        <v>-61</v>
      </c>
      <c r="DJ5" s="549">
        <f t="shared" si="3"/>
        <v>-62</v>
      </c>
      <c r="DK5" s="549">
        <f t="shared" si="3"/>
        <v>-63</v>
      </c>
      <c r="DL5" s="549">
        <f t="shared" si="3"/>
        <v>-64</v>
      </c>
      <c r="DM5" s="549">
        <f t="shared" si="3"/>
        <v>-65</v>
      </c>
      <c r="DN5" s="550">
        <f t="shared" si="3"/>
        <v>-66</v>
      </c>
      <c r="DO5" s="550">
        <f t="shared" si="3"/>
        <v>-67</v>
      </c>
      <c r="DP5" s="550">
        <f t="shared" si="3"/>
        <v>-68</v>
      </c>
      <c r="DQ5" s="550">
        <f t="shared" si="3"/>
        <v>-69</v>
      </c>
      <c r="DR5" s="550">
        <f t="shared" si="3"/>
        <v>-70</v>
      </c>
      <c r="DS5" s="549">
        <f t="shared" si="3"/>
        <v>-71</v>
      </c>
      <c r="DT5" s="549">
        <f t="shared" si="3"/>
        <v>-72</v>
      </c>
      <c r="DU5" s="549">
        <f t="shared" si="3"/>
        <v>-73</v>
      </c>
      <c r="DV5" s="549">
        <f t="shared" si="3"/>
        <v>-74</v>
      </c>
      <c r="DW5" s="549">
        <f t="shared" si="3"/>
        <v>-75</v>
      </c>
      <c r="DX5" s="549">
        <f t="shared" si="3"/>
        <v>-76</v>
      </c>
      <c r="DY5" s="549">
        <f t="shared" si="3"/>
        <v>-77</v>
      </c>
      <c r="DZ5" s="549">
        <f t="shared" si="3"/>
        <v>-78</v>
      </c>
      <c r="EA5" s="549">
        <f t="shared" si="3"/>
        <v>-79</v>
      </c>
      <c r="EB5" s="549">
        <f t="shared" si="3"/>
        <v>-80</v>
      </c>
      <c r="EC5" s="549">
        <f t="shared" si="3"/>
        <v>-81</v>
      </c>
      <c r="ED5" s="549">
        <f t="shared" si="3"/>
        <v>-82</v>
      </c>
      <c r="EE5" s="550">
        <f t="shared" si="3"/>
        <v>-83</v>
      </c>
      <c r="EF5" s="550">
        <f t="shared" si="3"/>
        <v>-84</v>
      </c>
      <c r="EG5" s="550">
        <f t="shared" si="3"/>
        <v>-85</v>
      </c>
      <c r="EH5" s="550">
        <f t="shared" si="3"/>
        <v>-86</v>
      </c>
      <c r="EI5" s="550">
        <f t="shared" si="3"/>
        <v>-87</v>
      </c>
      <c r="EJ5" s="12" t="s">
        <v>142</v>
      </c>
      <c r="EK5" s="12" t="s">
        <v>142</v>
      </c>
      <c r="EL5" s="12" t="s">
        <v>142</v>
      </c>
      <c r="EM5" s="12" t="s">
        <v>143</v>
      </c>
      <c r="EN5" s="12" t="s">
        <v>143</v>
      </c>
      <c r="EO5" s="12" t="s">
        <v>143</v>
      </c>
      <c r="EP5" s="12" t="s">
        <v>144</v>
      </c>
      <c r="EQ5" s="12" t="s">
        <v>144</v>
      </c>
      <c r="ER5" s="12" t="s">
        <v>144</v>
      </c>
      <c r="ES5" s="12" t="s">
        <v>145</v>
      </c>
      <c r="ET5" s="12" t="s">
        <v>145</v>
      </c>
      <c r="EU5" s="12" t="s">
        <v>145</v>
      </c>
    </row>
    <row r="6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551">
        <f t="shared" ref="DP6:DP7" si="4">DP8/CY8*100-100</f>
        <v>-20.01138469</v>
      </c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551">
        <f t="shared" ref="EG6:EG7" si="5">EG8/DP8*100-100</f>
        <v>-19.36565312</v>
      </c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</row>
    <row r="7">
      <c r="A7" s="552" t="s">
        <v>149</v>
      </c>
      <c r="B7" s="552" t="s">
        <v>150</v>
      </c>
      <c r="C7" s="552"/>
      <c r="D7" s="552"/>
      <c r="E7" s="552"/>
      <c r="F7" s="552"/>
      <c r="G7" s="552"/>
      <c r="H7" s="552"/>
      <c r="I7" s="552"/>
      <c r="J7" s="552"/>
      <c r="K7" s="552"/>
      <c r="L7" s="552"/>
      <c r="M7" s="552"/>
      <c r="N7" s="552"/>
      <c r="O7" s="552"/>
      <c r="P7" s="552"/>
      <c r="Q7" s="552"/>
      <c r="R7" s="552"/>
      <c r="S7" s="552"/>
      <c r="T7" s="552"/>
      <c r="U7" s="553"/>
      <c r="V7" s="553"/>
      <c r="W7" s="553"/>
      <c r="X7" s="553"/>
      <c r="Y7" s="553"/>
      <c r="Z7" s="553"/>
      <c r="AA7" s="553"/>
      <c r="AB7" s="553"/>
      <c r="AC7" s="553"/>
      <c r="AD7" s="553"/>
      <c r="AE7" s="553"/>
      <c r="AF7" s="553"/>
      <c r="AG7" s="553"/>
      <c r="AH7" s="553"/>
      <c r="AI7" s="553"/>
      <c r="AJ7" s="553"/>
      <c r="AK7" s="553"/>
      <c r="AL7" s="553"/>
      <c r="AM7" s="553"/>
      <c r="AN7" s="553"/>
      <c r="AO7" s="553"/>
      <c r="AP7" s="553"/>
      <c r="AQ7" s="553"/>
      <c r="AR7" s="553"/>
      <c r="AS7" s="553"/>
      <c r="AT7" s="553"/>
      <c r="AU7" s="553"/>
      <c r="AV7" s="553"/>
      <c r="AW7" s="553"/>
      <c r="AX7" s="553"/>
      <c r="AY7" s="553"/>
      <c r="AZ7" s="553"/>
      <c r="BA7" s="553"/>
      <c r="BB7" s="553"/>
      <c r="BC7" s="553"/>
      <c r="BD7" s="553"/>
      <c r="BE7" s="553"/>
      <c r="BF7" s="553"/>
      <c r="BG7" s="553"/>
      <c r="BH7" s="553"/>
      <c r="BI7" s="553"/>
      <c r="BJ7" s="553"/>
      <c r="BK7" s="553"/>
      <c r="BL7" s="553"/>
      <c r="BM7" s="553"/>
      <c r="BN7" s="553"/>
      <c r="BO7" s="553"/>
      <c r="BP7" s="553"/>
      <c r="BQ7" s="553"/>
      <c r="BR7" s="553"/>
      <c r="BS7" s="553"/>
      <c r="BT7" s="553"/>
      <c r="BU7" s="553"/>
      <c r="BV7" s="553"/>
      <c r="BW7" s="553"/>
      <c r="BX7" s="553"/>
      <c r="BY7" s="553"/>
      <c r="BZ7" s="553"/>
      <c r="CA7" s="553"/>
      <c r="CB7" s="553"/>
      <c r="CC7" s="553"/>
      <c r="CD7" s="553"/>
      <c r="CE7" s="553"/>
      <c r="CF7" s="554"/>
      <c r="CG7" s="554"/>
      <c r="CH7" s="554"/>
      <c r="CI7" s="554"/>
      <c r="CJ7" s="554"/>
      <c r="CK7" s="553"/>
      <c r="CL7" s="553"/>
      <c r="CM7" s="553"/>
      <c r="CN7" s="553"/>
      <c r="CO7" s="553"/>
      <c r="CP7" s="553"/>
      <c r="CQ7" s="553"/>
      <c r="CR7" s="553"/>
      <c r="CS7" s="553"/>
      <c r="CT7" s="553"/>
      <c r="CU7" s="553"/>
      <c r="CV7" s="553"/>
      <c r="CW7" s="554"/>
      <c r="CX7" s="554"/>
      <c r="CY7" s="554"/>
      <c r="CZ7" s="554"/>
      <c r="DA7" s="554"/>
      <c r="DB7" s="553"/>
      <c r="DC7" s="553"/>
      <c r="DD7" s="553"/>
      <c r="DE7" s="553"/>
      <c r="DF7" s="553"/>
      <c r="DG7" s="553"/>
      <c r="DH7" s="553"/>
      <c r="DI7" s="553"/>
      <c r="DJ7" s="553"/>
      <c r="DK7" s="553"/>
      <c r="DL7" s="553"/>
      <c r="DM7" s="553"/>
      <c r="DN7" s="554"/>
      <c r="DO7" s="554"/>
      <c r="DP7" s="555">
        <f t="shared" si="4"/>
        <v>-90.44352214</v>
      </c>
      <c r="DQ7" s="554"/>
      <c r="DR7" s="554"/>
      <c r="DS7" s="553"/>
      <c r="DT7" s="553"/>
      <c r="DU7" s="553"/>
      <c r="DV7" s="553"/>
      <c r="DW7" s="553"/>
      <c r="DX7" s="553"/>
      <c r="DY7" s="553"/>
      <c r="DZ7" s="553"/>
      <c r="EA7" s="553"/>
      <c r="EB7" s="553"/>
      <c r="EC7" s="553"/>
      <c r="ED7" s="553"/>
      <c r="EE7" s="554"/>
      <c r="EF7" s="554"/>
      <c r="EG7" s="555">
        <f t="shared" si="5"/>
        <v>867.3160656</v>
      </c>
      <c r="EH7" s="554"/>
      <c r="EI7" s="554"/>
      <c r="EJ7" s="552"/>
      <c r="EK7" s="552"/>
      <c r="EL7" s="552"/>
      <c r="EM7" s="552"/>
      <c r="EN7" s="552"/>
      <c r="EO7" s="552"/>
      <c r="EP7" s="552"/>
      <c r="EQ7" s="552"/>
      <c r="ER7" s="552"/>
      <c r="ES7" s="552"/>
      <c r="ET7" s="552"/>
      <c r="EU7" s="552"/>
    </row>
    <row r="8">
      <c r="A8" s="552"/>
      <c r="B8" s="552" t="s">
        <v>151</v>
      </c>
      <c r="C8" s="552" t="s">
        <v>152</v>
      </c>
      <c r="D8" s="556"/>
      <c r="E8" s="556"/>
      <c r="F8" s="556"/>
      <c r="G8" s="556"/>
      <c r="H8" s="556"/>
      <c r="I8" s="556"/>
      <c r="J8" s="556"/>
      <c r="K8" s="556"/>
      <c r="L8" s="556"/>
      <c r="M8" s="556"/>
      <c r="N8" s="556"/>
      <c r="O8" s="556"/>
      <c r="P8" s="556"/>
      <c r="Q8" s="556"/>
      <c r="R8" s="556"/>
      <c r="S8" s="556"/>
      <c r="T8" s="557"/>
      <c r="U8" s="558"/>
      <c r="V8" s="558"/>
      <c r="W8" s="558"/>
      <c r="X8" s="558"/>
      <c r="Y8" s="558"/>
      <c r="Z8" s="558"/>
      <c r="AA8" s="558"/>
      <c r="AB8" s="558"/>
      <c r="AC8" s="558"/>
      <c r="AD8" s="558"/>
      <c r="AE8" s="558"/>
      <c r="AF8" s="559"/>
      <c r="AG8" s="560">
        <f t="shared" ref="AG8:AG9" si="6">SUM(U8:W8)</f>
        <v>0</v>
      </c>
      <c r="AH8" s="560">
        <f t="shared" ref="AH8:AH9" si="7">SUM(X8:Z8)</f>
        <v>0</v>
      </c>
      <c r="AI8" s="560">
        <f t="shared" ref="AI8:AI9" si="8">SUM(AA8:AC8)</f>
        <v>0</v>
      </c>
      <c r="AJ8" s="561">
        <f t="shared" ref="AJ8:AJ9" si="9">SUM(AD8:AF8)</f>
        <v>0</v>
      </c>
      <c r="AK8" s="560">
        <f t="shared" ref="AK8:AK9" si="10">SUM(AG8:AJ8)</f>
        <v>0</v>
      </c>
      <c r="AL8" s="562">
        <v>61437.86</v>
      </c>
      <c r="AM8" s="562">
        <v>337777.0</v>
      </c>
      <c r="AN8" s="562">
        <v>72908.0</v>
      </c>
      <c r="AO8" s="562">
        <v>67064.3</v>
      </c>
      <c r="AP8" s="562">
        <v>56514.9</v>
      </c>
      <c r="AQ8" s="562">
        <v>35415.0</v>
      </c>
      <c r="AR8" s="562">
        <v>64652.1</v>
      </c>
      <c r="AS8" s="562">
        <v>82943.0</v>
      </c>
      <c r="AT8" s="562">
        <v>69244.82</v>
      </c>
      <c r="AU8" s="562">
        <v>72348.9</v>
      </c>
      <c r="AV8" s="562">
        <v>55594.36</v>
      </c>
      <c r="AW8" s="563">
        <v>56275.41</v>
      </c>
      <c r="AX8" s="562">
        <f t="shared" ref="AX8:AX9" si="11">SUM(AL8:AN8)</f>
        <v>472122.86</v>
      </c>
      <c r="AY8" s="562">
        <f t="shared" ref="AY8:AY9" si="12">SUM(AO8:AQ8)</f>
        <v>158994.2</v>
      </c>
      <c r="AZ8" s="562">
        <f t="shared" ref="AZ8:AZ9" si="13">SUM(AR8:AT8)</f>
        <v>216839.92</v>
      </c>
      <c r="BA8" s="563">
        <f t="shared" ref="BA8:BA9" si="14">SUM(AU8:AW8)</f>
        <v>184218.67</v>
      </c>
      <c r="BB8" s="562">
        <f t="shared" ref="BB8:BB9" si="15">SUM(AX8:BA8)</f>
        <v>1032175.65</v>
      </c>
      <c r="BC8" s="560">
        <v>55438.75</v>
      </c>
      <c r="BD8" s="560">
        <v>53045.3</v>
      </c>
      <c r="BE8" s="560">
        <v>65136.4</v>
      </c>
      <c r="BF8" s="560">
        <v>59665.6</v>
      </c>
      <c r="BG8" s="560">
        <v>52103.19</v>
      </c>
      <c r="BH8" s="560">
        <v>48553.12</v>
      </c>
      <c r="BI8" s="560">
        <v>78526.14</v>
      </c>
      <c r="BJ8" s="560">
        <v>79581.0</v>
      </c>
      <c r="BK8" s="560">
        <v>82950.56</v>
      </c>
      <c r="BL8" s="560">
        <v>81687.48</v>
      </c>
      <c r="BM8" s="560">
        <v>58677.08</v>
      </c>
      <c r="BN8" s="561">
        <v>25785.71</v>
      </c>
      <c r="BO8" s="560">
        <f t="shared" ref="BO8:BO9" si="16">SUM(BC8:BE8)</f>
        <v>173620.45</v>
      </c>
      <c r="BP8" s="560">
        <f t="shared" ref="BP8:BP9" si="17">SUM(BF8:BH8)</f>
        <v>160321.91</v>
      </c>
      <c r="BQ8" s="560">
        <f t="shared" ref="BQ8:BQ9" si="18">SUM(BI8:BK8)</f>
        <v>241057.7</v>
      </c>
      <c r="BR8" s="561">
        <f t="shared" ref="BR8:BR9" si="19">SUM(BL8:BN8)</f>
        <v>166150.27</v>
      </c>
      <c r="BS8" s="560">
        <f t="shared" ref="BS8:BS9" si="20">SUM(BO8:BR8)</f>
        <v>741150.33</v>
      </c>
      <c r="BT8" s="560">
        <v>58114.24</v>
      </c>
      <c r="BU8" s="560">
        <v>59001.64</v>
      </c>
      <c r="BV8" s="560">
        <v>67936.04</v>
      </c>
      <c r="BW8" s="560">
        <v>55114.24</v>
      </c>
      <c r="BX8" s="560">
        <v>40713.22</v>
      </c>
      <c r="BY8" s="560">
        <v>64081.22</v>
      </c>
      <c r="BZ8" s="560">
        <v>69608.43</v>
      </c>
      <c r="CA8" s="560">
        <v>76448.68</v>
      </c>
      <c r="CB8" s="564">
        <v>75999.07</v>
      </c>
      <c r="CC8" s="560">
        <v>72284.01</v>
      </c>
      <c r="CD8" s="560">
        <v>76260.94</v>
      </c>
      <c r="CE8" s="561">
        <v>53291.11</v>
      </c>
      <c r="CF8" s="565">
        <f t="shared" ref="CF8:CF9" si="21">SUM(BT8:BV8)</f>
        <v>185051.92</v>
      </c>
      <c r="CG8" s="565">
        <f t="shared" ref="CG8:CG9" si="22">SUM(BW8:BY8)</f>
        <v>159908.68</v>
      </c>
      <c r="CH8" s="565">
        <f t="shared" ref="CH8:CH9" si="23">SUM(BZ8:CB8)</f>
        <v>222056.18</v>
      </c>
      <c r="CI8" s="566">
        <f t="shared" ref="CI8:CI9" si="24">SUM(CC8:CE8)</f>
        <v>201836.06</v>
      </c>
      <c r="CJ8" s="565">
        <f t="shared" ref="CJ8:CJ9" si="25">SUM(CF8:CI8)</f>
        <v>768852.84</v>
      </c>
      <c r="CK8" s="560">
        <v>47156.81</v>
      </c>
      <c r="CL8" s="560">
        <v>68209.68</v>
      </c>
      <c r="CM8" s="560">
        <v>65580.34</v>
      </c>
      <c r="CN8" s="560">
        <v>77405.44</v>
      </c>
      <c r="CO8" s="560">
        <v>70020.87</v>
      </c>
      <c r="CP8" s="560">
        <v>75592.41</v>
      </c>
      <c r="CQ8" s="560">
        <v>102500.54</v>
      </c>
      <c r="CR8" s="560">
        <v>108057.0</v>
      </c>
      <c r="CS8" s="564">
        <v>104181.0</v>
      </c>
      <c r="CT8" s="560">
        <v>102219.0</v>
      </c>
      <c r="CU8" s="560">
        <v>102936.0</v>
      </c>
      <c r="CV8" s="561">
        <v>46855.0</v>
      </c>
      <c r="CW8" s="565">
        <f t="shared" ref="CW8:CW9" si="26">SUM(CK8:CM8)</f>
        <v>180946.83</v>
      </c>
      <c r="CX8" s="565">
        <f t="shared" ref="CX8:CX9" si="27">SUM(CN8:CP8)</f>
        <v>223018.72</v>
      </c>
      <c r="CY8" s="565">
        <f t="shared" ref="CY8:CY9" si="28">SUM(CQ8:CS8)</f>
        <v>314738.54</v>
      </c>
      <c r="CZ8" s="566">
        <f t="shared" ref="CZ8:CZ9" si="29">SUM(CT8:CV8)</f>
        <v>252010</v>
      </c>
      <c r="DA8" s="565">
        <f t="shared" ref="DA8:DA9" si="30">SUM(CW8:CZ8)</f>
        <v>970714.09</v>
      </c>
      <c r="DB8" s="560">
        <v>80704.0</v>
      </c>
      <c r="DC8" s="560">
        <v>100936.0</v>
      </c>
      <c r="DD8" s="560">
        <v>77516.0</v>
      </c>
      <c r="DE8" s="560">
        <v>86802.0</v>
      </c>
      <c r="DF8" s="560">
        <v>60217.0</v>
      </c>
      <c r="DG8" s="560">
        <v>85201.0</v>
      </c>
      <c r="DH8" s="560">
        <v>89582.0</v>
      </c>
      <c r="DI8" s="560">
        <v>77966.0</v>
      </c>
      <c r="DJ8" s="560">
        <v>84207.0</v>
      </c>
      <c r="DK8" s="560">
        <v>67233.0</v>
      </c>
      <c r="DL8" s="560">
        <v>65280.0</v>
      </c>
      <c r="DM8" s="561">
        <v>84703.0</v>
      </c>
      <c r="DN8" s="565">
        <f t="shared" ref="DN8:DN9" si="31">SUM(DB8:DD8)</f>
        <v>259156</v>
      </c>
      <c r="DO8" s="565">
        <f t="shared" ref="DO8:DO9" si="32">SUM(DE8:DG8)</f>
        <v>232220</v>
      </c>
      <c r="DP8" s="565">
        <f t="shared" ref="DP8:DP9" si="33">SUM(DH8:DJ8)</f>
        <v>251755</v>
      </c>
      <c r="DQ8" s="566">
        <f t="shared" ref="DQ8:DQ9" si="34">SUM(DK8:DM8)</f>
        <v>217216</v>
      </c>
      <c r="DR8" s="565">
        <f t="shared" ref="DR8:DR9" si="35">SUM(DN8:DQ8)</f>
        <v>960347</v>
      </c>
      <c r="DS8" s="560">
        <v>80521.0</v>
      </c>
      <c r="DT8" s="560">
        <v>117085.76</v>
      </c>
      <c r="DU8" s="560">
        <v>95475.0</v>
      </c>
      <c r="DV8" s="560">
        <v>102478.0</v>
      </c>
      <c r="DW8" s="560">
        <v>46199.0</v>
      </c>
      <c r="DX8" s="560">
        <v>50124.0</v>
      </c>
      <c r="DY8" s="567">
        <v>70364.0</v>
      </c>
      <c r="DZ8" s="567">
        <v>64524.0</v>
      </c>
      <c r="EA8" s="567">
        <v>68113.0</v>
      </c>
      <c r="EB8" s="567">
        <v>69240.0</v>
      </c>
      <c r="EC8" s="567">
        <v>68372.0</v>
      </c>
      <c r="ED8" s="568">
        <v>70112.0</v>
      </c>
      <c r="EE8" s="565">
        <f t="shared" ref="EE8:EE9" si="36">SUM(DS8:DU8)</f>
        <v>293081.76</v>
      </c>
      <c r="EF8" s="565">
        <f t="shared" ref="EF8:EF9" si="37">SUM(DV8:DX8)</f>
        <v>198801</v>
      </c>
      <c r="EG8" s="565">
        <f t="shared" ref="EG8:EG9" si="38">SUM(DY8:EA8)</f>
        <v>203001</v>
      </c>
      <c r="EH8" s="566">
        <f t="shared" ref="EH8:EH9" si="39">SUM(EB8:ED8)</f>
        <v>207724</v>
      </c>
      <c r="EI8" s="565">
        <f t="shared" ref="EI8:EI9" si="40">SUM(EE8:EH8)</f>
        <v>902607.76</v>
      </c>
      <c r="EJ8" s="569">
        <f t="shared" ref="EJ8:EJ10" si="41">EE8/DQ8*100-100</f>
        <v>34.92641426</v>
      </c>
      <c r="EK8" s="569">
        <f t="shared" ref="EK8:EK10" si="42">EE8/DN8*100-100</f>
        <v>13.09086419</v>
      </c>
      <c r="EL8" s="569">
        <f t="shared" ref="EL8:EL10" si="43">SUM(EE8)/SUM(DN8)*100-100</f>
        <v>13.09086419</v>
      </c>
      <c r="EM8" s="570">
        <f t="shared" ref="EM8:EM10" si="44">EF8/EE8*100-100</f>
        <v>-32.16875728</v>
      </c>
      <c r="EN8" s="570">
        <f t="shared" ref="EN8:EN10" si="45">EF8/DO8*100-100</f>
        <v>-14.39109465</v>
      </c>
      <c r="EO8" s="569">
        <f t="shared" ref="EO8:EO10" si="46">SUM(EE8:EF8)/SUM(DN8:DO8)*100-100</f>
        <v>0.1031308</v>
      </c>
      <c r="EP8" s="569">
        <f t="shared" ref="EP8:EP10" si="47">EG8/EF8*100-100</f>
        <v>2.112665429</v>
      </c>
      <c r="EQ8" s="569">
        <f t="shared" ref="EQ8:EQ10" si="48">EG8/DP8*100-100</f>
        <v>-19.36565312</v>
      </c>
      <c r="ER8" s="569">
        <f t="shared" ref="ER8:ER10" si="49">SUM(EE8:EG8)/SUM(DN8:DP8)*100-100</f>
        <v>-6.492427311</v>
      </c>
      <c r="ES8" s="571">
        <f t="shared" ref="ES8:ES10" si="50">EH8/EG8*100-100</f>
        <v>2.326589524</v>
      </c>
      <c r="ET8" s="569">
        <f t="shared" ref="ET8:ET10" si="51">EH8/DQ8*100-100</f>
        <v>-4.369843842</v>
      </c>
      <c r="EU8" s="569">
        <f t="shared" ref="EU8:EU10" si="52">SUM(EE8:EH8)/SUM(DN8:DQ8)*100-100</f>
        <v>-6.01233096</v>
      </c>
    </row>
    <row r="9">
      <c r="A9" s="552"/>
      <c r="B9" s="552" t="s">
        <v>153</v>
      </c>
      <c r="C9" s="572" t="s">
        <v>154</v>
      </c>
      <c r="D9" s="556"/>
      <c r="E9" s="556"/>
      <c r="F9" s="556"/>
      <c r="G9" s="556"/>
      <c r="H9" s="556"/>
      <c r="I9" s="556"/>
      <c r="J9" s="556"/>
      <c r="K9" s="556"/>
      <c r="L9" s="556"/>
      <c r="M9" s="556"/>
      <c r="N9" s="556"/>
      <c r="O9" s="556"/>
      <c r="P9" s="556"/>
      <c r="Q9" s="556"/>
      <c r="R9" s="556"/>
      <c r="S9" s="556"/>
      <c r="T9" s="557"/>
      <c r="U9" s="558"/>
      <c r="V9" s="558"/>
      <c r="W9" s="558"/>
      <c r="X9" s="558"/>
      <c r="Y9" s="558"/>
      <c r="Z9" s="558"/>
      <c r="AA9" s="558"/>
      <c r="AB9" s="558"/>
      <c r="AC9" s="558"/>
      <c r="AD9" s="558"/>
      <c r="AE9" s="558"/>
      <c r="AF9" s="559"/>
      <c r="AG9" s="560">
        <f t="shared" si="6"/>
        <v>0</v>
      </c>
      <c r="AH9" s="560">
        <f t="shared" si="7"/>
        <v>0</v>
      </c>
      <c r="AI9" s="560">
        <f t="shared" si="8"/>
        <v>0</v>
      </c>
      <c r="AJ9" s="561">
        <f t="shared" si="9"/>
        <v>0</v>
      </c>
      <c r="AK9" s="560">
        <f t="shared" si="10"/>
        <v>0</v>
      </c>
      <c r="AL9" s="562">
        <v>211013.95</v>
      </c>
      <c r="AM9" s="562">
        <v>0.0</v>
      </c>
      <c r="AN9" s="562">
        <v>292867.0</v>
      </c>
      <c r="AO9" s="562" t="s">
        <v>155</v>
      </c>
      <c r="AP9" s="562">
        <v>117601.0</v>
      </c>
      <c r="AQ9" s="562">
        <v>143251.0</v>
      </c>
      <c r="AR9" s="562">
        <v>231341.3</v>
      </c>
      <c r="AS9" s="562">
        <v>359817.0</v>
      </c>
      <c r="AT9" s="562">
        <v>303585.8</v>
      </c>
      <c r="AU9" s="562">
        <v>288702.4</v>
      </c>
      <c r="AV9" s="562">
        <v>276858.0</v>
      </c>
      <c r="AW9" s="563">
        <v>130326.0</v>
      </c>
      <c r="AX9" s="562">
        <f t="shared" si="11"/>
        <v>503880.95</v>
      </c>
      <c r="AY9" s="562">
        <f t="shared" si="12"/>
        <v>260852</v>
      </c>
      <c r="AZ9" s="562">
        <f t="shared" si="13"/>
        <v>894744.1</v>
      </c>
      <c r="BA9" s="563">
        <f t="shared" si="14"/>
        <v>695886.4</v>
      </c>
      <c r="BB9" s="562">
        <f t="shared" si="15"/>
        <v>2355363.45</v>
      </c>
      <c r="BC9" s="560">
        <v>218699.178</v>
      </c>
      <c r="BD9" s="560">
        <v>214328.35</v>
      </c>
      <c r="BE9" s="560">
        <v>249070.05</v>
      </c>
      <c r="BF9" s="560">
        <v>227607.59</v>
      </c>
      <c r="BG9" s="560">
        <v>238027.86</v>
      </c>
      <c r="BH9" s="560">
        <v>227699.32</v>
      </c>
      <c r="BI9" s="560">
        <v>255714.17</v>
      </c>
      <c r="BJ9" s="560">
        <v>277293.94</v>
      </c>
      <c r="BK9" s="560">
        <v>90250.16</v>
      </c>
      <c r="BL9" s="560">
        <v>174041.56</v>
      </c>
      <c r="BM9" s="560">
        <v>87989.44</v>
      </c>
      <c r="BN9" s="561">
        <v>0.0</v>
      </c>
      <c r="BO9" s="560">
        <f t="shared" si="16"/>
        <v>682097.578</v>
      </c>
      <c r="BP9" s="560">
        <f t="shared" si="17"/>
        <v>693334.77</v>
      </c>
      <c r="BQ9" s="560">
        <f t="shared" si="18"/>
        <v>623258.27</v>
      </c>
      <c r="BR9" s="561">
        <f t="shared" si="19"/>
        <v>262031</v>
      </c>
      <c r="BS9" s="560">
        <f t="shared" si="20"/>
        <v>2260721.618</v>
      </c>
      <c r="BT9" s="560">
        <v>0.0</v>
      </c>
      <c r="BU9" s="560">
        <v>0.0</v>
      </c>
      <c r="BV9" s="560">
        <v>0.0</v>
      </c>
      <c r="BW9" s="560">
        <v>0.0</v>
      </c>
      <c r="BX9" s="560">
        <v>0.0</v>
      </c>
      <c r="BY9" s="560">
        <v>0.0</v>
      </c>
      <c r="BZ9" s="560">
        <v>0.0</v>
      </c>
      <c r="CA9" s="560">
        <v>0.0</v>
      </c>
      <c r="CB9" s="560">
        <v>0.0</v>
      </c>
      <c r="CC9" s="560">
        <v>0.0</v>
      </c>
      <c r="CD9" s="560">
        <v>0.0</v>
      </c>
      <c r="CE9" s="560">
        <v>0.0</v>
      </c>
      <c r="CF9" s="565">
        <f t="shared" si="21"/>
        <v>0</v>
      </c>
      <c r="CG9" s="565">
        <f t="shared" si="22"/>
        <v>0</v>
      </c>
      <c r="CH9" s="565">
        <f t="shared" si="23"/>
        <v>0</v>
      </c>
      <c r="CI9" s="566">
        <f t="shared" si="24"/>
        <v>0</v>
      </c>
      <c r="CJ9" s="565">
        <f t="shared" si="25"/>
        <v>0</v>
      </c>
      <c r="CK9" s="560">
        <v>159414.0</v>
      </c>
      <c r="CL9" s="560">
        <v>167935.0</v>
      </c>
      <c r="CM9" s="560">
        <v>199753.0</v>
      </c>
      <c r="CN9" s="560">
        <v>161426.0</v>
      </c>
      <c r="CO9" s="560">
        <v>170716.0</v>
      </c>
      <c r="CP9" s="560">
        <v>235949.0</v>
      </c>
      <c r="CQ9" s="560">
        <v>237361.0</v>
      </c>
      <c r="CR9" s="560">
        <v>225764.0</v>
      </c>
      <c r="CS9" s="560">
        <v>286691.0</v>
      </c>
      <c r="CT9" s="560">
        <v>330848.0</v>
      </c>
      <c r="CU9" s="560">
        <v>135695.0</v>
      </c>
      <c r="CV9" s="560">
        <v>116794.0</v>
      </c>
      <c r="CW9" s="565">
        <f t="shared" si="26"/>
        <v>527102</v>
      </c>
      <c r="CX9" s="565">
        <f t="shared" si="27"/>
        <v>568091</v>
      </c>
      <c r="CY9" s="565">
        <f t="shared" si="28"/>
        <v>749816</v>
      </c>
      <c r="CZ9" s="566">
        <f t="shared" si="29"/>
        <v>583337</v>
      </c>
      <c r="DA9" s="565">
        <f t="shared" si="30"/>
        <v>2428346</v>
      </c>
      <c r="DB9" s="560">
        <v>84588.0</v>
      </c>
      <c r="DC9" s="560">
        <v>40200.0</v>
      </c>
      <c r="DD9" s="560">
        <v>87805.0</v>
      </c>
      <c r="DE9" s="560">
        <v>77978.0</v>
      </c>
      <c r="DF9" s="560">
        <v>32842.0</v>
      </c>
      <c r="DG9" s="560">
        <v>20558.0</v>
      </c>
      <c r="DH9" s="560">
        <v>22657.0</v>
      </c>
      <c r="DI9" s="560">
        <v>27180.0</v>
      </c>
      <c r="DJ9" s="560">
        <v>21819.0</v>
      </c>
      <c r="DK9" s="560">
        <v>17279.0</v>
      </c>
      <c r="DL9" s="560">
        <v>27723.0</v>
      </c>
      <c r="DM9" s="560">
        <v>118233.0</v>
      </c>
      <c r="DN9" s="565">
        <f t="shared" si="31"/>
        <v>212593</v>
      </c>
      <c r="DO9" s="565">
        <f t="shared" si="32"/>
        <v>131378</v>
      </c>
      <c r="DP9" s="565">
        <f t="shared" si="33"/>
        <v>71656</v>
      </c>
      <c r="DQ9" s="566">
        <f t="shared" si="34"/>
        <v>163235</v>
      </c>
      <c r="DR9" s="565">
        <f t="shared" si="35"/>
        <v>578862</v>
      </c>
      <c r="DS9" s="560">
        <v>104763.0</v>
      </c>
      <c r="DT9" s="560">
        <v>142632.0</v>
      </c>
      <c r="DU9" s="560">
        <v>131542.0</v>
      </c>
      <c r="DV9" s="560">
        <v>150423.0</v>
      </c>
      <c r="DW9" s="560">
        <v>221084.0</v>
      </c>
      <c r="DX9" s="560">
        <v>219352.0</v>
      </c>
      <c r="DY9" s="567">
        <v>235647.0</v>
      </c>
      <c r="DZ9" s="567">
        <v>227369.0</v>
      </c>
      <c r="EA9" s="567">
        <v>230124.0</v>
      </c>
      <c r="EB9" s="567">
        <v>228140.0</v>
      </c>
      <c r="EC9" s="567">
        <v>229137.0</v>
      </c>
      <c r="ED9" s="567">
        <v>230126.0</v>
      </c>
      <c r="EE9" s="565">
        <f t="shared" si="36"/>
        <v>378937</v>
      </c>
      <c r="EF9" s="565">
        <f t="shared" si="37"/>
        <v>590859</v>
      </c>
      <c r="EG9" s="565">
        <f t="shared" si="38"/>
        <v>693140</v>
      </c>
      <c r="EH9" s="566">
        <f t="shared" si="39"/>
        <v>687403</v>
      </c>
      <c r="EI9" s="565">
        <f t="shared" si="40"/>
        <v>2350339</v>
      </c>
      <c r="EJ9" s="569">
        <f t="shared" si="41"/>
        <v>132.1420039</v>
      </c>
      <c r="EK9" s="569">
        <f t="shared" si="42"/>
        <v>78.24528559</v>
      </c>
      <c r="EL9" s="569">
        <f t="shared" si="43"/>
        <v>78.24528559</v>
      </c>
      <c r="EM9" s="570">
        <f t="shared" si="44"/>
        <v>55.92539129</v>
      </c>
      <c r="EN9" s="570">
        <f t="shared" si="45"/>
        <v>349.7396824</v>
      </c>
      <c r="EO9" s="569">
        <f t="shared" si="46"/>
        <v>181.9412102</v>
      </c>
      <c r="EP9" s="569">
        <f t="shared" si="47"/>
        <v>17.31055971</v>
      </c>
      <c r="EQ9" s="569">
        <f t="shared" si="48"/>
        <v>867.3160656</v>
      </c>
      <c r="ER9" s="569">
        <f t="shared" si="49"/>
        <v>300.1029769</v>
      </c>
      <c r="ES9" s="571">
        <f t="shared" si="50"/>
        <v>-0.8276827192</v>
      </c>
      <c r="ET9" s="569">
        <f t="shared" si="51"/>
        <v>321.1125065</v>
      </c>
      <c r="EU9" s="569">
        <f t="shared" si="52"/>
        <v>306.0275161</v>
      </c>
    </row>
    <row r="10">
      <c r="A10" s="552"/>
      <c r="B10" s="552"/>
      <c r="C10" s="552"/>
      <c r="D10" s="556"/>
      <c r="E10" s="556"/>
      <c r="F10" s="556"/>
      <c r="G10" s="556"/>
      <c r="H10" s="556"/>
      <c r="I10" s="556"/>
      <c r="J10" s="556"/>
      <c r="K10" s="556"/>
      <c r="L10" s="556"/>
      <c r="M10" s="556"/>
      <c r="N10" s="556"/>
      <c r="O10" s="556"/>
      <c r="P10" s="556"/>
      <c r="Q10" s="556"/>
      <c r="R10" s="556"/>
      <c r="S10" s="556"/>
      <c r="T10" s="556"/>
      <c r="U10" s="556"/>
      <c r="V10" s="556"/>
      <c r="W10" s="556"/>
      <c r="X10" s="556"/>
      <c r="Y10" s="556"/>
      <c r="Z10" s="556"/>
      <c r="AA10" s="556"/>
      <c r="AB10" s="556"/>
      <c r="AC10" s="556"/>
      <c r="AD10" s="556"/>
      <c r="AE10" s="556"/>
      <c r="AF10" s="573"/>
      <c r="AG10" s="556"/>
      <c r="AH10" s="556"/>
      <c r="AI10" s="556"/>
      <c r="AJ10" s="573"/>
      <c r="AK10" s="556"/>
      <c r="AL10" s="497"/>
      <c r="AM10" s="497"/>
      <c r="AN10" s="497"/>
      <c r="AO10" s="497"/>
      <c r="AP10" s="497"/>
      <c r="AQ10" s="497"/>
      <c r="AR10" s="497"/>
      <c r="AS10" s="497"/>
      <c r="AT10" s="497"/>
      <c r="AU10" s="497"/>
      <c r="AV10" s="497"/>
      <c r="AW10" s="574"/>
      <c r="AX10" s="497"/>
      <c r="AY10" s="497"/>
      <c r="AZ10" s="497"/>
      <c r="BA10" s="574"/>
      <c r="BB10" s="497"/>
      <c r="BC10" s="556"/>
      <c r="BD10" s="556"/>
      <c r="BE10" s="556"/>
      <c r="BF10" s="556"/>
      <c r="BG10" s="556"/>
      <c r="BH10" s="556"/>
      <c r="BI10" s="556"/>
      <c r="BJ10" s="556"/>
      <c r="BK10" s="556"/>
      <c r="BL10" s="556"/>
      <c r="BM10" s="556"/>
      <c r="BN10" s="573"/>
      <c r="BO10" s="556"/>
      <c r="BP10" s="556"/>
      <c r="BQ10" s="556"/>
      <c r="BR10" s="573"/>
      <c r="BS10" s="556"/>
      <c r="BT10" s="556"/>
      <c r="BU10" s="556"/>
      <c r="BV10" s="556"/>
      <c r="BW10" s="556"/>
      <c r="BX10" s="556"/>
      <c r="BY10" s="556"/>
      <c r="BZ10" s="556"/>
      <c r="CA10" s="556"/>
      <c r="CB10" s="556"/>
      <c r="CC10" s="556"/>
      <c r="CD10" s="556"/>
      <c r="CE10" s="573"/>
      <c r="CF10" s="575">
        <f t="shared" ref="CF10:CJ10" si="53">CF9+CF8</f>
        <v>185051.92</v>
      </c>
      <c r="CG10" s="575">
        <f t="shared" si="53"/>
        <v>159908.68</v>
      </c>
      <c r="CH10" s="575">
        <f t="shared" si="53"/>
        <v>222056.18</v>
      </c>
      <c r="CI10" s="575">
        <f t="shared" si="53"/>
        <v>201836.06</v>
      </c>
      <c r="CJ10" s="575">
        <f t="shared" si="53"/>
        <v>768852.84</v>
      </c>
      <c r="CK10" s="556"/>
      <c r="CL10" s="556"/>
      <c r="CM10" s="556"/>
      <c r="CN10" s="556"/>
      <c r="CO10" s="556"/>
      <c r="CP10" s="556"/>
      <c r="CQ10" s="556"/>
      <c r="CR10" s="556"/>
      <c r="CS10" s="556"/>
      <c r="CT10" s="556"/>
      <c r="CU10" s="556"/>
      <c r="CV10" s="573"/>
      <c r="CW10" s="575">
        <f t="shared" ref="CW10:DA10" si="54">CW9+CW8</f>
        <v>708048.83</v>
      </c>
      <c r="CX10" s="575">
        <f t="shared" si="54"/>
        <v>791109.72</v>
      </c>
      <c r="CY10" s="575">
        <f t="shared" si="54"/>
        <v>1064554.54</v>
      </c>
      <c r="CZ10" s="575">
        <f t="shared" si="54"/>
        <v>835347</v>
      </c>
      <c r="DA10" s="575">
        <f t="shared" si="54"/>
        <v>3399060.09</v>
      </c>
      <c r="DB10" s="556"/>
      <c r="DC10" s="556"/>
      <c r="DD10" s="556"/>
      <c r="DE10" s="556"/>
      <c r="DF10" s="556"/>
      <c r="DG10" s="556"/>
      <c r="DH10" s="556"/>
      <c r="DI10" s="556"/>
      <c r="DJ10" s="556"/>
      <c r="DK10" s="556"/>
      <c r="DL10" s="556"/>
      <c r="DM10" s="573"/>
      <c r="DN10" s="575">
        <f t="shared" ref="DN10:DR10" si="55">DN9+DN8</f>
        <v>471749</v>
      </c>
      <c r="DO10" s="575">
        <f t="shared" si="55"/>
        <v>363598</v>
      </c>
      <c r="DP10" s="575">
        <f t="shared" si="55"/>
        <v>323411</v>
      </c>
      <c r="DQ10" s="575">
        <f t="shared" si="55"/>
        <v>380451</v>
      </c>
      <c r="DR10" s="575">
        <f t="shared" si="55"/>
        <v>1539209</v>
      </c>
      <c r="DS10" s="556"/>
      <c r="DT10" s="556"/>
      <c r="DU10" s="556"/>
      <c r="DV10" s="556"/>
      <c r="DW10" s="556"/>
      <c r="DX10" s="556"/>
      <c r="DY10" s="556"/>
      <c r="DZ10" s="556"/>
      <c r="EA10" s="556"/>
      <c r="EB10" s="556"/>
      <c r="EC10" s="556"/>
      <c r="ED10" s="573"/>
      <c r="EE10" s="575">
        <f t="shared" ref="EE10:EI10" si="56">EE9+EE8</f>
        <v>672018.76</v>
      </c>
      <c r="EF10" s="575">
        <f t="shared" si="56"/>
        <v>789660</v>
      </c>
      <c r="EG10" s="575">
        <f t="shared" si="56"/>
        <v>896141</v>
      </c>
      <c r="EH10" s="575">
        <f t="shared" si="56"/>
        <v>895127</v>
      </c>
      <c r="EI10" s="575">
        <f t="shared" si="56"/>
        <v>3252946.76</v>
      </c>
      <c r="EJ10" s="569">
        <f t="shared" si="41"/>
        <v>76.6374014</v>
      </c>
      <c r="EK10" s="569">
        <f t="shared" si="42"/>
        <v>42.45260933</v>
      </c>
      <c r="EL10" s="569">
        <f t="shared" si="43"/>
        <v>42.45260933</v>
      </c>
      <c r="EM10" s="570">
        <f t="shared" si="44"/>
        <v>17.50564821</v>
      </c>
      <c r="EN10" s="570">
        <f t="shared" si="45"/>
        <v>117.1794124</v>
      </c>
      <c r="EO10" s="569">
        <f t="shared" si="46"/>
        <v>74.97863283</v>
      </c>
      <c r="EP10" s="569">
        <f t="shared" si="47"/>
        <v>13.48441101</v>
      </c>
      <c r="EQ10" s="569">
        <f t="shared" si="48"/>
        <v>177.0904515</v>
      </c>
      <c r="ER10" s="569">
        <f t="shared" si="49"/>
        <v>103.4781861</v>
      </c>
      <c r="ES10" s="571">
        <f t="shared" si="50"/>
        <v>-0.1131518366</v>
      </c>
      <c r="ET10" s="569">
        <f t="shared" si="51"/>
        <v>135.280496</v>
      </c>
      <c r="EU10" s="569">
        <f t="shared" si="52"/>
        <v>111.3388604</v>
      </c>
    </row>
    <row r="11" hidden="1">
      <c r="A11" s="552"/>
      <c r="B11" s="552" t="s">
        <v>156</v>
      </c>
      <c r="C11" s="552"/>
      <c r="D11" s="556"/>
      <c r="E11" s="556"/>
      <c r="F11" s="556"/>
      <c r="G11" s="556"/>
      <c r="H11" s="556"/>
      <c r="I11" s="556"/>
      <c r="J11" s="556"/>
      <c r="K11" s="556"/>
      <c r="L11" s="556"/>
      <c r="M11" s="556"/>
      <c r="N11" s="556"/>
      <c r="O11" s="556"/>
      <c r="P11" s="556"/>
      <c r="Q11" s="556"/>
      <c r="R11" s="556"/>
      <c r="S11" s="556"/>
      <c r="T11" s="556"/>
      <c r="U11" s="556"/>
      <c r="V11" s="556"/>
      <c r="W11" s="556"/>
      <c r="X11" s="556"/>
      <c r="Y11" s="556"/>
      <c r="Z11" s="556"/>
      <c r="AA11" s="556"/>
      <c r="AB11" s="556"/>
      <c r="AC11" s="556"/>
      <c r="AD11" s="556"/>
      <c r="AE11" s="556"/>
      <c r="AF11" s="573"/>
      <c r="AG11" s="556"/>
      <c r="AH11" s="556"/>
      <c r="AI11" s="556"/>
      <c r="AJ11" s="573"/>
      <c r="AK11" s="556"/>
      <c r="AL11" s="497"/>
      <c r="AM11" s="497"/>
      <c r="AN11" s="497"/>
      <c r="AO11" s="497"/>
      <c r="AP11" s="497"/>
      <c r="AQ11" s="497"/>
      <c r="AR11" s="497"/>
      <c r="AS11" s="497"/>
      <c r="AT11" s="497"/>
      <c r="AU11" s="497"/>
      <c r="AV11" s="497"/>
      <c r="AW11" s="574"/>
      <c r="AX11" s="497"/>
      <c r="AY11" s="497"/>
      <c r="AZ11" s="497"/>
      <c r="BA11" s="574"/>
      <c r="BB11" s="497"/>
      <c r="BC11" s="556"/>
      <c r="BD11" s="556"/>
      <c r="BE11" s="556"/>
      <c r="BF11" s="556"/>
      <c r="BG11" s="556"/>
      <c r="BH11" s="556"/>
      <c r="BI11" s="556"/>
      <c r="BJ11" s="556"/>
      <c r="BK11" s="556"/>
      <c r="BL11" s="556"/>
      <c r="BM11" s="556"/>
      <c r="BN11" s="573"/>
      <c r="BO11" s="556"/>
      <c r="BP11" s="556"/>
      <c r="BQ11" s="556"/>
      <c r="BR11" s="573"/>
      <c r="BS11" s="556"/>
      <c r="BT11" s="556"/>
      <c r="BU11" s="556"/>
      <c r="BV11" s="556"/>
      <c r="BW11" s="556"/>
      <c r="BX11" s="556"/>
      <c r="BY11" s="556"/>
      <c r="BZ11" s="556"/>
      <c r="CA11" s="556"/>
      <c r="CB11" s="556"/>
      <c r="CC11" s="556"/>
      <c r="CD11" s="556"/>
      <c r="CE11" s="573"/>
      <c r="CF11" s="12"/>
      <c r="CG11" s="556"/>
      <c r="CH11" s="556"/>
      <c r="CI11" s="573"/>
      <c r="CJ11" s="556"/>
      <c r="CK11" s="556"/>
      <c r="CL11" s="556"/>
      <c r="CM11" s="556"/>
      <c r="CN11" s="556"/>
      <c r="CO11" s="556"/>
      <c r="CP11" s="556"/>
      <c r="CQ11" s="556"/>
      <c r="CR11" s="556"/>
      <c r="CS11" s="556"/>
      <c r="CT11" s="556"/>
      <c r="CU11" s="556"/>
      <c r="CV11" s="573"/>
      <c r="CW11" s="556"/>
      <c r="CX11" s="575">
        <f t="shared" ref="CX11:CY11" si="57">CX10/CW10*100-100</f>
        <v>11.73095505</v>
      </c>
      <c r="CY11" s="575">
        <f t="shared" si="57"/>
        <v>34.56471499</v>
      </c>
      <c r="CZ11" s="573"/>
      <c r="DA11" s="556"/>
      <c r="DB11" s="556"/>
      <c r="DC11" s="556"/>
      <c r="DD11" s="556"/>
      <c r="DE11" s="556"/>
      <c r="DF11" s="556"/>
      <c r="DG11" s="556"/>
      <c r="DH11" s="556"/>
      <c r="DI11" s="556"/>
      <c r="DJ11" s="556"/>
      <c r="DK11" s="556"/>
      <c r="DL11" s="556"/>
      <c r="DM11" s="573"/>
      <c r="DN11" s="556"/>
      <c r="DO11" s="575">
        <f t="shared" ref="DO11:DQ11" si="58">DO10/DN10*100-100</f>
        <v>-22.92553879</v>
      </c>
      <c r="DP11" s="551">
        <f t="shared" si="58"/>
        <v>-11.05259105</v>
      </c>
      <c r="DQ11" s="551">
        <f t="shared" si="58"/>
        <v>17.6370006</v>
      </c>
      <c r="DR11" s="556"/>
      <c r="DS11" s="556"/>
      <c r="DT11" s="556"/>
      <c r="DU11" s="556"/>
      <c r="DV11" s="556"/>
      <c r="DW11" s="556"/>
      <c r="DX11" s="556"/>
      <c r="DY11" s="556"/>
      <c r="DZ11" s="556"/>
      <c r="EA11" s="556"/>
      <c r="EB11" s="556"/>
      <c r="EC11" s="556"/>
      <c r="ED11" s="573"/>
      <c r="EE11" s="575">
        <f t="shared" ref="EE11:EE13" si="62">EE8/DQ8*100-100</f>
        <v>34.92641426</v>
      </c>
      <c r="EF11" s="575">
        <f t="shared" ref="EF11:EH11" si="59">EF10/EE10*100-100</f>
        <v>17.50564821</v>
      </c>
      <c r="EG11" s="551">
        <f t="shared" si="59"/>
        <v>13.48441101</v>
      </c>
      <c r="EH11" s="576">
        <f t="shared" si="59"/>
        <v>-0.1131518366</v>
      </c>
      <c r="EI11" s="556"/>
      <c r="EJ11" s="574"/>
      <c r="EK11" s="574"/>
      <c r="EL11" s="552"/>
      <c r="EM11" s="552"/>
      <c r="EN11" s="552"/>
      <c r="EO11" s="552"/>
      <c r="EP11" s="552"/>
      <c r="EQ11" s="552"/>
      <c r="ER11" s="552"/>
      <c r="ES11" s="552"/>
      <c r="ET11" s="552"/>
      <c r="EU11" s="552"/>
    </row>
    <row r="12" hidden="1">
      <c r="A12" s="577">
        <v>7410.0</v>
      </c>
      <c r="B12" s="552" t="s">
        <v>157</v>
      </c>
      <c r="C12" s="552" t="s">
        <v>158</v>
      </c>
      <c r="D12" s="556"/>
      <c r="E12" s="556"/>
      <c r="F12" s="556"/>
      <c r="G12" s="556"/>
      <c r="H12" s="556"/>
      <c r="I12" s="556"/>
      <c r="J12" s="556"/>
      <c r="K12" s="556"/>
      <c r="L12" s="556"/>
      <c r="M12" s="556"/>
      <c r="N12" s="556"/>
      <c r="O12" s="556"/>
      <c r="P12" s="556"/>
      <c r="Q12" s="556"/>
      <c r="R12" s="556"/>
      <c r="S12" s="556"/>
      <c r="T12" s="556"/>
      <c r="U12" s="556"/>
      <c r="V12" s="556"/>
      <c r="W12" s="556"/>
      <c r="X12" s="556"/>
      <c r="Y12" s="556"/>
      <c r="Z12" s="556"/>
      <c r="AA12" s="556"/>
      <c r="AB12" s="556"/>
      <c r="AC12" s="556"/>
      <c r="AD12" s="556"/>
      <c r="AE12" s="556"/>
      <c r="AF12" s="573"/>
      <c r="AG12" s="556"/>
      <c r="AH12" s="556"/>
      <c r="AI12" s="556"/>
      <c r="AJ12" s="573"/>
      <c r="AK12" s="556"/>
      <c r="AL12" s="497"/>
      <c r="AM12" s="497"/>
      <c r="AN12" s="497"/>
      <c r="AO12" s="497"/>
      <c r="AP12" s="497"/>
      <c r="AQ12" s="497"/>
      <c r="AR12" s="497"/>
      <c r="AS12" s="497"/>
      <c r="AT12" s="497"/>
      <c r="AU12" s="497"/>
      <c r="AV12" s="497"/>
      <c r="AW12" s="574"/>
      <c r="AX12" s="497"/>
      <c r="AY12" s="497"/>
      <c r="AZ12" s="497"/>
      <c r="BA12" s="574"/>
      <c r="BB12" s="497"/>
      <c r="BC12" s="556"/>
      <c r="BD12" s="556"/>
      <c r="BE12" s="556"/>
      <c r="BF12" s="556"/>
      <c r="BG12" s="556"/>
      <c r="BH12" s="556"/>
      <c r="BI12" s="556"/>
      <c r="BJ12" s="556"/>
      <c r="BK12" s="556"/>
      <c r="BL12" s="556"/>
      <c r="BM12" s="556"/>
      <c r="BN12" s="573"/>
      <c r="BO12" s="556"/>
      <c r="BP12" s="556"/>
      <c r="BQ12" s="556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578">
        <f t="shared" ref="CF12:CH12" si="60">CF200</f>
        <v>46560</v>
      </c>
      <c r="CG12" s="578">
        <f t="shared" si="60"/>
        <v>43710</v>
      </c>
      <c r="CH12" s="578">
        <f t="shared" si="60"/>
        <v>0</v>
      </c>
      <c r="CI12" s="551">
        <v>115000.0</v>
      </c>
      <c r="CJ12" s="573"/>
      <c r="CK12" s="573"/>
      <c r="CL12" s="573"/>
      <c r="CM12" s="556"/>
      <c r="CN12" s="573"/>
      <c r="CO12" s="573"/>
      <c r="CP12" s="556"/>
      <c r="CQ12" s="573"/>
      <c r="CR12" s="573"/>
      <c r="CS12" s="573"/>
      <c r="CT12" s="573"/>
      <c r="CU12" s="573"/>
      <c r="CV12" s="573"/>
      <c r="CW12" s="575">
        <v>94000.0</v>
      </c>
      <c r="CX12" s="575">
        <v>67288.0</v>
      </c>
      <c r="CY12" s="575">
        <f>(CX12*0.895161290322581)+CX12</f>
        <v>127521.6129</v>
      </c>
      <c r="CZ12" s="575">
        <f>(CY12*0.165000724322758)+CY12</f>
        <v>148562.7714</v>
      </c>
      <c r="DA12" s="556"/>
      <c r="DB12" s="573"/>
      <c r="DC12" s="573"/>
      <c r="DD12" s="556"/>
      <c r="DE12" s="573"/>
      <c r="DF12" s="573"/>
      <c r="DG12" s="556"/>
      <c r="DH12" s="573"/>
      <c r="DI12" s="573"/>
      <c r="DJ12" s="573"/>
      <c r="DK12" s="573"/>
      <c r="DL12" s="573"/>
      <c r="DM12" s="573"/>
      <c r="DN12" s="551">
        <f t="shared" ref="DN12:DR12" si="61">DN10/CW10*100-100</f>
        <v>-33.37338048</v>
      </c>
      <c r="DO12" s="551">
        <f t="shared" si="61"/>
        <v>-54.03949783</v>
      </c>
      <c r="DP12" s="551">
        <f t="shared" si="61"/>
        <v>-69.62006287</v>
      </c>
      <c r="DQ12" s="551">
        <f t="shared" si="61"/>
        <v>-54.45593268</v>
      </c>
      <c r="DR12" s="551">
        <f t="shared" si="61"/>
        <v>-54.71662874</v>
      </c>
      <c r="DS12" s="573"/>
      <c r="DT12" s="573"/>
      <c r="DU12" s="556"/>
      <c r="DV12" s="573"/>
      <c r="DW12" s="573"/>
      <c r="DX12" s="556"/>
      <c r="DY12" s="573"/>
      <c r="DZ12" s="573"/>
      <c r="EA12" s="573"/>
      <c r="EB12" s="573"/>
      <c r="EC12" s="573"/>
      <c r="ED12" s="573"/>
      <c r="EE12" s="575">
        <f t="shared" si="62"/>
        <v>132.1420039</v>
      </c>
      <c r="EF12" s="551">
        <f t="shared" ref="EF12:EI12" si="63">EF10/DO10*100-100</f>
        <v>117.1794124</v>
      </c>
      <c r="EG12" s="551">
        <f t="shared" si="63"/>
        <v>177.0904515</v>
      </c>
      <c r="EH12" s="551">
        <f t="shared" si="63"/>
        <v>135.280496</v>
      </c>
      <c r="EI12" s="551">
        <f t="shared" si="63"/>
        <v>111.3388604</v>
      </c>
      <c r="EJ12" s="574"/>
      <c r="EK12" s="574"/>
      <c r="EL12" s="552"/>
      <c r="EM12" s="552"/>
      <c r="EN12" s="552"/>
      <c r="EO12" s="552"/>
      <c r="EP12" s="552"/>
      <c r="EQ12" s="552"/>
      <c r="ER12" s="552"/>
      <c r="ES12" s="552"/>
      <c r="ET12" s="552"/>
      <c r="EU12" s="552"/>
    </row>
    <row r="13" hidden="1">
      <c r="A13" s="577">
        <v>7405.0</v>
      </c>
      <c r="B13" s="552" t="s">
        <v>159</v>
      </c>
      <c r="C13" s="552" t="s">
        <v>158</v>
      </c>
      <c r="D13" s="556"/>
      <c r="E13" s="556"/>
      <c r="F13" s="556"/>
      <c r="G13" s="556"/>
      <c r="H13" s="556"/>
      <c r="I13" s="556"/>
      <c r="J13" s="556"/>
      <c r="K13" s="556"/>
      <c r="L13" s="556"/>
      <c r="M13" s="556"/>
      <c r="N13" s="556"/>
      <c r="O13" s="556"/>
      <c r="P13" s="556"/>
      <c r="Q13" s="556"/>
      <c r="R13" s="556"/>
      <c r="S13" s="556"/>
      <c r="T13" s="556"/>
      <c r="U13" s="556"/>
      <c r="V13" s="556"/>
      <c r="W13" s="556"/>
      <c r="X13" s="556"/>
      <c r="Y13" s="556"/>
      <c r="Z13" s="556"/>
      <c r="AA13" s="556"/>
      <c r="AB13" s="556"/>
      <c r="AC13" s="556"/>
      <c r="AD13" s="556"/>
      <c r="AE13" s="556"/>
      <c r="AF13" s="573"/>
      <c r="AG13" s="556"/>
      <c r="AH13" s="556"/>
      <c r="AI13" s="556"/>
      <c r="AJ13" s="573"/>
      <c r="AK13" s="556"/>
      <c r="AL13" s="497"/>
      <c r="AM13" s="497"/>
      <c r="AN13" s="497"/>
      <c r="AO13" s="497"/>
      <c r="AP13" s="497"/>
      <c r="AQ13" s="497"/>
      <c r="AR13" s="497"/>
      <c r="AS13" s="497"/>
      <c r="AT13" s="497"/>
      <c r="AU13" s="497"/>
      <c r="AV13" s="497"/>
      <c r="AW13" s="574"/>
      <c r="AX13" s="497"/>
      <c r="AY13" s="497"/>
      <c r="AZ13" s="497"/>
      <c r="BA13" s="574"/>
      <c r="BB13" s="497"/>
      <c r="BC13" s="556"/>
      <c r="BD13" s="556"/>
      <c r="BE13" s="556"/>
      <c r="BF13" s="556"/>
      <c r="BG13" s="556"/>
      <c r="BH13" s="556"/>
      <c r="BI13" s="556"/>
      <c r="BJ13" s="556"/>
      <c r="BK13" s="556"/>
      <c r="BL13" s="556"/>
      <c r="BM13" s="556"/>
      <c r="BN13" s="573"/>
      <c r="BO13" s="556"/>
      <c r="BP13" s="556"/>
      <c r="BQ13" s="556"/>
      <c r="BR13" s="573"/>
      <c r="BS13" s="556"/>
      <c r="BT13" s="556"/>
      <c r="BU13" s="556"/>
      <c r="BV13" s="556"/>
      <c r="BW13" s="556"/>
      <c r="BX13" s="556"/>
      <c r="BY13" s="556"/>
      <c r="BZ13" s="556"/>
      <c r="CA13" s="556"/>
      <c r="CB13" s="556"/>
      <c r="CC13" s="556"/>
      <c r="CD13" s="556"/>
      <c r="CE13" s="573"/>
      <c r="CF13" s="575">
        <f t="shared" ref="CF13:CH13" si="64">CF139</f>
        <v>74646</v>
      </c>
      <c r="CG13" s="575">
        <f t="shared" si="64"/>
        <v>185877</v>
      </c>
      <c r="CH13" s="575">
        <f t="shared" si="64"/>
        <v>281505</v>
      </c>
      <c r="CI13" s="551">
        <f>331200000/1000</f>
        <v>331200</v>
      </c>
      <c r="CJ13" s="12"/>
      <c r="CK13" s="556"/>
      <c r="CL13" s="556"/>
      <c r="CM13" s="556"/>
      <c r="CN13" s="556"/>
      <c r="CO13" s="556"/>
      <c r="CP13" s="556"/>
      <c r="CQ13" s="556"/>
      <c r="CR13" s="556"/>
      <c r="CS13" s="556"/>
      <c r="CT13" s="556"/>
      <c r="CU13" s="556"/>
      <c r="CV13" s="573"/>
      <c r="CW13" s="575">
        <f>297000000/1000</f>
        <v>297000</v>
      </c>
      <c r="CX13" s="575">
        <v>363100.0</v>
      </c>
      <c r="CY13" s="575">
        <v>263187.0</v>
      </c>
      <c r="CZ13" s="551">
        <v>467621.0</v>
      </c>
      <c r="DA13" s="556"/>
      <c r="DB13" s="556"/>
      <c r="DC13" s="556"/>
      <c r="DD13" s="556"/>
      <c r="DE13" s="556"/>
      <c r="DF13" s="556"/>
      <c r="DG13" s="12"/>
      <c r="DH13" s="556"/>
      <c r="DI13" s="556"/>
      <c r="DJ13" s="556"/>
      <c r="DK13" s="556"/>
      <c r="DL13" s="556"/>
      <c r="DM13" s="573"/>
      <c r="DN13" s="556"/>
      <c r="DO13" s="556"/>
      <c r="DP13" s="556"/>
      <c r="DQ13" s="573"/>
      <c r="DR13" s="556"/>
      <c r="DS13" s="556"/>
      <c r="DT13" s="556"/>
      <c r="DU13" s="556"/>
      <c r="DV13" s="556"/>
      <c r="DW13" s="556"/>
      <c r="DX13" s="12"/>
      <c r="DY13" s="556"/>
      <c r="DZ13" s="556"/>
      <c r="EA13" s="556"/>
      <c r="EB13" s="556"/>
      <c r="EC13" s="556"/>
      <c r="ED13" s="573"/>
      <c r="EE13" s="575">
        <f t="shared" si="62"/>
        <v>76.6374014</v>
      </c>
      <c r="EF13" s="556"/>
      <c r="EG13" s="556"/>
      <c r="EH13" s="573"/>
      <c r="EI13" s="556"/>
      <c r="EJ13" s="574"/>
      <c r="EK13" s="574"/>
      <c r="EL13" s="552"/>
      <c r="EM13" s="552"/>
      <c r="EN13" s="552"/>
      <c r="EO13" s="552"/>
      <c r="EP13" s="552"/>
      <c r="EQ13" s="552"/>
      <c r="ER13" s="552"/>
      <c r="ES13" s="552"/>
      <c r="ET13" s="552"/>
      <c r="EU13" s="552"/>
    </row>
    <row r="14" hidden="1">
      <c r="A14" s="577">
        <v>7404.0</v>
      </c>
      <c r="B14" s="552" t="s">
        <v>160</v>
      </c>
      <c r="C14" s="552" t="s">
        <v>158</v>
      </c>
      <c r="D14" s="556"/>
      <c r="E14" s="556"/>
      <c r="F14" s="556"/>
      <c r="G14" s="556"/>
      <c r="H14" s="556"/>
      <c r="I14" s="556"/>
      <c r="J14" s="556"/>
      <c r="K14" s="556"/>
      <c r="L14" s="556"/>
      <c r="M14" s="556"/>
      <c r="N14" s="556"/>
      <c r="O14" s="556"/>
      <c r="P14" s="556"/>
      <c r="Q14" s="556"/>
      <c r="R14" s="556"/>
      <c r="S14" s="556"/>
      <c r="T14" s="556"/>
      <c r="U14" s="556"/>
      <c r="V14" s="556"/>
      <c r="W14" s="556"/>
      <c r="X14" s="556"/>
      <c r="Y14" s="556"/>
      <c r="Z14" s="556"/>
      <c r="AA14" s="556"/>
      <c r="AB14" s="556"/>
      <c r="AC14" s="556"/>
      <c r="AD14" s="556"/>
      <c r="AE14" s="556"/>
      <c r="AF14" s="573"/>
      <c r="AG14" s="556"/>
      <c r="AH14" s="556"/>
      <c r="AI14" s="556"/>
      <c r="AJ14" s="573"/>
      <c r="AK14" s="556"/>
      <c r="AL14" s="497"/>
      <c r="AM14" s="497"/>
      <c r="AN14" s="497"/>
      <c r="AO14" s="497"/>
      <c r="AP14" s="497"/>
      <c r="AQ14" s="497"/>
      <c r="AR14" s="497"/>
      <c r="AS14" s="497"/>
      <c r="AT14" s="497"/>
      <c r="AU14" s="497"/>
      <c r="AV14" s="497"/>
      <c r="AW14" s="574"/>
      <c r="AX14" s="497"/>
      <c r="AY14" s="497"/>
      <c r="AZ14" s="497"/>
      <c r="BA14" s="574"/>
      <c r="BB14" s="497"/>
      <c r="BC14" s="556"/>
      <c r="BD14" s="556"/>
      <c r="BE14" s="556"/>
      <c r="BF14" s="556"/>
      <c r="BG14" s="556"/>
      <c r="BH14" s="556"/>
      <c r="BI14" s="556"/>
      <c r="BJ14" s="556"/>
      <c r="BK14" s="556"/>
      <c r="BL14" s="556"/>
      <c r="BM14" s="556"/>
      <c r="BN14" s="573"/>
      <c r="BO14" s="556"/>
      <c r="BP14" s="556"/>
      <c r="BQ14" s="556"/>
      <c r="BR14" s="573"/>
      <c r="BS14" s="556"/>
      <c r="BT14" s="556"/>
      <c r="BU14" s="556"/>
      <c r="BV14" s="556"/>
      <c r="BW14" s="556"/>
      <c r="BX14" s="556"/>
      <c r="BY14" s="556"/>
      <c r="BZ14" s="556"/>
      <c r="CA14" s="556"/>
      <c r="CB14" s="556"/>
      <c r="CC14" s="556"/>
      <c r="CD14" s="556"/>
      <c r="CE14" s="573"/>
      <c r="CF14" s="575">
        <f t="shared" ref="CF14:CH14" si="65">CF136</f>
        <v>199574.73</v>
      </c>
      <c r="CG14" s="575">
        <f t="shared" si="65"/>
        <v>491451.907</v>
      </c>
      <c r="CH14" s="575">
        <f t="shared" si="65"/>
        <v>714735.982</v>
      </c>
      <c r="CI14" s="551">
        <f>781786693000/1000000</f>
        <v>781786.693</v>
      </c>
      <c r="CJ14" s="12"/>
      <c r="CK14" s="556"/>
      <c r="CL14" s="556"/>
      <c r="CM14" s="556"/>
      <c r="CN14" s="556"/>
      <c r="CO14" s="556"/>
      <c r="CP14" s="556"/>
      <c r="CQ14" s="556"/>
      <c r="CR14" s="556"/>
      <c r="CS14" s="556"/>
      <c r="CT14" s="556"/>
      <c r="CU14" s="556"/>
      <c r="CV14" s="573"/>
      <c r="CW14" s="575">
        <f>206347279000/1000000</f>
        <v>206347.279</v>
      </c>
      <c r="CX14" s="579">
        <f>(CW14*-0.4774)+CW14</f>
        <v>107837.088</v>
      </c>
      <c r="CY14" s="579">
        <f>(CX14*-0.3242)+CX14</f>
        <v>72876.30407</v>
      </c>
      <c r="CZ14" s="579">
        <f>(CY14*0.9635)+CY14</f>
        <v>143092.623</v>
      </c>
      <c r="DA14" s="556"/>
      <c r="DB14" s="556"/>
      <c r="DC14" s="556"/>
      <c r="DD14" s="556"/>
      <c r="DE14" s="556"/>
      <c r="DF14" s="556"/>
      <c r="DG14" s="556"/>
      <c r="DH14" s="556"/>
      <c r="DI14" s="556"/>
      <c r="DJ14" s="556"/>
      <c r="DK14" s="556"/>
      <c r="DL14" s="556"/>
      <c r="DM14" s="573"/>
      <c r="DN14" s="556"/>
      <c r="DO14" s="580"/>
      <c r="DP14" s="580"/>
      <c r="DQ14" s="580"/>
      <c r="DR14" s="556"/>
      <c r="DS14" s="556"/>
      <c r="DT14" s="556"/>
      <c r="DU14" s="556"/>
      <c r="DV14" s="556"/>
      <c r="DW14" s="556"/>
      <c r="DX14" s="556"/>
      <c r="DY14" s="556"/>
      <c r="DZ14" s="556"/>
      <c r="EA14" s="556"/>
      <c r="EB14" s="556"/>
      <c r="EC14" s="556"/>
      <c r="ED14" s="573"/>
      <c r="EE14" s="556"/>
      <c r="EF14" s="580"/>
      <c r="EG14" s="580"/>
      <c r="EH14" s="580"/>
      <c r="EI14" s="556"/>
      <c r="EJ14" s="574"/>
      <c r="EK14" s="574"/>
      <c r="EL14" s="552"/>
      <c r="EM14" s="552"/>
      <c r="EN14" s="552"/>
      <c r="EO14" s="552"/>
      <c r="EP14" s="552"/>
      <c r="EQ14" s="552"/>
      <c r="ER14" s="552"/>
      <c r="ES14" s="552"/>
      <c r="ET14" s="552"/>
      <c r="EU14" s="552"/>
    </row>
    <row r="15" hidden="1">
      <c r="A15" s="552"/>
      <c r="B15" s="552"/>
      <c r="C15" s="552"/>
      <c r="D15" s="556"/>
      <c r="E15" s="556"/>
      <c r="F15" s="556"/>
      <c r="G15" s="556"/>
      <c r="H15" s="556"/>
      <c r="I15" s="556"/>
      <c r="J15" s="556"/>
      <c r="K15" s="556"/>
      <c r="L15" s="556"/>
      <c r="M15" s="556"/>
      <c r="N15" s="556"/>
      <c r="O15" s="556"/>
      <c r="P15" s="556"/>
      <c r="Q15" s="556"/>
      <c r="R15" s="556"/>
      <c r="S15" s="556"/>
      <c r="T15" s="556"/>
      <c r="U15" s="556"/>
      <c r="V15" s="556"/>
      <c r="W15" s="556"/>
      <c r="X15" s="556"/>
      <c r="Y15" s="556"/>
      <c r="Z15" s="556"/>
      <c r="AA15" s="556"/>
      <c r="AB15" s="556"/>
      <c r="AC15" s="556"/>
      <c r="AD15" s="556"/>
      <c r="AE15" s="556"/>
      <c r="AF15" s="573"/>
      <c r="AG15" s="556"/>
      <c r="AH15" s="556"/>
      <c r="AI15" s="556"/>
      <c r="AJ15" s="573"/>
      <c r="AK15" s="556"/>
      <c r="AL15" s="497"/>
      <c r="AM15" s="497"/>
      <c r="AN15" s="497"/>
      <c r="AO15" s="497"/>
      <c r="AP15" s="497"/>
      <c r="AQ15" s="497"/>
      <c r="AR15" s="497"/>
      <c r="AS15" s="497"/>
      <c r="AT15" s="497"/>
      <c r="AU15" s="497"/>
      <c r="AV15" s="497"/>
      <c r="AW15" s="574"/>
      <c r="AX15" s="497"/>
      <c r="AY15" s="497"/>
      <c r="AZ15" s="497"/>
      <c r="BA15" s="574"/>
      <c r="BB15" s="497"/>
      <c r="BC15" s="556"/>
      <c r="BD15" s="556"/>
      <c r="BE15" s="556"/>
      <c r="BF15" s="556"/>
      <c r="BG15" s="556"/>
      <c r="BH15" s="556"/>
      <c r="BI15" s="556"/>
      <c r="BJ15" s="556"/>
      <c r="BK15" s="556"/>
      <c r="BL15" s="556"/>
      <c r="BM15" s="556"/>
      <c r="BN15" s="573"/>
      <c r="BO15" s="556"/>
      <c r="BP15" s="556"/>
      <c r="BQ15" s="556"/>
      <c r="BR15" s="573"/>
      <c r="BS15" s="556"/>
      <c r="BT15" s="556"/>
      <c r="BU15" s="556"/>
      <c r="BV15" s="556"/>
      <c r="BW15" s="556"/>
      <c r="BX15" s="556"/>
      <c r="BY15" s="556"/>
      <c r="BZ15" s="556"/>
      <c r="CA15" s="556"/>
      <c r="CB15" s="556"/>
      <c r="CC15" s="556"/>
      <c r="CD15" s="556"/>
      <c r="CE15" s="573"/>
      <c r="CF15" s="556"/>
      <c r="CG15" s="556"/>
      <c r="CH15" s="556"/>
      <c r="CI15" s="573"/>
      <c r="CJ15" s="556"/>
      <c r="CK15" s="556"/>
      <c r="CL15" s="556"/>
      <c r="CM15" s="556"/>
      <c r="CN15" s="556"/>
      <c r="CO15" s="556"/>
      <c r="CP15" s="556"/>
      <c r="CQ15" s="556"/>
      <c r="CR15" s="556"/>
      <c r="CS15" s="556"/>
      <c r="CT15" s="556"/>
      <c r="CU15" s="556"/>
      <c r="CV15" s="573"/>
      <c r="CW15" s="556"/>
      <c r="CX15" s="556"/>
      <c r="CY15" s="556"/>
      <c r="CZ15" s="573"/>
      <c r="DA15" s="556"/>
      <c r="DB15" s="556"/>
      <c r="DC15" s="556"/>
      <c r="DD15" s="556"/>
      <c r="DE15" s="556"/>
      <c r="DF15" s="556"/>
      <c r="DG15" s="556"/>
      <c r="DH15" s="556"/>
      <c r="DI15" s="556"/>
      <c r="DJ15" s="556"/>
      <c r="DK15" s="556"/>
      <c r="DL15" s="556"/>
      <c r="DM15" s="573"/>
      <c r="DN15" s="556"/>
      <c r="DO15" s="556"/>
      <c r="DP15" s="556"/>
      <c r="DQ15" s="573"/>
      <c r="DR15" s="556"/>
      <c r="DS15" s="556"/>
      <c r="DT15" s="556"/>
      <c r="DU15" s="556"/>
      <c r="DV15" s="556"/>
      <c r="DW15" s="556"/>
      <c r="DX15" s="556"/>
      <c r="DY15" s="556"/>
      <c r="DZ15" s="556"/>
      <c r="EA15" s="556"/>
      <c r="EB15" s="556"/>
      <c r="EC15" s="556"/>
      <c r="ED15" s="573"/>
      <c r="EE15" s="556"/>
      <c r="EF15" s="556"/>
      <c r="EG15" s="556"/>
      <c r="EH15" s="573"/>
      <c r="EI15" s="556"/>
      <c r="EJ15" s="574"/>
      <c r="EK15" s="574"/>
      <c r="EL15" s="552"/>
      <c r="EM15" s="552"/>
      <c r="EN15" s="552"/>
      <c r="EO15" s="552"/>
      <c r="EP15" s="552"/>
      <c r="EQ15" s="552"/>
      <c r="ER15" s="552"/>
      <c r="ES15" s="552"/>
      <c r="ET15" s="552"/>
      <c r="EU15" s="552"/>
    </row>
    <row r="16" hidden="1">
      <c r="A16" s="552"/>
      <c r="B16" s="552"/>
      <c r="C16" s="552"/>
      <c r="D16" s="556"/>
      <c r="E16" s="556"/>
      <c r="F16" s="556"/>
      <c r="G16" s="556"/>
      <c r="H16" s="556"/>
      <c r="I16" s="556"/>
      <c r="J16" s="556"/>
      <c r="K16" s="556"/>
      <c r="L16" s="556"/>
      <c r="M16" s="556"/>
      <c r="N16" s="556"/>
      <c r="O16" s="556"/>
      <c r="P16" s="556"/>
      <c r="Q16" s="556"/>
      <c r="R16" s="556"/>
      <c r="S16" s="556"/>
      <c r="T16" s="556"/>
      <c r="U16" s="556"/>
      <c r="V16" s="556"/>
      <c r="W16" s="556"/>
      <c r="X16" s="556"/>
      <c r="Y16" s="556"/>
      <c r="Z16" s="556"/>
      <c r="AA16" s="556"/>
      <c r="AB16" s="556"/>
      <c r="AC16" s="556"/>
      <c r="AD16" s="556"/>
      <c r="AE16" s="556"/>
      <c r="AF16" s="573"/>
      <c r="AG16" s="556"/>
      <c r="AH16" s="556"/>
      <c r="AI16" s="556"/>
      <c r="AJ16" s="573"/>
      <c r="AK16" s="573"/>
      <c r="AL16" s="573"/>
      <c r="AM16" s="573"/>
      <c r="AN16" s="573"/>
      <c r="AO16" s="573"/>
      <c r="AP16" s="573"/>
      <c r="AQ16" s="573"/>
      <c r="AR16" s="573"/>
      <c r="AS16" s="573"/>
      <c r="AT16" s="573"/>
      <c r="AU16" s="573"/>
      <c r="AV16" s="573"/>
      <c r="AW16" s="573"/>
      <c r="AX16" s="573"/>
      <c r="AY16" s="497"/>
      <c r="AZ16" s="497"/>
      <c r="BA16" s="574"/>
      <c r="BB16" s="497"/>
      <c r="BC16" s="556"/>
      <c r="BD16" s="556"/>
      <c r="BE16" s="556"/>
      <c r="BF16" s="556"/>
      <c r="BG16" s="556"/>
      <c r="BH16" s="556"/>
      <c r="BI16" s="556"/>
      <c r="BJ16" s="556"/>
      <c r="BK16" s="556"/>
      <c r="BL16" s="556"/>
      <c r="BM16" s="556"/>
      <c r="BN16" s="573"/>
      <c r="BO16" s="556"/>
      <c r="BP16" s="556"/>
      <c r="BQ16" s="556"/>
      <c r="BR16" s="573"/>
      <c r="BS16" s="556"/>
      <c r="BT16" s="556"/>
      <c r="BU16" s="556"/>
      <c r="BV16" s="556"/>
      <c r="BW16" s="556"/>
      <c r="BX16" s="556"/>
      <c r="BY16" s="556"/>
      <c r="BZ16" s="556"/>
      <c r="CA16" s="556"/>
      <c r="CB16" s="556"/>
      <c r="CC16" s="556"/>
      <c r="CD16" s="556"/>
      <c r="CE16" s="573"/>
      <c r="CF16" s="556"/>
      <c r="CG16" s="556"/>
      <c r="CH16" s="556"/>
      <c r="CI16" s="573"/>
      <c r="CJ16" s="556"/>
      <c r="CK16" s="556"/>
      <c r="CL16" s="556"/>
      <c r="CM16" s="556"/>
      <c r="CN16" s="556"/>
      <c r="CO16" s="556"/>
      <c r="CP16" s="556"/>
      <c r="CQ16" s="556"/>
      <c r="CR16" s="556"/>
      <c r="CS16" s="556"/>
      <c r="CT16" s="556"/>
      <c r="CU16" s="556"/>
      <c r="CV16" s="573"/>
      <c r="CW16" s="556"/>
      <c r="CX16" s="556"/>
      <c r="CY16" s="556"/>
      <c r="CZ16" s="573"/>
      <c r="DA16" s="556"/>
      <c r="DB16" s="556"/>
      <c r="DC16" s="556"/>
      <c r="DD16" s="556"/>
      <c r="DE16" s="556"/>
      <c r="DF16" s="556"/>
      <c r="DG16" s="556"/>
      <c r="DH16" s="556"/>
      <c r="DI16" s="556"/>
      <c r="DJ16" s="556"/>
      <c r="DK16" s="556"/>
      <c r="DL16" s="556"/>
      <c r="DM16" s="573"/>
      <c r="DN16" s="556"/>
      <c r="DO16" s="556"/>
      <c r="DP16" s="556"/>
      <c r="DQ16" s="573"/>
      <c r="DR16" s="556"/>
      <c r="DS16" s="556"/>
      <c r="DT16" s="556"/>
      <c r="DU16" s="556"/>
      <c r="DV16" s="556"/>
      <c r="DW16" s="556"/>
      <c r="DX16" s="556"/>
      <c r="DY16" s="556"/>
      <c r="DZ16" s="556"/>
      <c r="EA16" s="556"/>
      <c r="EB16" s="556"/>
      <c r="EC16" s="556"/>
      <c r="ED16" s="573"/>
      <c r="EE16" s="556"/>
      <c r="EF16" s="556"/>
      <c r="EG16" s="556"/>
      <c r="EH16" s="573"/>
      <c r="EI16" s="556"/>
      <c r="EJ16" s="574"/>
      <c r="EK16" s="574"/>
      <c r="EL16" s="552"/>
      <c r="EM16" s="552"/>
      <c r="EN16" s="552"/>
      <c r="EO16" s="552"/>
      <c r="EP16" s="552"/>
      <c r="EQ16" s="552"/>
      <c r="ER16" s="552"/>
      <c r="ES16" s="552"/>
      <c r="ET16" s="552"/>
      <c r="EU16" s="552"/>
    </row>
    <row r="17" hidden="1">
      <c r="A17" s="552"/>
      <c r="B17" s="552"/>
      <c r="C17" s="552"/>
      <c r="D17" s="556"/>
      <c r="E17" s="556"/>
      <c r="F17" s="556"/>
      <c r="G17" s="556"/>
      <c r="H17" s="556"/>
      <c r="I17" s="556"/>
      <c r="J17" s="556"/>
      <c r="K17" s="556"/>
      <c r="L17" s="556"/>
      <c r="M17" s="556"/>
      <c r="N17" s="556"/>
      <c r="O17" s="556"/>
      <c r="P17" s="556"/>
      <c r="Q17" s="556"/>
      <c r="R17" s="556"/>
      <c r="S17" s="556"/>
      <c r="T17" s="556"/>
      <c r="U17" s="556"/>
      <c r="V17" s="556"/>
      <c r="W17" s="556"/>
      <c r="X17" s="556"/>
      <c r="Y17" s="556"/>
      <c r="Z17" s="556"/>
      <c r="AA17" s="556"/>
      <c r="AB17" s="556"/>
      <c r="AC17" s="556"/>
      <c r="AD17" s="556"/>
      <c r="AE17" s="556"/>
      <c r="AF17" s="573"/>
      <c r="AG17" s="556"/>
      <c r="AH17" s="556"/>
      <c r="AI17" s="556"/>
      <c r="AJ17" s="573"/>
      <c r="AK17" s="556"/>
      <c r="AL17" s="497"/>
      <c r="AM17" s="497"/>
      <c r="AN17" s="497"/>
      <c r="AO17" s="497"/>
      <c r="AP17" s="497"/>
      <c r="AQ17" s="497"/>
      <c r="AR17" s="497"/>
      <c r="AS17" s="497"/>
      <c r="AT17" s="497"/>
      <c r="AU17" s="497"/>
      <c r="AV17" s="497"/>
      <c r="AW17" s="574"/>
      <c r="AX17" s="497"/>
      <c r="AY17" s="497"/>
      <c r="AZ17" s="497"/>
      <c r="BA17" s="574"/>
      <c r="BB17" s="497"/>
      <c r="BC17" s="556"/>
      <c r="BD17" s="556"/>
      <c r="BE17" s="556"/>
      <c r="BF17" s="556"/>
      <c r="BG17" s="556"/>
      <c r="BH17" s="556"/>
      <c r="BI17" s="556"/>
      <c r="BJ17" s="556"/>
      <c r="BK17" s="556"/>
      <c r="BL17" s="556"/>
      <c r="BM17" s="556"/>
      <c r="BN17" s="573"/>
      <c r="BO17" s="556"/>
      <c r="BP17" s="556"/>
      <c r="BQ17" s="556"/>
      <c r="BR17" s="573"/>
      <c r="BS17" s="556"/>
      <c r="BT17" s="556"/>
      <c r="BU17" s="556"/>
      <c r="BV17" s="556"/>
      <c r="BW17" s="556"/>
      <c r="BX17" s="556"/>
      <c r="BY17" s="556"/>
      <c r="BZ17" s="556"/>
      <c r="CA17" s="556"/>
      <c r="CB17" s="556"/>
      <c r="CC17" s="556"/>
      <c r="CD17" s="556"/>
      <c r="CE17" s="573"/>
      <c r="CF17" s="575">
        <v>185051.91999999998</v>
      </c>
      <c r="CG17" s="575">
        <v>159908.68</v>
      </c>
      <c r="CH17" s="556"/>
      <c r="CI17" s="573"/>
      <c r="CJ17" s="556"/>
      <c r="CK17" s="556"/>
      <c r="CL17" s="556"/>
      <c r="CM17" s="556"/>
      <c r="CN17" s="556"/>
      <c r="CO17" s="556"/>
      <c r="CP17" s="556"/>
      <c r="CQ17" s="556"/>
      <c r="CR17" s="556"/>
      <c r="CS17" s="556"/>
      <c r="CT17" s="556"/>
      <c r="CU17" s="556"/>
      <c r="CV17" s="573"/>
      <c r="CW17" s="556"/>
      <c r="CX17" s="556"/>
      <c r="CY17" s="575">
        <f t="shared" ref="CY17:CY18" si="66">CY8/CX8*100-100</f>
        <v>41.12651171</v>
      </c>
      <c r="CZ17" s="573"/>
      <c r="DA17" s="556"/>
      <c r="DB17" s="556"/>
      <c r="DC17" s="556"/>
      <c r="DD17" s="556"/>
      <c r="DE17" s="556"/>
      <c r="DF17" s="556"/>
      <c r="DG17" s="556"/>
      <c r="DH17" s="556"/>
      <c r="DI17" s="556"/>
      <c r="DJ17" s="556"/>
      <c r="DK17" s="556"/>
      <c r="DL17" s="556"/>
      <c r="DM17" s="573"/>
      <c r="DN17" s="556"/>
      <c r="DO17" s="556"/>
      <c r="DP17" s="575">
        <f>DP8/DO8*100-100</f>
        <v>8.412281457</v>
      </c>
      <c r="DQ17" s="573"/>
      <c r="DR17" s="556"/>
      <c r="DS17" s="556"/>
      <c r="DT17" s="556"/>
      <c r="DU17" s="556"/>
      <c r="DV17" s="556"/>
      <c r="DW17" s="556"/>
      <c r="DX17" s="556"/>
      <c r="DY17" s="556"/>
      <c r="DZ17" s="556"/>
      <c r="EA17" s="556"/>
      <c r="EB17" s="556"/>
      <c r="EC17" s="556"/>
      <c r="ED17" s="573"/>
      <c r="EE17" s="556"/>
      <c r="EF17" s="556"/>
      <c r="EG17" s="575">
        <f>EG8/EF8*100-100</f>
        <v>2.112665429</v>
      </c>
      <c r="EH17" s="573"/>
      <c r="EI17" s="556"/>
      <c r="EJ17" s="574"/>
      <c r="EK17" s="574"/>
      <c r="EL17" s="552"/>
      <c r="EM17" s="552"/>
      <c r="EN17" s="552"/>
      <c r="EO17" s="552"/>
      <c r="EP17" s="552"/>
      <c r="EQ17" s="552"/>
      <c r="ER17" s="552"/>
      <c r="ES17" s="552"/>
      <c r="ET17" s="552"/>
      <c r="EU17" s="552"/>
    </row>
    <row r="18" hidden="1">
      <c r="A18" s="552"/>
      <c r="B18" s="552"/>
      <c r="C18" s="552"/>
      <c r="D18" s="574"/>
      <c r="E18" s="574"/>
      <c r="F18" s="574"/>
      <c r="G18" s="574"/>
      <c r="H18" s="574"/>
      <c r="I18" s="574"/>
      <c r="J18" s="574"/>
      <c r="K18" s="574"/>
      <c r="L18" s="574"/>
      <c r="M18" s="574"/>
      <c r="N18" s="574"/>
      <c r="O18" s="574"/>
      <c r="P18" s="574"/>
      <c r="Q18" s="574"/>
      <c r="R18" s="574"/>
      <c r="S18" s="574"/>
      <c r="T18" s="574"/>
      <c r="U18" s="574"/>
      <c r="V18" s="574"/>
      <c r="W18" s="574"/>
      <c r="X18" s="574"/>
      <c r="Y18" s="574"/>
      <c r="Z18" s="574"/>
      <c r="AA18" s="574"/>
      <c r="AB18" s="574"/>
      <c r="AC18" s="574"/>
      <c r="AD18" s="574"/>
      <c r="AE18" s="574"/>
      <c r="AF18" s="574"/>
      <c r="AG18" s="574"/>
      <c r="AH18" s="574"/>
      <c r="AI18" s="574"/>
      <c r="AJ18" s="574"/>
      <c r="AK18" s="574"/>
      <c r="AL18" s="574"/>
      <c r="AM18" s="574"/>
      <c r="AN18" s="574"/>
      <c r="AO18" s="574"/>
      <c r="AP18" s="574"/>
      <c r="AQ18" s="574"/>
      <c r="AR18" s="574"/>
      <c r="AS18" s="574"/>
      <c r="AT18" s="574"/>
      <c r="AU18" s="574"/>
      <c r="AV18" s="574"/>
      <c r="AW18" s="574"/>
      <c r="AX18" s="574"/>
      <c r="AY18" s="574"/>
      <c r="AZ18" s="574"/>
      <c r="BA18" s="574"/>
      <c r="BB18" s="574"/>
      <c r="BC18" s="574"/>
      <c r="BD18" s="574"/>
      <c r="BE18" s="574"/>
      <c r="BF18" s="574"/>
      <c r="BG18" s="574"/>
      <c r="BH18" s="574"/>
      <c r="BI18" s="574"/>
      <c r="BJ18" s="574"/>
      <c r="BK18" s="574"/>
      <c r="BL18" s="574"/>
      <c r="BM18" s="556"/>
      <c r="BN18" s="573"/>
      <c r="BO18" s="574"/>
      <c r="BP18" s="556"/>
      <c r="BQ18" s="556"/>
      <c r="BR18" s="574"/>
      <c r="BS18" s="556"/>
      <c r="BT18" s="556"/>
      <c r="BU18" s="574"/>
      <c r="BV18" s="574"/>
      <c r="BW18" s="574"/>
      <c r="BX18" s="574"/>
      <c r="BY18" s="574"/>
      <c r="BZ18" s="574"/>
      <c r="CA18" s="574"/>
      <c r="CB18" s="574"/>
      <c r="CC18" s="574"/>
      <c r="CD18" s="574"/>
      <c r="CE18" s="574"/>
      <c r="CF18" s="574"/>
      <c r="CG18" s="574"/>
      <c r="CH18" s="574"/>
      <c r="CI18" s="574"/>
      <c r="CJ18" s="574"/>
      <c r="CK18" s="556"/>
      <c r="CL18" s="574"/>
      <c r="CM18" s="574"/>
      <c r="CN18" s="574"/>
      <c r="CO18" s="574"/>
      <c r="CP18" s="574"/>
      <c r="CQ18" s="574"/>
      <c r="CR18" s="574"/>
      <c r="CS18" s="574"/>
      <c r="CT18" s="574"/>
      <c r="CU18" s="574"/>
      <c r="CV18" s="574"/>
      <c r="CW18" s="574"/>
      <c r="CX18" s="574"/>
      <c r="CY18" s="575">
        <f t="shared" si="66"/>
        <v>31.98871308</v>
      </c>
      <c r="CZ18" s="574"/>
      <c r="DA18" s="574"/>
      <c r="DB18" s="556"/>
      <c r="DC18" s="574"/>
      <c r="DD18" s="574"/>
      <c r="DE18" s="574"/>
      <c r="DF18" s="574"/>
      <c r="DG18" s="574"/>
      <c r="DH18" s="574"/>
      <c r="DI18" s="574"/>
      <c r="DJ18" s="574"/>
      <c r="DK18" s="574"/>
      <c r="DL18" s="574"/>
      <c r="DM18" s="574"/>
      <c r="DN18" s="574"/>
      <c r="DO18" s="574"/>
      <c r="DP18" s="575">
        <v>-17.06146898497792</v>
      </c>
      <c r="DQ18" s="574"/>
      <c r="DR18" s="574"/>
      <c r="DS18" s="556"/>
      <c r="DT18" s="574"/>
      <c r="DU18" s="574"/>
      <c r="DV18" s="574"/>
      <c r="DW18" s="574"/>
      <c r="DX18" s="574"/>
      <c r="DY18" s="574"/>
      <c r="DZ18" s="574"/>
      <c r="EA18" s="574"/>
      <c r="EB18" s="574"/>
      <c r="EC18" s="574"/>
      <c r="ED18" s="574"/>
      <c r="EE18" s="574"/>
      <c r="EF18" s="574"/>
      <c r="EG18" s="575">
        <v>-17.06146898497792</v>
      </c>
      <c r="EH18" s="574"/>
      <c r="EI18" s="574"/>
      <c r="EJ18" s="574"/>
      <c r="EK18" s="574"/>
      <c r="EL18" s="552"/>
      <c r="EM18" s="552"/>
      <c r="EN18" s="552"/>
      <c r="EO18" s="552"/>
      <c r="EP18" s="552"/>
      <c r="EQ18" s="552"/>
      <c r="ER18" s="552"/>
      <c r="ES18" s="552"/>
      <c r="ET18" s="552"/>
      <c r="EU18" s="552"/>
    </row>
    <row r="19" hidden="1">
      <c r="A19" s="552"/>
      <c r="B19" s="552"/>
      <c r="C19" s="552"/>
      <c r="D19" s="574"/>
      <c r="E19" s="574"/>
      <c r="F19" s="574"/>
      <c r="G19" s="574"/>
      <c r="H19" s="574"/>
      <c r="I19" s="574"/>
      <c r="J19" s="574"/>
      <c r="K19" s="574"/>
      <c r="L19" s="574"/>
      <c r="M19" s="574"/>
      <c r="N19" s="574"/>
      <c r="O19" s="574"/>
      <c r="P19" s="574"/>
      <c r="Q19" s="574"/>
      <c r="R19" s="574"/>
      <c r="S19" s="574"/>
      <c r="T19" s="574"/>
      <c r="U19" s="574"/>
      <c r="V19" s="574"/>
      <c r="W19" s="574"/>
      <c r="X19" s="574"/>
      <c r="Y19" s="574"/>
      <c r="Z19" s="574"/>
      <c r="AA19" s="574"/>
      <c r="AB19" s="574"/>
      <c r="AC19" s="574"/>
      <c r="AD19" s="574"/>
      <c r="AE19" s="574"/>
      <c r="AF19" s="574"/>
      <c r="AG19" s="581"/>
      <c r="AH19" s="581"/>
      <c r="AI19" s="581"/>
      <c r="AJ19" s="581"/>
      <c r="AK19" s="581"/>
      <c r="AL19" s="574"/>
      <c r="AM19" s="574"/>
      <c r="AN19" s="574"/>
      <c r="AO19" s="574"/>
      <c r="AP19" s="574"/>
      <c r="AQ19" s="574"/>
      <c r="AR19" s="574"/>
      <c r="AS19" s="574"/>
      <c r="AT19" s="574"/>
      <c r="AU19" s="574"/>
      <c r="AV19" s="574"/>
      <c r="AW19" s="574"/>
      <c r="AX19" s="574"/>
      <c r="AY19" s="574"/>
      <c r="AZ19" s="574"/>
      <c r="BA19" s="574"/>
      <c r="BB19" s="574"/>
      <c r="BC19" s="574"/>
      <c r="BD19" s="574"/>
      <c r="BE19" s="574"/>
      <c r="BF19" s="574"/>
      <c r="BG19" s="574"/>
      <c r="BH19" s="574"/>
      <c r="BI19" s="574"/>
      <c r="BJ19" s="574"/>
      <c r="BK19" s="574"/>
      <c r="BL19" s="574"/>
      <c r="BM19" s="556"/>
      <c r="BN19" s="573"/>
      <c r="BO19" s="581"/>
      <c r="BP19" s="581"/>
      <c r="BQ19" s="581"/>
      <c r="BR19" s="581"/>
      <c r="BS19" s="582"/>
      <c r="BT19" s="556"/>
      <c r="BU19" s="574"/>
      <c r="BV19" s="574"/>
      <c r="BW19" s="574"/>
      <c r="BX19" s="574"/>
      <c r="BY19" s="574"/>
      <c r="BZ19" s="574"/>
      <c r="CA19" s="574"/>
      <c r="CB19" s="574"/>
      <c r="CC19" s="574"/>
      <c r="CD19" s="574"/>
      <c r="CE19" s="574"/>
      <c r="CF19" s="581"/>
      <c r="CG19" s="581"/>
      <c r="CH19" s="581"/>
      <c r="CI19" s="581"/>
      <c r="CJ19" s="581"/>
      <c r="CK19" s="556"/>
      <c r="CL19" s="574"/>
      <c r="CM19" s="574"/>
      <c r="CN19" s="574"/>
      <c r="CO19" s="574"/>
      <c r="CP19" s="574"/>
      <c r="CQ19" s="574"/>
      <c r="CR19" s="574"/>
      <c r="CS19" s="574"/>
      <c r="CT19" s="574"/>
      <c r="CU19" s="574"/>
      <c r="CV19" s="574"/>
      <c r="CW19" s="581"/>
      <c r="CX19" s="581"/>
      <c r="CY19" s="581"/>
      <c r="CZ19" s="581"/>
      <c r="DA19" s="581"/>
      <c r="DB19" s="556"/>
      <c r="DC19" s="574"/>
      <c r="DD19" s="574"/>
      <c r="DE19" s="574"/>
      <c r="DF19" s="574"/>
      <c r="DG19" s="574"/>
      <c r="DH19" s="574"/>
      <c r="DI19" s="574"/>
      <c r="DJ19" s="574"/>
      <c r="DK19" s="574"/>
      <c r="DL19" s="574"/>
      <c r="DM19" s="574"/>
      <c r="DN19" s="581"/>
      <c r="DO19" s="581"/>
      <c r="DP19" s="581"/>
      <c r="DQ19" s="581"/>
      <c r="DR19" s="581"/>
      <c r="DS19" s="556"/>
      <c r="DT19" s="574"/>
      <c r="DU19" s="574"/>
      <c r="DV19" s="574"/>
      <c r="DW19" s="574"/>
      <c r="DX19" s="574"/>
      <c r="DY19" s="574"/>
      <c r="DZ19" s="574"/>
      <c r="EA19" s="574"/>
      <c r="EB19" s="574"/>
      <c r="EC19" s="574"/>
      <c r="ED19" s="574"/>
      <c r="EE19" s="581"/>
      <c r="EF19" s="581"/>
      <c r="EG19" s="581"/>
      <c r="EH19" s="581"/>
      <c r="EI19" s="581"/>
      <c r="EJ19" s="574"/>
      <c r="EK19" s="574"/>
      <c r="EL19" s="552"/>
      <c r="EM19" s="552"/>
      <c r="EN19" s="552"/>
      <c r="EO19" s="552"/>
      <c r="EP19" s="552"/>
      <c r="EQ19" s="552"/>
      <c r="ER19" s="552"/>
      <c r="ES19" s="552"/>
      <c r="ET19" s="552"/>
      <c r="EU19" s="552"/>
    </row>
    <row r="20">
      <c r="A20" s="493"/>
      <c r="B20" s="493" t="s">
        <v>52</v>
      </c>
      <c r="C20" s="493"/>
      <c r="D20" s="583"/>
      <c r="E20" s="583"/>
      <c r="F20" s="583"/>
      <c r="G20" s="583"/>
      <c r="H20" s="583"/>
      <c r="I20" s="583"/>
      <c r="J20" s="583"/>
      <c r="K20" s="583"/>
      <c r="L20" s="583"/>
      <c r="M20" s="583"/>
      <c r="N20" s="583"/>
      <c r="O20" s="583"/>
      <c r="P20" s="583"/>
      <c r="Q20" s="583"/>
      <c r="R20" s="583"/>
      <c r="S20" s="583"/>
      <c r="T20" s="583"/>
      <c r="U20" s="584">
        <f t="shared" ref="U20:AF20" si="67">SUM(U8:U19)</f>
        <v>0</v>
      </c>
      <c r="V20" s="584">
        <f t="shared" si="67"/>
        <v>0</v>
      </c>
      <c r="W20" s="584">
        <f t="shared" si="67"/>
        <v>0</v>
      </c>
      <c r="X20" s="584">
        <f t="shared" si="67"/>
        <v>0</v>
      </c>
      <c r="Y20" s="584">
        <f t="shared" si="67"/>
        <v>0</v>
      </c>
      <c r="Z20" s="584">
        <f t="shared" si="67"/>
        <v>0</v>
      </c>
      <c r="AA20" s="584">
        <f t="shared" si="67"/>
        <v>0</v>
      </c>
      <c r="AB20" s="584">
        <f t="shared" si="67"/>
        <v>0</v>
      </c>
      <c r="AC20" s="584">
        <f t="shared" si="67"/>
        <v>0</v>
      </c>
      <c r="AD20" s="584">
        <f t="shared" si="67"/>
        <v>0</v>
      </c>
      <c r="AE20" s="584">
        <f t="shared" si="67"/>
        <v>0</v>
      </c>
      <c r="AF20" s="585">
        <f t="shared" si="67"/>
        <v>0</v>
      </c>
      <c r="AG20" s="586">
        <f>SUM(U20:W20)</f>
        <v>0</v>
      </c>
      <c r="AH20" s="586">
        <f>SUM(X20:Z20)</f>
        <v>0</v>
      </c>
      <c r="AI20" s="586">
        <f>SUM(AA20:AC20)</f>
        <v>0</v>
      </c>
      <c r="AJ20" s="587">
        <f>SUM(AD20:AF20)</f>
        <v>0</v>
      </c>
      <c r="AK20" s="586">
        <f>SUM(AG20:AJ20)</f>
        <v>0</v>
      </c>
      <c r="AL20" s="588">
        <f t="shared" ref="AL20:AW20" si="68">SUM(AL8:AL19)</f>
        <v>272451.81</v>
      </c>
      <c r="AM20" s="588">
        <f t="shared" si="68"/>
        <v>337777</v>
      </c>
      <c r="AN20" s="588">
        <f t="shared" si="68"/>
        <v>365775</v>
      </c>
      <c r="AO20" s="588">
        <f t="shared" si="68"/>
        <v>67064.3</v>
      </c>
      <c r="AP20" s="588">
        <f t="shared" si="68"/>
        <v>174115.9</v>
      </c>
      <c r="AQ20" s="588">
        <f t="shared" si="68"/>
        <v>178666</v>
      </c>
      <c r="AR20" s="588">
        <f t="shared" si="68"/>
        <v>295993.4</v>
      </c>
      <c r="AS20" s="588">
        <f t="shared" si="68"/>
        <v>442760</v>
      </c>
      <c r="AT20" s="588">
        <f t="shared" si="68"/>
        <v>372830.62</v>
      </c>
      <c r="AU20" s="588">
        <f t="shared" si="68"/>
        <v>361051.3</v>
      </c>
      <c r="AV20" s="588">
        <f t="shared" si="68"/>
        <v>332452.36</v>
      </c>
      <c r="AW20" s="589">
        <f t="shared" si="68"/>
        <v>186601.41</v>
      </c>
      <c r="AX20" s="590">
        <f>SUM(AL20:AN20)</f>
        <v>976003.81</v>
      </c>
      <c r="AY20" s="590">
        <f>SUM(AO20:AQ20)</f>
        <v>419846.2</v>
      </c>
      <c r="AZ20" s="590">
        <f>SUM(AR20:AT20)</f>
        <v>1111584.02</v>
      </c>
      <c r="BA20" s="591">
        <f>SUM(AU20:AW20)</f>
        <v>880105.07</v>
      </c>
      <c r="BB20" s="590">
        <f>SUM(AX20:BA20)</f>
        <v>3387539.1</v>
      </c>
      <c r="BC20" s="584">
        <f t="shared" ref="BC20:BN20" si="69">SUM(BC8:BC19)</f>
        <v>274137.928</v>
      </c>
      <c r="BD20" s="584">
        <f t="shared" si="69"/>
        <v>267373.65</v>
      </c>
      <c r="BE20" s="584">
        <f t="shared" si="69"/>
        <v>314206.45</v>
      </c>
      <c r="BF20" s="584">
        <f t="shared" si="69"/>
        <v>287273.19</v>
      </c>
      <c r="BG20" s="584">
        <f t="shared" si="69"/>
        <v>290131.05</v>
      </c>
      <c r="BH20" s="584">
        <f t="shared" si="69"/>
        <v>276252.44</v>
      </c>
      <c r="BI20" s="584">
        <f t="shared" si="69"/>
        <v>334240.31</v>
      </c>
      <c r="BJ20" s="584">
        <f t="shared" si="69"/>
        <v>356874.94</v>
      </c>
      <c r="BK20" s="584">
        <f t="shared" si="69"/>
        <v>173200.72</v>
      </c>
      <c r="BL20" s="584">
        <f t="shared" si="69"/>
        <v>255729.04</v>
      </c>
      <c r="BM20" s="584">
        <f t="shared" si="69"/>
        <v>146666.52</v>
      </c>
      <c r="BN20" s="585">
        <f t="shared" si="69"/>
        <v>25785.71</v>
      </c>
      <c r="BO20" s="586">
        <f>SUM(BC20:BE20)</f>
        <v>855718.028</v>
      </c>
      <c r="BP20" s="586">
        <f>SUM(BF20:BH20)</f>
        <v>853656.68</v>
      </c>
      <c r="BQ20" s="586">
        <f>SUM(BI20:BK20)</f>
        <v>864315.97</v>
      </c>
      <c r="BR20" s="587">
        <f>SUM(BL20:BN20)</f>
        <v>428181.27</v>
      </c>
      <c r="BS20" s="586">
        <f>SUM(BO20:BR20)</f>
        <v>3001871.948</v>
      </c>
      <c r="BT20" s="584">
        <f t="shared" ref="BT20:CE20" si="70">SUM(BT8:BT19)</f>
        <v>58114.24</v>
      </c>
      <c r="BU20" s="584">
        <f t="shared" si="70"/>
        <v>59001.64</v>
      </c>
      <c r="BV20" s="584">
        <f t="shared" si="70"/>
        <v>67936.04</v>
      </c>
      <c r="BW20" s="584">
        <f t="shared" si="70"/>
        <v>55114.24</v>
      </c>
      <c r="BX20" s="584">
        <f t="shared" si="70"/>
        <v>40713.22</v>
      </c>
      <c r="BY20" s="584">
        <f t="shared" si="70"/>
        <v>64081.22</v>
      </c>
      <c r="BZ20" s="584">
        <f t="shared" si="70"/>
        <v>69608.43</v>
      </c>
      <c r="CA20" s="584">
        <f t="shared" si="70"/>
        <v>76448.68</v>
      </c>
      <c r="CB20" s="584">
        <f t="shared" si="70"/>
        <v>75999.07</v>
      </c>
      <c r="CC20" s="584">
        <f t="shared" si="70"/>
        <v>72284.01</v>
      </c>
      <c r="CD20" s="584">
        <f t="shared" si="70"/>
        <v>76260.94</v>
      </c>
      <c r="CE20" s="585">
        <f t="shared" si="70"/>
        <v>53291.11</v>
      </c>
      <c r="CF20" s="592">
        <f>SUM(BT20:BV20)</f>
        <v>185051.92</v>
      </c>
      <c r="CG20" s="592">
        <f>SUM(BW20:BY20)</f>
        <v>159908.68</v>
      </c>
      <c r="CH20" s="592">
        <f>SUM(BZ20:CB20)</f>
        <v>222056.18</v>
      </c>
      <c r="CI20" s="593">
        <f>SUM(CC20:CE20)</f>
        <v>201836.06</v>
      </c>
      <c r="CJ20" s="592">
        <f>SUM(CF20:CI20)</f>
        <v>768852.84</v>
      </c>
      <c r="CK20" s="584">
        <f t="shared" ref="CK20:CV20" si="71">SUM(CK8:CK19)</f>
        <v>206570.81</v>
      </c>
      <c r="CL20" s="584">
        <f t="shared" si="71"/>
        <v>236144.68</v>
      </c>
      <c r="CM20" s="584">
        <f t="shared" si="71"/>
        <v>265333.34</v>
      </c>
      <c r="CN20" s="584">
        <f t="shared" si="71"/>
        <v>238831.44</v>
      </c>
      <c r="CO20" s="584">
        <f t="shared" si="71"/>
        <v>240736.87</v>
      </c>
      <c r="CP20" s="584">
        <f t="shared" si="71"/>
        <v>311541.41</v>
      </c>
      <c r="CQ20" s="584">
        <f t="shared" si="71"/>
        <v>339861.54</v>
      </c>
      <c r="CR20" s="584">
        <f t="shared" si="71"/>
        <v>333821</v>
      </c>
      <c r="CS20" s="584">
        <f t="shared" si="71"/>
        <v>390872</v>
      </c>
      <c r="CT20" s="584">
        <f t="shared" si="71"/>
        <v>433067</v>
      </c>
      <c r="CU20" s="584">
        <f t="shared" si="71"/>
        <v>238631</v>
      </c>
      <c r="CV20" s="585">
        <f t="shared" si="71"/>
        <v>163649</v>
      </c>
      <c r="CW20" s="592">
        <f>SUM(CK20:CM20)</f>
        <v>708048.83</v>
      </c>
      <c r="CX20" s="592">
        <f>SUM(CN20:CP20)</f>
        <v>791109.72</v>
      </c>
      <c r="CY20" s="592">
        <f>SUM(CQ20:CS20)</f>
        <v>1064554.54</v>
      </c>
      <c r="CZ20" s="593">
        <f>SUM(CT20:CV20)</f>
        <v>835347</v>
      </c>
      <c r="DA20" s="592">
        <f>SUM(CW20:CZ20)</f>
        <v>3399060.09</v>
      </c>
      <c r="DB20" s="584">
        <f t="shared" ref="DB20:DM20" si="72">SUM(DB8:DB19)</f>
        <v>165292</v>
      </c>
      <c r="DC20" s="584">
        <f t="shared" si="72"/>
        <v>141136</v>
      </c>
      <c r="DD20" s="584">
        <f t="shared" si="72"/>
        <v>165321</v>
      </c>
      <c r="DE20" s="584">
        <f t="shared" si="72"/>
        <v>164780</v>
      </c>
      <c r="DF20" s="584">
        <f t="shared" si="72"/>
        <v>93059</v>
      </c>
      <c r="DG20" s="584">
        <f t="shared" si="72"/>
        <v>105759</v>
      </c>
      <c r="DH20" s="584">
        <f t="shared" si="72"/>
        <v>112239</v>
      </c>
      <c r="DI20" s="584">
        <f t="shared" si="72"/>
        <v>105146</v>
      </c>
      <c r="DJ20" s="584">
        <f t="shared" si="72"/>
        <v>106026</v>
      </c>
      <c r="DK20" s="584">
        <f t="shared" si="72"/>
        <v>84512</v>
      </c>
      <c r="DL20" s="584">
        <f t="shared" si="72"/>
        <v>93003</v>
      </c>
      <c r="DM20" s="585">
        <f t="shared" si="72"/>
        <v>202936</v>
      </c>
      <c r="DN20" s="592">
        <f>SUM(DB20:DD20)</f>
        <v>471749</v>
      </c>
      <c r="DO20" s="592">
        <f>SUM(DE20:DG20)</f>
        <v>363598</v>
      </c>
      <c r="DP20" s="592">
        <f>SUM(DH20:DJ20)</f>
        <v>323411</v>
      </c>
      <c r="DQ20" s="593">
        <f>SUM(DK20:DM20)</f>
        <v>380451</v>
      </c>
      <c r="DR20" s="592">
        <f>SUM(DN20:DQ20)</f>
        <v>1539209</v>
      </c>
      <c r="DS20" s="584">
        <f t="shared" ref="DS20:ED20" si="73">SUM(DS8:DS19)</f>
        <v>185284</v>
      </c>
      <c r="DT20" s="584">
        <f t="shared" si="73"/>
        <v>259717.76</v>
      </c>
      <c r="DU20" s="584">
        <f t="shared" si="73"/>
        <v>227017</v>
      </c>
      <c r="DV20" s="584">
        <f t="shared" si="73"/>
        <v>252901</v>
      </c>
      <c r="DW20" s="584">
        <f t="shared" si="73"/>
        <v>267283</v>
      </c>
      <c r="DX20" s="584">
        <f t="shared" si="73"/>
        <v>269476</v>
      </c>
      <c r="DY20" s="584">
        <f t="shared" si="73"/>
        <v>306011</v>
      </c>
      <c r="DZ20" s="584">
        <f t="shared" si="73"/>
        <v>291893</v>
      </c>
      <c r="EA20" s="584">
        <f t="shared" si="73"/>
        <v>298237</v>
      </c>
      <c r="EB20" s="584">
        <f t="shared" si="73"/>
        <v>297380</v>
      </c>
      <c r="EC20" s="584">
        <f t="shared" si="73"/>
        <v>297509</v>
      </c>
      <c r="ED20" s="585">
        <f t="shared" si="73"/>
        <v>300238</v>
      </c>
      <c r="EE20" s="592">
        <f>SUM(DS20:DU20)</f>
        <v>672018.76</v>
      </c>
      <c r="EF20" s="592">
        <f>SUM(DV20:DX20)</f>
        <v>789660</v>
      </c>
      <c r="EG20" s="592">
        <f>SUM(DY20:EA20)</f>
        <v>896141</v>
      </c>
      <c r="EH20" s="593">
        <f>SUM(EB20:ED20)</f>
        <v>895127</v>
      </c>
      <c r="EI20" s="592">
        <f>SUM(EE20:EH20)</f>
        <v>3252946.76</v>
      </c>
      <c r="EJ20" s="583"/>
      <c r="EK20" s="583"/>
      <c r="EL20" s="493"/>
      <c r="EM20" s="493"/>
      <c r="EN20" s="493"/>
      <c r="EO20" s="493"/>
      <c r="EP20" s="493"/>
      <c r="EQ20" s="493"/>
      <c r="ER20" s="493"/>
      <c r="ES20" s="493"/>
      <c r="ET20" s="493"/>
      <c r="EU20" s="493"/>
    </row>
    <row r="21">
      <c r="A21" s="552"/>
      <c r="B21" s="552" t="s">
        <v>161</v>
      </c>
      <c r="C21" s="552"/>
      <c r="D21" s="574"/>
      <c r="E21" s="574"/>
      <c r="F21" s="574"/>
      <c r="G21" s="574"/>
      <c r="H21" s="574"/>
      <c r="I21" s="574"/>
      <c r="J21" s="574"/>
      <c r="K21" s="574"/>
      <c r="L21" s="574"/>
      <c r="M21" s="574"/>
      <c r="N21" s="574"/>
      <c r="O21" s="574"/>
      <c r="P21" s="574"/>
      <c r="Q21" s="574"/>
      <c r="R21" s="574"/>
      <c r="S21" s="574"/>
      <c r="T21" s="574"/>
      <c r="U21" s="574"/>
      <c r="V21" s="574"/>
      <c r="W21" s="574"/>
      <c r="X21" s="574"/>
      <c r="Y21" s="574"/>
      <c r="Z21" s="574"/>
      <c r="AA21" s="574"/>
      <c r="AB21" s="574"/>
      <c r="AC21" s="574"/>
      <c r="AD21" s="574"/>
      <c r="AE21" s="574"/>
      <c r="AF21" s="574"/>
      <c r="AG21" s="574"/>
      <c r="AH21" s="574"/>
      <c r="AI21" s="574"/>
      <c r="AJ21" s="574"/>
      <c r="AK21" s="574"/>
      <c r="AL21" s="574"/>
      <c r="AM21" s="574"/>
      <c r="AN21" s="574"/>
      <c r="AO21" s="574"/>
      <c r="AP21" s="574"/>
      <c r="AQ21" s="574"/>
      <c r="AR21" s="574"/>
      <c r="AS21" s="574"/>
      <c r="AT21" s="574"/>
      <c r="AU21" s="574"/>
      <c r="AV21" s="574"/>
      <c r="AW21" s="574"/>
      <c r="AX21" s="574"/>
      <c r="AY21" s="574"/>
      <c r="AZ21" s="574"/>
      <c r="BA21" s="574"/>
      <c r="BB21" s="574"/>
      <c r="BC21" s="574"/>
      <c r="BD21" s="574"/>
      <c r="BE21" s="574"/>
      <c r="BF21" s="574"/>
      <c r="BG21" s="574"/>
      <c r="BH21" s="574"/>
      <c r="BI21" s="574"/>
      <c r="BJ21" s="574"/>
      <c r="BK21" s="574"/>
      <c r="BL21" s="574"/>
      <c r="BM21" s="574"/>
      <c r="BN21" s="574"/>
      <c r="BO21" s="574"/>
      <c r="BP21" s="574"/>
      <c r="BQ21" s="574"/>
      <c r="BR21" s="574"/>
      <c r="BS21" s="574"/>
      <c r="BT21" s="574"/>
      <c r="BU21" s="574"/>
      <c r="BV21" s="574"/>
      <c r="BW21" s="574"/>
      <c r="BX21" s="574"/>
      <c r="BY21" s="574"/>
      <c r="BZ21" s="574"/>
      <c r="CA21" s="574"/>
      <c r="CB21" s="574"/>
      <c r="CC21" s="574"/>
      <c r="CD21" s="574"/>
      <c r="CE21" s="574"/>
      <c r="CF21" s="574"/>
      <c r="CG21" s="574"/>
      <c r="CH21" s="574"/>
      <c r="CI21" s="574"/>
      <c r="CJ21" s="574"/>
      <c r="CK21" s="574"/>
      <c r="CL21" s="574"/>
      <c r="CM21" s="574"/>
      <c r="CN21" s="574"/>
      <c r="CO21" s="574"/>
      <c r="CP21" s="574"/>
      <c r="CQ21" s="574"/>
      <c r="CR21" s="574"/>
      <c r="CS21" s="574"/>
      <c r="CT21" s="574"/>
      <c r="CU21" s="574"/>
      <c r="CV21" s="574"/>
      <c r="CW21" s="574"/>
      <c r="CX21" s="574"/>
      <c r="CY21" s="574"/>
      <c r="CZ21" s="574"/>
      <c r="DA21" s="574"/>
      <c r="DB21" s="574"/>
      <c r="DC21" s="12"/>
      <c r="DD21" s="12"/>
      <c r="DE21" s="574"/>
      <c r="DF21" s="574"/>
      <c r="DG21" s="574"/>
      <c r="DH21" s="574"/>
      <c r="DI21" s="574"/>
      <c r="DJ21" s="574"/>
      <c r="DK21" s="574"/>
      <c r="DL21" s="574"/>
      <c r="DM21" s="574"/>
      <c r="DN21" s="574"/>
      <c r="DO21" s="574"/>
      <c r="DP21" s="574"/>
      <c r="DQ21" s="574"/>
      <c r="DR21" s="574"/>
      <c r="DS21" s="574"/>
      <c r="DT21" s="12"/>
      <c r="DU21" s="12"/>
      <c r="DV21" s="574"/>
      <c r="DW21" s="574"/>
      <c r="DX21" s="574"/>
      <c r="DY21" s="574"/>
      <c r="DZ21" s="574"/>
      <c r="EA21" s="574"/>
      <c r="EB21" s="574"/>
      <c r="EC21" s="574"/>
      <c r="ED21" s="574"/>
      <c r="EE21" s="574"/>
      <c r="EF21" s="574"/>
      <c r="EG21" s="574"/>
      <c r="EH21" s="574"/>
      <c r="EI21" s="574"/>
      <c r="EJ21" s="574"/>
      <c r="EK21" s="574"/>
      <c r="EL21" s="552"/>
      <c r="EM21" s="552"/>
      <c r="EN21" s="552"/>
      <c r="EO21" s="552"/>
      <c r="EP21" s="552"/>
      <c r="EQ21" s="552"/>
      <c r="ER21" s="552"/>
      <c r="ES21" s="552"/>
      <c r="ET21" s="552"/>
      <c r="EU21" s="552"/>
    </row>
    <row r="22">
      <c r="A22" s="552"/>
      <c r="B22" s="552" t="s">
        <v>162</v>
      </c>
      <c r="C22" s="552"/>
      <c r="D22" s="574"/>
      <c r="E22" s="574"/>
      <c r="F22" s="574"/>
      <c r="G22" s="574"/>
      <c r="H22" s="574"/>
      <c r="I22" s="574"/>
      <c r="J22" s="574"/>
      <c r="K22" s="574"/>
      <c r="L22" s="574"/>
      <c r="M22" s="574"/>
      <c r="N22" s="574"/>
      <c r="O22" s="574"/>
      <c r="P22" s="574"/>
      <c r="Q22" s="574"/>
      <c r="R22" s="574"/>
      <c r="S22" s="574"/>
      <c r="T22" s="574"/>
      <c r="U22" s="574"/>
      <c r="V22" s="574"/>
      <c r="W22" s="574"/>
      <c r="X22" s="574"/>
      <c r="Y22" s="574"/>
      <c r="Z22" s="574"/>
      <c r="AA22" s="574"/>
      <c r="AB22" s="574"/>
      <c r="AC22" s="574"/>
      <c r="AD22" s="574"/>
      <c r="AE22" s="574"/>
      <c r="AF22" s="574"/>
      <c r="AG22" s="574"/>
      <c r="AH22" s="571" t="str">
        <f t="shared" ref="AH22:AJ22" si="74">AH20/AG20*100-100</f>
        <v>#DIV/0!</v>
      </c>
      <c r="AI22" s="571" t="str">
        <f t="shared" si="74"/>
        <v>#DIV/0!</v>
      </c>
      <c r="AJ22" s="571" t="str">
        <f t="shared" si="74"/>
        <v>#DIV/0!</v>
      </c>
      <c r="AK22" s="574"/>
      <c r="AL22" s="574"/>
      <c r="AM22" s="574"/>
      <c r="AN22" s="574"/>
      <c r="AO22" s="574"/>
      <c r="AP22" s="574"/>
      <c r="AQ22" s="574"/>
      <c r="AR22" s="574"/>
      <c r="AS22" s="574"/>
      <c r="AT22" s="574"/>
      <c r="AU22" s="574"/>
      <c r="AV22" s="574"/>
      <c r="AW22" s="574"/>
      <c r="AX22" s="571" t="str">
        <f>AX20/AJ20*100-100</f>
        <v>#DIV/0!</v>
      </c>
      <c r="AY22" s="569">
        <f t="shared" ref="AY22:BA22" si="75">AY20/AX20*100-100</f>
        <v>-56.98313924</v>
      </c>
      <c r="AZ22" s="569">
        <f t="shared" si="75"/>
        <v>164.7598144</v>
      </c>
      <c r="BA22" s="569">
        <f t="shared" si="75"/>
        <v>-20.82424233</v>
      </c>
      <c r="BB22" s="574"/>
      <c r="BC22" s="574"/>
      <c r="BD22" s="574"/>
      <c r="BE22" s="574"/>
      <c r="BF22" s="574"/>
      <c r="BG22" s="574"/>
      <c r="BH22" s="574"/>
      <c r="BI22" s="574"/>
      <c r="BJ22" s="574"/>
      <c r="BK22" s="574"/>
      <c r="BL22" s="574"/>
      <c r="BM22" s="574"/>
      <c r="BN22" s="574"/>
      <c r="BO22" s="569">
        <f>BO20/BA20*100-100</f>
        <v>-2.770923931</v>
      </c>
      <c r="BP22" s="569">
        <f t="shared" ref="BP22:BR22" si="76">BP20/BO20*100-100</f>
        <v>-0.2408910333</v>
      </c>
      <c r="BQ22" s="569">
        <f t="shared" si="76"/>
        <v>1.248662401</v>
      </c>
      <c r="BR22" s="569">
        <f t="shared" si="76"/>
        <v>-50.46009968</v>
      </c>
      <c r="BS22" s="574"/>
      <c r="BT22" s="574"/>
      <c r="BU22" s="574"/>
      <c r="BV22" s="574"/>
      <c r="BW22" s="574"/>
      <c r="BX22" s="574"/>
      <c r="BY22" s="574"/>
      <c r="BZ22" s="574"/>
      <c r="CA22" s="574"/>
      <c r="CB22" s="574"/>
      <c r="CC22" s="574"/>
      <c r="CD22" s="574"/>
      <c r="CE22" s="574"/>
      <c r="CF22" s="578">
        <f>CF20/BR20*100-100</f>
        <v>-56.78187418</v>
      </c>
      <c r="CG22" s="578">
        <f t="shared" ref="CG22:CI22" si="77">CG20/CF20*100-100</f>
        <v>-13.58712733</v>
      </c>
      <c r="CH22" s="578">
        <f t="shared" si="77"/>
        <v>38.86436934</v>
      </c>
      <c r="CI22" s="578">
        <f t="shared" si="77"/>
        <v>-9.105857806</v>
      </c>
      <c r="CJ22" s="574"/>
      <c r="CK22" s="574"/>
      <c r="CL22" s="574"/>
      <c r="CM22" s="574"/>
      <c r="CN22" s="574"/>
      <c r="CO22" s="574"/>
      <c r="CP22" s="574"/>
      <c r="CQ22" s="574"/>
      <c r="CR22" s="574"/>
      <c r="CS22" s="574"/>
      <c r="CT22" s="574"/>
      <c r="CU22" s="574"/>
      <c r="CV22" s="574"/>
      <c r="CW22" s="578">
        <f>CW20/CI20*100-100</f>
        <v>250.8039297</v>
      </c>
      <c r="CX22" s="578">
        <f t="shared" ref="CX22:CZ22" si="78">CX20/CW20*100-100</f>
        <v>11.73095505</v>
      </c>
      <c r="CY22" s="578">
        <f t="shared" si="78"/>
        <v>34.56471499</v>
      </c>
      <c r="CZ22" s="578">
        <f t="shared" si="78"/>
        <v>-21.5308405</v>
      </c>
      <c r="DA22" s="574"/>
      <c r="DB22" s="574"/>
      <c r="DC22" s="594" t="s">
        <v>163</v>
      </c>
      <c r="DD22" s="595">
        <f t="shared" ref="DD22:DD23" si="85">DN35/DN8*1000000</f>
        <v>208512.8648</v>
      </c>
      <c r="DE22" s="574"/>
      <c r="DF22" s="574"/>
      <c r="DG22" s="12"/>
      <c r="DH22" s="574"/>
      <c r="DI22" s="574"/>
      <c r="DJ22" s="574"/>
      <c r="DK22" s="574"/>
      <c r="DL22" s="574"/>
      <c r="DM22" s="574"/>
      <c r="DN22" s="578">
        <f>DN20/CZ20*100-100</f>
        <v>-43.52658237</v>
      </c>
      <c r="DO22" s="578">
        <f t="shared" ref="DO22:DQ22" si="79">DO20/DN20*100-100</f>
        <v>-22.92553879</v>
      </c>
      <c r="DP22" s="578">
        <f t="shared" si="79"/>
        <v>-11.05259105</v>
      </c>
      <c r="DQ22" s="578">
        <f t="shared" si="79"/>
        <v>17.6370006</v>
      </c>
      <c r="DR22" s="574"/>
      <c r="DS22" s="574"/>
      <c r="DT22" s="594" t="s">
        <v>163</v>
      </c>
      <c r="DU22" s="595">
        <f t="shared" ref="DU22:DU23" si="87">EE35/EE8*1000000</f>
        <v>257661.8893</v>
      </c>
      <c r="DV22" s="574"/>
      <c r="DW22" s="574"/>
      <c r="DX22" s="12"/>
      <c r="DY22" s="574"/>
      <c r="DZ22" s="574"/>
      <c r="EA22" s="574"/>
      <c r="EB22" s="574"/>
      <c r="EC22" s="574"/>
      <c r="ED22" s="574"/>
      <c r="EE22" s="578">
        <f>EE20/DQ20*100-100</f>
        <v>76.6374014</v>
      </c>
      <c r="EF22" s="578">
        <f t="shared" ref="EF22:EH22" si="80">EF20/EE20*100-100</f>
        <v>17.50564821</v>
      </c>
      <c r="EG22" s="578">
        <f t="shared" si="80"/>
        <v>13.48441101</v>
      </c>
      <c r="EH22" s="596">
        <f t="shared" si="80"/>
        <v>-0.1131518366</v>
      </c>
      <c r="EI22" s="574"/>
      <c r="EJ22" s="574"/>
      <c r="EK22" s="574"/>
      <c r="EL22" s="552"/>
      <c r="EM22" s="552"/>
      <c r="EN22" s="552"/>
      <c r="EO22" s="552"/>
      <c r="EP22" s="552"/>
      <c r="EQ22" s="552"/>
      <c r="ER22" s="552"/>
      <c r="ES22" s="552"/>
      <c r="ET22" s="552"/>
      <c r="EU22" s="552"/>
    </row>
    <row r="23">
      <c r="A23" s="552"/>
      <c r="B23" s="552" t="s">
        <v>164</v>
      </c>
      <c r="C23" s="552"/>
      <c r="D23" s="574"/>
      <c r="E23" s="574"/>
      <c r="F23" s="574"/>
      <c r="G23" s="574"/>
      <c r="H23" s="574"/>
      <c r="I23" s="574"/>
      <c r="J23" s="574"/>
      <c r="K23" s="574"/>
      <c r="L23" s="574"/>
      <c r="M23" s="574"/>
      <c r="N23" s="574"/>
      <c r="O23" s="574"/>
      <c r="P23" s="574"/>
      <c r="Q23" s="574"/>
      <c r="R23" s="574"/>
      <c r="S23" s="574"/>
      <c r="T23" s="574"/>
      <c r="U23" s="574"/>
      <c r="V23" s="574"/>
      <c r="W23" s="574"/>
      <c r="X23" s="574"/>
      <c r="Y23" s="574"/>
      <c r="Z23" s="574"/>
      <c r="AA23" s="574"/>
      <c r="AB23" s="574"/>
      <c r="AC23" s="574"/>
      <c r="AD23" s="574"/>
      <c r="AE23" s="574"/>
      <c r="AF23" s="574"/>
      <c r="AG23" s="574"/>
      <c r="AH23" s="574"/>
      <c r="AI23" s="574"/>
      <c r="AJ23" s="574"/>
      <c r="AK23" s="574"/>
      <c r="AL23" s="574"/>
      <c r="AM23" s="574"/>
      <c r="AN23" s="574"/>
      <c r="AO23" s="574"/>
      <c r="AP23" s="574"/>
      <c r="AQ23" s="574"/>
      <c r="AR23" s="574"/>
      <c r="AS23" s="574"/>
      <c r="AT23" s="574"/>
      <c r="AU23" s="574"/>
      <c r="AV23" s="574"/>
      <c r="AW23" s="574"/>
      <c r="AX23" s="571" t="str">
        <f t="shared" ref="AX23:BB23" si="81">AX20/AG20*100-100</f>
        <v>#DIV/0!</v>
      </c>
      <c r="AY23" s="571" t="str">
        <f t="shared" si="81"/>
        <v>#DIV/0!</v>
      </c>
      <c r="AZ23" s="571" t="str">
        <f t="shared" si="81"/>
        <v>#DIV/0!</v>
      </c>
      <c r="BA23" s="571" t="str">
        <f t="shared" si="81"/>
        <v>#DIV/0!</v>
      </c>
      <c r="BB23" s="571" t="str">
        <f t="shared" si="81"/>
        <v>#DIV/0!</v>
      </c>
      <c r="BC23" s="574"/>
      <c r="BD23" s="574"/>
      <c r="BE23" s="574"/>
      <c r="BF23" s="574"/>
      <c r="BG23" s="574"/>
      <c r="BH23" s="574"/>
      <c r="BI23" s="574"/>
      <c r="BJ23" s="574"/>
      <c r="BK23" s="574"/>
      <c r="BL23" s="574"/>
      <c r="BM23" s="574"/>
      <c r="BN23" s="574"/>
      <c r="BO23" s="569">
        <f t="shared" ref="BO23:BS23" si="82">BO20/AX20*100-100</f>
        <v>-12.3243148</v>
      </c>
      <c r="BP23" s="569">
        <f t="shared" si="82"/>
        <v>103.3260465</v>
      </c>
      <c r="BQ23" s="569">
        <f t="shared" si="82"/>
        <v>-22.24465677</v>
      </c>
      <c r="BR23" s="569">
        <f t="shared" si="82"/>
        <v>-51.34884634</v>
      </c>
      <c r="BS23" s="569">
        <f t="shared" si="82"/>
        <v>-11.38487677</v>
      </c>
      <c r="BT23" s="574"/>
      <c r="BU23" s="574"/>
      <c r="BV23" s="574"/>
      <c r="BW23" s="574"/>
      <c r="BX23" s="574"/>
      <c r="BY23" s="574"/>
      <c r="BZ23" s="574"/>
      <c r="CA23" s="574"/>
      <c r="CB23" s="574"/>
      <c r="CC23" s="574"/>
      <c r="CD23" s="574"/>
      <c r="CE23" s="574"/>
      <c r="CF23" s="578">
        <f t="shared" ref="CF23:CJ23" si="83">CF20/BO20*100-100</f>
        <v>-78.37466152</v>
      </c>
      <c r="CG23" s="578">
        <f t="shared" si="83"/>
        <v>-81.2677996</v>
      </c>
      <c r="CH23" s="578">
        <f t="shared" si="83"/>
        <v>-74.3084488</v>
      </c>
      <c r="CI23" s="578">
        <f t="shared" si="83"/>
        <v>-52.86200632</v>
      </c>
      <c r="CJ23" s="578">
        <f t="shared" si="83"/>
        <v>-74.38755372</v>
      </c>
      <c r="CK23" s="574"/>
      <c r="CL23" s="574"/>
      <c r="CM23" s="574"/>
      <c r="CN23" s="574"/>
      <c r="CO23" s="574"/>
      <c r="CP23" s="574"/>
      <c r="CQ23" s="574"/>
      <c r="CR23" s="574"/>
      <c r="CS23" s="574"/>
      <c r="CT23" s="574"/>
      <c r="CU23" s="574"/>
      <c r="CV23" s="574"/>
      <c r="CW23" s="578">
        <f t="shared" ref="CW23:DA23" si="84">CW20/CF20*100-100</f>
        <v>282.621715</v>
      </c>
      <c r="CX23" s="578">
        <f t="shared" si="84"/>
        <v>394.7259398</v>
      </c>
      <c r="CY23" s="578">
        <f t="shared" si="84"/>
        <v>379.4077517</v>
      </c>
      <c r="CZ23" s="578">
        <f t="shared" si="84"/>
        <v>313.8740124</v>
      </c>
      <c r="DA23" s="578">
        <f t="shared" si="84"/>
        <v>342.0950165</v>
      </c>
      <c r="DB23" s="574"/>
      <c r="DC23" s="552" t="s">
        <v>153</v>
      </c>
      <c r="DD23" s="569">
        <f t="shared" si="85"/>
        <v>174316.7931</v>
      </c>
      <c r="DE23" s="574"/>
      <c r="DF23" s="574"/>
      <c r="DG23" s="574"/>
      <c r="DH23" s="574"/>
      <c r="DI23" s="574"/>
      <c r="DJ23" s="574"/>
      <c r="DK23" s="574"/>
      <c r="DL23" s="574"/>
      <c r="DM23" s="574"/>
      <c r="DN23" s="578">
        <f t="shared" ref="DN23:DR23" si="86">DN20/CW20*100-100</f>
        <v>-33.37338048</v>
      </c>
      <c r="DO23" s="578">
        <f t="shared" si="86"/>
        <v>-54.03949783</v>
      </c>
      <c r="DP23" s="578">
        <f t="shared" si="86"/>
        <v>-69.62006287</v>
      </c>
      <c r="DQ23" s="578">
        <f t="shared" si="86"/>
        <v>-54.45593268</v>
      </c>
      <c r="DR23" s="578">
        <f t="shared" si="86"/>
        <v>-54.71662874</v>
      </c>
      <c r="DS23" s="574"/>
      <c r="DT23" s="552" t="s">
        <v>153</v>
      </c>
      <c r="DU23" s="569">
        <f t="shared" si="87"/>
        <v>262835.4581</v>
      </c>
      <c r="DV23" s="574"/>
      <c r="DW23" s="574"/>
      <c r="DX23" s="574"/>
      <c r="DY23" s="574"/>
      <c r="DZ23" s="574"/>
      <c r="EA23" s="574"/>
      <c r="EB23" s="574"/>
      <c r="EC23" s="574"/>
      <c r="ED23" s="574"/>
      <c r="EE23" s="578">
        <f t="shared" ref="EE23:EI23" si="88">EE20/DN20*100-100</f>
        <v>42.45260933</v>
      </c>
      <c r="EF23" s="578">
        <f t="shared" si="88"/>
        <v>117.1794124</v>
      </c>
      <c r="EG23" s="578">
        <f t="shared" si="88"/>
        <v>177.0904515</v>
      </c>
      <c r="EH23" s="578">
        <f t="shared" si="88"/>
        <v>135.280496</v>
      </c>
      <c r="EI23" s="578">
        <f t="shared" si="88"/>
        <v>111.3388604</v>
      </c>
      <c r="EJ23" s="574"/>
      <c r="EK23" s="574"/>
      <c r="EL23" s="552"/>
      <c r="EM23" s="552"/>
      <c r="EN23" s="552"/>
      <c r="EO23" s="552"/>
      <c r="EP23" s="552"/>
      <c r="EQ23" s="552"/>
      <c r="ER23" s="552"/>
      <c r="ES23" s="552"/>
      <c r="ET23" s="552"/>
      <c r="EU23" s="552"/>
    </row>
    <row r="24">
      <c r="A24" s="552"/>
      <c r="B24" s="552" t="s">
        <v>148</v>
      </c>
      <c r="C24" s="552"/>
      <c r="D24" s="574"/>
      <c r="E24" s="574"/>
      <c r="F24" s="574"/>
      <c r="G24" s="574"/>
      <c r="H24" s="574"/>
      <c r="I24" s="574"/>
      <c r="J24" s="574"/>
      <c r="K24" s="574"/>
      <c r="L24" s="574"/>
      <c r="M24" s="574"/>
      <c r="N24" s="574"/>
      <c r="O24" s="574"/>
      <c r="P24" s="574"/>
      <c r="Q24" s="574"/>
      <c r="R24" s="574"/>
      <c r="S24" s="574"/>
      <c r="T24" s="574"/>
      <c r="U24" s="574"/>
      <c r="V24" s="574"/>
      <c r="W24" s="574"/>
      <c r="X24" s="574"/>
      <c r="Y24" s="574"/>
      <c r="Z24" s="574"/>
      <c r="AA24" s="574"/>
      <c r="AB24" s="574"/>
      <c r="AC24" s="574"/>
      <c r="AD24" s="574"/>
      <c r="AE24" s="574"/>
      <c r="AF24" s="574"/>
      <c r="AG24" s="574"/>
      <c r="AH24" s="574"/>
      <c r="AI24" s="574"/>
      <c r="AJ24" s="574"/>
      <c r="AK24" s="574"/>
      <c r="AL24" s="574"/>
      <c r="AM24" s="574"/>
      <c r="AN24" s="574"/>
      <c r="AO24" s="574"/>
      <c r="AP24" s="574"/>
      <c r="AQ24" s="574"/>
      <c r="AR24" s="574"/>
      <c r="AS24" s="574"/>
      <c r="AT24" s="574"/>
      <c r="AU24" s="574"/>
      <c r="AV24" s="574"/>
      <c r="AW24" s="574"/>
      <c r="AX24" s="574"/>
      <c r="AY24" s="571" t="str">
        <f>SUM(AX20:AY20)/SUM(AG20:AH20)*100-100</f>
        <v>#DIV/0!</v>
      </c>
      <c r="AZ24" s="574"/>
      <c r="BA24" s="574"/>
      <c r="BB24" s="574"/>
      <c r="BC24" s="574"/>
      <c r="BD24" s="574"/>
      <c r="BE24" s="574"/>
      <c r="BF24" s="574"/>
      <c r="BG24" s="574"/>
      <c r="BH24" s="574"/>
      <c r="BI24" s="574"/>
      <c r="BJ24" s="574"/>
      <c r="BK24" s="574"/>
      <c r="BL24" s="574"/>
      <c r="BM24" s="574"/>
      <c r="BN24" s="574"/>
      <c r="BO24" s="574"/>
      <c r="BP24" s="569">
        <f>SUM(BO20:BP20)/SUM(AX20:AY20)*100-100</f>
        <v>22.46120255</v>
      </c>
      <c r="BQ24" s="574"/>
      <c r="BR24" s="574"/>
      <c r="BS24" s="574"/>
      <c r="BT24" s="574"/>
      <c r="BU24" s="574"/>
      <c r="BV24" s="574"/>
      <c r="BW24" s="574"/>
      <c r="BX24" s="574"/>
      <c r="BY24" s="574"/>
      <c r="BZ24" s="574"/>
      <c r="CA24" s="574"/>
      <c r="CB24" s="574"/>
      <c r="CC24" s="574"/>
      <c r="CD24" s="574"/>
      <c r="CE24" s="574"/>
      <c r="CF24" s="574"/>
      <c r="CG24" s="578">
        <f>SUM(CF20:CG20)/SUM(BO20:BP20)*100-100</f>
        <v>-79.81948613</v>
      </c>
      <c r="CH24" s="574"/>
      <c r="CI24" s="574"/>
      <c r="CJ24" s="574"/>
      <c r="CK24" s="574"/>
      <c r="CL24" s="574"/>
      <c r="CM24" s="574"/>
      <c r="CN24" s="574"/>
      <c r="CO24" s="574"/>
      <c r="CP24" s="574"/>
      <c r="CQ24" s="574"/>
      <c r="CR24" s="574"/>
      <c r="CS24" s="574"/>
      <c r="CT24" s="574"/>
      <c r="CU24" s="574"/>
      <c r="CV24" s="574"/>
      <c r="CW24" s="574"/>
      <c r="CX24" s="578">
        <f>SUM(CW20:CX20)/SUM(CF20:CG20)*100-100</f>
        <v>334.5883414</v>
      </c>
      <c r="CY24" s="574"/>
      <c r="CZ24" s="574"/>
      <c r="DA24" s="574"/>
      <c r="DB24" s="574"/>
      <c r="DC24" s="574"/>
      <c r="DD24" s="574"/>
      <c r="DE24" s="574"/>
      <c r="DF24" s="574"/>
      <c r="DG24" s="574"/>
      <c r="DH24" s="574"/>
      <c r="DI24" s="574"/>
      <c r="DJ24" s="574"/>
      <c r="DK24" s="574"/>
      <c r="DL24" s="574"/>
      <c r="DM24" s="574"/>
      <c r="DN24" s="574"/>
      <c r="DO24" s="578">
        <f>SUM(DN20:DO20)/SUM(CW20:CX20)*100-100</f>
        <v>-44.27894234</v>
      </c>
      <c r="DP24" s="578">
        <f>SUM(DN10:DP10)/SUM(CW10:CY10)*100-100</f>
        <v>-54.80157259</v>
      </c>
      <c r="DQ24" s="574"/>
      <c r="DR24" s="574"/>
      <c r="DS24" s="574"/>
      <c r="DT24" s="574"/>
      <c r="DU24" s="574"/>
      <c r="DV24" s="574"/>
      <c r="DW24" s="574"/>
      <c r="DX24" s="574"/>
      <c r="DY24" s="574"/>
      <c r="DZ24" s="574"/>
      <c r="EA24" s="574"/>
      <c r="EB24" s="574"/>
      <c r="EC24" s="574"/>
      <c r="ED24" s="574"/>
      <c r="EE24" s="574"/>
      <c r="EF24" s="578">
        <f>SUM(EE20:EF20)/SUM(DN20:DO20)*100-100</f>
        <v>74.97863283</v>
      </c>
      <c r="EG24" s="578">
        <f t="shared" ref="EG24:EI24" si="89">SUM(EE10:EG10)/SUM(DN10:DP10)*100-100</f>
        <v>103.4781861</v>
      </c>
      <c r="EH24" s="578">
        <f t="shared" si="89"/>
        <v>141.7821745</v>
      </c>
      <c r="EI24" s="578">
        <f t="shared" si="89"/>
        <v>124.8798527</v>
      </c>
      <c r="EJ24" s="574"/>
      <c r="EK24" s="574"/>
      <c r="EL24" s="552"/>
      <c r="EM24" s="552"/>
      <c r="EN24" s="499">
        <v>14273.2543241943</v>
      </c>
      <c r="EO24" s="552"/>
      <c r="EP24" s="552"/>
      <c r="EQ24" s="552"/>
      <c r="ER24" s="552"/>
      <c r="ES24" s="552"/>
      <c r="ET24" s="552"/>
      <c r="EU24" s="552"/>
    </row>
    <row r="25">
      <c r="A25" s="552"/>
      <c r="B25" s="552"/>
      <c r="C25" s="552"/>
      <c r="D25" s="597"/>
      <c r="E25" s="597"/>
      <c r="F25" s="597"/>
      <c r="G25" s="597"/>
      <c r="H25" s="597"/>
      <c r="I25" s="597"/>
      <c r="J25" s="597"/>
      <c r="K25" s="597"/>
      <c r="L25" s="597"/>
      <c r="M25" s="597"/>
      <c r="N25" s="597"/>
      <c r="O25" s="597"/>
      <c r="P25" s="597"/>
      <c r="Q25" s="597"/>
      <c r="R25" s="597"/>
      <c r="S25" s="597"/>
      <c r="T25" s="597"/>
      <c r="U25" s="597"/>
      <c r="V25" s="597"/>
      <c r="W25" s="597"/>
      <c r="X25" s="597"/>
      <c r="Y25" s="597"/>
      <c r="Z25" s="597"/>
      <c r="AA25" s="597"/>
      <c r="AB25" s="597"/>
      <c r="AC25" s="597"/>
      <c r="AD25" s="597"/>
      <c r="AE25" s="597"/>
      <c r="AF25" s="597"/>
      <c r="AG25" s="597"/>
      <c r="AH25" s="597"/>
      <c r="AI25" s="597"/>
      <c r="AJ25" s="597"/>
      <c r="AK25" s="597"/>
      <c r="AL25" s="597"/>
      <c r="AM25" s="597"/>
      <c r="AN25" s="597"/>
      <c r="AO25" s="597"/>
      <c r="AP25" s="597"/>
      <c r="AQ25" s="597"/>
      <c r="AR25" s="597"/>
      <c r="AS25" s="597"/>
      <c r="AT25" s="597"/>
      <c r="AU25" s="597"/>
      <c r="AV25" s="597"/>
      <c r="AW25" s="597"/>
      <c r="AX25" s="597"/>
      <c r="AY25" s="597"/>
      <c r="AZ25" s="597"/>
      <c r="BA25" s="597"/>
      <c r="BB25" s="597"/>
      <c r="BC25" s="597"/>
      <c r="BD25" s="597"/>
      <c r="BE25" s="597"/>
      <c r="BF25" s="597"/>
      <c r="BG25" s="597"/>
      <c r="BH25" s="597"/>
      <c r="BI25" s="597"/>
      <c r="BJ25" s="597"/>
      <c r="BK25" s="597"/>
      <c r="BL25" s="597"/>
      <c r="BM25" s="597"/>
      <c r="BN25" s="597"/>
      <c r="BO25" s="597"/>
      <c r="BP25" s="597"/>
      <c r="BQ25" s="597"/>
      <c r="BR25" s="597"/>
      <c r="BS25" s="597"/>
      <c r="BT25" s="597"/>
      <c r="BU25" s="597"/>
      <c r="BV25" s="597"/>
      <c r="BW25" s="597"/>
      <c r="BX25" s="574"/>
      <c r="BY25" s="574"/>
      <c r="BZ25" s="574"/>
      <c r="CA25" s="574"/>
      <c r="CB25" s="574"/>
      <c r="CC25" s="574"/>
      <c r="CD25" s="574"/>
      <c r="CE25" s="574"/>
      <c r="CF25" s="574"/>
      <c r="CG25" s="574"/>
      <c r="CH25" s="574"/>
      <c r="CI25" s="578">
        <f>SUM(CI8,CI12:CI14)</f>
        <v>1429822.753</v>
      </c>
      <c r="CJ25" s="574"/>
      <c r="CK25" s="597"/>
      <c r="CL25" s="597"/>
      <c r="CM25" s="597"/>
      <c r="CN25" s="597"/>
      <c r="CO25" s="574"/>
      <c r="CP25" s="574"/>
      <c r="CQ25" s="574"/>
      <c r="CR25" s="574"/>
      <c r="CS25" s="574"/>
      <c r="CT25" s="574"/>
      <c r="CU25" s="574"/>
      <c r="CV25" s="574"/>
      <c r="CW25" s="574"/>
      <c r="CX25" s="574"/>
      <c r="CY25" s="574"/>
      <c r="CZ25" s="574"/>
      <c r="DA25" s="574"/>
      <c r="DB25" s="597"/>
      <c r="DC25" s="597"/>
      <c r="DD25" s="597"/>
      <c r="DE25" s="597"/>
      <c r="DF25" s="574"/>
      <c r="DG25" s="574"/>
      <c r="DH25" s="574"/>
      <c r="DI25" s="574"/>
      <c r="DJ25" s="574"/>
      <c r="DK25" s="574"/>
      <c r="DL25" s="574"/>
      <c r="DM25" s="574"/>
      <c r="DN25" s="574"/>
      <c r="DO25" s="574"/>
      <c r="DP25" s="574"/>
      <c r="DQ25" s="574"/>
      <c r="DR25" s="574"/>
      <c r="DS25" s="597"/>
      <c r="DT25" s="597"/>
      <c r="DU25" s="597"/>
      <c r="DV25" s="597"/>
      <c r="DW25" s="574"/>
      <c r="DX25" s="574"/>
      <c r="DY25" s="574"/>
      <c r="DZ25" s="574"/>
      <c r="EA25" s="574"/>
      <c r="EB25" s="574"/>
      <c r="EC25" s="574"/>
      <c r="ED25" s="574"/>
      <c r="EE25" s="574"/>
      <c r="EF25" s="574"/>
      <c r="EG25" s="574"/>
      <c r="EH25" s="574"/>
      <c r="EI25" s="574"/>
      <c r="EJ25" s="552" t="s">
        <v>165</v>
      </c>
      <c r="EK25" s="569">
        <v>540374.25</v>
      </c>
      <c r="EL25" s="577">
        <v>259156.0</v>
      </c>
      <c r="EM25" s="577">
        <f t="shared" ref="EM25:EM26" si="90">EK25/EL25</f>
        <v>2.085131157</v>
      </c>
      <c r="EN25" s="569">
        <f t="shared" ref="EN25:EN26" si="91">EM25*1000000</f>
        <v>2085131.157</v>
      </c>
      <c r="EO25" s="574"/>
      <c r="EP25" s="574"/>
      <c r="EQ25" s="574"/>
      <c r="ER25" s="574"/>
      <c r="ES25" s="574"/>
      <c r="ET25" s="574"/>
      <c r="EU25" s="574"/>
    </row>
    <row r="26">
      <c r="A26" s="552"/>
      <c r="B26" s="552"/>
      <c r="C26" s="552"/>
      <c r="D26" s="574"/>
      <c r="E26" s="574"/>
      <c r="F26" s="574"/>
      <c r="G26" s="574"/>
      <c r="H26" s="574"/>
      <c r="I26" s="574"/>
      <c r="J26" s="574"/>
      <c r="K26" s="574"/>
      <c r="L26" s="574"/>
      <c r="M26" s="574"/>
      <c r="N26" s="574"/>
      <c r="O26" s="574"/>
      <c r="P26" s="574"/>
      <c r="Q26" s="574"/>
      <c r="R26" s="574"/>
      <c r="S26" s="574"/>
      <c r="T26" s="574"/>
      <c r="U26" s="574"/>
      <c r="V26" s="574"/>
      <c r="W26" s="574"/>
      <c r="X26" s="574"/>
      <c r="Y26" s="574"/>
      <c r="Z26" s="574"/>
      <c r="AA26" s="574"/>
      <c r="AB26" s="574"/>
      <c r="AC26" s="574"/>
      <c r="AD26" s="574"/>
      <c r="AE26" s="574"/>
      <c r="AF26" s="574"/>
      <c r="AG26" s="574"/>
      <c r="AH26" s="574"/>
      <c r="AI26" s="574"/>
      <c r="AJ26" s="574"/>
      <c r="AK26" s="574"/>
      <c r="AL26" s="574"/>
      <c r="AM26" s="574"/>
      <c r="AN26" s="574"/>
      <c r="AO26" s="574"/>
      <c r="AP26" s="574"/>
      <c r="AQ26" s="574"/>
      <c r="AR26" s="574"/>
      <c r="AS26" s="574"/>
      <c r="AT26" s="574"/>
      <c r="AU26" s="574"/>
      <c r="AV26" s="574"/>
      <c r="AW26" s="574"/>
      <c r="AX26" s="574"/>
      <c r="AY26" s="574"/>
      <c r="AZ26" s="574"/>
      <c r="BA26" s="574"/>
      <c r="BB26" s="574"/>
      <c r="BC26" s="574"/>
      <c r="BD26" s="574"/>
      <c r="BE26" s="574"/>
      <c r="BF26" s="574"/>
      <c r="BG26" s="574"/>
      <c r="BH26" s="574"/>
      <c r="BI26" s="574"/>
      <c r="BJ26" s="574"/>
      <c r="BK26" s="574"/>
      <c r="BL26" s="574"/>
      <c r="BM26" s="574"/>
      <c r="BN26" s="574"/>
      <c r="BO26" s="574"/>
      <c r="BP26" s="574"/>
      <c r="BQ26" s="574"/>
      <c r="BR26" s="574"/>
      <c r="BS26" s="574"/>
      <c r="BT26" s="574"/>
      <c r="BU26" s="574"/>
      <c r="BV26" s="574"/>
      <c r="BW26" s="574"/>
      <c r="BX26" s="574"/>
      <c r="BY26" s="574"/>
      <c r="BZ26" s="574"/>
      <c r="CA26" s="574"/>
      <c r="CB26" s="574"/>
      <c r="CC26" s="574"/>
      <c r="CD26" s="574"/>
      <c r="CE26" s="574"/>
      <c r="CF26" s="574"/>
      <c r="CG26" s="574"/>
      <c r="CH26" s="574"/>
      <c r="CI26" s="574"/>
      <c r="CJ26" s="574"/>
      <c r="CK26" s="574"/>
      <c r="CL26" s="574"/>
      <c r="CM26" s="574"/>
      <c r="CN26" s="574"/>
      <c r="CO26" s="574"/>
      <c r="CP26" s="574"/>
      <c r="CQ26" s="574"/>
      <c r="CR26" s="574"/>
      <c r="CS26" s="574"/>
      <c r="CT26" s="574"/>
      <c r="CU26" s="574"/>
      <c r="CV26" s="574"/>
      <c r="CW26" s="574"/>
      <c r="CX26" s="574"/>
      <c r="CY26" s="574"/>
      <c r="CZ26" s="574"/>
      <c r="DA26" s="574"/>
      <c r="DB26" s="574"/>
      <c r="DC26" s="574"/>
      <c r="DD26" s="574"/>
      <c r="DE26" s="574"/>
      <c r="DF26" s="574"/>
      <c r="DG26" s="574"/>
      <c r="DH26" s="574"/>
      <c r="DI26" s="574"/>
      <c r="DJ26" s="574"/>
      <c r="DK26" s="574"/>
      <c r="DL26" s="574"/>
      <c r="DM26" s="574"/>
      <c r="DN26" s="574"/>
      <c r="DO26" s="574"/>
      <c r="DP26" s="574"/>
      <c r="DQ26" s="574"/>
      <c r="DR26" s="574"/>
      <c r="DS26" s="574"/>
      <c r="DT26" s="574"/>
      <c r="DU26" s="574"/>
      <c r="DV26" s="574"/>
      <c r="DW26" s="574"/>
      <c r="DX26" s="574"/>
      <c r="DY26" s="574"/>
      <c r="DZ26" s="574"/>
      <c r="EA26" s="574"/>
      <c r="EB26" s="574"/>
      <c r="EC26" s="574"/>
      <c r="ED26" s="574"/>
      <c r="EE26" s="574"/>
      <c r="EF26" s="574"/>
      <c r="EG26" s="574"/>
      <c r="EH26" s="574"/>
      <c r="EI26" s="574"/>
      <c r="EJ26" s="552" t="s">
        <v>166</v>
      </c>
      <c r="EK26" s="569">
        <v>37058.53</v>
      </c>
      <c r="EL26" s="577">
        <v>133573.0</v>
      </c>
      <c r="EM26" s="577">
        <f t="shared" si="90"/>
        <v>0.2774402761</v>
      </c>
      <c r="EN26" s="569">
        <f t="shared" si="91"/>
        <v>277440.2761</v>
      </c>
      <c r="EO26" s="574"/>
      <c r="EP26" s="574"/>
      <c r="EQ26" s="574"/>
      <c r="ER26" s="574"/>
      <c r="ES26" s="574"/>
      <c r="ET26" s="574"/>
      <c r="EU26" s="574"/>
    </row>
    <row r="27" hidden="1">
      <c r="A27" s="552"/>
      <c r="B27" s="552" t="s">
        <v>167</v>
      </c>
      <c r="C27" s="552"/>
      <c r="D27" s="574"/>
      <c r="E27" s="574"/>
      <c r="F27" s="574"/>
      <c r="G27" s="574"/>
      <c r="H27" s="574"/>
      <c r="I27" s="574"/>
      <c r="J27" s="574"/>
      <c r="K27" s="574"/>
      <c r="L27" s="574"/>
      <c r="M27" s="574"/>
      <c r="N27" s="574"/>
      <c r="O27" s="574"/>
      <c r="P27" s="574"/>
      <c r="Q27" s="574"/>
      <c r="R27" s="574"/>
      <c r="S27" s="574"/>
      <c r="T27" s="574"/>
      <c r="U27" s="574"/>
      <c r="V27" s="574"/>
      <c r="W27" s="574"/>
      <c r="X27" s="574"/>
      <c r="Y27" s="574"/>
      <c r="Z27" s="574"/>
      <c r="AA27" s="574"/>
      <c r="AB27" s="574"/>
      <c r="AC27" s="574"/>
      <c r="AD27" s="574"/>
      <c r="AE27" s="574"/>
      <c r="AF27" s="574"/>
      <c r="AG27" s="574"/>
      <c r="AH27" s="574"/>
      <c r="AI27" s="574"/>
      <c r="AJ27" s="574"/>
      <c r="AK27" s="574"/>
      <c r="AL27" s="574"/>
      <c r="AM27" s="574"/>
      <c r="AN27" s="574"/>
      <c r="AO27" s="574"/>
      <c r="AP27" s="574"/>
      <c r="AQ27" s="574"/>
      <c r="AR27" s="574"/>
      <c r="AS27" s="574"/>
      <c r="AT27" s="574"/>
      <c r="AU27" s="574"/>
      <c r="AV27" s="574"/>
      <c r="AW27" s="574"/>
      <c r="AX27" s="574"/>
      <c r="AY27" s="574"/>
      <c r="AZ27" s="574"/>
      <c r="BA27" s="574"/>
      <c r="BB27" s="574"/>
      <c r="BC27" s="574"/>
      <c r="BD27" s="574"/>
      <c r="BE27" s="574"/>
      <c r="BF27" s="574"/>
      <c r="BG27" s="574"/>
      <c r="BH27" s="574"/>
      <c r="BI27" s="574"/>
      <c r="BJ27" s="574"/>
      <c r="BK27" s="574"/>
      <c r="BL27" s="574"/>
      <c r="BM27" s="574"/>
      <c r="BN27" s="574"/>
      <c r="BO27" s="574"/>
      <c r="BP27" s="574"/>
      <c r="BQ27" s="574"/>
      <c r="BR27" s="574"/>
      <c r="BS27" s="574"/>
      <c r="BT27" s="574"/>
      <c r="BU27" s="574"/>
      <c r="BV27" s="574"/>
      <c r="BW27" s="574"/>
      <c r="BX27" s="574"/>
      <c r="BY27" s="574"/>
      <c r="BZ27" s="574"/>
      <c r="CA27" s="574"/>
      <c r="CB27" s="574"/>
      <c r="CC27" s="574"/>
      <c r="CD27" s="574"/>
      <c r="CE27" s="574"/>
      <c r="CF27" s="578">
        <f t="shared" ref="CF27:CI27" si="92">SUM(CF12:CF16)</f>
        <v>320780.73</v>
      </c>
      <c r="CG27" s="578">
        <f t="shared" si="92"/>
        <v>721038.907</v>
      </c>
      <c r="CH27" s="578">
        <f t="shared" si="92"/>
        <v>996240.982</v>
      </c>
      <c r="CI27" s="578">
        <f t="shared" si="92"/>
        <v>1227986.693</v>
      </c>
      <c r="CJ27" s="574"/>
      <c r="CK27" s="574"/>
      <c r="CL27" s="574"/>
      <c r="CM27" s="574"/>
      <c r="CN27" s="574"/>
      <c r="CO27" s="574"/>
      <c r="CP27" s="574"/>
      <c r="CQ27" s="574"/>
      <c r="CR27" s="574"/>
      <c r="CS27" s="574"/>
      <c r="CT27" s="574"/>
      <c r="CU27" s="574"/>
      <c r="CV27" s="574"/>
      <c r="CW27" s="578">
        <f>SUM(CW12:CW16)</f>
        <v>597347.279</v>
      </c>
      <c r="CX27" s="574"/>
      <c r="CY27" s="574"/>
      <c r="CZ27" s="574"/>
      <c r="DA27" s="574"/>
      <c r="DB27" s="574"/>
      <c r="DC27" s="574"/>
      <c r="DD27" s="574"/>
      <c r="DE27" s="574"/>
      <c r="DF27" s="574"/>
      <c r="DG27" s="574"/>
      <c r="DH27" s="574"/>
      <c r="DI27" s="574"/>
      <c r="DJ27" s="574"/>
      <c r="DK27" s="574"/>
      <c r="DL27" s="574"/>
      <c r="DM27" s="574"/>
      <c r="DN27" s="578">
        <f>SUM(DN12:DN16)</f>
        <v>-33.37338048</v>
      </c>
      <c r="DO27" s="574"/>
      <c r="DP27" s="574"/>
      <c r="DQ27" s="574"/>
      <c r="DR27" s="574"/>
      <c r="DS27" s="574"/>
      <c r="DT27" s="574"/>
      <c r="DU27" s="574"/>
      <c r="DV27" s="574"/>
      <c r="DW27" s="574"/>
      <c r="DX27" s="574"/>
      <c r="DY27" s="574"/>
      <c r="DZ27" s="574"/>
      <c r="EA27" s="574"/>
      <c r="EB27" s="574"/>
      <c r="EC27" s="574"/>
      <c r="ED27" s="574"/>
      <c r="EE27" s="578">
        <f>SUM(EE12:EE16)</f>
        <v>208.7794053</v>
      </c>
      <c r="EF27" s="574"/>
      <c r="EG27" s="574"/>
      <c r="EH27" s="574"/>
      <c r="EI27" s="574"/>
      <c r="EJ27" s="574"/>
      <c r="EK27" s="574"/>
      <c r="EL27" s="552"/>
      <c r="EM27" s="552"/>
      <c r="EN27" s="552"/>
      <c r="EO27" s="552"/>
      <c r="EP27" s="552"/>
      <c r="EQ27" s="552"/>
      <c r="ER27" s="552"/>
      <c r="ES27" s="552"/>
      <c r="ET27" s="552"/>
      <c r="EU27" s="552"/>
    </row>
    <row r="28" hidden="1">
      <c r="A28" s="552"/>
      <c r="B28" s="552" t="s">
        <v>162</v>
      </c>
      <c r="C28" s="552"/>
      <c r="D28" s="574"/>
      <c r="E28" s="574"/>
      <c r="F28" s="574"/>
      <c r="G28" s="574"/>
      <c r="H28" s="574"/>
      <c r="I28" s="574"/>
      <c r="J28" s="574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  <c r="AS28" s="574"/>
      <c r="AT28" s="574"/>
      <c r="AU28" s="574"/>
      <c r="AV28" s="574"/>
      <c r="AW28" s="574"/>
      <c r="AX28" s="574"/>
      <c r="AY28" s="574"/>
      <c r="AZ28" s="574"/>
      <c r="BA28" s="574"/>
      <c r="BB28" s="574"/>
      <c r="BC28" s="574"/>
      <c r="BD28" s="574"/>
      <c r="BE28" s="574"/>
      <c r="BF28" s="574"/>
      <c r="BG28" s="574"/>
      <c r="BH28" s="574"/>
      <c r="BI28" s="574"/>
      <c r="BJ28" s="574"/>
      <c r="BK28" s="574"/>
      <c r="BL28" s="574"/>
      <c r="BM28" s="574"/>
      <c r="BN28" s="574"/>
      <c r="BO28" s="574"/>
      <c r="BP28" s="574"/>
      <c r="BQ28" s="574"/>
      <c r="BR28" s="574"/>
      <c r="BS28" s="574"/>
      <c r="BT28" s="574"/>
      <c r="BU28" s="574"/>
      <c r="BV28" s="574"/>
      <c r="BW28" s="574"/>
      <c r="BX28" s="574"/>
      <c r="BY28" s="574"/>
      <c r="BZ28" s="574"/>
      <c r="CA28" s="574"/>
      <c r="CB28" s="574"/>
      <c r="CC28" s="574"/>
      <c r="CD28" s="574"/>
      <c r="CE28" s="574"/>
      <c r="CF28" s="574"/>
      <c r="CG28" s="574"/>
      <c r="CH28" s="574"/>
      <c r="CI28" s="574"/>
      <c r="CJ28" s="574"/>
      <c r="CK28" s="574"/>
      <c r="CL28" s="574"/>
      <c r="CM28" s="574"/>
      <c r="CN28" s="574"/>
      <c r="CO28" s="574"/>
      <c r="CP28" s="574"/>
      <c r="CQ28" s="574"/>
      <c r="CR28" s="574"/>
      <c r="CS28" s="574"/>
      <c r="CT28" s="574"/>
      <c r="CU28" s="574"/>
      <c r="CV28" s="574"/>
      <c r="CW28" s="578">
        <f>CW27/CI27*100-100</f>
        <v>-51.35555765</v>
      </c>
      <c r="CX28" s="574"/>
      <c r="CY28" s="574"/>
      <c r="CZ28" s="574"/>
      <c r="DA28" s="574"/>
      <c r="DB28" s="574"/>
      <c r="DC28" s="574"/>
      <c r="DD28" s="574"/>
      <c r="DE28" s="574"/>
      <c r="DF28" s="574"/>
      <c r="DG28" s="574"/>
      <c r="DH28" s="574"/>
      <c r="DI28" s="574"/>
      <c r="DJ28" s="574"/>
      <c r="DK28" s="574"/>
      <c r="DL28" s="574"/>
      <c r="DM28" s="574"/>
      <c r="DN28" s="596" t="str">
        <f>DN27/CZ27*100-100</f>
        <v>#DIV/0!</v>
      </c>
      <c r="DO28" s="574"/>
      <c r="DP28" s="574"/>
      <c r="DQ28" s="574"/>
      <c r="DR28" s="574"/>
      <c r="DS28" s="574"/>
      <c r="DT28" s="574"/>
      <c r="DU28" s="574"/>
      <c r="DV28" s="574"/>
      <c r="DW28" s="574"/>
      <c r="DX28" s="574"/>
      <c r="DY28" s="574"/>
      <c r="DZ28" s="574"/>
      <c r="EA28" s="574"/>
      <c r="EB28" s="574"/>
      <c r="EC28" s="574"/>
      <c r="ED28" s="574"/>
      <c r="EE28" s="596" t="str">
        <f>EE27/DQ27*100-100</f>
        <v>#DIV/0!</v>
      </c>
      <c r="EF28" s="574"/>
      <c r="EG28" s="574"/>
      <c r="EH28" s="574"/>
      <c r="EI28" s="574"/>
      <c r="EJ28" s="574"/>
      <c r="EK28" s="574"/>
      <c r="EL28" s="552"/>
      <c r="EM28" s="552"/>
      <c r="EN28" s="569">
        <v>26765.0433333333</v>
      </c>
      <c r="EO28" s="552"/>
      <c r="EP28" s="552"/>
      <c r="EQ28" s="552"/>
      <c r="ER28" s="552"/>
      <c r="ES28" s="552"/>
      <c r="ET28" s="552"/>
      <c r="EU28" s="552"/>
    </row>
    <row r="29" hidden="1">
      <c r="A29" s="552"/>
      <c r="B29" s="552" t="s">
        <v>164</v>
      </c>
      <c r="C29" s="552"/>
      <c r="D29" s="574"/>
      <c r="E29" s="574"/>
      <c r="F29" s="574"/>
      <c r="G29" s="574"/>
      <c r="H29" s="574"/>
      <c r="I29" s="574"/>
      <c r="J29" s="574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  <c r="AS29" s="574"/>
      <c r="AT29" s="574"/>
      <c r="AU29" s="574"/>
      <c r="AV29" s="574"/>
      <c r="AW29" s="574"/>
      <c r="AX29" s="574"/>
      <c r="AY29" s="574"/>
      <c r="AZ29" s="574"/>
      <c r="BA29" s="574"/>
      <c r="BB29" s="574"/>
      <c r="BC29" s="574"/>
      <c r="BD29" s="574"/>
      <c r="BE29" s="574"/>
      <c r="BF29" s="574"/>
      <c r="BG29" s="574"/>
      <c r="BH29" s="574"/>
      <c r="BI29" s="574"/>
      <c r="BJ29" s="574"/>
      <c r="BK29" s="574"/>
      <c r="BL29" s="574"/>
      <c r="BM29" s="574"/>
      <c r="BN29" s="574"/>
      <c r="BO29" s="574"/>
      <c r="BP29" s="574"/>
      <c r="BQ29" s="574"/>
      <c r="BR29" s="574"/>
      <c r="BS29" s="574"/>
      <c r="BT29" s="574"/>
      <c r="BU29" s="574"/>
      <c r="BV29" s="574"/>
      <c r="BW29" s="574"/>
      <c r="BX29" s="574"/>
      <c r="BY29" s="574"/>
      <c r="BZ29" s="574"/>
      <c r="CA29" s="574"/>
      <c r="CB29" s="574"/>
      <c r="CC29" s="574"/>
      <c r="CD29" s="574"/>
      <c r="CE29" s="574"/>
      <c r="CF29" s="574"/>
      <c r="CG29" s="574"/>
      <c r="CH29" s="574"/>
      <c r="CI29" s="574"/>
      <c r="CJ29" s="574"/>
      <c r="CK29" s="574"/>
      <c r="CL29" s="574"/>
      <c r="CM29" s="574"/>
      <c r="CN29" s="574"/>
      <c r="CO29" s="574"/>
      <c r="CP29" s="574"/>
      <c r="CQ29" s="574"/>
      <c r="CR29" s="574"/>
      <c r="CS29" s="574"/>
      <c r="CT29" s="574"/>
      <c r="CU29" s="574"/>
      <c r="CV29" s="574"/>
      <c r="CW29" s="578">
        <f>CW27/CF27*100-100</f>
        <v>86.21669668</v>
      </c>
      <c r="CX29" s="574"/>
      <c r="CY29" s="574"/>
      <c r="CZ29" s="574"/>
      <c r="DA29" s="574"/>
      <c r="DB29" s="574"/>
      <c r="DC29" s="574"/>
      <c r="DD29" s="574"/>
      <c r="DE29" s="574"/>
      <c r="DF29" s="574"/>
      <c r="DG29" s="574"/>
      <c r="DH29" s="574"/>
      <c r="DI29" s="574"/>
      <c r="DJ29" s="574"/>
      <c r="DK29" s="574"/>
      <c r="DL29" s="574"/>
      <c r="DM29" s="574"/>
      <c r="DN29" s="578">
        <f>DN27/CW27*100-100</f>
        <v>-100.0055869</v>
      </c>
      <c r="DO29" s="574"/>
      <c r="DP29" s="574"/>
      <c r="DQ29" s="574"/>
      <c r="DR29" s="574"/>
      <c r="DS29" s="574"/>
      <c r="DT29" s="574"/>
      <c r="DU29" s="574"/>
      <c r="DV29" s="574"/>
      <c r="DW29" s="574"/>
      <c r="DX29" s="574"/>
      <c r="DY29" s="574"/>
      <c r="DZ29" s="574"/>
      <c r="EA29" s="574"/>
      <c r="EB29" s="574"/>
      <c r="EC29" s="574"/>
      <c r="ED29" s="574"/>
      <c r="EE29" s="578">
        <f>EE27/DN27*100-100</f>
        <v>-725.586627</v>
      </c>
      <c r="EF29" s="574"/>
      <c r="EG29" s="574"/>
      <c r="EH29" s="574"/>
      <c r="EI29" s="574"/>
      <c r="EJ29" s="574"/>
      <c r="EK29" s="574"/>
      <c r="EL29" s="552"/>
      <c r="EM29" s="552"/>
      <c r="EN29" s="569">
        <f>EN24*EN28</f>
        <v>382024270.5</v>
      </c>
      <c r="EO29" s="552"/>
      <c r="EP29" s="552"/>
      <c r="EQ29" s="552"/>
      <c r="ER29" s="552"/>
      <c r="ES29" s="552"/>
      <c r="ET29" s="552"/>
      <c r="EU29" s="552"/>
    </row>
    <row r="30" hidden="1">
      <c r="A30" s="552"/>
      <c r="B30" s="552" t="s">
        <v>148</v>
      </c>
      <c r="C30" s="552"/>
      <c r="D30" s="574"/>
      <c r="E30" s="574"/>
      <c r="F30" s="574"/>
      <c r="G30" s="574"/>
      <c r="H30" s="574"/>
      <c r="I30" s="574"/>
      <c r="J30" s="574"/>
      <c r="K30" s="574"/>
      <c r="L30" s="574"/>
      <c r="M30" s="574"/>
      <c r="N30" s="574"/>
      <c r="O30" s="574"/>
      <c r="P30" s="574"/>
      <c r="Q30" s="574"/>
      <c r="R30" s="574"/>
      <c r="S30" s="574"/>
      <c r="T30" s="574"/>
      <c r="U30" s="574"/>
      <c r="V30" s="574"/>
      <c r="W30" s="574"/>
      <c r="X30" s="574"/>
      <c r="Y30" s="574"/>
      <c r="Z30" s="574"/>
      <c r="AA30" s="574"/>
      <c r="AB30" s="574"/>
      <c r="AC30" s="574"/>
      <c r="AD30" s="574"/>
      <c r="AE30" s="574"/>
      <c r="AF30" s="574"/>
      <c r="AG30" s="574"/>
      <c r="AH30" s="574"/>
      <c r="AI30" s="574"/>
      <c r="AJ30" s="574"/>
      <c r="AK30" s="574"/>
      <c r="AL30" s="574"/>
      <c r="AM30" s="574"/>
      <c r="AN30" s="574"/>
      <c r="AO30" s="574"/>
      <c r="AP30" s="574"/>
      <c r="AQ30" s="574"/>
      <c r="AR30" s="574"/>
      <c r="AS30" s="574"/>
      <c r="AT30" s="574"/>
      <c r="AU30" s="574"/>
      <c r="AV30" s="574"/>
      <c r="AW30" s="574"/>
      <c r="AX30" s="574"/>
      <c r="AY30" s="574"/>
      <c r="AZ30" s="574"/>
      <c r="BA30" s="574"/>
      <c r="BB30" s="574"/>
      <c r="BC30" s="574"/>
      <c r="BD30" s="574"/>
      <c r="BE30" s="574"/>
      <c r="BF30" s="574"/>
      <c r="BG30" s="574"/>
      <c r="BH30" s="574"/>
      <c r="BI30" s="574"/>
      <c r="BJ30" s="574"/>
      <c r="BK30" s="574"/>
      <c r="BL30" s="574"/>
      <c r="BM30" s="574"/>
      <c r="BN30" s="574"/>
      <c r="BO30" s="574"/>
      <c r="BP30" s="574"/>
      <c r="BQ30" s="574"/>
      <c r="BR30" s="574"/>
      <c r="BS30" s="574"/>
      <c r="BT30" s="574"/>
      <c r="BU30" s="574"/>
      <c r="BV30" s="574"/>
      <c r="BW30" s="574"/>
      <c r="BX30" s="574"/>
      <c r="BY30" s="574"/>
      <c r="BZ30" s="574"/>
      <c r="CA30" s="574"/>
      <c r="CB30" s="574"/>
      <c r="CC30" s="574"/>
      <c r="CD30" s="574"/>
      <c r="CE30" s="574"/>
      <c r="CF30" s="574"/>
      <c r="CG30" s="574"/>
      <c r="CH30" s="574"/>
      <c r="CI30" s="574"/>
      <c r="CJ30" s="574"/>
      <c r="CK30" s="574"/>
      <c r="CL30" s="574"/>
      <c r="CM30" s="574"/>
      <c r="CN30" s="574"/>
      <c r="CO30" s="574"/>
      <c r="CP30" s="574"/>
      <c r="CQ30" s="574"/>
      <c r="CR30" s="574"/>
      <c r="CS30" s="574"/>
      <c r="CT30" s="574"/>
      <c r="CU30" s="574"/>
      <c r="CV30" s="574"/>
      <c r="CW30" s="574"/>
      <c r="CX30" s="574"/>
      <c r="CY30" s="574"/>
      <c r="CZ30" s="574"/>
      <c r="DA30" s="574"/>
      <c r="DB30" s="574"/>
      <c r="DC30" s="574"/>
      <c r="DD30" s="574"/>
      <c r="DE30" s="574"/>
      <c r="DF30" s="574"/>
      <c r="DG30" s="574"/>
      <c r="DH30" s="574"/>
      <c r="DI30" s="574"/>
      <c r="DJ30" s="574"/>
      <c r="DK30" s="574"/>
      <c r="DL30" s="574"/>
      <c r="DM30" s="574"/>
      <c r="DN30" s="574"/>
      <c r="DO30" s="574"/>
      <c r="DP30" s="574"/>
      <c r="DQ30" s="574"/>
      <c r="DR30" s="574"/>
      <c r="DS30" s="574"/>
      <c r="DT30" s="574"/>
      <c r="DU30" s="574"/>
      <c r="DV30" s="574"/>
      <c r="DW30" s="574"/>
      <c r="DX30" s="574"/>
      <c r="DY30" s="574"/>
      <c r="DZ30" s="574"/>
      <c r="EA30" s="574"/>
      <c r="EB30" s="574"/>
      <c r="EC30" s="574"/>
      <c r="ED30" s="574"/>
      <c r="EE30" s="574"/>
      <c r="EF30" s="574"/>
      <c r="EG30" s="574"/>
      <c r="EH30" s="574"/>
      <c r="EI30" s="574"/>
      <c r="EJ30" s="574"/>
      <c r="EK30" s="574"/>
      <c r="EL30" s="552"/>
      <c r="EM30" s="552"/>
      <c r="EN30" s="577">
        <v>142.48</v>
      </c>
      <c r="EO30" s="552"/>
      <c r="EP30" s="552"/>
      <c r="EQ30" s="552"/>
      <c r="ER30" s="552"/>
      <c r="ES30" s="552"/>
      <c r="ET30" s="552"/>
      <c r="EU30" s="552"/>
    </row>
    <row r="31" hidden="1">
      <c r="A31" s="552"/>
      <c r="B31" s="552"/>
      <c r="C31" s="552"/>
      <c r="D31" s="574"/>
      <c r="E31" s="574"/>
      <c r="F31" s="574"/>
      <c r="G31" s="574"/>
      <c r="H31" s="574"/>
      <c r="I31" s="574"/>
      <c r="J31" s="574"/>
      <c r="K31" s="574"/>
      <c r="L31" s="574"/>
      <c r="M31" s="574"/>
      <c r="N31" s="574"/>
      <c r="O31" s="574"/>
      <c r="P31" s="574"/>
      <c r="Q31" s="574"/>
      <c r="R31" s="574"/>
      <c r="S31" s="574"/>
      <c r="T31" s="574"/>
      <c r="U31" s="574"/>
      <c r="V31" s="574"/>
      <c r="W31" s="574"/>
      <c r="X31" s="574"/>
      <c r="Y31" s="574"/>
      <c r="Z31" s="574"/>
      <c r="AA31" s="574"/>
      <c r="AB31" s="574"/>
      <c r="AC31" s="574"/>
      <c r="AD31" s="574"/>
      <c r="AE31" s="574"/>
      <c r="AF31" s="574"/>
      <c r="AG31" s="574"/>
      <c r="AH31" s="574"/>
      <c r="AI31" s="574"/>
      <c r="AJ31" s="574"/>
      <c r="AK31" s="574"/>
      <c r="AL31" s="574"/>
      <c r="AM31" s="574"/>
      <c r="AN31" s="574"/>
      <c r="AO31" s="574"/>
      <c r="AP31" s="574"/>
      <c r="AQ31" s="574"/>
      <c r="AR31" s="574"/>
      <c r="AS31" s="574"/>
      <c r="AT31" s="574"/>
      <c r="AU31" s="574"/>
      <c r="AV31" s="574"/>
      <c r="AW31" s="574"/>
      <c r="AX31" s="574"/>
      <c r="AY31" s="574"/>
      <c r="AZ31" s="574"/>
      <c r="BA31" s="574"/>
      <c r="BB31" s="574"/>
      <c r="BC31" s="574"/>
      <c r="BD31" s="574"/>
      <c r="BE31" s="574"/>
      <c r="BF31" s="574"/>
      <c r="BG31" s="574"/>
      <c r="BH31" s="574"/>
      <c r="BI31" s="574"/>
      <c r="BJ31" s="574"/>
      <c r="BK31" s="574"/>
      <c r="BL31" s="574"/>
      <c r="BM31" s="574"/>
      <c r="BN31" s="574"/>
      <c r="BO31" s="574"/>
      <c r="BP31" s="574"/>
      <c r="BQ31" s="574"/>
      <c r="BR31" s="574"/>
      <c r="BS31" s="574"/>
      <c r="BT31" s="574"/>
      <c r="BU31" s="574"/>
      <c r="BV31" s="574"/>
      <c r="BW31" s="574"/>
      <c r="BX31" s="574"/>
      <c r="BY31" s="574"/>
      <c r="BZ31" s="574"/>
      <c r="CA31" s="574"/>
      <c r="CB31" s="574"/>
      <c r="CC31" s="574"/>
      <c r="CD31" s="574"/>
      <c r="CE31" s="574"/>
      <c r="CF31" s="574"/>
      <c r="CG31" s="574"/>
      <c r="CH31" s="574"/>
      <c r="CI31" s="574"/>
      <c r="CJ31" s="574"/>
      <c r="CK31" s="574"/>
      <c r="CL31" s="574"/>
      <c r="CM31" s="574"/>
      <c r="CN31" s="574"/>
      <c r="CO31" s="574"/>
      <c r="CP31" s="574"/>
      <c r="CQ31" s="574"/>
      <c r="CR31" s="574"/>
      <c r="CS31" s="574"/>
      <c r="CT31" s="574"/>
      <c r="CU31" s="574"/>
      <c r="CV31" s="574"/>
      <c r="CW31" s="574"/>
      <c r="CX31" s="574"/>
      <c r="CY31" s="574"/>
      <c r="CZ31" s="574"/>
      <c r="DA31" s="574"/>
      <c r="DB31" s="574"/>
      <c r="DC31" s="574"/>
      <c r="DD31" s="574"/>
      <c r="DE31" s="574"/>
      <c r="DF31" s="574"/>
      <c r="DG31" s="574"/>
      <c r="DH31" s="574"/>
      <c r="DI31" s="574"/>
      <c r="DJ31" s="574"/>
      <c r="DK31" s="574"/>
      <c r="DL31" s="574"/>
      <c r="DM31" s="574"/>
      <c r="DN31" s="574"/>
      <c r="DO31" s="574"/>
      <c r="DP31" s="574"/>
      <c r="DQ31" s="574"/>
      <c r="DR31" s="574"/>
      <c r="DS31" s="574"/>
      <c r="DT31" s="574"/>
      <c r="DU31" s="574"/>
      <c r="DV31" s="574"/>
      <c r="DW31" s="574"/>
      <c r="DX31" s="574"/>
      <c r="DY31" s="574"/>
      <c r="DZ31" s="574"/>
      <c r="EA31" s="574"/>
      <c r="EB31" s="574"/>
      <c r="EC31" s="574"/>
      <c r="ED31" s="574"/>
      <c r="EE31" s="574"/>
      <c r="EF31" s="574"/>
      <c r="EG31" s="574"/>
      <c r="EH31" s="574"/>
      <c r="EI31" s="574"/>
      <c r="EJ31" s="574"/>
      <c r="EK31" s="574"/>
      <c r="EL31" s="552"/>
      <c r="EM31" s="552"/>
      <c r="EN31" s="569">
        <f>EN24*EN30</f>
        <v>2033653.276</v>
      </c>
      <c r="EO31" s="552"/>
      <c r="EP31" s="552"/>
      <c r="EQ31" s="552"/>
      <c r="ER31" s="552"/>
      <c r="ES31" s="552"/>
      <c r="ET31" s="552"/>
      <c r="EU31" s="552"/>
    </row>
    <row r="32" hidden="1">
      <c r="A32" s="552"/>
      <c r="B32" s="552"/>
      <c r="C32" s="552"/>
      <c r="D32" s="574"/>
      <c r="E32" s="574"/>
      <c r="F32" s="574"/>
      <c r="G32" s="574"/>
      <c r="H32" s="574"/>
      <c r="I32" s="574"/>
      <c r="J32" s="574"/>
      <c r="K32" s="574"/>
      <c r="L32" s="574"/>
      <c r="M32" s="574"/>
      <c r="N32" s="574"/>
      <c r="O32" s="574"/>
      <c r="P32" s="574"/>
      <c r="Q32" s="574"/>
      <c r="R32" s="574"/>
      <c r="S32" s="574"/>
      <c r="T32" s="574"/>
      <c r="U32" s="574"/>
      <c r="V32" s="574"/>
      <c r="W32" s="574"/>
      <c r="X32" s="574"/>
      <c r="Y32" s="574"/>
      <c r="Z32" s="574"/>
      <c r="AA32" s="574"/>
      <c r="AB32" s="574"/>
      <c r="AC32" s="574"/>
      <c r="AD32" s="574"/>
      <c r="AE32" s="574"/>
      <c r="AF32" s="574"/>
      <c r="AG32" s="574"/>
      <c r="AH32" s="574"/>
      <c r="AI32" s="574"/>
      <c r="AJ32" s="574"/>
      <c r="AK32" s="574"/>
      <c r="AL32" s="574"/>
      <c r="AM32" s="574"/>
      <c r="AN32" s="574"/>
      <c r="AO32" s="574"/>
      <c r="AP32" s="574"/>
      <c r="AQ32" s="574"/>
      <c r="AR32" s="574"/>
      <c r="AS32" s="574"/>
      <c r="AT32" s="574"/>
      <c r="AU32" s="574"/>
      <c r="AV32" s="574"/>
      <c r="AW32" s="574"/>
      <c r="AX32" s="574"/>
      <c r="AY32" s="574"/>
      <c r="AZ32" s="574"/>
      <c r="BA32" s="574"/>
      <c r="BB32" s="574"/>
      <c r="BC32" s="574"/>
      <c r="BD32" s="574"/>
      <c r="BE32" s="574"/>
      <c r="BF32" s="574"/>
      <c r="BG32" s="574"/>
      <c r="BH32" s="574"/>
      <c r="BI32" s="574"/>
      <c r="BJ32" s="574"/>
      <c r="BK32" s="574"/>
      <c r="BL32" s="574"/>
      <c r="BM32" s="574"/>
      <c r="BN32" s="574"/>
      <c r="BO32" s="574"/>
      <c r="BP32" s="574"/>
      <c r="BQ32" s="574"/>
      <c r="BR32" s="574"/>
      <c r="BS32" s="574"/>
      <c r="BT32" s="574"/>
      <c r="BU32" s="574"/>
      <c r="BV32" s="574"/>
      <c r="BW32" s="574"/>
      <c r="BX32" s="574"/>
      <c r="BY32" s="574"/>
      <c r="BZ32" s="574"/>
      <c r="CA32" s="574"/>
      <c r="CB32" s="574"/>
      <c r="CC32" s="574"/>
      <c r="CD32" s="574"/>
      <c r="CE32" s="574"/>
      <c r="CF32" s="574"/>
      <c r="CG32" s="574"/>
      <c r="CH32" s="574"/>
      <c r="CI32" s="574"/>
      <c r="CJ32" s="574"/>
      <c r="CK32" s="574"/>
      <c r="CL32" s="574"/>
      <c r="CM32" s="574"/>
      <c r="CN32" s="574"/>
      <c r="CO32" s="574"/>
      <c r="CP32" s="574"/>
      <c r="CQ32" s="574"/>
      <c r="CR32" s="574"/>
      <c r="CS32" s="574"/>
      <c r="CT32" s="574"/>
      <c r="CU32" s="574"/>
      <c r="CV32" s="574"/>
      <c r="CW32" s="574"/>
      <c r="CX32" s="574"/>
      <c r="CY32" s="574"/>
      <c r="CZ32" s="574"/>
      <c r="DA32" s="574"/>
      <c r="DB32" s="574"/>
      <c r="DC32" s="574"/>
      <c r="DD32" s="574"/>
      <c r="DE32" s="574"/>
      <c r="DF32" s="574"/>
      <c r="DG32" s="574"/>
      <c r="DH32" s="574"/>
      <c r="DI32" s="574"/>
      <c r="DJ32" s="574"/>
      <c r="DK32" s="574"/>
      <c r="DL32" s="574"/>
      <c r="DM32" s="574"/>
      <c r="DN32" s="574"/>
      <c r="DO32" s="574"/>
      <c r="DP32" s="574"/>
      <c r="DQ32" s="574"/>
      <c r="DR32" s="574"/>
      <c r="DS32" s="574"/>
      <c r="DT32" s="574"/>
      <c r="DU32" s="574"/>
      <c r="DV32" s="574"/>
      <c r="DW32" s="574"/>
      <c r="DX32" s="574"/>
      <c r="DY32" s="574"/>
      <c r="DZ32" s="574"/>
      <c r="EA32" s="574"/>
      <c r="EB32" s="574"/>
      <c r="EC32" s="574"/>
      <c r="ED32" s="574"/>
      <c r="EE32" s="574"/>
      <c r="EF32" s="574"/>
      <c r="EG32" s="574"/>
      <c r="EH32" s="574"/>
      <c r="EI32" s="574"/>
      <c r="EJ32" s="574"/>
      <c r="EK32" s="574"/>
      <c r="EL32" s="552"/>
      <c r="EM32" s="552"/>
      <c r="EN32" s="552"/>
      <c r="EO32" s="552"/>
      <c r="EP32" s="552"/>
      <c r="EQ32" s="552"/>
      <c r="ER32" s="552"/>
      <c r="ES32" s="552"/>
      <c r="ET32" s="552"/>
      <c r="EU32" s="552"/>
    </row>
    <row r="33" hidden="1">
      <c r="A33" s="552"/>
      <c r="B33" s="552"/>
      <c r="C33" s="552"/>
      <c r="D33" s="574"/>
      <c r="E33" s="574"/>
      <c r="F33" s="574"/>
      <c r="G33" s="574"/>
      <c r="H33" s="574"/>
      <c r="I33" s="574"/>
      <c r="J33" s="574"/>
      <c r="K33" s="574"/>
      <c r="L33" s="574"/>
      <c r="M33" s="574"/>
      <c r="N33" s="574"/>
      <c r="O33" s="574"/>
      <c r="P33" s="574"/>
      <c r="Q33" s="574"/>
      <c r="R33" s="574"/>
      <c r="S33" s="574"/>
      <c r="T33" s="574"/>
      <c r="U33" s="574"/>
      <c r="V33" s="574"/>
      <c r="W33" s="574"/>
      <c r="X33" s="574"/>
      <c r="Y33" s="574"/>
      <c r="Z33" s="574"/>
      <c r="AA33" s="574"/>
      <c r="AB33" s="574"/>
      <c r="AC33" s="574"/>
      <c r="AD33" s="574"/>
      <c r="AE33" s="574"/>
      <c r="AF33" s="574"/>
      <c r="AG33" s="574"/>
      <c r="AH33" s="574"/>
      <c r="AI33" s="574"/>
      <c r="AJ33" s="574"/>
      <c r="AK33" s="574"/>
      <c r="AL33" s="574"/>
      <c r="AM33" s="574"/>
      <c r="AN33" s="574"/>
      <c r="AO33" s="574"/>
      <c r="AP33" s="574"/>
      <c r="AQ33" s="574"/>
      <c r="AR33" s="574"/>
      <c r="AS33" s="574"/>
      <c r="AT33" s="574"/>
      <c r="AU33" s="574"/>
      <c r="AV33" s="574"/>
      <c r="AW33" s="574"/>
      <c r="AX33" s="574"/>
      <c r="AY33" s="574"/>
      <c r="AZ33" s="574"/>
      <c r="BA33" s="574"/>
      <c r="BB33" s="574"/>
      <c r="BC33" s="574"/>
      <c r="BD33" s="574"/>
      <c r="BE33" s="574"/>
      <c r="BF33" s="574"/>
      <c r="BG33" s="574"/>
      <c r="BH33" s="574"/>
      <c r="BI33" s="574"/>
      <c r="BJ33" s="574"/>
      <c r="BK33" s="574"/>
      <c r="BL33" s="574"/>
      <c r="BM33" s="574"/>
      <c r="BN33" s="574"/>
      <c r="BO33" s="574"/>
      <c r="BP33" s="574"/>
      <c r="BQ33" s="574"/>
      <c r="BR33" s="574"/>
      <c r="BS33" s="574"/>
      <c r="BT33" s="574"/>
      <c r="BU33" s="574"/>
      <c r="BV33" s="574"/>
      <c r="BW33" s="574"/>
      <c r="BX33" s="574"/>
      <c r="BY33" s="574"/>
      <c r="BZ33" s="574"/>
      <c r="CA33" s="574"/>
      <c r="CB33" s="574"/>
      <c r="CC33" s="574"/>
      <c r="CD33" s="574"/>
      <c r="CE33" s="574"/>
      <c r="CF33" s="574"/>
      <c r="CG33" s="574"/>
      <c r="CH33" s="574"/>
      <c r="CI33" s="574"/>
      <c r="CJ33" s="574"/>
      <c r="CK33" s="574"/>
      <c r="CL33" s="574"/>
      <c r="CM33" s="574"/>
      <c r="CN33" s="574"/>
      <c r="CO33" s="574"/>
      <c r="CP33" s="574"/>
      <c r="CQ33" s="574"/>
      <c r="CR33" s="574"/>
      <c r="CS33" s="574"/>
      <c r="CT33" s="574"/>
      <c r="CU33" s="574"/>
      <c r="CV33" s="574"/>
      <c r="CW33" s="574"/>
      <c r="CX33" s="574"/>
      <c r="CY33" s="574"/>
      <c r="CZ33" s="574"/>
      <c r="DA33" s="574"/>
      <c r="DB33" s="574"/>
      <c r="DC33" s="574"/>
      <c r="DD33" s="574"/>
      <c r="DE33" s="574"/>
      <c r="DF33" s="574"/>
      <c r="DG33" s="574"/>
      <c r="DH33" s="574"/>
      <c r="DI33" s="574"/>
      <c r="DJ33" s="574"/>
      <c r="DK33" s="574"/>
      <c r="DL33" s="574"/>
      <c r="DM33" s="574"/>
      <c r="DN33" s="574"/>
      <c r="DO33" s="574"/>
      <c r="DP33" s="574"/>
      <c r="DQ33" s="574"/>
      <c r="DR33" s="574"/>
      <c r="DS33" s="574"/>
      <c r="DT33" s="574"/>
      <c r="DU33" s="574"/>
      <c r="DV33" s="574"/>
      <c r="DW33" s="574"/>
      <c r="DX33" s="574"/>
      <c r="DY33" s="574"/>
      <c r="DZ33" s="574"/>
      <c r="EA33" s="574"/>
      <c r="EB33" s="574"/>
      <c r="EC33" s="574"/>
      <c r="ED33" s="574"/>
      <c r="EE33" s="574"/>
      <c r="EF33" s="574"/>
      <c r="EG33" s="574"/>
      <c r="EH33" s="574"/>
      <c r="EI33" s="574"/>
      <c r="EJ33" s="574"/>
      <c r="EK33" s="574"/>
      <c r="EL33" s="552"/>
      <c r="EM33" s="552"/>
      <c r="EN33" s="552"/>
      <c r="EO33" s="552"/>
      <c r="EP33" s="552"/>
      <c r="EQ33" s="552"/>
      <c r="ER33" s="552"/>
      <c r="ES33" s="552"/>
      <c r="ET33" s="552"/>
      <c r="EU33" s="552"/>
    </row>
    <row r="34">
      <c r="A34" s="552" t="s">
        <v>168</v>
      </c>
      <c r="B34" s="552" t="s">
        <v>169</v>
      </c>
      <c r="C34" s="552"/>
      <c r="D34" s="552"/>
      <c r="E34" s="552"/>
      <c r="F34" s="552"/>
      <c r="G34" s="552"/>
      <c r="H34" s="552"/>
      <c r="I34" s="552"/>
      <c r="J34" s="552"/>
      <c r="K34" s="552"/>
      <c r="L34" s="552"/>
      <c r="M34" s="552"/>
      <c r="N34" s="552"/>
      <c r="O34" s="552"/>
      <c r="P34" s="552"/>
      <c r="Q34" s="552"/>
      <c r="R34" s="552"/>
      <c r="S34" s="552"/>
      <c r="T34" s="552"/>
      <c r="U34" s="553"/>
      <c r="V34" s="553"/>
      <c r="W34" s="553"/>
      <c r="X34" s="553"/>
      <c r="Y34" s="553"/>
      <c r="Z34" s="553"/>
      <c r="AA34" s="553"/>
      <c r="AB34" s="553"/>
      <c r="AC34" s="553"/>
      <c r="AD34" s="553"/>
      <c r="AE34" s="553"/>
      <c r="AF34" s="553"/>
      <c r="AG34" s="553"/>
      <c r="AH34" s="553"/>
      <c r="AI34" s="553"/>
      <c r="AJ34" s="553"/>
      <c r="AK34" s="553"/>
      <c r="AL34" s="553"/>
      <c r="AM34" s="553"/>
      <c r="AN34" s="553"/>
      <c r="AO34" s="553"/>
      <c r="AP34" s="553"/>
      <c r="AQ34" s="553"/>
      <c r="AR34" s="553"/>
      <c r="AS34" s="553"/>
      <c r="AT34" s="553"/>
      <c r="AU34" s="553"/>
      <c r="AV34" s="553"/>
      <c r="AW34" s="553"/>
      <c r="AX34" s="553"/>
      <c r="AY34" s="553"/>
      <c r="AZ34" s="553"/>
      <c r="BA34" s="553"/>
      <c r="BB34" s="553"/>
      <c r="BC34" s="553"/>
      <c r="BD34" s="553"/>
      <c r="BE34" s="553"/>
      <c r="BF34" s="553"/>
      <c r="BG34" s="553"/>
      <c r="BH34" s="553"/>
      <c r="BI34" s="553"/>
      <c r="BJ34" s="553"/>
      <c r="BK34" s="553"/>
      <c r="BL34" s="553"/>
      <c r="BM34" s="553"/>
      <c r="BN34" s="553"/>
      <c r="BO34" s="553"/>
      <c r="BP34" s="553"/>
      <c r="BQ34" s="553"/>
      <c r="BR34" s="553"/>
      <c r="BS34" s="553"/>
      <c r="BT34" s="553"/>
      <c r="BU34" s="553"/>
      <c r="BV34" s="553"/>
      <c r="BW34" s="553"/>
      <c r="BX34" s="553"/>
      <c r="BY34" s="553"/>
      <c r="BZ34" s="553"/>
      <c r="CA34" s="553"/>
      <c r="CB34" s="553"/>
      <c r="CC34" s="552"/>
      <c r="CD34" s="552"/>
      <c r="CE34" s="552"/>
      <c r="CF34" s="554"/>
      <c r="CG34" s="554"/>
      <c r="CH34" s="554"/>
      <c r="CI34" s="554"/>
      <c r="CJ34" s="554"/>
      <c r="CK34" s="553"/>
      <c r="CL34" s="553"/>
      <c r="CM34" s="553"/>
      <c r="CN34" s="553"/>
      <c r="CO34" s="553"/>
      <c r="CP34" s="553"/>
      <c r="CQ34" s="553"/>
      <c r="CR34" s="553"/>
      <c r="CS34" s="553"/>
      <c r="CT34" s="553"/>
      <c r="CU34" s="553"/>
      <c r="CV34" s="553"/>
      <c r="CW34" s="554"/>
      <c r="CX34" s="554"/>
      <c r="CY34" s="554"/>
      <c r="CZ34" s="554"/>
      <c r="DA34" s="554"/>
      <c r="DB34" s="553"/>
      <c r="DC34" s="553"/>
      <c r="DD34" s="553"/>
      <c r="DE34" s="553"/>
      <c r="DF34" s="553"/>
      <c r="DG34" s="553"/>
      <c r="DH34" s="553"/>
      <c r="DI34" s="553"/>
      <c r="DJ34" s="553"/>
      <c r="DK34" s="553"/>
      <c r="DL34" s="553"/>
      <c r="DM34" s="553"/>
      <c r="DN34" s="554"/>
      <c r="DO34" s="554"/>
      <c r="DP34" s="554"/>
      <c r="DQ34" s="554"/>
      <c r="DR34" s="554"/>
      <c r="DS34" s="553"/>
      <c r="DT34" s="553"/>
      <c r="DU34" s="553"/>
      <c r="DV34" s="553"/>
      <c r="DW34" s="553"/>
      <c r="DX34" s="553"/>
      <c r="DY34" s="553"/>
      <c r="DZ34" s="553"/>
      <c r="EA34" s="553"/>
      <c r="EB34" s="553"/>
      <c r="EC34" s="553"/>
      <c r="ED34" s="553"/>
      <c r="EE34" s="554"/>
      <c r="EF34" s="554"/>
      <c r="EG34" s="554"/>
      <c r="EH34" s="554"/>
      <c r="EI34" s="554"/>
      <c r="EJ34" s="552"/>
      <c r="EK34" s="552"/>
      <c r="EL34" s="552"/>
      <c r="EM34" s="552"/>
      <c r="EN34" s="552"/>
      <c r="EO34" s="552"/>
      <c r="EP34" s="552"/>
      <c r="EQ34" s="552"/>
      <c r="ER34" s="552"/>
      <c r="ES34" s="552"/>
      <c r="ET34" s="552"/>
      <c r="EU34" s="552"/>
    </row>
    <row r="35">
      <c r="A35" s="598"/>
      <c r="B35" s="552" t="s">
        <v>151</v>
      </c>
      <c r="C35" s="552" t="s">
        <v>152</v>
      </c>
      <c r="D35" s="556"/>
      <c r="E35" s="556"/>
      <c r="F35" s="556"/>
      <c r="G35" s="556"/>
      <c r="H35" s="556"/>
      <c r="I35" s="556"/>
      <c r="J35" s="556"/>
      <c r="K35" s="556"/>
      <c r="L35" s="556"/>
      <c r="M35" s="556"/>
      <c r="N35" s="556"/>
      <c r="O35" s="556"/>
      <c r="P35" s="556"/>
      <c r="Q35" s="556"/>
      <c r="R35" s="556"/>
      <c r="S35" s="556"/>
      <c r="T35" s="557"/>
      <c r="U35" s="558"/>
      <c r="V35" s="558"/>
      <c r="W35" s="558"/>
      <c r="X35" s="558"/>
      <c r="Y35" s="558"/>
      <c r="Z35" s="558"/>
      <c r="AA35" s="558"/>
      <c r="AB35" s="558"/>
      <c r="AC35" s="558"/>
      <c r="AD35" s="558"/>
      <c r="AE35" s="558"/>
      <c r="AF35" s="559"/>
      <c r="AG35" s="560">
        <f t="shared" ref="AG35:AG36" si="94">SUM(U35:W35)</f>
        <v>0</v>
      </c>
      <c r="AH35" s="560">
        <f t="shared" ref="AH35:AH36" si="95">SUM(X35:Z35)</f>
        <v>0</v>
      </c>
      <c r="AI35" s="560">
        <f t="shared" ref="AI35:AI36" si="96">SUM(AA35:AC35)</f>
        <v>0</v>
      </c>
      <c r="AJ35" s="561">
        <f t="shared" ref="AJ35:AJ36" si="97">SUM(AD35:AF35)</f>
        <v>0</v>
      </c>
      <c r="AK35" s="560">
        <f t="shared" ref="AK35:AK36" si="98">SUM(AG35:AJ35)</f>
        <v>0</v>
      </c>
      <c r="AL35" s="562">
        <v>7755.29</v>
      </c>
      <c r="AM35" s="562">
        <v>150586.39</v>
      </c>
      <c r="AN35" s="562">
        <v>7206.0</v>
      </c>
      <c r="AO35" s="562">
        <v>8222.18</v>
      </c>
      <c r="AP35" s="562">
        <v>12128.22</v>
      </c>
      <c r="AQ35" s="562">
        <v>6957.3</v>
      </c>
      <c r="AR35" s="562">
        <v>10829.49</v>
      </c>
      <c r="AS35" s="599">
        <f t="shared" ref="AS35:AU35" si="93">AS8*$AR35/$AR8</f>
        <v>13893.29023</v>
      </c>
      <c r="AT35" s="599">
        <f t="shared" si="93"/>
        <v>11598.7893</v>
      </c>
      <c r="AU35" s="599">
        <f t="shared" si="93"/>
        <v>12118.73534</v>
      </c>
      <c r="AV35" s="562">
        <v>15754.31</v>
      </c>
      <c r="AW35" s="563">
        <v>8713.4</v>
      </c>
      <c r="AX35" s="562">
        <f t="shared" ref="AX35:AX36" si="100">SUM(AL35:AN35)</f>
        <v>165547.68</v>
      </c>
      <c r="AY35" s="562">
        <f t="shared" ref="AY35:AY36" si="101">SUM(AO35:AQ35)</f>
        <v>27307.7</v>
      </c>
      <c r="AZ35" s="562">
        <f t="shared" ref="AZ35:AZ36" si="102">SUM(AR35:AT35)</f>
        <v>36321.56953</v>
      </c>
      <c r="BA35" s="563">
        <f t="shared" ref="BA35:BA36" si="103">SUM(AU35:AW35)</f>
        <v>36586.44534</v>
      </c>
      <c r="BB35" s="562">
        <f t="shared" ref="BB35:BB36" si="104">SUM(AX35:BA35)</f>
        <v>265763.3949</v>
      </c>
      <c r="BC35" s="560">
        <v>7951.6226003374995</v>
      </c>
      <c r="BD35" s="560">
        <v>10530.547121017002</v>
      </c>
      <c r="BE35" s="560">
        <v>7393.348769296</v>
      </c>
      <c r="BF35" s="560">
        <v>9624.1507784</v>
      </c>
      <c r="BG35" s="560">
        <v>8404.947940065</v>
      </c>
      <c r="BH35" s="560">
        <v>8010.9351243152005</v>
      </c>
      <c r="BI35" s="560">
        <v>15304.034024433</v>
      </c>
      <c r="BJ35" s="560">
        <v>16244.76368727</v>
      </c>
      <c r="BK35" s="560">
        <v>24927.1418128656</v>
      </c>
      <c r="BL35" s="560">
        <v>7036.559527199999</v>
      </c>
      <c r="BM35" s="560">
        <v>6227.5792258064</v>
      </c>
      <c r="BN35" s="561">
        <v>27497.4907483506</v>
      </c>
      <c r="BO35" s="560">
        <f t="shared" ref="BO35:BO36" si="105">SUM(BC35:BE35)</f>
        <v>25875.51849</v>
      </c>
      <c r="BP35" s="560">
        <f t="shared" ref="BP35:BP36" si="106">SUM(BF35:BH35)</f>
        <v>26040.03384</v>
      </c>
      <c r="BQ35" s="560">
        <f t="shared" ref="BQ35:BQ36" si="107">SUM(BI35:BK35)</f>
        <v>56475.93952</v>
      </c>
      <c r="BR35" s="561">
        <f t="shared" ref="BR35:BR36" si="108">SUM(BL35:BN35)</f>
        <v>40761.6295</v>
      </c>
      <c r="BS35" s="560">
        <f t="shared" ref="BS35:BS36" si="109">SUM(BO35:BR35)</f>
        <v>149153.1214</v>
      </c>
      <c r="BT35" s="560">
        <v>16439.527648208</v>
      </c>
      <c r="BU35" s="560">
        <v>15602.145874711998</v>
      </c>
      <c r="BV35" s="560">
        <v>18632.0377850608</v>
      </c>
      <c r="BW35" s="560">
        <v>7757.215744665599</v>
      </c>
      <c r="BX35" s="560">
        <v>11362.319942792601</v>
      </c>
      <c r="BY35" s="560">
        <v>24923.740094617</v>
      </c>
      <c r="BZ35" s="560">
        <v>21476.42</v>
      </c>
      <c r="CA35" s="560">
        <v>24287.15</v>
      </c>
      <c r="CB35" s="560">
        <v>18313.7</v>
      </c>
      <c r="CC35" s="600">
        <v>15350.84316</v>
      </c>
      <c r="CD35" s="600">
        <v>22479.5654</v>
      </c>
      <c r="CE35" s="601">
        <v>16605.4811</v>
      </c>
      <c r="CF35" s="565">
        <f t="shared" ref="CF35:CF36" si="110">SUM(BT35:BV35)</f>
        <v>50673.71131</v>
      </c>
      <c r="CG35" s="565">
        <f t="shared" ref="CG35:CG36" si="111">SUM(BW35:BY35)</f>
        <v>44043.27578</v>
      </c>
      <c r="CH35" s="565">
        <f t="shared" ref="CH35:CH36" si="112">SUM(BZ35:CB35)</f>
        <v>64077.27</v>
      </c>
      <c r="CI35" s="566">
        <f t="shared" ref="CI35:CI36" si="113">SUM(CC35:CE35)</f>
        <v>54435.88966</v>
      </c>
      <c r="CJ35" s="565">
        <f t="shared" ref="CJ35:CJ36" si="114">SUM(CF35:CI35)</f>
        <v>213230.1468</v>
      </c>
      <c r="CK35" s="560">
        <v>11305.01382</v>
      </c>
      <c r="CL35" s="560">
        <v>15046.02067</v>
      </c>
      <c r="CM35" s="560">
        <v>10649.30548</v>
      </c>
      <c r="CN35" s="560">
        <v>17193.29324</v>
      </c>
      <c r="CO35" s="560">
        <v>16187.3505</v>
      </c>
      <c r="CP35" s="560">
        <v>14821.79</v>
      </c>
      <c r="CQ35" s="560">
        <v>22006.92</v>
      </c>
      <c r="CR35" s="560">
        <v>18439.69</v>
      </c>
      <c r="CS35" s="560">
        <v>16229.54850363</v>
      </c>
      <c r="CT35" s="560">
        <v>20819.66</v>
      </c>
      <c r="CU35" s="560">
        <v>31067.66</v>
      </c>
      <c r="CV35" s="560">
        <v>75317.13</v>
      </c>
      <c r="CW35" s="565">
        <f t="shared" ref="CW35:CW36" si="115">SUM(CK35:CM35)</f>
        <v>37000.33997</v>
      </c>
      <c r="CX35" s="565">
        <f t="shared" ref="CX35:CX36" si="116">SUM(CN35:CP35)</f>
        <v>48202.43374</v>
      </c>
      <c r="CY35" s="565">
        <f t="shared" ref="CY35:CY36" si="117">SUM(CQ35:CS35)</f>
        <v>56676.1585</v>
      </c>
      <c r="CZ35" s="566">
        <f t="shared" ref="CZ35:CZ36" si="118">SUM(CT35:CV35)</f>
        <v>127204.45</v>
      </c>
      <c r="DA35" s="565">
        <f t="shared" ref="DA35:DA36" si="119">SUM(CW35:CZ35)</f>
        <v>269083.3822</v>
      </c>
      <c r="DB35" s="560">
        <v>19537.82</v>
      </c>
      <c r="DC35" s="560">
        <v>19509.11</v>
      </c>
      <c r="DD35" s="560">
        <v>14990.43</v>
      </c>
      <c r="DE35" s="560">
        <v>19073.78</v>
      </c>
      <c r="DF35" s="560">
        <v>15812.68</v>
      </c>
      <c r="DG35" s="560">
        <v>18237.19</v>
      </c>
      <c r="DH35" s="560">
        <v>6247.06</v>
      </c>
      <c r="DI35" s="560">
        <v>17826.61</v>
      </c>
      <c r="DJ35" s="560">
        <v>11539.0</v>
      </c>
      <c r="DK35" s="560">
        <v>20810.49</v>
      </c>
      <c r="DL35" s="560">
        <v>17455.95</v>
      </c>
      <c r="DM35" s="560">
        <v>21232.15</v>
      </c>
      <c r="DN35" s="565">
        <f t="shared" ref="DN35:DN36" si="120">SUM(DB35:DD35)</f>
        <v>54037.36</v>
      </c>
      <c r="DO35" s="565">
        <f t="shared" ref="DO35:DO36" si="121">SUM(DE35:DG35)</f>
        <v>53123.65</v>
      </c>
      <c r="DP35" s="565">
        <f t="shared" ref="DP35:DP36" si="122">SUM(DH35:DJ35)</f>
        <v>35612.67</v>
      </c>
      <c r="DQ35" s="566">
        <f t="shared" ref="DQ35:DQ36" si="123">SUM(DK35:DM35)</f>
        <v>59498.59</v>
      </c>
      <c r="DR35" s="565">
        <f t="shared" ref="DR35:DR36" si="124">SUM(DN35:DQ35)</f>
        <v>202272.27</v>
      </c>
      <c r="DS35" s="560">
        <v>20184.0</v>
      </c>
      <c r="DT35" s="560">
        <v>29350.0</v>
      </c>
      <c r="DU35" s="560">
        <v>25982.0</v>
      </c>
      <c r="DV35" s="560">
        <v>27459.0</v>
      </c>
      <c r="DW35" s="560">
        <v>8720.0</v>
      </c>
      <c r="DX35" s="560">
        <v>9645.0</v>
      </c>
      <c r="DY35" s="567">
        <v>9854.0</v>
      </c>
      <c r="DZ35" s="567">
        <v>9671.0</v>
      </c>
      <c r="EA35" s="567">
        <v>9690.0</v>
      </c>
      <c r="EB35" s="567">
        <v>9705.0</v>
      </c>
      <c r="EC35" s="567">
        <v>9711.0</v>
      </c>
      <c r="ED35" s="567">
        <v>9811.0</v>
      </c>
      <c r="EE35" s="565">
        <f t="shared" ref="EE35:EE36" si="125">SUM(DS35:DU35)</f>
        <v>75516</v>
      </c>
      <c r="EF35" s="565">
        <f t="shared" ref="EF35:EF36" si="126">SUM(DV35:DX35)</f>
        <v>45824</v>
      </c>
      <c r="EG35" s="565">
        <f t="shared" ref="EG35:EG36" si="127">SUM(DY35:EA35)</f>
        <v>29215</v>
      </c>
      <c r="EH35" s="566">
        <f t="shared" ref="EH35:EH36" si="128">SUM(EB35:ED35)</f>
        <v>29227</v>
      </c>
      <c r="EI35" s="565">
        <f t="shared" ref="EI35:EI36" si="129">SUM(EE35:EH35)</f>
        <v>179782</v>
      </c>
      <c r="EJ35" s="569">
        <f t="shared" ref="EJ35:EJ37" si="130">EE35/DQ35*100-100</f>
        <v>26.92065476</v>
      </c>
      <c r="EK35" s="569">
        <f t="shared" ref="EK35:EK37" si="131">EE35/DN35*100-100</f>
        <v>39.7477597</v>
      </c>
      <c r="EL35" s="569">
        <f t="shared" ref="EL35:EL37" si="132">SUM(EE35)/SUM(DN35)*100-100</f>
        <v>39.7477597</v>
      </c>
      <c r="EM35" s="569">
        <f t="shared" ref="EM35:EM37" si="133">EF35/EE35*100-100</f>
        <v>-39.31881985</v>
      </c>
      <c r="EN35" s="569">
        <f t="shared" ref="EN35:EN37" si="134">EF35/DO35*100-100</f>
        <v>-13.74086683</v>
      </c>
      <c r="EO35" s="569">
        <f t="shared" ref="EO35:EO37" si="135">SUM(EE35:EF35)/SUM(DN35:DO35)*100-100</f>
        <v>13.23148223</v>
      </c>
      <c r="EP35" s="569">
        <f t="shared" ref="EP35:EP37" si="136">EG35/EF35*100-100</f>
        <v>-36.24519902</v>
      </c>
      <c r="EQ35" s="569">
        <f t="shared" ref="EQ35:EQ37" si="137">EG35/DP35*100-100</f>
        <v>-17.96458957</v>
      </c>
      <c r="ER35" s="569">
        <f t="shared" ref="ER35:ER37" si="138">SUM(EE35:EG35)/SUM(DN35:DP35)*100-100</f>
        <v>5.450108171</v>
      </c>
      <c r="ES35" s="571">
        <f t="shared" ref="ES35:ES37" si="139">EH35/EG35*100-100</f>
        <v>0.04107479035</v>
      </c>
      <c r="ET35" s="569">
        <f t="shared" ref="ET35:ET37" si="140">EH35/DQ35*100-100</f>
        <v>-50.87782752</v>
      </c>
      <c r="EU35" s="569">
        <f t="shared" ref="EU35:EU37" si="141">SUM(EE35:EH35)/SUM(DN35:DQ35)*100-100</f>
        <v>-11.1188103</v>
      </c>
    </row>
    <row r="36">
      <c r="A36" s="552"/>
      <c r="B36" s="552" t="s">
        <v>153</v>
      </c>
      <c r="C36" s="572" t="s">
        <v>154</v>
      </c>
      <c r="D36" s="556"/>
      <c r="E36" s="556"/>
      <c r="F36" s="556"/>
      <c r="G36" s="556"/>
      <c r="H36" s="556"/>
      <c r="I36" s="556"/>
      <c r="J36" s="556"/>
      <c r="K36" s="556"/>
      <c r="L36" s="556"/>
      <c r="M36" s="556"/>
      <c r="N36" s="556"/>
      <c r="O36" s="556"/>
      <c r="P36" s="556"/>
      <c r="Q36" s="556"/>
      <c r="R36" s="556"/>
      <c r="S36" s="556"/>
      <c r="T36" s="557"/>
      <c r="U36" s="558"/>
      <c r="V36" s="558"/>
      <c r="W36" s="558"/>
      <c r="X36" s="558"/>
      <c r="Y36" s="558"/>
      <c r="Z36" s="558"/>
      <c r="AA36" s="558"/>
      <c r="AB36" s="558"/>
      <c r="AC36" s="558"/>
      <c r="AD36" s="558"/>
      <c r="AE36" s="558"/>
      <c r="AF36" s="559"/>
      <c r="AG36" s="560">
        <f t="shared" si="94"/>
        <v>0</v>
      </c>
      <c r="AH36" s="560">
        <f t="shared" si="95"/>
        <v>0</v>
      </c>
      <c r="AI36" s="560">
        <f t="shared" si="96"/>
        <v>0</v>
      </c>
      <c r="AJ36" s="561">
        <f t="shared" si="97"/>
        <v>0</v>
      </c>
      <c r="AK36" s="560">
        <f t="shared" si="98"/>
        <v>0</v>
      </c>
      <c r="AL36" s="562">
        <v>24301.75</v>
      </c>
      <c r="AM36" s="562">
        <v>0.0</v>
      </c>
      <c r="AN36" s="562">
        <v>24215.0</v>
      </c>
      <c r="AO36" s="562">
        <v>25960.57</v>
      </c>
      <c r="AP36" s="562">
        <v>22591.87</v>
      </c>
      <c r="AQ36" s="562">
        <v>24470.0</v>
      </c>
      <c r="AR36" s="562">
        <v>28985.83</v>
      </c>
      <c r="AS36" s="599">
        <f t="shared" ref="AS36:AU36" si="99">AS9*$AR36/$AR9</f>
        <v>45083.14941</v>
      </c>
      <c r="AT36" s="599">
        <f t="shared" si="99"/>
        <v>38037.68021</v>
      </c>
      <c r="AU36" s="599">
        <f t="shared" si="99"/>
        <v>36172.86964</v>
      </c>
      <c r="AV36" s="562">
        <v>65235.22</v>
      </c>
      <c r="AW36" s="563">
        <v>5388.0</v>
      </c>
      <c r="AX36" s="562">
        <f t="shared" si="100"/>
        <v>48516.75</v>
      </c>
      <c r="AY36" s="562">
        <f t="shared" si="101"/>
        <v>73022.44</v>
      </c>
      <c r="AZ36" s="562">
        <f t="shared" si="102"/>
        <v>112106.6596</v>
      </c>
      <c r="BA36" s="563">
        <f t="shared" si="103"/>
        <v>106796.0896</v>
      </c>
      <c r="BB36" s="562">
        <f t="shared" si="104"/>
        <v>340441.9393</v>
      </c>
      <c r="BC36" s="560">
        <v>25512.69596729946</v>
      </c>
      <c r="BD36" s="560">
        <v>51569.925797963</v>
      </c>
      <c r="BE36" s="560">
        <v>27901.950306925497</v>
      </c>
      <c r="BF36" s="560">
        <v>33547.8087583121</v>
      </c>
      <c r="BG36" s="560">
        <v>36705.607432313394</v>
      </c>
      <c r="BH36" s="560">
        <v>29755.7471376</v>
      </c>
      <c r="BI36" s="560">
        <v>43612.22813627731</v>
      </c>
      <c r="BJ36" s="560">
        <v>46589.61897140319</v>
      </c>
      <c r="BK36" s="560">
        <v>23352.1783599104</v>
      </c>
      <c r="BL36" s="560">
        <v>15016.775709012</v>
      </c>
      <c r="BM36" s="560">
        <v>9203.929475910401</v>
      </c>
      <c r="BN36" s="561">
        <v>0.0</v>
      </c>
      <c r="BO36" s="560">
        <f t="shared" si="105"/>
        <v>104984.5721</v>
      </c>
      <c r="BP36" s="560">
        <f t="shared" si="106"/>
        <v>100009.1633</v>
      </c>
      <c r="BQ36" s="560">
        <f t="shared" si="107"/>
        <v>113554.0255</v>
      </c>
      <c r="BR36" s="561">
        <f t="shared" si="108"/>
        <v>24220.70518</v>
      </c>
      <c r="BS36" s="560">
        <f t="shared" si="109"/>
        <v>342768.4661</v>
      </c>
      <c r="BT36" s="560">
        <v>0.0</v>
      </c>
      <c r="BU36" s="560">
        <v>0.0</v>
      </c>
      <c r="BV36" s="560">
        <v>0.0</v>
      </c>
      <c r="BW36" s="560">
        <v>0.0</v>
      </c>
      <c r="BX36" s="560">
        <v>0.0</v>
      </c>
      <c r="BY36" s="560">
        <v>0.0</v>
      </c>
      <c r="BZ36" s="560">
        <v>0.0</v>
      </c>
      <c r="CA36" s="560">
        <v>0.0</v>
      </c>
      <c r="CB36" s="560">
        <v>0.0</v>
      </c>
      <c r="CC36" s="558"/>
      <c r="CD36" s="558"/>
      <c r="CE36" s="559"/>
      <c r="CF36" s="565">
        <f t="shared" si="110"/>
        <v>0</v>
      </c>
      <c r="CG36" s="565">
        <f t="shared" si="111"/>
        <v>0</v>
      </c>
      <c r="CH36" s="565">
        <f t="shared" si="112"/>
        <v>0</v>
      </c>
      <c r="CI36" s="566">
        <f t="shared" si="113"/>
        <v>0</v>
      </c>
      <c r="CJ36" s="565">
        <f t="shared" si="114"/>
        <v>0</v>
      </c>
      <c r="CK36" s="560">
        <v>32124.31221</v>
      </c>
      <c r="CL36" s="560">
        <v>31948.96201</v>
      </c>
      <c r="CM36" s="560">
        <v>28800.78705</v>
      </c>
      <c r="CN36" s="560">
        <v>31750.87994</v>
      </c>
      <c r="CO36" s="560">
        <v>36180.52474</v>
      </c>
      <c r="CP36" s="560">
        <v>39256.25</v>
      </c>
      <c r="CQ36" s="560">
        <v>44221.07</v>
      </c>
      <c r="CR36" s="560">
        <v>41512.36</v>
      </c>
      <c r="CS36" s="560">
        <v>42547.713214</v>
      </c>
      <c r="CT36" s="560">
        <v>63056.57</v>
      </c>
      <c r="CU36" s="560">
        <v>32386.64</v>
      </c>
      <c r="CV36" s="561">
        <v>33162.75</v>
      </c>
      <c r="CW36" s="565">
        <f t="shared" si="115"/>
        <v>92874.06127</v>
      </c>
      <c r="CX36" s="565">
        <f t="shared" si="116"/>
        <v>107187.6547</v>
      </c>
      <c r="CY36" s="565">
        <f t="shared" si="117"/>
        <v>128281.1432</v>
      </c>
      <c r="CZ36" s="566">
        <f t="shared" si="118"/>
        <v>128605.96</v>
      </c>
      <c r="DA36" s="565">
        <f t="shared" si="119"/>
        <v>456948.8192</v>
      </c>
      <c r="DB36" s="560">
        <v>16705.88</v>
      </c>
      <c r="DC36" s="560">
        <v>6162.66</v>
      </c>
      <c r="DD36" s="560">
        <v>14189.99</v>
      </c>
      <c r="DE36" s="560">
        <v>13387.88</v>
      </c>
      <c r="DF36" s="560">
        <v>7105.1</v>
      </c>
      <c r="DG36" s="560">
        <v>3552.11</v>
      </c>
      <c r="DH36" s="560">
        <v>1301.94</v>
      </c>
      <c r="DI36" s="560">
        <v>5123.56</v>
      </c>
      <c r="DJ36" s="560">
        <v>2380.57</v>
      </c>
      <c r="DK36" s="560">
        <v>4300.21</v>
      </c>
      <c r="DL36" s="560">
        <v>6293.62</v>
      </c>
      <c r="DM36" s="561">
        <v>24547.19</v>
      </c>
      <c r="DN36" s="565">
        <f t="shared" si="120"/>
        <v>37058.53</v>
      </c>
      <c r="DO36" s="565">
        <f t="shared" si="121"/>
        <v>24045.09</v>
      </c>
      <c r="DP36" s="565">
        <f t="shared" si="122"/>
        <v>8806.07</v>
      </c>
      <c r="DQ36" s="566">
        <f t="shared" si="123"/>
        <v>35141.02</v>
      </c>
      <c r="DR36" s="565">
        <f t="shared" si="124"/>
        <v>105050.71</v>
      </c>
      <c r="DS36" s="560">
        <v>21751.01</v>
      </c>
      <c r="DT36" s="560">
        <v>40498.21</v>
      </c>
      <c r="DU36" s="560">
        <v>37348.86</v>
      </c>
      <c r="DV36" s="560">
        <v>38442.47</v>
      </c>
      <c r="DW36" s="560">
        <v>32009.74</v>
      </c>
      <c r="DX36" s="560">
        <v>30125.33</v>
      </c>
      <c r="DY36" s="567">
        <v>34632.22</v>
      </c>
      <c r="DZ36" s="567">
        <v>32415.88</v>
      </c>
      <c r="EA36" s="567">
        <v>33718.91</v>
      </c>
      <c r="EB36" s="567">
        <v>34123.1</v>
      </c>
      <c r="EC36" s="567">
        <v>33956.4</v>
      </c>
      <c r="ED36" s="568">
        <v>34056.44</v>
      </c>
      <c r="EE36" s="565">
        <f t="shared" si="125"/>
        <v>99598.08</v>
      </c>
      <c r="EF36" s="565">
        <f t="shared" si="126"/>
        <v>100577.54</v>
      </c>
      <c r="EG36" s="565">
        <f t="shared" si="127"/>
        <v>100767.01</v>
      </c>
      <c r="EH36" s="566">
        <f t="shared" si="128"/>
        <v>102135.94</v>
      </c>
      <c r="EI36" s="565">
        <f t="shared" si="129"/>
        <v>403078.57</v>
      </c>
      <c r="EJ36" s="569">
        <f t="shared" si="130"/>
        <v>183.4239871</v>
      </c>
      <c r="EK36" s="569">
        <f t="shared" si="131"/>
        <v>168.7588526</v>
      </c>
      <c r="EL36" s="569">
        <f t="shared" si="132"/>
        <v>168.7588526</v>
      </c>
      <c r="EM36" s="569">
        <f t="shared" si="133"/>
        <v>0.9834125316</v>
      </c>
      <c r="EN36" s="569">
        <f t="shared" si="134"/>
        <v>318.2872262</v>
      </c>
      <c r="EO36" s="569">
        <f t="shared" si="135"/>
        <v>227.6002633</v>
      </c>
      <c r="EP36" s="569">
        <f t="shared" si="136"/>
        <v>0.1883820185</v>
      </c>
      <c r="EQ36" s="569">
        <f t="shared" si="137"/>
        <v>1044.290359</v>
      </c>
      <c r="ER36" s="569">
        <f t="shared" si="138"/>
        <v>330.4734151</v>
      </c>
      <c r="ES36" s="571">
        <f t="shared" si="139"/>
        <v>1.358510092</v>
      </c>
      <c r="ET36" s="569">
        <f t="shared" si="140"/>
        <v>190.6459175</v>
      </c>
      <c r="EU36" s="569">
        <f t="shared" si="141"/>
        <v>283.699044</v>
      </c>
    </row>
    <row r="37">
      <c r="A37" s="552"/>
      <c r="B37" s="552"/>
      <c r="C37" s="552"/>
      <c r="D37" s="556"/>
      <c r="E37" s="556"/>
      <c r="F37" s="556"/>
      <c r="G37" s="556"/>
      <c r="H37" s="556"/>
      <c r="I37" s="556"/>
      <c r="J37" s="556"/>
      <c r="K37" s="556"/>
      <c r="L37" s="556"/>
      <c r="M37" s="556"/>
      <c r="N37" s="556"/>
      <c r="O37" s="556"/>
      <c r="P37" s="556"/>
      <c r="Q37" s="556"/>
      <c r="R37" s="556"/>
      <c r="S37" s="556"/>
      <c r="T37" s="556"/>
      <c r="U37" s="556"/>
      <c r="V37" s="556"/>
      <c r="W37" s="556"/>
      <c r="X37" s="556"/>
      <c r="Y37" s="556"/>
      <c r="Z37" s="556"/>
      <c r="AA37" s="556"/>
      <c r="AB37" s="556"/>
      <c r="AC37" s="556"/>
      <c r="AD37" s="556"/>
      <c r="AE37" s="556"/>
      <c r="AF37" s="573"/>
      <c r="AG37" s="556"/>
      <c r="AH37" s="556"/>
      <c r="AI37" s="556"/>
      <c r="AJ37" s="573"/>
      <c r="AK37" s="556"/>
      <c r="AL37" s="497"/>
      <c r="AM37" s="497"/>
      <c r="AN37" s="497"/>
      <c r="AO37" s="497"/>
      <c r="AP37" s="497"/>
      <c r="AQ37" s="497"/>
      <c r="AR37" s="497"/>
      <c r="AS37" s="497"/>
      <c r="AT37" s="497"/>
      <c r="AU37" s="497"/>
      <c r="AV37" s="497"/>
      <c r="AW37" s="574"/>
      <c r="AX37" s="497"/>
      <c r="AY37" s="497"/>
      <c r="AZ37" s="497"/>
      <c r="BA37" s="574"/>
      <c r="BB37" s="497"/>
      <c r="BC37" s="556"/>
      <c r="BD37" s="556"/>
      <c r="BE37" s="556"/>
      <c r="BF37" s="556"/>
      <c r="BG37" s="556"/>
      <c r="BH37" s="556"/>
      <c r="BI37" s="556"/>
      <c r="BJ37" s="556"/>
      <c r="BK37" s="556"/>
      <c r="BL37" s="556"/>
      <c r="BM37" s="556"/>
      <c r="BN37" s="573"/>
      <c r="BO37" s="556"/>
      <c r="BP37" s="556"/>
      <c r="BQ37" s="556"/>
      <c r="BR37" s="573"/>
      <c r="BS37" s="556"/>
      <c r="BT37" s="556"/>
      <c r="BU37" s="556"/>
      <c r="BV37" s="556"/>
      <c r="BW37" s="556"/>
      <c r="BX37" s="556"/>
      <c r="BY37" s="556"/>
      <c r="BZ37" s="556"/>
      <c r="CA37" s="556"/>
      <c r="CB37" s="556"/>
      <c r="CC37" s="556"/>
      <c r="CD37" s="556"/>
      <c r="CE37" s="573"/>
      <c r="CF37" s="602">
        <f t="shared" ref="CF37:DA37" si="142">CF35+CF36</f>
        <v>50673.71131</v>
      </c>
      <c r="CG37" s="602">
        <f t="shared" si="142"/>
        <v>44043.27578</v>
      </c>
      <c r="CH37" s="602">
        <f t="shared" si="142"/>
        <v>64077.27</v>
      </c>
      <c r="CI37" s="602">
        <f t="shared" si="142"/>
        <v>54435.88966</v>
      </c>
      <c r="CJ37" s="602">
        <f t="shared" si="142"/>
        <v>213230.1468</v>
      </c>
      <c r="CK37" s="602">
        <f t="shared" si="142"/>
        <v>43429.32603</v>
      </c>
      <c r="CL37" s="602">
        <f t="shared" si="142"/>
        <v>46994.98268</v>
      </c>
      <c r="CM37" s="602">
        <f t="shared" si="142"/>
        <v>39450.09253</v>
      </c>
      <c r="CN37" s="602">
        <f t="shared" si="142"/>
        <v>48944.17318</v>
      </c>
      <c r="CO37" s="602">
        <f t="shared" si="142"/>
        <v>52367.87524</v>
      </c>
      <c r="CP37" s="602">
        <f t="shared" si="142"/>
        <v>54078.04</v>
      </c>
      <c r="CQ37" s="602">
        <f t="shared" si="142"/>
        <v>66227.99</v>
      </c>
      <c r="CR37" s="602">
        <f t="shared" si="142"/>
        <v>59952.05</v>
      </c>
      <c r="CS37" s="602">
        <f t="shared" si="142"/>
        <v>58777.26172</v>
      </c>
      <c r="CT37" s="602">
        <f t="shared" si="142"/>
        <v>83876.23</v>
      </c>
      <c r="CU37" s="602">
        <f t="shared" si="142"/>
        <v>63454.3</v>
      </c>
      <c r="CV37" s="602">
        <f t="shared" si="142"/>
        <v>108479.88</v>
      </c>
      <c r="CW37" s="575">
        <f t="shared" si="142"/>
        <v>129874.4012</v>
      </c>
      <c r="CX37" s="575">
        <f t="shared" si="142"/>
        <v>155390.0884</v>
      </c>
      <c r="CY37" s="575">
        <f t="shared" si="142"/>
        <v>184957.3017</v>
      </c>
      <c r="CZ37" s="575">
        <f t="shared" si="142"/>
        <v>255810.41</v>
      </c>
      <c r="DA37" s="575">
        <f t="shared" si="142"/>
        <v>726032.2014</v>
      </c>
      <c r="DB37" s="556"/>
      <c r="DC37" s="556"/>
      <c r="DD37" s="556"/>
      <c r="DE37" s="556"/>
      <c r="DF37" s="556"/>
      <c r="DG37" s="556"/>
      <c r="DH37" s="556"/>
      <c r="DI37" s="556"/>
      <c r="DJ37" s="556"/>
      <c r="DK37" s="556"/>
      <c r="DL37" s="556"/>
      <c r="DM37" s="556"/>
      <c r="DN37" s="575">
        <f t="shared" ref="DN37:DR37" si="143">DN35+DN36</f>
        <v>91095.89</v>
      </c>
      <c r="DO37" s="575">
        <f t="shared" si="143"/>
        <v>77168.74</v>
      </c>
      <c r="DP37" s="575">
        <f t="shared" si="143"/>
        <v>44418.74</v>
      </c>
      <c r="DQ37" s="575">
        <f t="shared" si="143"/>
        <v>94639.61</v>
      </c>
      <c r="DR37" s="575">
        <f t="shared" si="143"/>
        <v>307322.98</v>
      </c>
      <c r="DS37" s="556"/>
      <c r="DT37" s="556"/>
      <c r="DU37" s="556"/>
      <c r="DV37" s="556"/>
      <c r="DW37" s="556"/>
      <c r="DX37" s="556"/>
      <c r="DY37" s="556"/>
      <c r="DZ37" s="556"/>
      <c r="EA37" s="556"/>
      <c r="EB37" s="556"/>
      <c r="EC37" s="556"/>
      <c r="ED37" s="556"/>
      <c r="EE37" s="575">
        <f t="shared" ref="EE37:EI37" si="144">EE35+EE36</f>
        <v>175114.08</v>
      </c>
      <c r="EF37" s="575">
        <f t="shared" si="144"/>
        <v>146401.54</v>
      </c>
      <c r="EG37" s="575">
        <f t="shared" si="144"/>
        <v>129982.01</v>
      </c>
      <c r="EH37" s="575">
        <f t="shared" si="144"/>
        <v>131362.94</v>
      </c>
      <c r="EI37" s="575">
        <f t="shared" si="144"/>
        <v>582860.57</v>
      </c>
      <c r="EJ37" s="569">
        <f t="shared" si="130"/>
        <v>85.0325461</v>
      </c>
      <c r="EK37" s="569">
        <f t="shared" si="131"/>
        <v>92.2304947</v>
      </c>
      <c r="EL37" s="569">
        <f t="shared" si="132"/>
        <v>92.2304947</v>
      </c>
      <c r="EM37" s="569">
        <f t="shared" si="133"/>
        <v>-16.39647709</v>
      </c>
      <c r="EN37" s="569">
        <f t="shared" si="134"/>
        <v>89.7161208</v>
      </c>
      <c r="EO37" s="569">
        <f t="shared" si="135"/>
        <v>91.07736427</v>
      </c>
      <c r="EP37" s="569">
        <f t="shared" si="136"/>
        <v>-11.21540798</v>
      </c>
      <c r="EQ37" s="569">
        <f t="shared" si="137"/>
        <v>192.6287643</v>
      </c>
      <c r="ER37" s="569">
        <f t="shared" si="138"/>
        <v>112.2862874</v>
      </c>
      <c r="ES37" s="571">
        <f t="shared" si="139"/>
        <v>1.062400866</v>
      </c>
      <c r="ET37" s="569">
        <f t="shared" si="140"/>
        <v>38.80334038</v>
      </c>
      <c r="EU37" s="569">
        <f t="shared" si="141"/>
        <v>89.65733379</v>
      </c>
    </row>
    <row r="38" hidden="1">
      <c r="A38" s="552"/>
      <c r="B38" s="552" t="s">
        <v>156</v>
      </c>
      <c r="C38" s="552"/>
      <c r="D38" s="556"/>
      <c r="E38" s="556"/>
      <c r="F38" s="556"/>
      <c r="G38" s="556"/>
      <c r="H38" s="556"/>
      <c r="I38" s="556"/>
      <c r="J38" s="556"/>
      <c r="K38" s="556"/>
      <c r="L38" s="556"/>
      <c r="M38" s="556"/>
      <c r="N38" s="556"/>
      <c r="O38" s="556"/>
      <c r="P38" s="556"/>
      <c r="Q38" s="556"/>
      <c r="R38" s="556"/>
      <c r="S38" s="556"/>
      <c r="T38" s="556"/>
      <c r="U38" s="556"/>
      <c r="V38" s="556"/>
      <c r="W38" s="556"/>
      <c r="X38" s="556"/>
      <c r="Y38" s="556"/>
      <c r="Z38" s="556"/>
      <c r="AA38" s="556"/>
      <c r="AB38" s="556"/>
      <c r="AC38" s="556"/>
      <c r="AD38" s="556"/>
      <c r="AE38" s="556"/>
      <c r="AF38" s="556"/>
      <c r="AG38" s="556"/>
      <c r="AH38" s="556"/>
      <c r="AI38" s="556"/>
      <c r="AJ38" s="556"/>
      <c r="AK38" s="556"/>
      <c r="AL38" s="556"/>
      <c r="AM38" s="556"/>
      <c r="AN38" s="556"/>
      <c r="AO38" s="556"/>
      <c r="AP38" s="556"/>
      <c r="AQ38" s="556"/>
      <c r="AR38" s="556"/>
      <c r="AS38" s="556"/>
      <c r="AT38" s="556"/>
      <c r="AU38" s="556"/>
      <c r="AV38" s="556"/>
      <c r="AW38" s="556"/>
      <c r="AX38" s="556"/>
      <c r="AY38" s="556"/>
      <c r="AZ38" s="556"/>
      <c r="BA38" s="556"/>
      <c r="BB38" s="556"/>
      <c r="BC38" s="556"/>
      <c r="BD38" s="556"/>
      <c r="BE38" s="556"/>
      <c r="BF38" s="556"/>
      <c r="BG38" s="556"/>
      <c r="BH38" s="556"/>
      <c r="BI38" s="556"/>
      <c r="BJ38" s="556"/>
      <c r="BK38" s="556"/>
      <c r="BL38" s="556"/>
      <c r="BM38" s="556"/>
      <c r="BN38" s="573"/>
      <c r="BO38" s="556"/>
      <c r="BP38" s="556"/>
      <c r="BQ38" s="556"/>
      <c r="BR38" s="573"/>
      <c r="BS38" s="556"/>
      <c r="BT38" s="556"/>
      <c r="BU38" s="556"/>
      <c r="BV38" s="556"/>
      <c r="BW38" s="556"/>
      <c r="BX38" s="556"/>
      <c r="BY38" s="556"/>
      <c r="BZ38" s="556"/>
      <c r="CA38" s="556"/>
      <c r="CB38" s="556"/>
      <c r="CC38" s="556"/>
      <c r="CD38" s="556"/>
      <c r="CE38" s="573"/>
      <c r="CF38" s="556"/>
      <c r="CG38" s="556"/>
      <c r="CH38" s="556"/>
      <c r="CI38" s="573"/>
      <c r="CJ38" s="556"/>
      <c r="CK38" s="556"/>
      <c r="CL38" s="556"/>
      <c r="CM38" s="602">
        <f>CM37+CL37+CK37</f>
        <v>129874.4012</v>
      </c>
      <c r="CN38" s="556"/>
      <c r="CO38" s="556"/>
      <c r="CP38" s="602">
        <f>CP37+CO37+CN37</f>
        <v>155390.0884</v>
      </c>
      <c r="CQ38" s="556"/>
      <c r="CR38" s="556"/>
      <c r="CS38" s="602">
        <f>CS37+CR37+CQ37</f>
        <v>184957.3017</v>
      </c>
      <c r="CT38" s="556"/>
      <c r="CU38" s="556"/>
      <c r="CV38" s="602">
        <f>CV37+CU37+CT37</f>
        <v>255810.41</v>
      </c>
      <c r="CW38" s="556"/>
      <c r="CX38" s="603">
        <f>CX37/CW37*100-100</f>
        <v>19.64643297</v>
      </c>
      <c r="CY38" s="556" t="s">
        <v>170</v>
      </c>
      <c r="CZ38" s="573"/>
      <c r="DA38" s="556"/>
      <c r="DB38" s="556"/>
      <c r="DC38" s="556"/>
      <c r="DD38" s="602">
        <f>DD37+DC37+DB37</f>
        <v>0</v>
      </c>
      <c r="DE38" s="556"/>
      <c r="DF38" s="556"/>
      <c r="DG38" s="602">
        <f>DG37+DF37+DE37</f>
        <v>0</v>
      </c>
      <c r="DH38" s="556"/>
      <c r="DI38" s="556"/>
      <c r="DJ38" s="602">
        <f>DJ37+DI37+DH37</f>
        <v>0</v>
      </c>
      <c r="DK38" s="556"/>
      <c r="DL38" s="556"/>
      <c r="DM38" s="602">
        <f>DM37+DL37+DK37</f>
        <v>0</v>
      </c>
      <c r="DN38" s="556"/>
      <c r="DO38" s="551">
        <f t="shared" ref="DO38:DQ38" si="145">DO37/DN37*100-100</f>
        <v>-15.28845044</v>
      </c>
      <c r="DP38" s="551">
        <f t="shared" si="145"/>
        <v>-42.43946448</v>
      </c>
      <c r="DQ38" s="551">
        <f t="shared" si="145"/>
        <v>113.0623471</v>
      </c>
      <c r="DR38" s="556" t="s">
        <v>171</v>
      </c>
      <c r="DS38" s="556"/>
      <c r="DT38" s="556"/>
      <c r="DU38" s="602">
        <f>DU37+DT37+DS37</f>
        <v>0</v>
      </c>
      <c r="DV38" s="556"/>
      <c r="DW38" s="556"/>
      <c r="DX38" s="602">
        <f>DX37+DW37+DV37</f>
        <v>0</v>
      </c>
      <c r="DY38" s="556"/>
      <c r="DZ38" s="556"/>
      <c r="EA38" s="602">
        <f>EA37+DZ37+DY37</f>
        <v>0</v>
      </c>
      <c r="EB38" s="556"/>
      <c r="EC38" s="556"/>
      <c r="ED38" s="602">
        <f>ED37+EC37+EB37</f>
        <v>0</v>
      </c>
      <c r="EE38" s="556"/>
      <c r="EF38" s="551">
        <f t="shared" ref="EF38:EH38" si="146">EF37/EE37*100-100</f>
        <v>-16.39647709</v>
      </c>
      <c r="EG38" s="551">
        <f t="shared" si="146"/>
        <v>-11.21540798</v>
      </c>
      <c r="EH38" s="576">
        <f t="shared" si="146"/>
        <v>1.062400866</v>
      </c>
      <c r="EI38" s="556" t="s">
        <v>171</v>
      </c>
      <c r="EJ38" s="574"/>
      <c r="EK38" s="574"/>
      <c r="EL38" s="552"/>
      <c r="EM38" s="552"/>
      <c r="EN38" s="552"/>
      <c r="EO38" s="552"/>
      <c r="EP38" s="552"/>
      <c r="EQ38" s="552"/>
      <c r="ER38" s="552"/>
      <c r="ES38" s="552"/>
      <c r="ET38" s="552"/>
      <c r="EU38" s="552"/>
    </row>
    <row r="39" hidden="1">
      <c r="A39" s="577">
        <v>7410.0</v>
      </c>
      <c r="B39" s="552" t="s">
        <v>157</v>
      </c>
      <c r="C39" s="552" t="s">
        <v>158</v>
      </c>
      <c r="D39" s="556"/>
      <c r="E39" s="556"/>
      <c r="F39" s="556"/>
      <c r="G39" s="556"/>
      <c r="H39" s="556"/>
      <c r="I39" s="556"/>
      <c r="J39" s="556"/>
      <c r="K39" s="556"/>
      <c r="L39" s="556"/>
      <c r="M39" s="556"/>
      <c r="N39" s="556"/>
      <c r="O39" s="556"/>
      <c r="P39" s="556"/>
      <c r="Q39" s="556"/>
      <c r="R39" s="556"/>
      <c r="S39" s="556"/>
      <c r="T39" s="556"/>
      <c r="U39" s="556"/>
      <c r="V39" s="556"/>
      <c r="W39" s="556"/>
      <c r="X39" s="556"/>
      <c r="Y39" s="556"/>
      <c r="Z39" s="556"/>
      <c r="AA39" s="556"/>
      <c r="AB39" s="556"/>
      <c r="AC39" s="556"/>
      <c r="AD39" s="556"/>
      <c r="AE39" s="556"/>
      <c r="AF39" s="556"/>
      <c r="AG39" s="556"/>
      <c r="AH39" s="556"/>
      <c r="AI39" s="556"/>
      <c r="AJ39" s="556"/>
      <c r="AK39" s="556"/>
      <c r="AL39" s="556"/>
      <c r="AM39" s="556"/>
      <c r="AN39" s="556"/>
      <c r="AO39" s="556"/>
      <c r="AP39" s="556"/>
      <c r="AQ39" s="556"/>
      <c r="AR39" s="556"/>
      <c r="AS39" s="556"/>
      <c r="AT39" s="556"/>
      <c r="AU39" s="556"/>
      <c r="AV39" s="556"/>
      <c r="AW39" s="556"/>
      <c r="AX39" s="556"/>
      <c r="AY39" s="556"/>
      <c r="AZ39" s="556"/>
      <c r="BA39" s="556"/>
      <c r="BB39" s="556"/>
      <c r="BC39" s="556"/>
      <c r="BD39" s="556"/>
      <c r="BE39" s="556"/>
      <c r="BF39" s="556"/>
      <c r="BG39" s="556"/>
      <c r="BH39" s="556"/>
      <c r="BI39" s="556"/>
      <c r="BJ39" s="556"/>
      <c r="BK39" s="556"/>
      <c r="BL39" s="556"/>
      <c r="BM39" s="556"/>
      <c r="BN39" s="573"/>
      <c r="BO39" s="556"/>
      <c r="BP39" s="556"/>
      <c r="BQ39" s="556"/>
      <c r="BR39" s="573"/>
      <c r="BS39" s="556"/>
      <c r="BT39" s="556"/>
      <c r="BU39" s="556"/>
      <c r="BV39" s="556"/>
      <c r="BW39" s="556"/>
      <c r="BX39" s="556"/>
      <c r="BY39" s="556"/>
      <c r="BZ39" s="556"/>
      <c r="CA39" s="556"/>
      <c r="CB39" s="556"/>
      <c r="CC39" s="556"/>
      <c r="CD39" s="556"/>
      <c r="CE39" s="573"/>
      <c r="CF39" s="556"/>
      <c r="CG39" s="556"/>
      <c r="CH39" s="556"/>
      <c r="CI39" s="551">
        <f>1500750000000/1000000</f>
        <v>1500750</v>
      </c>
      <c r="CJ39" s="556"/>
      <c r="CK39" s="556"/>
      <c r="CL39" s="556"/>
      <c r="CM39" s="556"/>
      <c r="CN39" s="556"/>
      <c r="CO39" s="556"/>
      <c r="CP39" s="595">
        <f>CP38/CM38*100-100</f>
        <v>19.64643297</v>
      </c>
      <c r="CQ39" s="556"/>
      <c r="CR39" s="556"/>
      <c r="CS39" s="556"/>
      <c r="CT39" s="556"/>
      <c r="CU39" s="604" t="s">
        <v>172</v>
      </c>
      <c r="CV39" s="605">
        <f>CV38/CS38*100-100</f>
        <v>38.30781895</v>
      </c>
      <c r="CW39" s="575">
        <f>1226700000000/1000000</f>
        <v>1226700</v>
      </c>
      <c r="CX39" s="551">
        <f>CX37/CG35*100-100</f>
        <v>252.8122867</v>
      </c>
      <c r="CY39" s="556"/>
      <c r="CZ39" s="573"/>
      <c r="DA39" s="582"/>
      <c r="DB39" s="556"/>
      <c r="DC39" s="556"/>
      <c r="DD39" s="556"/>
      <c r="DE39" s="556"/>
      <c r="DF39" s="556"/>
      <c r="DG39" s="573"/>
      <c r="DH39" s="556"/>
      <c r="DI39" s="556"/>
      <c r="DJ39" s="556"/>
      <c r="DK39" s="556"/>
      <c r="DL39" s="604"/>
      <c r="DM39" s="606"/>
      <c r="DN39" s="551">
        <f t="shared" ref="DN39:DQ39" si="147">DN37/CW37*100-100</f>
        <v>-29.85847162</v>
      </c>
      <c r="DO39" s="551">
        <f t="shared" si="147"/>
        <v>-50.3386987</v>
      </c>
      <c r="DP39" s="551">
        <f t="shared" si="147"/>
        <v>-75.98432742</v>
      </c>
      <c r="DQ39" s="551">
        <f t="shared" si="147"/>
        <v>-63.00400363</v>
      </c>
      <c r="DR39" s="582"/>
      <c r="DS39" s="556"/>
      <c r="DT39" s="556"/>
      <c r="DU39" s="556"/>
      <c r="DV39" s="556"/>
      <c r="DW39" s="556"/>
      <c r="DX39" s="573"/>
      <c r="DY39" s="556"/>
      <c r="DZ39" s="556"/>
      <c r="EA39" s="556"/>
      <c r="EB39" s="556"/>
      <c r="EC39" s="604"/>
      <c r="ED39" s="606"/>
      <c r="EE39" s="551">
        <f t="shared" ref="EE39:EH39" si="148">EE37/DN37*100-100</f>
        <v>92.2304947</v>
      </c>
      <c r="EF39" s="551">
        <f t="shared" si="148"/>
        <v>89.7161208</v>
      </c>
      <c r="EG39" s="551">
        <f t="shared" si="148"/>
        <v>192.6287643</v>
      </c>
      <c r="EH39" s="551">
        <f t="shared" si="148"/>
        <v>38.80334038</v>
      </c>
      <c r="EI39" s="582"/>
      <c r="EJ39" s="574"/>
      <c r="EK39" s="569">
        <f>CI39/CI12</f>
        <v>13.05</v>
      </c>
      <c r="EL39" s="577">
        <f>CW39/CW12</f>
        <v>13.05</v>
      </c>
      <c r="EM39" s="552"/>
      <c r="EN39" s="552"/>
      <c r="EO39" s="552"/>
      <c r="EP39" s="552"/>
      <c r="EQ39" s="552"/>
      <c r="ER39" s="552"/>
      <c r="ES39" s="552"/>
      <c r="ET39" s="552"/>
      <c r="EU39" s="552"/>
    </row>
    <row r="40" hidden="1">
      <c r="A40" s="577">
        <v>7405.0</v>
      </c>
      <c r="B40" s="552" t="s">
        <v>159</v>
      </c>
      <c r="C40" s="552" t="s">
        <v>158</v>
      </c>
      <c r="D40" s="556"/>
      <c r="E40" s="556"/>
      <c r="F40" s="556"/>
      <c r="G40" s="556"/>
      <c r="H40" s="556"/>
      <c r="I40" s="556"/>
      <c r="J40" s="556"/>
      <c r="K40" s="556"/>
      <c r="L40" s="556"/>
      <c r="M40" s="556"/>
      <c r="N40" s="556"/>
      <c r="O40" s="556"/>
      <c r="P40" s="556"/>
      <c r="Q40" s="556"/>
      <c r="R40" s="556"/>
      <c r="S40" s="556"/>
      <c r="T40" s="556"/>
      <c r="U40" s="556"/>
      <c r="V40" s="556"/>
      <c r="W40" s="556"/>
      <c r="X40" s="556"/>
      <c r="Y40" s="556"/>
      <c r="Z40" s="556"/>
      <c r="AA40" s="556"/>
      <c r="AB40" s="556"/>
      <c r="AC40" s="556"/>
      <c r="AD40" s="556"/>
      <c r="AE40" s="556"/>
      <c r="AF40" s="556"/>
      <c r="AG40" s="556"/>
      <c r="AH40" s="556"/>
      <c r="AI40" s="556"/>
      <c r="AJ40" s="556"/>
      <c r="AK40" s="556"/>
      <c r="AL40" s="556"/>
      <c r="AM40" s="556"/>
      <c r="AN40" s="556"/>
      <c r="AO40" s="556"/>
      <c r="AP40" s="556"/>
      <c r="AQ40" s="556"/>
      <c r="AR40" s="556"/>
      <c r="AS40" s="556"/>
      <c r="AT40" s="556"/>
      <c r="AU40" s="556"/>
      <c r="AV40" s="556"/>
      <c r="AW40" s="556"/>
      <c r="AX40" s="556"/>
      <c r="AY40" s="556"/>
      <c r="AZ40" s="556"/>
      <c r="BA40" s="556"/>
      <c r="BB40" s="556"/>
      <c r="BC40" s="556"/>
      <c r="BD40" s="556"/>
      <c r="BE40" s="556"/>
      <c r="BF40" s="556"/>
      <c r="BG40" s="556"/>
      <c r="BH40" s="556"/>
      <c r="BI40" s="556"/>
      <c r="BJ40" s="556"/>
      <c r="BK40" s="556"/>
      <c r="BL40" s="556"/>
      <c r="BM40" s="556"/>
      <c r="BN40" s="573"/>
      <c r="BO40" s="556"/>
      <c r="BP40" s="556"/>
      <c r="BQ40" s="556"/>
      <c r="BR40" s="573"/>
      <c r="BS40" s="556"/>
      <c r="BT40" s="556"/>
      <c r="BU40" s="556"/>
      <c r="BV40" s="556"/>
      <c r="BW40" s="556"/>
      <c r="BX40" s="556"/>
      <c r="BY40" s="556"/>
      <c r="BZ40" s="556"/>
      <c r="CA40" s="556"/>
      <c r="CB40" s="556"/>
      <c r="CC40" s="556"/>
      <c r="CD40" s="556"/>
      <c r="CE40" s="573"/>
      <c r="CF40" s="556"/>
      <c r="CG40" s="556"/>
      <c r="CH40" s="556"/>
      <c r="CI40" s="573"/>
      <c r="CJ40" s="556"/>
      <c r="CK40" s="556"/>
      <c r="CL40" s="556"/>
      <c r="CM40" s="556"/>
      <c r="CN40" s="556"/>
      <c r="CO40" s="556"/>
      <c r="CP40" s="607" t="s">
        <v>173</v>
      </c>
      <c r="CQ40" s="556"/>
      <c r="CR40" s="556"/>
      <c r="CS40" s="556"/>
      <c r="CT40" s="556"/>
      <c r="CU40" s="556"/>
      <c r="CV40" s="573"/>
      <c r="CW40" s="575">
        <v>2.97E8</v>
      </c>
      <c r="CX40" s="575">
        <v>3.631E8</v>
      </c>
      <c r="CY40" s="575">
        <v>263187.0</v>
      </c>
      <c r="CZ40" s="608">
        <v>467621.0</v>
      </c>
      <c r="DA40" s="565">
        <f t="shared" ref="DA40:DA41" si="149">SUM(CW40:CZ40)</f>
        <v>660830808</v>
      </c>
      <c r="DB40" s="556"/>
      <c r="DC40" s="556"/>
      <c r="DD40" s="556"/>
      <c r="DE40" s="556"/>
      <c r="DF40" s="556"/>
      <c r="DG40" s="609"/>
      <c r="DH40" s="556"/>
      <c r="DI40" s="556"/>
      <c r="DJ40" s="556"/>
      <c r="DK40" s="556"/>
      <c r="DL40" s="556"/>
      <c r="DM40" s="573"/>
      <c r="DN40" s="556"/>
      <c r="DO40" s="556"/>
      <c r="DP40" s="556"/>
      <c r="DQ40" s="610"/>
      <c r="DR40" s="565">
        <f t="shared" ref="DR40:DR41" si="150">SUM(DN40:DQ40)</f>
        <v>0</v>
      </c>
      <c r="DS40" s="556"/>
      <c r="DT40" s="556"/>
      <c r="DU40" s="556"/>
      <c r="DV40" s="556"/>
      <c r="DW40" s="556"/>
      <c r="DX40" s="609"/>
      <c r="DY40" s="556"/>
      <c r="DZ40" s="556"/>
      <c r="EA40" s="556"/>
      <c r="EB40" s="556"/>
      <c r="EC40" s="556"/>
      <c r="ED40" s="573"/>
      <c r="EE40" s="556"/>
      <c r="EF40" s="556"/>
      <c r="EG40" s="556"/>
      <c r="EH40" s="610"/>
      <c r="EI40" s="565">
        <f t="shared" ref="EI40:EI41" si="151">SUM(EE40:EH40)</f>
        <v>0</v>
      </c>
      <c r="EJ40" s="574"/>
      <c r="EK40" s="574"/>
      <c r="EL40" s="552"/>
      <c r="EM40" s="552"/>
      <c r="EN40" s="552"/>
      <c r="EO40" s="552"/>
      <c r="EP40" s="552"/>
      <c r="EQ40" s="552"/>
      <c r="ER40" s="552"/>
      <c r="ES40" s="552"/>
      <c r="ET40" s="552"/>
      <c r="EU40" s="552"/>
    </row>
    <row r="41" hidden="1">
      <c r="A41" s="577">
        <v>7404.0</v>
      </c>
      <c r="B41" s="552" t="s">
        <v>160</v>
      </c>
      <c r="C41" s="552" t="s">
        <v>158</v>
      </c>
      <c r="D41" s="556"/>
      <c r="E41" s="556"/>
      <c r="F41" s="556"/>
      <c r="G41" s="556"/>
      <c r="H41" s="556"/>
      <c r="I41" s="556"/>
      <c r="J41" s="556"/>
      <c r="K41" s="556"/>
      <c r="L41" s="556"/>
      <c r="M41" s="556"/>
      <c r="N41" s="556"/>
      <c r="O41" s="556"/>
      <c r="P41" s="556"/>
      <c r="Q41" s="556"/>
      <c r="R41" s="556"/>
      <c r="S41" s="556"/>
      <c r="T41" s="556"/>
      <c r="U41" s="556"/>
      <c r="V41" s="556"/>
      <c r="W41" s="556"/>
      <c r="X41" s="556"/>
      <c r="Y41" s="556"/>
      <c r="Z41" s="556"/>
      <c r="AA41" s="556"/>
      <c r="AB41" s="556"/>
      <c r="AC41" s="556"/>
      <c r="AD41" s="556"/>
      <c r="AE41" s="556"/>
      <c r="AF41" s="556"/>
      <c r="AG41" s="556"/>
      <c r="AH41" s="556"/>
      <c r="AI41" s="556"/>
      <c r="AJ41" s="556"/>
      <c r="AK41" s="556"/>
      <c r="AL41" s="556"/>
      <c r="AM41" s="556"/>
      <c r="AN41" s="556"/>
      <c r="AO41" s="556"/>
      <c r="AP41" s="556"/>
      <c r="AQ41" s="556"/>
      <c r="AR41" s="556"/>
      <c r="AS41" s="556"/>
      <c r="AT41" s="556"/>
      <c r="AU41" s="556"/>
      <c r="AV41" s="556"/>
      <c r="AW41" s="556"/>
      <c r="AX41" s="556"/>
      <c r="AY41" s="556"/>
      <c r="AZ41" s="556"/>
      <c r="BA41" s="556"/>
      <c r="BB41" s="556"/>
      <c r="BC41" s="556"/>
      <c r="BD41" s="556"/>
      <c r="BE41" s="556"/>
      <c r="BF41" s="556"/>
      <c r="BG41" s="556"/>
      <c r="BH41" s="556"/>
      <c r="BI41" s="556"/>
      <c r="BJ41" s="556"/>
      <c r="BK41" s="556"/>
      <c r="BL41" s="556"/>
      <c r="BM41" s="556"/>
      <c r="BN41" s="573"/>
      <c r="BO41" s="556"/>
      <c r="BP41" s="556"/>
      <c r="BQ41" s="556"/>
      <c r="BR41" s="573"/>
      <c r="BS41" s="556"/>
      <c r="BT41" s="556"/>
      <c r="BU41" s="556"/>
      <c r="BV41" s="556"/>
      <c r="BW41" s="556"/>
      <c r="BX41" s="556"/>
      <c r="BY41" s="556"/>
      <c r="BZ41" s="556"/>
      <c r="CA41" s="556"/>
      <c r="CB41" s="556"/>
      <c r="CC41" s="556"/>
      <c r="CD41" s="556"/>
      <c r="CE41" s="573"/>
      <c r="CF41" s="556"/>
      <c r="CG41" s="556"/>
      <c r="CH41" s="556"/>
      <c r="CI41" s="573"/>
      <c r="CJ41" s="556"/>
      <c r="CK41" s="556"/>
      <c r="CL41" s="556"/>
      <c r="CM41" s="556"/>
      <c r="CN41" s="556"/>
      <c r="CO41" s="556"/>
      <c r="CP41" s="607" t="s">
        <v>174</v>
      </c>
      <c r="CQ41" s="556"/>
      <c r="CR41" s="556"/>
      <c r="CS41" s="556"/>
      <c r="CT41" s="556"/>
      <c r="CU41" s="556"/>
      <c r="CV41" s="573"/>
      <c r="CW41" s="575">
        <v>6.82834289E11</v>
      </c>
      <c r="CX41" s="575">
        <v>3.56853689E11</v>
      </c>
      <c r="CY41" s="575">
        <v>291147.0</v>
      </c>
      <c r="CZ41" s="608">
        <v>571659.0</v>
      </c>
      <c r="DA41" s="565">
        <f t="shared" si="149"/>
        <v>1039688840806</v>
      </c>
      <c r="DB41" s="556"/>
      <c r="DC41" s="556"/>
      <c r="DD41" s="556"/>
      <c r="DE41" s="556"/>
      <c r="DF41" s="556"/>
      <c r="DG41" s="609"/>
      <c r="DH41" s="556"/>
      <c r="DI41" s="556"/>
      <c r="DJ41" s="556"/>
      <c r="DK41" s="556"/>
      <c r="DL41" s="556"/>
      <c r="DM41" s="573"/>
      <c r="DN41" s="556"/>
      <c r="DO41" s="556"/>
      <c r="DP41" s="556"/>
      <c r="DQ41" s="610"/>
      <c r="DR41" s="565">
        <f t="shared" si="150"/>
        <v>0</v>
      </c>
      <c r="DS41" s="556"/>
      <c r="DT41" s="556"/>
      <c r="DU41" s="556"/>
      <c r="DV41" s="556"/>
      <c r="DW41" s="556"/>
      <c r="DX41" s="609"/>
      <c r="DY41" s="556"/>
      <c r="DZ41" s="556"/>
      <c r="EA41" s="556"/>
      <c r="EB41" s="556"/>
      <c r="EC41" s="556"/>
      <c r="ED41" s="573"/>
      <c r="EE41" s="556"/>
      <c r="EF41" s="556"/>
      <c r="EG41" s="556"/>
      <c r="EH41" s="610"/>
      <c r="EI41" s="565">
        <f t="shared" si="151"/>
        <v>0</v>
      </c>
      <c r="EJ41" s="574"/>
      <c r="EK41" s="574"/>
      <c r="EL41" s="552"/>
      <c r="EM41" s="552"/>
      <c r="EN41" s="552"/>
      <c r="EO41" s="552"/>
      <c r="EP41" s="552"/>
      <c r="EQ41" s="552"/>
      <c r="ER41" s="552"/>
      <c r="ES41" s="552"/>
      <c r="ET41" s="552"/>
      <c r="EU41" s="552"/>
    </row>
    <row r="42" hidden="1">
      <c r="A42" s="552"/>
      <c r="B42" s="552"/>
      <c r="C42" s="552"/>
      <c r="D42" s="556"/>
      <c r="E42" s="556"/>
      <c r="F42" s="556"/>
      <c r="G42" s="556"/>
      <c r="H42" s="556"/>
      <c r="I42" s="556"/>
      <c r="J42" s="556"/>
      <c r="K42" s="556"/>
      <c r="L42" s="556"/>
      <c r="M42" s="556"/>
      <c r="N42" s="556"/>
      <c r="O42" s="556"/>
      <c r="P42" s="556"/>
      <c r="Q42" s="556"/>
      <c r="R42" s="556"/>
      <c r="S42" s="556"/>
      <c r="T42" s="556"/>
      <c r="U42" s="556"/>
      <c r="V42" s="556"/>
      <c r="W42" s="556"/>
      <c r="X42" s="556"/>
      <c r="Y42" s="556"/>
      <c r="Z42" s="556"/>
      <c r="AA42" s="556"/>
      <c r="AB42" s="556"/>
      <c r="AC42" s="556"/>
      <c r="AD42" s="556"/>
      <c r="AE42" s="556"/>
      <c r="AF42" s="556"/>
      <c r="AG42" s="556"/>
      <c r="AH42" s="556"/>
      <c r="AI42" s="556"/>
      <c r="AJ42" s="556"/>
      <c r="AK42" s="556"/>
      <c r="AL42" s="556"/>
      <c r="AM42" s="556"/>
      <c r="AN42" s="556"/>
      <c r="AO42" s="556"/>
      <c r="AP42" s="556"/>
      <c r="AQ42" s="556"/>
      <c r="AR42" s="556"/>
      <c r="AS42" s="556"/>
      <c r="AT42" s="556"/>
      <c r="AU42" s="556"/>
      <c r="AV42" s="556"/>
      <c r="AW42" s="556"/>
      <c r="AX42" s="556"/>
      <c r="AY42" s="556"/>
      <c r="AZ42" s="556"/>
      <c r="BA42" s="556"/>
      <c r="BB42" s="556"/>
      <c r="BC42" s="556"/>
      <c r="BD42" s="556"/>
      <c r="BE42" s="556"/>
      <c r="BF42" s="556"/>
      <c r="BG42" s="556"/>
      <c r="BH42" s="556"/>
      <c r="BI42" s="556"/>
      <c r="BJ42" s="556"/>
      <c r="BK42" s="556"/>
      <c r="BL42" s="556"/>
      <c r="BM42" s="556"/>
      <c r="BN42" s="573"/>
      <c r="BO42" s="556"/>
      <c r="BP42" s="556"/>
      <c r="BQ42" s="556"/>
      <c r="BR42" s="573"/>
      <c r="BS42" s="556"/>
      <c r="BT42" s="556"/>
      <c r="BU42" s="556"/>
      <c r="BV42" s="556"/>
      <c r="BW42" s="556"/>
      <c r="BX42" s="556"/>
      <c r="BY42" s="556"/>
      <c r="BZ42" s="556"/>
      <c r="CA42" s="556"/>
      <c r="CB42" s="556"/>
      <c r="CC42" s="556"/>
      <c r="CD42" s="556"/>
      <c r="CE42" s="573"/>
      <c r="CF42" s="556"/>
      <c r="CG42" s="556"/>
      <c r="CH42" s="556"/>
      <c r="CI42" s="573"/>
      <c r="CJ42" s="556"/>
      <c r="CK42" s="609" t="s">
        <v>175</v>
      </c>
      <c r="CL42" s="609" t="s">
        <v>176</v>
      </c>
      <c r="CM42" s="556"/>
      <c r="CN42" s="556"/>
      <c r="CO42" s="556"/>
      <c r="CP42" s="556"/>
      <c r="CQ42" s="556"/>
      <c r="CR42" s="556"/>
      <c r="CS42" s="556"/>
      <c r="CT42" s="556"/>
      <c r="CU42" s="556"/>
      <c r="CV42" s="573"/>
      <c r="CW42" s="556"/>
      <c r="CX42" s="556"/>
      <c r="CY42" s="556"/>
      <c r="CZ42" s="573"/>
      <c r="DA42" s="556"/>
      <c r="DB42" s="609"/>
      <c r="DC42" s="609"/>
      <c r="DD42" s="556"/>
      <c r="DE42" s="556"/>
      <c r="DF42" s="556"/>
      <c r="DG42" s="556"/>
      <c r="DH42" s="556"/>
      <c r="DI42" s="556"/>
      <c r="DJ42" s="556"/>
      <c r="DK42" s="556"/>
      <c r="DL42" s="556"/>
      <c r="DM42" s="573"/>
      <c r="DN42" s="556"/>
      <c r="DO42" s="556"/>
      <c r="DP42" s="556"/>
      <c r="DQ42" s="573"/>
      <c r="DR42" s="556"/>
      <c r="DS42" s="609"/>
      <c r="DT42" s="609"/>
      <c r="DU42" s="556"/>
      <c r="DV42" s="556"/>
      <c r="DW42" s="556"/>
      <c r="DX42" s="556"/>
      <c r="DY42" s="556"/>
      <c r="DZ42" s="556"/>
      <c r="EA42" s="556"/>
      <c r="EB42" s="556"/>
      <c r="EC42" s="556"/>
      <c r="ED42" s="573"/>
      <c r="EE42" s="556"/>
      <c r="EF42" s="556"/>
      <c r="EG42" s="556"/>
      <c r="EH42" s="573"/>
      <c r="EI42" s="556"/>
      <c r="EJ42" s="574"/>
      <c r="EK42" s="574"/>
      <c r="EL42" s="552"/>
      <c r="EM42" s="552"/>
      <c r="EN42" s="552"/>
      <c r="EO42" s="552"/>
      <c r="EP42" s="552"/>
      <c r="EQ42" s="552"/>
      <c r="ER42" s="552"/>
      <c r="ES42" s="552"/>
      <c r="ET42" s="552"/>
      <c r="EU42" s="552"/>
    </row>
    <row r="43" hidden="1">
      <c r="A43" s="611" t="s">
        <v>177</v>
      </c>
      <c r="B43" s="611" t="s">
        <v>178</v>
      </c>
      <c r="C43" s="552"/>
      <c r="D43" s="556"/>
      <c r="E43" s="556"/>
      <c r="F43" s="556"/>
      <c r="G43" s="556"/>
      <c r="H43" s="556"/>
      <c r="I43" s="556"/>
      <c r="J43" s="556"/>
      <c r="K43" s="556"/>
      <c r="L43" s="556"/>
      <c r="M43" s="556"/>
      <c r="N43" s="556"/>
      <c r="O43" s="556"/>
      <c r="P43" s="556"/>
      <c r="Q43" s="556"/>
      <c r="R43" s="556"/>
      <c r="S43" s="556"/>
      <c r="T43" s="556"/>
      <c r="U43" s="556"/>
      <c r="V43" s="556"/>
      <c r="W43" s="556"/>
      <c r="X43" s="556"/>
      <c r="Y43" s="556"/>
      <c r="Z43" s="556"/>
      <c r="AA43" s="556"/>
      <c r="AB43" s="556"/>
      <c r="AC43" s="556"/>
      <c r="AD43" s="556"/>
      <c r="AE43" s="556"/>
      <c r="AF43" s="556"/>
      <c r="AG43" s="556"/>
      <c r="AH43" s="556"/>
      <c r="AI43" s="556"/>
      <c r="AJ43" s="556"/>
      <c r="AK43" s="556"/>
      <c r="AL43" s="556"/>
      <c r="AM43" s="556"/>
      <c r="AN43" s="556"/>
      <c r="AO43" s="556"/>
      <c r="AP43" s="556"/>
      <c r="AQ43" s="556"/>
      <c r="AR43" s="556"/>
      <c r="AS43" s="556"/>
      <c r="AT43" s="556"/>
      <c r="AU43" s="556"/>
      <c r="AV43" s="556"/>
      <c r="AW43" s="556"/>
      <c r="AX43" s="556"/>
      <c r="AY43" s="556"/>
      <c r="AZ43" s="556"/>
      <c r="BA43" s="556"/>
      <c r="BB43" s="556"/>
      <c r="BC43" s="556"/>
      <c r="BD43" s="556"/>
      <c r="BE43" s="556"/>
      <c r="BF43" s="556"/>
      <c r="BG43" s="556"/>
      <c r="BH43" s="556"/>
      <c r="BI43" s="556"/>
      <c r="BJ43" s="556"/>
      <c r="BK43" s="556"/>
      <c r="BL43" s="556"/>
      <c r="BM43" s="556"/>
      <c r="BN43" s="573"/>
      <c r="BO43" s="556"/>
      <c r="BP43" s="556"/>
      <c r="BQ43" s="556"/>
      <c r="BR43" s="573"/>
      <c r="BS43" s="556"/>
      <c r="BT43" s="556"/>
      <c r="BU43" s="556"/>
      <c r="BV43" s="556"/>
      <c r="BW43" s="556"/>
      <c r="BX43" s="556"/>
      <c r="BY43" s="556"/>
      <c r="BZ43" s="556"/>
      <c r="CA43" s="556"/>
      <c r="CB43" s="556"/>
      <c r="CC43" s="556"/>
      <c r="CD43" s="556"/>
      <c r="CE43" s="573"/>
      <c r="CF43" s="556"/>
      <c r="CG43" s="556"/>
      <c r="CH43" s="556"/>
      <c r="CI43" s="573"/>
      <c r="CJ43" s="556"/>
      <c r="CK43" s="612">
        <v>7.592583641E9</v>
      </c>
      <c r="CL43" s="612">
        <v>7.995665245E9</v>
      </c>
      <c r="CM43" s="556"/>
      <c r="CN43" s="556"/>
      <c r="CO43" s="556"/>
      <c r="CP43" s="556"/>
      <c r="CQ43" s="556"/>
      <c r="CR43" s="556"/>
      <c r="CS43" s="556"/>
      <c r="CT43" s="556"/>
      <c r="CU43" s="556"/>
      <c r="CV43" s="573"/>
      <c r="CW43" s="575">
        <v>12800.0</v>
      </c>
      <c r="CX43" s="575">
        <v>13600.0</v>
      </c>
      <c r="CY43" s="575">
        <v>13816.0</v>
      </c>
      <c r="CZ43" s="551">
        <v>3822.0</v>
      </c>
      <c r="DA43" s="556"/>
      <c r="DB43" s="612"/>
      <c r="DC43" s="612"/>
      <c r="DD43" s="556"/>
      <c r="DE43" s="556"/>
      <c r="DF43" s="556"/>
      <c r="DG43" s="556"/>
      <c r="DH43" s="556"/>
      <c r="DI43" s="556"/>
      <c r="DJ43" s="556"/>
      <c r="DK43" s="556"/>
      <c r="DL43" s="556"/>
      <c r="DM43" s="573"/>
      <c r="DN43" s="556"/>
      <c r="DO43" s="556"/>
      <c r="DP43" s="556"/>
      <c r="DQ43" s="573"/>
      <c r="DR43" s="556"/>
      <c r="DS43" s="612"/>
      <c r="DT43" s="612"/>
      <c r="DU43" s="556"/>
      <c r="DV43" s="556"/>
      <c r="DW43" s="556"/>
      <c r="DX43" s="556"/>
      <c r="DY43" s="556"/>
      <c r="DZ43" s="556"/>
      <c r="EA43" s="556"/>
      <c r="EB43" s="556"/>
      <c r="EC43" s="556"/>
      <c r="ED43" s="573"/>
      <c r="EE43" s="556"/>
      <c r="EF43" s="556"/>
      <c r="EG43" s="556"/>
      <c r="EH43" s="573"/>
      <c r="EI43" s="556"/>
      <c r="EJ43" s="574"/>
      <c r="EK43" s="574"/>
      <c r="EL43" s="552"/>
      <c r="EM43" s="552"/>
      <c r="EN43" s="552"/>
      <c r="EO43" s="552"/>
      <c r="EP43" s="552"/>
      <c r="EQ43" s="552"/>
      <c r="ER43" s="552"/>
      <c r="ES43" s="552"/>
      <c r="ET43" s="552"/>
      <c r="EU43" s="552"/>
    </row>
    <row r="44" hidden="1">
      <c r="A44" s="611" t="s">
        <v>179</v>
      </c>
      <c r="B44" s="613" t="s">
        <v>180</v>
      </c>
      <c r="C44" s="552"/>
      <c r="D44" s="556"/>
      <c r="E44" s="556"/>
      <c r="F44" s="556"/>
      <c r="G44" s="556"/>
      <c r="H44" s="556"/>
      <c r="I44" s="556"/>
      <c r="J44" s="556"/>
      <c r="K44" s="556"/>
      <c r="L44" s="556"/>
      <c r="M44" s="556"/>
      <c r="N44" s="556"/>
      <c r="O44" s="556"/>
      <c r="P44" s="556"/>
      <c r="Q44" s="556"/>
      <c r="R44" s="556"/>
      <c r="S44" s="556"/>
      <c r="T44" s="556"/>
      <c r="U44" s="556"/>
      <c r="V44" s="556"/>
      <c r="W44" s="556"/>
      <c r="X44" s="556"/>
      <c r="Y44" s="556"/>
      <c r="Z44" s="556"/>
      <c r="AA44" s="556"/>
      <c r="AB44" s="556"/>
      <c r="AC44" s="556"/>
      <c r="AD44" s="556"/>
      <c r="AE44" s="556"/>
      <c r="AF44" s="556"/>
      <c r="AG44" s="556"/>
      <c r="AH44" s="556"/>
      <c r="AI44" s="556"/>
      <c r="AJ44" s="556"/>
      <c r="AK44" s="556"/>
      <c r="AL44" s="556"/>
      <c r="AM44" s="556"/>
      <c r="AN44" s="556"/>
      <c r="AO44" s="556"/>
      <c r="AP44" s="556"/>
      <c r="AQ44" s="556"/>
      <c r="AR44" s="556"/>
      <c r="AS44" s="556"/>
      <c r="AT44" s="556"/>
      <c r="AU44" s="556"/>
      <c r="AV44" s="556"/>
      <c r="AW44" s="556"/>
      <c r="AX44" s="556"/>
      <c r="AY44" s="556"/>
      <c r="AZ44" s="556"/>
      <c r="BA44" s="556"/>
      <c r="BB44" s="556"/>
      <c r="BC44" s="556"/>
      <c r="BD44" s="556"/>
      <c r="BE44" s="556"/>
      <c r="BF44" s="556"/>
      <c r="BG44" s="556"/>
      <c r="BH44" s="556"/>
      <c r="BI44" s="556"/>
      <c r="BJ44" s="556"/>
      <c r="BK44" s="556"/>
      <c r="BL44" s="556"/>
      <c r="BM44" s="556"/>
      <c r="BN44" s="573"/>
      <c r="BO44" s="556"/>
      <c r="BP44" s="556"/>
      <c r="BQ44" s="556"/>
      <c r="BR44" s="573"/>
      <c r="BS44" s="556"/>
      <c r="BT44" s="556"/>
      <c r="BU44" s="556"/>
      <c r="BV44" s="556"/>
      <c r="BW44" s="556"/>
      <c r="BX44" s="556"/>
      <c r="BY44" s="556"/>
      <c r="BZ44" s="556"/>
      <c r="CA44" s="556"/>
      <c r="CB44" s="556"/>
      <c r="CC44" s="556"/>
      <c r="CD44" s="556"/>
      <c r="CE44" s="573"/>
      <c r="CF44" s="556"/>
      <c r="CG44" s="556"/>
      <c r="CH44" s="556"/>
      <c r="CI44" s="573"/>
      <c r="CJ44" s="556"/>
      <c r="CK44" s="612">
        <v>1.24688835E12</v>
      </c>
      <c r="CL44" s="612">
        <v>8.781084E11</v>
      </c>
      <c r="CM44" s="556"/>
      <c r="CN44" s="556"/>
      <c r="CO44" s="556"/>
      <c r="CP44" s="556"/>
      <c r="CQ44" s="556"/>
      <c r="CR44" s="556"/>
      <c r="CS44" s="556"/>
      <c r="CT44" s="556"/>
      <c r="CU44" s="556"/>
      <c r="CV44" s="573"/>
      <c r="CW44" s="575">
        <v>95547.0</v>
      </c>
      <c r="CX44" s="575">
        <v>67288.0</v>
      </c>
      <c r="CY44" s="556"/>
      <c r="CZ44" s="573"/>
      <c r="DA44" s="556"/>
      <c r="DB44" s="612"/>
      <c r="DC44" s="612"/>
      <c r="DD44" s="556"/>
      <c r="DE44" s="556"/>
      <c r="DF44" s="556"/>
      <c r="DG44" s="556"/>
      <c r="DH44" s="556"/>
      <c r="DI44" s="556"/>
      <c r="DJ44" s="556"/>
      <c r="DK44" s="556"/>
      <c r="DL44" s="556"/>
      <c r="DM44" s="573"/>
      <c r="DN44" s="556"/>
      <c r="DO44" s="556"/>
      <c r="DP44" s="556"/>
      <c r="DQ44" s="573"/>
      <c r="DR44" s="556"/>
      <c r="DS44" s="612"/>
      <c r="DT44" s="612"/>
      <c r="DU44" s="556"/>
      <c r="DV44" s="556"/>
      <c r="DW44" s="556"/>
      <c r="DX44" s="556"/>
      <c r="DY44" s="556"/>
      <c r="DZ44" s="556"/>
      <c r="EA44" s="556"/>
      <c r="EB44" s="556"/>
      <c r="EC44" s="556"/>
      <c r="ED44" s="573"/>
      <c r="EE44" s="556"/>
      <c r="EF44" s="556"/>
      <c r="EG44" s="556"/>
      <c r="EH44" s="573"/>
      <c r="EI44" s="556"/>
      <c r="EJ44" s="574"/>
      <c r="EK44" s="574"/>
      <c r="EL44" s="552"/>
      <c r="EM44" s="552"/>
      <c r="EN44" s="552"/>
      <c r="EO44" s="552"/>
      <c r="EP44" s="552"/>
      <c r="EQ44" s="552"/>
      <c r="ER44" s="552"/>
      <c r="ES44" s="552"/>
      <c r="ET44" s="552"/>
      <c r="EU44" s="552"/>
    </row>
    <row r="45" hidden="1">
      <c r="A45" s="552"/>
      <c r="B45" s="552"/>
      <c r="C45" s="552"/>
      <c r="D45" s="556"/>
      <c r="E45" s="556"/>
      <c r="F45" s="556"/>
      <c r="G45" s="556"/>
      <c r="H45" s="556"/>
      <c r="I45" s="556"/>
      <c r="J45" s="556"/>
      <c r="K45" s="556"/>
      <c r="L45" s="556"/>
      <c r="M45" s="556"/>
      <c r="N45" s="556"/>
      <c r="O45" s="556"/>
      <c r="P45" s="556"/>
      <c r="Q45" s="556"/>
      <c r="R45" s="556"/>
      <c r="S45" s="556"/>
      <c r="T45" s="556"/>
      <c r="U45" s="556"/>
      <c r="V45" s="556"/>
      <c r="W45" s="556"/>
      <c r="X45" s="556"/>
      <c r="Y45" s="556"/>
      <c r="Z45" s="556"/>
      <c r="AA45" s="556"/>
      <c r="AB45" s="556"/>
      <c r="AC45" s="556"/>
      <c r="AD45" s="556"/>
      <c r="AE45" s="556"/>
      <c r="AF45" s="556"/>
      <c r="AG45" s="556"/>
      <c r="AH45" s="556"/>
      <c r="AI45" s="556"/>
      <c r="AJ45" s="556"/>
      <c r="AK45" s="556"/>
      <c r="AL45" s="556"/>
      <c r="AM45" s="556"/>
      <c r="AN45" s="556"/>
      <c r="AO45" s="556"/>
      <c r="AP45" s="556"/>
      <c r="AQ45" s="556"/>
      <c r="AR45" s="556"/>
      <c r="AS45" s="556"/>
      <c r="AT45" s="556"/>
      <c r="AU45" s="556"/>
      <c r="AV45" s="556"/>
      <c r="AW45" s="556"/>
      <c r="AX45" s="556"/>
      <c r="AY45" s="556"/>
      <c r="AZ45" s="556"/>
      <c r="BA45" s="556"/>
      <c r="BB45" s="556"/>
      <c r="BC45" s="556"/>
      <c r="BD45" s="556"/>
      <c r="BE45" s="556"/>
      <c r="BF45" s="556"/>
      <c r="BG45" s="556"/>
      <c r="BH45" s="556"/>
      <c r="BI45" s="556"/>
      <c r="BJ45" s="556"/>
      <c r="BK45" s="556"/>
      <c r="BL45" s="556"/>
      <c r="BM45" s="556"/>
      <c r="BN45" s="573"/>
      <c r="BO45" s="556"/>
      <c r="BP45" s="556"/>
      <c r="BQ45" s="556"/>
      <c r="BR45" s="573"/>
      <c r="BS45" s="556"/>
      <c r="BT45" s="556"/>
      <c r="BU45" s="556"/>
      <c r="BV45" s="556"/>
      <c r="BW45" s="556"/>
      <c r="BX45" s="556"/>
      <c r="BY45" s="556"/>
      <c r="BZ45" s="556"/>
      <c r="CA45" s="556"/>
      <c r="CB45" s="556"/>
      <c r="CC45" s="556"/>
      <c r="CD45" s="556"/>
      <c r="CE45" s="573"/>
      <c r="CF45" s="556"/>
      <c r="CG45" s="556"/>
      <c r="CH45" s="556"/>
      <c r="CI45" s="573"/>
      <c r="CJ45" s="556"/>
      <c r="CK45" s="602">
        <f t="shared" ref="CK45:CL45" si="152">CK43+CK44</f>
        <v>1254480933641</v>
      </c>
      <c r="CL45" s="602">
        <f t="shared" si="152"/>
        <v>886104065245</v>
      </c>
      <c r="CM45" s="556"/>
      <c r="CN45" s="556"/>
      <c r="CO45" s="556"/>
      <c r="CP45" s="556"/>
      <c r="CQ45" s="556"/>
      <c r="CR45" s="556"/>
      <c r="CS45" s="556"/>
      <c r="CT45" s="556"/>
      <c r="CU45" s="556"/>
      <c r="CV45" s="573"/>
      <c r="CW45" s="556"/>
      <c r="CX45" s="556"/>
      <c r="CY45" s="556"/>
      <c r="CZ45" s="573"/>
      <c r="DA45" s="556"/>
      <c r="DB45" s="556"/>
      <c r="DC45" s="556"/>
      <c r="DD45" s="556"/>
      <c r="DE45" s="556"/>
      <c r="DF45" s="556"/>
      <c r="DG45" s="556"/>
      <c r="DH45" s="556"/>
      <c r="DI45" s="556"/>
      <c r="DJ45" s="556"/>
      <c r="DK45" s="556"/>
      <c r="DL45" s="556"/>
      <c r="DM45" s="573"/>
      <c r="DN45" s="556"/>
      <c r="DO45" s="556"/>
      <c r="DP45" s="556"/>
      <c r="DQ45" s="573"/>
      <c r="DR45" s="556"/>
      <c r="DS45" s="556"/>
      <c r="DT45" s="556"/>
      <c r="DU45" s="556"/>
      <c r="DV45" s="556"/>
      <c r="DW45" s="556"/>
      <c r="DX45" s="556"/>
      <c r="DY45" s="556"/>
      <c r="DZ45" s="556"/>
      <c r="EA45" s="556"/>
      <c r="EB45" s="556"/>
      <c r="EC45" s="556"/>
      <c r="ED45" s="573"/>
      <c r="EE45" s="556"/>
      <c r="EF45" s="556"/>
      <c r="EG45" s="556"/>
      <c r="EH45" s="573"/>
      <c r="EI45" s="556"/>
      <c r="EJ45" s="574"/>
      <c r="EK45" s="574"/>
      <c r="EL45" s="552"/>
      <c r="EM45" s="552"/>
      <c r="EN45" s="552"/>
      <c r="EO45" s="552"/>
      <c r="EP45" s="552"/>
      <c r="EQ45" s="552"/>
      <c r="ER45" s="552"/>
      <c r="ES45" s="552"/>
      <c r="ET45" s="552"/>
      <c r="EU45" s="552"/>
    </row>
    <row r="46" hidden="1">
      <c r="A46" s="12"/>
      <c r="B46" s="12"/>
      <c r="C46" s="12"/>
      <c r="D46" s="556"/>
      <c r="E46" s="556"/>
      <c r="F46" s="556"/>
      <c r="G46" s="556"/>
      <c r="H46" s="556"/>
      <c r="I46" s="556"/>
      <c r="J46" s="556"/>
      <c r="K46" s="556"/>
      <c r="L46" s="556"/>
      <c r="M46" s="556"/>
      <c r="N46" s="556"/>
      <c r="O46" s="556"/>
      <c r="P46" s="556"/>
      <c r="Q46" s="556"/>
      <c r="R46" s="556"/>
      <c r="S46" s="556"/>
      <c r="T46" s="556"/>
      <c r="U46" s="556"/>
      <c r="V46" s="556"/>
      <c r="W46" s="556"/>
      <c r="X46" s="556"/>
      <c r="Y46" s="556"/>
      <c r="Z46" s="556"/>
      <c r="AA46" s="556"/>
      <c r="AB46" s="556"/>
      <c r="AC46" s="556"/>
      <c r="AD46" s="556"/>
      <c r="AE46" s="556"/>
      <c r="AF46" s="556"/>
      <c r="AG46" s="556"/>
      <c r="AH46" s="556"/>
      <c r="AI46" s="556"/>
      <c r="AJ46" s="556"/>
      <c r="AK46" s="556"/>
      <c r="AL46" s="556"/>
      <c r="AM46" s="556"/>
      <c r="AN46" s="556"/>
      <c r="AO46" s="556"/>
      <c r="AP46" s="556"/>
      <c r="AQ46" s="556"/>
      <c r="AR46" s="556"/>
      <c r="AS46" s="556"/>
      <c r="AT46" s="556"/>
      <c r="AU46" s="556"/>
      <c r="AV46" s="556"/>
      <c r="AW46" s="556"/>
      <c r="AX46" s="556"/>
      <c r="AY46" s="556"/>
      <c r="AZ46" s="556"/>
      <c r="BA46" s="556"/>
      <c r="BB46" s="556"/>
      <c r="BC46" s="556"/>
      <c r="BD46" s="556"/>
      <c r="BE46" s="556"/>
      <c r="BF46" s="556"/>
      <c r="BG46" s="556"/>
      <c r="BH46" s="556"/>
      <c r="BI46" s="556"/>
      <c r="BJ46" s="556"/>
      <c r="BK46" s="556"/>
      <c r="BL46" s="556"/>
      <c r="BM46" s="556"/>
      <c r="BN46" s="573"/>
      <c r="BO46" s="556"/>
      <c r="BP46" s="556"/>
      <c r="BQ46" s="556"/>
      <c r="BR46" s="573"/>
      <c r="BS46" s="556"/>
      <c r="BT46" s="556"/>
      <c r="BU46" s="556"/>
      <c r="BV46" s="556"/>
      <c r="BW46" s="556"/>
      <c r="BX46" s="556"/>
      <c r="BY46" s="556"/>
      <c r="BZ46" s="556"/>
      <c r="CA46" s="556"/>
      <c r="CB46" s="556"/>
      <c r="CC46" s="556"/>
      <c r="CD46" s="556"/>
      <c r="CE46" s="573"/>
      <c r="CF46" s="556"/>
      <c r="CG46" s="556"/>
      <c r="CH46" s="556"/>
      <c r="CI46" s="573"/>
      <c r="CJ46" s="556"/>
      <c r="CK46" s="556"/>
      <c r="CL46" s="556"/>
      <c r="CM46" s="556"/>
      <c r="CN46" s="556"/>
      <c r="CO46" s="556"/>
      <c r="CP46" s="556"/>
      <c r="CQ46" s="556"/>
      <c r="CR46" s="556"/>
      <c r="CS46" s="556"/>
      <c r="CT46" s="556"/>
      <c r="CU46" s="556"/>
      <c r="CV46" s="573"/>
      <c r="CW46" s="556"/>
      <c r="CX46" s="556"/>
      <c r="CY46" s="556"/>
      <c r="CZ46" s="573"/>
      <c r="DA46" s="556"/>
      <c r="DB46" s="556"/>
      <c r="DC46" s="556"/>
      <c r="DD46" s="556"/>
      <c r="DE46" s="556"/>
      <c r="DF46" s="556"/>
      <c r="DG46" s="556"/>
      <c r="DH46" s="556"/>
      <c r="DI46" s="556"/>
      <c r="DJ46" s="556"/>
      <c r="DK46" s="556"/>
      <c r="DL46" s="556"/>
      <c r="DM46" s="573"/>
      <c r="DN46" s="556"/>
      <c r="DO46" s="556"/>
      <c r="DP46" s="556"/>
      <c r="DQ46" s="573"/>
      <c r="DR46" s="556"/>
      <c r="DS46" s="556"/>
      <c r="DT46" s="556"/>
      <c r="DU46" s="556"/>
      <c r="DV46" s="556"/>
      <c r="DW46" s="556"/>
      <c r="DX46" s="556"/>
      <c r="DY46" s="556"/>
      <c r="DZ46" s="556"/>
      <c r="EA46" s="556"/>
      <c r="EB46" s="556"/>
      <c r="EC46" s="556"/>
      <c r="ED46" s="573"/>
      <c r="EE46" s="556"/>
      <c r="EF46" s="556"/>
      <c r="EG46" s="556"/>
      <c r="EH46" s="573"/>
      <c r="EI46" s="556"/>
      <c r="EJ46" s="574"/>
      <c r="EK46" s="574"/>
      <c r="EL46" s="12"/>
      <c r="EM46" s="12"/>
      <c r="EN46" s="12"/>
      <c r="EO46" s="12"/>
      <c r="EP46" s="12"/>
      <c r="EQ46" s="12"/>
      <c r="ER46" s="12"/>
      <c r="ES46" s="12"/>
      <c r="ET46" s="12"/>
      <c r="EU46" s="12"/>
    </row>
    <row r="47" hidden="1">
      <c r="A47" s="12"/>
      <c r="B47" s="12"/>
      <c r="C47" s="12"/>
      <c r="D47" s="556"/>
      <c r="E47" s="556"/>
      <c r="F47" s="556"/>
      <c r="G47" s="556"/>
      <c r="H47" s="556"/>
      <c r="I47" s="556"/>
      <c r="J47" s="556"/>
      <c r="K47" s="556"/>
      <c r="L47" s="556"/>
      <c r="M47" s="556"/>
      <c r="N47" s="556"/>
      <c r="O47" s="556"/>
      <c r="P47" s="556"/>
      <c r="Q47" s="556"/>
      <c r="R47" s="556"/>
      <c r="S47" s="556"/>
      <c r="T47" s="556"/>
      <c r="U47" s="556"/>
      <c r="V47" s="556"/>
      <c r="W47" s="556"/>
      <c r="X47" s="556"/>
      <c r="Y47" s="556"/>
      <c r="Z47" s="556"/>
      <c r="AA47" s="556"/>
      <c r="AB47" s="556"/>
      <c r="AC47" s="556"/>
      <c r="AD47" s="556"/>
      <c r="AE47" s="556"/>
      <c r="AF47" s="556"/>
      <c r="AG47" s="556"/>
      <c r="AH47" s="556"/>
      <c r="AI47" s="556"/>
      <c r="AJ47" s="556"/>
      <c r="AK47" s="556"/>
      <c r="AL47" s="556"/>
      <c r="AM47" s="556"/>
      <c r="AN47" s="556"/>
      <c r="AO47" s="556"/>
      <c r="AP47" s="556"/>
      <c r="AQ47" s="556"/>
      <c r="AR47" s="556"/>
      <c r="AS47" s="556"/>
      <c r="AT47" s="556"/>
      <c r="AU47" s="556"/>
      <c r="AV47" s="556"/>
      <c r="AW47" s="556"/>
      <c r="AX47" s="556"/>
      <c r="AY47" s="556"/>
      <c r="AZ47" s="556"/>
      <c r="BA47" s="556"/>
      <c r="BB47" s="556"/>
      <c r="BC47" s="556"/>
      <c r="BD47" s="556"/>
      <c r="BE47" s="556"/>
      <c r="BF47" s="556"/>
      <c r="BG47" s="556"/>
      <c r="BH47" s="556"/>
      <c r="BI47" s="556"/>
      <c r="BJ47" s="556"/>
      <c r="BK47" s="556"/>
      <c r="BL47" s="556"/>
      <c r="BM47" s="556"/>
      <c r="BN47" s="573"/>
      <c r="BO47" s="556"/>
      <c r="BP47" s="556"/>
      <c r="BQ47" s="556"/>
      <c r="BR47" s="573"/>
      <c r="BS47" s="556"/>
      <c r="BT47" s="556"/>
      <c r="BU47" s="556"/>
      <c r="BV47" s="556"/>
      <c r="BW47" s="556"/>
      <c r="BX47" s="556"/>
      <c r="BY47" s="556"/>
      <c r="BZ47" s="556"/>
      <c r="CA47" s="556"/>
      <c r="CB47" s="556"/>
      <c r="CC47" s="556"/>
      <c r="CD47" s="556"/>
      <c r="CE47" s="573"/>
      <c r="CF47" s="556"/>
      <c r="CG47" s="556"/>
      <c r="CH47" s="556"/>
      <c r="CI47" s="573"/>
      <c r="CJ47" s="556"/>
      <c r="CK47" s="556"/>
      <c r="CL47" s="556"/>
      <c r="CM47" s="556"/>
      <c r="CN47" s="556"/>
      <c r="CO47" s="556"/>
      <c r="CP47" s="556"/>
      <c r="CQ47" s="556"/>
      <c r="CR47" s="556"/>
      <c r="CS47" s="556"/>
      <c r="CT47" s="556"/>
      <c r="CU47" s="556"/>
      <c r="CV47" s="573"/>
      <c r="CW47" s="556"/>
      <c r="CX47" s="556"/>
      <c r="CY47" s="556"/>
      <c r="CZ47" s="573"/>
      <c r="DA47" s="556"/>
      <c r="DB47" s="556"/>
      <c r="DC47" s="556"/>
      <c r="DD47" s="556"/>
      <c r="DE47" s="556"/>
      <c r="DF47" s="556"/>
      <c r="DG47" s="556"/>
      <c r="DH47" s="556"/>
      <c r="DI47" s="556"/>
      <c r="DJ47" s="556"/>
      <c r="DK47" s="556"/>
      <c r="DL47" s="556"/>
      <c r="DM47" s="573"/>
      <c r="DN47" s="556"/>
      <c r="DO47" s="556"/>
      <c r="DP47" s="556"/>
      <c r="DQ47" s="573"/>
      <c r="DR47" s="556"/>
      <c r="DS47" s="556"/>
      <c r="DT47" s="556"/>
      <c r="DU47" s="556"/>
      <c r="DV47" s="556"/>
      <c r="DW47" s="556"/>
      <c r="DX47" s="556"/>
      <c r="DY47" s="556"/>
      <c r="DZ47" s="556"/>
      <c r="EA47" s="556"/>
      <c r="EB47" s="556"/>
      <c r="EC47" s="556"/>
      <c r="ED47" s="573"/>
      <c r="EE47" s="556"/>
      <c r="EF47" s="556"/>
      <c r="EG47" s="556"/>
      <c r="EH47" s="573"/>
      <c r="EI47" s="556"/>
      <c r="EJ47" s="574"/>
      <c r="EK47" s="574"/>
      <c r="EL47" s="12"/>
      <c r="EM47" s="12"/>
      <c r="EN47" s="12"/>
      <c r="EO47" s="12"/>
      <c r="EP47" s="12"/>
      <c r="EQ47" s="12"/>
      <c r="ER47" s="12"/>
      <c r="ES47" s="12"/>
      <c r="ET47" s="12"/>
      <c r="EU47" s="12"/>
    </row>
    <row r="48" hidden="1">
      <c r="A48" s="12"/>
      <c r="B48" s="12"/>
      <c r="C48" s="12"/>
      <c r="D48" s="556"/>
      <c r="E48" s="556"/>
      <c r="F48" s="556"/>
      <c r="G48" s="556"/>
      <c r="H48" s="556"/>
      <c r="I48" s="556"/>
      <c r="J48" s="556"/>
      <c r="K48" s="556"/>
      <c r="L48" s="556"/>
      <c r="M48" s="556"/>
      <c r="N48" s="556"/>
      <c r="O48" s="556"/>
      <c r="P48" s="556"/>
      <c r="Q48" s="556"/>
      <c r="R48" s="556"/>
      <c r="S48" s="556"/>
      <c r="T48" s="556"/>
      <c r="U48" s="556"/>
      <c r="V48" s="556"/>
      <c r="W48" s="556"/>
      <c r="X48" s="556"/>
      <c r="Y48" s="556"/>
      <c r="Z48" s="556"/>
      <c r="AA48" s="556"/>
      <c r="AB48" s="556"/>
      <c r="AC48" s="556"/>
      <c r="AD48" s="556"/>
      <c r="AE48" s="556"/>
      <c r="AF48" s="556"/>
      <c r="AG48" s="556"/>
      <c r="AH48" s="556"/>
      <c r="AI48" s="556"/>
      <c r="AJ48" s="556"/>
      <c r="AK48" s="556"/>
      <c r="AL48" s="556"/>
      <c r="AM48" s="556"/>
      <c r="AN48" s="556"/>
      <c r="AO48" s="556"/>
      <c r="AP48" s="556"/>
      <c r="AQ48" s="556"/>
      <c r="AR48" s="556"/>
      <c r="AS48" s="556"/>
      <c r="AT48" s="556"/>
      <c r="AU48" s="556"/>
      <c r="AV48" s="556"/>
      <c r="AW48" s="556"/>
      <c r="AX48" s="556"/>
      <c r="AY48" s="556"/>
      <c r="AZ48" s="556"/>
      <c r="BA48" s="556"/>
      <c r="BB48" s="556"/>
      <c r="BC48" s="556"/>
      <c r="BD48" s="556"/>
      <c r="BE48" s="556"/>
      <c r="BF48" s="556"/>
      <c r="BG48" s="556"/>
      <c r="BH48" s="556"/>
      <c r="BI48" s="556"/>
      <c r="BJ48" s="556"/>
      <c r="BK48" s="556"/>
      <c r="BL48" s="556"/>
      <c r="BM48" s="556"/>
      <c r="BN48" s="573"/>
      <c r="BO48" s="556"/>
      <c r="BP48" s="556"/>
      <c r="BQ48" s="556"/>
      <c r="BR48" s="573"/>
      <c r="BS48" s="556"/>
      <c r="BT48" s="556"/>
      <c r="BU48" s="556"/>
      <c r="BV48" s="556"/>
      <c r="BW48" s="556"/>
      <c r="BX48" s="556"/>
      <c r="BY48" s="556"/>
      <c r="BZ48" s="556"/>
      <c r="CA48" s="556"/>
      <c r="CB48" s="556"/>
      <c r="CC48" s="556"/>
      <c r="CD48" s="556"/>
      <c r="CE48" s="573"/>
      <c r="CF48" s="556"/>
      <c r="CG48" s="556"/>
      <c r="CH48" s="556"/>
      <c r="CI48" s="573"/>
      <c r="CJ48" s="556"/>
      <c r="CK48" s="556"/>
      <c r="CL48" s="556"/>
      <c r="CM48" s="556"/>
      <c r="CN48" s="556"/>
      <c r="CO48" s="556"/>
      <c r="CP48" s="556"/>
      <c r="CQ48" s="556"/>
      <c r="CR48" s="556"/>
      <c r="CS48" s="556"/>
      <c r="CT48" s="556"/>
      <c r="CU48" s="556"/>
      <c r="CV48" s="573"/>
      <c r="CW48" s="556"/>
      <c r="CX48" s="556"/>
      <c r="CY48" s="556"/>
      <c r="CZ48" s="573"/>
      <c r="DA48" s="556"/>
      <c r="DB48" s="556"/>
      <c r="DC48" s="556"/>
      <c r="DD48" s="556"/>
      <c r="DE48" s="556"/>
      <c r="DF48" s="556"/>
      <c r="DG48" s="556"/>
      <c r="DH48" s="556"/>
      <c r="DI48" s="556"/>
      <c r="DJ48" s="556"/>
      <c r="DK48" s="556"/>
      <c r="DL48" s="556"/>
      <c r="DM48" s="573"/>
      <c r="DN48" s="556"/>
      <c r="DO48" s="556"/>
      <c r="DP48" s="556"/>
      <c r="DQ48" s="573"/>
      <c r="DR48" s="556"/>
      <c r="DS48" s="556"/>
      <c r="DT48" s="556"/>
      <c r="DU48" s="556"/>
      <c r="DV48" s="556"/>
      <c r="DW48" s="556"/>
      <c r="DX48" s="556"/>
      <c r="DY48" s="556"/>
      <c r="DZ48" s="556"/>
      <c r="EA48" s="556"/>
      <c r="EB48" s="556"/>
      <c r="EC48" s="556"/>
      <c r="ED48" s="573"/>
      <c r="EE48" s="556"/>
      <c r="EF48" s="556"/>
      <c r="EG48" s="556"/>
      <c r="EH48" s="573"/>
      <c r="EI48" s="556"/>
      <c r="EJ48" s="574"/>
      <c r="EK48" s="574"/>
      <c r="EL48" s="12"/>
      <c r="EM48" s="12"/>
      <c r="EN48" s="12"/>
      <c r="EO48" s="12"/>
      <c r="EP48" s="12"/>
      <c r="EQ48" s="12"/>
      <c r="ER48" s="12"/>
      <c r="ES48" s="12"/>
      <c r="ET48" s="12"/>
      <c r="EU48" s="12"/>
    </row>
    <row r="49" hidden="1">
      <c r="A49" s="12"/>
      <c r="B49" s="12"/>
      <c r="C49" s="12"/>
      <c r="D49" s="556"/>
      <c r="E49" s="556"/>
      <c r="F49" s="556"/>
      <c r="G49" s="556"/>
      <c r="H49" s="556"/>
      <c r="I49" s="556"/>
      <c r="J49" s="556"/>
      <c r="K49" s="556"/>
      <c r="L49" s="556"/>
      <c r="M49" s="556"/>
      <c r="N49" s="556"/>
      <c r="O49" s="556"/>
      <c r="P49" s="556"/>
      <c r="Q49" s="556"/>
      <c r="R49" s="556"/>
      <c r="S49" s="556"/>
      <c r="T49" s="556"/>
      <c r="U49" s="556"/>
      <c r="V49" s="556"/>
      <c r="W49" s="556"/>
      <c r="X49" s="556"/>
      <c r="Y49" s="556"/>
      <c r="Z49" s="556"/>
      <c r="AA49" s="556"/>
      <c r="AB49" s="556"/>
      <c r="AC49" s="556"/>
      <c r="AD49" s="556"/>
      <c r="AE49" s="556"/>
      <c r="AF49" s="556"/>
      <c r="AG49" s="556"/>
      <c r="AH49" s="556"/>
      <c r="AI49" s="556"/>
      <c r="AJ49" s="556"/>
      <c r="AK49" s="556"/>
      <c r="AL49" s="556"/>
      <c r="AM49" s="556"/>
      <c r="AN49" s="556"/>
      <c r="AO49" s="556"/>
      <c r="AP49" s="556"/>
      <c r="AQ49" s="556"/>
      <c r="AR49" s="556"/>
      <c r="AS49" s="556"/>
      <c r="AT49" s="556"/>
      <c r="AU49" s="556"/>
      <c r="AV49" s="556"/>
      <c r="AW49" s="556"/>
      <c r="AX49" s="556"/>
      <c r="AY49" s="556"/>
      <c r="AZ49" s="556"/>
      <c r="BA49" s="556"/>
      <c r="BB49" s="556"/>
      <c r="BC49" s="556"/>
      <c r="BD49" s="556"/>
      <c r="BE49" s="556"/>
      <c r="BF49" s="556"/>
      <c r="BG49" s="556"/>
      <c r="BH49" s="556"/>
      <c r="BI49" s="556"/>
      <c r="BJ49" s="556"/>
      <c r="BK49" s="556"/>
      <c r="BL49" s="556"/>
      <c r="BM49" s="556"/>
      <c r="BN49" s="573"/>
      <c r="BO49" s="556"/>
      <c r="BP49" s="556"/>
      <c r="BQ49" s="556"/>
      <c r="BR49" s="573"/>
      <c r="BS49" s="556"/>
      <c r="BT49" s="556"/>
      <c r="BU49" s="556"/>
      <c r="BV49" s="556"/>
      <c r="BW49" s="556"/>
      <c r="BX49" s="556"/>
      <c r="BY49" s="556"/>
      <c r="BZ49" s="556"/>
      <c r="CA49" s="556"/>
      <c r="CB49" s="556"/>
      <c r="CC49" s="556"/>
      <c r="CD49" s="556"/>
      <c r="CE49" s="573"/>
      <c r="CF49" s="556"/>
      <c r="CG49" s="556"/>
      <c r="CH49" s="556"/>
      <c r="CI49" s="573"/>
      <c r="CJ49" s="556"/>
      <c r="CK49" s="556"/>
      <c r="CL49" s="556"/>
      <c r="CM49" s="556"/>
      <c r="CN49" s="556"/>
      <c r="CO49" s="556"/>
      <c r="CP49" s="556"/>
      <c r="CQ49" s="556"/>
      <c r="CR49" s="556"/>
      <c r="CS49" s="556"/>
      <c r="CT49" s="556"/>
      <c r="CU49" s="556"/>
      <c r="CV49" s="573"/>
      <c r="CW49" s="556"/>
      <c r="CX49" s="556"/>
      <c r="CY49" s="556"/>
      <c r="CZ49" s="573"/>
      <c r="DA49" s="556"/>
      <c r="DB49" s="556"/>
      <c r="DC49" s="556"/>
      <c r="DD49" s="556"/>
      <c r="DE49" s="556"/>
      <c r="DF49" s="556"/>
      <c r="DG49" s="556"/>
      <c r="DH49" s="556"/>
      <c r="DI49" s="556"/>
      <c r="DJ49" s="556"/>
      <c r="DK49" s="556"/>
      <c r="DL49" s="556"/>
      <c r="DM49" s="573"/>
      <c r="DN49" s="556"/>
      <c r="DO49" s="556"/>
      <c r="DP49" s="556"/>
      <c r="DQ49" s="573"/>
      <c r="DR49" s="556"/>
      <c r="DS49" s="556"/>
      <c r="DT49" s="556"/>
      <c r="DU49" s="556"/>
      <c r="DV49" s="556"/>
      <c r="DW49" s="556"/>
      <c r="DX49" s="556"/>
      <c r="DY49" s="556"/>
      <c r="DZ49" s="556"/>
      <c r="EA49" s="556"/>
      <c r="EB49" s="556"/>
      <c r="EC49" s="556"/>
      <c r="ED49" s="573"/>
      <c r="EE49" s="556"/>
      <c r="EF49" s="556"/>
      <c r="EG49" s="556"/>
      <c r="EH49" s="573"/>
      <c r="EI49" s="556"/>
      <c r="EJ49" s="574"/>
      <c r="EK49" s="574"/>
      <c r="EL49" s="12"/>
      <c r="EM49" s="12"/>
      <c r="EN49" s="12"/>
      <c r="EO49" s="12"/>
      <c r="EP49" s="12"/>
      <c r="EQ49" s="12"/>
      <c r="ER49" s="12"/>
      <c r="ES49" s="12"/>
      <c r="ET49" s="12"/>
      <c r="EU49" s="12"/>
    </row>
    <row r="50" hidden="1">
      <c r="A50" s="12"/>
      <c r="B50" s="12"/>
      <c r="C50" s="12"/>
      <c r="D50" s="574"/>
      <c r="E50" s="574"/>
      <c r="F50" s="574"/>
      <c r="G50" s="574"/>
      <c r="H50" s="574"/>
      <c r="I50" s="574"/>
      <c r="J50" s="574"/>
      <c r="K50" s="574"/>
      <c r="L50" s="574"/>
      <c r="M50" s="574"/>
      <c r="N50" s="574"/>
      <c r="O50" s="574"/>
      <c r="P50" s="574"/>
      <c r="Q50" s="574"/>
      <c r="R50" s="574"/>
      <c r="S50" s="574"/>
      <c r="T50" s="574"/>
      <c r="U50" s="574"/>
      <c r="V50" s="574"/>
      <c r="W50" s="574"/>
      <c r="X50" s="574"/>
      <c r="Y50" s="574"/>
      <c r="Z50" s="574"/>
      <c r="AA50" s="574"/>
      <c r="AB50" s="574"/>
      <c r="AC50" s="574"/>
      <c r="AD50" s="574"/>
      <c r="AE50" s="574"/>
      <c r="AF50" s="574"/>
      <c r="AG50" s="574"/>
      <c r="AH50" s="574"/>
      <c r="AI50" s="574"/>
      <c r="AJ50" s="574"/>
      <c r="AK50" s="574"/>
      <c r="AL50" s="574"/>
      <c r="AM50" s="574"/>
      <c r="AN50" s="574"/>
      <c r="AO50" s="574"/>
      <c r="AP50" s="574"/>
      <c r="AQ50" s="574"/>
      <c r="AR50" s="574"/>
      <c r="AS50" s="574"/>
      <c r="AT50" s="574"/>
      <c r="AU50" s="574"/>
      <c r="AV50" s="574"/>
      <c r="AW50" s="574"/>
      <c r="AX50" s="574"/>
      <c r="AY50" s="574"/>
      <c r="AZ50" s="574"/>
      <c r="BA50" s="574"/>
      <c r="BB50" s="574"/>
      <c r="BC50" s="574"/>
      <c r="BD50" s="574"/>
      <c r="BE50" s="574"/>
      <c r="BF50" s="574"/>
      <c r="BG50" s="574"/>
      <c r="BH50" s="574"/>
      <c r="BI50" s="574"/>
      <c r="BJ50" s="574"/>
      <c r="BK50" s="574"/>
      <c r="BL50" s="574"/>
      <c r="BM50" s="574"/>
      <c r="BN50" s="574"/>
      <c r="BO50" s="574"/>
      <c r="BP50" s="574"/>
      <c r="BQ50" s="574"/>
      <c r="BR50" s="574"/>
      <c r="BS50" s="574"/>
      <c r="BT50" s="574"/>
      <c r="BU50" s="574"/>
      <c r="BV50" s="574"/>
      <c r="BW50" s="574"/>
      <c r="BX50" s="574"/>
      <c r="BY50" s="574"/>
      <c r="BZ50" s="574"/>
      <c r="CA50" s="574"/>
      <c r="CB50" s="574"/>
      <c r="CC50" s="574"/>
      <c r="CD50" s="574"/>
      <c r="CE50" s="574"/>
      <c r="CF50" s="574"/>
      <c r="CG50" s="574"/>
      <c r="CH50" s="574"/>
      <c r="CI50" s="574"/>
      <c r="CJ50" s="574"/>
      <c r="CK50" s="574"/>
      <c r="CL50" s="574"/>
      <c r="CM50" s="574"/>
      <c r="CN50" s="574"/>
      <c r="CO50" s="574"/>
      <c r="CP50" s="574"/>
      <c r="CQ50" s="574"/>
      <c r="CR50" s="574"/>
      <c r="CS50" s="574"/>
      <c r="CT50" s="574"/>
      <c r="CU50" s="574"/>
      <c r="CV50" s="574"/>
      <c r="CW50" s="574"/>
      <c r="CX50" s="574"/>
      <c r="CY50" s="574"/>
      <c r="CZ50" s="574"/>
      <c r="DA50" s="574"/>
      <c r="DB50" s="574"/>
      <c r="DC50" s="574"/>
      <c r="DD50" s="574"/>
      <c r="DE50" s="574"/>
      <c r="DF50" s="574"/>
      <c r="DG50" s="574"/>
      <c r="DH50" s="574"/>
      <c r="DI50" s="574"/>
      <c r="DJ50" s="574"/>
      <c r="DK50" s="574"/>
      <c r="DL50" s="574"/>
      <c r="DM50" s="574"/>
      <c r="DN50" s="574"/>
      <c r="DO50" s="574"/>
      <c r="DP50" s="574"/>
      <c r="DQ50" s="574"/>
      <c r="DR50" s="574"/>
      <c r="DS50" s="574"/>
      <c r="DT50" s="574"/>
      <c r="DU50" s="574"/>
      <c r="DV50" s="574"/>
      <c r="DW50" s="574"/>
      <c r="DX50" s="574"/>
      <c r="DY50" s="574"/>
      <c r="DZ50" s="574"/>
      <c r="EA50" s="574"/>
      <c r="EB50" s="574"/>
      <c r="EC50" s="574"/>
      <c r="ED50" s="574"/>
      <c r="EE50" s="574"/>
      <c r="EF50" s="574"/>
      <c r="EG50" s="574"/>
      <c r="EH50" s="574"/>
      <c r="EI50" s="574"/>
      <c r="EJ50" s="574"/>
      <c r="EK50" s="574"/>
      <c r="EL50" s="12"/>
      <c r="EM50" s="12"/>
      <c r="EN50" s="12"/>
      <c r="EO50" s="12"/>
      <c r="EP50" s="12"/>
      <c r="EQ50" s="12"/>
      <c r="ER50" s="12"/>
      <c r="ES50" s="12"/>
      <c r="ET50" s="12"/>
      <c r="EU50" s="12"/>
    </row>
    <row r="51">
      <c r="A51" s="12"/>
      <c r="B51" s="12"/>
      <c r="C51" s="12"/>
      <c r="D51" s="574"/>
      <c r="E51" s="574"/>
      <c r="F51" s="574"/>
      <c r="G51" s="574"/>
      <c r="H51" s="574"/>
      <c r="I51" s="574"/>
      <c r="J51" s="574"/>
      <c r="K51" s="574"/>
      <c r="L51" s="574"/>
      <c r="M51" s="574"/>
      <c r="N51" s="574"/>
      <c r="O51" s="574"/>
      <c r="P51" s="574"/>
      <c r="Q51" s="574"/>
      <c r="R51" s="574"/>
      <c r="S51" s="574"/>
      <c r="T51" s="574"/>
      <c r="U51" s="574"/>
      <c r="V51" s="574"/>
      <c r="W51" s="574"/>
      <c r="X51" s="574"/>
      <c r="Y51" s="574"/>
      <c r="Z51" s="574"/>
      <c r="AA51" s="574"/>
      <c r="AB51" s="574"/>
      <c r="AC51" s="574"/>
      <c r="AD51" s="574"/>
      <c r="AE51" s="574"/>
      <c r="AF51" s="574"/>
      <c r="AG51" s="574"/>
      <c r="AH51" s="574"/>
      <c r="AI51" s="574"/>
      <c r="AJ51" s="574"/>
      <c r="AK51" s="574"/>
      <c r="AL51" s="574"/>
      <c r="AM51" s="574"/>
      <c r="AN51" s="574"/>
      <c r="AO51" s="574"/>
      <c r="AP51" s="574"/>
      <c r="AQ51" s="574"/>
      <c r="AR51" s="574"/>
      <c r="AS51" s="574"/>
      <c r="AT51" s="574"/>
      <c r="AU51" s="574"/>
      <c r="AV51" s="574"/>
      <c r="AW51" s="574"/>
      <c r="AX51" s="574"/>
      <c r="AY51" s="574"/>
      <c r="AZ51" s="574"/>
      <c r="BA51" s="574"/>
      <c r="BB51" s="574"/>
      <c r="BC51" s="574"/>
      <c r="BD51" s="574"/>
      <c r="BE51" s="574"/>
      <c r="BF51" s="574"/>
      <c r="BG51" s="574"/>
      <c r="BH51" s="574"/>
      <c r="BI51" s="574"/>
      <c r="BJ51" s="574"/>
      <c r="BK51" s="574"/>
      <c r="BL51" s="574"/>
      <c r="BM51" s="574"/>
      <c r="BN51" s="574"/>
      <c r="BO51" s="581"/>
      <c r="BP51" s="581"/>
      <c r="BQ51" s="581"/>
      <c r="BR51" s="581"/>
      <c r="BS51" s="581"/>
      <c r="BT51" s="574"/>
      <c r="BU51" s="574"/>
      <c r="BV51" s="574"/>
      <c r="BW51" s="574"/>
      <c r="BX51" s="574"/>
      <c r="BY51" s="574"/>
      <c r="BZ51" s="574"/>
      <c r="CA51" s="574"/>
      <c r="CB51" s="574"/>
      <c r="CC51" s="574"/>
      <c r="CD51" s="574"/>
      <c r="CE51" s="574"/>
      <c r="CF51" s="581"/>
      <c r="CG51" s="581"/>
      <c r="CH51" s="581"/>
      <c r="CI51" s="581"/>
      <c r="CJ51" s="581"/>
      <c r="CK51" s="574"/>
      <c r="CL51" s="574"/>
      <c r="CM51" s="574"/>
      <c r="CN51" s="574"/>
      <c r="CO51" s="574"/>
      <c r="CP51" s="574"/>
      <c r="CQ51" s="574"/>
      <c r="CR51" s="574"/>
      <c r="CS51" s="574"/>
      <c r="CT51" s="574"/>
      <c r="CU51" s="574"/>
      <c r="CV51" s="574"/>
      <c r="CW51" s="581"/>
      <c r="CX51" s="581"/>
      <c r="CY51" s="581"/>
      <c r="CZ51" s="581"/>
      <c r="DA51" s="581"/>
      <c r="DB51" s="574"/>
      <c r="DC51" s="574"/>
      <c r="DD51" s="574"/>
      <c r="DE51" s="574"/>
      <c r="DF51" s="574"/>
      <c r="DG51" s="574"/>
      <c r="DH51" s="574"/>
      <c r="DI51" s="574"/>
      <c r="DJ51" s="574"/>
      <c r="DK51" s="574"/>
      <c r="DL51" s="574"/>
      <c r="DM51" s="574"/>
      <c r="DN51" s="581"/>
      <c r="DO51" s="581"/>
      <c r="DP51" s="581"/>
      <c r="DQ51" s="581"/>
      <c r="DR51" s="581"/>
      <c r="DS51" s="574"/>
      <c r="DT51" s="574"/>
      <c r="DU51" s="574"/>
      <c r="DV51" s="574"/>
      <c r="DW51" s="574"/>
      <c r="DX51" s="574"/>
      <c r="DY51" s="574"/>
      <c r="DZ51" s="574"/>
      <c r="EA51" s="574"/>
      <c r="EB51" s="574"/>
      <c r="EC51" s="574"/>
      <c r="ED51" s="574"/>
      <c r="EE51" s="581"/>
      <c r="EF51" s="581"/>
      <c r="EG51" s="581"/>
      <c r="EH51" s="581"/>
      <c r="EI51" s="581"/>
      <c r="EJ51" s="574"/>
      <c r="EK51" s="574"/>
      <c r="EL51" s="12"/>
      <c r="EM51" s="12"/>
      <c r="EN51" s="12"/>
      <c r="EO51" s="12"/>
      <c r="EP51" s="12"/>
      <c r="EQ51" s="12"/>
      <c r="ER51" s="12"/>
      <c r="ES51" s="12"/>
      <c r="ET51" s="12"/>
      <c r="EU51" s="12"/>
    </row>
    <row r="52">
      <c r="A52" s="493"/>
      <c r="B52" s="493" t="s">
        <v>52</v>
      </c>
      <c r="C52" s="493"/>
      <c r="D52" s="583"/>
      <c r="E52" s="583"/>
      <c r="F52" s="583"/>
      <c r="G52" s="583"/>
      <c r="H52" s="583"/>
      <c r="I52" s="583"/>
      <c r="J52" s="583"/>
      <c r="K52" s="583"/>
      <c r="L52" s="583"/>
      <c r="M52" s="583"/>
      <c r="N52" s="583"/>
      <c r="O52" s="583"/>
      <c r="P52" s="583"/>
      <c r="Q52" s="583"/>
      <c r="R52" s="583"/>
      <c r="S52" s="583"/>
      <c r="T52" s="583"/>
      <c r="U52" s="584">
        <f t="shared" ref="U52:BN52" si="153">SUM(U35:U51)</f>
        <v>0</v>
      </c>
      <c r="V52" s="584">
        <f t="shared" si="153"/>
        <v>0</v>
      </c>
      <c r="W52" s="584">
        <f t="shared" si="153"/>
        <v>0</v>
      </c>
      <c r="X52" s="584">
        <f t="shared" si="153"/>
        <v>0</v>
      </c>
      <c r="Y52" s="584">
        <f t="shared" si="153"/>
        <v>0</v>
      </c>
      <c r="Z52" s="584">
        <f t="shared" si="153"/>
        <v>0</v>
      </c>
      <c r="AA52" s="584">
        <f t="shared" si="153"/>
        <v>0</v>
      </c>
      <c r="AB52" s="584">
        <f t="shared" si="153"/>
        <v>0</v>
      </c>
      <c r="AC52" s="584">
        <f t="shared" si="153"/>
        <v>0</v>
      </c>
      <c r="AD52" s="584">
        <f t="shared" si="153"/>
        <v>0</v>
      </c>
      <c r="AE52" s="584">
        <f t="shared" si="153"/>
        <v>0</v>
      </c>
      <c r="AF52" s="584">
        <f t="shared" si="153"/>
        <v>0</v>
      </c>
      <c r="AG52" s="584">
        <f t="shared" si="153"/>
        <v>0</v>
      </c>
      <c r="AH52" s="584">
        <f t="shared" si="153"/>
        <v>0</v>
      </c>
      <c r="AI52" s="584">
        <f t="shared" si="153"/>
        <v>0</v>
      </c>
      <c r="AJ52" s="584">
        <f t="shared" si="153"/>
        <v>0</v>
      </c>
      <c r="AK52" s="584">
        <f t="shared" si="153"/>
        <v>0</v>
      </c>
      <c r="AL52" s="584">
        <f t="shared" si="153"/>
        <v>32057.04</v>
      </c>
      <c r="AM52" s="584">
        <f t="shared" si="153"/>
        <v>150586.39</v>
      </c>
      <c r="AN52" s="584">
        <f t="shared" si="153"/>
        <v>31421</v>
      </c>
      <c r="AO52" s="584">
        <f t="shared" si="153"/>
        <v>34182.75</v>
      </c>
      <c r="AP52" s="584">
        <f t="shared" si="153"/>
        <v>34720.09</v>
      </c>
      <c r="AQ52" s="584">
        <f t="shared" si="153"/>
        <v>31427.3</v>
      </c>
      <c r="AR52" s="584">
        <f t="shared" si="153"/>
        <v>39815.32</v>
      </c>
      <c r="AS52" s="584">
        <f t="shared" si="153"/>
        <v>58976.43964</v>
      </c>
      <c r="AT52" s="584">
        <f t="shared" si="153"/>
        <v>49636.46951</v>
      </c>
      <c r="AU52" s="584">
        <f t="shared" si="153"/>
        <v>48291.60498</v>
      </c>
      <c r="AV52" s="584">
        <f t="shared" si="153"/>
        <v>80989.53</v>
      </c>
      <c r="AW52" s="584">
        <f t="shared" si="153"/>
        <v>14101.4</v>
      </c>
      <c r="AX52" s="584">
        <f t="shared" si="153"/>
        <v>214064.43</v>
      </c>
      <c r="AY52" s="584">
        <f t="shared" si="153"/>
        <v>100330.14</v>
      </c>
      <c r="AZ52" s="584">
        <f t="shared" si="153"/>
        <v>148428.2292</v>
      </c>
      <c r="BA52" s="584">
        <f t="shared" si="153"/>
        <v>143382.535</v>
      </c>
      <c r="BB52" s="584">
        <f t="shared" si="153"/>
        <v>606205.3341</v>
      </c>
      <c r="BC52" s="584">
        <f t="shared" si="153"/>
        <v>33464.31857</v>
      </c>
      <c r="BD52" s="584">
        <f t="shared" si="153"/>
        <v>62100.47292</v>
      </c>
      <c r="BE52" s="584">
        <f t="shared" si="153"/>
        <v>35295.29908</v>
      </c>
      <c r="BF52" s="584">
        <f t="shared" si="153"/>
        <v>43171.95954</v>
      </c>
      <c r="BG52" s="584">
        <f t="shared" si="153"/>
        <v>45110.55537</v>
      </c>
      <c r="BH52" s="584">
        <f t="shared" si="153"/>
        <v>37766.68226</v>
      </c>
      <c r="BI52" s="584">
        <f t="shared" si="153"/>
        <v>58916.26216</v>
      </c>
      <c r="BJ52" s="584">
        <f t="shared" si="153"/>
        <v>62834.38266</v>
      </c>
      <c r="BK52" s="584">
        <f t="shared" si="153"/>
        <v>48279.32017</v>
      </c>
      <c r="BL52" s="584">
        <f t="shared" si="153"/>
        <v>22053.33524</v>
      </c>
      <c r="BM52" s="584">
        <f t="shared" si="153"/>
        <v>15431.5087</v>
      </c>
      <c r="BN52" s="585">
        <f t="shared" si="153"/>
        <v>27497.49075</v>
      </c>
      <c r="BO52" s="586">
        <f>SUM(BC52:BE52)</f>
        <v>130860.0906</v>
      </c>
      <c r="BP52" s="586">
        <f>SUM(BF52:BH52)</f>
        <v>126049.1972</v>
      </c>
      <c r="BQ52" s="586">
        <f>SUM(BI52:BK52)</f>
        <v>170029.965</v>
      </c>
      <c r="BR52" s="587">
        <f>SUM(BL52:BN52)</f>
        <v>64982.33469</v>
      </c>
      <c r="BS52" s="586">
        <f>SUM(BO52:BR52)</f>
        <v>491921.5874</v>
      </c>
      <c r="BT52" s="584">
        <f t="shared" ref="BT52:CE52" si="154">SUM(BT35:BT51)</f>
        <v>16439.52765</v>
      </c>
      <c r="BU52" s="584">
        <f t="shared" si="154"/>
        <v>15602.14587</v>
      </c>
      <c r="BV52" s="584">
        <f t="shared" si="154"/>
        <v>18632.03779</v>
      </c>
      <c r="BW52" s="584">
        <f t="shared" si="154"/>
        <v>7757.215745</v>
      </c>
      <c r="BX52" s="584">
        <f t="shared" si="154"/>
        <v>11362.31994</v>
      </c>
      <c r="BY52" s="584">
        <f t="shared" si="154"/>
        <v>24923.74009</v>
      </c>
      <c r="BZ52" s="584">
        <f t="shared" si="154"/>
        <v>21476.42</v>
      </c>
      <c r="CA52" s="584">
        <f t="shared" si="154"/>
        <v>24287.15</v>
      </c>
      <c r="CB52" s="584">
        <f t="shared" si="154"/>
        <v>18313.7</v>
      </c>
      <c r="CC52" s="584">
        <f t="shared" si="154"/>
        <v>15350.84316</v>
      </c>
      <c r="CD52" s="584">
        <f t="shared" si="154"/>
        <v>22479.5654</v>
      </c>
      <c r="CE52" s="585">
        <f t="shared" si="154"/>
        <v>16605.4811</v>
      </c>
      <c r="CF52" s="592">
        <f>SUM(BT52:BV52)</f>
        <v>50673.71131</v>
      </c>
      <c r="CG52" s="592">
        <f>SUM(BW52:BY52)</f>
        <v>44043.27578</v>
      </c>
      <c r="CH52" s="592">
        <f>SUM(BZ52:CB52)</f>
        <v>64077.27</v>
      </c>
      <c r="CI52" s="593">
        <f>SUM(CC52:CE52)</f>
        <v>54435.88966</v>
      </c>
      <c r="CJ52" s="592">
        <f>SUM(CF52:CI52)</f>
        <v>213230.1468</v>
      </c>
      <c r="CK52" s="584">
        <f t="shared" ref="CK52:CV52" si="155">SUM(CK35:CK36)</f>
        <v>43429.32603</v>
      </c>
      <c r="CL52" s="584">
        <f t="shared" si="155"/>
        <v>46994.98268</v>
      </c>
      <c r="CM52" s="584">
        <f t="shared" si="155"/>
        <v>39450.09253</v>
      </c>
      <c r="CN52" s="584">
        <f t="shared" si="155"/>
        <v>48944.17318</v>
      </c>
      <c r="CO52" s="584">
        <f t="shared" si="155"/>
        <v>52367.87524</v>
      </c>
      <c r="CP52" s="584">
        <f t="shared" si="155"/>
        <v>54078.04</v>
      </c>
      <c r="CQ52" s="584">
        <f t="shared" si="155"/>
        <v>66227.99</v>
      </c>
      <c r="CR52" s="584">
        <f t="shared" si="155"/>
        <v>59952.05</v>
      </c>
      <c r="CS52" s="584">
        <f t="shared" si="155"/>
        <v>58777.26172</v>
      </c>
      <c r="CT52" s="584">
        <f t="shared" si="155"/>
        <v>83876.23</v>
      </c>
      <c r="CU52" s="584">
        <f t="shared" si="155"/>
        <v>63454.3</v>
      </c>
      <c r="CV52" s="585">
        <f t="shared" si="155"/>
        <v>108479.88</v>
      </c>
      <c r="CW52" s="592">
        <f>SUM(CK52:CM52)</f>
        <v>129874.4012</v>
      </c>
      <c r="CX52" s="592">
        <f>SUM(CN52:CP52)</f>
        <v>155390.0884</v>
      </c>
      <c r="CY52" s="592">
        <f>SUM(CQ52:CS52)</f>
        <v>184957.3017</v>
      </c>
      <c r="CZ52" s="593">
        <f>SUM(CT52:CV52)</f>
        <v>255810.41</v>
      </c>
      <c r="DA52" s="592">
        <f>SUM(CW52:CZ52)</f>
        <v>726032.2014</v>
      </c>
      <c r="DB52" s="584">
        <f t="shared" ref="DB52:DM52" si="156">SUM(DB35:DB36)</f>
        <v>36243.7</v>
      </c>
      <c r="DC52" s="584">
        <f t="shared" si="156"/>
        <v>25671.77</v>
      </c>
      <c r="DD52" s="584">
        <f t="shared" si="156"/>
        <v>29180.42</v>
      </c>
      <c r="DE52" s="584">
        <f t="shared" si="156"/>
        <v>32461.66</v>
      </c>
      <c r="DF52" s="584">
        <f t="shared" si="156"/>
        <v>22917.78</v>
      </c>
      <c r="DG52" s="584">
        <f t="shared" si="156"/>
        <v>21789.3</v>
      </c>
      <c r="DH52" s="584">
        <f t="shared" si="156"/>
        <v>7549</v>
      </c>
      <c r="DI52" s="584">
        <f t="shared" si="156"/>
        <v>22950.17</v>
      </c>
      <c r="DJ52" s="584">
        <f t="shared" si="156"/>
        <v>13919.57</v>
      </c>
      <c r="DK52" s="584">
        <f t="shared" si="156"/>
        <v>25110.7</v>
      </c>
      <c r="DL52" s="584">
        <f t="shared" si="156"/>
        <v>23749.57</v>
      </c>
      <c r="DM52" s="585">
        <f t="shared" si="156"/>
        <v>45779.34</v>
      </c>
      <c r="DN52" s="592">
        <f>SUM(DB52:DD52)</f>
        <v>91095.89</v>
      </c>
      <c r="DO52" s="592">
        <f>SUM(DE52:DG52)</f>
        <v>77168.74</v>
      </c>
      <c r="DP52" s="592">
        <f>SUM(DH52:DJ52)</f>
        <v>44418.74</v>
      </c>
      <c r="DQ52" s="593">
        <f>SUM(DK52:DM52)</f>
        <v>94639.61</v>
      </c>
      <c r="DR52" s="592">
        <f>SUM(DN52:DQ52)</f>
        <v>307322.98</v>
      </c>
      <c r="DS52" s="584">
        <f t="shared" ref="DS52:ED52" si="157">SUM(DS35:DS36)</f>
        <v>41935.01</v>
      </c>
      <c r="DT52" s="584">
        <f t="shared" si="157"/>
        <v>69848.21</v>
      </c>
      <c r="DU52" s="584">
        <f t="shared" si="157"/>
        <v>63330.86</v>
      </c>
      <c r="DV52" s="584">
        <f t="shared" si="157"/>
        <v>65901.47</v>
      </c>
      <c r="DW52" s="584">
        <f t="shared" si="157"/>
        <v>40729.74</v>
      </c>
      <c r="DX52" s="584">
        <f t="shared" si="157"/>
        <v>39770.33</v>
      </c>
      <c r="DY52" s="584">
        <f t="shared" si="157"/>
        <v>44486.22</v>
      </c>
      <c r="DZ52" s="584">
        <f t="shared" si="157"/>
        <v>42086.88</v>
      </c>
      <c r="EA52" s="584">
        <f t="shared" si="157"/>
        <v>43408.91</v>
      </c>
      <c r="EB52" s="584">
        <f t="shared" si="157"/>
        <v>43828.1</v>
      </c>
      <c r="EC52" s="584">
        <f t="shared" si="157"/>
        <v>43667.4</v>
      </c>
      <c r="ED52" s="585">
        <f t="shared" si="157"/>
        <v>43867.44</v>
      </c>
      <c r="EE52" s="592">
        <f>SUM(DS52:DU52)</f>
        <v>175114.08</v>
      </c>
      <c r="EF52" s="592">
        <f>SUM(DV52:DX52)</f>
        <v>146401.54</v>
      </c>
      <c r="EG52" s="592">
        <f>SUM(DY52:EA52)</f>
        <v>129982.01</v>
      </c>
      <c r="EH52" s="593">
        <f>SUM(EB52:ED52)</f>
        <v>131362.94</v>
      </c>
      <c r="EI52" s="592">
        <f>SUM(EE52:EH52)</f>
        <v>582860.57</v>
      </c>
      <c r="EJ52" s="583"/>
      <c r="EK52" s="583"/>
      <c r="EL52" s="493"/>
      <c r="EM52" s="493"/>
      <c r="EN52" s="493"/>
      <c r="EO52" s="493"/>
      <c r="EP52" s="493"/>
      <c r="EQ52" s="493"/>
      <c r="ER52" s="493"/>
      <c r="ES52" s="493"/>
      <c r="ET52" s="493"/>
      <c r="EU52" s="493"/>
    </row>
    <row r="53">
      <c r="A53" s="12"/>
      <c r="B53" s="12" t="s">
        <v>161</v>
      </c>
      <c r="C53" s="12"/>
      <c r="D53" s="574"/>
      <c r="E53" s="574"/>
      <c r="F53" s="574"/>
      <c r="G53" s="574"/>
      <c r="H53" s="574"/>
      <c r="I53" s="574"/>
      <c r="J53" s="574"/>
      <c r="K53" s="574"/>
      <c r="L53" s="574"/>
      <c r="M53" s="574"/>
      <c r="N53" s="574"/>
      <c r="O53" s="574"/>
      <c r="P53" s="574"/>
      <c r="Q53" s="574"/>
      <c r="R53" s="574"/>
      <c r="S53" s="574"/>
      <c r="T53" s="574"/>
      <c r="U53" s="574"/>
      <c r="V53" s="574"/>
      <c r="W53" s="574"/>
      <c r="X53" s="574"/>
      <c r="Y53" s="574"/>
      <c r="Z53" s="574"/>
      <c r="AA53" s="574"/>
      <c r="AB53" s="574"/>
      <c r="AC53" s="574"/>
      <c r="AD53" s="574"/>
      <c r="AE53" s="574"/>
      <c r="AF53" s="574"/>
      <c r="AG53" s="574"/>
      <c r="AH53" s="574"/>
      <c r="AI53" s="574"/>
      <c r="AJ53" s="574"/>
      <c r="AK53" s="574"/>
      <c r="AL53" s="574"/>
      <c r="AM53" s="574"/>
      <c r="AN53" s="574"/>
      <c r="AO53" s="574"/>
      <c r="AP53" s="574"/>
      <c r="AQ53" s="574"/>
      <c r="AR53" s="574"/>
      <c r="AS53" s="574"/>
      <c r="AT53" s="574"/>
      <c r="AU53" s="574"/>
      <c r="AV53" s="574"/>
      <c r="AW53" s="574"/>
      <c r="AX53" s="574"/>
      <c r="AY53" s="574"/>
      <c r="AZ53" s="574"/>
      <c r="BA53" s="574"/>
      <c r="BB53" s="574"/>
      <c r="BC53" s="574"/>
      <c r="BD53" s="574"/>
      <c r="BE53" s="574"/>
      <c r="BF53" s="574"/>
      <c r="BG53" s="574"/>
      <c r="BH53" s="574"/>
      <c r="BI53" s="574"/>
      <c r="BJ53" s="574"/>
      <c r="BK53" s="574"/>
      <c r="BL53" s="574"/>
      <c r="BM53" s="574"/>
      <c r="BN53" s="574"/>
      <c r="BO53" s="574"/>
      <c r="BP53" s="574"/>
      <c r="BQ53" s="574"/>
      <c r="BR53" s="574"/>
      <c r="BS53" s="574"/>
      <c r="BT53" s="574"/>
      <c r="BU53" s="574"/>
      <c r="BV53" s="574"/>
      <c r="BW53" s="574"/>
      <c r="BX53" s="574"/>
      <c r="BY53" s="574"/>
      <c r="BZ53" s="574"/>
      <c r="CA53" s="574"/>
      <c r="CB53" s="574"/>
      <c r="CC53" s="574"/>
      <c r="CD53" s="574"/>
      <c r="CE53" s="574"/>
      <c r="CF53" s="574"/>
      <c r="CG53" s="574"/>
      <c r="CH53" s="574"/>
      <c r="CI53" s="574"/>
      <c r="CJ53" s="574"/>
      <c r="CK53" s="574"/>
      <c r="CL53" s="574"/>
      <c r="CM53" s="574"/>
      <c r="CN53" s="574"/>
      <c r="CO53" s="574"/>
      <c r="CP53" s="574"/>
      <c r="CQ53" s="574"/>
      <c r="CR53" s="574"/>
      <c r="CS53" s="574"/>
      <c r="CT53" s="574"/>
      <c r="CU53" s="574"/>
      <c r="CV53" s="574"/>
      <c r="CW53" s="574"/>
      <c r="CX53" s="574"/>
      <c r="CY53" s="574"/>
      <c r="CZ53" s="574"/>
      <c r="DA53" s="574"/>
      <c r="DB53" s="574"/>
      <c r="DC53" s="574"/>
      <c r="DD53" s="574"/>
      <c r="DE53" s="574"/>
      <c r="DF53" s="574"/>
      <c r="DG53" s="574"/>
      <c r="DH53" s="574"/>
      <c r="DI53" s="574"/>
      <c r="DJ53" s="574"/>
      <c r="DK53" s="574"/>
      <c r="DL53" s="574"/>
      <c r="DM53" s="574"/>
      <c r="DN53" s="574"/>
      <c r="DO53" s="574"/>
      <c r="DP53" s="574"/>
      <c r="DQ53" s="574"/>
      <c r="DR53" s="574"/>
      <c r="DS53" s="574"/>
      <c r="DT53" s="574"/>
      <c r="DU53" s="574"/>
      <c r="DV53" s="574"/>
      <c r="DW53" s="574"/>
      <c r="DX53" s="574"/>
      <c r="DY53" s="574"/>
      <c r="DZ53" s="574"/>
      <c r="EA53" s="574"/>
      <c r="EB53" s="574"/>
      <c r="EC53" s="574"/>
      <c r="ED53" s="574"/>
      <c r="EE53" s="574"/>
      <c r="EF53" s="574"/>
      <c r="EG53" s="574"/>
      <c r="EH53" s="574"/>
      <c r="EI53" s="574"/>
      <c r="EJ53" s="574"/>
      <c r="EK53" s="569">
        <v>-29.362485379442504</v>
      </c>
      <c r="EL53" s="12"/>
      <c r="EM53" s="12"/>
      <c r="EN53" s="12"/>
      <c r="EO53" s="12"/>
      <c r="EP53" s="12"/>
      <c r="EQ53" s="12"/>
      <c r="ER53" s="12"/>
      <c r="ES53" s="12"/>
      <c r="ET53" s="12"/>
      <c r="EU53" s="12"/>
    </row>
    <row r="54">
      <c r="A54" s="12"/>
      <c r="B54" s="552" t="s">
        <v>162</v>
      </c>
      <c r="C54" s="552"/>
      <c r="D54" s="574"/>
      <c r="E54" s="574"/>
      <c r="F54" s="574"/>
      <c r="G54" s="574"/>
      <c r="H54" s="574"/>
      <c r="I54" s="574"/>
      <c r="J54" s="574"/>
      <c r="K54" s="574"/>
      <c r="L54" s="574"/>
      <c r="M54" s="574"/>
      <c r="N54" s="574"/>
      <c r="O54" s="574"/>
      <c r="P54" s="574"/>
      <c r="Q54" s="574"/>
      <c r="R54" s="574"/>
      <c r="S54" s="574"/>
      <c r="T54" s="574"/>
      <c r="U54" s="574"/>
      <c r="V54" s="574"/>
      <c r="W54" s="574"/>
      <c r="X54" s="574"/>
      <c r="Y54" s="574"/>
      <c r="Z54" s="574"/>
      <c r="AA54" s="574"/>
      <c r="AB54" s="574"/>
      <c r="AC54" s="574"/>
      <c r="AD54" s="574"/>
      <c r="AE54" s="574"/>
      <c r="AF54" s="574"/>
      <c r="AG54" s="574"/>
      <c r="AH54" s="574"/>
      <c r="AI54" s="574"/>
      <c r="AJ54" s="574"/>
      <c r="AK54" s="574"/>
      <c r="AL54" s="574"/>
      <c r="AM54" s="574"/>
      <c r="AN54" s="574"/>
      <c r="AO54" s="574"/>
      <c r="AP54" s="574"/>
      <c r="AQ54" s="574"/>
      <c r="AR54" s="574"/>
      <c r="AS54" s="574"/>
      <c r="AT54" s="574"/>
      <c r="AU54" s="574"/>
      <c r="AV54" s="574"/>
      <c r="AW54" s="574"/>
      <c r="AX54" s="574"/>
      <c r="AY54" s="574"/>
      <c r="AZ54" s="574"/>
      <c r="BA54" s="574"/>
      <c r="BB54" s="574"/>
      <c r="BC54" s="574"/>
      <c r="BD54" s="574"/>
      <c r="BE54" s="574"/>
      <c r="BF54" s="574"/>
      <c r="BG54" s="574"/>
      <c r="BH54" s="574"/>
      <c r="BI54" s="574"/>
      <c r="BJ54" s="574"/>
      <c r="BK54" s="574"/>
      <c r="BL54" s="574"/>
      <c r="BM54" s="574"/>
      <c r="BN54" s="574"/>
      <c r="BO54" s="574"/>
      <c r="BP54" s="569">
        <f t="shared" ref="BP54:BR54" si="158">BP52/BO52*100-100</f>
        <v>-3.676364101</v>
      </c>
      <c r="BQ54" s="569">
        <f t="shared" si="158"/>
        <v>34.89174767</v>
      </c>
      <c r="BR54" s="569">
        <f t="shared" si="158"/>
        <v>-61.78183376</v>
      </c>
      <c r="BS54" s="574"/>
      <c r="BT54" s="574"/>
      <c r="BU54" s="574"/>
      <c r="BV54" s="574"/>
      <c r="BW54" s="574"/>
      <c r="BX54" s="574"/>
      <c r="BY54" s="574"/>
      <c r="BZ54" s="574"/>
      <c r="CA54" s="574"/>
      <c r="CB54" s="574"/>
      <c r="CC54" s="574"/>
      <c r="CD54" s="574"/>
      <c r="CE54" s="574"/>
      <c r="CF54" s="578">
        <f>CF52/BR52*100-100</f>
        <v>-22.019251</v>
      </c>
      <c r="CG54" s="578">
        <f t="shared" ref="CG54:CI54" si="159">CG52/CF52*100-100</f>
        <v>-13.08456664</v>
      </c>
      <c r="CH54" s="578">
        <f t="shared" si="159"/>
        <v>45.48706667</v>
      </c>
      <c r="CI54" s="578">
        <f t="shared" si="159"/>
        <v>-15.04649049</v>
      </c>
      <c r="CJ54" s="574"/>
      <c r="CK54" s="574"/>
      <c r="CL54" s="574"/>
      <c r="CM54" s="574"/>
      <c r="CN54" s="574"/>
      <c r="CO54" s="574"/>
      <c r="CP54" s="574"/>
      <c r="CQ54" s="574"/>
      <c r="CR54" s="574"/>
      <c r="CS54" s="574"/>
      <c r="CT54" s="574"/>
      <c r="CU54" s="574"/>
      <c r="CV54" s="574"/>
      <c r="CW54" s="578">
        <f>CW52/CI52*100-100</f>
        <v>138.5823067</v>
      </c>
      <c r="CX54" s="578">
        <f t="shared" ref="CX54:CZ54" si="160">CX52/CW52*100-100</f>
        <v>19.64643297</v>
      </c>
      <c r="CY54" s="578">
        <f t="shared" si="160"/>
        <v>19.02773439</v>
      </c>
      <c r="CZ54" s="578">
        <f t="shared" si="160"/>
        <v>38.30781895</v>
      </c>
      <c r="DA54" s="574"/>
      <c r="DB54" s="574"/>
      <c r="DC54" s="574"/>
      <c r="DD54" s="574"/>
      <c r="DE54" s="574"/>
      <c r="DF54" s="574"/>
      <c r="DG54" s="574"/>
      <c r="DH54" s="574"/>
      <c r="DI54" s="574"/>
      <c r="DJ54" s="574"/>
      <c r="DK54" s="574"/>
      <c r="DL54" s="574"/>
      <c r="DM54" s="574"/>
      <c r="DN54" s="578">
        <f>DN52/CZ52*100-100</f>
        <v>-64.38929518</v>
      </c>
      <c r="DO54" s="578">
        <f t="shared" ref="DO54:DQ54" si="161">DO52/DN52*100-100</f>
        <v>-15.28845044</v>
      </c>
      <c r="DP54" s="578">
        <f t="shared" si="161"/>
        <v>-42.43946448</v>
      </c>
      <c r="DQ54" s="578">
        <f t="shared" si="161"/>
        <v>113.0623471</v>
      </c>
      <c r="DR54" s="574"/>
      <c r="DS54" s="574"/>
      <c r="DT54" s="574"/>
      <c r="DU54" s="574"/>
      <c r="DV54" s="574"/>
      <c r="DW54" s="574"/>
      <c r="DX54" s="574"/>
      <c r="DY54" s="574"/>
      <c r="DZ54" s="574"/>
      <c r="EA54" s="574"/>
      <c r="EB54" s="574"/>
      <c r="EC54" s="574"/>
      <c r="ED54" s="574"/>
      <c r="EE54" s="578">
        <f>EE52/DQ52*100-100</f>
        <v>85.0325461</v>
      </c>
      <c r="EF54" s="578">
        <f t="shared" ref="EF54:EH54" si="162">EF52/EE52*100-100</f>
        <v>-16.39647709</v>
      </c>
      <c r="EG54" s="578">
        <f t="shared" si="162"/>
        <v>-11.21540798</v>
      </c>
      <c r="EH54" s="596">
        <f t="shared" si="162"/>
        <v>1.062400866</v>
      </c>
      <c r="EI54" s="574"/>
      <c r="EJ54" s="574"/>
      <c r="EK54" s="574"/>
      <c r="EL54" s="12"/>
      <c r="EM54" s="12"/>
      <c r="EN54" s="12"/>
      <c r="EO54" s="12"/>
      <c r="EP54" s="12"/>
      <c r="EQ54" s="12"/>
      <c r="ER54" s="12"/>
      <c r="ES54" s="12"/>
      <c r="ET54" s="12"/>
      <c r="EU54" s="12"/>
    </row>
    <row r="55">
      <c r="A55" s="12"/>
      <c r="B55" s="552" t="s">
        <v>164</v>
      </c>
      <c r="C55" s="552"/>
      <c r="D55" s="574"/>
      <c r="E55" s="574"/>
      <c r="F55" s="574"/>
      <c r="G55" s="574"/>
      <c r="H55" s="574"/>
      <c r="I55" s="574"/>
      <c r="J55" s="574"/>
      <c r="K55" s="574"/>
      <c r="L55" s="574"/>
      <c r="M55" s="574"/>
      <c r="N55" s="574"/>
      <c r="O55" s="574"/>
      <c r="P55" s="574"/>
      <c r="Q55" s="574"/>
      <c r="R55" s="574"/>
      <c r="S55" s="574"/>
      <c r="T55" s="574"/>
      <c r="U55" s="574"/>
      <c r="V55" s="574"/>
      <c r="W55" s="574"/>
      <c r="X55" s="574"/>
      <c r="Y55" s="574"/>
      <c r="Z55" s="574"/>
      <c r="AA55" s="574"/>
      <c r="AB55" s="574"/>
      <c r="AC55" s="574"/>
      <c r="AD55" s="574"/>
      <c r="AE55" s="574"/>
      <c r="AF55" s="574"/>
      <c r="AG55" s="574"/>
      <c r="AH55" s="574"/>
      <c r="AI55" s="574"/>
      <c r="AJ55" s="574"/>
      <c r="AK55" s="574"/>
      <c r="AL55" s="574"/>
      <c r="AM55" s="574"/>
      <c r="AN55" s="574"/>
      <c r="AO55" s="574"/>
      <c r="AP55" s="574"/>
      <c r="AQ55" s="574"/>
      <c r="AR55" s="574"/>
      <c r="AS55" s="574"/>
      <c r="AT55" s="574"/>
      <c r="AU55" s="574"/>
      <c r="AV55" s="574"/>
      <c r="AW55" s="574"/>
      <c r="AX55" s="574"/>
      <c r="AY55" s="574"/>
      <c r="AZ55" s="574"/>
      <c r="BA55" s="574"/>
      <c r="BB55" s="574"/>
      <c r="BC55" s="574"/>
      <c r="BD55" s="574"/>
      <c r="BE55" s="574"/>
      <c r="BF55" s="574"/>
      <c r="BG55" s="574"/>
      <c r="BH55" s="574"/>
      <c r="BI55" s="574"/>
      <c r="BJ55" s="574"/>
      <c r="BK55" s="574"/>
      <c r="BL55" s="574"/>
      <c r="BM55" s="574"/>
      <c r="BN55" s="574"/>
      <c r="BO55" s="574"/>
      <c r="BP55" s="574"/>
      <c r="BQ55" s="574"/>
      <c r="BR55" s="574"/>
      <c r="BS55" s="574"/>
      <c r="BT55" s="574"/>
      <c r="BU55" s="574"/>
      <c r="BV55" s="574"/>
      <c r="BW55" s="574"/>
      <c r="BX55" s="574"/>
      <c r="BY55" s="574"/>
      <c r="BZ55" s="574"/>
      <c r="CA55" s="574"/>
      <c r="CB55" s="574"/>
      <c r="CC55" s="574"/>
      <c r="CD55" s="574"/>
      <c r="CE55" s="574"/>
      <c r="CF55" s="578">
        <f t="shared" ref="CF55:CJ55" si="163">CF52/BO52*100-100</f>
        <v>-61.27642042</v>
      </c>
      <c r="CG55" s="578">
        <f t="shared" si="163"/>
        <v>-65.0586622</v>
      </c>
      <c r="CH55" s="578">
        <f t="shared" si="163"/>
        <v>-62.31413092</v>
      </c>
      <c r="CI55" s="578">
        <f t="shared" si="163"/>
        <v>-16.22971085</v>
      </c>
      <c r="CJ55" s="578">
        <f t="shared" si="163"/>
        <v>-56.65363094</v>
      </c>
      <c r="CK55" s="574"/>
      <c r="CL55" s="574"/>
      <c r="CM55" s="574"/>
      <c r="CN55" s="574"/>
      <c r="CO55" s="574"/>
      <c r="CP55" s="574"/>
      <c r="CQ55" s="574"/>
      <c r="CR55" s="574"/>
      <c r="CS55" s="574"/>
      <c r="CT55" s="574"/>
      <c r="CU55" s="574"/>
      <c r="CV55" s="574"/>
      <c r="CW55" s="578">
        <f t="shared" ref="CW55:DA55" si="164">CW52/CF52*100-100</f>
        <v>156.29542</v>
      </c>
      <c r="CX55" s="578">
        <f t="shared" si="164"/>
        <v>252.8122867</v>
      </c>
      <c r="CY55" s="578">
        <f t="shared" si="164"/>
        <v>188.6472874</v>
      </c>
      <c r="CZ55" s="578">
        <f t="shared" si="164"/>
        <v>369.9296945</v>
      </c>
      <c r="DA55" s="578">
        <f t="shared" si="164"/>
        <v>240.4922861</v>
      </c>
      <c r="DB55" s="574"/>
      <c r="DC55" s="574"/>
      <c r="DD55" s="574"/>
      <c r="DE55" s="574"/>
      <c r="DF55" s="574"/>
      <c r="DG55" s="574"/>
      <c r="DH55" s="574"/>
      <c r="DI55" s="574"/>
      <c r="DJ55" s="574"/>
      <c r="DK55" s="574"/>
      <c r="DL55" s="574"/>
      <c r="DM55" s="574"/>
      <c r="DN55" s="578">
        <f t="shared" ref="DN55:DR55" si="165">DN52/CW52*100-100</f>
        <v>-29.85847162</v>
      </c>
      <c r="DO55" s="578">
        <f t="shared" si="165"/>
        <v>-50.3386987</v>
      </c>
      <c r="DP55" s="578">
        <f t="shared" si="165"/>
        <v>-75.98432742</v>
      </c>
      <c r="DQ55" s="578">
        <f t="shared" si="165"/>
        <v>-63.00400363</v>
      </c>
      <c r="DR55" s="578">
        <f t="shared" si="165"/>
        <v>-57.67088851</v>
      </c>
      <c r="DS55" s="574"/>
      <c r="DT55" s="574"/>
      <c r="DU55" s="574"/>
      <c r="DV55" s="574"/>
      <c r="DW55" s="574"/>
      <c r="DX55" s="574"/>
      <c r="DY55" s="574"/>
      <c r="DZ55" s="574"/>
      <c r="EA55" s="574"/>
      <c r="EB55" s="574"/>
      <c r="EC55" s="574"/>
      <c r="ED55" s="574"/>
      <c r="EE55" s="578">
        <f t="shared" ref="EE55:EI55" si="166">EE52/DN52*100-100</f>
        <v>92.2304947</v>
      </c>
      <c r="EF55" s="578">
        <f t="shared" si="166"/>
        <v>89.7161208</v>
      </c>
      <c r="EG55" s="578">
        <f t="shared" si="166"/>
        <v>192.6287643</v>
      </c>
      <c r="EH55" s="578">
        <f t="shared" si="166"/>
        <v>38.80334038</v>
      </c>
      <c r="EI55" s="578">
        <f t="shared" si="166"/>
        <v>89.65733379</v>
      </c>
      <c r="EJ55" s="574"/>
      <c r="EK55" s="574"/>
      <c r="EL55" s="12"/>
      <c r="EM55" s="12"/>
      <c r="EN55" s="12"/>
      <c r="EO55" s="12"/>
      <c r="EP55" s="12"/>
      <c r="EQ55" s="12"/>
      <c r="ER55" s="12"/>
      <c r="ES55" s="12"/>
      <c r="ET55" s="12"/>
      <c r="EU55" s="12"/>
    </row>
    <row r="56">
      <c r="A56" s="12"/>
      <c r="B56" s="552" t="s">
        <v>148</v>
      </c>
      <c r="C56" s="552"/>
      <c r="D56" s="574"/>
      <c r="E56" s="574"/>
      <c r="F56" s="574"/>
      <c r="G56" s="574"/>
      <c r="H56" s="574"/>
      <c r="I56" s="574"/>
      <c r="J56" s="574"/>
      <c r="K56" s="574"/>
      <c r="L56" s="574"/>
      <c r="M56" s="574"/>
      <c r="N56" s="574"/>
      <c r="O56" s="574"/>
      <c r="P56" s="574"/>
      <c r="Q56" s="574"/>
      <c r="R56" s="574"/>
      <c r="S56" s="574"/>
      <c r="T56" s="574"/>
      <c r="U56" s="574"/>
      <c r="V56" s="574"/>
      <c r="W56" s="574"/>
      <c r="X56" s="574"/>
      <c r="Y56" s="574"/>
      <c r="Z56" s="574"/>
      <c r="AA56" s="574"/>
      <c r="AB56" s="574"/>
      <c r="AC56" s="574"/>
      <c r="AD56" s="574"/>
      <c r="AE56" s="574"/>
      <c r="AF56" s="574"/>
      <c r="AG56" s="574"/>
      <c r="AH56" s="574"/>
      <c r="AI56" s="574"/>
      <c r="AJ56" s="574"/>
      <c r="AK56" s="574"/>
      <c r="AL56" s="574"/>
      <c r="AM56" s="574"/>
      <c r="AN56" s="574"/>
      <c r="AO56" s="574"/>
      <c r="AP56" s="574"/>
      <c r="AQ56" s="574"/>
      <c r="AR56" s="574"/>
      <c r="AS56" s="574"/>
      <c r="AT56" s="574"/>
      <c r="AU56" s="574"/>
      <c r="AV56" s="574"/>
      <c r="AW56" s="574"/>
      <c r="AX56" s="574"/>
      <c r="AY56" s="574"/>
      <c r="AZ56" s="574"/>
      <c r="BA56" s="574"/>
      <c r="BB56" s="574"/>
      <c r="BC56" s="574"/>
      <c r="BD56" s="574"/>
      <c r="BE56" s="574"/>
      <c r="BF56" s="574"/>
      <c r="BG56" s="574"/>
      <c r="BH56" s="574"/>
      <c r="BI56" s="574"/>
      <c r="BJ56" s="574"/>
      <c r="BK56" s="574"/>
      <c r="BL56" s="574"/>
      <c r="BM56" s="574"/>
      <c r="BN56" s="574"/>
      <c r="BO56" s="574"/>
      <c r="BP56" s="574"/>
      <c r="BQ56" s="574"/>
      <c r="BR56" s="574"/>
      <c r="BS56" s="574"/>
      <c r="BT56" s="574"/>
      <c r="BU56" s="574"/>
      <c r="BV56" s="574"/>
      <c r="BW56" s="574"/>
      <c r="BX56" s="574"/>
      <c r="BY56" s="574"/>
      <c r="BZ56" s="574"/>
      <c r="CA56" s="574"/>
      <c r="CB56" s="574"/>
      <c r="CC56" s="574"/>
      <c r="CD56" s="574"/>
      <c r="CE56" s="574"/>
      <c r="CF56" s="574"/>
      <c r="CG56" s="574"/>
      <c r="CH56" s="574"/>
      <c r="CI56" s="574"/>
      <c r="CJ56" s="574"/>
      <c r="CK56" s="574"/>
      <c r="CL56" s="574"/>
      <c r="CM56" s="574"/>
      <c r="CN56" s="574"/>
      <c r="CO56" s="574"/>
      <c r="CP56" s="574"/>
      <c r="CQ56" s="574"/>
      <c r="CR56" s="574"/>
      <c r="CS56" s="574"/>
      <c r="CT56" s="574"/>
      <c r="CU56" s="574"/>
      <c r="CV56" s="574"/>
      <c r="CW56" s="574"/>
      <c r="CX56" s="574"/>
      <c r="CY56" s="574"/>
      <c r="CZ56" s="574"/>
      <c r="DA56" s="574"/>
      <c r="DB56" s="574"/>
      <c r="DC56" s="574"/>
      <c r="DD56" s="574"/>
      <c r="DE56" s="574"/>
      <c r="DF56" s="574"/>
      <c r="DG56" s="574"/>
      <c r="DH56" s="574"/>
      <c r="DI56" s="574"/>
      <c r="DJ56" s="574"/>
      <c r="DK56" s="574"/>
      <c r="DL56" s="574"/>
      <c r="DM56" s="574"/>
      <c r="DN56" s="574"/>
      <c r="DO56" s="574"/>
      <c r="DP56" s="574"/>
      <c r="DQ56" s="574"/>
      <c r="DR56" s="574"/>
      <c r="DS56" s="574"/>
      <c r="DT56" s="574"/>
      <c r="DU56" s="574"/>
      <c r="DV56" s="574"/>
      <c r="DW56" s="574"/>
      <c r="DX56" s="574"/>
      <c r="DY56" s="574"/>
      <c r="DZ56" s="574"/>
      <c r="EA56" s="574"/>
      <c r="EB56" s="574"/>
      <c r="EC56" s="574"/>
      <c r="ED56" s="574"/>
      <c r="EE56" s="574"/>
      <c r="EF56" s="574"/>
      <c r="EG56" s="574"/>
      <c r="EH56" s="574"/>
      <c r="EI56" s="574"/>
      <c r="EJ56" s="574"/>
      <c r="EK56" s="574"/>
      <c r="EL56" s="577">
        <v>0.19642040097800847</v>
      </c>
      <c r="EM56" s="12"/>
      <c r="EN56" s="12"/>
      <c r="EO56" s="12"/>
      <c r="EP56" s="12"/>
      <c r="EQ56" s="12"/>
      <c r="ER56" s="12"/>
      <c r="ES56" s="12"/>
      <c r="ET56" s="12"/>
      <c r="EU56" s="12"/>
    </row>
    <row r="57">
      <c r="A57" s="12"/>
      <c r="B57" s="552"/>
      <c r="C57" s="552"/>
      <c r="D57" s="574"/>
      <c r="E57" s="574"/>
      <c r="F57" s="574"/>
      <c r="G57" s="574"/>
      <c r="H57" s="574"/>
      <c r="I57" s="574"/>
      <c r="J57" s="574"/>
      <c r="K57" s="574"/>
      <c r="L57" s="574"/>
      <c r="M57" s="574"/>
      <c r="N57" s="574"/>
      <c r="O57" s="574"/>
      <c r="P57" s="574"/>
      <c r="Q57" s="574"/>
      <c r="R57" s="574"/>
      <c r="S57" s="574"/>
      <c r="T57" s="574"/>
      <c r="U57" s="574"/>
      <c r="V57" s="574"/>
      <c r="W57" s="574"/>
      <c r="X57" s="574"/>
      <c r="Y57" s="574"/>
      <c r="Z57" s="574"/>
      <c r="AA57" s="574"/>
      <c r="AB57" s="574"/>
      <c r="AC57" s="574"/>
      <c r="AD57" s="574"/>
      <c r="AE57" s="574"/>
      <c r="AF57" s="574"/>
      <c r="AG57" s="574"/>
      <c r="AH57" s="574"/>
      <c r="AI57" s="574"/>
      <c r="AJ57" s="574"/>
      <c r="AK57" s="574"/>
      <c r="AL57" s="574"/>
      <c r="AM57" s="574"/>
      <c r="AN57" s="574"/>
      <c r="AO57" s="574"/>
      <c r="AP57" s="574"/>
      <c r="AQ57" s="574"/>
      <c r="AR57" s="574"/>
      <c r="AS57" s="574"/>
      <c r="AT57" s="574"/>
      <c r="AU57" s="574"/>
      <c r="AV57" s="574"/>
      <c r="AW57" s="574"/>
      <c r="AX57" s="574"/>
      <c r="AY57" s="574"/>
      <c r="AZ57" s="574"/>
      <c r="BA57" s="574"/>
      <c r="BB57" s="574"/>
      <c r="BC57" s="574"/>
      <c r="BD57" s="574"/>
      <c r="BE57" s="574"/>
      <c r="BF57" s="574"/>
      <c r="BG57" s="574"/>
      <c r="BH57" s="574"/>
      <c r="BI57" s="574"/>
      <c r="BJ57" s="574"/>
      <c r="BK57" s="574"/>
      <c r="BL57" s="574"/>
      <c r="BM57" s="574"/>
      <c r="BN57" s="574"/>
      <c r="BO57" s="574"/>
      <c r="BP57" s="574"/>
      <c r="BQ57" s="574"/>
      <c r="BR57" s="574"/>
      <c r="BS57" s="574"/>
      <c r="BT57" s="574"/>
      <c r="BU57" s="574"/>
      <c r="BV57" s="574"/>
      <c r="BW57" s="574"/>
      <c r="BX57" s="574"/>
      <c r="BY57" s="574"/>
      <c r="BZ57" s="574"/>
      <c r="CA57" s="574"/>
      <c r="CB57" s="574"/>
      <c r="CC57" s="574"/>
      <c r="CD57" s="574"/>
      <c r="CE57" s="574"/>
      <c r="CF57" s="574"/>
      <c r="CG57" s="574"/>
      <c r="CH57" s="574"/>
      <c r="CI57" s="574"/>
      <c r="CJ57" s="574"/>
      <c r="CK57" s="574"/>
      <c r="CL57" s="574"/>
      <c r="CM57" s="574"/>
      <c r="CN57" s="574"/>
      <c r="CO57" s="574"/>
      <c r="CP57" s="574"/>
      <c r="CQ57" s="574"/>
      <c r="CR57" s="574"/>
      <c r="CS57" s="574"/>
      <c r="CT57" s="574"/>
      <c r="CU57" s="574"/>
      <c r="CV57" s="574"/>
      <c r="CW57" s="574"/>
      <c r="CX57" s="574"/>
      <c r="CY57" s="574"/>
      <c r="CZ57" s="574"/>
      <c r="DA57" s="574"/>
      <c r="DB57" s="574"/>
      <c r="DC57" s="574"/>
      <c r="DD57" s="574"/>
      <c r="DE57" s="574"/>
      <c r="DF57" s="574"/>
      <c r="DG57" s="574"/>
      <c r="DH57" s="574"/>
      <c r="DI57" s="574"/>
      <c r="DJ57" s="574"/>
      <c r="DK57" s="574"/>
      <c r="DL57" s="574"/>
      <c r="DM57" s="574"/>
      <c r="DN57" s="574"/>
      <c r="DO57" s="574"/>
      <c r="DP57" s="574"/>
      <c r="DQ57" s="574"/>
      <c r="DR57" s="574"/>
      <c r="DS57" s="574"/>
      <c r="DT57" s="574"/>
      <c r="DU57" s="574"/>
      <c r="DV57" s="574"/>
      <c r="DW57" s="574"/>
      <c r="DX57" s="574"/>
      <c r="DY57" s="574"/>
      <c r="DZ57" s="574"/>
      <c r="EA57" s="574">
        <f t="shared" ref="EA57:ED57" si="167">EA58*1000000</f>
        <v>145551.7256</v>
      </c>
      <c r="EB57" s="574">
        <f t="shared" si="167"/>
        <v>147380.7923</v>
      </c>
      <c r="EC57" s="574">
        <f t="shared" si="167"/>
        <v>146776.7362</v>
      </c>
      <c r="ED57" s="574">
        <f t="shared" si="167"/>
        <v>146108.8869</v>
      </c>
      <c r="EE57" s="574"/>
      <c r="EF57" s="574"/>
      <c r="EG57" s="574"/>
      <c r="EH57" s="574"/>
      <c r="EI57" s="574"/>
      <c r="EJ57" s="574"/>
      <c r="EK57" s="574"/>
      <c r="EL57" s="12"/>
      <c r="EM57" s="12"/>
      <c r="EN57" s="12"/>
      <c r="EO57" s="12"/>
      <c r="EP57" s="12"/>
      <c r="EQ57" s="12"/>
      <c r="ER57" s="12"/>
      <c r="ES57" s="12"/>
      <c r="ET57" s="12"/>
      <c r="EU57" s="12"/>
    </row>
    <row r="58">
      <c r="A58" s="493"/>
      <c r="B58" s="614" t="s">
        <v>181</v>
      </c>
      <c r="C58" s="614"/>
      <c r="D58" s="583"/>
      <c r="E58" s="583"/>
      <c r="F58" s="583"/>
      <c r="G58" s="583"/>
      <c r="H58" s="583"/>
      <c r="I58" s="583"/>
      <c r="J58" s="583"/>
      <c r="K58" s="583"/>
      <c r="L58" s="583"/>
      <c r="M58" s="583"/>
      <c r="N58" s="583"/>
      <c r="O58" s="583"/>
      <c r="P58" s="583"/>
      <c r="Q58" s="583"/>
      <c r="R58" s="583"/>
      <c r="S58" s="583"/>
      <c r="T58" s="583"/>
      <c r="U58" s="615" t="str">
        <f t="shared" ref="U58:EI58" si="168">U52/U20</f>
        <v>#DIV/0!</v>
      </c>
      <c r="V58" s="615" t="str">
        <f t="shared" si="168"/>
        <v>#DIV/0!</v>
      </c>
      <c r="W58" s="615" t="str">
        <f t="shared" si="168"/>
        <v>#DIV/0!</v>
      </c>
      <c r="X58" s="615" t="str">
        <f t="shared" si="168"/>
        <v>#DIV/0!</v>
      </c>
      <c r="Y58" s="615" t="str">
        <f t="shared" si="168"/>
        <v>#DIV/0!</v>
      </c>
      <c r="Z58" s="615" t="str">
        <f t="shared" si="168"/>
        <v>#DIV/0!</v>
      </c>
      <c r="AA58" s="615" t="str">
        <f t="shared" si="168"/>
        <v>#DIV/0!</v>
      </c>
      <c r="AB58" s="615" t="str">
        <f t="shared" si="168"/>
        <v>#DIV/0!</v>
      </c>
      <c r="AC58" s="615" t="str">
        <f t="shared" si="168"/>
        <v>#DIV/0!</v>
      </c>
      <c r="AD58" s="615" t="str">
        <f t="shared" si="168"/>
        <v>#DIV/0!</v>
      </c>
      <c r="AE58" s="615" t="str">
        <f t="shared" si="168"/>
        <v>#DIV/0!</v>
      </c>
      <c r="AF58" s="615" t="str">
        <f t="shared" si="168"/>
        <v>#DIV/0!</v>
      </c>
      <c r="AG58" s="615" t="str">
        <f t="shared" si="168"/>
        <v>#DIV/0!</v>
      </c>
      <c r="AH58" s="615" t="str">
        <f t="shared" si="168"/>
        <v>#DIV/0!</v>
      </c>
      <c r="AI58" s="615" t="str">
        <f t="shared" si="168"/>
        <v>#DIV/0!</v>
      </c>
      <c r="AJ58" s="615" t="str">
        <f t="shared" si="168"/>
        <v>#DIV/0!</v>
      </c>
      <c r="AK58" s="615" t="str">
        <f t="shared" si="168"/>
        <v>#DIV/0!</v>
      </c>
      <c r="AL58" s="584">
        <f t="shared" si="168"/>
        <v>0.1176613215</v>
      </c>
      <c r="AM58" s="584">
        <f t="shared" si="168"/>
        <v>0.4458159969</v>
      </c>
      <c r="AN58" s="584">
        <f t="shared" si="168"/>
        <v>0.08590253571</v>
      </c>
      <c r="AO58" s="584">
        <f t="shared" si="168"/>
        <v>0.5097011376</v>
      </c>
      <c r="AP58" s="584">
        <f t="shared" si="168"/>
        <v>0.1994079231</v>
      </c>
      <c r="AQ58" s="584">
        <f t="shared" si="168"/>
        <v>0.1758997235</v>
      </c>
      <c r="AR58" s="584">
        <f t="shared" si="168"/>
        <v>0.1345142155</v>
      </c>
      <c r="AS58" s="584">
        <f t="shared" si="168"/>
        <v>0.1332018241</v>
      </c>
      <c r="AT58" s="584">
        <f t="shared" si="168"/>
        <v>0.1331341013</v>
      </c>
      <c r="AU58" s="584">
        <f t="shared" si="168"/>
        <v>0.133752752</v>
      </c>
      <c r="AV58" s="584">
        <f t="shared" si="168"/>
        <v>0.2436124382</v>
      </c>
      <c r="AW58" s="584">
        <f t="shared" si="168"/>
        <v>0.07556963262</v>
      </c>
      <c r="AX58" s="584">
        <f t="shared" si="168"/>
        <v>0.2193274532</v>
      </c>
      <c r="AY58" s="584">
        <f t="shared" si="168"/>
        <v>0.2389687938</v>
      </c>
      <c r="AZ58" s="584">
        <f t="shared" si="168"/>
        <v>0.1335285741</v>
      </c>
      <c r="BA58" s="584">
        <f t="shared" si="168"/>
        <v>0.1629152471</v>
      </c>
      <c r="BB58" s="584">
        <f t="shared" si="168"/>
        <v>0.1789515386</v>
      </c>
      <c r="BC58" s="584">
        <f t="shared" si="168"/>
        <v>0.1220711005</v>
      </c>
      <c r="BD58" s="584">
        <f t="shared" si="168"/>
        <v>0.232261006</v>
      </c>
      <c r="BE58" s="584">
        <f t="shared" si="168"/>
        <v>0.1123315549</v>
      </c>
      <c r="BF58" s="584">
        <f t="shared" si="168"/>
        <v>0.1502818956</v>
      </c>
      <c r="BG58" s="584">
        <f t="shared" si="168"/>
        <v>0.1554833768</v>
      </c>
      <c r="BH58" s="584">
        <f t="shared" si="168"/>
        <v>0.1367107645</v>
      </c>
      <c r="BI58" s="584">
        <f t="shared" si="168"/>
        <v>0.1762691704</v>
      </c>
      <c r="BJ58" s="584">
        <f t="shared" si="168"/>
        <v>0.1760683523</v>
      </c>
      <c r="BK58" s="584">
        <f t="shared" si="168"/>
        <v>0.278747803</v>
      </c>
      <c r="BL58" s="584">
        <f t="shared" si="168"/>
        <v>0.08623711737</v>
      </c>
      <c r="BM58" s="584">
        <f t="shared" si="168"/>
        <v>0.1052149373</v>
      </c>
      <c r="BN58" s="584">
        <f t="shared" si="168"/>
        <v>1.06638486</v>
      </c>
      <c r="BO58" s="584">
        <f t="shared" si="168"/>
        <v>0.1529243118</v>
      </c>
      <c r="BP58" s="584">
        <f t="shared" si="168"/>
        <v>0.1476579521</v>
      </c>
      <c r="BQ58" s="584">
        <f t="shared" si="168"/>
        <v>0.1967219985</v>
      </c>
      <c r="BR58" s="584">
        <f t="shared" si="168"/>
        <v>0.1517636086</v>
      </c>
      <c r="BS58" s="584">
        <f t="shared" si="168"/>
        <v>0.1638716094</v>
      </c>
      <c r="BT58" s="584">
        <f t="shared" si="168"/>
        <v>0.28288295</v>
      </c>
      <c r="BU58" s="584">
        <f t="shared" si="168"/>
        <v>0.2644358</v>
      </c>
      <c r="BV58" s="584">
        <f t="shared" si="168"/>
        <v>0.27425852</v>
      </c>
      <c r="BW58" s="584">
        <f t="shared" si="168"/>
        <v>0.14074794</v>
      </c>
      <c r="BX58" s="584">
        <f t="shared" si="168"/>
        <v>0.27908183</v>
      </c>
      <c r="BY58" s="584">
        <f t="shared" si="168"/>
        <v>0.38893985</v>
      </c>
      <c r="BZ58" s="584">
        <f t="shared" si="168"/>
        <v>0.3085318833</v>
      </c>
      <c r="CA58" s="584">
        <f t="shared" si="168"/>
        <v>0.3176922087</v>
      </c>
      <c r="CB58" s="584">
        <f t="shared" si="168"/>
        <v>0.2409726856</v>
      </c>
      <c r="CC58" s="584">
        <f t="shared" si="168"/>
        <v>0.21236845</v>
      </c>
      <c r="CD58" s="584">
        <f t="shared" si="168"/>
        <v>0.29477168</v>
      </c>
      <c r="CE58" s="584">
        <f t="shared" si="168"/>
        <v>0.31159946</v>
      </c>
      <c r="CF58" s="616">
        <f t="shared" si="168"/>
        <v>0.2738351016</v>
      </c>
      <c r="CG58" s="616">
        <f t="shared" si="168"/>
        <v>0.275427674</v>
      </c>
      <c r="CH58" s="616">
        <f t="shared" si="168"/>
        <v>0.2885633266</v>
      </c>
      <c r="CI58" s="616">
        <f t="shared" si="168"/>
        <v>0.2697034894</v>
      </c>
      <c r="CJ58" s="616">
        <f t="shared" si="168"/>
        <v>0.2773354479</v>
      </c>
      <c r="CK58" s="584">
        <f t="shared" si="168"/>
        <v>0.2102394139</v>
      </c>
      <c r="CL58" s="584">
        <f t="shared" si="168"/>
        <v>0.1990092797</v>
      </c>
      <c r="CM58" s="584">
        <f t="shared" si="168"/>
        <v>0.1486812495</v>
      </c>
      <c r="CN58" s="584">
        <f t="shared" si="168"/>
        <v>0.2049318682</v>
      </c>
      <c r="CO58" s="584">
        <f t="shared" si="168"/>
        <v>0.2175315947</v>
      </c>
      <c r="CP58" s="584">
        <f t="shared" si="168"/>
        <v>0.1735821893</v>
      </c>
      <c r="CQ58" s="584">
        <f t="shared" si="168"/>
        <v>0.1948675628</v>
      </c>
      <c r="CR58" s="584">
        <f t="shared" si="168"/>
        <v>0.1795934048</v>
      </c>
      <c r="CS58" s="584">
        <f t="shared" si="168"/>
        <v>0.1503747051</v>
      </c>
      <c r="CT58" s="584">
        <f t="shared" si="168"/>
        <v>0.1936795692</v>
      </c>
      <c r="CU58" s="584">
        <f t="shared" si="168"/>
        <v>0.26590971</v>
      </c>
      <c r="CV58" s="584">
        <f t="shared" si="168"/>
        <v>0.6628814108</v>
      </c>
      <c r="CW58" s="616">
        <f t="shared" si="168"/>
        <v>0.1834257692</v>
      </c>
      <c r="CX58" s="616">
        <f t="shared" si="168"/>
        <v>0.196420401</v>
      </c>
      <c r="CY58" s="616">
        <f t="shared" si="168"/>
        <v>0.1737414992</v>
      </c>
      <c r="CZ58" s="616">
        <f t="shared" si="168"/>
        <v>0.3062325118</v>
      </c>
      <c r="DA58" s="616">
        <f t="shared" si="168"/>
        <v>0.2135979306</v>
      </c>
      <c r="DB58" s="584">
        <f t="shared" si="168"/>
        <v>0.2192707451</v>
      </c>
      <c r="DC58" s="584">
        <f t="shared" si="168"/>
        <v>0.1818938471</v>
      </c>
      <c r="DD58" s="584">
        <f t="shared" si="168"/>
        <v>0.1765076427</v>
      </c>
      <c r="DE58" s="584">
        <f t="shared" si="168"/>
        <v>0.197</v>
      </c>
      <c r="DF58" s="584">
        <f t="shared" si="168"/>
        <v>0.2462715052</v>
      </c>
      <c r="DG58" s="584">
        <f t="shared" si="168"/>
        <v>0.2060278558</v>
      </c>
      <c r="DH58" s="584">
        <f t="shared" si="168"/>
        <v>0.06725826139</v>
      </c>
      <c r="DI58" s="584">
        <f t="shared" si="168"/>
        <v>0.218269549</v>
      </c>
      <c r="DJ58" s="584">
        <f t="shared" si="168"/>
        <v>0.1312844963</v>
      </c>
      <c r="DK58" s="584">
        <f t="shared" si="168"/>
        <v>0.297125852</v>
      </c>
      <c r="DL58" s="584">
        <f t="shared" si="168"/>
        <v>0.2553634829</v>
      </c>
      <c r="DM58" s="584">
        <f t="shared" si="168"/>
        <v>0.2255851106</v>
      </c>
      <c r="DN58" s="616">
        <f t="shared" si="168"/>
        <v>0.1931024549</v>
      </c>
      <c r="DO58" s="616">
        <f t="shared" si="168"/>
        <v>0.2122364259</v>
      </c>
      <c r="DP58" s="616">
        <f t="shared" si="168"/>
        <v>0.1373445554</v>
      </c>
      <c r="DQ58" s="616">
        <f t="shared" si="168"/>
        <v>0.2487563707</v>
      </c>
      <c r="DR58" s="616">
        <f t="shared" si="168"/>
        <v>0.1996629308</v>
      </c>
      <c r="DS58" s="584">
        <f t="shared" si="168"/>
        <v>0.2263282852</v>
      </c>
      <c r="DT58" s="584">
        <f t="shared" si="168"/>
        <v>0.2689389051</v>
      </c>
      <c r="DU58" s="584">
        <f t="shared" si="168"/>
        <v>0.2789696807</v>
      </c>
      <c r="DV58" s="584">
        <f t="shared" si="168"/>
        <v>0.2605820855</v>
      </c>
      <c r="DW58" s="584">
        <f t="shared" si="168"/>
        <v>0.1523843267</v>
      </c>
      <c r="DX58" s="584">
        <f t="shared" si="168"/>
        <v>0.1475839407</v>
      </c>
      <c r="DY58" s="615">
        <f t="shared" si="168"/>
        <v>0.145374578</v>
      </c>
      <c r="DZ58" s="615">
        <f t="shared" si="168"/>
        <v>0.144185986</v>
      </c>
      <c r="EA58" s="615">
        <f t="shared" si="168"/>
        <v>0.1455517256</v>
      </c>
      <c r="EB58" s="615">
        <f t="shared" si="168"/>
        <v>0.1473807923</v>
      </c>
      <c r="EC58" s="615">
        <f t="shared" si="168"/>
        <v>0.1467767362</v>
      </c>
      <c r="ED58" s="615">
        <f t="shared" si="168"/>
        <v>0.1461088869</v>
      </c>
      <c r="EE58" s="616">
        <f t="shared" si="168"/>
        <v>0.2605791541</v>
      </c>
      <c r="EF58" s="616">
        <f t="shared" si="168"/>
        <v>0.1853981967</v>
      </c>
      <c r="EG58" s="617">
        <f t="shared" si="168"/>
        <v>0.1450463822</v>
      </c>
      <c r="EH58" s="617">
        <f t="shared" si="168"/>
        <v>0.1467534104</v>
      </c>
      <c r="EI58" s="616">
        <f t="shared" si="168"/>
        <v>0.1791792528</v>
      </c>
      <c r="EJ58" s="583"/>
      <c r="EK58" s="583"/>
      <c r="EL58" s="493"/>
      <c r="EM58" s="493"/>
      <c r="EN58" s="493"/>
      <c r="EO58" s="493"/>
      <c r="EP58" s="493"/>
      <c r="EQ58" s="493"/>
      <c r="ER58" s="493"/>
      <c r="ES58" s="493"/>
      <c r="ET58" s="493"/>
      <c r="EU58" s="493"/>
    </row>
    <row r="59">
      <c r="A59" s="12"/>
      <c r="B59" s="552" t="s">
        <v>182</v>
      </c>
      <c r="C59" s="552"/>
      <c r="D59" s="574"/>
      <c r="E59" s="574"/>
      <c r="F59" s="574"/>
      <c r="G59" s="574"/>
      <c r="H59" s="574"/>
      <c r="I59" s="574"/>
      <c r="J59" s="574"/>
      <c r="K59" s="574"/>
      <c r="L59" s="574"/>
      <c r="M59" s="574"/>
      <c r="N59" s="574"/>
      <c r="O59" s="574"/>
      <c r="P59" s="574"/>
      <c r="Q59" s="574"/>
      <c r="R59" s="574"/>
      <c r="S59" s="574"/>
      <c r="T59" s="574"/>
      <c r="U59" s="574"/>
      <c r="V59" s="574"/>
      <c r="W59" s="574"/>
      <c r="X59" s="574"/>
      <c r="Y59" s="574"/>
      <c r="Z59" s="574"/>
      <c r="AA59" s="574"/>
      <c r="AB59" s="574"/>
      <c r="AC59" s="574"/>
      <c r="AD59" s="574"/>
      <c r="AE59" s="574"/>
      <c r="AF59" s="574"/>
      <c r="AG59" s="574"/>
      <c r="AH59" s="574"/>
      <c r="AI59" s="574"/>
      <c r="AJ59" s="574"/>
      <c r="AK59" s="574"/>
      <c r="AL59" s="574"/>
      <c r="AM59" s="574"/>
      <c r="AN59" s="574"/>
      <c r="AO59" s="574"/>
      <c r="AP59" s="574"/>
      <c r="AQ59" s="574"/>
      <c r="AR59" s="574"/>
      <c r="AS59" s="574"/>
      <c r="AT59" s="574"/>
      <c r="AU59" s="574"/>
      <c r="AV59" s="574"/>
      <c r="AW59" s="574"/>
      <c r="AX59" s="574"/>
      <c r="AY59" s="574"/>
      <c r="AZ59" s="574"/>
      <c r="BA59" s="574"/>
      <c r="BB59" s="574"/>
      <c r="BC59" s="574"/>
      <c r="BD59" s="574"/>
      <c r="BE59" s="574"/>
      <c r="BF59" s="574"/>
      <c r="BG59" s="574"/>
      <c r="BH59" s="574"/>
      <c r="BI59" s="574"/>
      <c r="BJ59" s="574"/>
      <c r="BK59" s="574"/>
      <c r="BL59" s="574"/>
      <c r="BM59" s="574"/>
      <c r="BN59" s="574"/>
      <c r="BO59" s="574"/>
      <c r="BP59" s="574"/>
      <c r="BQ59" s="574"/>
      <c r="BR59" s="574"/>
      <c r="BS59" s="574"/>
      <c r="BT59" s="574"/>
      <c r="BU59" s="574"/>
      <c r="BV59" s="574"/>
      <c r="BW59" s="574"/>
      <c r="BX59" s="574"/>
      <c r="BY59" s="574"/>
      <c r="BZ59" s="574"/>
      <c r="CA59" s="574"/>
      <c r="CB59" s="574"/>
      <c r="CC59" s="574"/>
      <c r="CD59" s="574"/>
      <c r="CE59" s="574"/>
      <c r="CF59" s="578">
        <f>CF58/BR58*100-100</f>
        <v>80.43528618</v>
      </c>
      <c r="CG59" s="578">
        <f t="shared" ref="CG59:CI59" si="169">CG58/CF58*100-100</f>
        <v>0.5815808159</v>
      </c>
      <c r="CH59" s="578">
        <f t="shared" si="169"/>
        <v>4.769184033</v>
      </c>
      <c r="CI59" s="578">
        <f t="shared" si="169"/>
        <v>-6.535770673</v>
      </c>
      <c r="CJ59" s="578">
        <f>CJ58/BS58*100-100</f>
        <v>69.23947282</v>
      </c>
      <c r="CK59" s="574"/>
      <c r="CL59" s="574"/>
      <c r="CM59" s="574"/>
      <c r="CN59" s="574"/>
      <c r="CO59" s="574"/>
      <c r="CP59" s="574"/>
      <c r="CQ59" s="574"/>
      <c r="CR59" s="574"/>
      <c r="CS59" s="574"/>
      <c r="CT59" s="574"/>
      <c r="CU59" s="574"/>
      <c r="CV59" s="574"/>
      <c r="CW59" s="578">
        <f>CW58/CI58*100-100</f>
        <v>-31.98984203</v>
      </c>
      <c r="CX59" s="578">
        <f t="shared" ref="CX59:CZ59" si="170">CX58/CW58*100-100</f>
        <v>7.08440907</v>
      </c>
      <c r="CY59" s="578">
        <f t="shared" si="170"/>
        <v>-11.546103</v>
      </c>
      <c r="CZ59" s="578">
        <f t="shared" si="170"/>
        <v>76.25755115</v>
      </c>
      <c r="DA59" s="578">
        <f>DA58/CJ58*100-100</f>
        <v>-22.98210262</v>
      </c>
      <c r="DB59" s="574"/>
      <c r="DC59" s="574"/>
      <c r="DD59" s="574"/>
      <c r="DE59" s="574"/>
      <c r="DF59" s="574"/>
      <c r="DG59" s="574"/>
      <c r="DH59" s="574"/>
      <c r="DI59" s="574"/>
      <c r="DJ59" s="574"/>
      <c r="DK59" s="574"/>
      <c r="DL59" s="574"/>
      <c r="DM59" s="574"/>
      <c r="DN59" s="578">
        <f>DN58/CZ58*100-100</f>
        <v>-36.94253631</v>
      </c>
      <c r="DO59" s="578">
        <f t="shared" ref="DO59:DQ59" si="171">DO58/DN58*100-100</f>
        <v>9.908714545</v>
      </c>
      <c r="DP59" s="578">
        <f t="shared" si="171"/>
        <v>-35.28700139</v>
      </c>
      <c r="DQ59" s="578">
        <f t="shared" si="171"/>
        <v>81.11847975</v>
      </c>
      <c r="DR59" s="578">
        <f>DR58/DA58*100-100</f>
        <v>-6.523939554</v>
      </c>
      <c r="DS59" s="574"/>
      <c r="DT59" s="574"/>
      <c r="DU59" s="574"/>
      <c r="DV59" s="574"/>
      <c r="DW59" s="574"/>
      <c r="DX59" s="574"/>
      <c r="DY59" s="574"/>
      <c r="DZ59" s="574"/>
      <c r="EA59" s="574"/>
      <c r="EB59" s="574"/>
      <c r="EC59" s="574"/>
      <c r="ED59" s="574"/>
      <c r="EE59" s="578">
        <f>EE58/DQ58*100-100</f>
        <v>4.752756003</v>
      </c>
      <c r="EF59" s="578">
        <f t="shared" ref="EF59:EH59" si="172">EF58/EE58*100-100</f>
        <v>-28.8514857</v>
      </c>
      <c r="EG59" s="596">
        <f t="shared" si="172"/>
        <v>-21.76494443</v>
      </c>
      <c r="EH59" s="596">
        <f t="shared" si="172"/>
        <v>1.176884369</v>
      </c>
      <c r="EI59" s="578">
        <f>EI58/DR58*100-100</f>
        <v>-10.25912914</v>
      </c>
      <c r="EJ59" s="574"/>
      <c r="EK59" s="574"/>
      <c r="EL59" s="12"/>
      <c r="EM59" s="12"/>
      <c r="EN59" s="12"/>
      <c r="EO59" s="12"/>
      <c r="EP59" s="12"/>
      <c r="EQ59" s="12"/>
      <c r="ER59" s="12"/>
      <c r="ES59" s="12"/>
      <c r="ET59" s="12"/>
      <c r="EU59" s="12"/>
    </row>
    <row r="60">
      <c r="A60" s="552"/>
      <c r="B60" s="552"/>
      <c r="C60" s="552"/>
      <c r="D60" s="574"/>
      <c r="E60" s="574"/>
      <c r="F60" s="574"/>
      <c r="G60" s="574"/>
      <c r="H60" s="574"/>
      <c r="I60" s="574"/>
      <c r="J60" s="574"/>
      <c r="K60" s="574"/>
      <c r="L60" s="574"/>
      <c r="M60" s="574"/>
      <c r="N60" s="574"/>
      <c r="O60" s="574"/>
      <c r="P60" s="574"/>
      <c r="Q60" s="574"/>
      <c r="R60" s="574"/>
      <c r="S60" s="574"/>
      <c r="T60" s="574"/>
      <c r="U60" s="574"/>
      <c r="V60" s="574"/>
      <c r="W60" s="574"/>
      <c r="X60" s="574"/>
      <c r="Y60" s="574"/>
      <c r="Z60" s="574"/>
      <c r="AA60" s="574"/>
      <c r="AB60" s="574"/>
      <c r="AC60" s="574"/>
      <c r="AD60" s="574"/>
      <c r="AE60" s="574"/>
      <c r="AF60" s="574"/>
      <c r="AG60" s="574"/>
      <c r="AH60" s="574"/>
      <c r="AI60" s="574"/>
      <c r="AJ60" s="574"/>
      <c r="AK60" s="574"/>
      <c r="AL60" s="574"/>
      <c r="AM60" s="574"/>
      <c r="AN60" s="574"/>
      <c r="AO60" s="574"/>
      <c r="AP60" s="574"/>
      <c r="AQ60" s="574"/>
      <c r="AR60" s="574"/>
      <c r="AS60" s="574"/>
      <c r="AT60" s="574"/>
      <c r="AU60" s="574"/>
      <c r="AV60" s="574"/>
      <c r="AW60" s="574"/>
      <c r="AX60" s="574"/>
      <c r="AY60" s="574"/>
      <c r="AZ60" s="574"/>
      <c r="BA60" s="574"/>
      <c r="BB60" s="574"/>
      <c r="BC60" s="574"/>
      <c r="BD60" s="574"/>
      <c r="BE60" s="574"/>
      <c r="BF60" s="574"/>
      <c r="BG60" s="574"/>
      <c r="BH60" s="574"/>
      <c r="BI60" s="574"/>
      <c r="BJ60" s="574"/>
      <c r="BK60" s="574"/>
      <c r="BL60" s="574"/>
      <c r="BM60" s="574"/>
      <c r="BN60" s="574"/>
      <c r="BO60" s="574"/>
      <c r="BP60" s="574"/>
      <c r="BQ60" s="574"/>
      <c r="BR60" s="574"/>
      <c r="BS60" s="574"/>
      <c r="BT60" s="574"/>
      <c r="BU60" s="574"/>
      <c r="BV60" s="574"/>
      <c r="BW60" s="574"/>
      <c r="BX60" s="574"/>
      <c r="BY60" s="574"/>
      <c r="BZ60" s="574"/>
      <c r="CA60" s="574"/>
      <c r="CB60" s="574"/>
      <c r="CC60" s="574"/>
      <c r="CD60" s="574"/>
      <c r="CE60" s="574"/>
      <c r="CF60" s="574"/>
      <c r="CG60" s="574"/>
      <c r="CH60" s="574"/>
      <c r="CI60" s="574"/>
      <c r="CJ60" s="574"/>
      <c r="CK60" s="574"/>
      <c r="CL60" s="574"/>
      <c r="CM60" s="574"/>
      <c r="CN60" s="574"/>
      <c r="CO60" s="574"/>
      <c r="CP60" s="574"/>
      <c r="CQ60" s="574"/>
      <c r="CR60" s="574"/>
      <c r="CS60" s="574"/>
      <c r="CT60" s="574"/>
      <c r="CU60" s="574"/>
      <c r="CV60" s="574"/>
      <c r="CW60" s="574"/>
      <c r="CX60" s="574"/>
      <c r="CY60" s="574"/>
      <c r="CZ60" s="574"/>
      <c r="DA60" s="574"/>
      <c r="DB60" s="574"/>
      <c r="DC60" s="574"/>
      <c r="DD60" s="574"/>
      <c r="DE60" s="574"/>
      <c r="DF60" s="574"/>
      <c r="DG60" s="574"/>
      <c r="DH60" s="574"/>
      <c r="DI60" s="574"/>
      <c r="DJ60" s="574"/>
      <c r="DK60" s="574"/>
      <c r="DL60" s="574"/>
      <c r="DM60" s="574"/>
      <c r="DN60" s="574"/>
      <c r="DO60" s="574"/>
      <c r="DP60" s="574"/>
      <c r="DQ60" s="574"/>
      <c r="DR60" s="574"/>
      <c r="DS60" s="574"/>
      <c r="DT60" s="574"/>
      <c r="DU60" s="574"/>
      <c r="DV60" s="574"/>
      <c r="DW60" s="574"/>
      <c r="DX60" s="574"/>
      <c r="DY60" s="574"/>
      <c r="DZ60" s="574"/>
      <c r="EA60" s="574"/>
      <c r="EB60" s="574"/>
      <c r="EC60" s="574"/>
      <c r="ED60" s="574"/>
      <c r="EE60" s="574"/>
      <c r="EF60" s="574"/>
      <c r="EG60" s="574"/>
      <c r="EH60" s="574"/>
      <c r="EI60" s="574"/>
      <c r="EJ60" s="574"/>
      <c r="EK60" s="574"/>
      <c r="EL60" s="552"/>
      <c r="EM60" s="552"/>
      <c r="EN60" s="552"/>
      <c r="EO60" s="552"/>
      <c r="EP60" s="552"/>
      <c r="EQ60" s="552"/>
      <c r="ER60" s="552"/>
      <c r="ES60" s="552"/>
      <c r="ET60" s="552"/>
      <c r="EU60" s="552"/>
    </row>
    <row r="61">
      <c r="A61" s="12"/>
      <c r="B61" s="552" t="s">
        <v>165</v>
      </c>
      <c r="C61" s="552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69">
        <f t="shared" ref="AL61:EI61" si="173">AL35/AL8</f>
        <v>0.1262298199</v>
      </c>
      <c r="AM61" s="569">
        <f t="shared" si="173"/>
        <v>0.4458159969</v>
      </c>
      <c r="AN61" s="569">
        <f t="shared" si="173"/>
        <v>0.09883689033</v>
      </c>
      <c r="AO61" s="569">
        <f t="shared" si="173"/>
        <v>0.1226014437</v>
      </c>
      <c r="AP61" s="569">
        <f t="shared" si="173"/>
        <v>0.2146021669</v>
      </c>
      <c r="AQ61" s="569">
        <f t="shared" si="173"/>
        <v>0.1964506565</v>
      </c>
      <c r="AR61" s="569">
        <f t="shared" si="173"/>
        <v>0.1675040718</v>
      </c>
      <c r="AS61" s="569">
        <f t="shared" si="173"/>
        <v>0.1675040718</v>
      </c>
      <c r="AT61" s="569">
        <f t="shared" si="173"/>
        <v>0.1675040718</v>
      </c>
      <c r="AU61" s="569">
        <f t="shared" si="173"/>
        <v>0.1675040718</v>
      </c>
      <c r="AV61" s="569">
        <f t="shared" si="173"/>
        <v>0.283379645</v>
      </c>
      <c r="AW61" s="569">
        <f t="shared" si="173"/>
        <v>0.1548349448</v>
      </c>
      <c r="AX61" s="569">
        <f t="shared" si="173"/>
        <v>0.3506453384</v>
      </c>
      <c r="AY61" s="569">
        <f t="shared" si="173"/>
        <v>0.1717528061</v>
      </c>
      <c r="AZ61" s="569">
        <f t="shared" si="173"/>
        <v>0.1675040718</v>
      </c>
      <c r="BA61" s="569">
        <f t="shared" si="173"/>
        <v>0.1986033519</v>
      </c>
      <c r="BB61" s="569">
        <f t="shared" si="173"/>
        <v>0.2574788456</v>
      </c>
      <c r="BC61" s="569">
        <f t="shared" si="173"/>
        <v>0.14343077</v>
      </c>
      <c r="BD61" s="569">
        <f t="shared" si="173"/>
        <v>0.19851989</v>
      </c>
      <c r="BE61" s="569">
        <f t="shared" si="173"/>
        <v>0.11350564</v>
      </c>
      <c r="BF61" s="569">
        <f t="shared" si="173"/>
        <v>0.1613015</v>
      </c>
      <c r="BG61" s="569">
        <f t="shared" si="173"/>
        <v>0.1613135</v>
      </c>
      <c r="BH61" s="569">
        <f t="shared" si="173"/>
        <v>0.16499321</v>
      </c>
      <c r="BI61" s="569">
        <f t="shared" si="173"/>
        <v>0.19489095</v>
      </c>
      <c r="BJ61" s="569">
        <f t="shared" si="173"/>
        <v>0.20412867</v>
      </c>
      <c r="BK61" s="569">
        <f t="shared" si="173"/>
        <v>0.30050601</v>
      </c>
      <c r="BL61" s="569">
        <f t="shared" si="173"/>
        <v>0.08614</v>
      </c>
      <c r="BM61" s="569">
        <f t="shared" si="173"/>
        <v>0.10613308</v>
      </c>
      <c r="BN61" s="569">
        <f t="shared" si="173"/>
        <v>1.06638486</v>
      </c>
      <c r="BO61" s="569">
        <f t="shared" si="173"/>
        <v>0.1490349696</v>
      </c>
      <c r="BP61" s="569">
        <f t="shared" si="173"/>
        <v>0.1624234257</v>
      </c>
      <c r="BQ61" s="569">
        <f t="shared" si="173"/>
        <v>0.234283906</v>
      </c>
      <c r="BR61" s="569">
        <f t="shared" si="173"/>
        <v>0.2453299023</v>
      </c>
      <c r="BS61" s="569">
        <f t="shared" si="173"/>
        <v>0.2012454361</v>
      </c>
      <c r="BT61" s="569">
        <f t="shared" si="173"/>
        <v>0.28288295</v>
      </c>
      <c r="BU61" s="569">
        <f t="shared" si="173"/>
        <v>0.2644358</v>
      </c>
      <c r="BV61" s="569">
        <f t="shared" si="173"/>
        <v>0.27425852</v>
      </c>
      <c r="BW61" s="569">
        <f t="shared" si="173"/>
        <v>0.14074794</v>
      </c>
      <c r="BX61" s="569">
        <f t="shared" si="173"/>
        <v>0.27908183</v>
      </c>
      <c r="BY61" s="569">
        <f t="shared" si="173"/>
        <v>0.38893985</v>
      </c>
      <c r="BZ61" s="569">
        <f t="shared" si="173"/>
        <v>0.3085318833</v>
      </c>
      <c r="CA61" s="569">
        <f t="shared" si="173"/>
        <v>0.3176922087</v>
      </c>
      <c r="CB61" s="569">
        <f t="shared" si="173"/>
        <v>0.2409726856</v>
      </c>
      <c r="CC61" s="569">
        <f t="shared" si="173"/>
        <v>0.21236845</v>
      </c>
      <c r="CD61" s="569">
        <f t="shared" si="173"/>
        <v>0.29477168</v>
      </c>
      <c r="CE61" s="569">
        <f t="shared" si="173"/>
        <v>0.31159946</v>
      </c>
      <c r="CF61" s="578">
        <f t="shared" si="173"/>
        <v>0.2738351016</v>
      </c>
      <c r="CG61" s="578">
        <f t="shared" si="173"/>
        <v>0.275427674</v>
      </c>
      <c r="CH61" s="578">
        <f t="shared" si="173"/>
        <v>0.2885633266</v>
      </c>
      <c r="CI61" s="578">
        <f t="shared" si="173"/>
        <v>0.2697034894</v>
      </c>
      <c r="CJ61" s="578">
        <f t="shared" si="173"/>
        <v>0.2773354479</v>
      </c>
      <c r="CK61" s="569">
        <f t="shared" si="173"/>
        <v>0.2397323699</v>
      </c>
      <c r="CL61" s="569">
        <f t="shared" si="173"/>
        <v>0.22058483</v>
      </c>
      <c r="CM61" s="569">
        <f t="shared" si="173"/>
        <v>0.16238564</v>
      </c>
      <c r="CN61" s="569">
        <f t="shared" si="173"/>
        <v>0.22211996</v>
      </c>
      <c r="CO61" s="569">
        <f t="shared" si="173"/>
        <v>0.2311789399</v>
      </c>
      <c r="CP61" s="569">
        <f t="shared" si="173"/>
        <v>0.1960751086</v>
      </c>
      <c r="CQ61" s="569">
        <f t="shared" si="173"/>
        <v>0.2147005274</v>
      </c>
      <c r="CR61" s="569">
        <f t="shared" si="173"/>
        <v>0.1706478063</v>
      </c>
      <c r="CS61" s="569">
        <f t="shared" si="173"/>
        <v>0.15578223</v>
      </c>
      <c r="CT61" s="569">
        <f t="shared" si="173"/>
        <v>0.2036770072</v>
      </c>
      <c r="CU61" s="569">
        <f t="shared" si="173"/>
        <v>0.3018153027</v>
      </c>
      <c r="CV61" s="569">
        <f t="shared" si="173"/>
        <v>1.607451286</v>
      </c>
      <c r="CW61" s="578">
        <f t="shared" si="173"/>
        <v>0.2044818357</v>
      </c>
      <c r="CX61" s="578">
        <f t="shared" si="173"/>
        <v>0.2161362676</v>
      </c>
      <c r="CY61" s="578">
        <f t="shared" si="173"/>
        <v>0.1800737797</v>
      </c>
      <c r="CZ61" s="578">
        <f t="shared" si="173"/>
        <v>0.5047595334</v>
      </c>
      <c r="DA61" s="578">
        <f t="shared" si="173"/>
        <v>0.2772014798</v>
      </c>
      <c r="DB61" s="569">
        <f t="shared" si="173"/>
        <v>0.2420923374</v>
      </c>
      <c r="DC61" s="569">
        <f t="shared" si="173"/>
        <v>0.1932819807</v>
      </c>
      <c r="DD61" s="569">
        <f t="shared" si="173"/>
        <v>0.1933849786</v>
      </c>
      <c r="DE61" s="569">
        <f t="shared" si="173"/>
        <v>0.2197389461</v>
      </c>
      <c r="DF61" s="569">
        <f t="shared" si="173"/>
        <v>0.2625949483</v>
      </c>
      <c r="DG61" s="569">
        <f t="shared" si="173"/>
        <v>0.2140490135</v>
      </c>
      <c r="DH61" s="569">
        <f t="shared" si="173"/>
        <v>0.06973566118</v>
      </c>
      <c r="DI61" s="569">
        <f t="shared" si="173"/>
        <v>0.2286459482</v>
      </c>
      <c r="DJ61" s="569">
        <f t="shared" si="173"/>
        <v>0.1370313632</v>
      </c>
      <c r="DK61" s="569">
        <f t="shared" si="173"/>
        <v>0.3095279104</v>
      </c>
      <c r="DL61" s="569">
        <f t="shared" si="173"/>
        <v>0.2674011949</v>
      </c>
      <c r="DM61" s="569">
        <f t="shared" si="173"/>
        <v>0.250665856</v>
      </c>
      <c r="DN61" s="578">
        <f t="shared" si="173"/>
        <v>0.2085128648</v>
      </c>
      <c r="DO61" s="578">
        <f t="shared" si="173"/>
        <v>0.2287643183</v>
      </c>
      <c r="DP61" s="578">
        <f t="shared" si="173"/>
        <v>0.1414576473</v>
      </c>
      <c r="DQ61" s="578">
        <f t="shared" si="173"/>
        <v>0.2739143986</v>
      </c>
      <c r="DR61" s="578">
        <f t="shared" si="173"/>
        <v>0.2106241494</v>
      </c>
      <c r="DS61" s="569">
        <f t="shared" si="173"/>
        <v>0.2506675277</v>
      </c>
      <c r="DT61" s="569">
        <f t="shared" si="173"/>
        <v>0.2506709612</v>
      </c>
      <c r="DU61" s="569">
        <f t="shared" si="173"/>
        <v>0.2721340665</v>
      </c>
      <c r="DV61" s="569">
        <f t="shared" si="173"/>
        <v>0.2679501942</v>
      </c>
      <c r="DW61" s="569">
        <f t="shared" si="173"/>
        <v>0.1887486742</v>
      </c>
      <c r="DX61" s="569">
        <f t="shared" si="173"/>
        <v>0.1924227915</v>
      </c>
      <c r="DY61" s="571">
        <f t="shared" si="173"/>
        <v>0.1400432039</v>
      </c>
      <c r="DZ61" s="571">
        <f t="shared" si="173"/>
        <v>0.1498822144</v>
      </c>
      <c r="EA61" s="571">
        <f t="shared" si="173"/>
        <v>0.1422635914</v>
      </c>
      <c r="EB61" s="571">
        <f t="shared" si="173"/>
        <v>0.1401646447</v>
      </c>
      <c r="EC61" s="571">
        <f t="shared" si="173"/>
        <v>0.1420318259</v>
      </c>
      <c r="ED61" s="571">
        <f t="shared" si="173"/>
        <v>0.1399332497</v>
      </c>
      <c r="EE61" s="578">
        <f t="shared" si="173"/>
        <v>0.2576618893</v>
      </c>
      <c r="EF61" s="578">
        <f t="shared" si="173"/>
        <v>0.2305018586</v>
      </c>
      <c r="EG61" s="596">
        <f t="shared" si="173"/>
        <v>0.1439155472</v>
      </c>
      <c r="EH61" s="596">
        <f t="shared" si="173"/>
        <v>0.1407011226</v>
      </c>
      <c r="EI61" s="578">
        <f t="shared" si="173"/>
        <v>0.1991806496</v>
      </c>
      <c r="EJ61" s="569">
        <f t="shared" ref="EJ61:EJ62" si="176">CZ61/CY61*100-100</f>
        <v>180.3070687</v>
      </c>
      <c r="EK61" s="569">
        <f t="shared" ref="EK61:EL61" si="174">CZ61/CI61*100-100</f>
        <v>87.15350497</v>
      </c>
      <c r="EL61" s="618">
        <f t="shared" si="174"/>
        <v>-0.04830543564</v>
      </c>
      <c r="EM61" s="569">
        <f t="shared" ref="EM61:EM62" si="178">CZ61*1000000</f>
        <v>504759.5334</v>
      </c>
      <c r="EN61" s="574"/>
      <c r="EO61" s="574"/>
      <c r="EP61" s="574"/>
      <c r="EQ61" s="574"/>
      <c r="ER61" s="574"/>
      <c r="ES61" s="574"/>
      <c r="ET61" s="574"/>
      <c r="EU61" s="574"/>
    </row>
    <row r="62">
      <c r="A62" s="12"/>
      <c r="B62" s="552" t="s">
        <v>166</v>
      </c>
      <c r="C62" s="552"/>
      <c r="D62" s="574"/>
      <c r="E62" s="574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69">
        <f t="shared" ref="AL62:EI62" si="175">AL36/AL9</f>
        <v>0.1151665565</v>
      </c>
      <c r="AM62" s="571" t="str">
        <f t="shared" si="175"/>
        <v>#DIV/0!</v>
      </c>
      <c r="AN62" s="569">
        <f t="shared" si="175"/>
        <v>0.08268258288</v>
      </c>
      <c r="AO62" s="569">
        <f t="shared" si="175"/>
        <v>0.1015031163</v>
      </c>
      <c r="AP62" s="569">
        <f t="shared" si="175"/>
        <v>0.1921061045</v>
      </c>
      <c r="AQ62" s="569">
        <f t="shared" si="175"/>
        <v>0.1708190519</v>
      </c>
      <c r="AR62" s="569">
        <f t="shared" si="175"/>
        <v>0.125294662</v>
      </c>
      <c r="AS62" s="569">
        <f t="shared" si="175"/>
        <v>0.125294662</v>
      </c>
      <c r="AT62" s="569">
        <f t="shared" si="175"/>
        <v>0.125294662</v>
      </c>
      <c r="AU62" s="569">
        <f t="shared" si="175"/>
        <v>0.125294662</v>
      </c>
      <c r="AV62" s="569">
        <f t="shared" si="175"/>
        <v>0.2356270001</v>
      </c>
      <c r="AW62" s="569">
        <f t="shared" si="175"/>
        <v>0.04134247963</v>
      </c>
      <c r="AX62" s="569">
        <f t="shared" si="175"/>
        <v>0.09628613664</v>
      </c>
      <c r="AY62" s="569">
        <f t="shared" si="175"/>
        <v>0.2799382025</v>
      </c>
      <c r="AZ62" s="569">
        <f t="shared" si="175"/>
        <v>0.125294662</v>
      </c>
      <c r="BA62" s="569">
        <f t="shared" si="175"/>
        <v>0.1534677063</v>
      </c>
      <c r="BB62" s="569">
        <f t="shared" si="175"/>
        <v>0.1445390261</v>
      </c>
      <c r="BC62" s="569">
        <f t="shared" si="175"/>
        <v>0.11665657</v>
      </c>
      <c r="BD62" s="569">
        <f t="shared" si="175"/>
        <v>0.24061178</v>
      </c>
      <c r="BE62" s="569">
        <f t="shared" si="175"/>
        <v>0.11202451</v>
      </c>
      <c r="BF62" s="569">
        <f t="shared" si="175"/>
        <v>0.14739319</v>
      </c>
      <c r="BG62" s="569">
        <f t="shared" si="175"/>
        <v>0.15420719</v>
      </c>
      <c r="BH62" s="569">
        <f t="shared" si="175"/>
        <v>0.13068</v>
      </c>
      <c r="BI62" s="569">
        <f t="shared" si="175"/>
        <v>0.17055069</v>
      </c>
      <c r="BJ62" s="569">
        <f t="shared" si="175"/>
        <v>0.16801528</v>
      </c>
      <c r="BK62" s="569">
        <f t="shared" si="175"/>
        <v>0.25874944</v>
      </c>
      <c r="BL62" s="569">
        <f t="shared" si="175"/>
        <v>0.0862827</v>
      </c>
      <c r="BM62" s="569">
        <f t="shared" si="175"/>
        <v>0.10460266</v>
      </c>
      <c r="BN62" s="571" t="str">
        <f t="shared" si="175"/>
        <v>#DIV/0!</v>
      </c>
      <c r="BO62" s="569">
        <f t="shared" si="175"/>
        <v>0.1539143012</v>
      </c>
      <c r="BP62" s="569">
        <f t="shared" si="175"/>
        <v>0.1442436867</v>
      </c>
      <c r="BQ62" s="569">
        <f t="shared" si="175"/>
        <v>0.1821941736</v>
      </c>
      <c r="BR62" s="569">
        <f t="shared" si="175"/>
        <v>0.09243450273</v>
      </c>
      <c r="BS62" s="569">
        <f t="shared" si="175"/>
        <v>0.1516190509</v>
      </c>
      <c r="BT62" s="571" t="str">
        <f t="shared" si="175"/>
        <v>#DIV/0!</v>
      </c>
      <c r="BU62" s="571" t="str">
        <f t="shared" si="175"/>
        <v>#DIV/0!</v>
      </c>
      <c r="BV62" s="571" t="str">
        <f t="shared" si="175"/>
        <v>#DIV/0!</v>
      </c>
      <c r="BW62" s="571" t="str">
        <f t="shared" si="175"/>
        <v>#DIV/0!</v>
      </c>
      <c r="BX62" s="571" t="str">
        <f t="shared" si="175"/>
        <v>#DIV/0!</v>
      </c>
      <c r="BY62" s="571" t="str">
        <f t="shared" si="175"/>
        <v>#DIV/0!</v>
      </c>
      <c r="BZ62" s="571" t="str">
        <f t="shared" si="175"/>
        <v>#DIV/0!</v>
      </c>
      <c r="CA62" s="571" t="str">
        <f t="shared" si="175"/>
        <v>#DIV/0!</v>
      </c>
      <c r="CB62" s="571" t="str">
        <f t="shared" si="175"/>
        <v>#DIV/0!</v>
      </c>
      <c r="CC62" s="571" t="str">
        <f t="shared" si="175"/>
        <v>#DIV/0!</v>
      </c>
      <c r="CD62" s="571" t="str">
        <f t="shared" si="175"/>
        <v>#DIV/0!</v>
      </c>
      <c r="CE62" s="571" t="str">
        <f t="shared" si="175"/>
        <v>#DIV/0!</v>
      </c>
      <c r="CF62" s="596" t="str">
        <f t="shared" si="175"/>
        <v>#DIV/0!</v>
      </c>
      <c r="CG62" s="596" t="str">
        <f t="shared" si="175"/>
        <v>#DIV/0!</v>
      </c>
      <c r="CH62" s="596" t="str">
        <f t="shared" si="175"/>
        <v>#DIV/0!</v>
      </c>
      <c r="CI62" s="596" t="str">
        <f t="shared" si="175"/>
        <v>#DIV/0!</v>
      </c>
      <c r="CJ62" s="596" t="str">
        <f t="shared" si="175"/>
        <v>#DIV/0!</v>
      </c>
      <c r="CK62" s="569">
        <f t="shared" si="175"/>
        <v>0.201515</v>
      </c>
      <c r="CL62" s="569">
        <f t="shared" si="175"/>
        <v>0.190246</v>
      </c>
      <c r="CM62" s="569">
        <f t="shared" si="175"/>
        <v>0.144182</v>
      </c>
      <c r="CN62" s="569">
        <f t="shared" si="175"/>
        <v>0.19669</v>
      </c>
      <c r="CO62" s="569">
        <f t="shared" si="175"/>
        <v>0.211934</v>
      </c>
      <c r="CP62" s="569">
        <f t="shared" si="175"/>
        <v>0.1663759965</v>
      </c>
      <c r="CQ62" s="569">
        <f t="shared" si="175"/>
        <v>0.1863030152</v>
      </c>
      <c r="CR62" s="569">
        <f t="shared" si="175"/>
        <v>0.1838750199</v>
      </c>
      <c r="CS62" s="569">
        <f t="shared" si="175"/>
        <v>0.1484096578</v>
      </c>
      <c r="CT62" s="569">
        <f t="shared" si="175"/>
        <v>0.1905907547</v>
      </c>
      <c r="CU62" s="569">
        <f t="shared" si="175"/>
        <v>0.2386723166</v>
      </c>
      <c r="CV62" s="569">
        <f t="shared" si="175"/>
        <v>0.2839422402</v>
      </c>
      <c r="CW62" s="578">
        <f t="shared" si="175"/>
        <v>0.1761975126</v>
      </c>
      <c r="CX62" s="578">
        <f t="shared" si="175"/>
        <v>0.1886804309</v>
      </c>
      <c r="CY62" s="578">
        <f t="shared" si="175"/>
        <v>0.1710834968</v>
      </c>
      <c r="CZ62" s="578">
        <f t="shared" si="175"/>
        <v>0.2204659742</v>
      </c>
      <c r="DA62" s="578">
        <f t="shared" si="175"/>
        <v>0.188172863</v>
      </c>
      <c r="DB62" s="569">
        <f t="shared" si="175"/>
        <v>0.1974970445</v>
      </c>
      <c r="DC62" s="569">
        <f t="shared" si="175"/>
        <v>0.1533</v>
      </c>
      <c r="DD62" s="569">
        <f t="shared" si="175"/>
        <v>0.161607995</v>
      </c>
      <c r="DE62" s="569">
        <f t="shared" si="175"/>
        <v>0.171687912</v>
      </c>
      <c r="DF62" s="569">
        <f t="shared" si="175"/>
        <v>0.2163418793</v>
      </c>
      <c r="DG62" s="569">
        <f t="shared" si="175"/>
        <v>0.172784804</v>
      </c>
      <c r="DH62" s="569">
        <f t="shared" si="175"/>
        <v>0.05746303571</v>
      </c>
      <c r="DI62" s="569">
        <f t="shared" si="175"/>
        <v>0.1885047829</v>
      </c>
      <c r="DJ62" s="569">
        <f t="shared" si="175"/>
        <v>0.1091053669</v>
      </c>
      <c r="DK62" s="569">
        <f t="shared" si="175"/>
        <v>0.2488691475</v>
      </c>
      <c r="DL62" s="569">
        <f t="shared" si="175"/>
        <v>0.2270179995</v>
      </c>
      <c r="DM62" s="569">
        <f t="shared" si="175"/>
        <v>0.2076170781</v>
      </c>
      <c r="DN62" s="578">
        <f t="shared" si="175"/>
        <v>0.1743167931</v>
      </c>
      <c r="DO62" s="578">
        <f t="shared" si="175"/>
        <v>0.1830221955</v>
      </c>
      <c r="DP62" s="578">
        <f t="shared" si="175"/>
        <v>0.1228936865</v>
      </c>
      <c r="DQ62" s="578">
        <f t="shared" si="175"/>
        <v>0.2152787086</v>
      </c>
      <c r="DR62" s="578">
        <f t="shared" si="175"/>
        <v>0.1814779861</v>
      </c>
      <c r="DS62" s="569">
        <f t="shared" si="175"/>
        <v>0.2076211067</v>
      </c>
      <c r="DT62" s="569">
        <f t="shared" si="175"/>
        <v>0.2839349515</v>
      </c>
      <c r="DU62" s="569">
        <f t="shared" si="175"/>
        <v>0.2839310638</v>
      </c>
      <c r="DV62" s="569">
        <f t="shared" si="175"/>
        <v>0.2555624472</v>
      </c>
      <c r="DW62" s="569">
        <f t="shared" si="175"/>
        <v>0.1447854209</v>
      </c>
      <c r="DX62" s="569">
        <f t="shared" si="175"/>
        <v>0.1373378405</v>
      </c>
      <c r="DY62" s="571">
        <f t="shared" si="175"/>
        <v>0.146966522</v>
      </c>
      <c r="DZ62" s="571">
        <f t="shared" si="175"/>
        <v>0.1425694796</v>
      </c>
      <c r="EA62" s="571">
        <f t="shared" si="175"/>
        <v>0.1465249605</v>
      </c>
      <c r="EB62" s="571">
        <f t="shared" si="175"/>
        <v>0.1495708775</v>
      </c>
      <c r="EC62" s="571">
        <f t="shared" si="175"/>
        <v>0.148192566</v>
      </c>
      <c r="ED62" s="571">
        <f t="shared" si="175"/>
        <v>0.1479904053</v>
      </c>
      <c r="EE62" s="578">
        <f t="shared" si="175"/>
        <v>0.2628354581</v>
      </c>
      <c r="EF62" s="578">
        <f t="shared" si="175"/>
        <v>0.1702225743</v>
      </c>
      <c r="EG62" s="596">
        <f t="shared" si="175"/>
        <v>0.1453775716</v>
      </c>
      <c r="EH62" s="596">
        <f t="shared" si="175"/>
        <v>0.1485823309</v>
      </c>
      <c r="EI62" s="578">
        <f t="shared" si="175"/>
        <v>0.1714980562</v>
      </c>
      <c r="EJ62" s="569">
        <f t="shared" si="176"/>
        <v>28.86454765</v>
      </c>
      <c r="EK62" s="571" t="str">
        <f t="shared" ref="EK62:EL62" si="177">CZ62/CI62*100-100</f>
        <v>#DIV/0!</v>
      </c>
      <c r="EL62" s="619" t="str">
        <f t="shared" si="177"/>
        <v>#DIV/0!</v>
      </c>
      <c r="EM62" s="569">
        <f t="shared" si="178"/>
        <v>220465.9742</v>
      </c>
      <c r="EN62" s="574"/>
      <c r="EO62" s="574"/>
      <c r="EP62" s="574"/>
      <c r="EQ62" s="574"/>
      <c r="ER62" s="574"/>
      <c r="ES62" s="574"/>
      <c r="ET62" s="574"/>
      <c r="EU62" s="574"/>
    </row>
    <row r="63">
      <c r="A63" s="12"/>
      <c r="B63" s="12"/>
      <c r="C63" s="12"/>
      <c r="D63" s="574"/>
      <c r="E63" s="574"/>
      <c r="F63" s="574"/>
      <c r="G63" s="574"/>
      <c r="H63" s="574"/>
      <c r="I63" s="574"/>
      <c r="J63" s="574"/>
      <c r="K63" s="574"/>
      <c r="L63" s="574"/>
      <c r="M63" s="574"/>
      <c r="N63" s="574"/>
      <c r="O63" s="574"/>
      <c r="P63" s="574"/>
      <c r="Q63" s="574"/>
      <c r="R63" s="574"/>
      <c r="S63" s="574"/>
      <c r="T63" s="574"/>
      <c r="U63" s="574"/>
      <c r="V63" s="574"/>
      <c r="W63" s="574"/>
      <c r="X63" s="574"/>
      <c r="Y63" s="574"/>
      <c r="Z63" s="574"/>
      <c r="AA63" s="574"/>
      <c r="AB63" s="574"/>
      <c r="AC63" s="574"/>
      <c r="AD63" s="574"/>
      <c r="AE63" s="574"/>
      <c r="AF63" s="574"/>
      <c r="AG63" s="574"/>
      <c r="AH63" s="574"/>
      <c r="AI63" s="574"/>
      <c r="AJ63" s="574"/>
      <c r="AK63" s="574"/>
      <c r="AL63" s="574"/>
      <c r="AM63" s="574"/>
      <c r="AN63" s="574"/>
      <c r="AO63" s="574"/>
      <c r="AP63" s="574"/>
      <c r="AQ63" s="574"/>
      <c r="AR63" s="574"/>
      <c r="AS63" s="574"/>
      <c r="AT63" s="574"/>
      <c r="AU63" s="574"/>
      <c r="AV63" s="574"/>
      <c r="AW63" s="574"/>
      <c r="AX63" s="574"/>
      <c r="AY63" s="574"/>
      <c r="AZ63" s="574"/>
      <c r="BA63" s="574"/>
      <c r="BB63" s="574"/>
      <c r="BC63" s="574"/>
      <c r="BD63" s="574"/>
      <c r="BE63" s="574"/>
      <c r="BF63" s="574"/>
      <c r="BG63" s="574"/>
      <c r="BH63" s="574"/>
      <c r="BI63" s="574"/>
      <c r="BJ63" s="574"/>
      <c r="BK63" s="574"/>
      <c r="BL63" s="574"/>
      <c r="BM63" s="574"/>
      <c r="BN63" s="574"/>
      <c r="BO63" s="574"/>
      <c r="BP63" s="574"/>
      <c r="BQ63" s="574"/>
      <c r="BR63" s="574"/>
      <c r="BS63" s="574"/>
      <c r="BT63" s="574"/>
      <c r="BU63" s="574"/>
      <c r="BV63" s="574"/>
      <c r="BW63" s="574"/>
      <c r="BX63" s="574"/>
      <c r="BY63" s="574"/>
      <c r="BZ63" s="574"/>
      <c r="CA63" s="574"/>
      <c r="CB63" s="574"/>
      <c r="CC63" s="574"/>
      <c r="CD63" s="574"/>
      <c r="CE63" s="574"/>
      <c r="CF63" s="574"/>
      <c r="CG63" s="574"/>
      <c r="CH63" s="574"/>
      <c r="CI63" s="574"/>
      <c r="CJ63" s="574"/>
      <c r="CK63" s="574"/>
      <c r="CL63" s="574"/>
      <c r="CM63" s="574"/>
      <c r="CN63" s="574"/>
      <c r="CO63" s="574"/>
      <c r="CP63" s="574"/>
      <c r="CQ63" s="574"/>
      <c r="CR63" s="574"/>
      <c r="CS63" s="574"/>
      <c r="CT63" s="574"/>
      <c r="CU63" s="574"/>
      <c r="CV63" s="574"/>
      <c r="CW63" s="578">
        <f>CW61/CI61*100-100</f>
        <v>-24.18272517</v>
      </c>
      <c r="CX63" s="578">
        <f>CX61/CW61*100-100</f>
        <v>5.699494916</v>
      </c>
      <c r="CY63" s="574"/>
      <c r="CZ63" s="574"/>
      <c r="DA63" s="574"/>
      <c r="DB63" s="574"/>
      <c r="DC63" s="574"/>
      <c r="DD63" s="574"/>
      <c r="DE63" s="574"/>
      <c r="DF63" s="574"/>
      <c r="DG63" s="574"/>
      <c r="DH63" s="574"/>
      <c r="DI63" s="574"/>
      <c r="DJ63" s="574"/>
      <c r="DK63" s="574"/>
      <c r="DL63" s="574"/>
      <c r="DM63" s="574"/>
      <c r="DN63" s="578">
        <f>DN61/CZ61*100-100</f>
        <v>-58.69065346</v>
      </c>
      <c r="DO63" s="578">
        <f t="shared" ref="DO63:DP63" si="179">DO61/DN61*100-100</f>
        <v>9.71232806</v>
      </c>
      <c r="DP63" s="578">
        <f t="shared" si="179"/>
        <v>-38.16446186</v>
      </c>
      <c r="DQ63" s="574"/>
      <c r="DR63" s="574"/>
      <c r="DS63" s="574"/>
      <c r="DT63" s="574"/>
      <c r="DU63" s="574"/>
      <c r="DV63" s="574"/>
      <c r="DW63" s="574"/>
      <c r="DX63" s="574"/>
      <c r="DY63" s="574"/>
      <c r="DZ63" s="574"/>
      <c r="EA63" s="574"/>
      <c r="EB63" s="574"/>
      <c r="EC63" s="574"/>
      <c r="ED63" s="620" t="s">
        <v>183</v>
      </c>
      <c r="EE63" s="578">
        <f>EE61/DQ61*100-100</f>
        <v>-5.933426413</v>
      </c>
      <c r="EF63" s="578">
        <f t="shared" ref="EF63:EH63" si="180">EF61/EE61*100-100</f>
        <v>-10.54095766</v>
      </c>
      <c r="EG63" s="596">
        <f t="shared" si="180"/>
        <v>-37.56425737</v>
      </c>
      <c r="EH63" s="596">
        <f t="shared" si="180"/>
        <v>-2.233549212</v>
      </c>
      <c r="EI63" s="574"/>
      <c r="EJ63" s="574"/>
      <c r="EK63" s="574"/>
      <c r="EL63" s="12"/>
      <c r="EM63" s="12"/>
      <c r="EN63" s="12"/>
      <c r="EO63" s="12"/>
      <c r="EP63" s="12"/>
      <c r="EQ63" s="12"/>
      <c r="ER63" s="12"/>
      <c r="ES63" s="12"/>
      <c r="ET63" s="12"/>
      <c r="EU63" s="12"/>
    </row>
    <row r="64">
      <c r="A64" s="12"/>
      <c r="B64" s="12" t="s">
        <v>184</v>
      </c>
      <c r="C64" s="12"/>
      <c r="D64" s="574"/>
      <c r="E64" s="574"/>
      <c r="F64" s="574"/>
      <c r="G64" s="574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  <c r="AS64" s="574"/>
      <c r="AT64" s="574"/>
      <c r="AU64" s="574"/>
      <c r="AV64" s="574"/>
      <c r="AW64" s="574"/>
      <c r="AX64" s="574"/>
      <c r="AY64" s="574"/>
      <c r="AZ64" s="574"/>
      <c r="BA64" s="574"/>
      <c r="BB64" s="574"/>
      <c r="BC64" s="574"/>
      <c r="BD64" s="574"/>
      <c r="BE64" s="574"/>
      <c r="BF64" s="574"/>
      <c r="BG64" s="574"/>
      <c r="BH64" s="569">
        <f>SUM(BF35:BH36)/sum(BF8:BH9)</f>
        <v>0.1476579521</v>
      </c>
      <c r="BI64" s="574"/>
      <c r="BJ64" s="574"/>
      <c r="BK64" s="569">
        <f>SUM(BI35:BK36)/sum(BI8:BK9)</f>
        <v>0.1967219985</v>
      </c>
      <c r="BL64" s="574"/>
      <c r="BM64" s="574"/>
      <c r="BN64" s="574"/>
      <c r="BO64" s="574"/>
      <c r="BP64" s="574"/>
      <c r="BQ64" s="574"/>
      <c r="BR64" s="574"/>
      <c r="BS64" s="574"/>
      <c r="BT64" s="574"/>
      <c r="BU64" s="574"/>
      <c r="BV64" s="574"/>
      <c r="BW64" s="574"/>
      <c r="BX64" s="574"/>
      <c r="BY64" s="574"/>
      <c r="BZ64" s="574"/>
      <c r="CA64" s="574"/>
      <c r="CB64" s="574"/>
      <c r="CC64" s="574"/>
      <c r="CD64" s="574"/>
      <c r="CE64" s="574"/>
      <c r="CF64" s="574"/>
      <c r="CG64" s="574"/>
      <c r="CH64" s="574"/>
      <c r="CI64" s="574"/>
      <c r="CJ64" s="574"/>
      <c r="CK64" s="574"/>
      <c r="CL64" s="574"/>
      <c r="CM64" s="569">
        <f>AVERAGE(CK61:CM61)</f>
        <v>0.2075676133</v>
      </c>
      <c r="CN64" s="574"/>
      <c r="CO64" s="574"/>
      <c r="CP64" s="569">
        <f>AVERAGE(CN61:CP61)</f>
        <v>0.2164580029</v>
      </c>
      <c r="CQ64" s="574"/>
      <c r="CR64" s="574"/>
      <c r="CS64" s="574"/>
      <c r="CT64" s="574"/>
      <c r="CU64" s="574"/>
      <c r="CV64" s="574"/>
      <c r="CW64" s="574"/>
      <c r="CX64" s="578">
        <f>CX61/CG61*100-100</f>
        <v>-21.52703305</v>
      </c>
      <c r="CY64" s="574"/>
      <c r="CZ64" s="574"/>
      <c r="DA64" s="574"/>
      <c r="DB64" s="574"/>
      <c r="DC64" s="574"/>
      <c r="DD64" s="569">
        <f>AVERAGE(DB61:DD61)</f>
        <v>0.2095864322</v>
      </c>
      <c r="DE64" s="574"/>
      <c r="DF64" s="574"/>
      <c r="DG64" s="569">
        <f>AVERAGE(DE61:DG61)</f>
        <v>0.232127636</v>
      </c>
      <c r="DH64" s="574"/>
      <c r="DI64" s="574"/>
      <c r="DJ64" s="574"/>
      <c r="DK64" s="574"/>
      <c r="DL64" s="574"/>
      <c r="DM64" s="574"/>
      <c r="DN64" s="574"/>
      <c r="DO64" s="578">
        <f>DO61/CX61*100-100</f>
        <v>5.842633856</v>
      </c>
      <c r="DP64" s="621">
        <f>DP62/DO62*100-100</f>
        <v>-32.85312409</v>
      </c>
      <c r="DQ64" s="574"/>
      <c r="DR64" s="574"/>
      <c r="DS64" s="574"/>
      <c r="DT64" s="574"/>
      <c r="DU64" s="569">
        <f>AVERAGE(DS61:DU61)</f>
        <v>0.2578241851</v>
      </c>
      <c r="DV64" s="574"/>
      <c r="DW64" s="574"/>
      <c r="DX64" s="569">
        <f>AVERAGE(DV61:DX61)</f>
        <v>0.2163738866</v>
      </c>
      <c r="DY64" s="574"/>
      <c r="DZ64" s="574"/>
      <c r="EA64" s="574"/>
      <c r="EB64" s="574"/>
      <c r="EC64" s="574"/>
      <c r="ED64" s="523" t="s">
        <v>185</v>
      </c>
      <c r="EE64" s="574"/>
      <c r="EF64" s="578">
        <f>EF61/DO61*100-100</f>
        <v>0.7595329274</v>
      </c>
      <c r="EG64" s="622">
        <f t="shared" ref="EG64:EH64" si="181">EG62/EF62*100-100</f>
        <v>-14.59559799</v>
      </c>
      <c r="EH64" s="622">
        <f t="shared" si="181"/>
        <v>2.204438568</v>
      </c>
      <c r="EI64" s="574"/>
      <c r="EJ64" s="574"/>
      <c r="EK64" s="574"/>
      <c r="EL64" s="12"/>
      <c r="EM64" s="12"/>
      <c r="EN64" s="12"/>
      <c r="EO64" s="12"/>
      <c r="EP64" s="12"/>
      <c r="EQ64" s="12"/>
      <c r="ER64" s="12"/>
      <c r="ES64" s="12"/>
      <c r="ET64" s="12"/>
      <c r="EU64" s="12"/>
    </row>
    <row r="65">
      <c r="A65" s="552"/>
      <c r="B65" s="552"/>
      <c r="C65" s="552"/>
      <c r="D65" s="574"/>
      <c r="E65" s="574"/>
      <c r="F65" s="574"/>
      <c r="G65" s="574"/>
      <c r="H65" s="574"/>
      <c r="I65" s="574"/>
      <c r="J65" s="574"/>
      <c r="K65" s="574"/>
      <c r="L65" s="574"/>
      <c r="M65" s="574"/>
      <c r="N65" s="574"/>
      <c r="O65" s="574"/>
      <c r="P65" s="574"/>
      <c r="Q65" s="574"/>
      <c r="R65" s="574"/>
      <c r="S65" s="574"/>
      <c r="T65" s="574"/>
      <c r="U65" s="574"/>
      <c r="V65" s="574"/>
      <c r="W65" s="574"/>
      <c r="X65" s="574"/>
      <c r="Y65" s="574"/>
      <c r="Z65" s="574"/>
      <c r="AA65" s="574"/>
      <c r="AB65" s="574"/>
      <c r="AC65" s="574"/>
      <c r="AD65" s="574"/>
      <c r="AE65" s="574"/>
      <c r="AF65" s="574"/>
      <c r="AG65" s="574"/>
      <c r="AH65" s="574"/>
      <c r="AI65" s="574"/>
      <c r="AJ65" s="574"/>
      <c r="AK65" s="574"/>
      <c r="AL65" s="574"/>
      <c r="AM65" s="574"/>
      <c r="AN65" s="574"/>
      <c r="AO65" s="574"/>
      <c r="AP65" s="574"/>
      <c r="AQ65" s="574"/>
      <c r="AR65" s="574"/>
      <c r="AS65" s="574"/>
      <c r="AT65" s="574"/>
      <c r="AU65" s="574"/>
      <c r="AV65" s="574"/>
      <c r="AW65" s="574"/>
      <c r="AX65" s="574"/>
      <c r="AY65" s="574"/>
      <c r="AZ65" s="574"/>
      <c r="BA65" s="574"/>
      <c r="BB65" s="574"/>
      <c r="BC65" s="574"/>
      <c r="BD65" s="574"/>
      <c r="BE65" s="574"/>
      <c r="BF65" s="574"/>
      <c r="BG65" s="574"/>
      <c r="BH65" s="574"/>
      <c r="BI65" s="574"/>
      <c r="BJ65" s="574"/>
      <c r="BK65" s="569">
        <f>BK64/BH64*100-100</f>
        <v>33.22817751</v>
      </c>
      <c r="BL65" s="574"/>
      <c r="BM65" s="574"/>
      <c r="BN65" s="574"/>
      <c r="BO65" s="574"/>
      <c r="BP65" s="574"/>
      <c r="BQ65" s="574"/>
      <c r="BR65" s="574"/>
      <c r="BS65" s="574"/>
      <c r="BT65" s="574"/>
      <c r="BU65" s="574"/>
      <c r="BV65" s="574"/>
      <c r="BW65" s="574"/>
      <c r="BX65" s="574"/>
      <c r="BY65" s="574"/>
      <c r="BZ65" s="574"/>
      <c r="CA65" s="574"/>
      <c r="CB65" s="574"/>
      <c r="CC65" s="574"/>
      <c r="CD65" s="574"/>
      <c r="CE65" s="574"/>
      <c r="CF65" s="574"/>
      <c r="CG65" s="574"/>
      <c r="CH65" s="574"/>
      <c r="CI65" s="574"/>
      <c r="CJ65" s="574"/>
      <c r="CK65" s="574"/>
      <c r="CL65" s="574"/>
      <c r="CM65" s="574"/>
      <c r="CN65" s="574"/>
      <c r="CO65" s="574"/>
      <c r="CP65" s="574"/>
      <c r="CQ65" s="574"/>
      <c r="CR65" s="574"/>
      <c r="CS65" s="574"/>
      <c r="CT65" s="574"/>
      <c r="CU65" s="574"/>
      <c r="CV65" s="574"/>
      <c r="CW65" s="574"/>
      <c r="CX65" s="578">
        <f>(CX61+CW61)/(CF61+CG61)*100-100</f>
        <v>-23.42133455</v>
      </c>
      <c r="CY65" s="574"/>
      <c r="CZ65" s="574"/>
      <c r="DA65" s="574"/>
      <c r="DB65" s="574"/>
      <c r="DC65" s="574"/>
      <c r="DD65" s="574"/>
      <c r="DE65" s="574"/>
      <c r="DF65" s="574"/>
      <c r="DG65" s="574"/>
      <c r="DH65" s="574"/>
      <c r="DI65" s="574"/>
      <c r="DJ65" s="574"/>
      <c r="DK65" s="574"/>
      <c r="DL65" s="574"/>
      <c r="DM65" s="574"/>
      <c r="DN65" s="574"/>
      <c r="DO65" s="578">
        <f>(DO61+DN61)/(CW61+CX61)*100-100</f>
        <v>3.960618839</v>
      </c>
      <c r="DP65" s="578">
        <f t="shared" ref="DP65:DP66" si="183">DP61/CY61*100-100</f>
        <v>-21.44461699</v>
      </c>
      <c r="DQ65" s="574"/>
      <c r="DR65" s="574"/>
      <c r="DS65" s="574"/>
      <c r="DT65" s="574"/>
      <c r="DU65" s="574"/>
      <c r="DV65" s="574"/>
      <c r="DW65" s="574"/>
      <c r="DX65" s="574"/>
      <c r="DY65" s="574"/>
      <c r="DZ65" s="574"/>
      <c r="EA65" s="574"/>
      <c r="EB65" s="574"/>
      <c r="EC65" s="574"/>
      <c r="ED65" s="620" t="s">
        <v>186</v>
      </c>
      <c r="EE65" s="574"/>
      <c r="EF65" s="578">
        <f>(EF61+EE61)/(DN61+DO61)*100-100</f>
        <v>11.63714155</v>
      </c>
      <c r="EG65" s="596">
        <f t="shared" ref="EG65:EH65" si="182">EG61/DP61*100-100</f>
        <v>1.737551801</v>
      </c>
      <c r="EH65" s="596">
        <f t="shared" si="182"/>
        <v>-48.6331776</v>
      </c>
      <c r="EI65" s="574"/>
      <c r="EJ65" s="574"/>
      <c r="EK65" s="574"/>
      <c r="EL65" s="552"/>
      <c r="EM65" s="552"/>
      <c r="EN65" s="552"/>
      <c r="EO65" s="552"/>
      <c r="EP65" s="552"/>
      <c r="EQ65" s="552"/>
      <c r="ER65" s="552"/>
      <c r="ES65" s="552"/>
      <c r="ET65" s="552"/>
      <c r="EU65" s="552"/>
    </row>
    <row r="66">
      <c r="A66" s="552"/>
      <c r="B66" s="552"/>
      <c r="C66" s="552"/>
      <c r="D66" s="574"/>
      <c r="E66" s="574"/>
      <c r="F66" s="574"/>
      <c r="G66" s="574"/>
      <c r="H66" s="574"/>
      <c r="I66" s="574"/>
      <c r="J66" s="574"/>
      <c r="K66" s="574"/>
      <c r="L66" s="574"/>
      <c r="M66" s="574"/>
      <c r="N66" s="574"/>
      <c r="O66" s="574"/>
      <c r="P66" s="574"/>
      <c r="Q66" s="574"/>
      <c r="R66" s="574"/>
      <c r="S66" s="574"/>
      <c r="T66" s="574"/>
      <c r="U66" s="574"/>
      <c r="V66" s="574"/>
      <c r="W66" s="574"/>
      <c r="X66" s="574"/>
      <c r="Y66" s="574"/>
      <c r="Z66" s="574"/>
      <c r="AA66" s="574"/>
      <c r="AB66" s="574"/>
      <c r="AC66" s="574"/>
      <c r="AD66" s="574"/>
      <c r="AE66" s="574"/>
      <c r="AF66" s="574"/>
      <c r="AG66" s="574"/>
      <c r="AH66" s="574"/>
      <c r="AI66" s="574"/>
      <c r="AJ66" s="574"/>
      <c r="AK66" s="574"/>
      <c r="AL66" s="574"/>
      <c r="AM66" s="574"/>
      <c r="AN66" s="574"/>
      <c r="AO66" s="574"/>
      <c r="AP66" s="574"/>
      <c r="AQ66" s="574"/>
      <c r="AR66" s="574"/>
      <c r="AS66" s="574"/>
      <c r="AT66" s="574"/>
      <c r="AU66" s="574"/>
      <c r="AV66" s="574"/>
      <c r="AW66" s="574"/>
      <c r="AX66" s="574"/>
      <c r="AY66" s="574"/>
      <c r="AZ66" s="574"/>
      <c r="BA66" s="574"/>
      <c r="BB66" s="574"/>
      <c r="BC66" s="574"/>
      <c r="BD66" s="574"/>
      <c r="BE66" s="574"/>
      <c r="BF66" s="574"/>
      <c r="BG66" s="574"/>
      <c r="BH66" s="574"/>
      <c r="BI66" s="574"/>
      <c r="BJ66" s="574"/>
      <c r="BK66" s="574"/>
      <c r="BL66" s="574"/>
      <c r="BM66" s="574"/>
      <c r="BN66" s="574"/>
      <c r="BO66" s="574"/>
      <c r="BP66" s="574"/>
      <c r="BQ66" s="574"/>
      <c r="BR66" s="574"/>
      <c r="BS66" s="574"/>
      <c r="BT66" s="574"/>
      <c r="BU66" s="574"/>
      <c r="BV66" s="574"/>
      <c r="BW66" s="574"/>
      <c r="BX66" s="574"/>
      <c r="BY66" s="574"/>
      <c r="BZ66" s="574"/>
      <c r="CA66" s="574"/>
      <c r="CB66" s="574"/>
      <c r="CC66" s="574"/>
      <c r="CD66" s="574"/>
      <c r="CE66" s="574"/>
      <c r="CF66" s="574"/>
      <c r="CG66" s="574"/>
      <c r="CH66" s="574"/>
      <c r="CI66" s="574"/>
      <c r="CJ66" s="574"/>
      <c r="CK66" s="574"/>
      <c r="CL66" s="574"/>
      <c r="CM66" s="574"/>
      <c r="CN66" s="574"/>
      <c r="CO66" s="574"/>
      <c r="CP66" s="574"/>
      <c r="CQ66" s="574"/>
      <c r="CR66" s="574"/>
      <c r="CS66" s="574"/>
      <c r="CT66" s="574"/>
      <c r="CU66" s="574"/>
      <c r="CV66" s="574"/>
      <c r="CW66" s="574"/>
      <c r="CX66" s="574"/>
      <c r="CY66" s="574"/>
      <c r="CZ66" s="574"/>
      <c r="DA66" s="574"/>
      <c r="DB66" s="574"/>
      <c r="DC66" s="574"/>
      <c r="DD66" s="574"/>
      <c r="DE66" s="574"/>
      <c r="DF66" s="574"/>
      <c r="DG66" s="574"/>
      <c r="DH66" s="574"/>
      <c r="DI66" s="574"/>
      <c r="DJ66" s="574"/>
      <c r="DK66" s="574"/>
      <c r="DL66" s="574"/>
      <c r="DM66" s="574"/>
      <c r="DN66" s="574"/>
      <c r="DO66" s="574"/>
      <c r="DP66" s="621">
        <f t="shared" si="183"/>
        <v>-28.16742186</v>
      </c>
      <c r="DQ66" s="574"/>
      <c r="DR66" s="574"/>
      <c r="DS66" s="574"/>
      <c r="DT66" s="574"/>
      <c r="DU66" s="574"/>
      <c r="DV66" s="574"/>
      <c r="DW66" s="574"/>
      <c r="DX66" s="574"/>
      <c r="DY66" s="574"/>
      <c r="DZ66" s="574"/>
      <c r="EA66" s="574"/>
      <c r="EB66" s="574"/>
      <c r="EC66" s="574"/>
      <c r="ED66" s="574"/>
      <c r="EE66" s="574"/>
      <c r="EF66" s="574"/>
      <c r="EG66" s="622">
        <f>EG62/DP62*100-100</f>
        <v>18.2953948</v>
      </c>
      <c r="EH66" s="574"/>
      <c r="EI66" s="574"/>
      <c r="EJ66" s="574"/>
      <c r="EK66" s="574"/>
      <c r="EL66" s="552"/>
      <c r="EM66" s="552"/>
      <c r="EN66" s="552"/>
      <c r="EO66" s="552"/>
      <c r="EP66" s="552"/>
      <c r="EQ66" s="552"/>
      <c r="ER66" s="552"/>
      <c r="ES66" s="552"/>
      <c r="ET66" s="552"/>
      <c r="EU66" s="552"/>
    </row>
    <row r="67">
      <c r="A67" s="552"/>
      <c r="B67" s="552" t="s">
        <v>187</v>
      </c>
      <c r="C67" s="552"/>
      <c r="D67" s="574"/>
      <c r="E67" s="574"/>
      <c r="F67" s="574"/>
      <c r="G67" s="574"/>
      <c r="H67" s="574"/>
      <c r="I67" s="574"/>
      <c r="J67" s="574"/>
      <c r="K67" s="574"/>
      <c r="L67" s="574"/>
      <c r="M67" s="574"/>
      <c r="N67" s="574"/>
      <c r="O67" s="574"/>
      <c r="P67" s="574"/>
      <c r="Q67" s="574"/>
      <c r="R67" s="574"/>
      <c r="S67" s="574"/>
      <c r="T67" s="574"/>
      <c r="U67" s="574"/>
      <c r="V67" s="574"/>
      <c r="W67" s="574"/>
      <c r="X67" s="574"/>
      <c r="Y67" s="574"/>
      <c r="Z67" s="574"/>
      <c r="AA67" s="574"/>
      <c r="AB67" s="574"/>
      <c r="AC67" s="574"/>
      <c r="AD67" s="574"/>
      <c r="AE67" s="574"/>
      <c r="AF67" s="574"/>
      <c r="AG67" s="574"/>
      <c r="AH67" s="574"/>
      <c r="AI67" s="574"/>
      <c r="AJ67" s="574"/>
      <c r="AK67" s="574"/>
      <c r="AL67" s="574"/>
      <c r="AM67" s="574"/>
      <c r="AN67" s="574"/>
      <c r="AO67" s="574"/>
      <c r="AP67" s="574"/>
      <c r="AQ67" s="574"/>
      <c r="AR67" s="574"/>
      <c r="AS67" s="574"/>
      <c r="AT67" s="574"/>
      <c r="AU67" s="574"/>
      <c r="AV67" s="574"/>
      <c r="AW67" s="574"/>
      <c r="AX67" s="574"/>
      <c r="AY67" s="574"/>
      <c r="AZ67" s="574"/>
      <c r="BA67" s="574"/>
      <c r="BB67" s="574"/>
      <c r="BC67" s="574"/>
      <c r="BD67" s="574"/>
      <c r="BE67" s="574"/>
      <c r="BF67" s="574"/>
      <c r="BG67" s="574"/>
      <c r="BH67" s="574"/>
      <c r="BI67" s="574"/>
      <c r="BJ67" s="574"/>
      <c r="BK67" s="574"/>
      <c r="BL67" s="574"/>
      <c r="BM67" s="574"/>
      <c r="BN67" s="574"/>
      <c r="BO67" s="574"/>
      <c r="BP67" s="574"/>
      <c r="BQ67" s="574"/>
      <c r="BR67" s="574"/>
      <c r="BS67" s="574"/>
      <c r="BT67" s="574"/>
      <c r="BU67" s="574"/>
      <c r="BV67" s="574"/>
      <c r="BW67" s="574"/>
      <c r="BX67" s="574"/>
      <c r="BY67" s="574"/>
      <c r="BZ67" s="574"/>
      <c r="CA67" s="574"/>
      <c r="CB67" s="574"/>
      <c r="CC67" s="574"/>
      <c r="CD67" s="574"/>
      <c r="CE67" s="574"/>
      <c r="CF67" s="574"/>
      <c r="CG67" s="574"/>
      <c r="CH67" s="574"/>
      <c r="CI67" s="574"/>
      <c r="CJ67" s="574"/>
      <c r="CK67" s="574"/>
      <c r="CL67" s="574"/>
      <c r="CM67" s="569">
        <f>AVERAGE(CK62:CM62)</f>
        <v>0.1786476667</v>
      </c>
      <c r="CN67" s="574"/>
      <c r="CO67" s="574"/>
      <c r="CP67" s="569">
        <f>AVERAGE(CN62:CP62)</f>
        <v>0.1916666655</v>
      </c>
      <c r="CQ67" s="574"/>
      <c r="CR67" s="574"/>
      <c r="CS67" s="574"/>
      <c r="CT67" s="574"/>
      <c r="CU67" s="574"/>
      <c r="CV67" s="574"/>
      <c r="CW67" s="578">
        <f>CW61/CI61*100-100</f>
        <v>-24.18272517</v>
      </c>
      <c r="CX67" s="574"/>
      <c r="CY67" s="574"/>
      <c r="CZ67" s="574"/>
      <c r="DA67" s="574"/>
      <c r="DB67" s="574"/>
      <c r="DC67" s="574"/>
      <c r="DD67" s="569">
        <f>AVERAGE(DB62:DD62)</f>
        <v>0.1708016798</v>
      </c>
      <c r="DE67" s="574"/>
      <c r="DF67" s="574"/>
      <c r="DG67" s="569">
        <f>AVERAGE(DE62:DG62)</f>
        <v>0.1869381984</v>
      </c>
      <c r="DH67" s="574"/>
      <c r="DI67" s="574"/>
      <c r="DJ67" s="574"/>
      <c r="DK67" s="574"/>
      <c r="DL67" s="574"/>
      <c r="DM67" s="574"/>
      <c r="DN67" s="578">
        <f>DN61/CZ61*100-100</f>
        <v>-58.69065346</v>
      </c>
      <c r="DO67" s="574"/>
      <c r="DP67" s="578">
        <f t="shared" ref="DP67:DP68" si="184">(DP61+DO61+DN61)/(CX61+CY61+CW61)*100-100</f>
        <v>-3.655293692</v>
      </c>
      <c r="DQ67" s="574"/>
      <c r="DR67" s="574"/>
      <c r="DS67" s="574"/>
      <c r="DT67" s="574"/>
      <c r="DU67" s="569">
        <f>AVERAGE(DS62:DU62)</f>
        <v>0.2584957073</v>
      </c>
      <c r="DV67" s="574"/>
      <c r="DW67" s="574"/>
      <c r="DX67" s="569">
        <f>AVERAGE(DV62:DX62)</f>
        <v>0.1792285696</v>
      </c>
      <c r="DY67" s="574"/>
      <c r="DZ67" s="574"/>
      <c r="EA67" s="574"/>
      <c r="EB67" s="574"/>
      <c r="EC67" s="574"/>
      <c r="ED67" s="574"/>
      <c r="EE67" s="578">
        <f>EE61/DQ61*100-100</f>
        <v>-5.933426413</v>
      </c>
      <c r="EF67" s="574"/>
      <c r="EG67" s="596">
        <f t="shared" ref="EG67:EG68" si="185">(EG61+EF61+EE61)/(DO61+DP61+DN61)*100-100</f>
        <v>9.217427718</v>
      </c>
      <c r="EH67" s="574"/>
      <c r="EI67" s="574"/>
      <c r="EJ67" s="574"/>
      <c r="EK67" s="574"/>
      <c r="EL67" s="552"/>
      <c r="EM67" s="552"/>
      <c r="EN67" s="552"/>
      <c r="EO67" s="552"/>
      <c r="EP67" s="552"/>
      <c r="EQ67" s="552"/>
      <c r="ER67" s="552"/>
      <c r="ES67" s="552"/>
      <c r="ET67" s="552"/>
      <c r="EU67" s="552"/>
    </row>
    <row r="68">
      <c r="A68" s="552"/>
      <c r="B68" s="552" t="s">
        <v>188</v>
      </c>
      <c r="C68" s="552"/>
      <c r="D68" s="574"/>
      <c r="E68" s="574"/>
      <c r="F68" s="574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  <c r="AS68" s="574"/>
      <c r="AT68" s="574"/>
      <c r="AU68" s="574"/>
      <c r="AV68" s="574"/>
      <c r="AW68" s="574"/>
      <c r="AX68" s="574"/>
      <c r="AY68" s="574"/>
      <c r="AZ68" s="574"/>
      <c r="BA68" s="574"/>
      <c r="BB68" s="574"/>
      <c r="BC68" s="574"/>
      <c r="BD68" s="574"/>
      <c r="BE68" s="574"/>
      <c r="BF68" s="574"/>
      <c r="BG68" s="574"/>
      <c r="BH68" s="574"/>
      <c r="BI68" s="574"/>
      <c r="BJ68" s="574"/>
      <c r="BK68" s="574"/>
      <c r="BL68" s="574"/>
      <c r="BM68" s="574"/>
      <c r="BN68" s="574"/>
      <c r="BO68" s="574"/>
      <c r="BP68" s="574"/>
      <c r="BQ68" s="574"/>
      <c r="BR68" s="574"/>
      <c r="BS68" s="574"/>
      <c r="BT68" s="574"/>
      <c r="BU68" s="574"/>
      <c r="BV68" s="574"/>
      <c r="BW68" s="574"/>
      <c r="BX68" s="574"/>
      <c r="BY68" s="574"/>
      <c r="BZ68" s="574"/>
      <c r="CA68" s="574"/>
      <c r="CB68" s="574"/>
      <c r="CC68" s="574"/>
      <c r="CD68" s="574"/>
      <c r="CE68" s="574"/>
      <c r="CF68" s="574"/>
      <c r="CG68" s="574"/>
      <c r="CH68" s="574"/>
      <c r="CI68" s="574"/>
      <c r="CJ68" s="574"/>
      <c r="CK68" s="574"/>
      <c r="CL68" s="574"/>
      <c r="CM68" s="569">
        <f>CM64*1000000</f>
        <v>207567.6133</v>
      </c>
      <c r="CN68" s="574"/>
      <c r="CO68" s="574"/>
      <c r="CP68" s="569">
        <f>CP64*1000000</f>
        <v>216458.0029</v>
      </c>
      <c r="CQ68" s="574"/>
      <c r="CR68" s="574"/>
      <c r="CS68" s="574"/>
      <c r="CT68" s="574"/>
      <c r="CU68" s="574"/>
      <c r="CV68" s="574"/>
      <c r="CW68" s="574"/>
      <c r="CX68" s="574"/>
      <c r="CY68" s="574"/>
      <c r="CZ68" s="574"/>
      <c r="DA68" s="574"/>
      <c r="DB68" s="574"/>
      <c r="DC68" s="574"/>
      <c r="DD68" s="569">
        <f>DD64*1000000</f>
        <v>209586.4322</v>
      </c>
      <c r="DE68" s="574"/>
      <c r="DF68" s="574"/>
      <c r="DG68" s="569">
        <f>DG64*1000000</f>
        <v>232127.636</v>
      </c>
      <c r="DH68" s="574"/>
      <c r="DI68" s="574"/>
      <c r="DJ68" s="574"/>
      <c r="DK68" s="574"/>
      <c r="DL68" s="574"/>
      <c r="DM68" s="574"/>
      <c r="DN68" s="574"/>
      <c r="DO68" s="574"/>
      <c r="DP68" s="621">
        <f t="shared" si="184"/>
        <v>-10.3979057</v>
      </c>
      <c r="DQ68" s="574"/>
      <c r="DR68" s="574"/>
      <c r="DS68" s="574"/>
      <c r="DT68" s="574"/>
      <c r="DU68" s="569">
        <f>DU64*1000000</f>
        <v>257824.1851</v>
      </c>
      <c r="DV68" s="574"/>
      <c r="DW68" s="574"/>
      <c r="DX68" s="569">
        <f>DX64*1000000</f>
        <v>216373.8866</v>
      </c>
      <c r="DY68" s="574"/>
      <c r="DZ68" s="574"/>
      <c r="EA68" s="574"/>
      <c r="EB68" s="574"/>
      <c r="EC68" s="574"/>
      <c r="ED68" s="574"/>
      <c r="EE68" s="574"/>
      <c r="EF68" s="574"/>
      <c r="EG68" s="622">
        <f t="shared" si="185"/>
        <v>20.44903106</v>
      </c>
      <c r="EH68" s="574"/>
      <c r="EI68" s="574"/>
      <c r="EJ68" s="574"/>
      <c r="EK68" s="574"/>
      <c r="EL68" s="552"/>
      <c r="EM68" s="552"/>
      <c r="EN68" s="552"/>
      <c r="EO68" s="552"/>
      <c r="EP68" s="552"/>
      <c r="EQ68" s="552"/>
      <c r="ER68" s="552"/>
      <c r="ES68" s="552"/>
      <c r="ET68" s="552"/>
      <c r="EU68" s="552"/>
    </row>
    <row r="69">
      <c r="A69" s="552"/>
      <c r="B69" s="552"/>
      <c r="C69" s="552"/>
      <c r="D69" s="574"/>
      <c r="E69" s="574"/>
      <c r="F69" s="574"/>
      <c r="G69" s="574"/>
      <c r="H69" s="574"/>
      <c r="I69" s="574"/>
      <c r="J69" s="574"/>
      <c r="K69" s="574"/>
      <c r="L69" s="574"/>
      <c r="M69" s="574"/>
      <c r="N69" s="574"/>
      <c r="O69" s="574"/>
      <c r="P69" s="574"/>
      <c r="Q69" s="574"/>
      <c r="R69" s="574"/>
      <c r="S69" s="574"/>
      <c r="T69" s="574"/>
      <c r="U69" s="574"/>
      <c r="V69" s="574"/>
      <c r="W69" s="574"/>
      <c r="X69" s="574"/>
      <c r="Y69" s="574"/>
      <c r="Z69" s="574"/>
      <c r="AA69" s="574"/>
      <c r="AB69" s="574"/>
      <c r="AC69" s="574"/>
      <c r="AD69" s="574"/>
      <c r="AE69" s="574"/>
      <c r="AF69" s="574"/>
      <c r="AG69" s="574"/>
      <c r="AH69" s="574"/>
      <c r="AI69" s="574"/>
      <c r="AJ69" s="574"/>
      <c r="AK69" s="574"/>
      <c r="AL69" s="574"/>
      <c r="AM69" s="574"/>
      <c r="AN69" s="574"/>
      <c r="AO69" s="574"/>
      <c r="AP69" s="574"/>
      <c r="AQ69" s="574"/>
      <c r="AR69" s="574"/>
      <c r="AS69" s="574"/>
      <c r="AT69" s="574"/>
      <c r="AU69" s="574"/>
      <c r="AV69" s="574"/>
      <c r="AW69" s="574"/>
      <c r="AX69" s="574"/>
      <c r="AY69" s="574"/>
      <c r="AZ69" s="574"/>
      <c r="BA69" s="574"/>
      <c r="BB69" s="574"/>
      <c r="BC69" s="574"/>
      <c r="BD69" s="574"/>
      <c r="BE69" s="574"/>
      <c r="BF69" s="574"/>
      <c r="BG69" s="574"/>
      <c r="BH69" s="574"/>
      <c r="BI69" s="574"/>
      <c r="BJ69" s="574"/>
      <c r="BK69" s="574"/>
      <c r="BL69" s="574"/>
      <c r="BM69" s="574"/>
      <c r="BN69" s="574"/>
      <c r="BO69" s="574"/>
      <c r="BP69" s="574"/>
      <c r="BQ69" s="574"/>
      <c r="BR69" s="574"/>
      <c r="BS69" s="574"/>
      <c r="BT69" s="574"/>
      <c r="BU69" s="574"/>
      <c r="BV69" s="574"/>
      <c r="BW69" s="574"/>
      <c r="BX69" s="574"/>
      <c r="BY69" s="574"/>
      <c r="BZ69" s="574"/>
      <c r="CA69" s="574"/>
      <c r="CB69" s="574"/>
      <c r="CC69" s="574"/>
      <c r="CD69" s="574"/>
      <c r="CE69" s="574"/>
      <c r="CF69" s="578">
        <f t="shared" ref="CF69:CI69" si="186">CF61*1000000</f>
        <v>273835.1016</v>
      </c>
      <c r="CG69" s="578">
        <f t="shared" si="186"/>
        <v>275427.674</v>
      </c>
      <c r="CH69" s="578">
        <f t="shared" si="186"/>
        <v>288563.3266</v>
      </c>
      <c r="CI69" s="578">
        <f t="shared" si="186"/>
        <v>269703.4894</v>
      </c>
      <c r="CJ69" s="574"/>
      <c r="CK69" s="574"/>
      <c r="CL69" s="574"/>
      <c r="CM69" s="569">
        <f>CM67*1000000</f>
        <v>178647.6667</v>
      </c>
      <c r="CN69" s="574"/>
      <c r="CO69" s="574"/>
      <c r="CP69" s="569">
        <f>CP67*1000000</f>
        <v>191666.6655</v>
      </c>
      <c r="CQ69" s="574"/>
      <c r="CR69" s="574"/>
      <c r="CS69" s="574"/>
      <c r="CT69" s="574"/>
      <c r="CU69" s="574"/>
      <c r="CV69" s="574"/>
      <c r="CW69" s="574"/>
      <c r="CX69" s="574"/>
      <c r="CY69" s="574"/>
      <c r="CZ69" s="574"/>
      <c r="DA69" s="574"/>
      <c r="DB69" s="574"/>
      <c r="DC69" s="574"/>
      <c r="DD69" s="569">
        <f>DD67*1000000</f>
        <v>170801.6798</v>
      </c>
      <c r="DE69" s="574"/>
      <c r="DF69" s="574"/>
      <c r="DG69" s="569">
        <f>DG67*1000000</f>
        <v>186938.1984</v>
      </c>
      <c r="DH69" s="574"/>
      <c r="DI69" s="574"/>
      <c r="DJ69" s="574"/>
      <c r="DK69" s="574"/>
      <c r="DL69" s="574"/>
      <c r="DM69" s="574"/>
      <c r="DN69" s="574"/>
      <c r="DO69" s="574"/>
      <c r="DP69" s="574"/>
      <c r="DQ69" s="574"/>
      <c r="DR69" s="574"/>
      <c r="DS69" s="574"/>
      <c r="DT69" s="574"/>
      <c r="DU69" s="569">
        <f>DU67*1000000</f>
        <v>258495.7073</v>
      </c>
      <c r="DV69" s="574"/>
      <c r="DW69" s="574"/>
      <c r="DX69" s="569">
        <f>DX67*1000000</f>
        <v>179228.5696</v>
      </c>
      <c r="DY69" s="574"/>
      <c r="DZ69" s="574"/>
      <c r="EA69" s="574"/>
      <c r="EB69" s="574"/>
      <c r="EC69" s="574"/>
      <c r="ED69" s="574"/>
      <c r="EE69" s="574"/>
      <c r="EF69" s="574"/>
      <c r="EG69" s="574"/>
      <c r="EH69" s="574"/>
      <c r="EI69" s="574"/>
      <c r="EJ69" s="574"/>
      <c r="EK69" s="574"/>
      <c r="EL69" s="552"/>
      <c r="EM69" s="552"/>
      <c r="EN69" s="552"/>
      <c r="EO69" s="552"/>
      <c r="EP69" s="552"/>
      <c r="EQ69" s="552"/>
      <c r="ER69" s="552"/>
      <c r="ES69" s="552"/>
      <c r="ET69" s="552"/>
      <c r="EU69" s="552"/>
    </row>
    <row r="70">
      <c r="A70" s="493"/>
      <c r="B70" s="493" t="s">
        <v>189</v>
      </c>
      <c r="C70" s="493"/>
      <c r="D70" s="583"/>
      <c r="E70" s="583"/>
      <c r="F70" s="583"/>
      <c r="G70" s="583"/>
      <c r="H70" s="583"/>
      <c r="I70" s="583"/>
      <c r="J70" s="583"/>
      <c r="K70" s="583"/>
      <c r="L70" s="583"/>
      <c r="M70" s="583"/>
      <c r="N70" s="583"/>
      <c r="O70" s="583"/>
      <c r="P70" s="583"/>
      <c r="Q70" s="583"/>
      <c r="R70" s="583"/>
      <c r="S70" s="583"/>
      <c r="T70" s="583"/>
      <c r="U70" s="583"/>
      <c r="V70" s="583"/>
      <c r="W70" s="583"/>
      <c r="X70" s="583"/>
      <c r="Y70" s="583"/>
      <c r="Z70" s="583"/>
      <c r="AA70" s="583"/>
      <c r="AB70" s="583"/>
      <c r="AC70" s="583"/>
      <c r="AD70" s="583"/>
      <c r="AE70" s="583"/>
      <c r="AF70" s="583"/>
      <c r="AG70" s="583"/>
      <c r="AH70" s="583"/>
      <c r="AI70" s="583"/>
      <c r="AJ70" s="583"/>
      <c r="AK70" s="583"/>
      <c r="AL70" s="583"/>
      <c r="AM70" s="583"/>
      <c r="AN70" s="583"/>
      <c r="AO70" s="583"/>
      <c r="AP70" s="583"/>
      <c r="AQ70" s="583"/>
      <c r="AR70" s="583"/>
      <c r="AS70" s="583"/>
      <c r="AT70" s="583"/>
      <c r="AU70" s="583"/>
      <c r="AV70" s="583"/>
      <c r="AW70" s="583"/>
      <c r="AX70" s="583"/>
      <c r="AY70" s="583"/>
      <c r="AZ70" s="583"/>
      <c r="BA70" s="583"/>
      <c r="BB70" s="583"/>
      <c r="BC70" s="583"/>
      <c r="BD70" s="583"/>
      <c r="BE70" s="583"/>
      <c r="BF70" s="583"/>
      <c r="BG70" s="583"/>
      <c r="BH70" s="583"/>
      <c r="BI70" s="583"/>
      <c r="BJ70" s="583"/>
      <c r="BK70" s="583"/>
      <c r="BL70" s="583"/>
      <c r="BM70" s="583"/>
      <c r="BN70" s="583"/>
      <c r="BO70" s="583"/>
      <c r="BP70" s="583"/>
      <c r="BQ70" s="583"/>
      <c r="BR70" s="583"/>
      <c r="BS70" s="583"/>
      <c r="BT70" s="583"/>
      <c r="BU70" s="583"/>
      <c r="BV70" s="583"/>
      <c r="BW70" s="583"/>
      <c r="BX70" s="583"/>
      <c r="BY70" s="583"/>
      <c r="BZ70" s="583"/>
      <c r="CA70" s="583"/>
      <c r="CB70" s="583"/>
      <c r="CC70" s="583"/>
      <c r="CD70" s="583"/>
      <c r="CE70" s="583"/>
      <c r="CF70" s="583"/>
      <c r="CG70" s="583"/>
      <c r="CH70" s="583"/>
      <c r="CI70" s="616">
        <f>CI39/CI12</f>
        <v>13.05</v>
      </c>
      <c r="CJ70" s="583"/>
      <c r="CK70" s="583"/>
      <c r="CL70" s="583"/>
      <c r="CM70" s="583"/>
      <c r="CN70" s="583"/>
      <c r="CO70" s="583"/>
      <c r="CP70" s="583"/>
      <c r="CQ70" s="583"/>
      <c r="CR70" s="583"/>
      <c r="CS70" s="583"/>
      <c r="CT70" s="583"/>
      <c r="CU70" s="583"/>
      <c r="CV70" s="583"/>
      <c r="CW70" s="616">
        <f>CW39/CW12</f>
        <v>13.05</v>
      </c>
      <c r="CX70" s="583"/>
      <c r="CY70" s="583"/>
      <c r="CZ70" s="583"/>
      <c r="DA70" s="583"/>
      <c r="DB70" s="583"/>
      <c r="DC70" s="583"/>
      <c r="DD70" s="583"/>
      <c r="DE70" s="583"/>
      <c r="DF70" s="583"/>
      <c r="DG70" s="583"/>
      <c r="DH70" s="583"/>
      <c r="DI70" s="583"/>
      <c r="DJ70" s="583"/>
      <c r="DK70" s="583"/>
      <c r="DL70" s="583"/>
      <c r="DM70" s="583"/>
      <c r="DN70" s="616">
        <f>DN39/DN12</f>
        <v>0.8946792682</v>
      </c>
      <c r="DO70" s="583"/>
      <c r="DP70" s="583"/>
      <c r="DQ70" s="583"/>
      <c r="DR70" s="583"/>
      <c r="DS70" s="583"/>
      <c r="DT70" s="583"/>
      <c r="DU70" s="583"/>
      <c r="DV70" s="583"/>
      <c r="DW70" s="583"/>
      <c r="DX70" s="583"/>
      <c r="DY70" s="583"/>
      <c r="DZ70" s="583"/>
      <c r="EA70" s="583"/>
      <c r="EB70" s="583"/>
      <c r="EC70" s="583"/>
      <c r="ED70" s="583"/>
      <c r="EE70" s="616">
        <f>EE39/EE12</f>
        <v>0.6979650074</v>
      </c>
      <c r="EF70" s="583"/>
      <c r="EG70" s="583"/>
      <c r="EH70" s="583"/>
      <c r="EI70" s="583"/>
      <c r="EJ70" s="583"/>
      <c r="EK70" s="583"/>
      <c r="EL70" s="493"/>
      <c r="EM70" s="493"/>
      <c r="EN70" s="493"/>
      <c r="EO70" s="493"/>
      <c r="EP70" s="493"/>
      <c r="EQ70" s="493"/>
      <c r="ER70" s="493"/>
      <c r="ES70" s="493"/>
      <c r="ET70" s="493"/>
      <c r="EU70" s="493"/>
    </row>
    <row r="71">
      <c r="A71" s="552"/>
      <c r="B71" s="552" t="s">
        <v>190</v>
      </c>
      <c r="C71" s="552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  <c r="O71" s="574"/>
      <c r="P71" s="574"/>
      <c r="Q71" s="574"/>
      <c r="R71" s="574"/>
      <c r="S71" s="574"/>
      <c r="T71" s="574"/>
      <c r="U71" s="574"/>
      <c r="V71" s="574"/>
      <c r="W71" s="574"/>
      <c r="X71" s="574"/>
      <c r="Y71" s="574"/>
      <c r="Z71" s="574"/>
      <c r="AA71" s="574"/>
      <c r="AB71" s="574"/>
      <c r="AC71" s="574"/>
      <c r="AD71" s="574"/>
      <c r="AE71" s="574"/>
      <c r="AF71" s="574"/>
      <c r="AG71" s="574"/>
      <c r="AH71" s="574"/>
      <c r="AI71" s="574"/>
      <c r="AJ71" s="574"/>
      <c r="AK71" s="574"/>
      <c r="AL71" s="574"/>
      <c r="AM71" s="574"/>
      <c r="AN71" s="574"/>
      <c r="AO71" s="574"/>
      <c r="AP71" s="574"/>
      <c r="AQ71" s="574"/>
      <c r="AR71" s="574"/>
      <c r="AS71" s="574"/>
      <c r="AT71" s="574"/>
      <c r="AU71" s="574"/>
      <c r="AV71" s="574"/>
      <c r="AW71" s="574"/>
      <c r="AX71" s="574"/>
      <c r="AY71" s="574"/>
      <c r="AZ71" s="574"/>
      <c r="BA71" s="574"/>
      <c r="BB71" s="574"/>
      <c r="BC71" s="574"/>
      <c r="BD71" s="574"/>
      <c r="BE71" s="574"/>
      <c r="BF71" s="574"/>
      <c r="BG71" s="574"/>
      <c r="BH71" s="574"/>
      <c r="BI71" s="574"/>
      <c r="BJ71" s="574"/>
      <c r="BK71" s="574"/>
      <c r="BL71" s="574"/>
      <c r="BM71" s="574"/>
      <c r="BN71" s="574"/>
      <c r="BO71" s="574"/>
      <c r="BP71" s="574"/>
      <c r="BQ71" s="574"/>
      <c r="BR71" s="574"/>
      <c r="BS71" s="574"/>
      <c r="BT71" s="574"/>
      <c r="BU71" s="574"/>
      <c r="BV71" s="574"/>
      <c r="BW71" s="574"/>
      <c r="BX71" s="574"/>
      <c r="BY71" s="574"/>
      <c r="BZ71" s="574"/>
      <c r="CA71" s="574"/>
      <c r="CB71" s="574"/>
      <c r="CC71" s="574"/>
      <c r="CD71" s="574"/>
      <c r="CE71" s="574"/>
      <c r="CF71" s="574"/>
      <c r="CG71" s="574"/>
      <c r="CH71" s="574"/>
      <c r="CI71" s="574"/>
      <c r="CJ71" s="574"/>
      <c r="CK71" s="574"/>
      <c r="CL71" s="574"/>
      <c r="CM71" s="574"/>
      <c r="CN71" s="574"/>
      <c r="CO71" s="574"/>
      <c r="CP71" s="574"/>
      <c r="CQ71" s="574"/>
      <c r="CR71" s="574"/>
      <c r="CS71" s="574"/>
      <c r="CT71" s="574"/>
      <c r="CU71" s="574"/>
      <c r="CV71" s="574"/>
      <c r="CW71" s="578">
        <f>CW70/CI70*100-100</f>
        <v>0</v>
      </c>
      <c r="CX71" s="574"/>
      <c r="CY71" s="574"/>
      <c r="CZ71" s="574"/>
      <c r="DA71" s="574"/>
      <c r="DB71" s="574"/>
      <c r="DC71" s="574"/>
      <c r="DD71" s="574"/>
      <c r="DE71" s="574"/>
      <c r="DF71" s="574"/>
      <c r="DG71" s="574"/>
      <c r="DH71" s="574"/>
      <c r="DI71" s="574"/>
      <c r="DJ71" s="574"/>
      <c r="DK71" s="574"/>
      <c r="DL71" s="574"/>
      <c r="DM71" s="574"/>
      <c r="DN71" s="596" t="str">
        <f>DN70/CZ70*100-100</f>
        <v>#DIV/0!</v>
      </c>
      <c r="DO71" s="574"/>
      <c r="DP71" s="574"/>
      <c r="DQ71" s="574"/>
      <c r="DR71" s="574"/>
      <c r="DS71" s="574"/>
      <c r="DT71" s="574"/>
      <c r="DU71" s="574"/>
      <c r="DV71" s="574"/>
      <c r="DW71" s="574"/>
      <c r="DX71" s="574"/>
      <c r="DY71" s="574"/>
      <c r="DZ71" s="574"/>
      <c r="EA71" s="574"/>
      <c r="EB71" s="574"/>
      <c r="EC71" s="574"/>
      <c r="ED71" s="574"/>
      <c r="EE71" s="596" t="str">
        <f>EE70/DQ70*100-100</f>
        <v>#DIV/0!</v>
      </c>
      <c r="EF71" s="574"/>
      <c r="EG71" s="574"/>
      <c r="EH71" s="574"/>
      <c r="EI71" s="574"/>
      <c r="EJ71" s="574"/>
      <c r="EK71" s="574"/>
      <c r="EL71" s="552"/>
      <c r="EM71" s="552"/>
      <c r="EN71" s="552"/>
      <c r="EO71" s="552"/>
      <c r="EP71" s="552"/>
      <c r="EQ71" s="552"/>
      <c r="ER71" s="552"/>
      <c r="ES71" s="552"/>
      <c r="ET71" s="552"/>
      <c r="EU71" s="552"/>
    </row>
    <row r="72">
      <c r="A72" s="552"/>
      <c r="B72" s="552"/>
      <c r="C72" s="552"/>
      <c r="D72" s="574"/>
      <c r="E72" s="574"/>
      <c r="F72" s="574"/>
      <c r="G72" s="574"/>
      <c r="H72" s="574"/>
      <c r="I72" s="574"/>
      <c r="J72" s="574"/>
      <c r="K72" s="574"/>
      <c r="L72" s="574"/>
      <c r="M72" s="574"/>
      <c r="N72" s="574"/>
      <c r="O72" s="574"/>
      <c r="P72" s="574"/>
      <c r="Q72" s="574"/>
      <c r="R72" s="574"/>
      <c r="S72" s="574"/>
      <c r="T72" s="574"/>
      <c r="U72" s="574"/>
      <c r="V72" s="574"/>
      <c r="W72" s="574"/>
      <c r="X72" s="574"/>
      <c r="Y72" s="574"/>
      <c r="Z72" s="574"/>
      <c r="AA72" s="574"/>
      <c r="AB72" s="574"/>
      <c r="AC72" s="574"/>
      <c r="AD72" s="574"/>
      <c r="AE72" s="574"/>
      <c r="AF72" s="574"/>
      <c r="AG72" s="574"/>
      <c r="AH72" s="574"/>
      <c r="AI72" s="574"/>
      <c r="AJ72" s="574"/>
      <c r="AK72" s="574"/>
      <c r="AL72" s="574"/>
      <c r="AM72" s="574"/>
      <c r="AN72" s="574"/>
      <c r="AO72" s="574"/>
      <c r="AP72" s="574"/>
      <c r="AQ72" s="574"/>
      <c r="AR72" s="574"/>
      <c r="AS72" s="574"/>
      <c r="AT72" s="574"/>
      <c r="AU72" s="574"/>
      <c r="AV72" s="574"/>
      <c r="AW72" s="574"/>
      <c r="AX72" s="574"/>
      <c r="AY72" s="574"/>
      <c r="AZ72" s="574"/>
      <c r="BA72" s="574"/>
      <c r="BB72" s="574"/>
      <c r="BC72" s="574"/>
      <c r="BD72" s="574"/>
      <c r="BE72" s="574"/>
      <c r="BF72" s="574"/>
      <c r="BG72" s="574"/>
      <c r="BH72" s="574"/>
      <c r="BI72" s="574"/>
      <c r="BJ72" s="574"/>
      <c r="BK72" s="574"/>
      <c r="BL72" s="574"/>
      <c r="BM72" s="574"/>
      <c r="BN72" s="574"/>
      <c r="BO72" s="574"/>
      <c r="BP72" s="574"/>
      <c r="BQ72" s="574"/>
      <c r="BR72" s="574"/>
      <c r="BS72" s="574"/>
      <c r="BT72" s="574"/>
      <c r="BU72" s="574"/>
      <c r="BV72" s="574"/>
      <c r="BW72" s="574"/>
      <c r="BX72" s="574"/>
      <c r="BY72" s="574"/>
      <c r="BZ72" s="574"/>
      <c r="CA72" s="574"/>
      <c r="CB72" s="574"/>
      <c r="CC72" s="574"/>
      <c r="CD72" s="574"/>
      <c r="CE72" s="574"/>
      <c r="CF72" s="578">
        <v>273835.1015649057</v>
      </c>
      <c r="CG72" s="578">
        <v>275427.67398289574</v>
      </c>
      <c r="CH72" s="578">
        <v>288563.32663202623</v>
      </c>
      <c r="CI72" s="578">
        <v>269703.48935665906</v>
      </c>
      <c r="CJ72" s="574"/>
      <c r="CK72" s="574"/>
      <c r="CL72" s="574"/>
      <c r="CM72" s="574"/>
      <c r="CN72" s="574"/>
      <c r="CO72" s="574"/>
      <c r="CP72" s="574"/>
      <c r="CQ72" s="574"/>
      <c r="CR72" s="574"/>
      <c r="CS72" s="574"/>
      <c r="CT72" s="574"/>
      <c r="CU72" s="574"/>
      <c r="CV72" s="574"/>
      <c r="CW72" s="574"/>
      <c r="CX72" s="574"/>
      <c r="CY72" s="574"/>
      <c r="CZ72" s="574"/>
      <c r="DA72" s="574"/>
      <c r="DB72" s="574"/>
      <c r="DC72" s="574"/>
      <c r="DD72" s="574"/>
      <c r="DE72" s="574"/>
      <c r="DF72" s="574"/>
      <c r="DG72" s="574"/>
      <c r="DH72" s="574"/>
      <c r="DI72" s="574"/>
      <c r="DJ72" s="574"/>
      <c r="DK72" s="574"/>
      <c r="DL72" s="574"/>
      <c r="DM72" s="574"/>
      <c r="DN72" s="574"/>
      <c r="DO72" s="574"/>
      <c r="DP72" s="574"/>
      <c r="DQ72" s="574"/>
      <c r="DR72" s="574"/>
      <c r="DS72" s="574"/>
      <c r="DT72" s="574"/>
      <c r="DU72" s="574"/>
      <c r="DV72" s="574"/>
      <c r="DW72" s="574"/>
      <c r="DX72" s="574"/>
      <c r="DY72" s="574"/>
      <c r="DZ72" s="574"/>
      <c r="EA72" s="574"/>
      <c r="EB72" s="574"/>
      <c r="EC72" s="574"/>
      <c r="ED72" s="574"/>
      <c r="EE72" s="574"/>
      <c r="EF72" s="574"/>
      <c r="EG72" s="574"/>
      <c r="EH72" s="574"/>
      <c r="EI72" s="574"/>
      <c r="EJ72" s="574"/>
      <c r="EK72" s="574"/>
      <c r="EL72" s="552"/>
      <c r="EM72" s="552"/>
      <c r="EN72" s="552"/>
      <c r="EO72" s="552"/>
      <c r="EP72" s="552"/>
      <c r="EQ72" s="552"/>
      <c r="ER72" s="552"/>
      <c r="ES72" s="552"/>
      <c r="ET72" s="552"/>
      <c r="EU72" s="552"/>
    </row>
    <row r="73" ht="32.25" customHeight="1">
      <c r="A73" s="493"/>
      <c r="B73" s="623" t="s">
        <v>191</v>
      </c>
      <c r="C73" s="493"/>
      <c r="D73" s="583"/>
      <c r="E73" s="583"/>
      <c r="F73" s="583"/>
      <c r="G73" s="583"/>
      <c r="H73" s="583"/>
      <c r="I73" s="583"/>
      <c r="J73" s="583"/>
      <c r="K73" s="583"/>
      <c r="L73" s="583"/>
      <c r="M73" s="583"/>
      <c r="N73" s="583"/>
      <c r="O73" s="583"/>
      <c r="P73" s="583"/>
      <c r="Q73" s="583"/>
      <c r="R73" s="583"/>
      <c r="S73" s="583"/>
      <c r="T73" s="583"/>
      <c r="U73" s="583"/>
      <c r="V73" s="583"/>
      <c r="W73" s="583"/>
      <c r="X73" s="583"/>
      <c r="Y73" s="583"/>
      <c r="Z73" s="583"/>
      <c r="AA73" s="583"/>
      <c r="AB73" s="583"/>
      <c r="AC73" s="583"/>
      <c r="AD73" s="583"/>
      <c r="AE73" s="583"/>
      <c r="AF73" s="583"/>
      <c r="AG73" s="583"/>
      <c r="AH73" s="583"/>
      <c r="AI73" s="583"/>
      <c r="AJ73" s="583"/>
      <c r="AK73" s="583"/>
      <c r="AL73" s="583"/>
      <c r="AM73" s="583"/>
      <c r="AN73" s="583"/>
      <c r="AO73" s="583"/>
      <c r="AP73" s="583"/>
      <c r="AQ73" s="583"/>
      <c r="AR73" s="583"/>
      <c r="AS73" s="583"/>
      <c r="AT73" s="583"/>
      <c r="AU73" s="583"/>
      <c r="AV73" s="583"/>
      <c r="AW73" s="583"/>
      <c r="AX73" s="583"/>
      <c r="AY73" s="583"/>
      <c r="AZ73" s="583"/>
      <c r="BA73" s="583"/>
      <c r="BB73" s="583"/>
      <c r="BC73" s="583"/>
      <c r="BD73" s="583"/>
      <c r="BE73" s="583"/>
      <c r="BF73" s="583"/>
      <c r="BG73" s="583"/>
      <c r="BH73" s="583"/>
      <c r="BI73" s="583"/>
      <c r="BJ73" s="583"/>
      <c r="BK73" s="583"/>
      <c r="BL73" s="583"/>
      <c r="BM73" s="583"/>
      <c r="BN73" s="583"/>
      <c r="BO73" s="583"/>
      <c r="BP73" s="583"/>
      <c r="BQ73" s="583"/>
      <c r="BR73" s="583"/>
      <c r="BS73" s="583"/>
      <c r="BT73" s="583"/>
      <c r="BU73" s="583"/>
      <c r="BV73" s="583"/>
      <c r="BW73" s="583"/>
      <c r="BX73" s="583"/>
      <c r="BY73" s="583"/>
      <c r="BZ73" s="583"/>
      <c r="CA73" s="583"/>
      <c r="CB73" s="583"/>
      <c r="CC73" s="583"/>
      <c r="CD73" s="583"/>
      <c r="CE73" s="583"/>
      <c r="CF73" s="583"/>
      <c r="CG73" s="583"/>
      <c r="CH73" s="583"/>
      <c r="CI73" s="583"/>
      <c r="CJ73" s="583"/>
      <c r="CK73" s="583"/>
      <c r="CL73" s="583"/>
      <c r="CM73" s="583"/>
      <c r="CN73" s="583"/>
      <c r="CO73" s="583"/>
      <c r="CP73" s="583"/>
      <c r="CQ73" s="583"/>
      <c r="CR73" s="583"/>
      <c r="CS73" s="583"/>
      <c r="CT73" s="583"/>
      <c r="CU73" s="583"/>
      <c r="CV73" s="583"/>
      <c r="CW73" s="583"/>
      <c r="CX73" s="583"/>
      <c r="CY73" s="583"/>
      <c r="CZ73" s="583"/>
      <c r="DA73" s="583"/>
      <c r="DB73" s="583"/>
      <c r="DC73" s="583"/>
      <c r="DD73" s="583"/>
      <c r="DE73" s="583"/>
      <c r="DF73" s="583"/>
      <c r="DG73" s="583"/>
      <c r="DH73" s="583"/>
      <c r="DI73" s="583"/>
      <c r="DJ73" s="583"/>
      <c r="DK73" s="583"/>
      <c r="DL73" s="583"/>
      <c r="DM73" s="583"/>
      <c r="DN73" s="583"/>
      <c r="DO73" s="583"/>
      <c r="DP73" s="583"/>
      <c r="DQ73" s="583"/>
      <c r="DR73" s="583"/>
      <c r="DS73" s="583"/>
      <c r="DT73" s="583"/>
      <c r="DU73" s="583"/>
      <c r="DV73" s="583"/>
      <c r="DW73" s="583"/>
      <c r="DX73" s="583"/>
      <c r="DY73" s="583"/>
      <c r="DZ73" s="583"/>
      <c r="EA73" s="583"/>
      <c r="EB73" s="583"/>
      <c r="EC73" s="583"/>
      <c r="ED73" s="583"/>
      <c r="EE73" s="583"/>
      <c r="EF73" s="583"/>
      <c r="EG73" s="583"/>
      <c r="EH73" s="583"/>
      <c r="EI73" s="583"/>
      <c r="EJ73" s="583"/>
      <c r="EK73" s="583"/>
      <c r="EL73" s="493"/>
      <c r="EM73" s="493"/>
      <c r="EN73" s="493"/>
      <c r="EO73" s="493"/>
      <c r="EP73" s="493"/>
      <c r="EQ73" s="493"/>
      <c r="ER73" s="493"/>
      <c r="ES73" s="493"/>
      <c r="ET73" s="493"/>
      <c r="EU73" s="493"/>
    </row>
    <row r="74">
      <c r="A74" s="552"/>
      <c r="B74" s="552" t="s">
        <v>192</v>
      </c>
      <c r="C74" s="552"/>
      <c r="D74" s="574"/>
      <c r="E74" s="574"/>
      <c r="F74" s="574"/>
      <c r="G74" s="574"/>
      <c r="H74" s="574"/>
      <c r="I74" s="574"/>
      <c r="J74" s="574"/>
      <c r="K74" s="574"/>
      <c r="L74" s="574"/>
      <c r="M74" s="574"/>
      <c r="N74" s="574"/>
      <c r="O74" s="574"/>
      <c r="P74" s="574"/>
      <c r="Q74" s="574"/>
      <c r="R74" s="574"/>
      <c r="S74" s="574"/>
      <c r="T74" s="574"/>
      <c r="U74" s="574"/>
      <c r="V74" s="574"/>
      <c r="W74" s="574"/>
      <c r="X74" s="574"/>
      <c r="Y74" s="574"/>
      <c r="Z74" s="574"/>
      <c r="AA74" s="574"/>
      <c r="AB74" s="574"/>
      <c r="AC74" s="574"/>
      <c r="AD74" s="574"/>
      <c r="AE74" s="574"/>
      <c r="AF74" s="574"/>
      <c r="AG74" s="574"/>
      <c r="AH74" s="574"/>
      <c r="AI74" s="574"/>
      <c r="AJ74" s="574"/>
      <c r="AK74" s="574"/>
      <c r="AL74" s="574"/>
      <c r="AM74" s="574"/>
      <c r="AN74" s="574"/>
      <c r="AO74" s="574"/>
      <c r="AP74" s="574"/>
      <c r="AQ74" s="574"/>
      <c r="AR74" s="574"/>
      <c r="AS74" s="574"/>
      <c r="AT74" s="574"/>
      <c r="AU74" s="574"/>
      <c r="AV74" s="574"/>
      <c r="AW74" s="574"/>
      <c r="AX74" s="574"/>
      <c r="AY74" s="574"/>
      <c r="AZ74" s="574"/>
      <c r="BA74" s="574"/>
      <c r="BB74" s="574"/>
      <c r="BC74" s="574"/>
      <c r="BD74" s="574"/>
      <c r="BE74" s="574"/>
      <c r="BF74" s="574"/>
      <c r="BG74" s="574"/>
      <c r="BH74" s="574"/>
      <c r="BI74" s="574"/>
      <c r="BJ74" s="574"/>
      <c r="BK74" s="574"/>
      <c r="BL74" s="574"/>
      <c r="BM74" s="574"/>
      <c r="BN74" s="574"/>
      <c r="BO74" s="574"/>
      <c r="BP74" s="574"/>
      <c r="BQ74" s="574"/>
      <c r="BR74" s="574"/>
      <c r="BS74" s="574"/>
      <c r="BT74" s="569">
        <v>13875.68</v>
      </c>
      <c r="BU74" s="569">
        <v>14029.72</v>
      </c>
      <c r="BV74" s="569">
        <v>12994.57</v>
      </c>
      <c r="BW74" s="569">
        <v>12301.19</v>
      </c>
      <c r="BX74" s="569">
        <v>11347.68</v>
      </c>
      <c r="BY74" s="569">
        <v>12085.1</v>
      </c>
      <c r="BZ74" s="569">
        <v>12595.68</v>
      </c>
      <c r="CA74" s="569">
        <v>13004.6</v>
      </c>
      <c r="CB74" s="569">
        <v>13921.87</v>
      </c>
      <c r="CC74" s="569">
        <v>15059.57</v>
      </c>
      <c r="CD74" s="569">
        <v>14732.1</v>
      </c>
      <c r="CE74" s="569">
        <v>15646.7</v>
      </c>
      <c r="CF74" s="578">
        <f>AVERAGE(BT74:BV74)</f>
        <v>13633.32333</v>
      </c>
      <c r="CG74" s="578">
        <f>AVERAGE(BW74:BY74)</f>
        <v>11911.32333</v>
      </c>
      <c r="CH74" s="578">
        <f>AVERAGE(BZ74:CB74)</f>
        <v>13174.05</v>
      </c>
      <c r="CI74" s="578">
        <f>AVERAGE(CC74:CE74)</f>
        <v>15146.12333</v>
      </c>
      <c r="CJ74" s="578">
        <f>AVERAGE(BT74:CE74)</f>
        <v>13466.205</v>
      </c>
      <c r="CK74" s="569">
        <v>16541.57</v>
      </c>
      <c r="CL74" s="569">
        <v>17434.05</v>
      </c>
      <c r="CM74" s="569">
        <v>18210.39</v>
      </c>
      <c r="CN74" s="569">
        <v>17251.6</v>
      </c>
      <c r="CO74" s="569">
        <v>16301.95</v>
      </c>
      <c r="CP74" s="569">
        <v>17322.48</v>
      </c>
      <c r="CQ74" s="569">
        <v>17650.95</v>
      </c>
      <c r="CR74" s="569">
        <v>18356.86</v>
      </c>
      <c r="CS74" s="569">
        <v>19239.26</v>
      </c>
      <c r="CT74" s="569">
        <v>19499.7</v>
      </c>
      <c r="CU74" s="569">
        <v>18951.82</v>
      </c>
      <c r="CV74" s="569">
        <v>19829.35</v>
      </c>
      <c r="CW74" s="578">
        <f>AVERAGE(CK74:CM74)</f>
        <v>17395.33667</v>
      </c>
      <c r="CX74" s="578">
        <f>AVERAGE(CN74:CP74)</f>
        <v>16958.67667</v>
      </c>
      <c r="CY74" s="578">
        <f>AVERAGE(CQ74:CS74)</f>
        <v>18415.69</v>
      </c>
      <c r="CZ74" s="578">
        <f>AVERAGE(CT74:CV74)</f>
        <v>19426.95667</v>
      </c>
      <c r="DA74" s="578">
        <f>AVERAGE(CK74:CV74)</f>
        <v>18049.165</v>
      </c>
      <c r="DB74" s="569">
        <v>20189.75</v>
      </c>
      <c r="DC74" s="569">
        <v>21113.75</v>
      </c>
      <c r="DD74" s="569">
        <v>23537.05</v>
      </c>
      <c r="DE74" s="569">
        <v>35995.3</v>
      </c>
      <c r="DF74" s="569">
        <v>33415.75</v>
      </c>
      <c r="DG74" s="569">
        <v>30048.81</v>
      </c>
      <c r="DH74" s="569">
        <v>27414.47</v>
      </c>
      <c r="DI74" s="569">
        <v>22504.77</v>
      </c>
      <c r="DJ74" s="569">
        <v>22059.13</v>
      </c>
      <c r="DK74" s="569">
        <v>22081.25</v>
      </c>
      <c r="DL74" s="569">
        <v>22374.77</v>
      </c>
      <c r="DM74" s="569">
        <v>23907.73</v>
      </c>
      <c r="DN74" s="578">
        <f>AVERAGE(DB74:DD74)</f>
        <v>21613.51667</v>
      </c>
      <c r="DO74" s="578">
        <f>AVERAGE(DE74:DG74)</f>
        <v>33153.28667</v>
      </c>
      <c r="DP74" s="578">
        <f>AVERAGE(DH74:DJ74)</f>
        <v>23992.79</v>
      </c>
      <c r="DQ74" s="578">
        <f>AVERAGE(DK74:DM74)</f>
        <v>22787.91667</v>
      </c>
      <c r="DR74" s="578">
        <f>AVERAGE(DB74:DM74)</f>
        <v>25386.8775</v>
      </c>
      <c r="DS74" s="569">
        <v>27482.62</v>
      </c>
      <c r="DT74" s="569">
        <v>28444.5</v>
      </c>
      <c r="DU74" s="569">
        <v>27860.0</v>
      </c>
      <c r="DV74" s="569">
        <v>24227.0</v>
      </c>
      <c r="DW74" s="569">
        <v>23278.57</v>
      </c>
      <c r="DX74" s="569">
        <v>23317.0</v>
      </c>
      <c r="DY74" s="569">
        <v>21376.75</v>
      </c>
      <c r="DZ74" s="594"/>
      <c r="EA74" s="594"/>
      <c r="EB74" s="594"/>
      <c r="EC74" s="594"/>
      <c r="ED74" s="594"/>
      <c r="EE74" s="578">
        <f>AVERAGE(DS74:DU74)</f>
        <v>27929.04</v>
      </c>
      <c r="EF74" s="578">
        <f>AVERAGE(DV74:DX74)</f>
        <v>23607.52333</v>
      </c>
      <c r="EG74" s="578">
        <f>AVERAGE(DY74:EA74)</f>
        <v>21376.75</v>
      </c>
      <c r="EH74" s="596" t="str">
        <f>AVERAGE(EB74:ED74)</f>
        <v>#DIV/0!</v>
      </c>
      <c r="EI74" s="578">
        <f>AVERAGE(DS74:ED74)</f>
        <v>25140.92</v>
      </c>
      <c r="EJ74" s="574"/>
      <c r="EK74" s="574"/>
      <c r="EL74" s="552"/>
      <c r="EM74" s="552"/>
      <c r="EN74" s="552"/>
      <c r="EO74" s="552"/>
      <c r="EP74" s="552"/>
      <c r="EQ74" s="552"/>
      <c r="ER74" s="552"/>
      <c r="ES74" s="552"/>
      <c r="ET74" s="552"/>
      <c r="EU74" s="552"/>
    </row>
    <row r="75">
      <c r="A75" s="552"/>
      <c r="B75" s="552" t="s">
        <v>193</v>
      </c>
      <c r="C75" s="552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4"/>
      <c r="Q75" s="574"/>
      <c r="R75" s="574"/>
      <c r="S75" s="574"/>
      <c r="T75" s="574"/>
      <c r="U75" s="574"/>
      <c r="V75" s="574"/>
      <c r="W75" s="574"/>
      <c r="X75" s="574"/>
      <c r="Y75" s="574"/>
      <c r="Z75" s="574"/>
      <c r="AA75" s="574"/>
      <c r="AB75" s="574"/>
      <c r="AC75" s="574"/>
      <c r="AD75" s="574"/>
      <c r="AE75" s="574"/>
      <c r="AF75" s="574"/>
      <c r="AG75" s="574"/>
      <c r="AH75" s="574"/>
      <c r="AI75" s="574"/>
      <c r="AJ75" s="574"/>
      <c r="AK75" s="574"/>
      <c r="AL75" s="574"/>
      <c r="AM75" s="574"/>
      <c r="AN75" s="574"/>
      <c r="AO75" s="574"/>
      <c r="AP75" s="574"/>
      <c r="AQ75" s="574"/>
      <c r="AR75" s="574"/>
      <c r="AS75" s="574"/>
      <c r="AT75" s="574"/>
      <c r="AU75" s="574"/>
      <c r="AV75" s="574"/>
      <c r="AW75" s="574"/>
      <c r="AX75" s="574"/>
      <c r="AY75" s="574"/>
      <c r="AZ75" s="574"/>
      <c r="BA75" s="574"/>
      <c r="BB75" s="574"/>
      <c r="BC75" s="574"/>
      <c r="BD75" s="574"/>
      <c r="BE75" s="574"/>
      <c r="BF75" s="574"/>
      <c r="BG75" s="574"/>
      <c r="BH75" s="574"/>
      <c r="BI75" s="574"/>
      <c r="BJ75" s="574"/>
      <c r="BK75" s="574"/>
      <c r="BL75" s="574"/>
      <c r="BM75" s="574"/>
      <c r="BN75" s="574"/>
      <c r="BO75" s="574"/>
      <c r="BP75" s="574"/>
      <c r="BQ75" s="574"/>
      <c r="BR75" s="574"/>
      <c r="BS75" s="574"/>
      <c r="BT75" s="574"/>
      <c r="BU75" s="574"/>
      <c r="BV75" s="574"/>
      <c r="BW75" s="574"/>
      <c r="BX75" s="574"/>
      <c r="BY75" s="574"/>
      <c r="BZ75" s="574"/>
      <c r="CA75" s="574"/>
      <c r="CB75" s="574"/>
      <c r="CC75" s="574"/>
      <c r="CD75" s="574"/>
      <c r="CE75" s="574"/>
      <c r="CF75" s="574"/>
      <c r="CG75" s="574"/>
      <c r="CH75" s="574"/>
      <c r="CI75" s="574"/>
      <c r="CJ75" s="574"/>
      <c r="CK75" s="574"/>
      <c r="CL75" s="574"/>
      <c r="CM75" s="574"/>
      <c r="CN75" s="574"/>
      <c r="CO75" s="574"/>
      <c r="CP75" s="574"/>
      <c r="CQ75" s="574"/>
      <c r="CR75" s="574"/>
      <c r="CS75" s="574"/>
      <c r="CT75" s="574"/>
      <c r="CU75" s="574"/>
      <c r="CV75" s="574"/>
      <c r="CW75" s="578">
        <f>CW74/CI74*100-100</f>
        <v>14.85009255</v>
      </c>
      <c r="CX75" s="578">
        <f t="shared" ref="CX75:CZ75" si="187">CX74/CW74*100-100</f>
        <v>-2.510212986</v>
      </c>
      <c r="CY75" s="578">
        <f t="shared" si="187"/>
        <v>8.591550874</v>
      </c>
      <c r="CZ75" s="578">
        <f t="shared" si="187"/>
        <v>5.491331939</v>
      </c>
      <c r="DA75" s="578">
        <f>DA74/CJ74*100-100</f>
        <v>34.03304792</v>
      </c>
      <c r="DB75" s="574"/>
      <c r="DC75" s="574"/>
      <c r="DD75" s="574"/>
      <c r="DE75" s="574"/>
      <c r="DF75" s="574"/>
      <c r="DG75" s="574"/>
      <c r="DH75" s="574"/>
      <c r="DI75" s="574"/>
      <c r="DJ75" s="574"/>
      <c r="DK75" s="574"/>
      <c r="DL75" s="574"/>
      <c r="DM75" s="574"/>
      <c r="DN75" s="578">
        <f>DN74/CZ74*100-100</f>
        <v>11.2552884</v>
      </c>
      <c r="DO75" s="578">
        <f t="shared" ref="DO75:DQ75" si="188">DO74/DN74*100-100</f>
        <v>53.39145026</v>
      </c>
      <c r="DP75" s="578">
        <f t="shared" si="188"/>
        <v>-27.63073465</v>
      </c>
      <c r="DQ75" s="578">
        <f t="shared" si="188"/>
        <v>-5.021814192</v>
      </c>
      <c r="DR75" s="578">
        <f>DR74/DA74*100-100</f>
        <v>40.65402749</v>
      </c>
      <c r="DS75" s="574"/>
      <c r="DT75" s="574"/>
      <c r="DU75" s="574"/>
      <c r="DV75" s="574"/>
      <c r="DW75" s="574"/>
      <c r="DX75" s="574"/>
      <c r="DY75" s="574"/>
      <c r="DZ75" s="574"/>
      <c r="EA75" s="574"/>
      <c r="EB75" s="574"/>
      <c r="EC75" s="574"/>
      <c r="ED75" s="574"/>
      <c r="EE75" s="578">
        <f>EE74/DQ74*100-100</f>
        <v>22.56074308</v>
      </c>
      <c r="EF75" s="578">
        <f t="shared" ref="EF75:EH75" si="189">EF74/EE74*100-100</f>
        <v>-15.47320161</v>
      </c>
      <c r="EG75" s="578">
        <f t="shared" si="189"/>
        <v>-9.449417043</v>
      </c>
      <c r="EH75" s="596" t="str">
        <f t="shared" si="189"/>
        <v>#DIV/0!</v>
      </c>
      <c r="EI75" s="578">
        <f>EI74/DR74*100-100</f>
        <v>-0.9688371482</v>
      </c>
      <c r="EJ75" s="574"/>
      <c r="EK75" s="574"/>
      <c r="EL75" s="552"/>
      <c r="EM75" s="552"/>
      <c r="EN75" s="552"/>
      <c r="EO75" s="552"/>
      <c r="EP75" s="552"/>
      <c r="EQ75" s="552"/>
      <c r="ER75" s="552"/>
      <c r="ES75" s="552"/>
      <c r="ET75" s="552"/>
      <c r="EU75" s="552"/>
    </row>
    <row r="76">
      <c r="A76" s="552"/>
      <c r="B76" s="552"/>
      <c r="C76" s="552"/>
      <c r="D76" s="574"/>
      <c r="E76" s="574"/>
      <c r="F76" s="574"/>
      <c r="G76" s="574"/>
      <c r="H76" s="574"/>
      <c r="I76" s="574"/>
      <c r="J76" s="574"/>
      <c r="K76" s="574"/>
      <c r="L76" s="574"/>
      <c r="M76" s="574"/>
      <c r="N76" s="574"/>
      <c r="O76" s="574"/>
      <c r="P76" s="574"/>
      <c r="Q76" s="574"/>
      <c r="R76" s="574"/>
      <c r="S76" s="574"/>
      <c r="T76" s="574"/>
      <c r="U76" s="574"/>
      <c r="V76" s="574"/>
      <c r="W76" s="574"/>
      <c r="X76" s="574"/>
      <c r="Y76" s="574"/>
      <c r="Z76" s="574"/>
      <c r="AA76" s="574"/>
      <c r="AB76" s="574"/>
      <c r="AC76" s="574"/>
      <c r="AD76" s="574"/>
      <c r="AE76" s="574"/>
      <c r="AF76" s="574"/>
      <c r="AG76" s="574"/>
      <c r="AH76" s="574"/>
      <c r="AI76" s="574"/>
      <c r="AJ76" s="574"/>
      <c r="AK76" s="574"/>
      <c r="AL76" s="574"/>
      <c r="AM76" s="574"/>
      <c r="AN76" s="574"/>
      <c r="AO76" s="574"/>
      <c r="AP76" s="574"/>
      <c r="AQ76" s="574"/>
      <c r="AR76" s="574"/>
      <c r="AS76" s="574"/>
      <c r="AT76" s="574"/>
      <c r="AU76" s="574"/>
      <c r="AV76" s="574"/>
      <c r="AW76" s="574"/>
      <c r="AX76" s="574"/>
      <c r="AY76" s="574"/>
      <c r="AZ76" s="574"/>
      <c r="BA76" s="574"/>
      <c r="BB76" s="574"/>
      <c r="BC76" s="574"/>
      <c r="BD76" s="574"/>
      <c r="BE76" s="574"/>
      <c r="BF76" s="574"/>
      <c r="BG76" s="574"/>
      <c r="BH76" s="574"/>
      <c r="BI76" s="574"/>
      <c r="BJ76" s="574"/>
      <c r="BK76" s="574"/>
      <c r="BL76" s="574"/>
      <c r="BM76" s="574"/>
      <c r="BN76" s="574"/>
      <c r="BO76" s="574"/>
      <c r="BP76" s="574"/>
      <c r="BQ76" s="574"/>
      <c r="BR76" s="574"/>
      <c r="BS76" s="574"/>
      <c r="BT76" s="574"/>
      <c r="BU76" s="574"/>
      <c r="BV76" s="574"/>
      <c r="BW76" s="574"/>
      <c r="BX76" s="574"/>
      <c r="BY76" s="574"/>
      <c r="BZ76" s="574"/>
      <c r="CA76" s="574"/>
      <c r="CB76" s="574"/>
      <c r="CC76" s="574"/>
      <c r="CD76" s="574"/>
      <c r="CE76" s="574"/>
      <c r="CF76" s="574"/>
      <c r="CG76" s="574"/>
      <c r="CH76" s="574"/>
      <c r="CI76" s="574"/>
      <c r="CJ76" s="574"/>
      <c r="CK76" s="574"/>
      <c r="CL76" s="574"/>
      <c r="CM76" s="574"/>
      <c r="CN76" s="574"/>
      <c r="CO76" s="574"/>
      <c r="CP76" s="574"/>
      <c r="CQ76" s="574"/>
      <c r="CR76" s="574"/>
      <c r="CS76" s="574"/>
      <c r="CT76" s="574"/>
      <c r="CU76" s="574"/>
      <c r="CV76" s="574"/>
      <c r="CW76" s="574"/>
      <c r="CX76" s="574"/>
      <c r="CY76" s="574"/>
      <c r="CZ76" s="574"/>
      <c r="DA76" s="574"/>
      <c r="DB76" s="574"/>
      <c r="DC76" s="574"/>
      <c r="DD76" s="574"/>
      <c r="DE76" s="574"/>
      <c r="DF76" s="574"/>
      <c r="DG76" s="574"/>
      <c r="DH76" s="574"/>
      <c r="DI76" s="574"/>
      <c r="DJ76" s="574"/>
      <c r="DK76" s="574"/>
      <c r="DL76" s="574"/>
      <c r="DM76" s="574"/>
      <c r="DN76" s="574"/>
      <c r="DO76" s="574"/>
      <c r="DP76" s="574"/>
      <c r="DQ76" s="574"/>
      <c r="DR76" s="574"/>
      <c r="DS76" s="574"/>
      <c r="DT76" s="574"/>
      <c r="DU76" s="574"/>
      <c r="DV76" s="574"/>
      <c r="DW76" s="574"/>
      <c r="DX76" s="574"/>
      <c r="DY76" s="574"/>
      <c r="DZ76" s="574"/>
      <c r="EA76" s="574"/>
      <c r="EB76" s="574"/>
      <c r="EC76" s="574"/>
      <c r="ED76" s="574"/>
      <c r="EE76" s="574"/>
      <c r="EF76" s="574"/>
      <c r="EG76" s="574"/>
      <c r="EH76" s="574"/>
      <c r="EI76" s="574"/>
      <c r="EJ76" s="574"/>
      <c r="EK76" s="574"/>
      <c r="EL76" s="552"/>
      <c r="EM76" s="552"/>
      <c r="EN76" s="552"/>
      <c r="EO76" s="552"/>
      <c r="EP76" s="552"/>
      <c r="EQ76" s="552"/>
      <c r="ER76" s="552"/>
      <c r="ES76" s="552"/>
      <c r="ET76" s="552"/>
      <c r="EU76" s="552"/>
    </row>
    <row r="77">
      <c r="A77" s="552"/>
      <c r="B77" s="552"/>
      <c r="C77" s="552"/>
      <c r="D77" s="574"/>
      <c r="E77" s="574"/>
      <c r="F77" s="574"/>
      <c r="G77" s="574"/>
      <c r="H77" s="574"/>
      <c r="I77" s="574"/>
      <c r="J77" s="574"/>
      <c r="K77" s="574"/>
      <c r="L77" s="574"/>
      <c r="M77" s="574"/>
      <c r="N77" s="574"/>
      <c r="O77" s="574"/>
      <c r="P77" s="574"/>
      <c r="Q77" s="574"/>
      <c r="R77" s="574"/>
      <c r="S77" s="574"/>
      <c r="T77" s="574"/>
      <c r="U77" s="574"/>
      <c r="V77" s="574"/>
      <c r="W77" s="574"/>
      <c r="X77" s="574"/>
      <c r="Y77" s="574"/>
      <c r="Z77" s="574"/>
      <c r="AA77" s="574"/>
      <c r="AB77" s="574"/>
      <c r="AC77" s="574"/>
      <c r="AD77" s="574"/>
      <c r="AE77" s="574"/>
      <c r="AF77" s="574"/>
      <c r="AG77" s="574"/>
      <c r="AH77" s="574"/>
      <c r="AI77" s="574"/>
      <c r="AJ77" s="574"/>
      <c r="AK77" s="574"/>
      <c r="AL77" s="574"/>
      <c r="AM77" s="574"/>
      <c r="AN77" s="574"/>
      <c r="AO77" s="574"/>
      <c r="AP77" s="574"/>
      <c r="AQ77" s="574"/>
      <c r="AR77" s="574"/>
      <c r="AS77" s="574"/>
      <c r="AT77" s="574"/>
      <c r="AU77" s="574"/>
      <c r="AV77" s="574"/>
      <c r="AW77" s="574"/>
      <c r="AX77" s="574"/>
      <c r="AY77" s="574"/>
      <c r="AZ77" s="574"/>
      <c r="BA77" s="574"/>
      <c r="BB77" s="574"/>
      <c r="BC77" s="574"/>
      <c r="BD77" s="574"/>
      <c r="BE77" s="574"/>
      <c r="BF77" s="574"/>
      <c r="BG77" s="574"/>
      <c r="BH77" s="574"/>
      <c r="BI77" s="574"/>
      <c r="BJ77" s="574"/>
      <c r="BK77" s="574"/>
      <c r="BL77" s="574"/>
      <c r="BM77" s="574"/>
      <c r="BN77" s="574"/>
      <c r="BO77" s="574"/>
      <c r="BP77" s="574"/>
      <c r="BQ77" s="574"/>
      <c r="BR77" s="574"/>
      <c r="BS77" s="574"/>
      <c r="BT77" s="574"/>
      <c r="BU77" s="574"/>
      <c r="BV77" s="574"/>
      <c r="BW77" s="574"/>
      <c r="BX77" s="574"/>
      <c r="BY77" s="574"/>
      <c r="BZ77" s="574"/>
      <c r="CA77" s="574"/>
      <c r="CB77" s="574"/>
      <c r="CC77" s="574"/>
      <c r="CD77" s="574"/>
      <c r="CE77" s="574"/>
      <c r="CF77" s="574"/>
      <c r="CG77" s="574"/>
      <c r="CH77" s="574"/>
      <c r="CI77" s="574"/>
      <c r="CJ77" s="574"/>
      <c r="CK77" s="594"/>
      <c r="CL77" s="594"/>
      <c r="CM77" s="594"/>
      <c r="CN77" s="594"/>
      <c r="CO77" s="594"/>
      <c r="CP77" s="594"/>
      <c r="CQ77" s="594"/>
      <c r="CR77" s="594"/>
      <c r="CS77" s="594"/>
      <c r="CT77" s="594"/>
      <c r="CU77" s="594"/>
      <c r="CV77" s="594"/>
      <c r="CW77" s="574"/>
      <c r="CX77" s="574"/>
      <c r="CY77" s="574"/>
      <c r="CZ77" s="574"/>
      <c r="DA77" s="574"/>
      <c r="DB77" s="574"/>
      <c r="DC77" s="574"/>
      <c r="DD77" s="574"/>
      <c r="DE77" s="574"/>
      <c r="DF77" s="574"/>
      <c r="DG77" s="574"/>
      <c r="DH77" s="574"/>
      <c r="DI77" s="574"/>
      <c r="DJ77" s="594"/>
      <c r="DK77" s="594"/>
      <c r="DL77" s="594"/>
      <c r="DM77" s="594"/>
      <c r="DN77" s="574"/>
      <c r="DO77" s="574"/>
      <c r="DP77" s="574"/>
      <c r="DQ77" s="574"/>
      <c r="DR77" s="574"/>
      <c r="DS77" s="574"/>
      <c r="DT77" s="574"/>
      <c r="DU77" s="574"/>
      <c r="DV77" s="574"/>
      <c r="DW77" s="574"/>
      <c r="DX77" s="574"/>
      <c r="DY77" s="574"/>
      <c r="EA77" s="594"/>
      <c r="EB77" s="594"/>
      <c r="EC77" s="594"/>
      <c r="ED77" s="594"/>
      <c r="EE77" s="574"/>
      <c r="EF77" s="574"/>
      <c r="EG77" s="574"/>
      <c r="EH77" s="574"/>
      <c r="EI77" s="574"/>
      <c r="EJ77" s="574"/>
      <c r="EK77" s="574"/>
      <c r="EL77" s="552"/>
      <c r="EM77" s="552"/>
      <c r="EN77" s="552"/>
      <c r="EO77" s="552"/>
      <c r="EP77" s="552"/>
      <c r="EQ77" s="552"/>
      <c r="ER77" s="552"/>
      <c r="ES77" s="552"/>
      <c r="ET77" s="552"/>
      <c r="EU77" s="552"/>
    </row>
    <row r="78">
      <c r="A78" s="624"/>
      <c r="B78" s="625" t="s">
        <v>194</v>
      </c>
      <c r="C78" s="624"/>
      <c r="D78" s="626"/>
      <c r="E78" s="626"/>
      <c r="F78" s="626"/>
      <c r="G78" s="626"/>
      <c r="H78" s="626"/>
      <c r="I78" s="626"/>
      <c r="J78" s="626"/>
      <c r="K78" s="626"/>
      <c r="L78" s="626"/>
      <c r="M78" s="626"/>
      <c r="N78" s="626"/>
      <c r="O78" s="626"/>
      <c r="P78" s="626"/>
      <c r="Q78" s="626"/>
      <c r="R78" s="626"/>
      <c r="S78" s="626"/>
      <c r="T78" s="626"/>
      <c r="U78" s="626"/>
      <c r="V78" s="626"/>
      <c r="W78" s="626"/>
      <c r="X78" s="626"/>
      <c r="Y78" s="626"/>
      <c r="Z78" s="626"/>
      <c r="AA78" s="626"/>
      <c r="AB78" s="626"/>
      <c r="AC78" s="626"/>
      <c r="AD78" s="626"/>
      <c r="AE78" s="626"/>
      <c r="AF78" s="626"/>
      <c r="AG78" s="626"/>
      <c r="AH78" s="626"/>
      <c r="AI78" s="626"/>
      <c r="AJ78" s="626"/>
      <c r="AK78" s="626"/>
      <c r="AL78" s="626"/>
      <c r="AM78" s="626"/>
      <c r="AN78" s="626"/>
      <c r="AO78" s="626"/>
      <c r="AP78" s="626"/>
      <c r="AQ78" s="626"/>
      <c r="AR78" s="626"/>
      <c r="AS78" s="626"/>
      <c r="AT78" s="626"/>
      <c r="AU78" s="626"/>
      <c r="AV78" s="626"/>
      <c r="AW78" s="626"/>
      <c r="AX78" s="626"/>
      <c r="AY78" s="626"/>
      <c r="AZ78" s="626"/>
      <c r="BA78" s="626"/>
      <c r="BB78" s="626"/>
      <c r="BC78" s="626"/>
      <c r="BD78" s="626"/>
      <c r="BE78" s="626"/>
      <c r="BF78" s="626"/>
      <c r="BG78" s="626"/>
      <c r="BH78" s="626"/>
      <c r="BI78" s="626"/>
      <c r="BJ78" s="626"/>
      <c r="BK78" s="626"/>
      <c r="BL78" s="626"/>
      <c r="BM78" s="626"/>
      <c r="BN78" s="626"/>
      <c r="BO78" s="626"/>
      <c r="BP78" s="626"/>
      <c r="BQ78" s="626"/>
      <c r="BR78" s="626"/>
      <c r="BS78" s="626"/>
      <c r="BT78" s="626"/>
      <c r="BU78" s="626"/>
      <c r="BV78" s="626"/>
      <c r="BW78" s="626"/>
      <c r="BX78" s="626"/>
      <c r="BY78" s="626"/>
      <c r="BZ78" s="626"/>
      <c r="CA78" s="626"/>
      <c r="CB78" s="626"/>
      <c r="CC78" s="626"/>
      <c r="CD78" s="626"/>
      <c r="CE78" s="626"/>
      <c r="CF78" s="626"/>
      <c r="CG78" s="626"/>
      <c r="CH78" s="626"/>
      <c r="CI78" s="626"/>
      <c r="CJ78" s="626"/>
      <c r="CK78" s="626"/>
      <c r="CL78" s="626"/>
      <c r="CM78" s="626"/>
      <c r="CN78" s="626"/>
      <c r="CO78" s="626"/>
      <c r="CP78" s="626"/>
      <c r="CQ78" s="626"/>
      <c r="CR78" s="626"/>
      <c r="CS78" s="626"/>
      <c r="CT78" s="626"/>
      <c r="CU78" s="626"/>
      <c r="CV78" s="626"/>
      <c r="CW78" s="626"/>
      <c r="CX78" s="626"/>
      <c r="CY78" s="626"/>
      <c r="CZ78" s="626"/>
      <c r="DA78" s="626"/>
      <c r="DB78" s="626"/>
      <c r="DC78" s="626"/>
      <c r="DD78" s="626"/>
      <c r="DE78" s="626"/>
      <c r="DF78" s="626"/>
      <c r="DG78" s="626"/>
      <c r="DH78" s="626"/>
      <c r="DI78" s="626"/>
      <c r="DJ78" s="626"/>
      <c r="DK78" s="626"/>
      <c r="DL78" s="626"/>
      <c r="DM78" s="626"/>
      <c r="DN78" s="626"/>
      <c r="DO78" s="626"/>
      <c r="DP78" s="626"/>
      <c r="DQ78" s="626"/>
      <c r="DR78" s="626"/>
      <c r="DS78" s="626"/>
      <c r="DT78" s="626"/>
      <c r="DU78" s="626"/>
      <c r="DV78" s="626"/>
      <c r="DW78" s="626"/>
      <c r="DX78" s="626"/>
      <c r="DY78" s="626"/>
      <c r="DZ78" s="626"/>
      <c r="EA78" s="626"/>
      <c r="EB78" s="626"/>
      <c r="EC78" s="626"/>
      <c r="ED78" s="626"/>
      <c r="EE78" s="626"/>
      <c r="EF78" s="626"/>
      <c r="EG78" s="626"/>
      <c r="EH78" s="626"/>
      <c r="EI78" s="626"/>
      <c r="EJ78" s="626"/>
      <c r="EK78" s="626"/>
      <c r="EL78" s="624"/>
      <c r="EM78" s="624"/>
      <c r="EN78" s="624"/>
      <c r="EO78" s="624"/>
      <c r="EP78" s="624"/>
      <c r="EQ78" s="624"/>
      <c r="ER78" s="624"/>
      <c r="ES78" s="624"/>
      <c r="ET78" s="624"/>
      <c r="EU78" s="624"/>
    </row>
    <row r="79">
      <c r="A79" s="552"/>
      <c r="B79" s="552" t="s">
        <v>187</v>
      </c>
      <c r="C79" s="552"/>
      <c r="D79" s="574"/>
      <c r="E79" s="574"/>
      <c r="F79" s="574"/>
      <c r="G79" s="574"/>
      <c r="H79" s="574"/>
      <c r="I79" s="574"/>
      <c r="J79" s="574"/>
      <c r="K79" s="574"/>
      <c r="L79" s="574"/>
      <c r="M79" s="574"/>
      <c r="N79" s="574"/>
      <c r="O79" s="574"/>
      <c r="P79" s="574"/>
      <c r="Q79" s="574"/>
      <c r="R79" s="574"/>
      <c r="S79" s="574"/>
      <c r="T79" s="574"/>
      <c r="U79" s="574"/>
      <c r="V79" s="574"/>
      <c r="W79" s="574"/>
      <c r="X79" s="574"/>
      <c r="Y79" s="574"/>
      <c r="Z79" s="574"/>
      <c r="AA79" s="574"/>
      <c r="AB79" s="574"/>
      <c r="AC79" s="574"/>
      <c r="AD79" s="574"/>
      <c r="AE79" s="574"/>
      <c r="AF79" s="574"/>
      <c r="AG79" s="574"/>
      <c r="AH79" s="574"/>
      <c r="AI79" s="574"/>
      <c r="AJ79" s="574"/>
      <c r="AK79" s="574"/>
      <c r="AL79" s="574"/>
      <c r="AM79" s="574"/>
      <c r="AN79" s="574"/>
      <c r="AO79" s="574"/>
      <c r="AP79" s="574"/>
      <c r="AQ79" s="574"/>
      <c r="AR79" s="574"/>
      <c r="AS79" s="574"/>
      <c r="AT79" s="574"/>
      <c r="AU79" s="574"/>
      <c r="AV79" s="574"/>
      <c r="AW79" s="574"/>
      <c r="AX79" s="574"/>
      <c r="AY79" s="574"/>
      <c r="AZ79" s="574"/>
      <c r="BA79" s="574"/>
      <c r="BB79" s="574"/>
      <c r="BC79" s="574"/>
      <c r="BD79" s="574"/>
      <c r="BE79" s="574"/>
      <c r="BF79" s="574"/>
      <c r="BG79" s="574"/>
      <c r="BH79" s="574"/>
      <c r="BI79" s="574"/>
      <c r="BJ79" s="574"/>
      <c r="BK79" s="574"/>
      <c r="BL79" s="574"/>
      <c r="BM79" s="574"/>
      <c r="BN79" s="574"/>
      <c r="BO79" s="574"/>
      <c r="BP79" s="574"/>
      <c r="BQ79" s="574"/>
      <c r="BR79" s="574"/>
      <c r="BS79" s="574"/>
      <c r="BT79" s="574"/>
      <c r="BU79" s="574"/>
      <c r="BV79" s="574"/>
      <c r="BW79" s="574"/>
      <c r="BX79" s="574"/>
      <c r="BY79" s="574"/>
      <c r="BZ79" s="574"/>
      <c r="CA79" s="574"/>
      <c r="CB79" s="574"/>
      <c r="CC79" s="574"/>
      <c r="CD79" s="574"/>
      <c r="CE79" s="574"/>
      <c r="CF79" s="574"/>
      <c r="CG79" s="574"/>
      <c r="CH79" s="574"/>
      <c r="CI79" s="574"/>
      <c r="CJ79" s="574"/>
      <c r="CK79" s="574"/>
      <c r="CL79" s="574"/>
      <c r="CM79" s="574"/>
      <c r="CN79" s="574"/>
      <c r="CO79" s="574"/>
      <c r="CP79" s="574"/>
      <c r="CQ79" s="574"/>
      <c r="CR79" s="574"/>
      <c r="CS79" s="574"/>
      <c r="CT79" s="574"/>
      <c r="CU79" s="574"/>
      <c r="CV79" s="574"/>
      <c r="CW79" s="574"/>
      <c r="CX79" s="574"/>
      <c r="CY79" s="574"/>
      <c r="CZ79" s="574"/>
      <c r="DA79" s="574"/>
      <c r="DB79" s="574"/>
      <c r="DC79" s="574"/>
      <c r="DD79" s="574"/>
      <c r="DE79" s="574"/>
      <c r="DF79" s="574"/>
      <c r="DG79" s="574"/>
      <c r="DH79" s="574"/>
      <c r="DI79" s="574"/>
      <c r="DJ79" s="574"/>
      <c r="DK79" s="574"/>
      <c r="DL79" s="574"/>
      <c r="DM79" s="574"/>
      <c r="DN79" s="574"/>
      <c r="DO79" s="574"/>
      <c r="DP79" s="574"/>
      <c r="DQ79" s="574"/>
      <c r="DR79" s="574"/>
      <c r="DS79" s="574"/>
      <c r="DT79" s="574"/>
      <c r="DU79" s="574"/>
      <c r="DV79" s="574"/>
      <c r="DW79" s="574"/>
      <c r="DX79" s="574"/>
      <c r="DY79" s="574"/>
      <c r="DZ79" s="574"/>
      <c r="EA79" s="574"/>
      <c r="EB79" s="574"/>
      <c r="EC79" s="574"/>
      <c r="ED79" s="574"/>
      <c r="EE79" s="574"/>
      <c r="EF79" s="574"/>
      <c r="EG79" s="574"/>
      <c r="EH79" s="574"/>
      <c r="EI79" s="574"/>
      <c r="EJ79" s="574"/>
      <c r="EK79" s="574"/>
      <c r="EL79" s="552"/>
      <c r="EM79" s="552"/>
      <c r="EN79" s="552"/>
      <c r="EO79" s="552"/>
      <c r="EP79" s="552"/>
      <c r="EQ79" s="552"/>
      <c r="ER79" s="552"/>
      <c r="ES79" s="552"/>
      <c r="ET79" s="552"/>
      <c r="EU79" s="552"/>
    </row>
    <row r="80">
      <c r="A80" s="552"/>
      <c r="B80" s="552" t="s">
        <v>188</v>
      </c>
      <c r="C80" s="552"/>
      <c r="D80" s="574"/>
      <c r="E80" s="574"/>
      <c r="F80" s="574"/>
      <c r="G80" s="574"/>
      <c r="H80" s="574"/>
      <c r="I80" s="574"/>
      <c r="J80" s="574"/>
      <c r="K80" s="574"/>
      <c r="L80" s="574"/>
      <c r="M80" s="574"/>
      <c r="N80" s="574"/>
      <c r="O80" s="574"/>
      <c r="P80" s="574"/>
      <c r="Q80" s="574"/>
      <c r="R80" s="574"/>
      <c r="S80" s="574"/>
      <c r="T80" s="574"/>
      <c r="U80" s="574"/>
      <c r="V80" s="574"/>
      <c r="W80" s="574"/>
      <c r="X80" s="574"/>
      <c r="Y80" s="574"/>
      <c r="Z80" s="574"/>
      <c r="AA80" s="574"/>
      <c r="AB80" s="574"/>
      <c r="AC80" s="574"/>
      <c r="AD80" s="574"/>
      <c r="AE80" s="574"/>
      <c r="AF80" s="574"/>
      <c r="AG80" s="574"/>
      <c r="AH80" s="574"/>
      <c r="AI80" s="574"/>
      <c r="AJ80" s="574"/>
      <c r="AK80" s="574"/>
      <c r="AL80" s="574"/>
      <c r="AM80" s="574"/>
      <c r="AN80" s="574"/>
      <c r="AO80" s="574"/>
      <c r="AP80" s="574"/>
      <c r="AQ80" s="574"/>
      <c r="AR80" s="574"/>
      <c r="AS80" s="574"/>
      <c r="AT80" s="574"/>
      <c r="AU80" s="574"/>
      <c r="AV80" s="574"/>
      <c r="AW80" s="574"/>
      <c r="AX80" s="574"/>
      <c r="AY80" s="574"/>
      <c r="AZ80" s="574"/>
      <c r="BA80" s="574"/>
      <c r="BB80" s="574"/>
      <c r="BC80" s="574"/>
      <c r="BD80" s="574"/>
      <c r="BE80" s="574"/>
      <c r="BF80" s="574"/>
      <c r="BG80" s="574"/>
      <c r="BH80" s="574"/>
      <c r="BI80" s="574"/>
      <c r="BJ80" s="574"/>
      <c r="BK80" s="574"/>
      <c r="BL80" s="574"/>
      <c r="BM80" s="574"/>
      <c r="BN80" s="574"/>
      <c r="BO80" s="574"/>
      <c r="BP80" s="574"/>
      <c r="BQ80" s="574"/>
      <c r="BR80" s="574"/>
      <c r="BS80" s="574"/>
      <c r="BT80" s="574"/>
      <c r="BU80" s="574"/>
      <c r="BV80" s="574"/>
      <c r="BW80" s="574"/>
      <c r="BX80" s="574"/>
      <c r="BY80" s="574"/>
      <c r="BZ80" s="574"/>
      <c r="CA80" s="574"/>
      <c r="CB80" s="574"/>
      <c r="CC80" s="574"/>
      <c r="CD80" s="574"/>
      <c r="CE80" s="574"/>
      <c r="CF80" s="574"/>
      <c r="CG80" s="574"/>
      <c r="CH80" s="574"/>
      <c r="CI80" s="574"/>
      <c r="CJ80" s="574"/>
      <c r="CK80" s="574"/>
      <c r="CL80" s="574"/>
      <c r="CM80" s="574"/>
      <c r="CN80" s="574"/>
      <c r="CO80" s="574"/>
      <c r="CP80" s="574"/>
      <c r="CQ80" s="574"/>
      <c r="CR80" s="574"/>
      <c r="CS80" s="574"/>
      <c r="CT80" s="574"/>
      <c r="CU80" s="574"/>
      <c r="CV80" s="574"/>
      <c r="CW80" s="574"/>
      <c r="CX80" s="574"/>
      <c r="CY80" s="574"/>
      <c r="CZ80" s="574"/>
      <c r="DA80" s="574"/>
      <c r="DB80" s="574"/>
      <c r="DC80" s="574"/>
      <c r="DD80" s="574"/>
      <c r="DE80" s="574"/>
      <c r="DF80" s="574"/>
      <c r="DG80" s="574"/>
      <c r="DH80" s="574"/>
      <c r="DI80" s="574"/>
      <c r="DJ80" s="574"/>
      <c r="DK80" s="574"/>
      <c r="DL80" s="574"/>
      <c r="DM80" s="574"/>
      <c r="DN80" s="574"/>
      <c r="DO80" s="574"/>
      <c r="DP80" s="574"/>
      <c r="DQ80" s="574"/>
      <c r="DR80" s="574"/>
      <c r="DS80" s="574"/>
      <c r="DT80" s="574"/>
      <c r="DU80" s="574"/>
      <c r="DV80" s="574"/>
      <c r="DW80" s="574"/>
      <c r="DX80" s="574"/>
      <c r="DY80" s="574"/>
      <c r="DZ80" s="574"/>
      <c r="EA80" s="574"/>
      <c r="EB80" s="574"/>
      <c r="EC80" s="574"/>
      <c r="ED80" s="574"/>
      <c r="EE80" s="574"/>
      <c r="EF80" s="574"/>
      <c r="EG80" s="574"/>
      <c r="EH80" s="574"/>
      <c r="EI80" s="574"/>
      <c r="EJ80" s="574"/>
      <c r="EK80" s="574"/>
      <c r="EL80" s="552"/>
      <c r="EM80" s="552"/>
      <c r="EN80" s="552"/>
      <c r="EO80" s="552"/>
      <c r="EP80" s="552"/>
      <c r="EQ80" s="552"/>
      <c r="ER80" s="552"/>
      <c r="ES80" s="552"/>
      <c r="ET80" s="552"/>
      <c r="EU80" s="552"/>
    </row>
    <row r="81">
      <c r="A81" s="552"/>
      <c r="B81" s="552"/>
      <c r="C81" s="552"/>
      <c r="D81" s="574"/>
      <c r="E81" s="574"/>
      <c r="F81" s="574"/>
      <c r="G81" s="574"/>
      <c r="H81" s="574"/>
      <c r="I81" s="574"/>
      <c r="J81" s="574"/>
      <c r="K81" s="574"/>
      <c r="L81" s="574"/>
      <c r="M81" s="574"/>
      <c r="N81" s="574"/>
      <c r="O81" s="574"/>
      <c r="P81" s="574"/>
      <c r="Q81" s="574"/>
      <c r="R81" s="574"/>
      <c r="S81" s="574"/>
      <c r="T81" s="574"/>
      <c r="U81" s="574"/>
      <c r="V81" s="574"/>
      <c r="W81" s="574"/>
      <c r="X81" s="574"/>
      <c r="Y81" s="574"/>
      <c r="Z81" s="574"/>
      <c r="AA81" s="574"/>
      <c r="AB81" s="574"/>
      <c r="AC81" s="574"/>
      <c r="AD81" s="574"/>
      <c r="AE81" s="574"/>
      <c r="AF81" s="574"/>
      <c r="AG81" s="574"/>
      <c r="AH81" s="574"/>
      <c r="AI81" s="574"/>
      <c r="AJ81" s="574"/>
      <c r="AK81" s="574"/>
      <c r="AL81" s="574"/>
      <c r="AM81" s="574"/>
      <c r="AN81" s="574"/>
      <c r="AO81" s="574"/>
      <c r="AP81" s="574"/>
      <c r="AQ81" s="574"/>
      <c r="AR81" s="574"/>
      <c r="AS81" s="574"/>
      <c r="AT81" s="574"/>
      <c r="AU81" s="574"/>
      <c r="AV81" s="574"/>
      <c r="AW81" s="574"/>
      <c r="AX81" s="574"/>
      <c r="AY81" s="574"/>
      <c r="AZ81" s="574"/>
      <c r="BA81" s="574"/>
      <c r="BB81" s="574"/>
      <c r="BC81" s="574"/>
      <c r="BD81" s="574"/>
      <c r="BE81" s="574"/>
      <c r="BF81" s="574"/>
      <c r="BG81" s="574"/>
      <c r="BH81" s="574"/>
      <c r="BI81" s="574"/>
      <c r="BJ81" s="574"/>
      <c r="BK81" s="574"/>
      <c r="BL81" s="574"/>
      <c r="BM81" s="574"/>
      <c r="BN81" s="574"/>
      <c r="BO81" s="574"/>
      <c r="BP81" s="574"/>
      <c r="BQ81" s="574"/>
      <c r="BR81" s="574"/>
      <c r="BS81" s="574"/>
      <c r="BT81" s="574"/>
      <c r="BU81" s="574"/>
      <c r="BV81" s="574"/>
      <c r="BW81" s="574"/>
      <c r="BX81" s="574"/>
      <c r="BY81" s="574"/>
      <c r="BZ81" s="574"/>
      <c r="CA81" s="574"/>
      <c r="CB81" s="574"/>
      <c r="CC81" s="574"/>
      <c r="CD81" s="574"/>
      <c r="CE81" s="574"/>
      <c r="CF81" s="574"/>
      <c r="CG81" s="574"/>
      <c r="CH81" s="574"/>
      <c r="CI81" s="574"/>
      <c r="CJ81" s="574"/>
      <c r="CK81" s="574"/>
      <c r="CL81" s="574"/>
      <c r="CM81" s="574"/>
      <c r="CN81" s="574"/>
      <c r="CO81" s="574"/>
      <c r="CP81" s="574"/>
      <c r="CQ81" s="574"/>
      <c r="CR81" s="574"/>
      <c r="CS81" s="574"/>
      <c r="CT81" s="574"/>
      <c r="CU81" s="574"/>
      <c r="CV81" s="574"/>
      <c r="CW81" s="574"/>
      <c r="CX81" s="574"/>
      <c r="CY81" s="574"/>
      <c r="CZ81" s="574"/>
      <c r="DA81" s="574"/>
      <c r="DB81" s="574"/>
      <c r="DC81" s="574"/>
      <c r="DD81" s="574"/>
      <c r="DE81" s="574"/>
      <c r="DF81" s="574"/>
      <c r="DG81" s="574"/>
      <c r="DH81" s="574"/>
      <c r="DI81" s="574"/>
      <c r="DJ81" s="574"/>
      <c r="DK81" s="574"/>
      <c r="DL81" s="574"/>
      <c r="DM81" s="574"/>
      <c r="DN81" s="574"/>
      <c r="DO81" s="574"/>
      <c r="DP81" s="574"/>
      <c r="DQ81" s="574"/>
      <c r="DR81" s="574"/>
      <c r="DS81" s="574"/>
      <c r="DT81" s="574"/>
      <c r="DU81" s="574"/>
      <c r="DV81" s="574"/>
      <c r="DW81" s="574"/>
      <c r="DX81" s="574"/>
      <c r="DY81" s="574"/>
      <c r="DZ81" s="574"/>
      <c r="EA81" s="574"/>
      <c r="EB81" s="574"/>
      <c r="EC81" s="574"/>
      <c r="ED81" s="574"/>
      <c r="EE81" s="574"/>
      <c r="EF81" s="574"/>
      <c r="EG81" s="574"/>
      <c r="EH81" s="574"/>
      <c r="EI81" s="574"/>
      <c r="EJ81" s="574"/>
      <c r="EK81" s="574"/>
      <c r="EL81" s="552"/>
      <c r="EM81" s="552"/>
      <c r="EN81" s="552"/>
      <c r="EO81" s="552"/>
      <c r="EP81" s="552"/>
      <c r="EQ81" s="552"/>
      <c r="ER81" s="552"/>
      <c r="ES81" s="552"/>
      <c r="ET81" s="552"/>
      <c r="EU81" s="552"/>
    </row>
    <row r="82" ht="34.5" customHeight="1">
      <c r="A82" s="493" t="s">
        <v>195</v>
      </c>
      <c r="B82" s="627" t="s">
        <v>196</v>
      </c>
      <c r="C82" s="493"/>
      <c r="D82" s="583"/>
      <c r="E82" s="583"/>
      <c r="F82" s="583"/>
      <c r="G82" s="583"/>
      <c r="H82" s="583"/>
      <c r="I82" s="583"/>
      <c r="J82" s="583"/>
      <c r="K82" s="583"/>
      <c r="L82" s="583"/>
      <c r="M82" s="583"/>
      <c r="N82" s="583"/>
      <c r="O82" s="583"/>
      <c r="P82" s="583"/>
      <c r="Q82" s="583"/>
      <c r="R82" s="583"/>
      <c r="S82" s="583"/>
      <c r="T82" s="583"/>
      <c r="U82" s="583"/>
      <c r="V82" s="583"/>
      <c r="W82" s="583"/>
      <c r="X82" s="583"/>
      <c r="Y82" s="583"/>
      <c r="Z82" s="583"/>
      <c r="AA82" s="583"/>
      <c r="AB82" s="583"/>
      <c r="AC82" s="583"/>
      <c r="AD82" s="583"/>
      <c r="AE82" s="583"/>
      <c r="AF82" s="583"/>
      <c r="AG82" s="583"/>
      <c r="AH82" s="583"/>
      <c r="AI82" s="583"/>
      <c r="AJ82" s="583"/>
      <c r="AK82" s="583"/>
      <c r="AL82" s="583"/>
      <c r="AM82" s="583"/>
      <c r="AN82" s="583"/>
      <c r="AO82" s="583"/>
      <c r="AP82" s="583"/>
      <c r="AQ82" s="583"/>
      <c r="AR82" s="583"/>
      <c r="AS82" s="583"/>
      <c r="AT82" s="583"/>
      <c r="AU82" s="583"/>
      <c r="AV82" s="583"/>
      <c r="AW82" s="583"/>
      <c r="AX82" s="583"/>
      <c r="AY82" s="583"/>
      <c r="AZ82" s="583"/>
      <c r="BA82" s="583"/>
      <c r="BB82" s="583"/>
      <c r="BC82" s="583"/>
      <c r="BD82" s="583"/>
      <c r="BE82" s="583"/>
      <c r="BF82" s="583"/>
      <c r="BG82" s="583"/>
      <c r="BH82" s="583"/>
      <c r="BI82" s="583"/>
      <c r="BJ82" s="583"/>
      <c r="BK82" s="583"/>
      <c r="BL82" s="583"/>
      <c r="BM82" s="583"/>
      <c r="BN82" s="583"/>
      <c r="BO82" s="583"/>
      <c r="BP82" s="583"/>
      <c r="BQ82" s="583"/>
      <c r="BR82" s="583"/>
      <c r="BS82" s="583"/>
      <c r="BT82" s="583"/>
      <c r="BU82" s="583"/>
      <c r="BV82" s="583"/>
      <c r="BW82" s="583"/>
      <c r="BX82" s="583"/>
      <c r="BY82" s="583"/>
      <c r="BZ82" s="583"/>
      <c r="CA82" s="583"/>
      <c r="CB82" s="583"/>
      <c r="CC82" s="583"/>
      <c r="CD82" s="583"/>
      <c r="CE82" s="583"/>
      <c r="CF82" s="583"/>
      <c r="CG82" s="583"/>
      <c r="CH82" s="583"/>
      <c r="CI82" s="583"/>
      <c r="CJ82" s="583"/>
      <c r="CK82" s="583"/>
      <c r="CL82" s="583"/>
      <c r="CM82" s="583"/>
      <c r="CN82" s="583"/>
      <c r="CO82" s="583"/>
      <c r="CP82" s="583"/>
      <c r="CQ82" s="583"/>
      <c r="CR82" s="583"/>
      <c r="CS82" s="583"/>
      <c r="CT82" s="583"/>
      <c r="CU82" s="583"/>
      <c r="CV82" s="583"/>
      <c r="CW82" s="583"/>
      <c r="CX82" s="583"/>
      <c r="CY82" s="583"/>
      <c r="CZ82" s="583"/>
      <c r="DA82" s="583"/>
      <c r="DB82" s="583"/>
      <c r="DC82" s="583"/>
      <c r="DD82" s="583"/>
      <c r="DE82" s="583"/>
      <c r="DF82" s="583"/>
      <c r="DG82" s="583"/>
      <c r="DH82" s="583"/>
      <c r="DI82" s="583"/>
      <c r="DJ82" s="583"/>
      <c r="DK82" s="583"/>
      <c r="DL82" s="583"/>
      <c r="DM82" s="583"/>
      <c r="DN82" s="583"/>
      <c r="DO82" s="583"/>
      <c r="DP82" s="583"/>
      <c r="DQ82" s="583"/>
      <c r="DR82" s="583"/>
      <c r="DS82" s="583"/>
      <c r="DT82" s="583"/>
      <c r="DU82" s="583"/>
      <c r="DV82" s="583"/>
      <c r="DW82" s="583"/>
      <c r="DX82" s="583"/>
      <c r="DY82" s="583"/>
      <c r="DZ82" s="583"/>
      <c r="EA82" s="583"/>
      <c r="EB82" s="583"/>
      <c r="EC82" s="583"/>
      <c r="ED82" s="583"/>
      <c r="EE82" s="583"/>
      <c r="EF82" s="583"/>
      <c r="EG82" s="583"/>
      <c r="EH82" s="583"/>
      <c r="EI82" s="583"/>
      <c r="EJ82" s="583"/>
      <c r="EK82" s="583"/>
      <c r="EL82" s="493"/>
      <c r="EM82" s="493"/>
      <c r="EN82" s="493"/>
      <c r="EO82" s="493"/>
      <c r="EP82" s="493"/>
      <c r="EQ82" s="493"/>
      <c r="ER82" s="493"/>
      <c r="ES82" s="493"/>
      <c r="ET82" s="493"/>
      <c r="EU82" s="493"/>
    </row>
    <row r="83">
      <c r="A83" s="552"/>
      <c r="B83" s="552"/>
      <c r="C83" s="552"/>
      <c r="D83" s="574"/>
      <c r="E83" s="574"/>
      <c r="F83" s="574"/>
      <c r="G83" s="574"/>
      <c r="H83" s="574"/>
      <c r="I83" s="574"/>
      <c r="J83" s="574"/>
      <c r="K83" s="574"/>
      <c r="L83" s="574"/>
      <c r="M83" s="574"/>
      <c r="N83" s="574"/>
      <c r="O83" s="574"/>
      <c r="P83" s="574"/>
      <c r="Q83" s="574"/>
      <c r="R83" s="574"/>
      <c r="S83" s="574"/>
      <c r="T83" s="574"/>
      <c r="U83" s="574"/>
      <c r="V83" s="574"/>
      <c r="W83" s="574"/>
      <c r="X83" s="574"/>
      <c r="Y83" s="574"/>
      <c r="Z83" s="574"/>
      <c r="AA83" s="574"/>
      <c r="AB83" s="574"/>
      <c r="AC83" s="574"/>
      <c r="AD83" s="574"/>
      <c r="AE83" s="574"/>
      <c r="AF83" s="574"/>
      <c r="AG83" s="574"/>
      <c r="AH83" s="574"/>
      <c r="AI83" s="574"/>
      <c r="AJ83" s="574"/>
      <c r="AK83" s="574"/>
      <c r="AL83" s="574"/>
      <c r="AM83" s="574"/>
      <c r="AN83" s="574"/>
      <c r="AO83" s="574"/>
      <c r="AP83" s="574"/>
      <c r="AQ83" s="574"/>
      <c r="AR83" s="574"/>
      <c r="AS83" s="574"/>
      <c r="AT83" s="574"/>
      <c r="AU83" s="574"/>
      <c r="AV83" s="574"/>
      <c r="AW83" s="574"/>
      <c r="AX83" s="574"/>
      <c r="AY83" s="574"/>
      <c r="AZ83" s="574"/>
      <c r="BA83" s="574"/>
      <c r="BB83" s="574"/>
      <c r="BC83" s="574"/>
      <c r="BD83" s="574"/>
      <c r="BE83" s="574"/>
      <c r="BF83" s="574"/>
      <c r="BG83" s="574"/>
      <c r="BH83" s="574"/>
      <c r="BI83" s="574"/>
      <c r="BJ83" s="574"/>
      <c r="BK83" s="574"/>
      <c r="BL83" s="574"/>
      <c r="BM83" s="574"/>
      <c r="BN83" s="574"/>
      <c r="BO83" s="574"/>
      <c r="BP83" s="574"/>
      <c r="BQ83" s="574"/>
      <c r="BR83" s="574"/>
      <c r="BS83" s="574"/>
      <c r="BT83" s="574"/>
      <c r="BU83" s="574"/>
      <c r="BV83" s="574"/>
      <c r="BW83" s="574"/>
      <c r="BX83" s="574"/>
      <c r="BY83" s="574"/>
      <c r="BZ83" s="574"/>
      <c r="CA83" s="574"/>
      <c r="CB83" s="574"/>
      <c r="CC83" s="574"/>
      <c r="CD83" s="574"/>
      <c r="CE83" s="574"/>
      <c r="CF83" s="574"/>
      <c r="CG83" s="574"/>
      <c r="CH83" s="574"/>
      <c r="CI83" s="574"/>
      <c r="CJ83" s="574"/>
      <c r="CK83" s="574"/>
      <c r="CL83" s="574"/>
      <c r="CM83" s="574"/>
      <c r="CN83" s="574"/>
      <c r="CO83" s="574"/>
      <c r="CP83" s="574"/>
      <c r="CQ83" s="574"/>
      <c r="CR83" s="574"/>
      <c r="CS83" s="574"/>
      <c r="CT83" s="574"/>
      <c r="CU83" s="574"/>
      <c r="CV83" s="574"/>
      <c r="CW83" s="574"/>
      <c r="CX83" s="574"/>
      <c r="CY83" s="574"/>
      <c r="CZ83" s="574"/>
      <c r="DA83" s="574"/>
      <c r="DB83" s="574"/>
      <c r="DC83" s="574"/>
      <c r="DD83" s="574"/>
      <c r="DE83" s="574"/>
      <c r="DF83" s="574"/>
      <c r="DG83" s="574"/>
      <c r="DH83" s="574"/>
      <c r="DI83" s="574"/>
      <c r="DJ83" s="574"/>
      <c r="DK83" s="574"/>
      <c r="DL83" s="574"/>
      <c r="DM83" s="574"/>
      <c r="DN83" s="574"/>
      <c r="DO83" s="574"/>
      <c r="DP83" s="574"/>
      <c r="DQ83" s="574"/>
      <c r="DR83" s="574"/>
      <c r="DS83" s="574"/>
      <c r="DT83" s="574"/>
      <c r="DU83" s="574"/>
      <c r="DV83" s="574"/>
      <c r="DW83" s="574"/>
      <c r="DX83" s="574"/>
      <c r="DY83" s="574"/>
      <c r="DZ83" s="574"/>
      <c r="EA83" s="574"/>
      <c r="EB83" s="574"/>
      <c r="EC83" s="574"/>
      <c r="ED83" s="574"/>
      <c r="EE83" s="574"/>
      <c r="EF83" s="574"/>
      <c r="EG83" s="574"/>
      <c r="EH83" s="574"/>
      <c r="EI83" s="574"/>
      <c r="EJ83" s="574"/>
      <c r="EK83" s="574"/>
      <c r="EL83" s="552"/>
      <c r="EM83" s="552"/>
      <c r="EN83" s="552"/>
      <c r="EO83" s="552"/>
      <c r="EP83" s="552"/>
      <c r="EQ83" s="552"/>
      <c r="ER83" s="552"/>
      <c r="ES83" s="552"/>
      <c r="ET83" s="552"/>
      <c r="EU83" s="552"/>
    </row>
    <row r="84">
      <c r="A84" s="12"/>
      <c r="B84" s="552" t="s">
        <v>197</v>
      </c>
      <c r="C84" s="552" t="s">
        <v>198</v>
      </c>
      <c r="D84" s="574"/>
      <c r="E84" s="574"/>
      <c r="F84" s="574"/>
      <c r="G84" s="574"/>
      <c r="H84" s="574"/>
      <c r="I84" s="574"/>
      <c r="J84" s="574"/>
      <c r="K84" s="574"/>
      <c r="L84" s="574"/>
      <c r="M84" s="574"/>
      <c r="N84" s="574"/>
      <c r="O84" s="574"/>
      <c r="P84" s="574"/>
      <c r="Q84" s="574"/>
      <c r="R84" s="574"/>
      <c r="S84" s="574"/>
      <c r="T84" s="574"/>
      <c r="U84" s="574"/>
      <c r="V84" s="574"/>
      <c r="W84" s="574"/>
      <c r="X84" s="574"/>
      <c r="Y84" s="574"/>
      <c r="Z84" s="574"/>
      <c r="AA84" s="574"/>
      <c r="AB84" s="574"/>
      <c r="AC84" s="574"/>
      <c r="AD84" s="574"/>
      <c r="AE84" s="574"/>
      <c r="AF84" s="574"/>
      <c r="AG84" s="574"/>
      <c r="AH84" s="574"/>
      <c r="AI84" s="574"/>
      <c r="AJ84" s="574"/>
      <c r="AK84" s="574"/>
      <c r="AL84" s="574"/>
      <c r="AM84" s="574"/>
      <c r="AN84" s="574"/>
      <c r="AO84" s="574"/>
      <c r="AP84" s="574"/>
      <c r="AQ84" s="574"/>
      <c r="AR84" s="574"/>
      <c r="AS84" s="574"/>
      <c r="AT84" s="574"/>
      <c r="AU84" s="574"/>
      <c r="AV84" s="574"/>
      <c r="AW84" s="574"/>
      <c r="AX84" s="574"/>
      <c r="AY84" s="574"/>
      <c r="AZ84" s="574"/>
      <c r="BA84" s="574"/>
      <c r="BB84" s="574"/>
      <c r="BC84" s="574"/>
      <c r="BD84" s="574"/>
      <c r="BE84" s="574"/>
      <c r="BF84" s="574"/>
      <c r="BG84" s="574"/>
      <c r="BH84" s="574"/>
      <c r="BI84" s="574"/>
      <c r="BJ84" s="574"/>
      <c r="BK84" s="574"/>
      <c r="BL84" s="574"/>
      <c r="BM84" s="574"/>
      <c r="BN84" s="574"/>
      <c r="BO84" s="574"/>
      <c r="BP84" s="574"/>
      <c r="BQ84" s="574"/>
      <c r="BR84" s="574"/>
      <c r="BS84" s="574"/>
      <c r="BT84" s="574"/>
      <c r="BU84" s="574"/>
      <c r="BV84" s="574"/>
      <c r="BW84" s="574"/>
      <c r="BX84" s="574"/>
      <c r="BY84" s="574"/>
      <c r="BZ84" s="574"/>
      <c r="CA84" s="574"/>
      <c r="CB84" s="574"/>
      <c r="CC84" s="574"/>
      <c r="CD84" s="574"/>
      <c r="CE84" s="574"/>
      <c r="CF84" s="574"/>
      <c r="CG84" s="574"/>
      <c r="CH84" s="574"/>
      <c r="CI84" s="574"/>
      <c r="CJ84" s="574"/>
      <c r="CK84" s="574"/>
      <c r="CL84" s="574"/>
      <c r="CM84" s="574"/>
      <c r="CN84" s="574"/>
      <c r="CO84" s="574"/>
      <c r="CP84" s="574"/>
      <c r="CQ84" s="574"/>
      <c r="CR84" s="574"/>
      <c r="CS84" s="574"/>
      <c r="CT84" s="574"/>
      <c r="CU84" s="574"/>
      <c r="CV84" s="574"/>
      <c r="CW84" s="574"/>
      <c r="CX84" s="574"/>
      <c r="CY84" s="574"/>
      <c r="CZ84" s="574"/>
      <c r="DA84" s="574"/>
      <c r="DB84" s="574"/>
      <c r="DC84" s="574"/>
      <c r="DD84" s="574"/>
      <c r="DE84" s="574"/>
      <c r="DF84" s="574"/>
      <c r="DG84" s="574"/>
      <c r="DH84" s="574"/>
      <c r="DI84" s="574"/>
      <c r="DJ84" s="574"/>
      <c r="DK84" s="574"/>
      <c r="DL84" s="574"/>
      <c r="DM84" s="574"/>
      <c r="DN84" s="578">
        <v>8924973.747</v>
      </c>
      <c r="DO84" s="578">
        <v>7821409.5436</v>
      </c>
      <c r="DP84" s="578">
        <v>8993242.6024</v>
      </c>
      <c r="DQ84" s="578">
        <v>7513184.6535</v>
      </c>
      <c r="DR84" s="578">
        <f t="shared" ref="DR84:DR85" si="190">SUM(DN84:DQ84)</f>
        <v>33252810.55</v>
      </c>
      <c r="DS84" s="574"/>
      <c r="DT84" s="574"/>
      <c r="DU84" s="574"/>
      <c r="DV84" s="574"/>
      <c r="DW84" s="574"/>
      <c r="DX84" s="574"/>
      <c r="DY84" s="574"/>
      <c r="DZ84" s="574"/>
      <c r="EA84" s="574"/>
      <c r="EB84" s="574"/>
      <c r="EC84" s="574"/>
      <c r="ED84" s="574"/>
      <c r="EE84" s="578">
        <v>9727721.612</v>
      </c>
      <c r="EF84" s="574"/>
      <c r="EG84" s="574"/>
      <c r="EH84" s="574"/>
      <c r="EI84" s="574"/>
      <c r="EJ84" s="574"/>
      <c r="EK84" s="574"/>
      <c r="EL84" s="12"/>
      <c r="EM84" s="12"/>
      <c r="EN84" s="12"/>
      <c r="EO84" s="12"/>
      <c r="EP84" s="12"/>
      <c r="EQ84" s="12"/>
      <c r="ER84" s="12"/>
      <c r="ES84" s="12"/>
      <c r="ET84" s="12"/>
      <c r="EU84" s="12"/>
    </row>
    <row r="85">
      <c r="A85" s="12"/>
      <c r="B85" s="628" t="s">
        <v>199</v>
      </c>
      <c r="C85" s="552" t="s">
        <v>198</v>
      </c>
      <c r="D85" s="574"/>
      <c r="E85" s="574"/>
      <c r="F85" s="574"/>
      <c r="G85" s="574"/>
      <c r="H85" s="574"/>
      <c r="I85" s="574"/>
      <c r="J85" s="574"/>
      <c r="K85" s="574"/>
      <c r="L85" s="574"/>
      <c r="M85" s="574"/>
      <c r="N85" s="574"/>
      <c r="O85" s="574"/>
      <c r="P85" s="574"/>
      <c r="Q85" s="574"/>
      <c r="R85" s="574"/>
      <c r="S85" s="574"/>
      <c r="T85" s="574"/>
      <c r="U85" s="574"/>
      <c r="V85" s="574"/>
      <c r="W85" s="574"/>
      <c r="X85" s="574"/>
      <c r="Y85" s="574"/>
      <c r="Z85" s="574"/>
      <c r="AA85" s="574"/>
      <c r="AB85" s="574"/>
      <c r="AC85" s="574"/>
      <c r="AD85" s="574"/>
      <c r="AE85" s="574"/>
      <c r="AF85" s="574"/>
      <c r="AG85" s="574"/>
      <c r="AH85" s="574"/>
      <c r="AI85" s="574"/>
      <c r="AJ85" s="574"/>
      <c r="AK85" s="574"/>
      <c r="AL85" s="574"/>
      <c r="AM85" s="574"/>
      <c r="AN85" s="574"/>
      <c r="AO85" s="574"/>
      <c r="AP85" s="574"/>
      <c r="AQ85" s="574"/>
      <c r="AR85" s="574"/>
      <c r="AS85" s="574"/>
      <c r="AT85" s="574"/>
      <c r="AU85" s="574"/>
      <c r="AV85" s="574"/>
      <c r="AW85" s="574"/>
      <c r="AX85" s="574"/>
      <c r="AY85" s="574"/>
      <c r="AZ85" s="574"/>
      <c r="BA85" s="574"/>
      <c r="BB85" s="574"/>
      <c r="BC85" s="574"/>
      <c r="BD85" s="574"/>
      <c r="BE85" s="574"/>
      <c r="BF85" s="574"/>
      <c r="BG85" s="574"/>
      <c r="BH85" s="574"/>
      <c r="BI85" s="574"/>
      <c r="BJ85" s="574"/>
      <c r="BK85" s="574"/>
      <c r="BL85" s="574"/>
      <c r="BM85" s="574"/>
      <c r="BN85" s="574"/>
      <c r="BO85" s="574"/>
      <c r="BP85" s="574"/>
      <c r="BQ85" s="574"/>
      <c r="BR85" s="574"/>
      <c r="BS85" s="574"/>
      <c r="BT85" s="574"/>
      <c r="BU85" s="574"/>
      <c r="BV85" s="574"/>
      <c r="BW85" s="574"/>
      <c r="BX85" s="574"/>
      <c r="BY85" s="574"/>
      <c r="BZ85" s="574"/>
      <c r="CA85" s="574"/>
      <c r="CB85" s="574"/>
      <c r="CC85" s="574"/>
      <c r="CD85" s="574"/>
      <c r="CE85" s="574"/>
      <c r="CF85" s="574"/>
      <c r="CG85" s="574"/>
      <c r="CH85" s="574"/>
      <c r="CI85" s="574"/>
      <c r="CJ85" s="574"/>
      <c r="CK85" s="574"/>
      <c r="CL85" s="574"/>
      <c r="CM85" s="574"/>
      <c r="CN85" s="574"/>
      <c r="CO85" s="574"/>
      <c r="CP85" s="574"/>
      <c r="CQ85" s="574"/>
      <c r="CR85" s="574"/>
      <c r="CS85" s="574"/>
      <c r="CT85" s="574"/>
      <c r="CU85" s="574"/>
      <c r="CV85" s="574"/>
      <c r="CW85" s="574"/>
      <c r="CX85" s="574"/>
      <c r="CY85" s="574"/>
      <c r="CZ85" s="574"/>
      <c r="DA85" s="574"/>
      <c r="DB85" s="574"/>
      <c r="DC85" s="574"/>
      <c r="DD85" s="574"/>
      <c r="DE85" s="574"/>
      <c r="DF85" s="574"/>
      <c r="DG85" s="574"/>
      <c r="DH85" s="574"/>
      <c r="DI85" s="574"/>
      <c r="DJ85" s="574"/>
      <c r="DK85" s="574"/>
      <c r="DL85" s="574"/>
      <c r="DM85" s="574"/>
      <c r="DN85" s="578">
        <v>8627620.147</v>
      </c>
      <c r="DO85" s="578">
        <v>6114705.1436</v>
      </c>
      <c r="DP85" s="578">
        <v>1.0053355753E7</v>
      </c>
      <c r="DQ85" s="578">
        <v>8609186.93566667</v>
      </c>
      <c r="DR85" s="578">
        <f t="shared" si="190"/>
        <v>33404867.98</v>
      </c>
      <c r="DS85" s="574"/>
      <c r="DT85" s="574"/>
      <c r="DU85" s="574"/>
      <c r="DV85" s="574"/>
      <c r="DW85" s="574"/>
      <c r="DX85" s="574"/>
      <c r="DY85" s="574"/>
      <c r="DZ85" s="574"/>
      <c r="EA85" s="574"/>
      <c r="EB85" s="574"/>
      <c r="EC85" s="574"/>
      <c r="ED85" s="574"/>
      <c r="EE85" s="574"/>
      <c r="EF85" s="574"/>
      <c r="EG85" s="574"/>
      <c r="EH85" s="574"/>
      <c r="EI85" s="574"/>
      <c r="EJ85" s="574"/>
      <c r="EK85" s="574"/>
      <c r="EL85" s="12"/>
      <c r="EM85" s="12"/>
      <c r="EN85" s="12"/>
      <c r="EO85" s="12"/>
      <c r="EP85" s="12"/>
      <c r="EQ85" s="12"/>
      <c r="ER85" s="12"/>
      <c r="ES85" s="12"/>
      <c r="ET85" s="12"/>
      <c r="EU85" s="12"/>
    </row>
    <row r="86">
      <c r="A86" s="12"/>
      <c r="B86" s="12"/>
      <c r="C86" s="12"/>
      <c r="D86" s="574"/>
      <c r="E86" s="574"/>
      <c r="F86" s="574"/>
      <c r="G86" s="574"/>
      <c r="H86" s="574"/>
      <c r="I86" s="574"/>
      <c r="J86" s="574"/>
      <c r="K86" s="574"/>
      <c r="L86" s="574"/>
      <c r="M86" s="574"/>
      <c r="N86" s="574"/>
      <c r="O86" s="574"/>
      <c r="P86" s="574"/>
      <c r="Q86" s="574"/>
      <c r="R86" s="574"/>
      <c r="S86" s="574"/>
      <c r="T86" s="574"/>
      <c r="U86" s="574"/>
      <c r="V86" s="574"/>
      <c r="W86" s="574"/>
      <c r="X86" s="574"/>
      <c r="Y86" s="574"/>
      <c r="Z86" s="574"/>
      <c r="AA86" s="574"/>
      <c r="AB86" s="574"/>
      <c r="AC86" s="574"/>
      <c r="AD86" s="574"/>
      <c r="AE86" s="574"/>
      <c r="AF86" s="574"/>
      <c r="AG86" s="574"/>
      <c r="AH86" s="574"/>
      <c r="AI86" s="574"/>
      <c r="AJ86" s="574"/>
      <c r="AK86" s="574"/>
      <c r="AL86" s="574"/>
      <c r="AM86" s="574"/>
      <c r="AN86" s="574"/>
      <c r="AO86" s="574"/>
      <c r="AP86" s="574"/>
      <c r="AQ86" s="574"/>
      <c r="AR86" s="574"/>
      <c r="AS86" s="574"/>
      <c r="AT86" s="574"/>
      <c r="AU86" s="574"/>
      <c r="AV86" s="574"/>
      <c r="AW86" s="574"/>
      <c r="AX86" s="574"/>
      <c r="AY86" s="574"/>
      <c r="AZ86" s="574"/>
      <c r="BA86" s="574"/>
      <c r="BB86" s="574"/>
      <c r="BC86" s="574"/>
      <c r="BD86" s="574"/>
      <c r="BE86" s="574"/>
      <c r="BF86" s="574"/>
      <c r="BG86" s="574"/>
      <c r="BH86" s="574"/>
      <c r="BI86" s="574"/>
      <c r="BJ86" s="574"/>
      <c r="BK86" s="574"/>
      <c r="BL86" s="574"/>
      <c r="BM86" s="574"/>
      <c r="BN86" s="574"/>
      <c r="BO86" s="574"/>
      <c r="BP86" s="574"/>
      <c r="BQ86" s="574"/>
      <c r="BR86" s="574"/>
      <c r="BS86" s="574"/>
      <c r="BT86" s="574"/>
      <c r="BU86" s="574"/>
      <c r="BV86" s="574"/>
      <c r="BW86" s="574"/>
      <c r="BX86" s="574"/>
      <c r="BY86" s="574"/>
      <c r="BZ86" s="574"/>
      <c r="CA86" s="574"/>
      <c r="CB86" s="574"/>
      <c r="CC86" s="574"/>
      <c r="CD86" s="574"/>
      <c r="CE86" s="574"/>
      <c r="CF86" s="574"/>
      <c r="CG86" s="574"/>
      <c r="CH86" s="574"/>
      <c r="CI86" s="574"/>
      <c r="CJ86" s="574"/>
      <c r="CK86" s="574"/>
      <c r="CL86" s="574"/>
      <c r="CM86" s="574"/>
      <c r="CN86" s="574"/>
      <c r="CO86" s="574"/>
      <c r="CP86" s="574"/>
      <c r="CQ86" s="574"/>
      <c r="CR86" s="574"/>
      <c r="CS86" s="574"/>
      <c r="CT86" s="574"/>
      <c r="CU86" s="574"/>
      <c r="CV86" s="574"/>
      <c r="CW86" s="574"/>
      <c r="CX86" s="574"/>
      <c r="CY86" s="574"/>
      <c r="CZ86" s="574"/>
      <c r="DA86" s="574"/>
      <c r="DB86" s="574"/>
      <c r="DC86" s="574"/>
      <c r="DD86" s="574"/>
      <c r="DE86" s="574"/>
      <c r="DF86" s="574"/>
      <c r="DG86" s="574"/>
      <c r="DH86" s="574"/>
      <c r="DI86" s="574"/>
      <c r="DJ86" s="574"/>
      <c r="DK86" s="574"/>
      <c r="DL86" s="574"/>
      <c r="DM86" s="574"/>
      <c r="DN86" s="574"/>
      <c r="DO86" s="574"/>
      <c r="DP86" s="574"/>
      <c r="DQ86" s="574"/>
      <c r="DR86" s="574"/>
      <c r="DS86" s="574"/>
      <c r="DT86" s="574"/>
      <c r="DU86" s="574"/>
      <c r="DV86" s="574"/>
      <c r="DW86" s="574"/>
      <c r="DX86" s="574"/>
      <c r="DY86" s="574"/>
      <c r="DZ86" s="574"/>
      <c r="EA86" s="574"/>
      <c r="EB86" s="574"/>
      <c r="EC86" s="574"/>
      <c r="ED86" s="574"/>
      <c r="EE86" s="574"/>
      <c r="EF86" s="574"/>
      <c r="EG86" s="574"/>
      <c r="EH86" s="574"/>
      <c r="EI86" s="574"/>
      <c r="EJ86" s="574"/>
      <c r="EK86" s="574"/>
      <c r="EL86" s="12"/>
      <c r="EM86" s="12"/>
      <c r="EN86" s="12"/>
      <c r="EO86" s="12"/>
      <c r="EP86" s="12"/>
      <c r="EQ86" s="12"/>
      <c r="ER86" s="12"/>
      <c r="ES86" s="12"/>
      <c r="ET86" s="12"/>
      <c r="EU86" s="12"/>
    </row>
    <row r="87">
      <c r="A87" s="12"/>
      <c r="B87" s="12"/>
      <c r="C87" s="12"/>
      <c r="D87" s="574"/>
      <c r="E87" s="574"/>
      <c r="F87" s="574"/>
      <c r="G87" s="574"/>
      <c r="H87" s="574"/>
      <c r="I87" s="574"/>
      <c r="J87" s="574"/>
      <c r="K87" s="574"/>
      <c r="L87" s="574"/>
      <c r="M87" s="574"/>
      <c r="N87" s="574"/>
      <c r="O87" s="574"/>
      <c r="P87" s="574"/>
      <c r="Q87" s="574"/>
      <c r="R87" s="574"/>
      <c r="S87" s="574"/>
      <c r="T87" s="574"/>
      <c r="U87" s="574"/>
      <c r="V87" s="574"/>
      <c r="W87" s="574"/>
      <c r="X87" s="574"/>
      <c r="Y87" s="574"/>
      <c r="Z87" s="574"/>
      <c r="AA87" s="574"/>
      <c r="AB87" s="574"/>
      <c r="AC87" s="574"/>
      <c r="AD87" s="574"/>
      <c r="AE87" s="574"/>
      <c r="AF87" s="574"/>
      <c r="AG87" s="574"/>
      <c r="AH87" s="574"/>
      <c r="AI87" s="574"/>
      <c r="AJ87" s="574"/>
      <c r="AK87" s="574"/>
      <c r="AL87" s="574"/>
      <c r="AM87" s="574"/>
      <c r="AN87" s="574"/>
      <c r="AO87" s="574"/>
      <c r="AP87" s="574"/>
      <c r="AQ87" s="574"/>
      <c r="AR87" s="574"/>
      <c r="AS87" s="574"/>
      <c r="AT87" s="574"/>
      <c r="AU87" s="574"/>
      <c r="AV87" s="574"/>
      <c r="AW87" s="574"/>
      <c r="AX87" s="574"/>
      <c r="AY87" s="574"/>
      <c r="AZ87" s="574"/>
      <c r="BA87" s="574"/>
      <c r="BB87" s="574"/>
      <c r="BC87" s="574"/>
      <c r="BD87" s="574"/>
      <c r="BE87" s="574"/>
      <c r="BF87" s="574"/>
      <c r="BG87" s="574"/>
      <c r="BH87" s="574"/>
      <c r="BI87" s="574"/>
      <c r="BJ87" s="574"/>
      <c r="BK87" s="574"/>
      <c r="BL87" s="574"/>
      <c r="BM87" s="574"/>
      <c r="BN87" s="574"/>
      <c r="BO87" s="574"/>
      <c r="BP87" s="574"/>
      <c r="BQ87" s="574"/>
      <c r="BR87" s="574"/>
      <c r="BS87" s="574"/>
      <c r="BT87" s="574"/>
      <c r="BU87" s="574"/>
      <c r="BV87" s="574"/>
      <c r="BW87" s="574"/>
      <c r="BX87" s="574"/>
      <c r="BY87" s="574"/>
      <c r="BZ87" s="574"/>
      <c r="CA87" s="574"/>
      <c r="CB87" s="574"/>
      <c r="CC87" s="574"/>
      <c r="CD87" s="574"/>
      <c r="CE87" s="574"/>
      <c r="CF87" s="574"/>
      <c r="CG87" s="574"/>
      <c r="CH87" s="574"/>
      <c r="CI87" s="574"/>
      <c r="CJ87" s="574"/>
      <c r="CK87" s="574"/>
      <c r="CL87" s="574"/>
      <c r="CM87" s="574"/>
      <c r="CN87" s="574"/>
      <c r="CO87" s="574"/>
      <c r="CP87" s="574"/>
      <c r="CQ87" s="574"/>
      <c r="CR87" s="574"/>
      <c r="CS87" s="574"/>
      <c r="CT87" s="574"/>
      <c r="CU87" s="574"/>
      <c r="CV87" s="574"/>
      <c r="CW87" s="574"/>
      <c r="CX87" s="574"/>
      <c r="CY87" s="574"/>
      <c r="CZ87" s="574"/>
      <c r="DA87" s="574"/>
      <c r="DB87" s="574"/>
      <c r="DC87" s="574"/>
      <c r="DD87" s="574"/>
      <c r="DE87" s="574"/>
      <c r="DF87" s="574"/>
      <c r="DG87" s="574"/>
      <c r="DH87" s="574"/>
      <c r="DI87" s="574"/>
      <c r="DJ87" s="574"/>
      <c r="DK87" s="574"/>
      <c r="DL87" s="574"/>
      <c r="DM87" s="574"/>
      <c r="DN87" s="574"/>
      <c r="DO87" s="574"/>
      <c r="DP87" s="574"/>
      <c r="DQ87" s="574"/>
      <c r="DR87" s="574"/>
      <c r="DS87" s="574"/>
      <c r="DT87" s="574"/>
      <c r="DU87" s="574"/>
      <c r="DV87" s="574"/>
      <c r="DW87" s="574"/>
      <c r="DX87" s="574"/>
      <c r="DY87" s="574"/>
      <c r="DZ87" s="574"/>
      <c r="EA87" s="574"/>
      <c r="EB87" s="574"/>
      <c r="EC87" s="574"/>
      <c r="ED87" s="574"/>
      <c r="EE87" s="574"/>
      <c r="EF87" s="574"/>
      <c r="EG87" s="574"/>
      <c r="EH87" s="574"/>
      <c r="EI87" s="574"/>
      <c r="EJ87" s="574"/>
      <c r="EK87" s="574"/>
      <c r="EL87" s="12"/>
      <c r="EM87" s="12"/>
      <c r="EN87" s="12"/>
      <c r="EO87" s="12"/>
      <c r="EP87" s="12"/>
      <c r="EQ87" s="12"/>
      <c r="ER87" s="12"/>
      <c r="ES87" s="12"/>
      <c r="ET87" s="12"/>
      <c r="EU87" s="12"/>
    </row>
    <row r="88">
      <c r="A88" s="12"/>
      <c r="B88" s="552" t="s">
        <v>161</v>
      </c>
      <c r="C88" s="552"/>
      <c r="D88" s="574"/>
      <c r="E88" s="574"/>
      <c r="F88" s="574"/>
      <c r="G88" s="574"/>
      <c r="H88" s="574"/>
      <c r="I88" s="574"/>
      <c r="J88" s="574"/>
      <c r="K88" s="574"/>
      <c r="L88" s="574"/>
      <c r="M88" s="574"/>
      <c r="N88" s="574"/>
      <c r="O88" s="574"/>
      <c r="P88" s="574"/>
      <c r="Q88" s="574"/>
      <c r="R88" s="574"/>
      <c r="S88" s="574"/>
      <c r="T88" s="574"/>
      <c r="U88" s="574"/>
      <c r="V88" s="574"/>
      <c r="W88" s="574"/>
      <c r="X88" s="574"/>
      <c r="Y88" s="574"/>
      <c r="Z88" s="574"/>
      <c r="AA88" s="574"/>
      <c r="AB88" s="574"/>
      <c r="AC88" s="574"/>
      <c r="AD88" s="574"/>
      <c r="AE88" s="574"/>
      <c r="AF88" s="574"/>
      <c r="AG88" s="574"/>
      <c r="AH88" s="574"/>
      <c r="AI88" s="574"/>
      <c r="AJ88" s="574"/>
      <c r="AK88" s="574"/>
      <c r="AL88" s="574"/>
      <c r="AM88" s="574"/>
      <c r="AN88" s="574"/>
      <c r="AO88" s="574"/>
      <c r="AP88" s="574"/>
      <c r="AQ88" s="574"/>
      <c r="AR88" s="574"/>
      <c r="AS88" s="574"/>
      <c r="AT88" s="574"/>
      <c r="AU88" s="574"/>
      <c r="AV88" s="574"/>
      <c r="AW88" s="574"/>
      <c r="AX88" s="574"/>
      <c r="AY88" s="574"/>
      <c r="AZ88" s="574"/>
      <c r="BA88" s="574"/>
      <c r="BB88" s="574"/>
      <c r="BC88" s="574"/>
      <c r="BD88" s="574"/>
      <c r="BE88" s="574"/>
      <c r="BF88" s="574"/>
      <c r="BG88" s="574"/>
      <c r="BH88" s="574"/>
      <c r="BI88" s="574"/>
      <c r="BJ88" s="574"/>
      <c r="BK88" s="574"/>
      <c r="BL88" s="574"/>
      <c r="BM88" s="574"/>
      <c r="BN88" s="574"/>
      <c r="BO88" s="574"/>
      <c r="BP88" s="574"/>
      <c r="BQ88" s="574"/>
      <c r="BR88" s="574"/>
      <c r="BS88" s="574"/>
      <c r="BT88" s="574"/>
      <c r="BU88" s="574"/>
      <c r="BV88" s="574"/>
      <c r="BW88" s="574"/>
      <c r="BX88" s="574"/>
      <c r="BY88" s="574"/>
      <c r="BZ88" s="574"/>
      <c r="CA88" s="574"/>
      <c r="CB88" s="574"/>
      <c r="CC88" s="574"/>
      <c r="CD88" s="574"/>
      <c r="CE88" s="574"/>
      <c r="CF88" s="574"/>
      <c r="CG88" s="574"/>
      <c r="CH88" s="574"/>
      <c r="CI88" s="574"/>
      <c r="CJ88" s="574"/>
      <c r="CK88" s="574"/>
      <c r="CL88" s="574"/>
      <c r="CM88" s="574"/>
      <c r="CN88" s="574"/>
      <c r="CO88" s="574"/>
      <c r="CP88" s="574"/>
      <c r="CQ88" s="574"/>
      <c r="CR88" s="574"/>
      <c r="CS88" s="574"/>
      <c r="CT88" s="574"/>
      <c r="CU88" s="574"/>
      <c r="CV88" s="574"/>
      <c r="CW88" s="574"/>
      <c r="CX88" s="574"/>
      <c r="CY88" s="574"/>
      <c r="CZ88" s="574"/>
      <c r="DA88" s="574"/>
      <c r="DB88" s="574"/>
      <c r="DC88" s="574"/>
      <c r="DD88" s="574"/>
      <c r="DE88" s="574"/>
      <c r="DF88" s="574"/>
      <c r="DG88" s="574"/>
      <c r="DH88" s="574"/>
      <c r="DI88" s="574"/>
      <c r="DJ88" s="574"/>
      <c r="DK88" s="574"/>
      <c r="DL88" s="574"/>
      <c r="DM88" s="574"/>
      <c r="DN88" s="574"/>
      <c r="DO88" s="574"/>
      <c r="DP88" s="574"/>
      <c r="DQ88" s="574"/>
      <c r="DR88" s="574"/>
      <c r="DS88" s="574"/>
      <c r="DT88" s="574"/>
      <c r="DU88" s="574"/>
      <c r="DV88" s="574"/>
      <c r="DW88" s="574"/>
      <c r="DX88" s="574"/>
      <c r="DY88" s="574"/>
      <c r="DZ88" s="574"/>
      <c r="EA88" s="574"/>
      <c r="EB88" s="574"/>
      <c r="EC88" s="574"/>
      <c r="ED88" s="574"/>
      <c r="EE88" s="574"/>
      <c r="EF88" s="574"/>
      <c r="EG88" s="574"/>
      <c r="EH88" s="574"/>
      <c r="EI88" s="574"/>
      <c r="EJ88" s="574"/>
      <c r="EK88" s="574"/>
      <c r="EL88" s="12"/>
      <c r="EM88" s="12"/>
      <c r="EN88" s="12"/>
      <c r="EO88" s="12"/>
      <c r="EP88" s="12"/>
      <c r="EQ88" s="12"/>
      <c r="ER88" s="12"/>
      <c r="ES88" s="12"/>
      <c r="ET88" s="12"/>
      <c r="EU88" s="12"/>
    </row>
    <row r="89">
      <c r="A89" s="12"/>
      <c r="B89" s="628" t="s">
        <v>200</v>
      </c>
      <c r="C89" s="12"/>
      <c r="D89" s="574"/>
      <c r="E89" s="574"/>
      <c r="F89" s="574"/>
      <c r="G89" s="574"/>
      <c r="H89" s="574"/>
      <c r="I89" s="574"/>
      <c r="J89" s="574"/>
      <c r="K89" s="574"/>
      <c r="L89" s="574"/>
      <c r="M89" s="574"/>
      <c r="N89" s="574"/>
      <c r="O89" s="574"/>
      <c r="P89" s="574"/>
      <c r="Q89" s="574"/>
      <c r="R89" s="574"/>
      <c r="S89" s="574"/>
      <c r="T89" s="574"/>
      <c r="U89" s="574"/>
      <c r="V89" s="574"/>
      <c r="W89" s="574"/>
      <c r="X89" s="574"/>
      <c r="Y89" s="574"/>
      <c r="Z89" s="574"/>
      <c r="AA89" s="574"/>
      <c r="AB89" s="574"/>
      <c r="AC89" s="574"/>
      <c r="AD89" s="574"/>
      <c r="AE89" s="574"/>
      <c r="AF89" s="574"/>
      <c r="AG89" s="574"/>
      <c r="AH89" s="574"/>
      <c r="AI89" s="574"/>
      <c r="AJ89" s="574"/>
      <c r="AK89" s="574"/>
      <c r="AL89" s="574"/>
      <c r="AM89" s="574"/>
      <c r="AN89" s="574"/>
      <c r="AO89" s="574"/>
      <c r="AP89" s="574"/>
      <c r="AQ89" s="574"/>
      <c r="AR89" s="574"/>
      <c r="AS89" s="574"/>
      <c r="AT89" s="574"/>
      <c r="AU89" s="574"/>
      <c r="AV89" s="574"/>
      <c r="AW89" s="574"/>
      <c r="AX89" s="574"/>
      <c r="AY89" s="574"/>
      <c r="AZ89" s="574"/>
      <c r="BA89" s="574"/>
      <c r="BB89" s="574"/>
      <c r="BC89" s="574"/>
      <c r="BD89" s="574"/>
      <c r="BE89" s="574"/>
      <c r="BF89" s="574"/>
      <c r="BG89" s="574"/>
      <c r="BH89" s="574"/>
      <c r="BI89" s="574"/>
      <c r="BJ89" s="574"/>
      <c r="BK89" s="574"/>
      <c r="BL89" s="574"/>
      <c r="BM89" s="574"/>
      <c r="BN89" s="574"/>
      <c r="BO89" s="574"/>
      <c r="BP89" s="574"/>
      <c r="BQ89" s="574"/>
      <c r="BR89" s="574"/>
      <c r="BS89" s="574"/>
      <c r="BT89" s="574"/>
      <c r="BU89" s="574"/>
      <c r="BV89" s="574"/>
      <c r="BW89" s="574"/>
      <c r="BX89" s="574"/>
      <c r="BY89" s="574"/>
      <c r="BZ89" s="574"/>
      <c r="CA89" s="574"/>
      <c r="CB89" s="574"/>
      <c r="CC89" s="574"/>
      <c r="CD89" s="574"/>
      <c r="CE89" s="574"/>
      <c r="CF89" s="574"/>
      <c r="CG89" s="574"/>
      <c r="CH89" s="574"/>
      <c r="CI89" s="574"/>
      <c r="CJ89" s="574"/>
      <c r="CK89" s="574"/>
      <c r="CL89" s="574"/>
      <c r="CM89" s="574"/>
      <c r="CN89" s="574"/>
      <c r="CO89" s="574"/>
      <c r="CP89" s="574"/>
      <c r="CQ89" s="574"/>
      <c r="CR89" s="574"/>
      <c r="CS89" s="574"/>
      <c r="CT89" s="574"/>
      <c r="CU89" s="574"/>
      <c r="CV89" s="574"/>
      <c r="CW89" s="574"/>
      <c r="CX89" s="574"/>
      <c r="CY89" s="574"/>
      <c r="CZ89" s="574"/>
      <c r="DA89" s="574"/>
      <c r="DB89" s="574"/>
      <c r="DC89" s="574"/>
      <c r="DD89" s="574"/>
      <c r="DE89" s="574"/>
      <c r="DF89" s="574"/>
      <c r="DG89" s="574"/>
      <c r="DH89" s="574"/>
      <c r="DI89" s="574"/>
      <c r="DJ89" s="574"/>
      <c r="DK89" s="574"/>
      <c r="DL89" s="574"/>
      <c r="DM89" s="574"/>
      <c r="DN89" s="574"/>
      <c r="DO89" s="578">
        <f t="shared" ref="DO89:DQ89" si="191">DO84/DN84*100-100</f>
        <v>-12.3649014</v>
      </c>
      <c r="DP89" s="578">
        <f t="shared" si="191"/>
        <v>14.98237693</v>
      </c>
      <c r="DQ89" s="578">
        <f t="shared" si="191"/>
        <v>-16.45744493</v>
      </c>
      <c r="DR89" s="574"/>
      <c r="DS89" s="574"/>
      <c r="DT89" s="574"/>
      <c r="DU89" s="574"/>
      <c r="DV89" s="574"/>
      <c r="DW89" s="574"/>
      <c r="DX89" s="574"/>
      <c r="DY89" s="574"/>
      <c r="DZ89" s="574"/>
      <c r="EA89" s="574"/>
      <c r="EB89" s="574"/>
      <c r="EC89" s="574"/>
      <c r="ED89" s="574"/>
      <c r="EE89" s="578">
        <f>EE84/DQ84*100-100</f>
        <v>29.47534316</v>
      </c>
      <c r="EF89" s="578">
        <f t="shared" ref="EF89:EH89" si="192">EF84/EE84*100-100</f>
        <v>-100</v>
      </c>
      <c r="EG89" s="596" t="str">
        <f t="shared" si="192"/>
        <v>#DIV/0!</v>
      </c>
      <c r="EH89" s="596" t="str">
        <f t="shared" si="192"/>
        <v>#DIV/0!</v>
      </c>
      <c r="EI89" s="574"/>
      <c r="EJ89" s="574"/>
      <c r="EK89" s="574"/>
      <c r="EL89" s="12"/>
      <c r="EM89" s="12"/>
      <c r="EN89" s="12"/>
      <c r="EO89" s="12"/>
      <c r="EP89" s="12"/>
      <c r="EQ89" s="12"/>
      <c r="ER89" s="12"/>
      <c r="ES89" s="12"/>
      <c r="ET89" s="12"/>
      <c r="EU89" s="12"/>
    </row>
    <row r="90">
      <c r="A90" s="12"/>
      <c r="B90" s="628" t="s">
        <v>201</v>
      </c>
      <c r="C90" s="12"/>
      <c r="D90" s="574"/>
      <c r="E90" s="574"/>
      <c r="F90" s="574"/>
      <c r="G90" s="574"/>
      <c r="H90" s="574"/>
      <c r="I90" s="574"/>
      <c r="J90" s="574"/>
      <c r="K90" s="574"/>
      <c r="L90" s="574"/>
      <c r="M90" s="574"/>
      <c r="N90" s="574"/>
      <c r="O90" s="574"/>
      <c r="P90" s="574"/>
      <c r="Q90" s="574"/>
      <c r="R90" s="574"/>
      <c r="S90" s="574"/>
      <c r="T90" s="574"/>
      <c r="U90" s="574"/>
      <c r="V90" s="574"/>
      <c r="W90" s="574"/>
      <c r="X90" s="574"/>
      <c r="Y90" s="574"/>
      <c r="Z90" s="574"/>
      <c r="AA90" s="574"/>
      <c r="AB90" s="574"/>
      <c r="AC90" s="574"/>
      <c r="AD90" s="574"/>
      <c r="AE90" s="574"/>
      <c r="AF90" s="574"/>
      <c r="AG90" s="574"/>
      <c r="AH90" s="574"/>
      <c r="AI90" s="574"/>
      <c r="AJ90" s="574"/>
      <c r="AK90" s="574"/>
      <c r="AL90" s="574"/>
      <c r="AM90" s="574"/>
      <c r="AN90" s="574"/>
      <c r="AO90" s="574"/>
      <c r="AP90" s="574"/>
      <c r="AQ90" s="574"/>
      <c r="AR90" s="574"/>
      <c r="AS90" s="574"/>
      <c r="AT90" s="574"/>
      <c r="AU90" s="574"/>
      <c r="AV90" s="574"/>
      <c r="AW90" s="574"/>
      <c r="AX90" s="574"/>
      <c r="AY90" s="574"/>
      <c r="AZ90" s="574"/>
      <c r="BA90" s="574"/>
      <c r="BB90" s="574"/>
      <c r="BC90" s="574"/>
      <c r="BD90" s="574"/>
      <c r="BE90" s="574"/>
      <c r="BF90" s="574"/>
      <c r="BG90" s="574"/>
      <c r="BH90" s="574"/>
      <c r="BI90" s="574"/>
      <c r="BJ90" s="574"/>
      <c r="BK90" s="574"/>
      <c r="BL90" s="574"/>
      <c r="BM90" s="574"/>
      <c r="BN90" s="574"/>
      <c r="BO90" s="574"/>
      <c r="BP90" s="574"/>
      <c r="BQ90" s="574"/>
      <c r="BR90" s="574"/>
      <c r="BS90" s="574"/>
      <c r="BT90" s="574"/>
      <c r="BU90" s="574"/>
      <c r="BV90" s="574"/>
      <c r="BW90" s="574"/>
      <c r="BX90" s="574"/>
      <c r="BY90" s="574"/>
      <c r="BZ90" s="574"/>
      <c r="CA90" s="574"/>
      <c r="CB90" s="574"/>
      <c r="CC90" s="574"/>
      <c r="CD90" s="574"/>
      <c r="CE90" s="574"/>
      <c r="CF90" s="596" t="str">
        <f>(#REF!/2)/(#REF!/3)*100-100</f>
        <v>#REF!</v>
      </c>
      <c r="CG90" s="574"/>
      <c r="CH90" s="574"/>
      <c r="CI90" s="574"/>
      <c r="CJ90" s="574"/>
      <c r="CK90" s="574"/>
      <c r="CL90" s="574"/>
      <c r="CM90" s="574"/>
      <c r="CN90" s="574"/>
      <c r="CO90" s="574"/>
      <c r="CP90" s="574"/>
      <c r="CQ90" s="574"/>
      <c r="CR90" s="574"/>
      <c r="CS90" s="574"/>
      <c r="CT90" s="574"/>
      <c r="CU90" s="574"/>
      <c r="CV90" s="574"/>
      <c r="CW90" s="596" t="str">
        <f>(#REF!/2)/(#REF!/3)*100-100</f>
        <v>#REF!</v>
      </c>
      <c r="CX90" s="574"/>
      <c r="CY90" s="574"/>
      <c r="CZ90" s="574"/>
      <c r="DA90" s="574"/>
      <c r="DB90" s="574"/>
      <c r="DC90" s="574"/>
      <c r="DD90" s="574"/>
      <c r="DE90" s="574"/>
      <c r="DF90" s="574"/>
      <c r="DG90" s="574"/>
      <c r="DH90" s="574"/>
      <c r="DI90" s="574"/>
      <c r="DJ90" s="574"/>
      <c r="DK90" s="574"/>
      <c r="DL90" s="574"/>
      <c r="DM90" s="574"/>
      <c r="DN90" s="574"/>
      <c r="DO90" s="574"/>
      <c r="DP90" s="574"/>
      <c r="DQ90" s="574"/>
      <c r="DR90" s="574"/>
      <c r="DS90" s="574"/>
      <c r="DT90" s="574"/>
      <c r="DU90" s="574"/>
      <c r="DV90" s="574"/>
      <c r="DW90" s="574"/>
      <c r="DX90" s="574"/>
      <c r="DY90" s="574"/>
      <c r="DZ90" s="574"/>
      <c r="EA90" s="574"/>
      <c r="EB90" s="574"/>
      <c r="EC90" s="574"/>
      <c r="ED90" s="574"/>
      <c r="EE90" s="578">
        <f t="shared" ref="EE90:EH90" si="193">EE84/DN84*100-100</f>
        <v>8.994400295</v>
      </c>
      <c r="EF90" s="578">
        <f t="shared" si="193"/>
        <v>-100</v>
      </c>
      <c r="EG90" s="578">
        <f t="shared" si="193"/>
        <v>-100</v>
      </c>
      <c r="EH90" s="578">
        <f t="shared" si="193"/>
        <v>-100</v>
      </c>
      <c r="EI90" s="574"/>
      <c r="EJ90" s="574"/>
      <c r="EK90" s="574"/>
      <c r="EL90" s="12"/>
      <c r="EM90" s="12"/>
      <c r="EN90" s="12"/>
      <c r="EO90" s="12"/>
      <c r="EP90" s="12"/>
      <c r="EQ90" s="12"/>
      <c r="ER90" s="12"/>
      <c r="ES90" s="12"/>
      <c r="ET90" s="12"/>
      <c r="EU90" s="12"/>
    </row>
    <row r="91">
      <c r="A91" s="12"/>
      <c r="B91" s="12"/>
      <c r="C91" s="12"/>
      <c r="D91" s="556"/>
      <c r="E91" s="556"/>
      <c r="F91" s="556"/>
      <c r="G91" s="556"/>
      <c r="H91" s="556"/>
      <c r="I91" s="556"/>
      <c r="J91" s="556"/>
      <c r="K91" s="556"/>
      <c r="L91" s="556"/>
      <c r="M91" s="556"/>
      <c r="N91" s="556"/>
      <c r="O91" s="556"/>
      <c r="P91" s="556"/>
      <c r="Q91" s="556"/>
      <c r="R91" s="556"/>
      <c r="S91" s="556"/>
      <c r="T91" s="556"/>
      <c r="U91" s="556"/>
      <c r="V91" s="556"/>
      <c r="W91" s="556"/>
      <c r="X91" s="556"/>
      <c r="Y91" s="556"/>
      <c r="Z91" s="556"/>
      <c r="AA91" s="556"/>
      <c r="AB91" s="556"/>
      <c r="AC91" s="556"/>
      <c r="AD91" s="556"/>
      <c r="AE91" s="556"/>
      <c r="AF91" s="556"/>
      <c r="AG91" s="556"/>
      <c r="AH91" s="556"/>
      <c r="AI91" s="556"/>
      <c r="AJ91" s="556"/>
      <c r="AK91" s="556"/>
      <c r="AL91" s="556"/>
      <c r="AM91" s="556"/>
      <c r="AN91" s="556"/>
      <c r="AO91" s="556"/>
      <c r="AP91" s="556"/>
      <c r="AQ91" s="556"/>
      <c r="AR91" s="556"/>
      <c r="AS91" s="556"/>
      <c r="AT91" s="556"/>
      <c r="AU91" s="556"/>
      <c r="AV91" s="556"/>
      <c r="AW91" s="556"/>
      <c r="AX91" s="556"/>
      <c r="AY91" s="556"/>
      <c r="AZ91" s="556"/>
      <c r="BA91" s="556"/>
      <c r="BB91" s="556"/>
      <c r="BC91" s="556"/>
      <c r="BD91" s="556"/>
      <c r="BE91" s="556"/>
      <c r="BF91" s="556"/>
      <c r="BG91" s="556"/>
      <c r="BH91" s="556"/>
      <c r="BI91" s="556"/>
      <c r="BJ91" s="556"/>
      <c r="BK91" s="556"/>
      <c r="BL91" s="556"/>
      <c r="BM91" s="556"/>
      <c r="BN91" s="573"/>
      <c r="BO91" s="556"/>
      <c r="BP91" s="556"/>
      <c r="BQ91" s="556"/>
      <c r="BR91" s="573"/>
      <c r="BS91" s="556"/>
      <c r="BT91" s="556"/>
      <c r="BU91" s="556"/>
      <c r="BV91" s="556"/>
      <c r="BW91" s="556"/>
      <c r="BX91" s="556"/>
      <c r="BY91" s="556"/>
      <c r="BZ91" s="556"/>
      <c r="CA91" s="556"/>
      <c r="CB91" s="556"/>
      <c r="CC91" s="556"/>
      <c r="CD91" s="556"/>
      <c r="CE91" s="573"/>
      <c r="CF91" s="556"/>
      <c r="CG91" s="556"/>
      <c r="CH91" s="556"/>
      <c r="CI91" s="573"/>
      <c r="CJ91" s="556"/>
      <c r="CK91" s="556"/>
      <c r="CL91" s="556"/>
      <c r="CM91" s="556"/>
      <c r="CN91" s="556"/>
      <c r="CO91" s="556"/>
      <c r="CP91" s="556"/>
      <c r="CQ91" s="556"/>
      <c r="CR91" s="556"/>
      <c r="CS91" s="556"/>
      <c r="CT91" s="556"/>
      <c r="CU91" s="556"/>
      <c r="CV91" s="573"/>
      <c r="CW91" s="556"/>
      <c r="CX91" s="556"/>
      <c r="CY91" s="556"/>
      <c r="CZ91" s="573"/>
      <c r="DA91" s="556"/>
      <c r="DB91" s="556"/>
      <c r="DC91" s="556"/>
      <c r="DD91" s="556"/>
      <c r="DE91" s="556"/>
      <c r="DF91" s="556"/>
      <c r="DG91" s="556"/>
      <c r="DH91" s="556"/>
      <c r="DI91" s="556"/>
      <c r="DJ91" s="556"/>
      <c r="DK91" s="556"/>
      <c r="DL91" s="556"/>
      <c r="DM91" s="573"/>
      <c r="DN91" s="556"/>
      <c r="DO91" s="556"/>
      <c r="DP91" s="556"/>
      <c r="DQ91" s="573"/>
      <c r="DR91" s="556"/>
      <c r="DS91" s="556"/>
      <c r="DT91" s="556"/>
      <c r="DU91" s="556"/>
      <c r="DV91" s="556"/>
      <c r="DW91" s="556"/>
      <c r="DX91" s="556"/>
      <c r="DY91" s="556"/>
      <c r="DZ91" s="556"/>
      <c r="EA91" s="574"/>
      <c r="EB91" s="556"/>
      <c r="EC91" s="556"/>
      <c r="ED91" s="573"/>
      <c r="EE91" s="556"/>
      <c r="EF91" s="556"/>
      <c r="EG91" s="556"/>
      <c r="EH91" s="573"/>
      <c r="EI91" s="556"/>
      <c r="EJ91" s="574"/>
      <c r="EK91" s="574"/>
      <c r="EL91" s="12"/>
      <c r="EM91" s="12"/>
      <c r="EN91" s="12"/>
      <c r="EO91" s="12"/>
      <c r="EP91" s="12"/>
      <c r="EQ91" s="12"/>
      <c r="ER91" s="12"/>
      <c r="ES91" s="12"/>
      <c r="ET91" s="12"/>
      <c r="EU91" s="12"/>
    </row>
    <row r="92">
      <c r="A92" s="12"/>
      <c r="B92" s="552" t="s">
        <v>202</v>
      </c>
      <c r="C92" s="12"/>
      <c r="D92" s="556"/>
      <c r="E92" s="556"/>
      <c r="F92" s="556"/>
      <c r="G92" s="556"/>
      <c r="H92" s="556"/>
      <c r="I92" s="556"/>
      <c r="J92" s="556"/>
      <c r="K92" s="556"/>
      <c r="L92" s="556"/>
      <c r="M92" s="556"/>
      <c r="N92" s="556"/>
      <c r="O92" s="556"/>
      <c r="P92" s="556"/>
      <c r="Q92" s="556"/>
      <c r="R92" s="556"/>
      <c r="S92" s="556"/>
      <c r="T92" s="556"/>
      <c r="U92" s="556"/>
      <c r="V92" s="556"/>
      <c r="W92" s="556"/>
      <c r="X92" s="556"/>
      <c r="Y92" s="556"/>
      <c r="Z92" s="556"/>
      <c r="AA92" s="556"/>
      <c r="AB92" s="556"/>
      <c r="AC92" s="556"/>
      <c r="AD92" s="556"/>
      <c r="AE92" s="556"/>
      <c r="AF92" s="556"/>
      <c r="AG92" s="556"/>
      <c r="AH92" s="556"/>
      <c r="AI92" s="556"/>
      <c r="AJ92" s="556"/>
      <c r="AK92" s="556"/>
      <c r="AL92" s="556"/>
      <c r="AM92" s="556"/>
      <c r="AN92" s="556"/>
      <c r="AO92" s="556"/>
      <c r="AP92" s="556"/>
      <c r="AQ92" s="556"/>
      <c r="AR92" s="556"/>
      <c r="AS92" s="556"/>
      <c r="AT92" s="556"/>
      <c r="AU92" s="556"/>
      <c r="AV92" s="556"/>
      <c r="AW92" s="556"/>
      <c r="AX92" s="556"/>
      <c r="AY92" s="556"/>
      <c r="AZ92" s="556"/>
      <c r="BA92" s="556"/>
      <c r="BB92" s="556"/>
      <c r="BC92" s="556"/>
      <c r="BD92" s="556"/>
      <c r="BE92" s="556"/>
      <c r="BF92" s="556"/>
      <c r="BG92" s="556"/>
      <c r="BH92" s="556"/>
      <c r="BI92" s="556"/>
      <c r="BJ92" s="556"/>
      <c r="BK92" s="556"/>
      <c r="BL92" s="556"/>
      <c r="BM92" s="556"/>
      <c r="BN92" s="573"/>
      <c r="BO92" s="556"/>
      <c r="BP92" s="556"/>
      <c r="BQ92" s="556"/>
      <c r="BR92" s="573"/>
      <c r="BS92" s="556"/>
      <c r="BT92" s="556"/>
      <c r="BU92" s="556"/>
      <c r="BV92" s="556"/>
      <c r="BW92" s="556"/>
      <c r="BX92" s="556"/>
      <c r="BY92" s="556"/>
      <c r="BZ92" s="556"/>
      <c r="CA92" s="556"/>
      <c r="CB92" s="556"/>
      <c r="CC92" s="556"/>
      <c r="CD92" s="556"/>
      <c r="CE92" s="573"/>
      <c r="CF92" s="574"/>
      <c r="CG92" s="556"/>
      <c r="CH92" s="556"/>
      <c r="CI92" s="573"/>
      <c r="CJ92" s="556"/>
      <c r="CK92" s="556"/>
      <c r="CL92" s="556"/>
      <c r="CM92" s="556"/>
      <c r="CN92" s="556"/>
      <c r="CO92" s="556"/>
      <c r="CP92" s="556"/>
      <c r="CQ92" s="556"/>
      <c r="CR92" s="556"/>
      <c r="CS92" s="556"/>
      <c r="CT92" s="556"/>
      <c r="CU92" s="556"/>
      <c r="CV92" s="573"/>
      <c r="CW92" s="574"/>
      <c r="CX92" s="556"/>
      <c r="CY92" s="556"/>
      <c r="CZ92" s="573"/>
      <c r="DA92" s="556"/>
      <c r="DB92" s="556"/>
      <c r="DC92" s="556"/>
      <c r="DD92" s="556"/>
      <c r="DE92" s="556"/>
      <c r="DF92" s="556"/>
      <c r="DG92" s="556"/>
      <c r="DH92" s="556"/>
      <c r="DI92" s="556"/>
      <c r="DJ92" s="556"/>
      <c r="DK92" s="556"/>
      <c r="DL92" s="556"/>
      <c r="DM92" s="573"/>
      <c r="DN92" s="574"/>
      <c r="DO92" s="556"/>
      <c r="DP92" s="556"/>
      <c r="DQ92" s="573"/>
      <c r="DR92" s="556"/>
      <c r="DS92" s="556"/>
      <c r="DT92" s="556"/>
      <c r="DU92" s="556"/>
      <c r="DV92" s="556"/>
      <c r="DW92" s="556"/>
      <c r="DX92" s="556"/>
      <c r="DY92" s="556"/>
      <c r="DZ92" s="556"/>
      <c r="EA92" s="556"/>
      <c r="EB92" s="556"/>
      <c r="EC92" s="556"/>
      <c r="ED92" s="573"/>
      <c r="EE92" s="574"/>
      <c r="EF92" s="556"/>
      <c r="EG92" s="556"/>
      <c r="EH92" s="573"/>
      <c r="EI92" s="556"/>
      <c r="EJ92" s="574"/>
      <c r="EK92" s="574"/>
      <c r="EL92" s="12"/>
      <c r="EM92" s="12"/>
      <c r="EN92" s="12"/>
      <c r="EO92" s="12"/>
      <c r="EP92" s="12"/>
      <c r="EQ92" s="12"/>
      <c r="ER92" s="12"/>
      <c r="ES92" s="12"/>
      <c r="ET92" s="12"/>
      <c r="EU92" s="12"/>
    </row>
    <row r="93">
      <c r="A93" s="12"/>
      <c r="B93" s="628" t="s">
        <v>200</v>
      </c>
      <c r="C93" s="12"/>
      <c r="D93" s="556"/>
      <c r="E93" s="556"/>
      <c r="F93" s="556"/>
      <c r="G93" s="556"/>
      <c r="H93" s="556"/>
      <c r="I93" s="556"/>
      <c r="J93" s="556"/>
      <c r="K93" s="556"/>
      <c r="L93" s="556"/>
      <c r="M93" s="556"/>
      <c r="N93" s="556"/>
      <c r="O93" s="556"/>
      <c r="P93" s="556"/>
      <c r="Q93" s="556"/>
      <c r="R93" s="556"/>
      <c r="S93" s="556"/>
      <c r="T93" s="556"/>
      <c r="U93" s="556"/>
      <c r="V93" s="556"/>
      <c r="W93" s="556"/>
      <c r="X93" s="556"/>
      <c r="Y93" s="556"/>
      <c r="Z93" s="556"/>
      <c r="AA93" s="556"/>
      <c r="AB93" s="556"/>
      <c r="AC93" s="556"/>
      <c r="AD93" s="556"/>
      <c r="AE93" s="556"/>
      <c r="AF93" s="556"/>
      <c r="AG93" s="556"/>
      <c r="AH93" s="556"/>
      <c r="AI93" s="556"/>
      <c r="AJ93" s="556"/>
      <c r="AK93" s="556"/>
      <c r="AL93" s="556"/>
      <c r="AM93" s="556"/>
      <c r="AN93" s="556"/>
      <c r="AO93" s="556"/>
      <c r="AP93" s="556"/>
      <c r="AQ93" s="556"/>
      <c r="AR93" s="556"/>
      <c r="AS93" s="556"/>
      <c r="AT93" s="556"/>
      <c r="AU93" s="556"/>
      <c r="AV93" s="556"/>
      <c r="AW93" s="556"/>
      <c r="AX93" s="556"/>
      <c r="AY93" s="556"/>
      <c r="AZ93" s="556"/>
      <c r="BA93" s="556"/>
      <c r="BB93" s="556"/>
      <c r="BC93" s="556"/>
      <c r="BD93" s="556"/>
      <c r="BE93" s="556"/>
      <c r="BF93" s="556"/>
      <c r="BG93" s="556"/>
      <c r="BH93" s="556"/>
      <c r="BI93" s="556"/>
      <c r="BJ93" s="556"/>
      <c r="BK93" s="556"/>
      <c r="BL93" s="556"/>
      <c r="BM93" s="556"/>
      <c r="BN93" s="573"/>
      <c r="BO93" s="556"/>
      <c r="BP93" s="556"/>
      <c r="BQ93" s="556"/>
      <c r="BR93" s="573"/>
      <c r="BS93" s="556"/>
      <c r="BT93" s="556"/>
      <c r="BU93" s="556"/>
      <c r="BV93" s="556"/>
      <c r="BW93" s="556"/>
      <c r="BX93" s="556"/>
      <c r="BY93" s="556"/>
      <c r="BZ93" s="556"/>
      <c r="CA93" s="556"/>
      <c r="CB93" s="556"/>
      <c r="CC93" s="556"/>
      <c r="CD93" s="556"/>
      <c r="CE93" s="573"/>
      <c r="CF93" s="574"/>
      <c r="CG93" s="556"/>
      <c r="CH93" s="556"/>
      <c r="CI93" s="573"/>
      <c r="CJ93" s="556"/>
      <c r="CK93" s="556"/>
      <c r="CL93" s="556"/>
      <c r="CM93" s="556"/>
      <c r="CN93" s="556"/>
      <c r="CO93" s="556"/>
      <c r="CP93" s="556"/>
      <c r="CQ93" s="556"/>
      <c r="CR93" s="556"/>
      <c r="CS93" s="556"/>
      <c r="CT93" s="556"/>
      <c r="CU93" s="556"/>
      <c r="CV93" s="573"/>
      <c r="CW93" s="574"/>
      <c r="CX93" s="556"/>
      <c r="CY93" s="556"/>
      <c r="CZ93" s="573"/>
      <c r="DA93" s="556"/>
      <c r="DB93" s="556"/>
      <c r="DC93" s="556"/>
      <c r="DD93" s="556"/>
      <c r="DE93" s="556"/>
      <c r="DF93" s="556"/>
      <c r="DG93" s="556"/>
      <c r="DH93" s="556"/>
      <c r="DI93" s="556"/>
      <c r="DJ93" s="556"/>
      <c r="DK93" s="556"/>
      <c r="DL93" s="556"/>
      <c r="DM93" s="573"/>
      <c r="DN93" s="574"/>
      <c r="DO93" s="575">
        <f t="shared" ref="DO93:DQ93" si="194">DO85/DN85*100-100</f>
        <v>-29.12639825</v>
      </c>
      <c r="DP93" s="575">
        <f t="shared" si="194"/>
        <v>64.41276426</v>
      </c>
      <c r="DQ93" s="575">
        <f t="shared" si="194"/>
        <v>-14.36504241</v>
      </c>
      <c r="DR93" s="556"/>
      <c r="DS93" s="556"/>
      <c r="DT93" s="556"/>
      <c r="DU93" s="556"/>
      <c r="DV93" s="556"/>
      <c r="DW93" s="556"/>
      <c r="DX93" s="556"/>
      <c r="DY93" s="556"/>
      <c r="DZ93" s="556"/>
      <c r="EA93" s="556"/>
      <c r="EB93" s="556"/>
      <c r="EC93" s="556"/>
      <c r="ED93" s="573"/>
      <c r="EE93" s="578">
        <f>EE85/DQ85*100-100</f>
        <v>-100</v>
      </c>
      <c r="EF93" s="629" t="str">
        <f t="shared" ref="EF93:EH93" si="195">EF85/EE85*100-100</f>
        <v>#DIV/0!</v>
      </c>
      <c r="EG93" s="629" t="str">
        <f t="shared" si="195"/>
        <v>#DIV/0!</v>
      </c>
      <c r="EH93" s="629" t="str">
        <f t="shared" si="195"/>
        <v>#DIV/0!</v>
      </c>
      <c r="EI93" s="556"/>
      <c r="EJ93" s="574"/>
      <c r="EK93" s="574"/>
      <c r="EL93" s="12"/>
      <c r="EM93" s="12"/>
      <c r="EN93" s="12"/>
      <c r="EO93" s="12"/>
      <c r="EP93" s="12"/>
      <c r="EQ93" s="12"/>
      <c r="ER93" s="12"/>
      <c r="ES93" s="12"/>
      <c r="ET93" s="12"/>
      <c r="EU93" s="12"/>
    </row>
    <row r="94">
      <c r="A94" s="12"/>
      <c r="B94" s="628" t="s">
        <v>201</v>
      </c>
      <c r="C94" s="12"/>
      <c r="D94" s="597"/>
      <c r="E94" s="597"/>
      <c r="F94" s="597"/>
      <c r="G94" s="597"/>
      <c r="H94" s="597"/>
      <c r="I94" s="597"/>
      <c r="J94" s="597"/>
      <c r="K94" s="597"/>
      <c r="L94" s="597"/>
      <c r="M94" s="597"/>
      <c r="N94" s="597"/>
      <c r="O94" s="597"/>
      <c r="P94" s="597"/>
      <c r="Q94" s="597"/>
      <c r="R94" s="597"/>
      <c r="S94" s="597"/>
      <c r="T94" s="597"/>
      <c r="U94" s="597"/>
      <c r="V94" s="597"/>
      <c r="W94" s="597"/>
      <c r="X94" s="597"/>
      <c r="Y94" s="597"/>
      <c r="Z94" s="597"/>
      <c r="AA94" s="597"/>
      <c r="AB94" s="597"/>
      <c r="AC94" s="597"/>
      <c r="AD94" s="597"/>
      <c r="AE94" s="597"/>
      <c r="AF94" s="597"/>
      <c r="AG94" s="597"/>
      <c r="AH94" s="597"/>
      <c r="AI94" s="597"/>
      <c r="AJ94" s="597"/>
      <c r="AK94" s="597"/>
      <c r="AL94" s="597"/>
      <c r="AM94" s="597"/>
      <c r="AN94" s="597"/>
      <c r="AO94" s="597"/>
      <c r="AP94" s="597"/>
      <c r="AQ94" s="597"/>
      <c r="AR94" s="597"/>
      <c r="AS94" s="597"/>
      <c r="AT94" s="597"/>
      <c r="AU94" s="597"/>
      <c r="AV94" s="597"/>
      <c r="AW94" s="597"/>
      <c r="AX94" s="597"/>
      <c r="AY94" s="597"/>
      <c r="AZ94" s="597"/>
      <c r="BA94" s="597"/>
      <c r="BB94" s="597"/>
      <c r="BC94" s="597"/>
      <c r="BD94" s="597"/>
      <c r="BE94" s="597"/>
      <c r="BF94" s="597"/>
      <c r="BG94" s="597"/>
      <c r="BH94" s="597"/>
      <c r="BI94" s="597"/>
      <c r="BJ94" s="597"/>
      <c r="BK94" s="597"/>
      <c r="BL94" s="597"/>
      <c r="BM94" s="597"/>
      <c r="BN94" s="597"/>
      <c r="BO94" s="556"/>
      <c r="BP94" s="556"/>
      <c r="BQ94" s="556"/>
      <c r="BR94" s="573"/>
      <c r="BS94" s="556"/>
      <c r="BT94" s="597"/>
      <c r="BU94" s="597"/>
      <c r="BV94" s="597"/>
      <c r="BW94" s="556"/>
      <c r="BX94" s="556"/>
      <c r="BY94" s="556"/>
      <c r="BZ94" s="556"/>
      <c r="CA94" s="556"/>
      <c r="CB94" s="556"/>
      <c r="CC94" s="556"/>
      <c r="CD94" s="556"/>
      <c r="CE94" s="573"/>
      <c r="CF94" s="578">
        <f>(CF20/2)/(BR20/3)*100-100</f>
        <v>-35.17281127</v>
      </c>
      <c r="CG94" s="556"/>
      <c r="CH94" s="556"/>
      <c r="CI94" s="573"/>
      <c r="CJ94" s="556"/>
      <c r="CK94" s="597"/>
      <c r="CL94" s="597"/>
      <c r="CM94" s="597"/>
      <c r="CN94" s="556"/>
      <c r="CO94" s="556"/>
      <c r="CP94" s="556"/>
      <c r="CQ94" s="556"/>
      <c r="CR94" s="556"/>
      <c r="CS94" s="556"/>
      <c r="CT94" s="556"/>
      <c r="CU94" s="556"/>
      <c r="CV94" s="573"/>
      <c r="CW94" s="578">
        <f>(CW20/2)/(CI20/3)*100-100</f>
        <v>426.2058945</v>
      </c>
      <c r="CX94" s="556"/>
      <c r="CY94" s="556"/>
      <c r="CZ94" s="573"/>
      <c r="DA94" s="556"/>
      <c r="DB94" s="597"/>
      <c r="DC94" s="597"/>
      <c r="DD94" s="597"/>
      <c r="DE94" s="556"/>
      <c r="DF94" s="556"/>
      <c r="DG94" s="556"/>
      <c r="DH94" s="556"/>
      <c r="DI94" s="556"/>
      <c r="DJ94" s="556"/>
      <c r="DK94" s="556"/>
      <c r="DL94" s="556"/>
      <c r="DM94" s="573"/>
      <c r="DN94" s="574"/>
      <c r="DO94" s="556"/>
      <c r="DP94" s="556"/>
      <c r="DQ94" s="573"/>
      <c r="DR94" s="556"/>
      <c r="DS94" s="597"/>
      <c r="DT94" s="597"/>
      <c r="DU94" s="597"/>
      <c r="DV94" s="556"/>
      <c r="DW94" s="556"/>
      <c r="DX94" s="556"/>
      <c r="DY94" s="556"/>
      <c r="DZ94" s="556"/>
      <c r="EA94" s="556"/>
      <c r="EB94" s="556"/>
      <c r="EC94" s="556"/>
      <c r="ED94" s="573"/>
      <c r="EE94" s="578">
        <f t="shared" ref="EE94:EH94" si="196">EE85/DN85*100-100</f>
        <v>-100</v>
      </c>
      <c r="EF94" s="578">
        <f t="shared" si="196"/>
        <v>-100</v>
      </c>
      <c r="EG94" s="578">
        <f t="shared" si="196"/>
        <v>-100</v>
      </c>
      <c r="EH94" s="578">
        <f t="shared" si="196"/>
        <v>-100</v>
      </c>
      <c r="EI94" s="556"/>
      <c r="EJ94" s="574"/>
      <c r="EK94" s="574"/>
      <c r="EL94" s="12"/>
      <c r="EM94" s="12"/>
      <c r="EN94" s="12"/>
      <c r="EO94" s="12"/>
      <c r="EP94" s="12"/>
      <c r="EQ94" s="12"/>
      <c r="ER94" s="12"/>
      <c r="ES94" s="12"/>
      <c r="ET94" s="12"/>
      <c r="EU94" s="12"/>
    </row>
    <row r="95">
      <c r="A95" s="12"/>
      <c r="B95" s="12"/>
      <c r="C95" s="12"/>
      <c r="D95" s="556"/>
      <c r="E95" s="556"/>
      <c r="F95" s="556"/>
      <c r="G95" s="556"/>
      <c r="H95" s="556"/>
      <c r="I95" s="556"/>
      <c r="J95" s="556"/>
      <c r="K95" s="556"/>
      <c r="L95" s="556"/>
      <c r="M95" s="556"/>
      <c r="N95" s="556"/>
      <c r="O95" s="556"/>
      <c r="P95" s="556"/>
      <c r="Q95" s="556"/>
      <c r="R95" s="556"/>
      <c r="S95" s="556"/>
      <c r="T95" s="556"/>
      <c r="U95" s="556"/>
      <c r="V95" s="556"/>
      <c r="W95" s="556"/>
      <c r="X95" s="556"/>
      <c r="Y95" s="556"/>
      <c r="Z95" s="556"/>
      <c r="AA95" s="556"/>
      <c r="AB95" s="556"/>
      <c r="AC95" s="556"/>
      <c r="AD95" s="556"/>
      <c r="AE95" s="556"/>
      <c r="AF95" s="556"/>
      <c r="AG95" s="556"/>
      <c r="AH95" s="556"/>
      <c r="AI95" s="556"/>
      <c r="AJ95" s="556"/>
      <c r="AK95" s="556"/>
      <c r="AL95" s="556"/>
      <c r="AM95" s="556"/>
      <c r="AN95" s="556"/>
      <c r="AO95" s="556"/>
      <c r="AP95" s="556"/>
      <c r="AQ95" s="556"/>
      <c r="AR95" s="556"/>
      <c r="AS95" s="556"/>
      <c r="AT95" s="556"/>
      <c r="AU95" s="556"/>
      <c r="AV95" s="556"/>
      <c r="AW95" s="556"/>
      <c r="AX95" s="556"/>
      <c r="AY95" s="556"/>
      <c r="AZ95" s="556"/>
      <c r="BA95" s="556"/>
      <c r="BB95" s="556"/>
      <c r="BC95" s="556"/>
      <c r="BD95" s="556"/>
      <c r="BE95" s="556"/>
      <c r="BF95" s="556"/>
      <c r="BG95" s="556"/>
      <c r="BH95" s="556"/>
      <c r="BI95" s="556"/>
      <c r="BJ95" s="556"/>
      <c r="BK95" s="556"/>
      <c r="BL95" s="556"/>
      <c r="BM95" s="556"/>
      <c r="BN95" s="573"/>
      <c r="BO95" s="556"/>
      <c r="BP95" s="556"/>
      <c r="BQ95" s="556"/>
      <c r="BR95" s="573"/>
      <c r="BS95" s="556"/>
      <c r="BT95" s="556"/>
      <c r="BU95" s="556"/>
      <c r="BV95" s="556"/>
      <c r="BW95" s="556"/>
      <c r="BX95" s="556"/>
      <c r="BY95" s="556"/>
      <c r="BZ95" s="556"/>
      <c r="CA95" s="556"/>
      <c r="CB95" s="556"/>
      <c r="CC95" s="556"/>
      <c r="CD95" s="556"/>
      <c r="CE95" s="573"/>
      <c r="CF95" s="556"/>
      <c r="CG95" s="556"/>
      <c r="CH95" s="556"/>
      <c r="CI95" s="573"/>
      <c r="CJ95" s="556"/>
      <c r="CK95" s="556"/>
      <c r="CL95" s="556"/>
      <c r="CM95" s="556"/>
      <c r="CN95" s="556"/>
      <c r="CO95" s="556"/>
      <c r="CP95" s="556"/>
      <c r="CQ95" s="556"/>
      <c r="CR95" s="556"/>
      <c r="CS95" s="556"/>
      <c r="CT95" s="556"/>
      <c r="CU95" s="556"/>
      <c r="CV95" s="573"/>
      <c r="CW95" s="556"/>
      <c r="CX95" s="556"/>
      <c r="CY95" s="556"/>
      <c r="CZ95" s="573"/>
      <c r="DA95" s="556"/>
      <c r="DB95" s="556"/>
      <c r="DC95" s="556"/>
      <c r="DD95" s="556"/>
      <c r="DE95" s="556"/>
      <c r="DF95" s="556"/>
      <c r="DG95" s="556"/>
      <c r="DH95" s="556"/>
      <c r="DI95" s="556"/>
      <c r="DJ95" s="556"/>
      <c r="DK95" s="556"/>
      <c r="DL95" s="556"/>
      <c r="DM95" s="573"/>
      <c r="DN95" s="556"/>
      <c r="DO95" s="556"/>
      <c r="DP95" s="556"/>
      <c r="DQ95" s="573"/>
      <c r="DR95" s="556"/>
      <c r="DS95" s="556"/>
      <c r="DT95" s="556"/>
      <c r="DU95" s="556"/>
      <c r="DV95" s="556"/>
      <c r="DW95" s="556"/>
      <c r="DX95" s="556"/>
      <c r="DY95" s="556"/>
      <c r="DZ95" s="556"/>
      <c r="EA95" s="556"/>
      <c r="EB95" s="556"/>
      <c r="EC95" s="556"/>
      <c r="ED95" s="573"/>
      <c r="EE95" s="556"/>
      <c r="EF95" s="556"/>
      <c r="EG95" s="556"/>
      <c r="EH95" s="573"/>
      <c r="EI95" s="556"/>
      <c r="EJ95" s="574"/>
      <c r="EK95" s="574"/>
      <c r="EL95" s="12"/>
      <c r="EM95" s="12"/>
      <c r="EN95" s="12"/>
      <c r="EO95" s="12"/>
      <c r="EP95" s="12"/>
      <c r="EQ95" s="12"/>
      <c r="ER95" s="12"/>
      <c r="ES95" s="12"/>
      <c r="ET95" s="12"/>
      <c r="EU95" s="12"/>
    </row>
    <row r="96">
      <c r="A96" s="12"/>
      <c r="B96" s="12"/>
      <c r="C96" s="12"/>
      <c r="D96" s="556"/>
      <c r="E96" s="556"/>
      <c r="F96" s="556"/>
      <c r="G96" s="556"/>
      <c r="H96" s="556"/>
      <c r="I96" s="556"/>
      <c r="J96" s="556"/>
      <c r="K96" s="556"/>
      <c r="L96" s="556"/>
      <c r="M96" s="556"/>
      <c r="N96" s="556"/>
      <c r="O96" s="556"/>
      <c r="P96" s="556"/>
      <c r="Q96" s="556"/>
      <c r="R96" s="556"/>
      <c r="S96" s="556"/>
      <c r="T96" s="556"/>
      <c r="U96" s="556"/>
      <c r="V96" s="556"/>
      <c r="W96" s="556"/>
      <c r="X96" s="556"/>
      <c r="Y96" s="556"/>
      <c r="Z96" s="556"/>
      <c r="AA96" s="556"/>
      <c r="AB96" s="556"/>
      <c r="AC96" s="556"/>
      <c r="AD96" s="556"/>
      <c r="AE96" s="556"/>
      <c r="AF96" s="556"/>
      <c r="AG96" s="556"/>
      <c r="AH96" s="556"/>
      <c r="AI96" s="556"/>
      <c r="AJ96" s="556"/>
      <c r="AK96" s="556"/>
      <c r="AL96" s="556"/>
      <c r="AM96" s="556"/>
      <c r="AN96" s="556"/>
      <c r="AO96" s="556"/>
      <c r="AP96" s="556"/>
      <c r="AQ96" s="556"/>
      <c r="AR96" s="556"/>
      <c r="AS96" s="556"/>
      <c r="AT96" s="556"/>
      <c r="AU96" s="556"/>
      <c r="AV96" s="556"/>
      <c r="AW96" s="556"/>
      <c r="AX96" s="556"/>
      <c r="AY96" s="556"/>
      <c r="AZ96" s="556"/>
      <c r="BA96" s="556"/>
      <c r="BB96" s="556"/>
      <c r="BC96" s="556"/>
      <c r="BD96" s="556"/>
      <c r="BE96" s="556"/>
      <c r="BF96" s="556"/>
      <c r="BG96" s="556"/>
      <c r="BH96" s="556"/>
      <c r="BI96" s="556"/>
      <c r="BJ96" s="556"/>
      <c r="BK96" s="556"/>
      <c r="BL96" s="556"/>
      <c r="BM96" s="556"/>
      <c r="BN96" s="573"/>
      <c r="BO96" s="556"/>
      <c r="BP96" s="556"/>
      <c r="BQ96" s="556"/>
      <c r="BR96" s="573"/>
      <c r="BS96" s="556"/>
      <c r="BT96" s="556"/>
      <c r="BU96" s="556"/>
      <c r="BV96" s="556"/>
      <c r="BW96" s="556"/>
      <c r="BX96" s="556"/>
      <c r="BY96" s="556"/>
      <c r="BZ96" s="556"/>
      <c r="CA96" s="556"/>
      <c r="CB96" s="556"/>
      <c r="CC96" s="556"/>
      <c r="CD96" s="556"/>
      <c r="CE96" s="573"/>
      <c r="CF96" s="556"/>
      <c r="CG96" s="556"/>
      <c r="CH96" s="556"/>
      <c r="CI96" s="573"/>
      <c r="CJ96" s="556"/>
      <c r="CK96" s="556"/>
      <c r="CL96" s="556"/>
      <c r="CM96" s="556"/>
      <c r="CN96" s="556"/>
      <c r="CO96" s="556"/>
      <c r="CP96" s="556"/>
      <c r="CQ96" s="556"/>
      <c r="CR96" s="556"/>
      <c r="CS96" s="556"/>
      <c r="CT96" s="556"/>
      <c r="CU96" s="556"/>
      <c r="CV96" s="573"/>
      <c r="CW96" s="556"/>
      <c r="CX96" s="556"/>
      <c r="CY96" s="556"/>
      <c r="CZ96" s="573"/>
      <c r="DA96" s="556"/>
      <c r="DB96" s="556"/>
      <c r="DC96" s="556"/>
      <c r="DD96" s="556"/>
      <c r="DE96" s="556"/>
      <c r="DF96" s="556"/>
      <c r="DG96" s="556"/>
      <c r="DH96" s="556"/>
      <c r="DI96" s="556"/>
      <c r="DJ96" s="556"/>
      <c r="DK96" s="556"/>
      <c r="DL96" s="556"/>
      <c r="DM96" s="573"/>
      <c r="DN96" s="556"/>
      <c r="DO96" s="556"/>
      <c r="DP96" s="556"/>
      <c r="DQ96" s="573"/>
      <c r="DR96" s="556"/>
      <c r="DS96" s="556"/>
      <c r="DT96" s="556"/>
      <c r="DU96" s="556"/>
      <c r="DV96" s="556"/>
      <c r="DW96" s="556"/>
      <c r="DX96" s="556"/>
      <c r="DY96" s="556"/>
      <c r="DZ96" s="556"/>
      <c r="EA96" s="556"/>
      <c r="EB96" s="556"/>
      <c r="EC96" s="556"/>
      <c r="ED96" s="573"/>
      <c r="EE96" s="556"/>
      <c r="EF96" s="556"/>
      <c r="EG96" s="556"/>
      <c r="EH96" s="573"/>
      <c r="EI96" s="556"/>
      <c r="EJ96" s="574"/>
      <c r="EK96" s="574"/>
      <c r="EL96" s="12"/>
      <c r="EM96" s="12"/>
      <c r="EN96" s="12"/>
      <c r="EO96" s="12"/>
      <c r="EP96" s="12"/>
      <c r="EQ96" s="12"/>
      <c r="ER96" s="12"/>
      <c r="ES96" s="12"/>
      <c r="ET96" s="12"/>
      <c r="EU96" s="12"/>
    </row>
    <row r="97">
      <c r="A97" s="12"/>
      <c r="B97" s="12"/>
      <c r="C97" s="12"/>
      <c r="D97" s="556"/>
      <c r="E97" s="556"/>
      <c r="F97" s="556"/>
      <c r="G97" s="556"/>
      <c r="H97" s="556"/>
      <c r="I97" s="556"/>
      <c r="J97" s="556"/>
      <c r="K97" s="556"/>
      <c r="L97" s="556"/>
      <c r="M97" s="556"/>
      <c r="N97" s="556"/>
      <c r="O97" s="556"/>
      <c r="P97" s="556"/>
      <c r="Q97" s="556"/>
      <c r="R97" s="556"/>
      <c r="S97" s="556"/>
      <c r="T97" s="556"/>
      <c r="U97" s="556"/>
      <c r="V97" s="556"/>
      <c r="W97" s="556"/>
      <c r="X97" s="556"/>
      <c r="Y97" s="556"/>
      <c r="Z97" s="556"/>
      <c r="AA97" s="556"/>
      <c r="AB97" s="556"/>
      <c r="AC97" s="556"/>
      <c r="AD97" s="556"/>
      <c r="AE97" s="556"/>
      <c r="AF97" s="556"/>
      <c r="AG97" s="556"/>
      <c r="AH97" s="556"/>
      <c r="AI97" s="556"/>
      <c r="AJ97" s="556"/>
      <c r="AK97" s="556"/>
      <c r="AL97" s="556"/>
      <c r="AM97" s="556"/>
      <c r="AN97" s="556"/>
      <c r="AO97" s="556"/>
      <c r="AP97" s="556"/>
      <c r="AQ97" s="556"/>
      <c r="AR97" s="556"/>
      <c r="AS97" s="556"/>
      <c r="AT97" s="556"/>
      <c r="AU97" s="556"/>
      <c r="AV97" s="556"/>
      <c r="AW97" s="556"/>
      <c r="AX97" s="556"/>
      <c r="AY97" s="556"/>
      <c r="AZ97" s="556"/>
      <c r="BA97" s="556"/>
      <c r="BB97" s="556"/>
      <c r="BC97" s="556"/>
      <c r="BD97" s="556"/>
      <c r="BE97" s="556"/>
      <c r="BF97" s="556"/>
      <c r="BG97" s="556"/>
      <c r="BH97" s="556"/>
      <c r="BI97" s="556"/>
      <c r="BJ97" s="556"/>
      <c r="BK97" s="556"/>
      <c r="BL97" s="556"/>
      <c r="BM97" s="556"/>
      <c r="BN97" s="573"/>
      <c r="BO97" s="556"/>
      <c r="BP97" s="556"/>
      <c r="BQ97" s="556"/>
      <c r="BR97" s="573"/>
      <c r="BS97" s="556"/>
      <c r="BT97" s="556"/>
      <c r="BU97" s="556"/>
      <c r="BV97" s="556"/>
      <c r="BW97" s="556"/>
      <c r="BX97" s="556"/>
      <c r="BY97" s="556"/>
      <c r="BZ97" s="556"/>
      <c r="CA97" s="556"/>
      <c r="CB97" s="556"/>
      <c r="CC97" s="556"/>
      <c r="CD97" s="556"/>
      <c r="CE97" s="573"/>
      <c r="CF97" s="556"/>
      <c r="CG97" s="556"/>
      <c r="CH97" s="556"/>
      <c r="CI97" s="573"/>
      <c r="CJ97" s="556"/>
      <c r="CK97" s="556"/>
      <c r="CL97" s="556"/>
      <c r="CM97" s="556"/>
      <c r="CN97" s="556"/>
      <c r="CO97" s="556"/>
      <c r="CP97" s="556"/>
      <c r="CQ97" s="556"/>
      <c r="CR97" s="556"/>
      <c r="CS97" s="556"/>
      <c r="CT97" s="556"/>
      <c r="CU97" s="556"/>
      <c r="CV97" s="573"/>
      <c r="CW97" s="556"/>
      <c r="CX97" s="556"/>
      <c r="CY97" s="556"/>
      <c r="CZ97" s="573"/>
      <c r="DA97" s="556"/>
      <c r="DB97" s="556"/>
      <c r="DC97" s="556"/>
      <c r="DD97" s="556"/>
      <c r="DE97" s="556"/>
      <c r="DF97" s="556"/>
      <c r="DG97" s="556"/>
      <c r="DH97" s="556"/>
      <c r="DI97" s="556"/>
      <c r="DJ97" s="556"/>
      <c r="DK97" s="556"/>
      <c r="DL97" s="556"/>
      <c r="DM97" s="573"/>
      <c r="DN97" s="556"/>
      <c r="DO97" s="556"/>
      <c r="DP97" s="556"/>
      <c r="DQ97" s="573"/>
      <c r="DR97" s="556"/>
      <c r="DS97" s="556"/>
      <c r="DT97" s="556"/>
      <c r="DU97" s="556"/>
      <c r="DV97" s="556"/>
      <c r="DW97" s="556"/>
      <c r="DX97" s="556"/>
      <c r="DY97" s="556"/>
      <c r="DZ97" s="556"/>
      <c r="EA97" s="556"/>
      <c r="EB97" s="556"/>
      <c r="EC97" s="556"/>
      <c r="ED97" s="573"/>
      <c r="EE97" s="556"/>
      <c r="EF97" s="556"/>
      <c r="EG97" s="556"/>
      <c r="EH97" s="573"/>
      <c r="EI97" s="556"/>
      <c r="EJ97" s="574"/>
      <c r="EK97" s="574"/>
      <c r="EL97" s="12"/>
      <c r="EM97" s="12"/>
      <c r="EN97" s="12"/>
      <c r="EO97" s="12"/>
      <c r="EP97" s="12"/>
      <c r="EQ97" s="12"/>
      <c r="ER97" s="12"/>
      <c r="ES97" s="12"/>
      <c r="ET97" s="12"/>
      <c r="EU97" s="12"/>
    </row>
    <row r="98">
      <c r="A98" s="12"/>
      <c r="B98" s="12"/>
      <c r="C98" s="12"/>
      <c r="D98" s="556"/>
      <c r="E98" s="556"/>
      <c r="F98" s="556"/>
      <c r="G98" s="556"/>
      <c r="H98" s="556"/>
      <c r="I98" s="556"/>
      <c r="J98" s="556"/>
      <c r="K98" s="556"/>
      <c r="L98" s="556"/>
      <c r="M98" s="556"/>
      <c r="N98" s="556"/>
      <c r="O98" s="556"/>
      <c r="P98" s="556"/>
      <c r="Q98" s="556"/>
      <c r="R98" s="556"/>
      <c r="S98" s="556"/>
      <c r="T98" s="556"/>
      <c r="U98" s="556"/>
      <c r="V98" s="556"/>
      <c r="W98" s="556"/>
      <c r="X98" s="556"/>
      <c r="Y98" s="556"/>
      <c r="Z98" s="556"/>
      <c r="AA98" s="556"/>
      <c r="AB98" s="556"/>
      <c r="AC98" s="556"/>
      <c r="AD98" s="556"/>
      <c r="AE98" s="556"/>
      <c r="AF98" s="556"/>
      <c r="AG98" s="556"/>
      <c r="AH98" s="556"/>
      <c r="AI98" s="556"/>
      <c r="AJ98" s="556"/>
      <c r="AK98" s="556"/>
      <c r="AL98" s="556"/>
      <c r="AM98" s="556"/>
      <c r="AN98" s="556"/>
      <c r="AO98" s="556"/>
      <c r="AP98" s="556"/>
      <c r="AQ98" s="556"/>
      <c r="AR98" s="556"/>
      <c r="AS98" s="556"/>
      <c r="AT98" s="556"/>
      <c r="AU98" s="556"/>
      <c r="AV98" s="556"/>
      <c r="AW98" s="556"/>
      <c r="AX98" s="556"/>
      <c r="AY98" s="556"/>
      <c r="AZ98" s="556"/>
      <c r="BA98" s="556"/>
      <c r="BB98" s="556"/>
      <c r="BC98" s="556"/>
      <c r="BD98" s="556"/>
      <c r="BE98" s="556"/>
      <c r="BF98" s="556"/>
      <c r="BG98" s="556"/>
      <c r="BH98" s="556"/>
      <c r="BI98" s="556"/>
      <c r="BJ98" s="556"/>
      <c r="BK98" s="556"/>
      <c r="BL98" s="556"/>
      <c r="BM98" s="556"/>
      <c r="BN98" s="573"/>
      <c r="BO98" s="556"/>
      <c r="BP98" s="556"/>
      <c r="BQ98" s="556"/>
      <c r="BR98" s="573"/>
      <c r="BS98" s="556"/>
      <c r="BT98" s="556"/>
      <c r="BU98" s="556"/>
      <c r="BV98" s="556"/>
      <c r="BW98" s="556"/>
      <c r="BX98" s="556"/>
      <c r="BY98" s="556"/>
      <c r="BZ98" s="556"/>
      <c r="CA98" s="556"/>
      <c r="CB98" s="556"/>
      <c r="CC98" s="556"/>
      <c r="CD98" s="556"/>
      <c r="CE98" s="573"/>
      <c r="CF98" s="556"/>
      <c r="CG98" s="556"/>
      <c r="CH98" s="556"/>
      <c r="CI98" s="573"/>
      <c r="CJ98" s="556"/>
      <c r="CK98" s="556"/>
      <c r="CL98" s="556"/>
      <c r="CM98" s="556"/>
      <c r="CN98" s="556"/>
      <c r="CO98" s="556"/>
      <c r="CP98" s="556"/>
      <c r="CQ98" s="556"/>
      <c r="CR98" s="556"/>
      <c r="CS98" s="556"/>
      <c r="CT98" s="556"/>
      <c r="CU98" s="556"/>
      <c r="CV98" s="573"/>
      <c r="CW98" s="556"/>
      <c r="CX98" s="556"/>
      <c r="CY98" s="556"/>
      <c r="CZ98" s="573"/>
      <c r="DA98" s="556"/>
      <c r="DB98" s="556"/>
      <c r="DC98" s="556"/>
      <c r="DD98" s="556"/>
      <c r="DE98" s="556"/>
      <c r="DF98" s="556"/>
      <c r="DG98" s="556"/>
      <c r="DH98" s="556"/>
      <c r="DI98" s="556"/>
      <c r="DJ98" s="556"/>
      <c r="DK98" s="556"/>
      <c r="DL98" s="556"/>
      <c r="DM98" s="573"/>
      <c r="DN98" s="556"/>
      <c r="DO98" s="556"/>
      <c r="DP98" s="556"/>
      <c r="DQ98" s="573"/>
      <c r="DR98" s="556"/>
      <c r="DS98" s="556"/>
      <c r="DT98" s="556"/>
      <c r="DU98" s="556"/>
      <c r="DV98" s="556"/>
      <c r="DW98" s="556"/>
      <c r="DX98" s="556"/>
      <c r="DY98" s="556"/>
      <c r="DZ98" s="556"/>
      <c r="EA98" s="556"/>
      <c r="EB98" s="556"/>
      <c r="EC98" s="556"/>
      <c r="ED98" s="573"/>
      <c r="EE98" s="556"/>
      <c r="EF98" s="556"/>
      <c r="EG98" s="556"/>
      <c r="EH98" s="573"/>
      <c r="EI98" s="556"/>
      <c r="EJ98" s="574"/>
      <c r="EK98" s="574"/>
      <c r="EL98" s="12"/>
      <c r="EM98" s="12"/>
      <c r="EN98" s="12"/>
      <c r="EO98" s="12"/>
      <c r="EP98" s="12"/>
      <c r="EQ98" s="12"/>
      <c r="ER98" s="12"/>
      <c r="ES98" s="12"/>
      <c r="ET98" s="12"/>
      <c r="EU98" s="12"/>
    </row>
    <row r="99">
      <c r="A99" s="12"/>
      <c r="B99" s="12"/>
      <c r="C99" s="12"/>
      <c r="D99" s="556"/>
      <c r="E99" s="556"/>
      <c r="F99" s="556"/>
      <c r="G99" s="556"/>
      <c r="H99" s="556"/>
      <c r="I99" s="556"/>
      <c r="J99" s="556"/>
      <c r="K99" s="556"/>
      <c r="L99" s="556"/>
      <c r="M99" s="556"/>
      <c r="N99" s="556"/>
      <c r="O99" s="556"/>
      <c r="P99" s="556"/>
      <c r="Q99" s="556"/>
      <c r="R99" s="556"/>
      <c r="S99" s="556"/>
      <c r="T99" s="556"/>
      <c r="U99" s="556"/>
      <c r="V99" s="556"/>
      <c r="W99" s="556"/>
      <c r="X99" s="556"/>
      <c r="Y99" s="556"/>
      <c r="Z99" s="556"/>
      <c r="AA99" s="556"/>
      <c r="AB99" s="556"/>
      <c r="AC99" s="556"/>
      <c r="AD99" s="556"/>
      <c r="AE99" s="556"/>
      <c r="AF99" s="556"/>
      <c r="AG99" s="556"/>
      <c r="AH99" s="556"/>
      <c r="AI99" s="556"/>
      <c r="AJ99" s="556"/>
      <c r="AK99" s="556"/>
      <c r="AL99" s="556"/>
      <c r="AM99" s="556"/>
      <c r="AN99" s="556"/>
      <c r="AO99" s="556"/>
      <c r="AP99" s="556"/>
      <c r="AQ99" s="556"/>
      <c r="AR99" s="556"/>
      <c r="AS99" s="556"/>
      <c r="AT99" s="556"/>
      <c r="AU99" s="556"/>
      <c r="AV99" s="556"/>
      <c r="AW99" s="556"/>
      <c r="AX99" s="556"/>
      <c r="AY99" s="556"/>
      <c r="AZ99" s="556"/>
      <c r="BA99" s="556"/>
      <c r="BB99" s="556"/>
      <c r="BC99" s="556"/>
      <c r="BD99" s="556"/>
      <c r="BE99" s="556"/>
      <c r="BF99" s="556"/>
      <c r="BG99" s="556"/>
      <c r="BH99" s="556"/>
      <c r="BI99" s="556"/>
      <c r="BJ99" s="556"/>
      <c r="BK99" s="556"/>
      <c r="BL99" s="556"/>
      <c r="BM99" s="556"/>
      <c r="BN99" s="573"/>
      <c r="BO99" s="556"/>
      <c r="BP99" s="556"/>
      <c r="BQ99" s="556"/>
      <c r="BR99" s="573"/>
      <c r="BS99" s="556"/>
      <c r="BT99" s="556"/>
      <c r="BU99" s="556"/>
      <c r="BV99" s="556"/>
      <c r="BW99" s="556"/>
      <c r="BX99" s="556"/>
      <c r="BY99" s="556"/>
      <c r="BZ99" s="556"/>
      <c r="CA99" s="556"/>
      <c r="CB99" s="556"/>
      <c r="CC99" s="556"/>
      <c r="CD99" s="556"/>
      <c r="CE99" s="573"/>
      <c r="CF99" s="556"/>
      <c r="CG99" s="556"/>
      <c r="CH99" s="556"/>
      <c r="CI99" s="573"/>
      <c r="CJ99" s="556"/>
      <c r="CK99" s="556"/>
      <c r="CL99" s="556"/>
      <c r="CM99" s="556"/>
      <c r="CN99" s="556"/>
      <c r="CO99" s="556"/>
      <c r="CP99" s="556"/>
      <c r="CQ99" s="556"/>
      <c r="CR99" s="556"/>
      <c r="CS99" s="556"/>
      <c r="CT99" s="556"/>
      <c r="CU99" s="556"/>
      <c r="CV99" s="573"/>
      <c r="CW99" s="556"/>
      <c r="CX99" s="556"/>
      <c r="CY99" s="556"/>
      <c r="CZ99" s="573"/>
      <c r="DA99" s="556"/>
      <c r="DB99" s="556"/>
      <c r="DC99" s="556"/>
      <c r="DD99" s="556"/>
      <c r="DE99" s="556"/>
      <c r="DF99" s="556"/>
      <c r="DG99" s="556"/>
      <c r="DH99" s="556"/>
      <c r="DI99" s="556"/>
      <c r="DJ99" s="556"/>
      <c r="DK99" s="556"/>
      <c r="DL99" s="556"/>
      <c r="DM99" s="573"/>
      <c r="DN99" s="556"/>
      <c r="DO99" s="556"/>
      <c r="DP99" s="556"/>
      <c r="DQ99" s="573"/>
      <c r="DR99" s="556"/>
      <c r="DS99" s="556"/>
      <c r="DT99" s="556"/>
      <c r="DU99" s="556"/>
      <c r="DV99" s="556"/>
      <c r="DW99" s="556"/>
      <c r="DX99" s="556"/>
      <c r="DY99" s="556"/>
      <c r="DZ99" s="556"/>
      <c r="EA99" s="556"/>
      <c r="EB99" s="556"/>
      <c r="EC99" s="556"/>
      <c r="ED99" s="573"/>
      <c r="EE99" s="556"/>
      <c r="EF99" s="556"/>
      <c r="EG99" s="556"/>
      <c r="EH99" s="573"/>
      <c r="EI99" s="556"/>
      <c r="EJ99" s="574"/>
      <c r="EK99" s="574"/>
      <c r="EL99" s="12"/>
      <c r="EM99" s="12"/>
      <c r="EN99" s="12"/>
      <c r="EO99" s="12"/>
      <c r="EP99" s="12"/>
      <c r="EQ99" s="12"/>
      <c r="ER99" s="12"/>
      <c r="ES99" s="12"/>
      <c r="ET99" s="12"/>
      <c r="EU99" s="12"/>
    </row>
    <row r="100">
      <c r="A100" s="12"/>
      <c r="B100" s="12"/>
      <c r="C100" s="12"/>
      <c r="D100" s="556"/>
      <c r="E100" s="556"/>
      <c r="F100" s="556"/>
      <c r="G100" s="556"/>
      <c r="H100" s="556"/>
      <c r="I100" s="556"/>
      <c r="J100" s="556"/>
      <c r="K100" s="556"/>
      <c r="L100" s="556"/>
      <c r="M100" s="556"/>
      <c r="N100" s="556"/>
      <c r="O100" s="556"/>
      <c r="P100" s="556"/>
      <c r="Q100" s="556"/>
      <c r="R100" s="556"/>
      <c r="S100" s="556"/>
      <c r="T100" s="556"/>
      <c r="U100" s="556"/>
      <c r="V100" s="556"/>
      <c r="W100" s="556"/>
      <c r="X100" s="556"/>
      <c r="Y100" s="556"/>
      <c r="Z100" s="556"/>
      <c r="AA100" s="556"/>
      <c r="AB100" s="556"/>
      <c r="AC100" s="556"/>
      <c r="AD100" s="556"/>
      <c r="AE100" s="556"/>
      <c r="AF100" s="556"/>
      <c r="AG100" s="556"/>
      <c r="AH100" s="556"/>
      <c r="AI100" s="556"/>
      <c r="AJ100" s="556"/>
      <c r="AK100" s="556"/>
      <c r="AL100" s="556"/>
      <c r="AM100" s="556"/>
      <c r="AN100" s="556"/>
      <c r="AO100" s="556"/>
      <c r="AP100" s="556"/>
      <c r="AQ100" s="556"/>
      <c r="AR100" s="556"/>
      <c r="AS100" s="556"/>
      <c r="AT100" s="556"/>
      <c r="AU100" s="556"/>
      <c r="AV100" s="556"/>
      <c r="AW100" s="556"/>
      <c r="AX100" s="556"/>
      <c r="AY100" s="556"/>
      <c r="AZ100" s="556"/>
      <c r="BA100" s="556"/>
      <c r="BB100" s="556"/>
      <c r="BC100" s="556"/>
      <c r="BD100" s="556"/>
      <c r="BE100" s="556"/>
      <c r="BF100" s="556"/>
      <c r="BG100" s="556"/>
      <c r="BH100" s="556"/>
      <c r="BI100" s="556"/>
      <c r="BJ100" s="556"/>
      <c r="BK100" s="556"/>
      <c r="BL100" s="556"/>
      <c r="BM100" s="556"/>
      <c r="BN100" s="573"/>
      <c r="BO100" s="556"/>
      <c r="BP100" s="556"/>
      <c r="BQ100" s="556"/>
      <c r="BR100" s="573"/>
      <c r="BS100" s="556"/>
      <c r="BT100" s="556"/>
      <c r="BU100" s="556"/>
      <c r="BV100" s="556"/>
      <c r="BW100" s="556"/>
      <c r="BX100" s="556"/>
      <c r="BY100" s="556"/>
      <c r="BZ100" s="556"/>
      <c r="CA100" s="556"/>
      <c r="CB100" s="556"/>
      <c r="CC100" s="556"/>
      <c r="CD100" s="556"/>
      <c r="CE100" s="573"/>
      <c r="CF100" s="556"/>
      <c r="CG100" s="556"/>
      <c r="CH100" s="556"/>
      <c r="CI100" s="573"/>
      <c r="CJ100" s="556"/>
      <c r="CK100" s="556"/>
      <c r="CL100" s="556"/>
      <c r="CM100" s="556"/>
      <c r="CN100" s="556"/>
      <c r="CO100" s="556"/>
      <c r="CP100" s="556"/>
      <c r="CQ100" s="556"/>
      <c r="CR100" s="556"/>
      <c r="CS100" s="556"/>
      <c r="CT100" s="556"/>
      <c r="CU100" s="556"/>
      <c r="CV100" s="573"/>
      <c r="CW100" s="556"/>
      <c r="CX100" s="556"/>
      <c r="CY100" s="556"/>
      <c r="CZ100" s="573"/>
      <c r="DA100" s="556"/>
      <c r="DB100" s="556"/>
      <c r="DC100" s="556"/>
      <c r="DD100" s="556"/>
      <c r="DE100" s="556"/>
      <c r="DF100" s="556"/>
      <c r="DG100" s="556"/>
      <c r="DH100" s="556"/>
      <c r="DI100" s="556"/>
      <c r="DJ100" s="556"/>
      <c r="DK100" s="556"/>
      <c r="DL100" s="556"/>
      <c r="DM100" s="573"/>
      <c r="DN100" s="556"/>
      <c r="DO100" s="556"/>
      <c r="DP100" s="556"/>
      <c r="DQ100" s="573"/>
      <c r="DR100" s="556"/>
      <c r="DS100" s="556"/>
      <c r="DT100" s="556"/>
      <c r="DU100" s="556"/>
      <c r="DV100" s="556"/>
      <c r="DW100" s="556"/>
      <c r="DX100" s="556"/>
      <c r="DY100" s="556"/>
      <c r="DZ100" s="556"/>
      <c r="EA100" s="556"/>
      <c r="EB100" s="556"/>
      <c r="EC100" s="556"/>
      <c r="ED100" s="573"/>
      <c r="EE100" s="556"/>
      <c r="EF100" s="556"/>
      <c r="EG100" s="556"/>
      <c r="EH100" s="573"/>
      <c r="EI100" s="556"/>
      <c r="EJ100" s="574"/>
      <c r="EK100" s="574"/>
      <c r="EL100" s="12"/>
      <c r="EM100" s="12"/>
      <c r="EN100" s="12"/>
      <c r="EO100" s="12"/>
      <c r="EP100" s="12"/>
      <c r="EQ100" s="12"/>
      <c r="ER100" s="12"/>
      <c r="ES100" s="12"/>
      <c r="ET100" s="12"/>
      <c r="EU100" s="12"/>
    </row>
    <row r="101">
      <c r="A101" s="12"/>
      <c r="B101" s="12"/>
      <c r="C101" s="12"/>
      <c r="D101" s="556"/>
      <c r="E101" s="556"/>
      <c r="F101" s="556"/>
      <c r="G101" s="556"/>
      <c r="H101" s="556"/>
      <c r="I101" s="556"/>
      <c r="J101" s="556"/>
      <c r="K101" s="556"/>
      <c r="L101" s="556"/>
      <c r="M101" s="556"/>
      <c r="N101" s="556"/>
      <c r="O101" s="556"/>
      <c r="P101" s="556"/>
      <c r="Q101" s="556"/>
      <c r="R101" s="556"/>
      <c r="S101" s="556"/>
      <c r="T101" s="556"/>
      <c r="U101" s="556"/>
      <c r="V101" s="556"/>
      <c r="W101" s="556"/>
      <c r="X101" s="556"/>
      <c r="Y101" s="556"/>
      <c r="Z101" s="556"/>
      <c r="AA101" s="556"/>
      <c r="AB101" s="556"/>
      <c r="AC101" s="556"/>
      <c r="AD101" s="556"/>
      <c r="AE101" s="556"/>
      <c r="AF101" s="556"/>
      <c r="AG101" s="556"/>
      <c r="AH101" s="556"/>
      <c r="AI101" s="556"/>
      <c r="AJ101" s="556"/>
      <c r="AK101" s="556"/>
      <c r="AL101" s="556"/>
      <c r="AM101" s="556"/>
      <c r="AN101" s="556"/>
      <c r="AO101" s="556"/>
      <c r="AP101" s="556"/>
      <c r="AQ101" s="556"/>
      <c r="AR101" s="556"/>
      <c r="AS101" s="556"/>
      <c r="AT101" s="556"/>
      <c r="AU101" s="556"/>
      <c r="AV101" s="556"/>
      <c r="AW101" s="556"/>
      <c r="AX101" s="556"/>
      <c r="AY101" s="556"/>
      <c r="AZ101" s="556"/>
      <c r="BA101" s="556"/>
      <c r="BB101" s="556"/>
      <c r="BC101" s="556"/>
      <c r="BD101" s="556"/>
      <c r="BE101" s="556"/>
      <c r="BF101" s="556"/>
      <c r="BG101" s="556"/>
      <c r="BH101" s="556"/>
      <c r="BI101" s="556"/>
      <c r="BJ101" s="556"/>
      <c r="BK101" s="556"/>
      <c r="BL101" s="556"/>
      <c r="BM101" s="556"/>
      <c r="BN101" s="573"/>
      <c r="BO101" s="556"/>
      <c r="BP101" s="556"/>
      <c r="BQ101" s="556"/>
      <c r="BR101" s="573"/>
      <c r="BS101" s="556"/>
      <c r="BT101" s="556"/>
      <c r="BU101" s="556"/>
      <c r="BV101" s="556"/>
      <c r="BW101" s="556"/>
      <c r="BX101" s="556"/>
      <c r="BY101" s="556"/>
      <c r="BZ101" s="556"/>
      <c r="CA101" s="556"/>
      <c r="CB101" s="556"/>
      <c r="CC101" s="556"/>
      <c r="CD101" s="556"/>
      <c r="CE101" s="573"/>
      <c r="CF101" s="556"/>
      <c r="CG101" s="556"/>
      <c r="CH101" s="556"/>
      <c r="CI101" s="573"/>
      <c r="CJ101" s="556"/>
      <c r="CK101" s="556"/>
      <c r="CL101" s="556"/>
      <c r="CM101" s="556"/>
      <c r="CN101" s="556"/>
      <c r="CO101" s="556"/>
      <c r="CP101" s="556"/>
      <c r="CQ101" s="556"/>
      <c r="CR101" s="556"/>
      <c r="CS101" s="556"/>
      <c r="CT101" s="556"/>
      <c r="CU101" s="556"/>
      <c r="CV101" s="573"/>
      <c r="CW101" s="556"/>
      <c r="CX101" s="556"/>
      <c r="CY101" s="556"/>
      <c r="CZ101" s="573"/>
      <c r="DA101" s="556"/>
      <c r="DB101" s="556"/>
      <c r="DC101" s="556"/>
      <c r="DD101" s="556"/>
      <c r="DE101" s="556"/>
      <c r="DF101" s="556"/>
      <c r="DG101" s="556"/>
      <c r="DH101" s="556"/>
      <c r="DI101" s="556"/>
      <c r="DJ101" s="556"/>
      <c r="DK101" s="556"/>
      <c r="DL101" s="556"/>
      <c r="DM101" s="573"/>
      <c r="DN101" s="556"/>
      <c r="DO101" s="556"/>
      <c r="DP101" s="556"/>
      <c r="DQ101" s="573"/>
      <c r="DR101" s="556"/>
      <c r="DS101" s="556"/>
      <c r="DT101" s="556"/>
      <c r="DU101" s="556"/>
      <c r="DV101" s="556"/>
      <c r="DW101" s="556"/>
      <c r="DX101" s="556"/>
      <c r="DY101" s="556"/>
      <c r="DZ101" s="556"/>
      <c r="EA101" s="556"/>
      <c r="EB101" s="556"/>
      <c r="EC101" s="556"/>
      <c r="ED101" s="573"/>
      <c r="EE101" s="556"/>
      <c r="EF101" s="556"/>
      <c r="EG101" s="556"/>
      <c r="EH101" s="573"/>
      <c r="EI101" s="556"/>
      <c r="EJ101" s="574"/>
      <c r="EK101" s="574"/>
      <c r="EL101" s="12"/>
      <c r="EM101" s="12"/>
      <c r="EN101" s="12"/>
      <c r="EO101" s="12"/>
      <c r="EP101" s="12"/>
      <c r="EQ101" s="12"/>
      <c r="ER101" s="12"/>
      <c r="ES101" s="12"/>
      <c r="ET101" s="12"/>
      <c r="EU101" s="12"/>
    </row>
    <row r="102">
      <c r="A102" s="12"/>
      <c r="B102" s="12"/>
      <c r="C102" s="12"/>
      <c r="D102" s="556"/>
      <c r="E102" s="556"/>
      <c r="F102" s="556"/>
      <c r="G102" s="556"/>
      <c r="H102" s="556"/>
      <c r="I102" s="556"/>
      <c r="J102" s="556"/>
      <c r="K102" s="556"/>
      <c r="L102" s="556"/>
      <c r="M102" s="556"/>
      <c r="N102" s="556"/>
      <c r="O102" s="556"/>
      <c r="P102" s="556"/>
      <c r="Q102" s="556"/>
      <c r="R102" s="556"/>
      <c r="S102" s="556"/>
      <c r="T102" s="556"/>
      <c r="U102" s="556"/>
      <c r="V102" s="556"/>
      <c r="W102" s="556"/>
      <c r="X102" s="556"/>
      <c r="Y102" s="556"/>
      <c r="Z102" s="556"/>
      <c r="AA102" s="556"/>
      <c r="AB102" s="556"/>
      <c r="AC102" s="556"/>
      <c r="AD102" s="556"/>
      <c r="AE102" s="556"/>
      <c r="AF102" s="556"/>
      <c r="AG102" s="556"/>
      <c r="AH102" s="556"/>
      <c r="AI102" s="556"/>
      <c r="AJ102" s="556"/>
      <c r="AK102" s="556"/>
      <c r="AL102" s="556"/>
      <c r="AM102" s="556"/>
      <c r="AN102" s="556"/>
      <c r="AO102" s="556"/>
      <c r="AP102" s="556"/>
      <c r="AQ102" s="556"/>
      <c r="AR102" s="556"/>
      <c r="AS102" s="556"/>
      <c r="AT102" s="556"/>
      <c r="AU102" s="556"/>
      <c r="AV102" s="556"/>
      <c r="AW102" s="556"/>
      <c r="AX102" s="556"/>
      <c r="AY102" s="556"/>
      <c r="AZ102" s="556"/>
      <c r="BA102" s="556"/>
      <c r="BB102" s="556"/>
      <c r="BC102" s="556"/>
      <c r="BD102" s="556"/>
      <c r="BE102" s="556"/>
      <c r="BF102" s="556"/>
      <c r="BG102" s="556"/>
      <c r="BH102" s="556"/>
      <c r="BI102" s="556"/>
      <c r="BJ102" s="556"/>
      <c r="BK102" s="556"/>
      <c r="BL102" s="556"/>
      <c r="BM102" s="556"/>
      <c r="BN102" s="573"/>
      <c r="BO102" s="556"/>
      <c r="BP102" s="556"/>
      <c r="BQ102" s="556"/>
      <c r="BR102" s="573"/>
      <c r="BS102" s="556"/>
      <c r="BT102" s="556"/>
      <c r="BU102" s="556"/>
      <c r="BV102" s="556"/>
      <c r="BW102" s="556"/>
      <c r="BX102" s="556"/>
      <c r="BY102" s="556"/>
      <c r="BZ102" s="556"/>
      <c r="CA102" s="556"/>
      <c r="CB102" s="556"/>
      <c r="CC102" s="556"/>
      <c r="CD102" s="556"/>
      <c r="CE102" s="573"/>
      <c r="CF102" s="556"/>
      <c r="CG102" s="556"/>
      <c r="CH102" s="556"/>
      <c r="CI102" s="573"/>
      <c r="CJ102" s="556"/>
      <c r="CK102" s="556"/>
      <c r="CL102" s="556"/>
      <c r="CM102" s="556"/>
      <c r="CN102" s="556"/>
      <c r="CO102" s="556"/>
      <c r="CP102" s="556"/>
      <c r="CQ102" s="556"/>
      <c r="CR102" s="556"/>
      <c r="CS102" s="556"/>
      <c r="CT102" s="556"/>
      <c r="CU102" s="556"/>
      <c r="CV102" s="573"/>
      <c r="CW102" s="556"/>
      <c r="CX102" s="556"/>
      <c r="CY102" s="556"/>
      <c r="CZ102" s="573"/>
      <c r="DA102" s="556"/>
      <c r="DB102" s="556"/>
      <c r="DC102" s="556"/>
      <c r="DD102" s="556"/>
      <c r="DE102" s="556"/>
      <c r="DF102" s="556"/>
      <c r="DG102" s="556"/>
      <c r="DH102" s="556"/>
      <c r="DI102" s="556"/>
      <c r="DJ102" s="556"/>
      <c r="DK102" s="556"/>
      <c r="DL102" s="556"/>
      <c r="DM102" s="573"/>
      <c r="DN102" s="556"/>
      <c r="DO102" s="556"/>
      <c r="DP102" s="556"/>
      <c r="DQ102" s="573"/>
      <c r="DR102" s="556"/>
      <c r="DS102" s="556"/>
      <c r="DT102" s="556"/>
      <c r="DU102" s="556"/>
      <c r="DV102" s="556"/>
      <c r="DW102" s="556"/>
      <c r="DX102" s="556"/>
      <c r="DY102" s="556"/>
      <c r="DZ102" s="556"/>
      <c r="EA102" s="556"/>
      <c r="EB102" s="556"/>
      <c r="EC102" s="556"/>
      <c r="ED102" s="573"/>
      <c r="EE102" s="556"/>
      <c r="EF102" s="556"/>
      <c r="EG102" s="556"/>
      <c r="EH102" s="573"/>
      <c r="EI102" s="556"/>
      <c r="EJ102" s="574"/>
      <c r="EK102" s="574"/>
      <c r="EL102" s="12"/>
      <c r="EM102" s="12"/>
      <c r="EN102" s="12"/>
      <c r="EO102" s="12"/>
      <c r="EP102" s="12"/>
      <c r="EQ102" s="12"/>
      <c r="ER102" s="12"/>
      <c r="ES102" s="12"/>
      <c r="ET102" s="12"/>
      <c r="EU102" s="12"/>
    </row>
    <row r="103">
      <c r="A103" s="12"/>
      <c r="B103" s="12"/>
      <c r="C103" s="12"/>
      <c r="D103" s="556"/>
      <c r="E103" s="556"/>
      <c r="F103" s="556"/>
      <c r="G103" s="556"/>
      <c r="H103" s="556"/>
      <c r="I103" s="556"/>
      <c r="J103" s="556"/>
      <c r="K103" s="556"/>
      <c r="L103" s="556"/>
      <c r="M103" s="556"/>
      <c r="N103" s="556"/>
      <c r="O103" s="556"/>
      <c r="P103" s="556"/>
      <c r="Q103" s="556"/>
      <c r="R103" s="556"/>
      <c r="S103" s="556"/>
      <c r="T103" s="556"/>
      <c r="U103" s="556"/>
      <c r="V103" s="556"/>
      <c r="W103" s="556"/>
      <c r="X103" s="556"/>
      <c r="Y103" s="556"/>
      <c r="Z103" s="556"/>
      <c r="AA103" s="556"/>
      <c r="AB103" s="556"/>
      <c r="AC103" s="556"/>
      <c r="AD103" s="556"/>
      <c r="AE103" s="556"/>
      <c r="AF103" s="556"/>
      <c r="AG103" s="556"/>
      <c r="AH103" s="556"/>
      <c r="AI103" s="556"/>
      <c r="AJ103" s="556"/>
      <c r="AK103" s="556"/>
      <c r="AL103" s="556"/>
      <c r="AM103" s="556"/>
      <c r="AN103" s="556"/>
      <c r="AO103" s="556"/>
      <c r="AP103" s="556"/>
      <c r="AQ103" s="556"/>
      <c r="AR103" s="556"/>
      <c r="AS103" s="556"/>
      <c r="AT103" s="556"/>
      <c r="AU103" s="556"/>
      <c r="AV103" s="556"/>
      <c r="AW103" s="556"/>
      <c r="AX103" s="556"/>
      <c r="AY103" s="556"/>
      <c r="AZ103" s="556"/>
      <c r="BA103" s="556"/>
      <c r="BB103" s="556"/>
      <c r="BC103" s="556"/>
      <c r="BD103" s="556"/>
      <c r="BE103" s="556"/>
      <c r="BF103" s="556"/>
      <c r="BG103" s="556"/>
      <c r="BH103" s="556"/>
      <c r="BI103" s="556"/>
      <c r="BJ103" s="556"/>
      <c r="BK103" s="556"/>
      <c r="BL103" s="556"/>
      <c r="BM103" s="556"/>
      <c r="BN103" s="573"/>
      <c r="BO103" s="556"/>
      <c r="BP103" s="556"/>
      <c r="BQ103" s="556"/>
      <c r="BR103" s="573"/>
      <c r="BS103" s="556"/>
      <c r="BT103" s="556"/>
      <c r="BU103" s="556"/>
      <c r="BV103" s="556"/>
      <c r="BW103" s="556"/>
      <c r="BX103" s="556"/>
      <c r="BY103" s="556"/>
      <c r="BZ103" s="556"/>
      <c r="CA103" s="556"/>
      <c r="CB103" s="556"/>
      <c r="CC103" s="556"/>
      <c r="CD103" s="556"/>
      <c r="CE103" s="573"/>
      <c r="CF103" s="556"/>
      <c r="CG103" s="556"/>
      <c r="CH103" s="556"/>
      <c r="CI103" s="573"/>
      <c r="CJ103" s="556"/>
      <c r="CK103" s="556"/>
      <c r="CL103" s="556"/>
      <c r="CM103" s="556"/>
      <c r="CN103" s="556"/>
      <c r="CO103" s="556"/>
      <c r="CP103" s="556"/>
      <c r="CQ103" s="556"/>
      <c r="CR103" s="556"/>
      <c r="CS103" s="556"/>
      <c r="CT103" s="556"/>
      <c r="CU103" s="556"/>
      <c r="CV103" s="573"/>
      <c r="CW103" s="556"/>
      <c r="CX103" s="556"/>
      <c r="CY103" s="556"/>
      <c r="CZ103" s="573"/>
      <c r="DA103" s="556"/>
      <c r="DB103" s="556"/>
      <c r="DC103" s="556"/>
      <c r="DD103" s="556"/>
      <c r="DE103" s="556"/>
      <c r="DF103" s="556"/>
      <c r="DG103" s="556"/>
      <c r="DH103" s="556"/>
      <c r="DI103" s="556"/>
      <c r="DJ103" s="556"/>
      <c r="DK103" s="556"/>
      <c r="DL103" s="556"/>
      <c r="DM103" s="573"/>
      <c r="DN103" s="556"/>
      <c r="DO103" s="556"/>
      <c r="DP103" s="556"/>
      <c r="DQ103" s="573"/>
      <c r="DR103" s="556"/>
      <c r="DS103" s="556"/>
      <c r="DT103" s="556"/>
      <c r="DU103" s="556"/>
      <c r="DV103" s="556"/>
      <c r="DW103" s="556"/>
      <c r="DX103" s="556"/>
      <c r="DY103" s="556"/>
      <c r="DZ103" s="556"/>
      <c r="EA103" s="556"/>
      <c r="EB103" s="556"/>
      <c r="EC103" s="556"/>
      <c r="ED103" s="573"/>
      <c r="EE103" s="556"/>
      <c r="EF103" s="556"/>
      <c r="EG103" s="556"/>
      <c r="EH103" s="573"/>
      <c r="EI103" s="556"/>
      <c r="EJ103" s="574"/>
      <c r="EK103" s="574"/>
      <c r="EL103" s="12"/>
      <c r="EM103" s="12"/>
      <c r="EN103" s="12"/>
      <c r="EO103" s="12"/>
      <c r="EP103" s="12"/>
      <c r="EQ103" s="12"/>
      <c r="ER103" s="12"/>
      <c r="ES103" s="12"/>
      <c r="ET103" s="12"/>
      <c r="EU103" s="12"/>
    </row>
    <row r="104">
      <c r="A104" s="12"/>
      <c r="B104" s="12"/>
      <c r="C104" s="12"/>
      <c r="D104" s="556"/>
      <c r="E104" s="556"/>
      <c r="F104" s="556"/>
      <c r="G104" s="556"/>
      <c r="H104" s="556"/>
      <c r="I104" s="556"/>
      <c r="J104" s="556"/>
      <c r="K104" s="556"/>
      <c r="L104" s="556"/>
      <c r="M104" s="556"/>
      <c r="N104" s="556"/>
      <c r="O104" s="556"/>
      <c r="P104" s="556"/>
      <c r="Q104" s="556"/>
      <c r="R104" s="556"/>
      <c r="S104" s="556"/>
      <c r="T104" s="556"/>
      <c r="U104" s="556"/>
      <c r="V104" s="556"/>
      <c r="W104" s="556"/>
      <c r="X104" s="556"/>
      <c r="Y104" s="556"/>
      <c r="Z104" s="556"/>
      <c r="AA104" s="556"/>
      <c r="AB104" s="556"/>
      <c r="AC104" s="556"/>
      <c r="AD104" s="556"/>
      <c r="AE104" s="556"/>
      <c r="AF104" s="556"/>
      <c r="AG104" s="556"/>
      <c r="AH104" s="556"/>
      <c r="AI104" s="556"/>
      <c r="AJ104" s="556"/>
      <c r="AK104" s="556"/>
      <c r="AL104" s="556"/>
      <c r="AM104" s="556"/>
      <c r="AN104" s="556"/>
      <c r="AO104" s="556"/>
      <c r="AP104" s="556"/>
      <c r="AQ104" s="556"/>
      <c r="AR104" s="556"/>
      <c r="AS104" s="556"/>
      <c r="AT104" s="556"/>
      <c r="AU104" s="556"/>
      <c r="AV104" s="556"/>
      <c r="AW104" s="556"/>
      <c r="AX104" s="556"/>
      <c r="AY104" s="556"/>
      <c r="AZ104" s="556"/>
      <c r="BA104" s="556"/>
      <c r="BB104" s="556"/>
      <c r="BC104" s="556"/>
      <c r="BD104" s="556"/>
      <c r="BE104" s="556"/>
      <c r="BF104" s="556"/>
      <c r="BG104" s="556"/>
      <c r="BH104" s="556"/>
      <c r="BI104" s="556"/>
      <c r="BJ104" s="556"/>
      <c r="BK104" s="556"/>
      <c r="BL104" s="556"/>
      <c r="BM104" s="556"/>
      <c r="BN104" s="573"/>
      <c r="BO104" s="556"/>
      <c r="BP104" s="556"/>
      <c r="BQ104" s="556"/>
      <c r="BR104" s="573"/>
      <c r="BS104" s="556"/>
      <c r="BT104" s="556"/>
      <c r="BU104" s="556"/>
      <c r="BV104" s="556"/>
      <c r="BW104" s="556"/>
      <c r="BX104" s="556"/>
      <c r="BY104" s="556"/>
      <c r="BZ104" s="556"/>
      <c r="CA104" s="556"/>
      <c r="CB104" s="556"/>
      <c r="CC104" s="556"/>
      <c r="CD104" s="556"/>
      <c r="CE104" s="573"/>
      <c r="CF104" s="556"/>
      <c r="CG104" s="556"/>
      <c r="CH104" s="556"/>
      <c r="CI104" s="573"/>
      <c r="CJ104" s="556"/>
      <c r="CK104" s="556"/>
      <c r="CL104" s="556"/>
      <c r="CM104" s="556"/>
      <c r="CN104" s="556"/>
      <c r="CO104" s="556"/>
      <c r="CP104" s="556"/>
      <c r="CQ104" s="556"/>
      <c r="CR104" s="556"/>
      <c r="CS104" s="556"/>
      <c r="CT104" s="556"/>
      <c r="CU104" s="556"/>
      <c r="CV104" s="573"/>
      <c r="CW104" s="556"/>
      <c r="CX104" s="556"/>
      <c r="CY104" s="556"/>
      <c r="CZ104" s="573"/>
      <c r="DA104" s="556"/>
      <c r="DB104" s="556"/>
      <c r="DC104" s="556"/>
      <c r="DD104" s="556"/>
      <c r="DE104" s="556"/>
      <c r="DF104" s="556"/>
      <c r="DG104" s="556"/>
      <c r="DH104" s="556"/>
      <c r="DI104" s="556"/>
      <c r="DJ104" s="556"/>
      <c r="DK104" s="556"/>
      <c r="DL104" s="556"/>
      <c r="DM104" s="573"/>
      <c r="DN104" s="556"/>
      <c r="DO104" s="556"/>
      <c r="DP104" s="556"/>
      <c r="DQ104" s="573"/>
      <c r="DR104" s="556"/>
      <c r="DS104" s="556"/>
      <c r="DT104" s="556"/>
      <c r="DU104" s="556"/>
      <c r="DV104" s="556"/>
      <c r="DW104" s="556"/>
      <c r="DX104" s="556"/>
      <c r="DY104" s="556"/>
      <c r="DZ104" s="556"/>
      <c r="EA104" s="556"/>
      <c r="EB104" s="556"/>
      <c r="EC104" s="556"/>
      <c r="ED104" s="573"/>
      <c r="EE104" s="556"/>
      <c r="EF104" s="556"/>
      <c r="EG104" s="556"/>
      <c r="EH104" s="573"/>
      <c r="EI104" s="556"/>
      <c r="EJ104" s="574"/>
      <c r="EK104" s="574"/>
      <c r="EL104" s="12"/>
      <c r="EM104" s="12"/>
      <c r="EN104" s="12"/>
      <c r="EO104" s="12"/>
      <c r="EP104" s="12"/>
      <c r="EQ104" s="12"/>
      <c r="ER104" s="12"/>
      <c r="ES104" s="12"/>
      <c r="ET104" s="12"/>
      <c r="EU104" s="12"/>
    </row>
    <row r="105">
      <c r="A105" s="12"/>
      <c r="B105" s="12"/>
      <c r="C105" s="12"/>
      <c r="D105" s="574"/>
      <c r="E105" s="574"/>
      <c r="F105" s="574"/>
      <c r="G105" s="574"/>
      <c r="H105" s="574"/>
      <c r="I105" s="574"/>
      <c r="J105" s="574"/>
      <c r="K105" s="574"/>
      <c r="L105" s="574"/>
      <c r="M105" s="574"/>
      <c r="N105" s="574"/>
      <c r="O105" s="574"/>
      <c r="P105" s="574"/>
      <c r="Q105" s="574"/>
      <c r="R105" s="574"/>
      <c r="S105" s="574"/>
      <c r="T105" s="574"/>
      <c r="U105" s="574"/>
      <c r="V105" s="574"/>
      <c r="W105" s="574"/>
      <c r="X105" s="574"/>
      <c r="Y105" s="574"/>
      <c r="Z105" s="574"/>
      <c r="AA105" s="574"/>
      <c r="AB105" s="574"/>
      <c r="AC105" s="574"/>
      <c r="AD105" s="574"/>
      <c r="AE105" s="574"/>
      <c r="AF105" s="574"/>
      <c r="AG105" s="574"/>
      <c r="AH105" s="574"/>
      <c r="AI105" s="574"/>
      <c r="AJ105" s="574"/>
      <c r="AK105" s="574"/>
      <c r="AL105" s="574"/>
      <c r="AM105" s="574"/>
      <c r="AN105" s="574"/>
      <c r="AO105" s="574"/>
      <c r="AP105" s="574"/>
      <c r="AQ105" s="574"/>
      <c r="AR105" s="574"/>
      <c r="AS105" s="574"/>
      <c r="AT105" s="574"/>
      <c r="AU105" s="574"/>
      <c r="AV105" s="574"/>
      <c r="AW105" s="574"/>
      <c r="AX105" s="574"/>
      <c r="AY105" s="574"/>
      <c r="AZ105" s="574"/>
      <c r="BA105" s="574"/>
      <c r="BB105" s="574"/>
      <c r="BC105" s="574"/>
      <c r="BD105" s="574"/>
      <c r="BE105" s="574"/>
      <c r="BF105" s="574"/>
      <c r="BG105" s="574"/>
      <c r="BH105" s="574"/>
      <c r="BI105" s="574"/>
      <c r="BJ105" s="574"/>
      <c r="BK105" s="574"/>
      <c r="BL105" s="574"/>
      <c r="BM105" s="574"/>
      <c r="BN105" s="574"/>
      <c r="BO105" s="574"/>
      <c r="BP105" s="574"/>
      <c r="BQ105" s="574"/>
      <c r="BR105" s="574"/>
      <c r="BS105" s="574"/>
      <c r="BT105" s="574"/>
      <c r="BU105" s="574"/>
      <c r="BV105" s="574"/>
      <c r="BW105" s="574"/>
      <c r="BX105" s="574"/>
      <c r="BY105" s="574"/>
      <c r="BZ105" s="574"/>
      <c r="CA105" s="574"/>
      <c r="CB105" s="574"/>
      <c r="CC105" s="574"/>
      <c r="CD105" s="574"/>
      <c r="CE105" s="574"/>
      <c r="CF105" s="574"/>
      <c r="CG105" s="574"/>
      <c r="CH105" s="574"/>
      <c r="CI105" s="574"/>
      <c r="CJ105" s="574"/>
      <c r="CK105" s="574"/>
      <c r="CL105" s="574"/>
      <c r="CM105" s="574"/>
      <c r="CN105" s="574"/>
      <c r="CO105" s="574"/>
      <c r="CP105" s="574"/>
      <c r="CQ105" s="574"/>
      <c r="CR105" s="574"/>
      <c r="CS105" s="574"/>
      <c r="CT105" s="574"/>
      <c r="CU105" s="574"/>
      <c r="CV105" s="574"/>
      <c r="CW105" s="574"/>
      <c r="CX105" s="574"/>
      <c r="CY105" s="574"/>
      <c r="CZ105" s="574"/>
      <c r="DA105" s="574"/>
      <c r="DB105" s="574"/>
      <c r="DC105" s="574"/>
      <c r="DD105" s="574"/>
      <c r="DE105" s="574"/>
      <c r="DF105" s="574"/>
      <c r="DG105" s="574"/>
      <c r="DH105" s="574"/>
      <c r="DI105" s="574"/>
      <c r="DJ105" s="574"/>
      <c r="DK105" s="574"/>
      <c r="DL105" s="574"/>
      <c r="DM105" s="574"/>
      <c r="DN105" s="574"/>
      <c r="DO105" s="574"/>
      <c r="DP105" s="574"/>
      <c r="DQ105" s="574"/>
      <c r="DR105" s="574"/>
      <c r="DS105" s="574"/>
      <c r="DT105" s="574"/>
      <c r="DU105" s="574"/>
      <c r="DV105" s="574"/>
      <c r="DW105" s="574"/>
      <c r="DX105" s="574"/>
      <c r="DY105" s="574"/>
      <c r="DZ105" s="574"/>
      <c r="EA105" s="574"/>
      <c r="EB105" s="574"/>
      <c r="EC105" s="574"/>
      <c r="ED105" s="574"/>
      <c r="EE105" s="574"/>
      <c r="EF105" s="574"/>
      <c r="EG105" s="574"/>
      <c r="EH105" s="574"/>
      <c r="EI105" s="574"/>
      <c r="EJ105" s="574"/>
      <c r="EK105" s="574"/>
      <c r="EL105" s="12"/>
      <c r="EM105" s="12"/>
      <c r="EN105" s="12"/>
      <c r="EO105" s="12"/>
      <c r="EP105" s="12"/>
      <c r="EQ105" s="12"/>
      <c r="ER105" s="12"/>
      <c r="ES105" s="12"/>
      <c r="ET105" s="12"/>
      <c r="EU105" s="12"/>
    </row>
    <row r="106">
      <c r="A106" s="12"/>
      <c r="B106" s="12"/>
      <c r="C106" s="12"/>
      <c r="D106" s="574"/>
      <c r="E106" s="574"/>
      <c r="F106" s="574"/>
      <c r="G106" s="574"/>
      <c r="H106" s="574"/>
      <c r="I106" s="574"/>
      <c r="J106" s="574"/>
      <c r="K106" s="574"/>
      <c r="L106" s="574"/>
      <c r="M106" s="574"/>
      <c r="N106" s="574"/>
      <c r="O106" s="574"/>
      <c r="P106" s="574"/>
      <c r="Q106" s="574"/>
      <c r="R106" s="574"/>
      <c r="S106" s="574"/>
      <c r="T106" s="574"/>
      <c r="U106" s="574"/>
      <c r="V106" s="574"/>
      <c r="W106" s="574"/>
      <c r="X106" s="574"/>
      <c r="Y106" s="574"/>
      <c r="Z106" s="574"/>
      <c r="AA106" s="574"/>
      <c r="AB106" s="574"/>
      <c r="AC106" s="574"/>
      <c r="AD106" s="574"/>
      <c r="AE106" s="574"/>
      <c r="AF106" s="574"/>
      <c r="AG106" s="574"/>
      <c r="AH106" s="574"/>
      <c r="AI106" s="574"/>
      <c r="AJ106" s="574"/>
      <c r="AK106" s="574"/>
      <c r="AL106" s="574"/>
      <c r="AM106" s="574"/>
      <c r="AN106" s="574"/>
      <c r="AO106" s="574"/>
      <c r="AP106" s="574"/>
      <c r="AQ106" s="574"/>
      <c r="AR106" s="574"/>
      <c r="AS106" s="574"/>
      <c r="AT106" s="574"/>
      <c r="AU106" s="574"/>
      <c r="AV106" s="574"/>
      <c r="AW106" s="574"/>
      <c r="AX106" s="574"/>
      <c r="AY106" s="574"/>
      <c r="AZ106" s="574"/>
      <c r="BA106" s="574"/>
      <c r="BB106" s="574"/>
      <c r="BC106" s="574"/>
      <c r="BD106" s="574"/>
      <c r="BE106" s="574"/>
      <c r="BF106" s="574"/>
      <c r="BG106" s="574"/>
      <c r="BH106" s="574"/>
      <c r="BI106" s="574"/>
      <c r="BJ106" s="574"/>
      <c r="BK106" s="574"/>
      <c r="BL106" s="574"/>
      <c r="BM106" s="574"/>
      <c r="BN106" s="574"/>
      <c r="BO106" s="581"/>
      <c r="BP106" s="581"/>
      <c r="BQ106" s="581"/>
      <c r="BR106" s="581"/>
      <c r="BS106" s="581"/>
      <c r="BT106" s="574"/>
      <c r="BU106" s="574"/>
      <c r="BV106" s="574"/>
      <c r="BW106" s="574"/>
      <c r="BX106" s="574"/>
      <c r="BY106" s="574"/>
      <c r="BZ106" s="574"/>
      <c r="CA106" s="574"/>
      <c r="CB106" s="574"/>
      <c r="CC106" s="574"/>
      <c r="CD106" s="574"/>
      <c r="CE106" s="574"/>
      <c r="CF106" s="581"/>
      <c r="CG106" s="581"/>
      <c r="CH106" s="581"/>
      <c r="CI106" s="581"/>
      <c r="CJ106" s="581"/>
      <c r="CK106" s="574"/>
      <c r="CL106" s="574"/>
      <c r="CM106" s="574"/>
      <c r="CN106" s="574"/>
      <c r="CO106" s="574"/>
      <c r="CP106" s="574"/>
      <c r="CQ106" s="574"/>
      <c r="CR106" s="574"/>
      <c r="CS106" s="574"/>
      <c r="CT106" s="574"/>
      <c r="CU106" s="574"/>
      <c r="CV106" s="574"/>
      <c r="CW106" s="581"/>
      <c r="CX106" s="581"/>
      <c r="CY106" s="581"/>
      <c r="CZ106" s="581"/>
      <c r="DA106" s="581"/>
      <c r="DB106" s="574"/>
      <c r="DC106" s="574"/>
      <c r="DD106" s="574"/>
      <c r="DE106" s="574"/>
      <c r="DF106" s="574"/>
      <c r="DG106" s="574"/>
      <c r="DH106" s="574"/>
      <c r="DI106" s="574"/>
      <c r="DJ106" s="574"/>
      <c r="DK106" s="574"/>
      <c r="DL106" s="574"/>
      <c r="DM106" s="574"/>
      <c r="DN106" s="581"/>
      <c r="DO106" s="581"/>
      <c r="DP106" s="581"/>
      <c r="DQ106" s="581"/>
      <c r="DR106" s="581"/>
      <c r="DS106" s="574"/>
      <c r="DT106" s="574"/>
      <c r="DU106" s="574"/>
      <c r="DV106" s="574"/>
      <c r="DW106" s="574"/>
      <c r="DX106" s="574"/>
      <c r="DY106" s="574"/>
      <c r="DZ106" s="574"/>
      <c r="EA106" s="574"/>
      <c r="EB106" s="574"/>
      <c r="EC106" s="574"/>
      <c r="ED106" s="574"/>
      <c r="EE106" s="581"/>
      <c r="EF106" s="581"/>
      <c r="EG106" s="581"/>
      <c r="EH106" s="581"/>
      <c r="EI106" s="581"/>
      <c r="EJ106" s="574"/>
      <c r="EK106" s="574"/>
      <c r="EL106" s="12"/>
      <c r="EM106" s="12"/>
      <c r="EN106" s="12"/>
      <c r="EO106" s="12"/>
      <c r="EP106" s="12"/>
      <c r="EQ106" s="12"/>
      <c r="ER106" s="12"/>
      <c r="ES106" s="12"/>
      <c r="ET106" s="12"/>
      <c r="EU106" s="12"/>
    </row>
    <row r="107">
      <c r="A107" s="493"/>
      <c r="B107" s="493" t="s">
        <v>52</v>
      </c>
      <c r="C107" s="493"/>
      <c r="D107" s="583"/>
      <c r="E107" s="583"/>
      <c r="F107" s="583"/>
      <c r="G107" s="583"/>
      <c r="H107" s="583"/>
      <c r="I107" s="583"/>
      <c r="J107" s="583"/>
      <c r="K107" s="583"/>
      <c r="L107" s="583"/>
      <c r="M107" s="583"/>
      <c r="N107" s="583"/>
      <c r="O107" s="583"/>
      <c r="P107" s="583"/>
      <c r="Q107" s="583"/>
      <c r="R107" s="583"/>
      <c r="S107" s="583"/>
      <c r="T107" s="583"/>
      <c r="U107" s="583"/>
      <c r="V107" s="583"/>
      <c r="W107" s="583"/>
      <c r="X107" s="583"/>
      <c r="Y107" s="583"/>
      <c r="Z107" s="583"/>
      <c r="AA107" s="583"/>
      <c r="AB107" s="583"/>
      <c r="AC107" s="583"/>
      <c r="AD107" s="583"/>
      <c r="AE107" s="583"/>
      <c r="AF107" s="583"/>
      <c r="AG107" s="583"/>
      <c r="AH107" s="583"/>
      <c r="AI107" s="583"/>
      <c r="AJ107" s="583"/>
      <c r="AK107" s="583"/>
      <c r="AL107" s="583"/>
      <c r="AM107" s="583"/>
      <c r="AN107" s="583"/>
      <c r="AO107" s="583"/>
      <c r="AP107" s="583"/>
      <c r="AQ107" s="583"/>
      <c r="AR107" s="583"/>
      <c r="AS107" s="583"/>
      <c r="AT107" s="583"/>
      <c r="AU107" s="583"/>
      <c r="AV107" s="583"/>
      <c r="AW107" s="583"/>
      <c r="AX107" s="583"/>
      <c r="AY107" s="583"/>
      <c r="AZ107" s="583"/>
      <c r="BA107" s="583"/>
      <c r="BB107" s="583"/>
      <c r="BC107" s="584">
        <f t="shared" ref="BC107:BN107" si="197">SUM(BC91:BC106)</f>
        <v>0</v>
      </c>
      <c r="BD107" s="584">
        <f t="shared" si="197"/>
        <v>0</v>
      </c>
      <c r="BE107" s="584">
        <f t="shared" si="197"/>
        <v>0</v>
      </c>
      <c r="BF107" s="584">
        <f t="shared" si="197"/>
        <v>0</v>
      </c>
      <c r="BG107" s="584">
        <f t="shared" si="197"/>
        <v>0</v>
      </c>
      <c r="BH107" s="584">
        <f t="shared" si="197"/>
        <v>0</v>
      </c>
      <c r="BI107" s="584">
        <f t="shared" si="197"/>
        <v>0</v>
      </c>
      <c r="BJ107" s="584">
        <f t="shared" si="197"/>
        <v>0</v>
      </c>
      <c r="BK107" s="584">
        <f t="shared" si="197"/>
        <v>0</v>
      </c>
      <c r="BL107" s="584">
        <f t="shared" si="197"/>
        <v>0</v>
      </c>
      <c r="BM107" s="584">
        <f t="shared" si="197"/>
        <v>0</v>
      </c>
      <c r="BN107" s="585">
        <f t="shared" si="197"/>
        <v>0</v>
      </c>
      <c r="BO107" s="586">
        <f>SUM(BC107:BE107)</f>
        <v>0</v>
      </c>
      <c r="BP107" s="586">
        <f>SUM(BF107:BH107)</f>
        <v>0</v>
      </c>
      <c r="BQ107" s="586">
        <f>SUM(BI107:BK107)</f>
        <v>0</v>
      </c>
      <c r="BR107" s="587">
        <f>SUM(BL107:BN107)</f>
        <v>0</v>
      </c>
      <c r="BS107" s="586">
        <f>SUM(BO107:BR107)</f>
        <v>0</v>
      </c>
      <c r="BT107" s="584">
        <f t="shared" ref="BT107:CE107" si="198">SUM(BT91:BT106)</f>
        <v>0</v>
      </c>
      <c r="BU107" s="584">
        <f t="shared" si="198"/>
        <v>0</v>
      </c>
      <c r="BV107" s="584">
        <f t="shared" si="198"/>
        <v>0</v>
      </c>
      <c r="BW107" s="584">
        <f t="shared" si="198"/>
        <v>0</v>
      </c>
      <c r="BX107" s="584">
        <f t="shared" si="198"/>
        <v>0</v>
      </c>
      <c r="BY107" s="584">
        <f t="shared" si="198"/>
        <v>0</v>
      </c>
      <c r="BZ107" s="584">
        <f t="shared" si="198"/>
        <v>0</v>
      </c>
      <c r="CA107" s="584">
        <f t="shared" si="198"/>
        <v>0</v>
      </c>
      <c r="CB107" s="584">
        <f t="shared" si="198"/>
        <v>0</v>
      </c>
      <c r="CC107" s="584">
        <f t="shared" si="198"/>
        <v>0</v>
      </c>
      <c r="CD107" s="584">
        <f t="shared" si="198"/>
        <v>0</v>
      </c>
      <c r="CE107" s="585">
        <f t="shared" si="198"/>
        <v>0</v>
      </c>
      <c r="CF107" s="592">
        <f>SUM(BT107:BV107)</f>
        <v>0</v>
      </c>
      <c r="CG107" s="592">
        <f>SUM(BW107:BY107)</f>
        <v>0</v>
      </c>
      <c r="CH107" s="592">
        <f>SUM(BZ107:CB107)</f>
        <v>0</v>
      </c>
      <c r="CI107" s="593">
        <f>SUM(CC107:CE107)</f>
        <v>0</v>
      </c>
      <c r="CJ107" s="592">
        <f>SUM(CF107:CI107)</f>
        <v>0</v>
      </c>
      <c r="CK107" s="584">
        <f t="shared" ref="CK107:CV107" si="199">SUM(CK91:CK106)</f>
        <v>0</v>
      </c>
      <c r="CL107" s="584">
        <f t="shared" si="199"/>
        <v>0</v>
      </c>
      <c r="CM107" s="584">
        <f t="shared" si="199"/>
        <v>0</v>
      </c>
      <c r="CN107" s="584">
        <f t="shared" si="199"/>
        <v>0</v>
      </c>
      <c r="CO107" s="584">
        <f t="shared" si="199"/>
        <v>0</v>
      </c>
      <c r="CP107" s="584">
        <f t="shared" si="199"/>
        <v>0</v>
      </c>
      <c r="CQ107" s="584">
        <f t="shared" si="199"/>
        <v>0</v>
      </c>
      <c r="CR107" s="584">
        <f t="shared" si="199"/>
        <v>0</v>
      </c>
      <c r="CS107" s="584">
        <f t="shared" si="199"/>
        <v>0</v>
      </c>
      <c r="CT107" s="584">
        <f t="shared" si="199"/>
        <v>0</v>
      </c>
      <c r="CU107" s="584">
        <f t="shared" si="199"/>
        <v>0</v>
      </c>
      <c r="CV107" s="585">
        <f t="shared" si="199"/>
        <v>0</v>
      </c>
      <c r="CW107" s="592">
        <f>SUM(CK107:CM107)</f>
        <v>0</v>
      </c>
      <c r="CX107" s="592">
        <f>SUM(CN107:CP107)</f>
        <v>0</v>
      </c>
      <c r="CY107" s="592">
        <f>SUM(CQ107:CS107)</f>
        <v>0</v>
      </c>
      <c r="CZ107" s="593">
        <f>SUM(CT107:CV107)</f>
        <v>0</v>
      </c>
      <c r="DA107" s="592">
        <f>SUM(CW107:CZ107)</f>
        <v>0</v>
      </c>
      <c r="DB107" s="584">
        <f t="shared" ref="DB107:DM107" si="200">SUM(DB91:DB106)</f>
        <v>0</v>
      </c>
      <c r="DC107" s="584">
        <f t="shared" si="200"/>
        <v>0</v>
      </c>
      <c r="DD107" s="584">
        <f t="shared" si="200"/>
        <v>0</v>
      </c>
      <c r="DE107" s="584">
        <f t="shared" si="200"/>
        <v>0</v>
      </c>
      <c r="DF107" s="584">
        <f t="shared" si="200"/>
        <v>0</v>
      </c>
      <c r="DG107" s="584">
        <f t="shared" si="200"/>
        <v>0</v>
      </c>
      <c r="DH107" s="584">
        <f t="shared" si="200"/>
        <v>0</v>
      </c>
      <c r="DI107" s="584">
        <f t="shared" si="200"/>
        <v>0</v>
      </c>
      <c r="DJ107" s="584">
        <f t="shared" si="200"/>
        <v>0</v>
      </c>
      <c r="DK107" s="584">
        <f t="shared" si="200"/>
        <v>0</v>
      </c>
      <c r="DL107" s="584">
        <f t="shared" si="200"/>
        <v>0</v>
      </c>
      <c r="DM107" s="585">
        <f t="shared" si="200"/>
        <v>0</v>
      </c>
      <c r="DN107" s="592">
        <f>SUM(DB107:DD107)</f>
        <v>0</v>
      </c>
      <c r="DO107" s="592">
        <f>SUM(DE107:DG107)</f>
        <v>0</v>
      </c>
      <c r="DP107" s="592">
        <f>SUM(DH107:DJ107)</f>
        <v>0</v>
      </c>
      <c r="DQ107" s="593">
        <f>SUM(DK107:DM107)</f>
        <v>0</v>
      </c>
      <c r="DR107" s="592">
        <f>SUM(DN107:DQ107)</f>
        <v>0</v>
      </c>
      <c r="DS107" s="584">
        <f t="shared" ref="DS107:ED107" si="201">SUM(DS91:DS106)</f>
        <v>0</v>
      </c>
      <c r="DT107" s="584">
        <f t="shared" si="201"/>
        <v>0</v>
      </c>
      <c r="DU107" s="584">
        <f t="shared" si="201"/>
        <v>0</v>
      </c>
      <c r="DV107" s="584">
        <f t="shared" si="201"/>
        <v>0</v>
      </c>
      <c r="DW107" s="584">
        <f t="shared" si="201"/>
        <v>0</v>
      </c>
      <c r="DX107" s="584">
        <f t="shared" si="201"/>
        <v>0</v>
      </c>
      <c r="DY107" s="584">
        <f t="shared" si="201"/>
        <v>0</v>
      </c>
      <c r="DZ107" s="584">
        <f t="shared" si="201"/>
        <v>0</v>
      </c>
      <c r="EA107" s="584">
        <f t="shared" si="201"/>
        <v>0</v>
      </c>
      <c r="EB107" s="584">
        <f t="shared" si="201"/>
        <v>0</v>
      </c>
      <c r="EC107" s="584">
        <f t="shared" si="201"/>
        <v>0</v>
      </c>
      <c r="ED107" s="585">
        <f t="shared" si="201"/>
        <v>0</v>
      </c>
      <c r="EE107" s="592">
        <f>SUM(DS107:DU107)</f>
        <v>0</v>
      </c>
      <c r="EF107" s="592">
        <f>SUM(DV107:DX107)</f>
        <v>0</v>
      </c>
      <c r="EG107" s="592">
        <f>SUM(DY107:EA107)</f>
        <v>0</v>
      </c>
      <c r="EH107" s="593">
        <f>SUM(EB107:ED107)</f>
        <v>0</v>
      </c>
      <c r="EI107" s="592">
        <f>SUM(EE107:EH107)</f>
        <v>0</v>
      </c>
      <c r="EJ107" s="583"/>
      <c r="EK107" s="583"/>
      <c r="EL107" s="493"/>
      <c r="EM107" s="493"/>
      <c r="EN107" s="493"/>
      <c r="EO107" s="493"/>
      <c r="EP107" s="493"/>
      <c r="EQ107" s="493"/>
      <c r="ER107" s="493"/>
      <c r="ES107" s="493"/>
      <c r="ET107" s="493"/>
      <c r="EU107" s="493"/>
    </row>
    <row r="108">
      <c r="A108" s="12"/>
      <c r="B108" s="12"/>
      <c r="C108" s="12"/>
      <c r="D108" s="574"/>
      <c r="E108" s="574"/>
      <c r="F108" s="574"/>
      <c r="G108" s="574"/>
      <c r="H108" s="574"/>
      <c r="I108" s="574"/>
      <c r="J108" s="574"/>
      <c r="K108" s="574"/>
      <c r="L108" s="574"/>
      <c r="M108" s="574"/>
      <c r="N108" s="574"/>
      <c r="O108" s="574"/>
      <c r="P108" s="574"/>
      <c r="Q108" s="574"/>
      <c r="R108" s="574"/>
      <c r="S108" s="574"/>
      <c r="T108" s="574"/>
      <c r="U108" s="574"/>
      <c r="V108" s="574"/>
      <c r="W108" s="574"/>
      <c r="X108" s="574"/>
      <c r="Y108" s="574"/>
      <c r="Z108" s="574"/>
      <c r="AA108" s="574"/>
      <c r="AB108" s="574"/>
      <c r="AC108" s="574"/>
      <c r="AD108" s="574"/>
      <c r="AE108" s="574"/>
      <c r="AF108" s="574"/>
      <c r="AG108" s="574"/>
      <c r="AH108" s="574"/>
      <c r="AI108" s="574"/>
      <c r="AJ108" s="574"/>
      <c r="AK108" s="574"/>
      <c r="AL108" s="574"/>
      <c r="AM108" s="574"/>
      <c r="AN108" s="574"/>
      <c r="AO108" s="574"/>
      <c r="AP108" s="574"/>
      <c r="AQ108" s="574"/>
      <c r="AR108" s="574"/>
      <c r="AS108" s="574"/>
      <c r="AT108" s="574"/>
      <c r="AU108" s="574"/>
      <c r="AV108" s="574"/>
      <c r="AW108" s="574"/>
      <c r="AX108" s="574"/>
      <c r="AY108" s="574"/>
      <c r="AZ108" s="574"/>
      <c r="BA108" s="574"/>
      <c r="BB108" s="574"/>
      <c r="BC108" s="574"/>
      <c r="BD108" s="574"/>
      <c r="BE108" s="574"/>
      <c r="BF108" s="574"/>
      <c r="BG108" s="574"/>
      <c r="BH108" s="574"/>
      <c r="BI108" s="574"/>
      <c r="BJ108" s="574"/>
      <c r="BK108" s="574"/>
      <c r="BL108" s="574"/>
      <c r="BM108" s="574"/>
      <c r="BN108" s="574"/>
      <c r="BO108" s="574"/>
      <c r="BP108" s="574"/>
      <c r="BQ108" s="574"/>
      <c r="BR108" s="574"/>
      <c r="BS108" s="574"/>
      <c r="BT108" s="574"/>
      <c r="BU108" s="574"/>
      <c r="BV108" s="574"/>
      <c r="BW108" s="574"/>
      <c r="BX108" s="574"/>
      <c r="BY108" s="574"/>
      <c r="BZ108" s="574"/>
      <c r="CA108" s="574"/>
      <c r="CB108" s="574"/>
      <c r="CC108" s="574"/>
      <c r="CD108" s="574"/>
      <c r="CE108" s="574"/>
      <c r="CF108" s="574"/>
      <c r="CG108" s="574"/>
      <c r="CH108" s="574"/>
      <c r="CI108" s="574"/>
      <c r="CJ108" s="574"/>
      <c r="CK108" s="574"/>
      <c r="CL108" s="574"/>
      <c r="CM108" s="574"/>
      <c r="CN108" s="574"/>
      <c r="CO108" s="574"/>
      <c r="CP108" s="574"/>
      <c r="CQ108" s="574"/>
      <c r="CR108" s="574"/>
      <c r="CS108" s="574"/>
      <c r="CT108" s="574"/>
      <c r="CU108" s="574"/>
      <c r="CV108" s="574"/>
      <c r="CW108" s="574"/>
      <c r="CX108" s="574"/>
      <c r="CY108" s="574"/>
      <c r="CZ108" s="574"/>
      <c r="DA108" s="574"/>
      <c r="DB108" s="574"/>
      <c r="DC108" s="574"/>
      <c r="DD108" s="574"/>
      <c r="DE108" s="574"/>
      <c r="DF108" s="574"/>
      <c r="DG108" s="574"/>
      <c r="DH108" s="574"/>
      <c r="DI108" s="574"/>
      <c r="DJ108" s="574"/>
      <c r="DK108" s="574"/>
      <c r="DL108" s="574"/>
      <c r="DM108" s="574"/>
      <c r="DN108" s="574"/>
      <c r="DO108" s="574"/>
      <c r="DP108" s="574"/>
      <c r="DQ108" s="574"/>
      <c r="DR108" s="574"/>
      <c r="DS108" s="574"/>
      <c r="DT108" s="574"/>
      <c r="DU108" s="574"/>
      <c r="DV108" s="574"/>
      <c r="DW108" s="574"/>
      <c r="DX108" s="574"/>
      <c r="DY108" s="574"/>
      <c r="DZ108" s="574"/>
      <c r="EA108" s="574"/>
      <c r="EB108" s="574"/>
      <c r="EC108" s="574"/>
      <c r="ED108" s="574"/>
      <c r="EE108" s="574"/>
      <c r="EF108" s="574"/>
      <c r="EG108" s="574"/>
      <c r="EH108" s="574"/>
      <c r="EI108" s="574"/>
      <c r="EJ108" s="574"/>
      <c r="EK108" s="574"/>
      <c r="EL108" s="12"/>
      <c r="EM108" s="12"/>
      <c r="EN108" s="12"/>
      <c r="EO108" s="12"/>
      <c r="EP108" s="12"/>
      <c r="EQ108" s="12"/>
      <c r="ER108" s="12"/>
      <c r="ES108" s="12"/>
      <c r="ET108" s="12"/>
      <c r="EU108" s="12"/>
    </row>
    <row r="109">
      <c r="A109" s="630"/>
      <c r="B109" s="630" t="s">
        <v>203</v>
      </c>
      <c r="C109" s="630"/>
      <c r="D109" s="631"/>
      <c r="E109" s="631"/>
      <c r="F109" s="631"/>
      <c r="G109" s="631"/>
      <c r="H109" s="631"/>
      <c r="I109" s="631"/>
      <c r="J109" s="631"/>
      <c r="K109" s="631"/>
      <c r="L109" s="631"/>
      <c r="M109" s="631"/>
      <c r="N109" s="631"/>
      <c r="O109" s="631"/>
      <c r="P109" s="631"/>
      <c r="Q109" s="631"/>
      <c r="R109" s="631"/>
      <c r="S109" s="631"/>
      <c r="T109" s="631"/>
      <c r="U109" s="631"/>
      <c r="V109" s="631"/>
      <c r="W109" s="631"/>
      <c r="X109" s="631"/>
      <c r="Y109" s="631"/>
      <c r="Z109" s="631"/>
      <c r="AA109" s="631"/>
      <c r="AB109" s="631"/>
      <c r="AC109" s="631"/>
      <c r="AD109" s="631"/>
      <c r="AE109" s="631"/>
      <c r="AF109" s="631"/>
      <c r="AG109" s="631"/>
      <c r="AH109" s="631"/>
      <c r="AI109" s="631"/>
      <c r="AJ109" s="631"/>
      <c r="AK109" s="631"/>
      <c r="AL109" s="631"/>
      <c r="AM109" s="631"/>
      <c r="AN109" s="631"/>
      <c r="AO109" s="631"/>
      <c r="AP109" s="631"/>
      <c r="AQ109" s="631"/>
      <c r="AR109" s="631"/>
      <c r="AS109" s="631"/>
      <c r="AT109" s="631"/>
      <c r="AU109" s="631"/>
      <c r="AV109" s="631"/>
      <c r="AW109" s="631"/>
      <c r="AX109" s="631"/>
      <c r="AY109" s="631"/>
      <c r="AZ109" s="631"/>
      <c r="BA109" s="631"/>
      <c r="BB109" s="631"/>
      <c r="BC109" s="632">
        <f t="shared" ref="BC109:EI109" si="202">BC52/BC20</f>
        <v>0.1220711005</v>
      </c>
      <c r="BD109" s="632">
        <f t="shared" si="202"/>
        <v>0.232261006</v>
      </c>
      <c r="BE109" s="632">
        <f t="shared" si="202"/>
        <v>0.1123315549</v>
      </c>
      <c r="BF109" s="632">
        <f t="shared" si="202"/>
        <v>0.1502818956</v>
      </c>
      <c r="BG109" s="632">
        <f t="shared" si="202"/>
        <v>0.1554833768</v>
      </c>
      <c r="BH109" s="632">
        <f t="shared" si="202"/>
        <v>0.1367107645</v>
      </c>
      <c r="BI109" s="632">
        <f t="shared" si="202"/>
        <v>0.1762691704</v>
      </c>
      <c r="BJ109" s="632">
        <f t="shared" si="202"/>
        <v>0.1760683523</v>
      </c>
      <c r="BK109" s="632">
        <f t="shared" si="202"/>
        <v>0.278747803</v>
      </c>
      <c r="BL109" s="632">
        <f t="shared" si="202"/>
        <v>0.08623711737</v>
      </c>
      <c r="BM109" s="632">
        <f t="shared" si="202"/>
        <v>0.1052149373</v>
      </c>
      <c r="BN109" s="632">
        <f t="shared" si="202"/>
        <v>1.06638486</v>
      </c>
      <c r="BO109" s="632">
        <f t="shared" si="202"/>
        <v>0.1529243118</v>
      </c>
      <c r="BP109" s="632">
        <f t="shared" si="202"/>
        <v>0.1476579521</v>
      </c>
      <c r="BQ109" s="632">
        <f t="shared" si="202"/>
        <v>0.1967219985</v>
      </c>
      <c r="BR109" s="632">
        <f t="shared" si="202"/>
        <v>0.1517636086</v>
      </c>
      <c r="BS109" s="632">
        <f t="shared" si="202"/>
        <v>0.1638716094</v>
      </c>
      <c r="BT109" s="632">
        <f t="shared" si="202"/>
        <v>0.28288295</v>
      </c>
      <c r="BU109" s="632">
        <f t="shared" si="202"/>
        <v>0.2644358</v>
      </c>
      <c r="BV109" s="632">
        <f t="shared" si="202"/>
        <v>0.27425852</v>
      </c>
      <c r="BW109" s="632">
        <f t="shared" si="202"/>
        <v>0.14074794</v>
      </c>
      <c r="BX109" s="632">
        <f t="shared" si="202"/>
        <v>0.27908183</v>
      </c>
      <c r="BY109" s="632">
        <f t="shared" si="202"/>
        <v>0.38893985</v>
      </c>
      <c r="BZ109" s="632">
        <f t="shared" si="202"/>
        <v>0.3085318833</v>
      </c>
      <c r="CA109" s="632">
        <f t="shared" si="202"/>
        <v>0.3176922087</v>
      </c>
      <c r="CB109" s="632">
        <f t="shared" si="202"/>
        <v>0.2409726856</v>
      </c>
      <c r="CC109" s="632">
        <f t="shared" si="202"/>
        <v>0.21236845</v>
      </c>
      <c r="CD109" s="632">
        <f t="shared" si="202"/>
        <v>0.29477168</v>
      </c>
      <c r="CE109" s="632">
        <f t="shared" si="202"/>
        <v>0.31159946</v>
      </c>
      <c r="CF109" s="633">
        <f t="shared" si="202"/>
        <v>0.2738351016</v>
      </c>
      <c r="CG109" s="633">
        <f t="shared" si="202"/>
        <v>0.275427674</v>
      </c>
      <c r="CH109" s="633">
        <f t="shared" si="202"/>
        <v>0.2885633266</v>
      </c>
      <c r="CI109" s="633">
        <f t="shared" si="202"/>
        <v>0.2697034894</v>
      </c>
      <c r="CJ109" s="633">
        <f t="shared" si="202"/>
        <v>0.2773354479</v>
      </c>
      <c r="CK109" s="632">
        <f t="shared" si="202"/>
        <v>0.2102394139</v>
      </c>
      <c r="CL109" s="632">
        <f t="shared" si="202"/>
        <v>0.1990092797</v>
      </c>
      <c r="CM109" s="632">
        <f t="shared" si="202"/>
        <v>0.1486812495</v>
      </c>
      <c r="CN109" s="632">
        <f t="shared" si="202"/>
        <v>0.2049318682</v>
      </c>
      <c r="CO109" s="632">
        <f t="shared" si="202"/>
        <v>0.2175315947</v>
      </c>
      <c r="CP109" s="632">
        <f t="shared" si="202"/>
        <v>0.1735821893</v>
      </c>
      <c r="CQ109" s="632">
        <f t="shared" si="202"/>
        <v>0.1948675628</v>
      </c>
      <c r="CR109" s="632">
        <f t="shared" si="202"/>
        <v>0.1795934048</v>
      </c>
      <c r="CS109" s="632">
        <f t="shared" si="202"/>
        <v>0.1503747051</v>
      </c>
      <c r="CT109" s="632">
        <f t="shared" si="202"/>
        <v>0.1936795692</v>
      </c>
      <c r="CU109" s="632">
        <f t="shared" si="202"/>
        <v>0.26590971</v>
      </c>
      <c r="CV109" s="632">
        <f t="shared" si="202"/>
        <v>0.6628814108</v>
      </c>
      <c r="CW109" s="633">
        <f t="shared" si="202"/>
        <v>0.1834257692</v>
      </c>
      <c r="CX109" s="633">
        <f t="shared" si="202"/>
        <v>0.196420401</v>
      </c>
      <c r="CY109" s="633">
        <f t="shared" si="202"/>
        <v>0.1737414992</v>
      </c>
      <c r="CZ109" s="633">
        <f t="shared" si="202"/>
        <v>0.3062325118</v>
      </c>
      <c r="DA109" s="633">
        <f t="shared" si="202"/>
        <v>0.2135979306</v>
      </c>
      <c r="DB109" s="632">
        <f t="shared" si="202"/>
        <v>0.2192707451</v>
      </c>
      <c r="DC109" s="632">
        <f t="shared" si="202"/>
        <v>0.1818938471</v>
      </c>
      <c r="DD109" s="632">
        <f t="shared" si="202"/>
        <v>0.1765076427</v>
      </c>
      <c r="DE109" s="632">
        <f t="shared" si="202"/>
        <v>0.197</v>
      </c>
      <c r="DF109" s="632">
        <f t="shared" si="202"/>
        <v>0.2462715052</v>
      </c>
      <c r="DG109" s="632">
        <f t="shared" si="202"/>
        <v>0.2060278558</v>
      </c>
      <c r="DH109" s="632">
        <f t="shared" si="202"/>
        <v>0.06725826139</v>
      </c>
      <c r="DI109" s="632">
        <f t="shared" si="202"/>
        <v>0.218269549</v>
      </c>
      <c r="DJ109" s="632">
        <f t="shared" si="202"/>
        <v>0.1312844963</v>
      </c>
      <c r="DK109" s="632">
        <f t="shared" si="202"/>
        <v>0.297125852</v>
      </c>
      <c r="DL109" s="632">
        <f t="shared" si="202"/>
        <v>0.2553634829</v>
      </c>
      <c r="DM109" s="632">
        <f t="shared" si="202"/>
        <v>0.2255851106</v>
      </c>
      <c r="DN109" s="633">
        <f t="shared" si="202"/>
        <v>0.1931024549</v>
      </c>
      <c r="DO109" s="633">
        <f t="shared" si="202"/>
        <v>0.2122364259</v>
      </c>
      <c r="DP109" s="633">
        <f t="shared" si="202"/>
        <v>0.1373445554</v>
      </c>
      <c r="DQ109" s="633">
        <f t="shared" si="202"/>
        <v>0.2487563707</v>
      </c>
      <c r="DR109" s="633">
        <f t="shared" si="202"/>
        <v>0.1996629308</v>
      </c>
      <c r="DS109" s="632">
        <f t="shared" si="202"/>
        <v>0.2263282852</v>
      </c>
      <c r="DT109" s="632">
        <f t="shared" si="202"/>
        <v>0.2689389051</v>
      </c>
      <c r="DU109" s="632">
        <f t="shared" si="202"/>
        <v>0.2789696807</v>
      </c>
      <c r="DV109" s="632">
        <f t="shared" si="202"/>
        <v>0.2605820855</v>
      </c>
      <c r="DW109" s="632">
        <f t="shared" si="202"/>
        <v>0.1523843267</v>
      </c>
      <c r="DX109" s="632">
        <f t="shared" si="202"/>
        <v>0.1475839407</v>
      </c>
      <c r="DY109" s="634">
        <f t="shared" si="202"/>
        <v>0.145374578</v>
      </c>
      <c r="DZ109" s="634">
        <f t="shared" si="202"/>
        <v>0.144185986</v>
      </c>
      <c r="EA109" s="634">
        <f t="shared" si="202"/>
        <v>0.1455517256</v>
      </c>
      <c r="EB109" s="634">
        <f t="shared" si="202"/>
        <v>0.1473807923</v>
      </c>
      <c r="EC109" s="634">
        <f t="shared" si="202"/>
        <v>0.1467767362</v>
      </c>
      <c r="ED109" s="634">
        <f t="shared" si="202"/>
        <v>0.1461088869</v>
      </c>
      <c r="EE109" s="633">
        <f t="shared" si="202"/>
        <v>0.2605791541</v>
      </c>
      <c r="EF109" s="633">
        <f t="shared" si="202"/>
        <v>0.1853981967</v>
      </c>
      <c r="EG109" s="635">
        <f t="shared" si="202"/>
        <v>0.1450463822</v>
      </c>
      <c r="EH109" s="635">
        <f t="shared" si="202"/>
        <v>0.1467534104</v>
      </c>
      <c r="EI109" s="633">
        <f t="shared" si="202"/>
        <v>0.1791792528</v>
      </c>
      <c r="EJ109" s="631"/>
      <c r="EK109" s="631"/>
      <c r="EL109" s="630"/>
      <c r="EM109" s="630"/>
      <c r="EN109" s="630"/>
      <c r="EO109" s="630"/>
      <c r="EP109" s="630"/>
      <c r="EQ109" s="630"/>
      <c r="ER109" s="630"/>
      <c r="ES109" s="630"/>
      <c r="ET109" s="630"/>
      <c r="EU109" s="630"/>
    </row>
    <row r="110">
      <c r="A110" s="552"/>
      <c r="B110" s="552" t="s">
        <v>204</v>
      </c>
      <c r="C110" s="552"/>
      <c r="D110" s="574"/>
      <c r="E110" s="574"/>
      <c r="F110" s="574"/>
      <c r="G110" s="574"/>
      <c r="H110" s="574"/>
      <c r="I110" s="574"/>
      <c r="J110" s="574"/>
      <c r="K110" s="574"/>
      <c r="L110" s="574"/>
      <c r="M110" s="574"/>
      <c r="N110" s="574"/>
      <c r="O110" s="574"/>
      <c r="P110" s="574"/>
      <c r="Q110" s="574"/>
      <c r="R110" s="574"/>
      <c r="S110" s="574"/>
      <c r="T110" s="574"/>
      <c r="U110" s="574"/>
      <c r="V110" s="574"/>
      <c r="W110" s="574"/>
      <c r="X110" s="574"/>
      <c r="Y110" s="574"/>
      <c r="Z110" s="574"/>
      <c r="AA110" s="574"/>
      <c r="AB110" s="574"/>
      <c r="AC110" s="574"/>
      <c r="AD110" s="574"/>
      <c r="AE110" s="574"/>
      <c r="AF110" s="574"/>
      <c r="AG110" s="574"/>
      <c r="AH110" s="574"/>
      <c r="AI110" s="574"/>
      <c r="AJ110" s="574"/>
      <c r="AK110" s="574"/>
      <c r="AL110" s="574"/>
      <c r="AM110" s="574"/>
      <c r="AN110" s="574"/>
      <c r="AO110" s="574"/>
      <c r="AP110" s="574"/>
      <c r="AQ110" s="574"/>
      <c r="AR110" s="574"/>
      <c r="AS110" s="574"/>
      <c r="AT110" s="574"/>
      <c r="AU110" s="574"/>
      <c r="AV110" s="574"/>
      <c r="AW110" s="574"/>
      <c r="AX110" s="574"/>
      <c r="AY110" s="574"/>
      <c r="AZ110" s="574"/>
      <c r="BA110" s="574"/>
      <c r="BB110" s="574"/>
      <c r="BC110" s="574"/>
      <c r="BD110" s="574"/>
      <c r="BE110" s="574"/>
      <c r="BF110" s="574"/>
      <c r="BG110" s="574"/>
      <c r="BH110" s="574"/>
      <c r="BI110" s="574"/>
      <c r="BJ110" s="574"/>
      <c r="BK110" s="574"/>
      <c r="BL110" s="574"/>
      <c r="BM110" s="574"/>
      <c r="BN110" s="574"/>
      <c r="BO110" s="574"/>
      <c r="BP110" s="574"/>
      <c r="BQ110" s="574"/>
      <c r="BR110" s="574"/>
      <c r="BS110" s="574"/>
      <c r="BT110" s="574"/>
      <c r="BU110" s="574"/>
      <c r="BV110" s="574"/>
      <c r="BW110" s="574"/>
      <c r="BX110" s="574"/>
      <c r="BY110" s="574"/>
      <c r="BZ110" s="574"/>
      <c r="CA110" s="574"/>
      <c r="CB110" s="574"/>
      <c r="CC110" s="574"/>
      <c r="CD110" s="574"/>
      <c r="CE110" s="574"/>
      <c r="CF110" s="12"/>
      <c r="CG110" s="574"/>
      <c r="CH110" s="574"/>
      <c r="CI110" s="574"/>
      <c r="CJ110" s="574"/>
      <c r="CK110" s="574"/>
      <c r="CL110" s="574"/>
      <c r="CM110" s="574"/>
      <c r="CN110" s="574"/>
      <c r="CO110" s="574"/>
      <c r="CP110" s="574"/>
      <c r="CQ110" s="574"/>
      <c r="CR110" s="574"/>
      <c r="CS110" s="574"/>
      <c r="CT110" s="574"/>
      <c r="CU110" s="574"/>
      <c r="CV110" s="574"/>
      <c r="CW110" s="12"/>
      <c r="CX110" s="574"/>
      <c r="CY110" s="574"/>
      <c r="CZ110" s="574"/>
      <c r="DA110" s="574"/>
      <c r="DB110" s="574"/>
      <c r="DC110" s="574"/>
      <c r="DD110" s="574"/>
      <c r="DE110" s="574"/>
      <c r="DF110" s="574"/>
      <c r="DG110" s="574"/>
      <c r="DH110" s="574"/>
      <c r="DI110" s="574"/>
      <c r="DJ110" s="574"/>
      <c r="DK110" s="574"/>
      <c r="DL110" s="574"/>
      <c r="DM110" s="574"/>
      <c r="DN110" s="12"/>
      <c r="DO110" s="574"/>
      <c r="DP110" s="574"/>
      <c r="DQ110" s="574"/>
      <c r="DR110" s="574"/>
      <c r="DS110" s="574"/>
      <c r="DT110" s="574"/>
      <c r="DU110" s="574"/>
      <c r="DV110" s="574"/>
      <c r="DW110" s="574"/>
      <c r="DX110" s="574"/>
      <c r="DY110" s="574"/>
      <c r="DZ110" s="574"/>
      <c r="EA110" s="574"/>
      <c r="EB110" s="574"/>
      <c r="EC110" s="574"/>
      <c r="ED110" s="574"/>
      <c r="EE110" s="12"/>
      <c r="EF110" s="574"/>
      <c r="EG110" s="574"/>
      <c r="EH110" s="574"/>
      <c r="EI110" s="574"/>
      <c r="EJ110" s="574"/>
      <c r="EK110" s="574"/>
      <c r="EL110" s="552"/>
      <c r="EM110" s="552"/>
      <c r="EN110" s="552"/>
      <c r="EO110" s="552"/>
      <c r="EP110" s="552"/>
      <c r="EQ110" s="552"/>
      <c r="ER110" s="552"/>
      <c r="ES110" s="552"/>
      <c r="ET110" s="552"/>
      <c r="EU110" s="552"/>
    </row>
    <row r="111">
      <c r="A111" s="12"/>
      <c r="B111" s="552" t="s">
        <v>162</v>
      </c>
      <c r="C111" s="552"/>
      <c r="D111" s="574"/>
      <c r="E111" s="574"/>
      <c r="F111" s="574"/>
      <c r="G111" s="574"/>
      <c r="H111" s="574"/>
      <c r="I111" s="574"/>
      <c r="J111" s="574"/>
      <c r="K111" s="574"/>
      <c r="L111" s="574"/>
      <c r="M111" s="574"/>
      <c r="N111" s="574"/>
      <c r="O111" s="574"/>
      <c r="P111" s="574"/>
      <c r="Q111" s="574"/>
      <c r="R111" s="574"/>
      <c r="S111" s="574"/>
      <c r="T111" s="574"/>
      <c r="U111" s="574"/>
      <c r="V111" s="574"/>
      <c r="W111" s="574"/>
      <c r="X111" s="574"/>
      <c r="Y111" s="574"/>
      <c r="Z111" s="574"/>
      <c r="AA111" s="574"/>
      <c r="AB111" s="574"/>
      <c r="AC111" s="574"/>
      <c r="AD111" s="574"/>
      <c r="AE111" s="574"/>
      <c r="AF111" s="574"/>
      <c r="AG111" s="574"/>
      <c r="AH111" s="574"/>
      <c r="AI111" s="574"/>
      <c r="AJ111" s="574"/>
      <c r="AK111" s="574"/>
      <c r="AL111" s="574"/>
      <c r="AM111" s="574"/>
      <c r="AN111" s="574"/>
      <c r="AO111" s="574"/>
      <c r="AP111" s="574"/>
      <c r="AQ111" s="574"/>
      <c r="AR111" s="574"/>
      <c r="AS111" s="574"/>
      <c r="AT111" s="574"/>
      <c r="AU111" s="574"/>
      <c r="AV111" s="574"/>
      <c r="AW111" s="574"/>
      <c r="AX111" s="574"/>
      <c r="AY111" s="574"/>
      <c r="AZ111" s="574"/>
      <c r="BA111" s="574"/>
      <c r="BB111" s="574"/>
      <c r="BC111" s="574"/>
      <c r="BD111" s="574"/>
      <c r="BE111" s="574"/>
      <c r="BF111" s="574"/>
      <c r="BG111" s="574"/>
      <c r="BH111" s="574"/>
      <c r="BI111" s="574"/>
      <c r="BJ111" s="574"/>
      <c r="BK111" s="574"/>
      <c r="BL111" s="574"/>
      <c r="BM111" s="574"/>
      <c r="BN111" s="574"/>
      <c r="BO111" s="574"/>
      <c r="BP111" s="574"/>
      <c r="BQ111" s="574"/>
      <c r="BR111" s="574"/>
      <c r="BS111" s="574"/>
      <c r="BT111" s="574"/>
      <c r="BU111" s="574"/>
      <c r="BV111" s="574"/>
      <c r="BW111" s="574"/>
      <c r="BX111" s="574"/>
      <c r="BY111" s="574"/>
      <c r="BZ111" s="574"/>
      <c r="CA111" s="574"/>
      <c r="CB111" s="574"/>
      <c r="CC111" s="574"/>
      <c r="CD111" s="574"/>
      <c r="CE111" s="574"/>
      <c r="CF111" s="578">
        <f>CF109/BR109*100-100</f>
        <v>80.43528618</v>
      </c>
      <c r="CG111" s="578">
        <f t="shared" ref="CG111:CI111" si="203">CG109/CF109*100-100</f>
        <v>0.5815808159</v>
      </c>
      <c r="CH111" s="578">
        <f t="shared" si="203"/>
        <v>4.769184033</v>
      </c>
      <c r="CI111" s="578">
        <f t="shared" si="203"/>
        <v>-6.535770673</v>
      </c>
      <c r="CJ111" s="574"/>
      <c r="CK111" s="574"/>
      <c r="CL111" s="574"/>
      <c r="CM111" s="574"/>
      <c r="CN111" s="574"/>
      <c r="CO111" s="574"/>
      <c r="CP111" s="574"/>
      <c r="CQ111" s="574"/>
      <c r="CR111" s="574"/>
      <c r="CS111" s="574"/>
      <c r="CT111" s="574"/>
      <c r="CU111" s="574"/>
      <c r="CV111" s="574"/>
      <c r="CW111" s="578">
        <f>CW109/CI109*100-100</f>
        <v>-31.98984203</v>
      </c>
      <c r="CX111" s="578">
        <f t="shared" ref="CX111:CZ111" si="204">CX109/CW109*100-100</f>
        <v>7.08440907</v>
      </c>
      <c r="CY111" s="578">
        <f t="shared" si="204"/>
        <v>-11.546103</v>
      </c>
      <c r="CZ111" s="578">
        <f t="shared" si="204"/>
        <v>76.25755115</v>
      </c>
      <c r="DA111" s="574"/>
      <c r="DB111" s="574"/>
      <c r="DC111" s="574"/>
      <c r="DD111" s="574"/>
      <c r="DE111" s="574"/>
      <c r="DF111" s="574"/>
      <c r="DG111" s="574"/>
      <c r="DH111" s="574"/>
      <c r="DI111" s="574"/>
      <c r="DJ111" s="574"/>
      <c r="DK111" s="574"/>
      <c r="DL111" s="574"/>
      <c r="DM111" s="574"/>
      <c r="DN111" s="578">
        <f>DN109/CZ109*100-100</f>
        <v>-36.94253631</v>
      </c>
      <c r="DO111" s="578">
        <f t="shared" ref="DO111:DQ111" si="205">DO109/DN109*100-100</f>
        <v>9.908714545</v>
      </c>
      <c r="DP111" s="578">
        <f t="shared" si="205"/>
        <v>-35.28700139</v>
      </c>
      <c r="DQ111" s="578">
        <f t="shared" si="205"/>
        <v>81.11847975</v>
      </c>
      <c r="DR111" s="574"/>
      <c r="DS111" s="574"/>
      <c r="DT111" s="574"/>
      <c r="DU111" s="574"/>
      <c r="DV111" s="574"/>
      <c r="DW111" s="574"/>
      <c r="DX111" s="574"/>
      <c r="DY111" s="574"/>
      <c r="DZ111" s="574"/>
      <c r="EA111" s="574"/>
      <c r="EB111" s="574"/>
      <c r="EC111" s="574"/>
      <c r="ED111" s="574"/>
      <c r="EE111" s="578">
        <f>EE109/DQ109*100-100</f>
        <v>4.752756003</v>
      </c>
      <c r="EF111" s="578">
        <f t="shared" ref="EF111:EH111" si="206">EF109/EE109*100-100</f>
        <v>-28.8514857</v>
      </c>
      <c r="EG111" s="596">
        <f t="shared" si="206"/>
        <v>-21.76494443</v>
      </c>
      <c r="EH111" s="596">
        <f t="shared" si="206"/>
        <v>1.176884369</v>
      </c>
      <c r="EI111" s="574"/>
      <c r="EJ111" s="574"/>
      <c r="EK111" s="574"/>
      <c r="EL111" s="12"/>
      <c r="EM111" s="12"/>
      <c r="EN111" s="12"/>
      <c r="EO111" s="12"/>
      <c r="EP111" s="12"/>
      <c r="EQ111" s="12"/>
      <c r="ER111" s="12"/>
      <c r="ES111" s="12"/>
      <c r="ET111" s="12"/>
      <c r="EU111" s="12"/>
    </row>
    <row r="112">
      <c r="A112" s="12"/>
      <c r="B112" s="552" t="s">
        <v>164</v>
      </c>
      <c r="C112" s="552"/>
      <c r="D112" s="574"/>
      <c r="E112" s="574"/>
      <c r="F112" s="574"/>
      <c r="G112" s="574"/>
      <c r="H112" s="574"/>
      <c r="I112" s="574"/>
      <c r="J112" s="574"/>
      <c r="K112" s="574"/>
      <c r="L112" s="574"/>
      <c r="M112" s="574"/>
      <c r="N112" s="574"/>
      <c r="O112" s="574"/>
      <c r="P112" s="574"/>
      <c r="Q112" s="574"/>
      <c r="R112" s="574"/>
      <c r="S112" s="574"/>
      <c r="T112" s="574"/>
      <c r="U112" s="574"/>
      <c r="V112" s="574"/>
      <c r="W112" s="574"/>
      <c r="X112" s="574"/>
      <c r="Y112" s="574"/>
      <c r="Z112" s="574"/>
      <c r="AA112" s="574"/>
      <c r="AB112" s="574"/>
      <c r="AC112" s="574"/>
      <c r="AD112" s="574"/>
      <c r="AE112" s="574"/>
      <c r="AF112" s="574"/>
      <c r="AG112" s="574"/>
      <c r="AH112" s="574"/>
      <c r="AI112" s="574"/>
      <c r="AJ112" s="574"/>
      <c r="AK112" s="574"/>
      <c r="AL112" s="574"/>
      <c r="AM112" s="574"/>
      <c r="AN112" s="574"/>
      <c r="AO112" s="574"/>
      <c r="AP112" s="574"/>
      <c r="AQ112" s="574"/>
      <c r="AR112" s="574"/>
      <c r="AS112" s="574"/>
      <c r="AT112" s="574"/>
      <c r="AU112" s="574"/>
      <c r="AV112" s="574"/>
      <c r="AW112" s="574"/>
      <c r="AX112" s="574"/>
      <c r="AY112" s="574"/>
      <c r="AZ112" s="574"/>
      <c r="BA112" s="574"/>
      <c r="BB112" s="574"/>
      <c r="BC112" s="574"/>
      <c r="BD112" s="574"/>
      <c r="BE112" s="574"/>
      <c r="BF112" s="574"/>
      <c r="BG112" s="574"/>
      <c r="BH112" s="574"/>
      <c r="BI112" s="574"/>
      <c r="BJ112" s="574"/>
      <c r="BK112" s="574"/>
      <c r="BL112" s="574"/>
      <c r="BM112" s="574"/>
      <c r="BN112" s="574"/>
      <c r="BO112" s="574"/>
      <c r="BP112" s="574"/>
      <c r="BQ112" s="574"/>
      <c r="BR112" s="574"/>
      <c r="BS112" s="574"/>
      <c r="BT112" s="574"/>
      <c r="BU112" s="574"/>
      <c r="BV112" s="574"/>
      <c r="BW112" s="574"/>
      <c r="BX112" s="574"/>
      <c r="BY112" s="574"/>
      <c r="BZ112" s="574"/>
      <c r="CA112" s="574"/>
      <c r="CB112" s="574"/>
      <c r="CC112" s="574"/>
      <c r="CD112" s="574"/>
      <c r="CE112" s="574"/>
      <c r="CF112" s="578">
        <f t="shared" ref="CF112:CI112" si="207">CF109/BO109*100-100</f>
        <v>79.0657733</v>
      </c>
      <c r="CG112" s="578">
        <f t="shared" si="207"/>
        <v>86.53087765</v>
      </c>
      <c r="CH112" s="578">
        <f t="shared" si="207"/>
        <v>46.68584539</v>
      </c>
      <c r="CI112" s="578">
        <f t="shared" si="207"/>
        <v>77.71288636</v>
      </c>
      <c r="CJ112" s="574"/>
      <c r="CK112" s="574"/>
      <c r="CL112" s="574"/>
      <c r="CM112" s="574"/>
      <c r="CN112" s="574"/>
      <c r="CO112" s="574"/>
      <c r="CP112" s="574"/>
      <c r="CQ112" s="574"/>
      <c r="CR112" s="574"/>
      <c r="CS112" s="574"/>
      <c r="CT112" s="574"/>
      <c r="CU112" s="574"/>
      <c r="CV112" s="574"/>
      <c r="CW112" s="578">
        <f t="shared" ref="CW112:CZ112" si="208">CW109/CF109*100-100</f>
        <v>-33.01597637</v>
      </c>
      <c r="CX112" s="578">
        <f t="shared" si="208"/>
        <v>-28.68530669</v>
      </c>
      <c r="CY112" s="578">
        <f t="shared" si="208"/>
        <v>-39.79085936</v>
      </c>
      <c r="CZ112" s="578">
        <f t="shared" si="208"/>
        <v>13.54414156</v>
      </c>
      <c r="DA112" s="574"/>
      <c r="DB112" s="574"/>
      <c r="DC112" s="574"/>
      <c r="DD112" s="574"/>
      <c r="DE112" s="574"/>
      <c r="DF112" s="574"/>
      <c r="DG112" s="574"/>
      <c r="DH112" s="574"/>
      <c r="DI112" s="574"/>
      <c r="DJ112" s="574"/>
      <c r="DK112" s="574"/>
      <c r="DL112" s="574"/>
      <c r="DM112" s="574"/>
      <c r="DN112" s="578">
        <f t="shared" ref="DN112:DQ112" si="209">DN109/CW109*100-100</f>
        <v>5.275532331</v>
      </c>
      <c r="DO112" s="578">
        <f t="shared" si="209"/>
        <v>8.052129456</v>
      </c>
      <c r="DP112" s="578">
        <f t="shared" si="209"/>
        <v>-20.94890625</v>
      </c>
      <c r="DQ112" s="578">
        <f t="shared" si="209"/>
        <v>-18.7687913</v>
      </c>
      <c r="DR112" s="574"/>
      <c r="DS112" s="574"/>
      <c r="DT112" s="574"/>
      <c r="DU112" s="574"/>
      <c r="DV112" s="574"/>
      <c r="DW112" s="574"/>
      <c r="DX112" s="574"/>
      <c r="DY112" s="574"/>
      <c r="DZ112" s="574"/>
      <c r="EA112" s="574"/>
      <c r="EB112" s="574"/>
      <c r="EC112" s="574"/>
      <c r="ED112" s="574"/>
      <c r="EE112" s="578">
        <f t="shared" ref="EE112:EH112" si="210">EE109/DN109*100-100</f>
        <v>34.9434704</v>
      </c>
      <c r="EF112" s="578">
        <f t="shared" si="210"/>
        <v>-12.64543969</v>
      </c>
      <c r="EG112" s="596">
        <f t="shared" si="210"/>
        <v>5.607668108</v>
      </c>
      <c r="EH112" s="596">
        <f t="shared" si="210"/>
        <v>-41.00516502</v>
      </c>
      <c r="EI112" s="574"/>
      <c r="EJ112" s="574"/>
      <c r="EK112" s="574"/>
      <c r="EL112" s="12"/>
      <c r="EM112" s="12"/>
      <c r="EN112" s="12"/>
      <c r="EO112" s="12"/>
      <c r="EP112" s="12"/>
      <c r="EQ112" s="12"/>
      <c r="ER112" s="12"/>
      <c r="ES112" s="12"/>
      <c r="ET112" s="12"/>
      <c r="EU112" s="12"/>
    </row>
    <row r="113">
      <c r="A113" s="12"/>
      <c r="B113" s="552" t="s">
        <v>148</v>
      </c>
      <c r="C113" s="552"/>
      <c r="D113" s="574"/>
      <c r="E113" s="574"/>
      <c r="F113" s="574"/>
      <c r="G113" s="574"/>
      <c r="H113" s="574"/>
      <c r="I113" s="574"/>
      <c r="J113" s="574"/>
      <c r="K113" s="574"/>
      <c r="L113" s="574"/>
      <c r="M113" s="574"/>
      <c r="N113" s="574"/>
      <c r="O113" s="574"/>
      <c r="P113" s="574"/>
      <c r="Q113" s="574"/>
      <c r="R113" s="574"/>
      <c r="S113" s="574"/>
      <c r="T113" s="574"/>
      <c r="U113" s="574"/>
      <c r="V113" s="574"/>
      <c r="W113" s="574"/>
      <c r="X113" s="574"/>
      <c r="Y113" s="574"/>
      <c r="Z113" s="574"/>
      <c r="AA113" s="574"/>
      <c r="AB113" s="574"/>
      <c r="AC113" s="574"/>
      <c r="AD113" s="574"/>
      <c r="AE113" s="574"/>
      <c r="AF113" s="574"/>
      <c r="AG113" s="574"/>
      <c r="AH113" s="574"/>
      <c r="AI113" s="574"/>
      <c r="AJ113" s="574"/>
      <c r="AK113" s="574"/>
      <c r="AL113" s="574"/>
      <c r="AM113" s="574"/>
      <c r="AN113" s="574"/>
      <c r="AO113" s="574"/>
      <c r="AP113" s="574"/>
      <c r="AQ113" s="574"/>
      <c r="AR113" s="574"/>
      <c r="AS113" s="574"/>
      <c r="AT113" s="574"/>
      <c r="AU113" s="574"/>
      <c r="AV113" s="574"/>
      <c r="AW113" s="574"/>
      <c r="AX113" s="574"/>
      <c r="AY113" s="574"/>
      <c r="AZ113" s="574"/>
      <c r="BA113" s="574"/>
      <c r="BB113" s="574"/>
      <c r="BC113" s="574"/>
      <c r="BD113" s="574"/>
      <c r="BE113" s="574"/>
      <c r="BF113" s="574"/>
      <c r="BG113" s="574"/>
      <c r="BH113" s="574"/>
      <c r="BI113" s="574"/>
      <c r="BJ113" s="574"/>
      <c r="BK113" s="574"/>
      <c r="BL113" s="574"/>
      <c r="BM113" s="574"/>
      <c r="BN113" s="574"/>
      <c r="BO113" s="574"/>
      <c r="BP113" s="574"/>
      <c r="BQ113" s="574"/>
      <c r="BR113" s="574"/>
      <c r="BS113" s="574"/>
      <c r="BT113" s="574"/>
      <c r="BU113" s="574"/>
      <c r="BV113" s="574"/>
      <c r="BW113" s="574"/>
      <c r="BX113" s="574"/>
      <c r="BY113" s="574"/>
      <c r="BZ113" s="574"/>
      <c r="CA113" s="574"/>
      <c r="CB113" s="574"/>
      <c r="CC113" s="574"/>
      <c r="CD113" s="574"/>
      <c r="CE113" s="574"/>
      <c r="CF113" s="574"/>
      <c r="CG113" s="574"/>
      <c r="CH113" s="574"/>
      <c r="CI113" s="574"/>
      <c r="CJ113" s="574"/>
      <c r="CK113" s="574"/>
      <c r="CL113" s="574"/>
      <c r="CM113" s="574"/>
      <c r="CN113" s="574"/>
      <c r="CO113" s="574"/>
      <c r="CP113" s="574"/>
      <c r="CQ113" s="574"/>
      <c r="CR113" s="574"/>
      <c r="CS113" s="574"/>
      <c r="CT113" s="574"/>
      <c r="CU113" s="574"/>
      <c r="CV113" s="574"/>
      <c r="CW113" s="574"/>
      <c r="CX113" s="574"/>
      <c r="CY113" s="574"/>
      <c r="CZ113" s="574"/>
      <c r="DA113" s="574"/>
      <c r="DB113" s="574"/>
      <c r="DC113" s="574"/>
      <c r="DD113" s="574"/>
      <c r="DE113" s="574"/>
      <c r="DF113" s="574"/>
      <c r="DG113" s="574"/>
      <c r="DH113" s="574"/>
      <c r="DI113" s="574"/>
      <c r="DJ113" s="574"/>
      <c r="DK113" s="574"/>
      <c r="DL113" s="574"/>
      <c r="DM113" s="574"/>
      <c r="DN113" s="574"/>
      <c r="DO113" s="574"/>
      <c r="DP113" s="574"/>
      <c r="DQ113" s="574"/>
      <c r="DR113" s="574"/>
      <c r="DS113" s="574"/>
      <c r="DT113" s="574"/>
      <c r="DU113" s="574"/>
      <c r="DV113" s="574"/>
      <c r="DW113" s="574"/>
      <c r="DX113" s="574"/>
      <c r="DY113" s="574"/>
      <c r="DZ113" s="574"/>
      <c r="EA113" s="574"/>
      <c r="EB113" s="574"/>
      <c r="EC113" s="574"/>
      <c r="ED113" s="574"/>
      <c r="EE113" s="574"/>
      <c r="EF113" s="574"/>
      <c r="EG113" s="574"/>
      <c r="EH113" s="574"/>
      <c r="EI113" s="574"/>
      <c r="EJ113" s="12"/>
      <c r="EK113" s="12"/>
      <c r="EL113" s="12"/>
      <c r="EM113" s="12"/>
      <c r="EN113" s="12"/>
      <c r="EO113" s="12"/>
      <c r="EP113" s="12"/>
      <c r="EQ113" s="12"/>
      <c r="ER113" s="12"/>
      <c r="ES113" s="12"/>
      <c r="ET113" s="12"/>
      <c r="EU113" s="12"/>
    </row>
    <row r="114">
      <c r="A114" s="12"/>
      <c r="B114" s="12"/>
      <c r="C114" s="12"/>
      <c r="D114" s="574"/>
      <c r="E114" s="574"/>
      <c r="F114" s="574"/>
      <c r="G114" s="574"/>
      <c r="H114" s="574"/>
      <c r="I114" s="574"/>
      <c r="J114" s="574"/>
      <c r="K114" s="574"/>
      <c r="L114" s="574"/>
      <c r="M114" s="574"/>
      <c r="N114" s="574"/>
      <c r="O114" s="574"/>
      <c r="P114" s="574"/>
      <c r="Q114" s="574"/>
      <c r="R114" s="574"/>
      <c r="S114" s="574"/>
      <c r="T114" s="574"/>
      <c r="U114" s="574"/>
      <c r="V114" s="574"/>
      <c r="W114" s="574"/>
      <c r="X114" s="574"/>
      <c r="Y114" s="574"/>
      <c r="Z114" s="574"/>
      <c r="AA114" s="574"/>
      <c r="AB114" s="574"/>
      <c r="AC114" s="574"/>
      <c r="AD114" s="574"/>
      <c r="AE114" s="574"/>
      <c r="AF114" s="574"/>
      <c r="AG114" s="574"/>
      <c r="AH114" s="574"/>
      <c r="AI114" s="574"/>
      <c r="AJ114" s="574"/>
      <c r="AK114" s="574"/>
      <c r="AL114" s="574"/>
      <c r="AM114" s="574"/>
      <c r="AN114" s="574"/>
      <c r="AO114" s="574"/>
      <c r="AP114" s="574"/>
      <c r="AQ114" s="574"/>
      <c r="AR114" s="574"/>
      <c r="AS114" s="574"/>
      <c r="AT114" s="574"/>
      <c r="AU114" s="574"/>
      <c r="AV114" s="574"/>
      <c r="AW114" s="574"/>
      <c r="AX114" s="574"/>
      <c r="AY114" s="574"/>
      <c r="AZ114" s="574"/>
      <c r="BA114" s="574"/>
      <c r="BB114" s="574"/>
      <c r="BC114" s="636"/>
      <c r="BD114" s="636"/>
      <c r="BE114" s="636"/>
      <c r="BF114" s="636"/>
      <c r="BG114" s="636"/>
      <c r="BH114" s="636"/>
      <c r="BI114" s="636"/>
      <c r="BJ114" s="636"/>
      <c r="BK114" s="636"/>
      <c r="BL114" s="636"/>
      <c r="BM114" s="636"/>
      <c r="BN114" s="574"/>
      <c r="BO114" s="574"/>
      <c r="BP114" s="574"/>
      <c r="BQ114" s="574"/>
      <c r="BR114" s="574"/>
      <c r="BS114" s="574"/>
      <c r="BT114" s="574"/>
      <c r="BU114" s="574"/>
      <c r="BV114" s="574"/>
      <c r="BW114" s="574"/>
      <c r="BX114" s="574"/>
      <c r="BY114" s="574"/>
      <c r="BZ114" s="574"/>
      <c r="CA114" s="574"/>
      <c r="CB114" s="574"/>
      <c r="CC114" s="574"/>
      <c r="CD114" s="574"/>
      <c r="CE114" s="574"/>
      <c r="CF114" s="574"/>
      <c r="CG114" s="574"/>
      <c r="CH114" s="574"/>
      <c r="CI114" s="574"/>
      <c r="CJ114" s="574"/>
      <c r="CK114" s="574"/>
      <c r="CL114" s="574"/>
      <c r="CM114" s="574"/>
      <c r="CN114" s="574"/>
      <c r="CO114" s="574"/>
      <c r="CP114" s="574"/>
      <c r="CQ114" s="574"/>
      <c r="CR114" s="574"/>
      <c r="CS114" s="574"/>
      <c r="CT114" s="574"/>
      <c r="CU114" s="574"/>
      <c r="CV114" s="574"/>
      <c r="CW114" s="574"/>
      <c r="CX114" s="574"/>
      <c r="CY114" s="574"/>
      <c r="CZ114" s="574"/>
      <c r="DA114" s="574"/>
      <c r="DB114" s="574"/>
      <c r="DC114" s="574"/>
      <c r="DD114" s="574"/>
      <c r="DE114" s="574"/>
      <c r="DF114" s="574"/>
      <c r="DG114" s="574"/>
      <c r="DH114" s="574"/>
      <c r="DI114" s="574"/>
      <c r="DJ114" s="574"/>
      <c r="DK114" s="574"/>
      <c r="DL114" s="574"/>
      <c r="DM114" s="574"/>
      <c r="DN114" s="574"/>
      <c r="DO114" s="574"/>
      <c r="DP114" s="574"/>
      <c r="DQ114" s="574"/>
      <c r="DR114" s="574"/>
      <c r="DS114" s="574"/>
      <c r="DT114" s="574"/>
      <c r="DU114" s="574"/>
      <c r="DV114" s="574"/>
      <c r="DW114" s="574"/>
      <c r="DX114" s="574"/>
      <c r="DY114" s="574"/>
      <c r="DZ114" s="574"/>
      <c r="EA114" s="574"/>
      <c r="EB114" s="574"/>
      <c r="EC114" s="574"/>
      <c r="ED114" s="574"/>
      <c r="EE114" s="574"/>
      <c r="EF114" s="574"/>
      <c r="EG114" s="574"/>
      <c r="EH114" s="574"/>
      <c r="EI114" s="574"/>
      <c r="EJ114" s="12"/>
      <c r="EK114" s="12"/>
      <c r="EL114" s="12"/>
      <c r="EM114" s="12"/>
      <c r="EN114" s="12"/>
      <c r="EO114" s="12"/>
      <c r="EP114" s="12"/>
      <c r="EQ114" s="12"/>
      <c r="ER114" s="12"/>
      <c r="ES114" s="12"/>
      <c r="ET114" s="12"/>
      <c r="EU114" s="12"/>
    </row>
    <row r="115">
      <c r="A115" s="552"/>
      <c r="B115" s="552"/>
      <c r="C115" s="552"/>
      <c r="D115" s="597"/>
      <c r="E115" s="597"/>
      <c r="F115" s="597"/>
      <c r="G115" s="597"/>
      <c r="H115" s="597"/>
      <c r="I115" s="597"/>
      <c r="J115" s="597"/>
      <c r="K115" s="597"/>
      <c r="L115" s="597"/>
      <c r="M115" s="597"/>
      <c r="N115" s="597"/>
      <c r="O115" s="597"/>
      <c r="P115" s="597"/>
      <c r="Q115" s="597"/>
      <c r="R115" s="597"/>
      <c r="S115" s="597"/>
      <c r="T115" s="597"/>
      <c r="U115" s="597"/>
      <c r="V115" s="597"/>
      <c r="W115" s="597"/>
      <c r="X115" s="597"/>
      <c r="Y115" s="597"/>
      <c r="Z115" s="597"/>
      <c r="AA115" s="597"/>
      <c r="AB115" s="597"/>
      <c r="AC115" s="597"/>
      <c r="AD115" s="597"/>
      <c r="AE115" s="597"/>
      <c r="AF115" s="597"/>
      <c r="AG115" s="597"/>
      <c r="AH115" s="597"/>
      <c r="AI115" s="597"/>
      <c r="AJ115" s="597"/>
      <c r="AK115" s="597"/>
      <c r="AL115" s="597"/>
      <c r="AM115" s="597"/>
      <c r="AN115" s="597"/>
      <c r="AO115" s="597"/>
      <c r="AP115" s="597"/>
      <c r="AQ115" s="597"/>
      <c r="AR115" s="597"/>
      <c r="AS115" s="597"/>
      <c r="AT115" s="597"/>
      <c r="AU115" s="597"/>
      <c r="AV115" s="597"/>
      <c r="AW115" s="597"/>
      <c r="AX115" s="597"/>
      <c r="AY115" s="597"/>
      <c r="AZ115" s="597"/>
      <c r="BA115" s="597"/>
      <c r="BB115" s="637"/>
      <c r="BC115" s="638"/>
      <c r="BD115" s="638"/>
      <c r="BE115" s="638"/>
      <c r="BF115" s="638"/>
      <c r="BG115" s="638"/>
      <c r="BH115" s="638"/>
      <c r="BI115" s="638"/>
      <c r="BJ115" s="638"/>
      <c r="BK115" s="638"/>
      <c r="BL115" s="638"/>
      <c r="BM115" s="639"/>
      <c r="BN115" s="574"/>
      <c r="BO115" s="574"/>
      <c r="BP115" s="574"/>
      <c r="BQ115" s="574"/>
      <c r="BR115" s="574"/>
      <c r="BS115" s="640"/>
      <c r="BT115" s="638"/>
      <c r="BU115" s="638"/>
      <c r="BV115" s="638"/>
      <c r="BW115" s="574"/>
      <c r="BX115" s="574"/>
      <c r="BY115" s="574"/>
      <c r="BZ115" s="574"/>
      <c r="CA115" s="574"/>
      <c r="CB115" s="574"/>
      <c r="CC115" s="574"/>
      <c r="CD115" s="574"/>
      <c r="CE115" s="574"/>
      <c r="CF115" s="574"/>
      <c r="CG115" s="574"/>
      <c r="CH115" s="574"/>
      <c r="CI115" s="574"/>
      <c r="CJ115" s="640"/>
      <c r="CK115" s="638"/>
      <c r="CL115" s="638"/>
      <c r="CM115" s="638"/>
      <c r="CN115" s="574"/>
      <c r="CO115" s="574"/>
      <c r="CP115" s="574"/>
      <c r="CQ115" s="574"/>
      <c r="CR115" s="574"/>
      <c r="CS115" s="574"/>
      <c r="CT115" s="574"/>
      <c r="CU115" s="574"/>
      <c r="CV115" s="574"/>
      <c r="CW115" s="574"/>
      <c r="CX115" s="574"/>
      <c r="CY115" s="574"/>
      <c r="CZ115" s="574"/>
      <c r="DA115" s="640"/>
      <c r="DB115" s="638"/>
      <c r="DC115" s="638"/>
      <c r="DD115" s="638"/>
      <c r="DE115" s="574"/>
      <c r="DF115" s="574"/>
      <c r="DG115" s="574"/>
      <c r="DH115" s="574"/>
      <c r="DI115" s="574"/>
      <c r="DJ115" s="574"/>
      <c r="DK115" s="574"/>
      <c r="DL115" s="574"/>
      <c r="DM115" s="574"/>
      <c r="DN115" s="574"/>
      <c r="DO115" s="574"/>
      <c r="DP115" s="574"/>
      <c r="DQ115" s="574"/>
      <c r="DR115" s="640"/>
      <c r="DS115" s="638"/>
      <c r="DT115" s="638"/>
      <c r="DU115" s="638"/>
      <c r="DV115" s="574"/>
      <c r="DW115" s="574"/>
      <c r="DX115" s="574"/>
      <c r="DY115" s="574"/>
      <c r="DZ115" s="574"/>
      <c r="EA115" s="574"/>
      <c r="EB115" s="574"/>
      <c r="EC115" s="574"/>
      <c r="ED115" s="574"/>
      <c r="EE115" s="574"/>
      <c r="EF115" s="574"/>
      <c r="EG115" s="574"/>
      <c r="EH115" s="574"/>
      <c r="EI115" s="574"/>
      <c r="EJ115" s="574"/>
      <c r="EK115" s="574"/>
      <c r="EL115" s="552"/>
      <c r="EM115" s="552"/>
      <c r="EN115" s="552"/>
      <c r="EO115" s="552"/>
      <c r="EP115" s="552"/>
      <c r="EQ115" s="552"/>
      <c r="ER115" s="552"/>
      <c r="ES115" s="552"/>
      <c r="ET115" s="552"/>
      <c r="EU115" s="552"/>
    </row>
    <row r="116">
      <c r="A116" s="552"/>
      <c r="B116" s="552"/>
      <c r="C116" s="552"/>
      <c r="D116" s="574"/>
      <c r="E116" s="574"/>
      <c r="F116" s="574"/>
      <c r="G116" s="574"/>
      <c r="H116" s="574"/>
      <c r="I116" s="574"/>
      <c r="J116" s="574"/>
      <c r="K116" s="574"/>
      <c r="L116" s="574"/>
      <c r="M116" s="574"/>
      <c r="N116" s="574"/>
      <c r="O116" s="574"/>
      <c r="P116" s="574"/>
      <c r="Q116" s="574"/>
      <c r="R116" s="574"/>
      <c r="S116" s="574"/>
      <c r="T116" s="574"/>
      <c r="U116" s="574"/>
      <c r="V116" s="574"/>
      <c r="W116" s="574"/>
      <c r="X116" s="574"/>
      <c r="Y116" s="574"/>
      <c r="Z116" s="574"/>
      <c r="AA116" s="574"/>
      <c r="AB116" s="574"/>
      <c r="AC116" s="574"/>
      <c r="AD116" s="574"/>
      <c r="AE116" s="574"/>
      <c r="AF116" s="574"/>
      <c r="AG116" s="574"/>
      <c r="AH116" s="574"/>
      <c r="AI116" s="574"/>
      <c r="AJ116" s="574"/>
      <c r="AK116" s="574"/>
      <c r="AL116" s="574"/>
      <c r="AM116" s="574"/>
      <c r="AN116" s="574"/>
      <c r="AO116" s="574"/>
      <c r="AP116" s="574"/>
      <c r="AQ116" s="574"/>
      <c r="AR116" s="574"/>
      <c r="AS116" s="574"/>
      <c r="AT116" s="574"/>
      <c r="AU116" s="574"/>
      <c r="AV116" s="574"/>
      <c r="AW116" s="574"/>
      <c r="AX116" s="574"/>
      <c r="AY116" s="574"/>
      <c r="AZ116" s="574"/>
      <c r="BA116" s="574"/>
      <c r="BB116" s="574"/>
      <c r="BC116" s="574"/>
      <c r="BD116" s="574"/>
      <c r="BE116" s="574"/>
      <c r="BF116" s="574"/>
      <c r="BG116" s="574"/>
      <c r="BH116" s="574"/>
      <c r="BI116" s="574"/>
      <c r="BJ116" s="574"/>
      <c r="BK116" s="574"/>
      <c r="BL116" s="574"/>
      <c r="BM116" s="574"/>
      <c r="BN116" s="574"/>
      <c r="BO116" s="574"/>
      <c r="BP116" s="574"/>
      <c r="BQ116" s="574"/>
      <c r="BR116" s="574"/>
      <c r="BS116" s="574"/>
      <c r="BT116" s="574"/>
      <c r="BU116" s="574"/>
      <c r="BV116" s="574"/>
      <c r="BW116" s="574"/>
      <c r="BX116" s="574"/>
      <c r="BY116" s="574"/>
      <c r="BZ116" s="574"/>
      <c r="CA116" s="574"/>
      <c r="CB116" s="574"/>
      <c r="CC116" s="574"/>
      <c r="CD116" s="574"/>
      <c r="CE116" s="574"/>
      <c r="CF116" s="574"/>
      <c r="CG116" s="574"/>
      <c r="CH116" s="574"/>
      <c r="CI116" s="574"/>
      <c r="CJ116" s="574"/>
      <c r="CK116" s="574"/>
      <c r="CL116" s="574"/>
      <c r="CM116" s="574"/>
      <c r="CN116" s="574"/>
      <c r="CO116" s="574"/>
      <c r="CP116" s="574"/>
      <c r="CQ116" s="574"/>
      <c r="CR116" s="574"/>
      <c r="CS116" s="574"/>
      <c r="CT116" s="574"/>
      <c r="CU116" s="574"/>
      <c r="CV116" s="574"/>
      <c r="CW116" s="574"/>
      <c r="CX116" s="574"/>
      <c r="CY116" s="574"/>
      <c r="CZ116" s="574"/>
      <c r="DA116" s="574"/>
      <c r="DB116" s="574"/>
      <c r="DC116" s="574"/>
      <c r="DD116" s="574"/>
      <c r="DE116" s="574"/>
      <c r="DF116" s="574"/>
      <c r="DG116" s="574"/>
      <c r="DH116" s="574"/>
      <c r="DI116" s="574"/>
      <c r="DJ116" s="574"/>
      <c r="DK116" s="574"/>
      <c r="DL116" s="574"/>
      <c r="DM116" s="574"/>
      <c r="DN116" s="574"/>
      <c r="DO116" s="574"/>
      <c r="DP116" s="574"/>
      <c r="DQ116" s="574"/>
      <c r="DR116" s="574"/>
      <c r="DS116" s="574"/>
      <c r="DT116" s="574"/>
      <c r="DU116" s="574"/>
      <c r="DV116" s="574"/>
      <c r="DW116" s="574"/>
      <c r="DX116" s="574"/>
      <c r="DY116" s="574"/>
      <c r="DZ116" s="574"/>
      <c r="EA116" s="574"/>
      <c r="EB116" s="574"/>
      <c r="EC116" s="574"/>
      <c r="ED116" s="574"/>
      <c r="EE116" s="574"/>
      <c r="EF116" s="574"/>
      <c r="EG116" s="574"/>
      <c r="EH116" s="574"/>
      <c r="EI116" s="574"/>
      <c r="EJ116" s="574"/>
      <c r="EK116" s="574"/>
      <c r="EL116" s="552"/>
      <c r="EM116" s="552"/>
      <c r="EN116" s="552"/>
      <c r="EO116" s="552"/>
      <c r="EP116" s="552"/>
      <c r="EQ116" s="552"/>
      <c r="ER116" s="552"/>
      <c r="ES116" s="552"/>
      <c r="ET116" s="552"/>
      <c r="EU116" s="552"/>
    </row>
    <row r="117">
      <c r="A117" s="552"/>
      <c r="B117" s="552"/>
      <c r="C117" s="552"/>
      <c r="D117" s="574"/>
      <c r="E117" s="574"/>
      <c r="F117" s="574"/>
      <c r="G117" s="574"/>
      <c r="H117" s="574"/>
      <c r="I117" s="574"/>
      <c r="J117" s="574"/>
      <c r="K117" s="574"/>
      <c r="L117" s="574"/>
      <c r="M117" s="574"/>
      <c r="N117" s="574"/>
      <c r="O117" s="574"/>
      <c r="P117" s="574"/>
      <c r="Q117" s="574"/>
      <c r="R117" s="574"/>
      <c r="S117" s="574"/>
      <c r="T117" s="574"/>
      <c r="U117" s="574"/>
      <c r="V117" s="574"/>
      <c r="W117" s="574"/>
      <c r="X117" s="574"/>
      <c r="Y117" s="574"/>
      <c r="Z117" s="574"/>
      <c r="AA117" s="574"/>
      <c r="AB117" s="574"/>
      <c r="AC117" s="574"/>
      <c r="AD117" s="574"/>
      <c r="AE117" s="574"/>
      <c r="AF117" s="574"/>
      <c r="AG117" s="574"/>
      <c r="AH117" s="574"/>
      <c r="AI117" s="574"/>
      <c r="AJ117" s="574"/>
      <c r="AK117" s="574"/>
      <c r="AL117" s="574"/>
      <c r="AM117" s="574"/>
      <c r="AN117" s="574"/>
      <c r="AO117" s="574"/>
      <c r="AP117" s="574"/>
      <c r="AQ117" s="574"/>
      <c r="AR117" s="574"/>
      <c r="AS117" s="574"/>
      <c r="AT117" s="574"/>
      <c r="AU117" s="574"/>
      <c r="AV117" s="574"/>
      <c r="AW117" s="574"/>
      <c r="AX117" s="574"/>
      <c r="AY117" s="574"/>
      <c r="AZ117" s="574"/>
      <c r="BA117" s="574"/>
      <c r="BB117" s="574"/>
      <c r="BC117" s="574"/>
      <c r="BD117" s="574"/>
      <c r="BE117" s="574"/>
      <c r="BF117" s="574"/>
      <c r="BG117" s="574"/>
      <c r="BH117" s="574"/>
      <c r="BI117" s="574"/>
      <c r="BJ117" s="574"/>
      <c r="BK117" s="574"/>
      <c r="BL117" s="574"/>
      <c r="BM117" s="574"/>
      <c r="BN117" s="574"/>
      <c r="BO117" s="574"/>
      <c r="BP117" s="574"/>
      <c r="BQ117" s="574"/>
      <c r="BR117" s="574"/>
      <c r="BS117" s="574"/>
      <c r="BT117" s="574"/>
      <c r="BU117" s="574"/>
      <c r="BV117" s="574"/>
      <c r="BW117" s="574"/>
      <c r="BX117" s="574"/>
      <c r="BY117" s="574"/>
      <c r="BZ117" s="574"/>
      <c r="CA117" s="574"/>
      <c r="CB117" s="574"/>
      <c r="CC117" s="574"/>
      <c r="CD117" s="574"/>
      <c r="CE117" s="574"/>
      <c r="CF117" s="574"/>
      <c r="CG117" s="574"/>
      <c r="CH117" s="574"/>
      <c r="CI117" s="574"/>
      <c r="CJ117" s="574"/>
      <c r="CK117" s="574"/>
      <c r="CL117" s="574"/>
      <c r="CM117" s="574"/>
      <c r="CN117" s="574"/>
      <c r="CO117" s="574"/>
      <c r="CP117" s="574"/>
      <c r="CQ117" s="574"/>
      <c r="CR117" s="574"/>
      <c r="CS117" s="574"/>
      <c r="CT117" s="574"/>
      <c r="CU117" s="574"/>
      <c r="CV117" s="574"/>
      <c r="CW117" s="574"/>
      <c r="CX117" s="574"/>
      <c r="CY117" s="574"/>
      <c r="CZ117" s="574"/>
      <c r="DA117" s="574"/>
      <c r="DB117" s="574"/>
      <c r="DC117" s="574"/>
      <c r="DD117" s="574"/>
      <c r="DE117" s="574"/>
      <c r="DF117" s="574"/>
      <c r="DG117" s="574"/>
      <c r="DH117" s="574"/>
      <c r="DI117" s="574"/>
      <c r="DJ117" s="574"/>
      <c r="DK117" s="574"/>
      <c r="DL117" s="574"/>
      <c r="DM117" s="574"/>
      <c r="DN117" s="574"/>
      <c r="DO117" s="574"/>
      <c r="DP117" s="574"/>
      <c r="DQ117" s="574"/>
      <c r="DR117" s="574"/>
      <c r="DS117" s="574"/>
      <c r="DT117" s="574"/>
      <c r="DU117" s="574"/>
      <c r="DV117" s="574"/>
      <c r="DW117" s="574"/>
      <c r="DX117" s="574"/>
      <c r="DY117" s="574"/>
      <c r="DZ117" s="574"/>
      <c r="EA117" s="574"/>
      <c r="EB117" s="574"/>
      <c r="EC117" s="574"/>
      <c r="ED117" s="574"/>
      <c r="EE117" s="574"/>
      <c r="EF117" s="574"/>
      <c r="EG117" s="574"/>
      <c r="EH117" s="574"/>
      <c r="EI117" s="574"/>
      <c r="EJ117" s="574"/>
      <c r="EK117" s="574"/>
      <c r="EL117" s="552"/>
      <c r="EM117" s="552"/>
      <c r="EN117" s="552"/>
      <c r="EO117" s="552"/>
      <c r="EP117" s="552"/>
      <c r="EQ117" s="552"/>
      <c r="ER117" s="552"/>
      <c r="ES117" s="552"/>
      <c r="ET117" s="552"/>
      <c r="EU117" s="552"/>
    </row>
    <row r="118">
      <c r="A118" s="552"/>
      <c r="B118" s="552"/>
      <c r="C118" s="552"/>
      <c r="D118" s="574"/>
      <c r="E118" s="574"/>
      <c r="F118" s="574"/>
      <c r="G118" s="574"/>
      <c r="H118" s="574"/>
      <c r="I118" s="574"/>
      <c r="J118" s="574"/>
      <c r="K118" s="574"/>
      <c r="L118" s="574"/>
      <c r="M118" s="574"/>
      <c r="N118" s="574"/>
      <c r="O118" s="574"/>
      <c r="P118" s="574"/>
      <c r="Q118" s="574"/>
      <c r="R118" s="574"/>
      <c r="S118" s="574"/>
      <c r="T118" s="574"/>
      <c r="U118" s="574"/>
      <c r="V118" s="574"/>
      <c r="W118" s="574"/>
      <c r="X118" s="574"/>
      <c r="Y118" s="574"/>
      <c r="Z118" s="574"/>
      <c r="AA118" s="574"/>
      <c r="AB118" s="574"/>
      <c r="AC118" s="574"/>
      <c r="AD118" s="574"/>
      <c r="AE118" s="574"/>
      <c r="AF118" s="574"/>
      <c r="AG118" s="574"/>
      <c r="AH118" s="574"/>
      <c r="AI118" s="574"/>
      <c r="AJ118" s="574"/>
      <c r="AK118" s="574"/>
      <c r="AL118" s="574"/>
      <c r="AM118" s="574"/>
      <c r="AN118" s="574"/>
      <c r="AO118" s="574"/>
      <c r="AP118" s="574"/>
      <c r="AQ118" s="574"/>
      <c r="AR118" s="574"/>
      <c r="AS118" s="574"/>
      <c r="AT118" s="574"/>
      <c r="AU118" s="574"/>
      <c r="AV118" s="574"/>
      <c r="AW118" s="574"/>
      <c r="AX118" s="574"/>
      <c r="AY118" s="574"/>
      <c r="AZ118" s="574"/>
      <c r="BA118" s="574"/>
      <c r="BB118" s="574"/>
      <c r="BC118" s="574"/>
      <c r="BD118" s="574"/>
      <c r="BE118" s="574"/>
      <c r="BF118" s="574"/>
      <c r="BG118" s="574"/>
      <c r="BH118" s="574"/>
      <c r="BI118" s="574"/>
      <c r="BJ118" s="574"/>
      <c r="BK118" s="574"/>
      <c r="BL118" s="574"/>
      <c r="BM118" s="574"/>
      <c r="BN118" s="574"/>
      <c r="BO118" s="574"/>
      <c r="BP118" s="574"/>
      <c r="BQ118" s="574"/>
      <c r="BR118" s="574"/>
      <c r="BS118" s="574"/>
      <c r="BT118" s="574"/>
      <c r="BU118" s="574"/>
      <c r="BV118" s="574"/>
      <c r="BW118" s="574"/>
      <c r="BX118" s="574"/>
      <c r="BY118" s="574"/>
      <c r="BZ118" s="574"/>
      <c r="CA118" s="574"/>
      <c r="CB118" s="574"/>
      <c r="CC118" s="574"/>
      <c r="CD118" s="574"/>
      <c r="CE118" s="574"/>
      <c r="CF118" s="574"/>
      <c r="CG118" s="574"/>
      <c r="CH118" s="574"/>
      <c r="CI118" s="574"/>
      <c r="CJ118" s="574"/>
      <c r="CK118" s="574"/>
      <c r="CL118" s="574"/>
      <c r="CM118" s="574"/>
      <c r="CN118" s="574"/>
      <c r="CO118" s="574"/>
      <c r="CP118" s="574"/>
      <c r="CQ118" s="574"/>
      <c r="CR118" s="574"/>
      <c r="CS118" s="574"/>
      <c r="CT118" s="574"/>
      <c r="CU118" s="574"/>
      <c r="CV118" s="574"/>
      <c r="CW118" s="574"/>
      <c r="CX118" s="574"/>
      <c r="CY118" s="574"/>
      <c r="CZ118" s="574"/>
      <c r="DA118" s="574"/>
      <c r="DB118" s="574"/>
      <c r="DC118" s="574"/>
      <c r="DD118" s="574"/>
      <c r="DE118" s="574"/>
      <c r="DF118" s="574"/>
      <c r="DG118" s="574"/>
      <c r="DH118" s="574"/>
      <c r="DI118" s="574"/>
      <c r="DJ118" s="574"/>
      <c r="DK118" s="574"/>
      <c r="DL118" s="574"/>
      <c r="DM118" s="574"/>
      <c r="DN118" s="574"/>
      <c r="DO118" s="574"/>
      <c r="DP118" s="574"/>
      <c r="DQ118" s="574"/>
      <c r="DR118" s="574"/>
      <c r="DS118" s="574"/>
      <c r="DT118" s="574"/>
      <c r="DU118" s="574"/>
      <c r="DV118" s="574"/>
      <c r="DW118" s="574"/>
      <c r="DX118" s="574"/>
      <c r="DY118" s="574"/>
      <c r="DZ118" s="574"/>
      <c r="EA118" s="574"/>
      <c r="EB118" s="574"/>
      <c r="EC118" s="574"/>
      <c r="ED118" s="574"/>
      <c r="EE118" s="574"/>
      <c r="EF118" s="574"/>
      <c r="EG118" s="574"/>
      <c r="EH118" s="574"/>
      <c r="EI118" s="574"/>
      <c r="EJ118" s="574"/>
      <c r="EK118" s="574"/>
      <c r="EL118" s="552"/>
      <c r="EM118" s="552"/>
      <c r="EN118" s="552"/>
      <c r="EO118" s="552"/>
      <c r="EP118" s="552"/>
      <c r="EQ118" s="552"/>
      <c r="ER118" s="552"/>
      <c r="ES118" s="552"/>
      <c r="ET118" s="552"/>
      <c r="EU118" s="552"/>
    </row>
    <row r="119">
      <c r="A119" s="552"/>
      <c r="B119" s="552"/>
      <c r="C119" s="552"/>
      <c r="D119" s="574"/>
      <c r="E119" s="574"/>
      <c r="F119" s="574"/>
      <c r="G119" s="574"/>
      <c r="H119" s="574"/>
      <c r="I119" s="574"/>
      <c r="J119" s="574"/>
      <c r="K119" s="574"/>
      <c r="L119" s="574"/>
      <c r="M119" s="574"/>
      <c r="N119" s="574"/>
      <c r="O119" s="574"/>
      <c r="P119" s="574"/>
      <c r="Q119" s="574"/>
      <c r="R119" s="574"/>
      <c r="S119" s="574"/>
      <c r="T119" s="574"/>
      <c r="U119" s="574"/>
      <c r="V119" s="574"/>
      <c r="W119" s="574"/>
      <c r="X119" s="574"/>
      <c r="Y119" s="574"/>
      <c r="Z119" s="574"/>
      <c r="AA119" s="574"/>
      <c r="AB119" s="574"/>
      <c r="AC119" s="574"/>
      <c r="AD119" s="574"/>
      <c r="AE119" s="574"/>
      <c r="AF119" s="574"/>
      <c r="AG119" s="574"/>
      <c r="AH119" s="574"/>
      <c r="AI119" s="574"/>
      <c r="AJ119" s="574"/>
      <c r="AK119" s="574"/>
      <c r="AL119" s="574"/>
      <c r="AM119" s="574"/>
      <c r="AN119" s="574"/>
      <c r="AO119" s="574"/>
      <c r="AP119" s="574"/>
      <c r="AQ119" s="574"/>
      <c r="AR119" s="574"/>
      <c r="AS119" s="574"/>
      <c r="AT119" s="574"/>
      <c r="AU119" s="574"/>
      <c r="AV119" s="574"/>
      <c r="AW119" s="574"/>
      <c r="AX119" s="574"/>
      <c r="AY119" s="574"/>
      <c r="AZ119" s="574"/>
      <c r="BA119" s="574"/>
      <c r="BB119" s="574"/>
      <c r="BC119" s="574"/>
      <c r="BD119" s="574"/>
      <c r="BE119" s="574"/>
      <c r="BF119" s="574"/>
      <c r="BG119" s="574"/>
      <c r="BH119" s="574"/>
      <c r="BI119" s="574"/>
      <c r="BJ119" s="574"/>
      <c r="BK119" s="574"/>
      <c r="BL119" s="574"/>
      <c r="BM119" s="574"/>
      <c r="BN119" s="574"/>
      <c r="BO119" s="574"/>
      <c r="BP119" s="574"/>
      <c r="BQ119" s="574"/>
      <c r="BR119" s="574"/>
      <c r="BS119" s="574"/>
      <c r="BT119" s="574"/>
      <c r="BU119" s="574"/>
      <c r="BV119" s="574"/>
      <c r="BW119" s="574"/>
      <c r="BX119" s="574"/>
      <c r="BY119" s="574"/>
      <c r="BZ119" s="574"/>
      <c r="CA119" s="574"/>
      <c r="CB119" s="574"/>
      <c r="CC119" s="574"/>
      <c r="CD119" s="574"/>
      <c r="CE119" s="574"/>
      <c r="CF119" s="574"/>
      <c r="CG119" s="574"/>
      <c r="CH119" s="574"/>
      <c r="CI119" s="574"/>
      <c r="CJ119" s="574"/>
      <c r="CK119" s="574"/>
      <c r="CL119" s="574"/>
      <c r="CM119" s="574"/>
      <c r="CN119" s="574"/>
      <c r="CO119" s="574"/>
      <c r="CP119" s="574"/>
      <c r="CQ119" s="574"/>
      <c r="CR119" s="574"/>
      <c r="CS119" s="574"/>
      <c r="CT119" s="574"/>
      <c r="CU119" s="574"/>
      <c r="CV119" s="574"/>
      <c r="CW119" s="574"/>
      <c r="CX119" s="574"/>
      <c r="CY119" s="574"/>
      <c r="CZ119" s="574"/>
      <c r="DA119" s="574"/>
      <c r="DB119" s="574"/>
      <c r="DC119" s="574"/>
      <c r="DD119" s="574"/>
      <c r="DE119" s="574"/>
      <c r="DF119" s="574"/>
      <c r="DG119" s="574"/>
      <c r="DH119" s="574"/>
      <c r="DI119" s="574"/>
      <c r="DJ119" s="574"/>
      <c r="DK119" s="574"/>
      <c r="DL119" s="574"/>
      <c r="DM119" s="574"/>
      <c r="DN119" s="574"/>
      <c r="DO119" s="574"/>
      <c r="DP119" s="574"/>
      <c r="DQ119" s="574"/>
      <c r="DR119" s="574"/>
      <c r="DS119" s="574"/>
      <c r="DT119" s="574"/>
      <c r="DU119" s="574"/>
      <c r="DV119" s="574"/>
      <c r="DW119" s="574"/>
      <c r="DX119" s="574"/>
      <c r="DY119" s="574"/>
      <c r="DZ119" s="574"/>
      <c r="EA119" s="574"/>
      <c r="EB119" s="574"/>
      <c r="EC119" s="574"/>
      <c r="ED119" s="574"/>
      <c r="EE119" s="574"/>
      <c r="EF119" s="574"/>
      <c r="EG119" s="574"/>
      <c r="EH119" s="574"/>
      <c r="EI119" s="574"/>
      <c r="EJ119" s="574"/>
      <c r="EK119" s="574"/>
      <c r="EL119" s="552"/>
      <c r="EM119" s="552"/>
      <c r="EN119" s="552"/>
      <c r="EO119" s="552"/>
      <c r="EP119" s="552"/>
      <c r="EQ119" s="552"/>
      <c r="ER119" s="552"/>
      <c r="ES119" s="552"/>
      <c r="ET119" s="552"/>
      <c r="EU119" s="552"/>
    </row>
    <row r="120">
      <c r="A120" s="552"/>
      <c r="B120" s="552"/>
      <c r="C120" s="552"/>
      <c r="D120" s="552"/>
      <c r="E120" s="552"/>
      <c r="F120" s="552"/>
      <c r="G120" s="552"/>
      <c r="H120" s="552"/>
      <c r="I120" s="552"/>
      <c r="J120" s="552"/>
      <c r="K120" s="552"/>
      <c r="L120" s="552"/>
      <c r="M120" s="552"/>
      <c r="N120" s="552"/>
      <c r="O120" s="552"/>
      <c r="P120" s="552"/>
      <c r="Q120" s="552"/>
      <c r="R120" s="552"/>
      <c r="S120" s="552"/>
      <c r="T120" s="552"/>
      <c r="U120" s="552"/>
      <c r="V120" s="552"/>
      <c r="W120" s="552"/>
      <c r="X120" s="552"/>
      <c r="Y120" s="552"/>
      <c r="Z120" s="552"/>
      <c r="AA120" s="552"/>
      <c r="AB120" s="552"/>
      <c r="AC120" s="552"/>
      <c r="AD120" s="552"/>
      <c r="AE120" s="552"/>
      <c r="AF120" s="552"/>
      <c r="AG120" s="552"/>
      <c r="AH120" s="552"/>
      <c r="AI120" s="552"/>
      <c r="AJ120" s="552"/>
      <c r="AK120" s="552"/>
      <c r="AL120" s="552"/>
      <c r="AM120" s="552"/>
      <c r="AN120" s="552"/>
      <c r="AO120" s="552"/>
      <c r="AP120" s="552"/>
      <c r="AQ120" s="552"/>
      <c r="AR120" s="552"/>
      <c r="AS120" s="552"/>
      <c r="AT120" s="552"/>
      <c r="AU120" s="552"/>
      <c r="AV120" s="552"/>
      <c r="AW120" s="552"/>
      <c r="AX120" s="552"/>
      <c r="AY120" s="552"/>
      <c r="AZ120" s="552"/>
      <c r="BA120" s="552"/>
      <c r="BB120" s="552"/>
      <c r="BC120" s="552"/>
      <c r="BD120" s="552"/>
      <c r="BE120" s="552"/>
      <c r="BF120" s="552"/>
      <c r="BG120" s="552"/>
      <c r="BH120" s="552"/>
      <c r="BI120" s="552"/>
      <c r="BJ120" s="552"/>
      <c r="BK120" s="552"/>
      <c r="BL120" s="552"/>
      <c r="BM120" s="552"/>
      <c r="BN120" s="552"/>
      <c r="BO120" s="552"/>
      <c r="BP120" s="552"/>
      <c r="BQ120" s="552"/>
      <c r="BR120" s="552"/>
      <c r="BS120" s="552"/>
      <c r="BT120" s="552"/>
      <c r="BU120" s="552"/>
      <c r="BV120" s="552"/>
      <c r="BW120" s="552"/>
      <c r="BX120" s="552"/>
      <c r="BY120" s="552"/>
      <c r="BZ120" s="552"/>
      <c r="CA120" s="552"/>
      <c r="CB120" s="552"/>
      <c r="CC120" s="552"/>
      <c r="CD120" s="552"/>
      <c r="CE120" s="552"/>
      <c r="CF120" s="12"/>
      <c r="CG120" s="12"/>
      <c r="CH120" s="12"/>
      <c r="CI120" s="12"/>
      <c r="CJ120" s="12"/>
      <c r="CK120" s="552"/>
      <c r="CL120" s="552"/>
      <c r="CM120" s="552"/>
      <c r="CN120" s="552"/>
      <c r="CO120" s="552"/>
      <c r="CP120" s="552"/>
      <c r="CQ120" s="552"/>
      <c r="CR120" s="552"/>
      <c r="CS120" s="552"/>
      <c r="CT120" s="552"/>
      <c r="CU120" s="552"/>
      <c r="CV120" s="552"/>
      <c r="CW120" s="12"/>
      <c r="CX120" s="12"/>
      <c r="CY120" s="12"/>
      <c r="CZ120" s="12"/>
      <c r="DA120" s="12"/>
      <c r="DB120" s="552"/>
      <c r="DC120" s="552"/>
      <c r="DD120" s="552"/>
      <c r="DE120" s="552"/>
      <c r="DF120" s="552"/>
      <c r="DG120" s="552"/>
      <c r="DH120" s="552"/>
      <c r="DI120" s="552"/>
      <c r="DJ120" s="552"/>
      <c r="DK120" s="552"/>
      <c r="DL120" s="552"/>
      <c r="DM120" s="552"/>
      <c r="DN120" s="12"/>
      <c r="DO120" s="12"/>
      <c r="DP120" s="12"/>
      <c r="DQ120" s="12"/>
      <c r="DR120" s="12"/>
      <c r="DS120" s="552"/>
      <c r="DT120" s="552"/>
      <c r="DU120" s="552"/>
      <c r="DV120" s="552"/>
      <c r="DW120" s="552"/>
      <c r="DX120" s="552"/>
      <c r="DY120" s="552"/>
      <c r="DZ120" s="552"/>
      <c r="EA120" s="552"/>
      <c r="EB120" s="552"/>
      <c r="EC120" s="552"/>
      <c r="ED120" s="552"/>
      <c r="EE120" s="12"/>
      <c r="EF120" s="12"/>
      <c r="EG120" s="12"/>
      <c r="EH120" s="12"/>
      <c r="EI120" s="12"/>
      <c r="EJ120" s="574"/>
      <c r="EK120" s="574"/>
      <c r="EL120" s="574"/>
      <c r="EM120" s="574"/>
      <c r="EN120" s="574"/>
      <c r="EO120" s="574"/>
      <c r="EP120" s="574"/>
      <c r="EQ120" s="574"/>
      <c r="ER120" s="574"/>
      <c r="ES120" s="574"/>
      <c r="ET120" s="574"/>
      <c r="EU120" s="574"/>
    </row>
    <row r="121">
      <c r="A121" s="552"/>
      <c r="B121" s="552"/>
      <c r="C121" s="552"/>
      <c r="D121" s="552"/>
      <c r="E121" s="552"/>
      <c r="F121" s="552"/>
      <c r="G121" s="552"/>
      <c r="H121" s="552"/>
      <c r="I121" s="552"/>
      <c r="J121" s="552"/>
      <c r="K121" s="552"/>
      <c r="L121" s="552"/>
      <c r="M121" s="552"/>
      <c r="N121" s="552"/>
      <c r="O121" s="552"/>
      <c r="P121" s="552"/>
      <c r="Q121" s="552"/>
      <c r="R121" s="552"/>
      <c r="S121" s="552"/>
      <c r="T121" s="552"/>
      <c r="U121" s="552"/>
      <c r="V121" s="552"/>
      <c r="W121" s="552"/>
      <c r="X121" s="552"/>
      <c r="Y121" s="552"/>
      <c r="Z121" s="552"/>
      <c r="AA121" s="552"/>
      <c r="AB121" s="552"/>
      <c r="AC121" s="552"/>
      <c r="AD121" s="552"/>
      <c r="AE121" s="552"/>
      <c r="AF121" s="552"/>
      <c r="AG121" s="552"/>
      <c r="AH121" s="552"/>
      <c r="AI121" s="552"/>
      <c r="AJ121" s="552"/>
      <c r="AK121" s="552"/>
      <c r="AL121" s="552"/>
      <c r="AM121" s="552"/>
      <c r="AN121" s="552"/>
      <c r="AO121" s="552"/>
      <c r="AP121" s="552"/>
      <c r="AQ121" s="552"/>
      <c r="AR121" s="552"/>
      <c r="AS121" s="552"/>
      <c r="AT121" s="552"/>
      <c r="AU121" s="552"/>
      <c r="AV121" s="552"/>
      <c r="AW121" s="552"/>
      <c r="AX121" s="552"/>
      <c r="AY121" s="552"/>
      <c r="AZ121" s="552"/>
      <c r="BA121" s="552"/>
      <c r="BB121" s="552"/>
      <c r="BC121" s="552"/>
      <c r="BD121" s="552"/>
      <c r="BE121" s="552"/>
      <c r="BF121" s="552"/>
      <c r="BG121" s="552"/>
      <c r="BH121" s="552"/>
      <c r="BI121" s="552"/>
      <c r="BJ121" s="552"/>
      <c r="BK121" s="552"/>
      <c r="BL121" s="552"/>
      <c r="BM121" s="552"/>
      <c r="BN121" s="552"/>
      <c r="BO121" s="552"/>
      <c r="BP121" s="552"/>
      <c r="BQ121" s="552"/>
      <c r="BR121" s="552"/>
      <c r="BS121" s="552"/>
      <c r="BT121" s="552"/>
      <c r="BU121" s="552"/>
      <c r="BV121" s="552"/>
      <c r="BW121" s="552"/>
      <c r="BX121" s="552"/>
      <c r="BY121" s="552"/>
      <c r="BZ121" s="552"/>
      <c r="CA121" s="552"/>
      <c r="CB121" s="552"/>
      <c r="CC121" s="552"/>
      <c r="CD121" s="552"/>
      <c r="CE121" s="552"/>
      <c r="CF121" s="12"/>
      <c r="CG121" s="12"/>
      <c r="CH121" s="12"/>
      <c r="CI121" s="12"/>
      <c r="CJ121" s="12"/>
      <c r="CK121" s="552"/>
      <c r="CL121" s="552"/>
      <c r="CM121" s="552"/>
      <c r="CN121" s="552"/>
      <c r="CO121" s="552"/>
      <c r="CP121" s="552"/>
      <c r="CQ121" s="552"/>
      <c r="CR121" s="552"/>
      <c r="CS121" s="552"/>
      <c r="CT121" s="552"/>
      <c r="CU121" s="552"/>
      <c r="CV121" s="552"/>
      <c r="CW121" s="12"/>
      <c r="CX121" s="12"/>
      <c r="CY121" s="12"/>
      <c r="CZ121" s="12"/>
      <c r="DA121" s="12"/>
      <c r="DB121" s="552"/>
      <c r="DC121" s="552"/>
      <c r="DD121" s="552"/>
      <c r="DE121" s="552"/>
      <c r="DF121" s="552"/>
      <c r="DG121" s="552"/>
      <c r="DH121" s="552"/>
      <c r="DI121" s="552"/>
      <c r="DJ121" s="552"/>
      <c r="DK121" s="552"/>
      <c r="DL121" s="552"/>
      <c r="DM121" s="552"/>
      <c r="DN121" s="12"/>
      <c r="DO121" s="12"/>
      <c r="DP121" s="12"/>
      <c r="DQ121" s="12"/>
      <c r="DR121" s="12"/>
      <c r="DS121" s="552"/>
      <c r="DT121" s="552"/>
      <c r="DU121" s="552"/>
      <c r="DV121" s="552"/>
      <c r="DW121" s="552"/>
      <c r="DX121" s="552"/>
      <c r="DY121" s="552"/>
      <c r="DZ121" s="552"/>
      <c r="EA121" s="552"/>
      <c r="EB121" s="552"/>
      <c r="EC121" s="552"/>
      <c r="ED121" s="552"/>
      <c r="EE121" s="12"/>
      <c r="EF121" s="12"/>
      <c r="EG121" s="12"/>
      <c r="EH121" s="12"/>
      <c r="EI121" s="12"/>
      <c r="EJ121" s="574"/>
      <c r="EK121" s="574"/>
      <c r="EL121" s="574"/>
      <c r="EM121" s="574"/>
      <c r="EN121" s="574"/>
      <c r="EO121" s="574"/>
      <c r="EP121" s="574"/>
      <c r="EQ121" s="574"/>
      <c r="ER121" s="574"/>
      <c r="ES121" s="574"/>
      <c r="ET121" s="574"/>
      <c r="EU121" s="574"/>
    </row>
    <row r="122">
      <c r="A122" s="552"/>
      <c r="B122" s="552"/>
      <c r="C122" s="552"/>
      <c r="D122" s="552"/>
      <c r="E122" s="552"/>
      <c r="F122" s="552"/>
      <c r="G122" s="552"/>
      <c r="H122" s="552"/>
      <c r="I122" s="552"/>
      <c r="J122" s="552"/>
      <c r="K122" s="552"/>
      <c r="L122" s="552"/>
      <c r="M122" s="552"/>
      <c r="N122" s="552"/>
      <c r="O122" s="552"/>
      <c r="P122" s="552"/>
      <c r="Q122" s="552"/>
      <c r="R122" s="552"/>
      <c r="S122" s="552"/>
      <c r="T122" s="552"/>
      <c r="U122" s="552"/>
      <c r="V122" s="552"/>
      <c r="W122" s="552"/>
      <c r="X122" s="552"/>
      <c r="Y122" s="552"/>
      <c r="Z122" s="552"/>
      <c r="AA122" s="552"/>
      <c r="AB122" s="552"/>
      <c r="AC122" s="552"/>
      <c r="AD122" s="552"/>
      <c r="AE122" s="552"/>
      <c r="AF122" s="552"/>
      <c r="AG122" s="552"/>
      <c r="AH122" s="552"/>
      <c r="AI122" s="552"/>
      <c r="AJ122" s="552"/>
      <c r="AK122" s="552"/>
      <c r="AL122" s="552"/>
      <c r="AM122" s="552"/>
      <c r="AN122" s="552"/>
      <c r="AO122" s="552"/>
      <c r="AP122" s="552"/>
      <c r="AQ122" s="552"/>
      <c r="AR122" s="552"/>
      <c r="AS122" s="552"/>
      <c r="AT122" s="552"/>
      <c r="AU122" s="552"/>
      <c r="AV122" s="552"/>
      <c r="AW122" s="552"/>
      <c r="AX122" s="552"/>
      <c r="AY122" s="552"/>
      <c r="AZ122" s="552"/>
      <c r="BA122" s="552"/>
      <c r="BB122" s="552"/>
      <c r="BC122" s="552"/>
      <c r="BD122" s="552"/>
      <c r="BE122" s="552"/>
      <c r="BF122" s="552"/>
      <c r="BG122" s="552"/>
      <c r="BH122" s="552"/>
      <c r="BI122" s="552"/>
      <c r="BJ122" s="552"/>
      <c r="BK122" s="552"/>
      <c r="BL122" s="552"/>
      <c r="BM122" s="552"/>
      <c r="BN122" s="552"/>
      <c r="BO122" s="552"/>
      <c r="BP122" s="552"/>
      <c r="BQ122" s="552"/>
      <c r="BR122" s="552"/>
      <c r="BS122" s="552"/>
      <c r="BT122" s="552"/>
      <c r="BU122" s="552"/>
      <c r="BV122" s="552"/>
      <c r="BW122" s="552"/>
      <c r="BX122" s="552"/>
      <c r="BY122" s="552"/>
      <c r="BZ122" s="552"/>
      <c r="CA122" s="552"/>
      <c r="CB122" s="552"/>
      <c r="CC122" s="552"/>
      <c r="CD122" s="552"/>
      <c r="CE122" s="552"/>
      <c r="CF122" s="12"/>
      <c r="CG122" s="12"/>
      <c r="CH122" s="12"/>
      <c r="CI122" s="12"/>
      <c r="CJ122" s="12"/>
      <c r="CK122" s="552"/>
      <c r="CL122" s="552"/>
      <c r="CM122" s="552"/>
      <c r="CN122" s="552"/>
      <c r="CO122" s="552"/>
      <c r="CP122" s="552"/>
      <c r="CQ122" s="552"/>
      <c r="CR122" s="552"/>
      <c r="CS122" s="552"/>
      <c r="CT122" s="552"/>
      <c r="CU122" s="552"/>
      <c r="CV122" s="552"/>
      <c r="CW122" s="12"/>
      <c r="CX122" s="12"/>
      <c r="CY122" s="12"/>
      <c r="CZ122" s="12"/>
      <c r="DA122" s="12"/>
      <c r="DB122" s="552"/>
      <c r="DC122" s="552"/>
      <c r="DD122" s="552"/>
      <c r="DE122" s="552"/>
      <c r="DF122" s="552"/>
      <c r="DG122" s="552"/>
      <c r="DH122" s="552"/>
      <c r="DI122" s="552"/>
      <c r="DJ122" s="552"/>
      <c r="DK122" s="552"/>
      <c r="DL122" s="552"/>
      <c r="DM122" s="552"/>
      <c r="DN122" s="12"/>
      <c r="DO122" s="12"/>
      <c r="DP122" s="12"/>
      <c r="DQ122" s="12"/>
      <c r="DR122" s="12"/>
      <c r="DS122" s="552"/>
      <c r="DT122" s="552"/>
      <c r="DU122" s="552"/>
      <c r="DV122" s="552"/>
      <c r="DW122" s="552"/>
      <c r="DX122" s="552"/>
      <c r="DY122" s="552"/>
      <c r="DZ122" s="552"/>
      <c r="EA122" s="552"/>
      <c r="EB122" s="552"/>
      <c r="EC122" s="552"/>
      <c r="ED122" s="552"/>
      <c r="EE122" s="12"/>
      <c r="EF122" s="12"/>
      <c r="EG122" s="12"/>
      <c r="EH122" s="12"/>
      <c r="EI122" s="12"/>
      <c r="EJ122" s="574"/>
      <c r="EK122" s="574"/>
      <c r="EL122" s="574"/>
      <c r="EM122" s="574"/>
      <c r="EN122" s="574"/>
      <c r="EO122" s="574"/>
      <c r="EP122" s="574"/>
      <c r="EQ122" s="574"/>
      <c r="ER122" s="574"/>
      <c r="ES122" s="574"/>
      <c r="ET122" s="574"/>
      <c r="EU122" s="574"/>
    </row>
    <row r="123">
      <c r="A123" s="552"/>
      <c r="B123" s="552"/>
      <c r="C123" s="552"/>
      <c r="D123" s="552"/>
      <c r="E123" s="552"/>
      <c r="F123" s="552"/>
      <c r="G123" s="552"/>
      <c r="H123" s="552"/>
      <c r="I123" s="552"/>
      <c r="J123" s="552"/>
      <c r="K123" s="552"/>
      <c r="L123" s="552"/>
      <c r="M123" s="552"/>
      <c r="N123" s="552"/>
      <c r="O123" s="552"/>
      <c r="P123" s="552"/>
      <c r="Q123" s="552"/>
      <c r="R123" s="552"/>
      <c r="S123" s="552"/>
      <c r="T123" s="552"/>
      <c r="U123" s="552"/>
      <c r="V123" s="552"/>
      <c r="W123" s="552"/>
      <c r="X123" s="552"/>
      <c r="Y123" s="552"/>
      <c r="Z123" s="552"/>
      <c r="AA123" s="552"/>
      <c r="AB123" s="552"/>
      <c r="AC123" s="552"/>
      <c r="AD123" s="552"/>
      <c r="AE123" s="552"/>
      <c r="AF123" s="552"/>
      <c r="AG123" s="552"/>
      <c r="AH123" s="552"/>
      <c r="AI123" s="552"/>
      <c r="AJ123" s="552"/>
      <c r="AK123" s="552"/>
      <c r="AL123" s="552"/>
      <c r="AM123" s="552"/>
      <c r="AN123" s="552"/>
      <c r="AO123" s="552"/>
      <c r="AP123" s="552"/>
      <c r="AQ123" s="552"/>
      <c r="AR123" s="552"/>
      <c r="AS123" s="552"/>
      <c r="AT123" s="552"/>
      <c r="AU123" s="552"/>
      <c r="AV123" s="552"/>
      <c r="AW123" s="552"/>
      <c r="AX123" s="552"/>
      <c r="AY123" s="552"/>
      <c r="AZ123" s="552"/>
      <c r="BA123" s="552"/>
      <c r="BB123" s="552"/>
      <c r="BC123" s="552"/>
      <c r="BD123" s="552"/>
      <c r="BE123" s="552"/>
      <c r="BF123" s="552"/>
      <c r="BG123" s="552"/>
      <c r="BH123" s="552"/>
      <c r="BI123" s="552"/>
      <c r="BJ123" s="552"/>
      <c r="BK123" s="552"/>
      <c r="BL123" s="552"/>
      <c r="BM123" s="552"/>
      <c r="BN123" s="552"/>
      <c r="BO123" s="552"/>
      <c r="BP123" s="552"/>
      <c r="BQ123" s="552"/>
      <c r="BR123" s="552"/>
      <c r="BS123" s="552"/>
      <c r="BT123" s="552"/>
      <c r="BU123" s="552"/>
      <c r="BV123" s="552"/>
      <c r="BW123" s="552"/>
      <c r="BX123" s="552"/>
      <c r="BY123" s="552"/>
      <c r="BZ123" s="552"/>
      <c r="CA123" s="552"/>
      <c r="CB123" s="552"/>
      <c r="CC123" s="552"/>
      <c r="CD123" s="552"/>
      <c r="CE123" s="552"/>
      <c r="CF123" s="12"/>
      <c r="CG123" s="12"/>
      <c r="CH123" s="12"/>
      <c r="CI123" s="12"/>
      <c r="CJ123" s="12"/>
      <c r="CK123" s="552"/>
      <c r="CL123" s="552"/>
      <c r="CM123" s="552"/>
      <c r="CN123" s="552"/>
      <c r="CO123" s="552"/>
      <c r="CP123" s="552"/>
      <c r="CQ123" s="552"/>
      <c r="CR123" s="552"/>
      <c r="CS123" s="552"/>
      <c r="CT123" s="552"/>
      <c r="CU123" s="552"/>
      <c r="CV123" s="552"/>
      <c r="CW123" s="12"/>
      <c r="CX123" s="12"/>
      <c r="CY123" s="12"/>
      <c r="CZ123" s="12"/>
      <c r="DA123" s="12"/>
      <c r="DB123" s="552"/>
      <c r="DC123" s="552"/>
      <c r="DD123" s="552"/>
      <c r="DE123" s="552"/>
      <c r="DF123" s="552"/>
      <c r="DG123" s="552"/>
      <c r="DH123" s="552"/>
      <c r="DI123" s="552"/>
      <c r="DJ123" s="552"/>
      <c r="DK123" s="552"/>
      <c r="DL123" s="552"/>
      <c r="DM123" s="552"/>
      <c r="DN123" s="12"/>
      <c r="DO123" s="12"/>
      <c r="DP123" s="12"/>
      <c r="DQ123" s="12"/>
      <c r="DR123" s="12"/>
      <c r="DS123" s="552"/>
      <c r="DT123" s="552"/>
      <c r="DU123" s="552"/>
      <c r="DV123" s="552"/>
      <c r="DW123" s="552"/>
      <c r="DX123" s="552"/>
      <c r="DY123" s="552"/>
      <c r="DZ123" s="552"/>
      <c r="EA123" s="552"/>
      <c r="EB123" s="552"/>
      <c r="EC123" s="552"/>
      <c r="ED123" s="552"/>
      <c r="EE123" s="12"/>
      <c r="EF123" s="12"/>
      <c r="EG123" s="12"/>
      <c r="EH123" s="12"/>
      <c r="EI123" s="12"/>
      <c r="EJ123" s="641"/>
      <c r="EK123" s="641" t="s">
        <v>205</v>
      </c>
      <c r="EM123" s="642" t="s">
        <v>206</v>
      </c>
      <c r="EN123" s="641"/>
      <c r="EO123" s="641"/>
      <c r="EP123" s="641"/>
      <c r="EQ123" s="641"/>
      <c r="ER123" s="641"/>
      <c r="ES123" s="641"/>
      <c r="ET123" s="641"/>
      <c r="EU123" s="641"/>
    </row>
    <row r="124">
      <c r="A124" s="11"/>
      <c r="B124" s="643" t="s">
        <v>207</v>
      </c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1"/>
      <c r="BQ124" s="11"/>
      <c r="BR124" s="11"/>
      <c r="BS124" s="11"/>
      <c r="BT124" s="11"/>
      <c r="BU124" s="11"/>
      <c r="BV124" s="11"/>
      <c r="BW124" s="11"/>
      <c r="BX124" s="11"/>
      <c r="BY124" s="11"/>
      <c r="BZ124" s="11"/>
      <c r="CA124" s="11"/>
      <c r="CB124" s="11"/>
      <c r="CC124" s="11"/>
      <c r="CD124" s="11"/>
      <c r="CE124" s="11"/>
      <c r="CF124" s="11"/>
      <c r="CG124" s="11"/>
      <c r="CH124" s="11"/>
      <c r="CI124" s="11"/>
      <c r="CJ124" s="11"/>
      <c r="CK124" s="11"/>
      <c r="CL124" s="11"/>
      <c r="CM124" s="11"/>
      <c r="CN124" s="11"/>
      <c r="CO124" s="11"/>
      <c r="CP124" s="11"/>
      <c r="CQ124" s="11"/>
      <c r="CR124" s="11"/>
      <c r="CS124" s="11"/>
      <c r="CT124" s="11"/>
      <c r="CU124" s="11"/>
      <c r="CV124" s="11"/>
      <c r="CW124" s="11"/>
      <c r="CX124" s="11"/>
      <c r="CY124" s="11"/>
      <c r="CZ124" s="11"/>
      <c r="DA124" s="11"/>
      <c r="DB124" s="11"/>
      <c r="DC124" s="11"/>
      <c r="DD124" s="11"/>
      <c r="DE124" s="11"/>
      <c r="DF124" s="11"/>
      <c r="DG124" s="11"/>
      <c r="DH124" s="11"/>
      <c r="DI124" s="11"/>
      <c r="DJ124" s="11"/>
      <c r="DK124" s="11"/>
      <c r="DL124" s="11"/>
      <c r="DM124" s="11"/>
      <c r="DN124" s="11"/>
      <c r="DO124" s="11"/>
      <c r="DP124" s="11"/>
      <c r="DQ124" s="11"/>
      <c r="DR124" s="11"/>
      <c r="DS124" s="11"/>
      <c r="DT124" s="11"/>
      <c r="DU124" s="11"/>
      <c r="DV124" s="11"/>
      <c r="DW124" s="11"/>
      <c r="DX124" s="11"/>
      <c r="DY124" s="11"/>
      <c r="DZ124" s="11"/>
      <c r="EA124" s="11"/>
      <c r="EB124" s="11"/>
      <c r="EC124" s="11"/>
      <c r="ED124" s="11"/>
      <c r="EE124" s="11"/>
      <c r="EF124" s="11"/>
      <c r="EG124" s="11"/>
      <c r="EH124" s="11"/>
      <c r="EI124" s="11"/>
      <c r="EJ124" s="644">
        <v>2020.0</v>
      </c>
      <c r="EK124" s="644">
        <v>2019.0</v>
      </c>
      <c r="EL124" s="644">
        <v>2020.0</v>
      </c>
      <c r="EM124" s="642"/>
      <c r="EN124" s="641"/>
      <c r="EO124" s="641"/>
      <c r="EP124" s="641"/>
      <c r="EQ124" s="641"/>
      <c r="ER124" s="641"/>
      <c r="ES124" s="641"/>
      <c r="ET124" s="641"/>
      <c r="EU124" s="641"/>
    </row>
    <row r="125" hidden="1">
      <c r="A125" s="577">
        <v>7403.0</v>
      </c>
      <c r="B125" s="12" t="s">
        <v>208</v>
      </c>
      <c r="C125" s="12" t="s">
        <v>209</v>
      </c>
      <c r="D125" s="574"/>
      <c r="E125" s="574"/>
      <c r="F125" s="574"/>
      <c r="G125" s="574"/>
      <c r="H125" s="574"/>
      <c r="I125" s="574"/>
      <c r="J125" s="574"/>
      <c r="K125" s="574"/>
      <c r="L125" s="574"/>
      <c r="M125" s="574"/>
      <c r="N125" s="574"/>
      <c r="O125" s="569">
        <v>43000.0</v>
      </c>
      <c r="P125" s="645">
        <f t="shared" ref="P125:P127" si="211">SUM(D125:F125)</f>
        <v>0</v>
      </c>
      <c r="Q125" s="645">
        <f t="shared" ref="Q125:Q127" si="212">SUM(G125:I125)</f>
        <v>0</v>
      </c>
      <c r="R125" s="645">
        <f t="shared" ref="R125:R127" si="213">SUM(J125:L125)</f>
        <v>0</v>
      </c>
      <c r="S125" s="645">
        <f t="shared" ref="S125:S127" si="214">SUM(M125:O125)</f>
        <v>43000</v>
      </c>
      <c r="T125" s="645">
        <f t="shared" ref="T125:T127" si="215">SUM(P125:S125)</f>
        <v>43000</v>
      </c>
      <c r="U125" s="569">
        <v>15409.0</v>
      </c>
      <c r="V125" s="569">
        <v>18221.0</v>
      </c>
      <c r="W125" s="569">
        <v>16772.0</v>
      </c>
      <c r="X125" s="569">
        <v>17852.0</v>
      </c>
      <c r="Y125" s="569">
        <v>16713.0</v>
      </c>
      <c r="Z125" s="569">
        <v>12622.0</v>
      </c>
      <c r="AA125" s="569">
        <v>6678.0</v>
      </c>
      <c r="AB125" s="569">
        <v>13422.0</v>
      </c>
      <c r="AC125" s="569">
        <v>15372.0</v>
      </c>
      <c r="AD125" s="574"/>
      <c r="AE125" s="574"/>
      <c r="AF125" s="574"/>
      <c r="AG125" s="645">
        <f t="shared" ref="AG125:AG127" si="216">SUM(U125:W125)</f>
        <v>50402</v>
      </c>
      <c r="AH125" s="645">
        <f t="shared" ref="AH125:AH127" si="217">SUM(X125:Z125)</f>
        <v>47187</v>
      </c>
      <c r="AI125" s="645">
        <f t="shared" ref="AI125:AI127" si="218">SUM(AA125:AC125)</f>
        <v>35472</v>
      </c>
      <c r="AJ125" s="645">
        <f t="shared" ref="AJ125:AJ127" si="219">SUM(AD125:AF125)</f>
        <v>0</v>
      </c>
      <c r="AK125" s="645">
        <f t="shared" ref="AK125:AK127" si="220">SUM(AG125:AJ125)</f>
        <v>133061</v>
      </c>
      <c r="AL125" s="569">
        <v>14738.0</v>
      </c>
      <c r="AM125" s="569">
        <v>8561.0</v>
      </c>
      <c r="AN125" s="569">
        <v>19531.0</v>
      </c>
      <c r="AO125" s="569">
        <v>20754.0</v>
      </c>
      <c r="AP125" s="569">
        <v>10296.0</v>
      </c>
      <c r="AQ125" s="569">
        <v>9234.0</v>
      </c>
      <c r="AR125" s="569">
        <v>14202.0</v>
      </c>
      <c r="AS125" s="569">
        <v>17496.0</v>
      </c>
      <c r="AT125" s="569">
        <v>20394.0</v>
      </c>
      <c r="AU125" s="569">
        <v>15552.0</v>
      </c>
      <c r="AV125" s="569">
        <v>14076.0</v>
      </c>
      <c r="AW125" s="569">
        <v>13572.0</v>
      </c>
      <c r="AX125" s="645">
        <f t="shared" ref="AX125:AX127" si="221">SUM(AL125:AN125)</f>
        <v>42830</v>
      </c>
      <c r="AY125" s="645">
        <f t="shared" ref="AY125:AY127" si="222">SUM(AO125:AQ125)</f>
        <v>40284</v>
      </c>
      <c r="AZ125" s="645">
        <f t="shared" ref="AZ125:AZ127" si="223">SUM(AR125:AT125)</f>
        <v>52092</v>
      </c>
      <c r="BA125" s="645">
        <f t="shared" ref="BA125:BA127" si="224">SUM(AU125:AW125)</f>
        <v>43200</v>
      </c>
      <c r="BB125" s="645">
        <f t="shared" ref="BB125:BB127" si="225">SUM(AX125:BA125)</f>
        <v>178406</v>
      </c>
      <c r="BC125" s="569">
        <v>14652.0</v>
      </c>
      <c r="BD125" s="569">
        <v>17928.0</v>
      </c>
      <c r="BE125" s="569">
        <v>19116.0</v>
      </c>
      <c r="BF125" s="569">
        <v>13778.0</v>
      </c>
      <c r="BG125" s="569">
        <v>12240.0</v>
      </c>
      <c r="BH125" s="569">
        <v>2880.0</v>
      </c>
      <c r="BI125" s="569">
        <v>30474.0</v>
      </c>
      <c r="BJ125" s="569">
        <v>15948.0</v>
      </c>
      <c r="BK125" s="569">
        <v>13292.0</v>
      </c>
      <c r="BL125" s="569">
        <v>15354.0</v>
      </c>
      <c r="BM125" s="569">
        <v>10062.0</v>
      </c>
      <c r="BN125" s="569">
        <v>8658.0</v>
      </c>
      <c r="BO125" s="645">
        <f t="shared" ref="BO125:BO127" si="226">SUM(BC125:BE125)</f>
        <v>51696</v>
      </c>
      <c r="BP125" s="645">
        <f t="shared" ref="BP125:BP127" si="227">SUM(BF125:BH125)</f>
        <v>28898</v>
      </c>
      <c r="BQ125" s="645">
        <f t="shared" ref="BQ125:BQ127" si="228">SUM(BI125:BK125)</f>
        <v>59714</v>
      </c>
      <c r="BR125" s="645">
        <f t="shared" ref="BR125:BR127" si="229">SUM(BL125:BN125)</f>
        <v>34074</v>
      </c>
      <c r="BS125" s="645">
        <f t="shared" ref="BS125:BS127" si="230">SUM(BO125:BR125)</f>
        <v>174382</v>
      </c>
      <c r="BT125" s="569">
        <v>24354.0</v>
      </c>
      <c r="BU125" s="569">
        <v>18450.0</v>
      </c>
      <c r="BV125" s="569">
        <v>20988.0</v>
      </c>
      <c r="BW125" s="569">
        <v>18072.0</v>
      </c>
      <c r="BX125" s="569">
        <v>13716.0</v>
      </c>
      <c r="BY125" s="569">
        <v>11124.0</v>
      </c>
      <c r="BZ125" s="569">
        <v>15354.0</v>
      </c>
      <c r="CA125" s="569">
        <v>15354.0</v>
      </c>
      <c r="CB125" s="569">
        <v>11646.0</v>
      </c>
      <c r="CC125" s="574"/>
      <c r="CD125" s="574"/>
      <c r="CE125" s="574"/>
      <c r="CF125" s="646">
        <f t="shared" ref="CF125:CF127" si="231">SUM(BT125:BV125)</f>
        <v>63792</v>
      </c>
      <c r="CG125" s="646">
        <f t="shared" ref="CG125:CG127" si="232">SUM(BW125:BY125)</f>
        <v>42912</v>
      </c>
      <c r="CH125" s="646">
        <f t="shared" ref="CH125:CH127" si="233">SUM(BZ125:CB125)</f>
        <v>42354</v>
      </c>
      <c r="CI125" s="646">
        <f t="shared" ref="CI125:CI127" si="234">SUM(CC125:CE125)</f>
        <v>0</v>
      </c>
      <c r="CJ125" s="646">
        <f t="shared" ref="CJ125:CJ127" si="235">SUM(CF125:CI125)</f>
        <v>149058</v>
      </c>
      <c r="CK125" s="574"/>
      <c r="CL125" s="574"/>
      <c r="CM125" s="574"/>
      <c r="CN125" s="574"/>
      <c r="CO125" s="574"/>
      <c r="CP125" s="574"/>
      <c r="CQ125" s="574"/>
      <c r="CR125" s="574"/>
      <c r="CS125" s="574"/>
      <c r="CT125" s="574"/>
      <c r="CU125" s="574"/>
      <c r="CV125" s="574"/>
      <c r="CW125" s="646">
        <f t="shared" ref="CW125:CW127" si="236">SUM(CK125:CM125)</f>
        <v>0</v>
      </c>
      <c r="CX125" s="646">
        <f t="shared" ref="CX125:CX127" si="237">SUM(CN125:CP125)</f>
        <v>0</v>
      </c>
      <c r="CY125" s="646">
        <f t="shared" ref="CY125:CY127" si="238">SUM(CQ125:CS125)</f>
        <v>0</v>
      </c>
      <c r="CZ125" s="646">
        <f t="shared" ref="CZ125:CZ127" si="239">SUM(CT125:CV125)</f>
        <v>0</v>
      </c>
      <c r="DA125" s="646">
        <f t="shared" ref="DA125:DA127" si="240">SUM(CW125:CZ125)</f>
        <v>0</v>
      </c>
      <c r="DB125" s="574"/>
      <c r="DC125" s="574"/>
      <c r="DD125" s="574"/>
      <c r="DE125" s="574"/>
      <c r="DF125" s="574"/>
      <c r="DG125" s="574"/>
      <c r="DH125" s="574"/>
      <c r="DI125" s="574"/>
      <c r="DJ125" s="574"/>
      <c r="DK125" s="574"/>
      <c r="DL125" s="574"/>
      <c r="DM125" s="574"/>
      <c r="DN125" s="646">
        <f t="shared" ref="DN125:DN127" si="241">SUM(DB125:DD125)</f>
        <v>0</v>
      </c>
      <c r="DO125" s="646">
        <f t="shared" ref="DO125:DO127" si="242">SUM(DE125:DG125)</f>
        <v>0</v>
      </c>
      <c r="DP125" s="646">
        <f t="shared" ref="DP125:DP127" si="243">SUM(DH125:DJ125)</f>
        <v>0</v>
      </c>
      <c r="DQ125" s="646">
        <f t="shared" ref="DQ125:DQ127" si="244">SUM(DK125:DM125)</f>
        <v>0</v>
      </c>
      <c r="DR125" s="646">
        <f t="shared" ref="DR125:DR127" si="245">SUM(DN125:DQ125)</f>
        <v>0</v>
      </c>
      <c r="DS125" s="574"/>
      <c r="DT125" s="574"/>
      <c r="DU125" s="574"/>
      <c r="DV125" s="574"/>
      <c r="DW125" s="574"/>
      <c r="DX125" s="574"/>
      <c r="DY125" s="574"/>
      <c r="DZ125" s="574"/>
      <c r="EA125" s="574"/>
      <c r="EB125" s="574"/>
      <c r="EC125" s="574"/>
      <c r="ED125" s="574"/>
      <c r="EE125" s="646">
        <f t="shared" ref="EE125:EE127" si="246">SUM(DS125:DU125)</f>
        <v>0</v>
      </c>
      <c r="EF125" s="646">
        <f t="shared" ref="EF125:EF127" si="247">SUM(DV125:DX125)</f>
        <v>0</v>
      </c>
      <c r="EG125" s="646">
        <f t="shared" ref="EG125:EG127" si="248">SUM(DY125:EA125)</f>
        <v>0</v>
      </c>
      <c r="EH125" s="646">
        <f t="shared" ref="EH125:EH127" si="249">SUM(EB125:ED125)</f>
        <v>0</v>
      </c>
      <c r="EI125" s="646">
        <f t="shared" ref="EI125:EI127" si="250">SUM(EE125:EH125)</f>
        <v>0</v>
      </c>
      <c r="EJ125" s="569">
        <v>83.840008911638</v>
      </c>
      <c r="EK125" s="571" t="str">
        <f>CY125/DA125*100</f>
        <v>#DIV/0!</v>
      </c>
      <c r="EL125" s="569">
        <f>CZ125/EJ125*100</f>
        <v>0</v>
      </c>
      <c r="EM125" s="596" t="str">
        <f>EL125/EK125*100-100</f>
        <v>#DIV/0!</v>
      </c>
      <c r="EN125" s="574"/>
      <c r="EO125" s="574"/>
      <c r="EP125" s="574"/>
      <c r="EQ125" s="574"/>
      <c r="ER125" s="574"/>
      <c r="ES125" s="574"/>
      <c r="ET125" s="574"/>
      <c r="EU125" s="574"/>
    </row>
    <row r="126" hidden="1">
      <c r="A126" s="577">
        <v>7403.0</v>
      </c>
      <c r="B126" s="12" t="s">
        <v>210</v>
      </c>
      <c r="C126" s="12" t="s">
        <v>209</v>
      </c>
      <c r="D126" s="574"/>
      <c r="E126" s="574"/>
      <c r="F126" s="574"/>
      <c r="G126" s="574"/>
      <c r="H126" s="574"/>
      <c r="I126" s="574"/>
      <c r="J126" s="574"/>
      <c r="K126" s="574"/>
      <c r="L126" s="574"/>
      <c r="M126" s="574"/>
      <c r="N126" s="574"/>
      <c r="O126" s="574"/>
      <c r="P126" s="645">
        <f t="shared" si="211"/>
        <v>0</v>
      </c>
      <c r="Q126" s="645">
        <f t="shared" si="212"/>
        <v>0</v>
      </c>
      <c r="R126" s="645">
        <f t="shared" si="213"/>
        <v>0</v>
      </c>
      <c r="S126" s="645">
        <f t="shared" si="214"/>
        <v>0</v>
      </c>
      <c r="T126" s="645">
        <f t="shared" si="215"/>
        <v>0</v>
      </c>
      <c r="U126" s="574"/>
      <c r="V126" s="574"/>
      <c r="W126" s="574"/>
      <c r="X126" s="574"/>
      <c r="Y126" s="574"/>
      <c r="Z126" s="574"/>
      <c r="AA126" s="574"/>
      <c r="AB126" s="574"/>
      <c r="AC126" s="574"/>
      <c r="AD126" s="574"/>
      <c r="AE126" s="574"/>
      <c r="AF126" s="574"/>
      <c r="AG126" s="645">
        <f t="shared" si="216"/>
        <v>0</v>
      </c>
      <c r="AH126" s="645">
        <f t="shared" si="217"/>
        <v>0</v>
      </c>
      <c r="AI126" s="645">
        <f t="shared" si="218"/>
        <v>0</v>
      </c>
      <c r="AJ126" s="645">
        <f t="shared" si="219"/>
        <v>0</v>
      </c>
      <c r="AK126" s="645">
        <f t="shared" si="220"/>
        <v>0</v>
      </c>
      <c r="AL126" s="574"/>
      <c r="AM126" s="574"/>
      <c r="AN126" s="574"/>
      <c r="AO126" s="574"/>
      <c r="AP126" s="574"/>
      <c r="AQ126" s="574"/>
      <c r="AR126" s="574"/>
      <c r="AS126" s="574"/>
      <c r="AT126" s="574"/>
      <c r="AU126" s="574"/>
      <c r="AV126" s="574"/>
      <c r="AW126" s="574"/>
      <c r="AX126" s="645">
        <f t="shared" si="221"/>
        <v>0</v>
      </c>
      <c r="AY126" s="645">
        <f t="shared" si="222"/>
        <v>0</v>
      </c>
      <c r="AZ126" s="645">
        <f t="shared" si="223"/>
        <v>0</v>
      </c>
      <c r="BA126" s="645">
        <f t="shared" si="224"/>
        <v>0</v>
      </c>
      <c r="BB126" s="645">
        <f t="shared" si="225"/>
        <v>0</v>
      </c>
      <c r="BC126" s="574"/>
      <c r="BD126" s="574"/>
      <c r="BE126" s="574"/>
      <c r="BF126" s="574"/>
      <c r="BG126" s="574"/>
      <c r="BH126" s="574"/>
      <c r="BI126" s="574"/>
      <c r="BJ126" s="574"/>
      <c r="BK126" s="574"/>
      <c r="BL126" s="574"/>
      <c r="BM126" s="574"/>
      <c r="BN126" s="574"/>
      <c r="BO126" s="645">
        <f t="shared" si="226"/>
        <v>0</v>
      </c>
      <c r="BP126" s="645">
        <f t="shared" si="227"/>
        <v>0</v>
      </c>
      <c r="BQ126" s="645">
        <f t="shared" si="228"/>
        <v>0</v>
      </c>
      <c r="BR126" s="645">
        <f t="shared" si="229"/>
        <v>0</v>
      </c>
      <c r="BS126" s="645">
        <f t="shared" si="230"/>
        <v>0</v>
      </c>
      <c r="BT126" s="569">
        <v>0.0</v>
      </c>
      <c r="BU126" s="569">
        <v>0.0</v>
      </c>
      <c r="BV126" s="569">
        <v>0.0</v>
      </c>
      <c r="BW126" s="574"/>
      <c r="BX126" s="574"/>
      <c r="BY126" s="574"/>
      <c r="BZ126" s="574"/>
      <c r="CA126" s="574"/>
      <c r="CB126" s="574"/>
      <c r="CC126" s="574"/>
      <c r="CD126" s="574"/>
      <c r="CE126" s="574"/>
      <c r="CF126" s="646">
        <f t="shared" si="231"/>
        <v>0</v>
      </c>
      <c r="CG126" s="646">
        <f t="shared" si="232"/>
        <v>0</v>
      </c>
      <c r="CH126" s="646">
        <f t="shared" si="233"/>
        <v>0</v>
      </c>
      <c r="CI126" s="646">
        <f t="shared" si="234"/>
        <v>0</v>
      </c>
      <c r="CJ126" s="646">
        <f t="shared" si="235"/>
        <v>0</v>
      </c>
      <c r="CK126" s="574"/>
      <c r="CL126" s="574"/>
      <c r="CM126" s="574"/>
      <c r="CN126" s="574"/>
      <c r="CO126" s="574"/>
      <c r="CP126" s="574"/>
      <c r="CQ126" s="574"/>
      <c r="CR126" s="574"/>
      <c r="CS126" s="574"/>
      <c r="CT126" s="574"/>
      <c r="CU126" s="574"/>
      <c r="CV126" s="574"/>
      <c r="CW126" s="646">
        <f t="shared" si="236"/>
        <v>0</v>
      </c>
      <c r="CX126" s="646">
        <f t="shared" si="237"/>
        <v>0</v>
      </c>
      <c r="CY126" s="646">
        <f t="shared" si="238"/>
        <v>0</v>
      </c>
      <c r="CZ126" s="646">
        <f t="shared" si="239"/>
        <v>0</v>
      </c>
      <c r="DA126" s="646">
        <f t="shared" si="240"/>
        <v>0</v>
      </c>
      <c r="DB126" s="574"/>
      <c r="DC126" s="574"/>
      <c r="DD126" s="574"/>
      <c r="DE126" s="574"/>
      <c r="DF126" s="574"/>
      <c r="DG126" s="574"/>
      <c r="DH126" s="574"/>
      <c r="DI126" s="574"/>
      <c r="DJ126" s="574"/>
      <c r="DK126" s="574"/>
      <c r="DL126" s="574"/>
      <c r="DM126" s="574"/>
      <c r="DN126" s="646">
        <f t="shared" si="241"/>
        <v>0</v>
      </c>
      <c r="DO126" s="646">
        <f t="shared" si="242"/>
        <v>0</v>
      </c>
      <c r="DP126" s="646">
        <f t="shared" si="243"/>
        <v>0</v>
      </c>
      <c r="DQ126" s="646">
        <f t="shared" si="244"/>
        <v>0</v>
      </c>
      <c r="DR126" s="646">
        <f t="shared" si="245"/>
        <v>0</v>
      </c>
      <c r="DS126" s="574"/>
      <c r="DT126" s="574"/>
      <c r="DU126" s="574"/>
      <c r="DV126" s="574"/>
      <c r="DW126" s="574"/>
      <c r="DX126" s="574"/>
      <c r="DY126" s="574"/>
      <c r="DZ126" s="574"/>
      <c r="EA126" s="574"/>
      <c r="EB126" s="574"/>
      <c r="EC126" s="574"/>
      <c r="ED126" s="574"/>
      <c r="EE126" s="646">
        <f t="shared" si="246"/>
        <v>0</v>
      </c>
      <c r="EF126" s="646">
        <f t="shared" si="247"/>
        <v>0</v>
      </c>
      <c r="EG126" s="646">
        <f t="shared" si="248"/>
        <v>0</v>
      </c>
      <c r="EH126" s="646">
        <f t="shared" si="249"/>
        <v>0</v>
      </c>
      <c r="EI126" s="646">
        <f t="shared" si="250"/>
        <v>0</v>
      </c>
      <c r="EJ126" s="574"/>
      <c r="EK126" s="574"/>
      <c r="EL126" s="574"/>
      <c r="EM126" s="574"/>
      <c r="EN126" s="574"/>
      <c r="EO126" s="574"/>
      <c r="EP126" s="574"/>
      <c r="EQ126" s="574"/>
      <c r="ER126" s="574"/>
      <c r="ES126" s="574"/>
      <c r="ET126" s="574"/>
      <c r="EU126" s="574"/>
    </row>
    <row r="127" hidden="1">
      <c r="A127" s="577">
        <v>7403.0</v>
      </c>
      <c r="B127" s="12" t="s">
        <v>211</v>
      </c>
      <c r="C127" s="12" t="s">
        <v>209</v>
      </c>
      <c r="D127" s="574"/>
      <c r="E127" s="574"/>
      <c r="F127" s="574"/>
      <c r="G127" s="574"/>
      <c r="H127" s="574"/>
      <c r="I127" s="574"/>
      <c r="J127" s="574"/>
      <c r="K127" s="574"/>
      <c r="L127" s="574"/>
      <c r="M127" s="574"/>
      <c r="N127" s="574"/>
      <c r="O127" s="574"/>
      <c r="P127" s="645">
        <f t="shared" si="211"/>
        <v>0</v>
      </c>
      <c r="Q127" s="645">
        <f t="shared" si="212"/>
        <v>0</v>
      </c>
      <c r="R127" s="645">
        <f t="shared" si="213"/>
        <v>0</v>
      </c>
      <c r="S127" s="645">
        <f t="shared" si="214"/>
        <v>0</v>
      </c>
      <c r="T127" s="645">
        <f t="shared" si="215"/>
        <v>0</v>
      </c>
      <c r="U127" s="574"/>
      <c r="V127" s="574"/>
      <c r="W127" s="574"/>
      <c r="X127" s="574"/>
      <c r="Y127" s="574"/>
      <c r="Z127" s="574"/>
      <c r="AA127" s="574"/>
      <c r="AB127" s="574"/>
      <c r="AC127" s="574"/>
      <c r="AD127" s="574"/>
      <c r="AE127" s="574"/>
      <c r="AF127" s="569">
        <v>3024.0</v>
      </c>
      <c r="AG127" s="645">
        <f t="shared" si="216"/>
        <v>0</v>
      </c>
      <c r="AH127" s="645">
        <f t="shared" si="217"/>
        <v>0</v>
      </c>
      <c r="AI127" s="645">
        <f t="shared" si="218"/>
        <v>0</v>
      </c>
      <c r="AJ127" s="645">
        <f t="shared" si="219"/>
        <v>3024</v>
      </c>
      <c r="AK127" s="645">
        <f t="shared" si="220"/>
        <v>3024</v>
      </c>
      <c r="AL127" s="569">
        <v>10576.0</v>
      </c>
      <c r="AM127" s="569">
        <v>18224.0</v>
      </c>
      <c r="AN127" s="569">
        <v>11488.0</v>
      </c>
      <c r="AO127" s="569">
        <v>6848.0</v>
      </c>
      <c r="AP127" s="569">
        <v>1552.0</v>
      </c>
      <c r="AQ127" s="574"/>
      <c r="AR127" s="574"/>
      <c r="AS127" s="574"/>
      <c r="AT127" s="574"/>
      <c r="AU127" s="569">
        <v>15840.0</v>
      </c>
      <c r="AV127" s="574"/>
      <c r="AW127" s="574"/>
      <c r="AX127" s="645">
        <f t="shared" si="221"/>
        <v>40288</v>
      </c>
      <c r="AY127" s="645">
        <f t="shared" si="222"/>
        <v>8400</v>
      </c>
      <c r="AZ127" s="645">
        <f t="shared" si="223"/>
        <v>0</v>
      </c>
      <c r="BA127" s="645">
        <f t="shared" si="224"/>
        <v>15840</v>
      </c>
      <c r="BB127" s="645">
        <f t="shared" si="225"/>
        <v>64528</v>
      </c>
      <c r="BC127" s="574"/>
      <c r="BD127" s="574"/>
      <c r="BE127" s="574"/>
      <c r="BF127" s="574"/>
      <c r="BG127" s="574"/>
      <c r="BH127" s="574"/>
      <c r="BI127" s="574"/>
      <c r="BJ127" s="574"/>
      <c r="BK127" s="574"/>
      <c r="BL127" s="574"/>
      <c r="BM127" s="574"/>
      <c r="BN127" s="574"/>
      <c r="BO127" s="645">
        <f t="shared" si="226"/>
        <v>0</v>
      </c>
      <c r="BP127" s="645">
        <f t="shared" si="227"/>
        <v>0</v>
      </c>
      <c r="BQ127" s="645">
        <f t="shared" si="228"/>
        <v>0</v>
      </c>
      <c r="BR127" s="645">
        <f t="shared" si="229"/>
        <v>0</v>
      </c>
      <c r="BS127" s="645">
        <f t="shared" si="230"/>
        <v>0</v>
      </c>
      <c r="BT127" s="569">
        <v>0.0</v>
      </c>
      <c r="BU127" s="569">
        <v>0.0</v>
      </c>
      <c r="BV127" s="569">
        <v>0.0</v>
      </c>
      <c r="BW127" s="574"/>
      <c r="BX127" s="574"/>
      <c r="BY127" s="574"/>
      <c r="BZ127" s="574"/>
      <c r="CA127" s="574"/>
      <c r="CB127" s="574"/>
      <c r="CC127" s="574"/>
      <c r="CD127" s="574"/>
      <c r="CE127" s="574"/>
      <c r="CF127" s="646">
        <f t="shared" si="231"/>
        <v>0</v>
      </c>
      <c r="CG127" s="646">
        <f t="shared" si="232"/>
        <v>0</v>
      </c>
      <c r="CH127" s="646">
        <f t="shared" si="233"/>
        <v>0</v>
      </c>
      <c r="CI127" s="646">
        <f t="shared" si="234"/>
        <v>0</v>
      </c>
      <c r="CJ127" s="646">
        <f t="shared" si="235"/>
        <v>0</v>
      </c>
      <c r="CK127" s="574"/>
      <c r="CL127" s="574"/>
      <c r="CM127" s="574"/>
      <c r="CN127" s="574"/>
      <c r="CO127" s="574"/>
      <c r="CP127" s="574"/>
      <c r="CQ127" s="574"/>
      <c r="CR127" s="574"/>
      <c r="CS127" s="574"/>
      <c r="CT127" s="574"/>
      <c r="CU127" s="574"/>
      <c r="CV127" s="574"/>
      <c r="CW127" s="646">
        <f t="shared" si="236"/>
        <v>0</v>
      </c>
      <c r="CX127" s="646">
        <f t="shared" si="237"/>
        <v>0</v>
      </c>
      <c r="CY127" s="646">
        <f t="shared" si="238"/>
        <v>0</v>
      </c>
      <c r="CZ127" s="646">
        <f t="shared" si="239"/>
        <v>0</v>
      </c>
      <c r="DA127" s="646">
        <f t="shared" si="240"/>
        <v>0</v>
      </c>
      <c r="DB127" s="574"/>
      <c r="DC127" s="574"/>
      <c r="DD127" s="574"/>
      <c r="DE127" s="574"/>
      <c r="DF127" s="574"/>
      <c r="DG127" s="574"/>
      <c r="DH127" s="574"/>
      <c r="DI127" s="574"/>
      <c r="DJ127" s="574"/>
      <c r="DK127" s="574"/>
      <c r="DL127" s="574"/>
      <c r="DM127" s="574"/>
      <c r="DN127" s="646">
        <f t="shared" si="241"/>
        <v>0</v>
      </c>
      <c r="DO127" s="646">
        <f t="shared" si="242"/>
        <v>0</v>
      </c>
      <c r="DP127" s="646">
        <f t="shared" si="243"/>
        <v>0</v>
      </c>
      <c r="DQ127" s="646">
        <f t="shared" si="244"/>
        <v>0</v>
      </c>
      <c r="DR127" s="646">
        <f t="shared" si="245"/>
        <v>0</v>
      </c>
      <c r="DS127" s="574"/>
      <c r="DT127" s="574"/>
      <c r="DU127" s="574"/>
      <c r="DV127" s="574"/>
      <c r="DW127" s="574"/>
      <c r="DX127" s="574"/>
      <c r="DY127" s="574"/>
      <c r="DZ127" s="574"/>
      <c r="EA127" s="574"/>
      <c r="EB127" s="574"/>
      <c r="EC127" s="574"/>
      <c r="ED127" s="574"/>
      <c r="EE127" s="646">
        <f t="shared" si="246"/>
        <v>0</v>
      </c>
      <c r="EF127" s="646">
        <f t="shared" si="247"/>
        <v>0</v>
      </c>
      <c r="EG127" s="646">
        <f t="shared" si="248"/>
        <v>0</v>
      </c>
      <c r="EH127" s="646">
        <f t="shared" si="249"/>
        <v>0</v>
      </c>
      <c r="EI127" s="646">
        <f t="shared" si="250"/>
        <v>0</v>
      </c>
      <c r="EJ127" s="574"/>
      <c r="EK127" s="574"/>
      <c r="EL127" s="574"/>
      <c r="EM127" s="574"/>
      <c r="EN127" s="574"/>
      <c r="EO127" s="574"/>
      <c r="EP127" s="574"/>
      <c r="EQ127" s="574"/>
      <c r="ER127" s="574"/>
      <c r="ES127" s="574"/>
      <c r="ET127" s="574"/>
      <c r="EU127" s="574"/>
    </row>
    <row r="128" hidden="1">
      <c r="A128" s="647">
        <v>7403.0</v>
      </c>
      <c r="B128" s="648" t="s">
        <v>212</v>
      </c>
      <c r="C128" s="648"/>
      <c r="D128" s="636"/>
      <c r="E128" s="636"/>
      <c r="F128" s="636"/>
      <c r="G128" s="636"/>
      <c r="H128" s="636"/>
      <c r="I128" s="636"/>
      <c r="J128" s="636"/>
      <c r="K128" s="636"/>
      <c r="L128" s="636"/>
      <c r="M128" s="636"/>
      <c r="N128" s="636"/>
      <c r="O128" s="636"/>
      <c r="P128" s="636"/>
      <c r="Q128" s="636"/>
      <c r="R128" s="636"/>
      <c r="S128" s="636"/>
      <c r="T128" s="636"/>
      <c r="U128" s="636"/>
      <c r="V128" s="636"/>
      <c r="W128" s="636"/>
      <c r="X128" s="636"/>
      <c r="Y128" s="636"/>
      <c r="Z128" s="636"/>
      <c r="AA128" s="636"/>
      <c r="AB128" s="636"/>
      <c r="AC128" s="636"/>
      <c r="AD128" s="636"/>
      <c r="AE128" s="636"/>
      <c r="AF128" s="636"/>
      <c r="AG128" s="636"/>
      <c r="AH128" s="636"/>
      <c r="AI128" s="636"/>
      <c r="AJ128" s="636"/>
      <c r="AK128" s="636"/>
      <c r="AL128" s="636"/>
      <c r="AM128" s="636"/>
      <c r="AN128" s="636"/>
      <c r="AO128" s="636"/>
      <c r="AP128" s="636"/>
      <c r="AQ128" s="636"/>
      <c r="AR128" s="636"/>
      <c r="AS128" s="636"/>
      <c r="AT128" s="636"/>
      <c r="AU128" s="636"/>
      <c r="AV128" s="636"/>
      <c r="AW128" s="636"/>
      <c r="AX128" s="636"/>
      <c r="AY128" s="636"/>
      <c r="AZ128" s="636"/>
      <c r="BA128" s="636"/>
      <c r="BB128" s="636"/>
      <c r="BC128" s="636"/>
      <c r="BD128" s="636"/>
      <c r="BE128" s="636"/>
      <c r="BF128" s="636"/>
      <c r="BG128" s="636"/>
      <c r="BH128" s="636"/>
      <c r="BI128" s="636"/>
      <c r="BJ128" s="636"/>
      <c r="BK128" s="636"/>
      <c r="BL128" s="636"/>
      <c r="BM128" s="636"/>
      <c r="BN128" s="636"/>
      <c r="BO128" s="636"/>
      <c r="BP128" s="636"/>
      <c r="BQ128" s="636"/>
      <c r="BR128" s="636"/>
      <c r="BS128" s="636"/>
      <c r="BT128" s="649">
        <v>0.0</v>
      </c>
      <c r="BU128" s="649">
        <v>0.0</v>
      </c>
      <c r="BV128" s="649">
        <v>0.0</v>
      </c>
      <c r="BW128" s="649">
        <v>0.0</v>
      </c>
      <c r="BX128" s="649">
        <v>0.0</v>
      </c>
      <c r="BY128" s="649">
        <v>0.0</v>
      </c>
      <c r="BZ128" s="649">
        <v>6000.0</v>
      </c>
      <c r="CA128" s="649">
        <v>6000.0</v>
      </c>
      <c r="CB128" s="649">
        <v>6000.0</v>
      </c>
      <c r="CC128" s="636"/>
      <c r="CD128" s="636"/>
      <c r="CE128" s="636"/>
      <c r="CF128" s="636"/>
      <c r="CG128" s="636"/>
      <c r="CH128" s="636"/>
      <c r="CI128" s="636"/>
      <c r="CJ128" s="636"/>
      <c r="CK128" s="636"/>
      <c r="CL128" s="636"/>
      <c r="CM128" s="636"/>
      <c r="CN128" s="636"/>
      <c r="CO128" s="636"/>
      <c r="CP128" s="636"/>
      <c r="CQ128" s="636"/>
      <c r="CR128" s="636"/>
      <c r="CS128" s="636"/>
      <c r="CT128" s="636"/>
      <c r="CU128" s="636"/>
      <c r="CV128" s="636"/>
      <c r="CW128" s="636"/>
      <c r="CX128" s="636"/>
      <c r="CY128" s="636"/>
      <c r="CZ128" s="636"/>
      <c r="DA128" s="636"/>
      <c r="DB128" s="636"/>
      <c r="DC128" s="636"/>
      <c r="DD128" s="636"/>
      <c r="DE128" s="636"/>
      <c r="DF128" s="636"/>
      <c r="DG128" s="636"/>
      <c r="DH128" s="636"/>
      <c r="DI128" s="636"/>
      <c r="DJ128" s="636"/>
      <c r="DK128" s="636"/>
      <c r="DL128" s="636"/>
      <c r="DM128" s="636"/>
      <c r="DN128" s="636"/>
      <c r="DO128" s="636"/>
      <c r="DP128" s="636"/>
      <c r="DQ128" s="636"/>
      <c r="DR128" s="636"/>
      <c r="DS128" s="636"/>
      <c r="DT128" s="636"/>
      <c r="DU128" s="636"/>
      <c r="DV128" s="636"/>
      <c r="DW128" s="636"/>
      <c r="DX128" s="636"/>
      <c r="DY128" s="636"/>
      <c r="DZ128" s="636"/>
      <c r="EA128" s="636"/>
      <c r="EB128" s="636"/>
      <c r="EC128" s="636"/>
      <c r="ED128" s="636"/>
      <c r="EE128" s="636"/>
      <c r="EF128" s="636"/>
      <c r="EG128" s="636"/>
      <c r="EH128" s="636"/>
      <c r="EI128" s="636"/>
      <c r="EJ128" s="574"/>
      <c r="EK128" s="574"/>
      <c r="EL128" s="574"/>
      <c r="EM128" s="574"/>
      <c r="EN128" s="574"/>
      <c r="EO128" s="574"/>
      <c r="EP128" s="574"/>
      <c r="EQ128" s="574"/>
      <c r="ER128" s="574"/>
      <c r="ES128" s="574"/>
      <c r="ET128" s="574"/>
      <c r="EU128" s="574"/>
    </row>
    <row r="129" hidden="1">
      <c r="A129" s="577">
        <v>7404.0</v>
      </c>
      <c r="B129" s="552" t="s">
        <v>213</v>
      </c>
      <c r="C129" s="552" t="s">
        <v>209</v>
      </c>
      <c r="D129" s="574"/>
      <c r="E129" s="574"/>
      <c r="F129" s="574"/>
      <c r="G129" s="574"/>
      <c r="H129" s="574"/>
      <c r="I129" s="574"/>
      <c r="J129" s="574"/>
      <c r="K129" s="574"/>
      <c r="L129" s="574"/>
      <c r="M129" s="574"/>
      <c r="N129" s="574"/>
      <c r="O129" s="569">
        <v>37013.0</v>
      </c>
      <c r="P129" s="645">
        <f t="shared" ref="P129:P203" si="251">SUM(D129:F129)</f>
        <v>0</v>
      </c>
      <c r="Q129" s="645">
        <f t="shared" ref="Q129:Q203" si="252">SUM(G129:I129)</f>
        <v>0</v>
      </c>
      <c r="R129" s="645">
        <f t="shared" ref="R129:R203" si="253">SUM(J129:L129)</f>
        <v>0</v>
      </c>
      <c r="S129" s="645">
        <f t="shared" ref="S129:S203" si="254">SUM(M129:O129)</f>
        <v>37013</v>
      </c>
      <c r="T129" s="645">
        <f t="shared" ref="T129:T203" si="255">SUM(P129:S129)</f>
        <v>37013</v>
      </c>
      <c r="U129" s="574"/>
      <c r="V129" s="574"/>
      <c r="W129" s="574"/>
      <c r="X129" s="574"/>
      <c r="Y129" s="574"/>
      <c r="Z129" s="574"/>
      <c r="AA129" s="574"/>
      <c r="AB129" s="574"/>
      <c r="AC129" s="574"/>
      <c r="AD129" s="574"/>
      <c r="AE129" s="574"/>
      <c r="AF129" s="574"/>
      <c r="AG129" s="645">
        <f t="shared" ref="AG129:AG203" si="256">SUM(U129:W129)</f>
        <v>0</v>
      </c>
      <c r="AH129" s="645">
        <f t="shared" ref="AH129:AH203" si="257">SUM(X129:Z129)</f>
        <v>0</v>
      </c>
      <c r="AI129" s="645">
        <f t="shared" ref="AI129:AI203" si="258">SUM(AA129:AC129)</f>
        <v>0</v>
      </c>
      <c r="AJ129" s="645">
        <f t="shared" ref="AJ129:AJ203" si="259">SUM(AD129:AF129)</f>
        <v>0</v>
      </c>
      <c r="AK129" s="645">
        <f t="shared" ref="AK129:AK203" si="260">SUM(AG129:AJ129)</f>
        <v>0</v>
      </c>
      <c r="AL129" s="574"/>
      <c r="AM129" s="574"/>
      <c r="AN129" s="574"/>
      <c r="AO129" s="574"/>
      <c r="AP129" s="574"/>
      <c r="AQ129" s="574"/>
      <c r="AR129" s="574"/>
      <c r="AS129" s="574"/>
      <c r="AT129" s="574"/>
      <c r="AU129" s="574"/>
      <c r="AV129" s="574"/>
      <c r="AW129" s="574"/>
      <c r="AX129" s="645">
        <f t="shared" ref="AX129:AX203" si="261">SUM(AL129:AN129)</f>
        <v>0</v>
      </c>
      <c r="AY129" s="645">
        <f t="shared" ref="AY129:AY203" si="262">SUM(AO129:AQ129)</f>
        <v>0</v>
      </c>
      <c r="AZ129" s="645">
        <f t="shared" ref="AZ129:AZ203" si="263">SUM(AR129:AT129)</f>
        <v>0</v>
      </c>
      <c r="BA129" s="645">
        <f t="shared" ref="BA129:BA203" si="264">SUM(AU129:AW129)</f>
        <v>0</v>
      </c>
      <c r="BB129" s="645">
        <f t="shared" ref="BB129:BB203" si="265">SUM(AX129:BA129)</f>
        <v>0</v>
      </c>
      <c r="BC129" s="574"/>
      <c r="BD129" s="574"/>
      <c r="BE129" s="574"/>
      <c r="BF129" s="574"/>
      <c r="BG129" s="574"/>
      <c r="BH129" s="574"/>
      <c r="BI129" s="574"/>
      <c r="BJ129" s="574"/>
      <c r="BK129" s="574"/>
      <c r="BL129" s="574"/>
      <c r="BM129" s="574"/>
      <c r="BN129" s="574"/>
      <c r="BO129" s="645">
        <f t="shared" ref="BO129:BO160" si="266">SUM(BC129:BE129)</f>
        <v>0</v>
      </c>
      <c r="BP129" s="645">
        <f t="shared" ref="BP129:BP160" si="267">SUM(BF129:BH129)</f>
        <v>0</v>
      </c>
      <c r="BQ129" s="645">
        <f t="shared" ref="BQ129:BQ160" si="268">SUM(BI129:BK129)</f>
        <v>0</v>
      </c>
      <c r="BR129" s="645">
        <f t="shared" ref="BR129:BR160" si="269">SUM(BL129:BN129)</f>
        <v>0</v>
      </c>
      <c r="BS129" s="645">
        <f t="shared" ref="BS129:BS160" si="270">SUM(BO129:BR129)</f>
        <v>0</v>
      </c>
      <c r="BT129" s="574"/>
      <c r="BU129" s="574"/>
      <c r="BV129" s="574"/>
      <c r="BW129" s="574"/>
      <c r="BX129" s="574"/>
      <c r="BY129" s="574"/>
      <c r="BZ129" s="574"/>
      <c r="CA129" s="574"/>
      <c r="CB129" s="574"/>
      <c r="CC129" s="574"/>
      <c r="CD129" s="574"/>
      <c r="CE129" s="574"/>
      <c r="CF129" s="646">
        <f t="shared" ref="CF129:CF160" si="271">SUM(BT129:BV129)</f>
        <v>0</v>
      </c>
      <c r="CG129" s="646">
        <f t="shared" ref="CG129:CG160" si="272">SUM(BW129:BY129)</f>
        <v>0</v>
      </c>
      <c r="CH129" s="646">
        <f t="shared" ref="CH129:CH160" si="273">SUM(BZ129:CB129)</f>
        <v>0</v>
      </c>
      <c r="CI129" s="646">
        <f t="shared" ref="CI129:CI160" si="274">SUM(CC129:CE129)</f>
        <v>0</v>
      </c>
      <c r="CJ129" s="646">
        <f t="shared" ref="CJ129:CJ160" si="275">SUM(CF129:CI129)</f>
        <v>0</v>
      </c>
      <c r="CK129" s="574"/>
      <c r="CL129" s="574"/>
      <c r="CM129" s="574"/>
      <c r="CN129" s="574"/>
      <c r="CO129" s="574"/>
      <c r="CP129" s="574"/>
      <c r="CQ129" s="574"/>
      <c r="CR129" s="574"/>
      <c r="CS129" s="574"/>
      <c r="CT129" s="574"/>
      <c r="CU129" s="574"/>
      <c r="CV129" s="574"/>
      <c r="CW129" s="646">
        <f t="shared" ref="CW129:CW160" si="276">SUM(CK129:CM129)</f>
        <v>0</v>
      </c>
      <c r="CX129" s="646">
        <f t="shared" ref="CX129:CX160" si="277">SUM(CN129:CP129)</f>
        <v>0</v>
      </c>
      <c r="CY129" s="646">
        <f t="shared" ref="CY129:CY160" si="278">SUM(CQ129:CS129)</f>
        <v>0</v>
      </c>
      <c r="CZ129" s="646">
        <f t="shared" ref="CZ129:CZ160" si="279">SUM(CT129:CV129)</f>
        <v>0</v>
      </c>
      <c r="DA129" s="646">
        <f t="shared" ref="DA129:DA160" si="280">SUM(CW129:CZ129)</f>
        <v>0</v>
      </c>
      <c r="DB129" s="574"/>
      <c r="DC129" s="574"/>
      <c r="DD129" s="574"/>
      <c r="DE129" s="574"/>
      <c r="DF129" s="574"/>
      <c r="DG129" s="574"/>
      <c r="DH129" s="574"/>
      <c r="DI129" s="574"/>
      <c r="DJ129" s="574"/>
      <c r="DK129" s="574"/>
      <c r="DL129" s="574"/>
      <c r="DM129" s="574"/>
      <c r="DN129" s="646">
        <f t="shared" ref="DN129:DN160" si="281">SUM(DB129:DD129)</f>
        <v>0</v>
      </c>
      <c r="DO129" s="646">
        <f t="shared" ref="DO129:DO160" si="282">SUM(DE129:DG129)</f>
        <v>0</v>
      </c>
      <c r="DP129" s="646">
        <f t="shared" ref="DP129:DP160" si="283">SUM(DH129:DJ129)</f>
        <v>0</v>
      </c>
      <c r="DQ129" s="646">
        <f t="shared" ref="DQ129:DQ160" si="284">SUM(DK129:DM129)</f>
        <v>0</v>
      </c>
      <c r="DR129" s="646">
        <f t="shared" ref="DR129:DR160" si="285">SUM(DN129:DQ129)</f>
        <v>0</v>
      </c>
      <c r="DS129" s="574"/>
      <c r="DT129" s="574"/>
      <c r="DU129" s="574"/>
      <c r="DV129" s="574"/>
      <c r="DW129" s="574"/>
      <c r="DX129" s="574"/>
      <c r="DY129" s="574"/>
      <c r="DZ129" s="574"/>
      <c r="EA129" s="574"/>
      <c r="EB129" s="574"/>
      <c r="EC129" s="574"/>
      <c r="ED129" s="574"/>
      <c r="EE129" s="646">
        <f t="shared" ref="EE129:EE160" si="286">SUM(DS129:DU129)</f>
        <v>0</v>
      </c>
      <c r="EF129" s="646">
        <f t="shared" ref="EF129:EF160" si="287">SUM(DV129:DX129)</f>
        <v>0</v>
      </c>
      <c r="EG129" s="646">
        <f t="shared" ref="EG129:EG160" si="288">SUM(DY129:EA129)</f>
        <v>0</v>
      </c>
      <c r="EH129" s="646">
        <f t="shared" ref="EH129:EH160" si="289">SUM(EB129:ED129)</f>
        <v>0</v>
      </c>
      <c r="EI129" s="646">
        <f t="shared" ref="EI129:EI160" si="290">SUM(EE129:EH129)</f>
        <v>0</v>
      </c>
      <c r="EJ129" s="569">
        <v>83.840008911638</v>
      </c>
      <c r="EK129" s="571" t="str">
        <f>CY129/DA129*100</f>
        <v>#DIV/0!</v>
      </c>
      <c r="EL129" s="569">
        <f>CZ129/EJ129*100</f>
        <v>0</v>
      </c>
      <c r="EM129" s="596" t="str">
        <f>EL129/EK129*100-100</f>
        <v>#DIV/0!</v>
      </c>
      <c r="EN129" s="574"/>
      <c r="EO129" s="574"/>
      <c r="EP129" s="574"/>
      <c r="EQ129" s="574"/>
      <c r="ER129" s="574"/>
      <c r="ES129" s="574"/>
      <c r="ET129" s="574"/>
      <c r="EU129" s="574"/>
    </row>
    <row r="130" hidden="1">
      <c r="A130" s="577">
        <v>7404.0</v>
      </c>
      <c r="B130" s="12" t="s">
        <v>214</v>
      </c>
      <c r="C130" s="12" t="s">
        <v>209</v>
      </c>
      <c r="D130" s="574"/>
      <c r="E130" s="574"/>
      <c r="F130" s="574"/>
      <c r="G130" s="574"/>
      <c r="H130" s="574"/>
      <c r="I130" s="574"/>
      <c r="J130" s="574"/>
      <c r="K130" s="574"/>
      <c r="L130" s="574"/>
      <c r="M130" s="574"/>
      <c r="N130" s="574"/>
      <c r="O130" s="569">
        <v>30000.0</v>
      </c>
      <c r="P130" s="645">
        <f t="shared" si="251"/>
        <v>0</v>
      </c>
      <c r="Q130" s="645">
        <f t="shared" si="252"/>
        <v>0</v>
      </c>
      <c r="R130" s="645">
        <f t="shared" si="253"/>
        <v>0</v>
      </c>
      <c r="S130" s="645">
        <f t="shared" si="254"/>
        <v>30000</v>
      </c>
      <c r="T130" s="645">
        <f t="shared" si="255"/>
        <v>30000</v>
      </c>
      <c r="U130" s="574"/>
      <c r="V130" s="574"/>
      <c r="W130" s="574"/>
      <c r="X130" s="574"/>
      <c r="Y130" s="574"/>
      <c r="Z130" s="574"/>
      <c r="AA130" s="574"/>
      <c r="AB130" s="574"/>
      <c r="AC130" s="574"/>
      <c r="AD130" s="574"/>
      <c r="AE130" s="574"/>
      <c r="AF130" s="574"/>
      <c r="AG130" s="645">
        <f t="shared" si="256"/>
        <v>0</v>
      </c>
      <c r="AH130" s="645">
        <f t="shared" si="257"/>
        <v>0</v>
      </c>
      <c r="AI130" s="645">
        <f t="shared" si="258"/>
        <v>0</v>
      </c>
      <c r="AJ130" s="645">
        <f t="shared" si="259"/>
        <v>0</v>
      </c>
      <c r="AK130" s="645">
        <f t="shared" si="260"/>
        <v>0</v>
      </c>
      <c r="AL130" s="574"/>
      <c r="AM130" s="574"/>
      <c r="AN130" s="574"/>
      <c r="AO130" s="574"/>
      <c r="AP130" s="574"/>
      <c r="AQ130" s="574"/>
      <c r="AR130" s="574"/>
      <c r="AS130" s="574"/>
      <c r="AT130" s="574"/>
      <c r="AU130" s="574"/>
      <c r="AV130" s="574"/>
      <c r="AW130" s="574"/>
      <c r="AX130" s="645">
        <f t="shared" si="261"/>
        <v>0</v>
      </c>
      <c r="AY130" s="645">
        <f t="shared" si="262"/>
        <v>0</v>
      </c>
      <c r="AZ130" s="645">
        <f t="shared" si="263"/>
        <v>0</v>
      </c>
      <c r="BA130" s="645">
        <f t="shared" si="264"/>
        <v>0</v>
      </c>
      <c r="BB130" s="645">
        <f t="shared" si="265"/>
        <v>0</v>
      </c>
      <c r="BC130" s="569">
        <v>0.0</v>
      </c>
      <c r="BD130" s="569">
        <v>0.0</v>
      </c>
      <c r="BE130" s="569">
        <v>11025.0</v>
      </c>
      <c r="BF130" s="574"/>
      <c r="BG130" s="574"/>
      <c r="BH130" s="574"/>
      <c r="BI130" s="574"/>
      <c r="BJ130" s="574"/>
      <c r="BK130" s="574"/>
      <c r="BL130" s="574"/>
      <c r="BM130" s="574"/>
      <c r="BN130" s="574"/>
      <c r="BO130" s="645">
        <f t="shared" si="266"/>
        <v>11025</v>
      </c>
      <c r="BP130" s="645">
        <f t="shared" si="267"/>
        <v>0</v>
      </c>
      <c r="BQ130" s="645">
        <f t="shared" si="268"/>
        <v>0</v>
      </c>
      <c r="BR130" s="645">
        <f t="shared" si="269"/>
        <v>0</v>
      </c>
      <c r="BS130" s="645">
        <f t="shared" si="270"/>
        <v>11025</v>
      </c>
      <c r="BT130" s="574"/>
      <c r="BU130" s="574"/>
      <c r="BV130" s="574"/>
      <c r="BW130" s="574"/>
      <c r="BX130" s="574"/>
      <c r="BY130" s="574"/>
      <c r="BZ130" s="574"/>
      <c r="CA130" s="574"/>
      <c r="CB130" s="574"/>
      <c r="CC130" s="574"/>
      <c r="CD130" s="574"/>
      <c r="CE130" s="574"/>
      <c r="CF130" s="646">
        <f t="shared" si="271"/>
        <v>0</v>
      </c>
      <c r="CG130" s="646">
        <f t="shared" si="272"/>
        <v>0</v>
      </c>
      <c r="CH130" s="646">
        <f t="shared" si="273"/>
        <v>0</v>
      </c>
      <c r="CI130" s="646">
        <f t="shared" si="274"/>
        <v>0</v>
      </c>
      <c r="CJ130" s="646">
        <f t="shared" si="275"/>
        <v>0</v>
      </c>
      <c r="CK130" s="574"/>
      <c r="CL130" s="574"/>
      <c r="CM130" s="574"/>
      <c r="CN130" s="574"/>
      <c r="CO130" s="574"/>
      <c r="CP130" s="574"/>
      <c r="CQ130" s="574"/>
      <c r="CR130" s="574"/>
      <c r="CS130" s="574"/>
      <c r="CT130" s="574"/>
      <c r="CU130" s="574"/>
      <c r="CV130" s="574"/>
      <c r="CW130" s="646">
        <f t="shared" si="276"/>
        <v>0</v>
      </c>
      <c r="CX130" s="646">
        <f t="shared" si="277"/>
        <v>0</v>
      </c>
      <c r="CY130" s="646">
        <f t="shared" si="278"/>
        <v>0</v>
      </c>
      <c r="CZ130" s="646">
        <f t="shared" si="279"/>
        <v>0</v>
      </c>
      <c r="DA130" s="646">
        <f t="shared" si="280"/>
        <v>0</v>
      </c>
      <c r="DB130" s="574"/>
      <c r="DC130" s="574"/>
      <c r="DD130" s="574"/>
      <c r="DE130" s="574"/>
      <c r="DF130" s="574"/>
      <c r="DG130" s="574"/>
      <c r="DH130" s="574"/>
      <c r="DI130" s="574"/>
      <c r="DJ130" s="574"/>
      <c r="DK130" s="574"/>
      <c r="DL130" s="574"/>
      <c r="DM130" s="574"/>
      <c r="DN130" s="646">
        <f t="shared" si="281"/>
        <v>0</v>
      </c>
      <c r="DO130" s="646">
        <f t="shared" si="282"/>
        <v>0</v>
      </c>
      <c r="DP130" s="646">
        <f t="shared" si="283"/>
        <v>0</v>
      </c>
      <c r="DQ130" s="646">
        <f t="shared" si="284"/>
        <v>0</v>
      </c>
      <c r="DR130" s="646">
        <f t="shared" si="285"/>
        <v>0</v>
      </c>
      <c r="DS130" s="574"/>
      <c r="DT130" s="574"/>
      <c r="DU130" s="574"/>
      <c r="DV130" s="574"/>
      <c r="DW130" s="574"/>
      <c r="DX130" s="574"/>
      <c r="DY130" s="574"/>
      <c r="DZ130" s="574"/>
      <c r="EA130" s="574"/>
      <c r="EB130" s="574"/>
      <c r="EC130" s="574"/>
      <c r="ED130" s="574"/>
      <c r="EE130" s="646">
        <f t="shared" si="286"/>
        <v>0</v>
      </c>
      <c r="EF130" s="646">
        <f t="shared" si="287"/>
        <v>0</v>
      </c>
      <c r="EG130" s="646">
        <f t="shared" si="288"/>
        <v>0</v>
      </c>
      <c r="EH130" s="646">
        <f t="shared" si="289"/>
        <v>0</v>
      </c>
      <c r="EI130" s="646">
        <f t="shared" si="290"/>
        <v>0</v>
      </c>
      <c r="EJ130" s="574"/>
      <c r="EK130" s="574"/>
      <c r="EL130" s="574"/>
      <c r="EM130" s="574"/>
      <c r="EN130" s="574"/>
      <c r="EO130" s="574"/>
      <c r="EP130" s="574"/>
      <c r="EQ130" s="574"/>
      <c r="ER130" s="574"/>
      <c r="ES130" s="574"/>
      <c r="ET130" s="574"/>
      <c r="EU130" s="574"/>
    </row>
    <row r="131" hidden="1">
      <c r="A131" s="577">
        <v>7404.0</v>
      </c>
      <c r="B131" s="12" t="s">
        <v>215</v>
      </c>
      <c r="C131" s="12" t="s">
        <v>209</v>
      </c>
      <c r="D131" s="574"/>
      <c r="E131" s="574"/>
      <c r="F131" s="574"/>
      <c r="G131" s="574"/>
      <c r="H131" s="574"/>
      <c r="I131" s="574"/>
      <c r="J131" s="574"/>
      <c r="K131" s="574"/>
      <c r="L131" s="574"/>
      <c r="M131" s="574"/>
      <c r="N131" s="574"/>
      <c r="O131" s="574"/>
      <c r="P131" s="645">
        <f t="shared" si="251"/>
        <v>0</v>
      </c>
      <c r="Q131" s="645">
        <f t="shared" si="252"/>
        <v>0</v>
      </c>
      <c r="R131" s="645">
        <f t="shared" si="253"/>
        <v>0</v>
      </c>
      <c r="S131" s="645">
        <f t="shared" si="254"/>
        <v>0</v>
      </c>
      <c r="T131" s="645">
        <f t="shared" si="255"/>
        <v>0</v>
      </c>
      <c r="U131" s="574"/>
      <c r="V131" s="574"/>
      <c r="W131" s="574"/>
      <c r="X131" s="574"/>
      <c r="Y131" s="574"/>
      <c r="Z131" s="574"/>
      <c r="AA131" s="569">
        <v>35482.5</v>
      </c>
      <c r="AB131" s="569">
        <v>37185.89</v>
      </c>
      <c r="AC131" s="574"/>
      <c r="AD131" s="569">
        <v>13860.0</v>
      </c>
      <c r="AE131" s="569">
        <v>17918.0</v>
      </c>
      <c r="AF131" s="569">
        <v>3430.0</v>
      </c>
      <c r="AG131" s="645">
        <f t="shared" si="256"/>
        <v>0</v>
      </c>
      <c r="AH131" s="645">
        <f t="shared" si="257"/>
        <v>0</v>
      </c>
      <c r="AI131" s="645">
        <f t="shared" si="258"/>
        <v>72668.39</v>
      </c>
      <c r="AJ131" s="645">
        <f t="shared" si="259"/>
        <v>35208</v>
      </c>
      <c r="AK131" s="645">
        <f t="shared" si="260"/>
        <v>107876.39</v>
      </c>
      <c r="AL131" s="569">
        <v>3137.4</v>
      </c>
      <c r="AM131" s="569">
        <v>18444.5</v>
      </c>
      <c r="AN131" s="569">
        <v>1597.5</v>
      </c>
      <c r="AO131" s="569">
        <v>14613.5</v>
      </c>
      <c r="AP131" s="569">
        <v>14613.5</v>
      </c>
      <c r="AQ131" s="569">
        <v>2105.74</v>
      </c>
      <c r="AR131" s="569">
        <v>38074.84</v>
      </c>
      <c r="AS131" s="569">
        <v>2960.0</v>
      </c>
      <c r="AT131" s="569">
        <v>25935.5</v>
      </c>
      <c r="AU131" s="569">
        <v>36498.7</v>
      </c>
      <c r="AV131" s="569">
        <v>31306.8</v>
      </c>
      <c r="AW131" s="569">
        <v>29900.95</v>
      </c>
      <c r="AX131" s="645">
        <f t="shared" si="261"/>
        <v>23179.4</v>
      </c>
      <c r="AY131" s="645">
        <f t="shared" si="262"/>
        <v>31332.74</v>
      </c>
      <c r="AZ131" s="645">
        <f t="shared" si="263"/>
        <v>66970.34</v>
      </c>
      <c r="BA131" s="645">
        <f t="shared" si="264"/>
        <v>97706.45</v>
      </c>
      <c r="BB131" s="645">
        <f t="shared" si="265"/>
        <v>219188.93</v>
      </c>
      <c r="BC131" s="569">
        <v>31922.0</v>
      </c>
      <c r="BD131" s="569">
        <v>24424.0</v>
      </c>
      <c r="BE131" s="569">
        <v>24286.5</v>
      </c>
      <c r="BF131" s="569">
        <v>16386.3</v>
      </c>
      <c r="BG131" s="569">
        <v>22755.6</v>
      </c>
      <c r="BH131" s="569">
        <v>21149.1</v>
      </c>
      <c r="BI131" s="569">
        <v>19674.9</v>
      </c>
      <c r="BJ131" s="569">
        <v>18411.0</v>
      </c>
      <c r="BK131" s="569">
        <v>33664.0</v>
      </c>
      <c r="BL131" s="569">
        <v>32772.6</v>
      </c>
      <c r="BM131" s="569">
        <v>3635.8</v>
      </c>
      <c r="BN131" s="569">
        <v>17388.0</v>
      </c>
      <c r="BO131" s="645">
        <f t="shared" si="266"/>
        <v>80632.5</v>
      </c>
      <c r="BP131" s="645">
        <f t="shared" si="267"/>
        <v>60291</v>
      </c>
      <c r="BQ131" s="645">
        <f t="shared" si="268"/>
        <v>71749.9</v>
      </c>
      <c r="BR131" s="645">
        <f t="shared" si="269"/>
        <v>53796.4</v>
      </c>
      <c r="BS131" s="645">
        <f t="shared" si="270"/>
        <v>266469.8</v>
      </c>
      <c r="BT131" s="569">
        <v>17531.8</v>
      </c>
      <c r="BU131" s="569">
        <v>27842.1</v>
      </c>
      <c r="BV131" s="569">
        <v>31674.5</v>
      </c>
      <c r="BW131" s="569">
        <v>10951.697</v>
      </c>
      <c r="BX131" s="569">
        <v>25210.9</v>
      </c>
      <c r="BY131" s="569">
        <v>22150.7</v>
      </c>
      <c r="BZ131" s="569">
        <v>14300.0</v>
      </c>
      <c r="CA131" s="569">
        <v>17875.0</v>
      </c>
      <c r="CB131" s="574"/>
      <c r="CC131" s="574"/>
      <c r="CD131" s="574"/>
      <c r="CE131" s="574"/>
      <c r="CF131" s="646">
        <f t="shared" si="271"/>
        <v>77048.4</v>
      </c>
      <c r="CG131" s="646">
        <f t="shared" si="272"/>
        <v>58313.297</v>
      </c>
      <c r="CH131" s="646">
        <f t="shared" si="273"/>
        <v>32175</v>
      </c>
      <c r="CI131" s="646">
        <f t="shared" si="274"/>
        <v>0</v>
      </c>
      <c r="CJ131" s="646">
        <f t="shared" si="275"/>
        <v>167536.697</v>
      </c>
      <c r="CK131" s="574"/>
      <c r="CL131" s="574"/>
      <c r="CM131" s="574"/>
      <c r="CN131" s="574"/>
      <c r="CO131" s="574"/>
      <c r="CP131" s="574"/>
      <c r="CQ131" s="574"/>
      <c r="CR131" s="574"/>
      <c r="CS131" s="574"/>
      <c r="CT131" s="574"/>
      <c r="CU131" s="574"/>
      <c r="CV131" s="574"/>
      <c r="CW131" s="646">
        <f t="shared" si="276"/>
        <v>0</v>
      </c>
      <c r="CX131" s="646">
        <f t="shared" si="277"/>
        <v>0</v>
      </c>
      <c r="CY131" s="646">
        <f t="shared" si="278"/>
        <v>0</v>
      </c>
      <c r="CZ131" s="646">
        <f t="shared" si="279"/>
        <v>0</v>
      </c>
      <c r="DA131" s="646">
        <f t="shared" si="280"/>
        <v>0</v>
      </c>
      <c r="DB131" s="574"/>
      <c r="DC131" s="574"/>
      <c r="DD131" s="574"/>
      <c r="DE131" s="574"/>
      <c r="DF131" s="574"/>
      <c r="DG131" s="574"/>
      <c r="DH131" s="574"/>
      <c r="DI131" s="574"/>
      <c r="DJ131" s="574"/>
      <c r="DK131" s="574"/>
      <c r="DL131" s="574"/>
      <c r="DM131" s="574"/>
      <c r="DN131" s="646">
        <f t="shared" si="281"/>
        <v>0</v>
      </c>
      <c r="DO131" s="646">
        <f t="shared" si="282"/>
        <v>0</v>
      </c>
      <c r="DP131" s="646">
        <f t="shared" si="283"/>
        <v>0</v>
      </c>
      <c r="DQ131" s="646">
        <f t="shared" si="284"/>
        <v>0</v>
      </c>
      <c r="DR131" s="646">
        <f t="shared" si="285"/>
        <v>0</v>
      </c>
      <c r="DS131" s="574"/>
      <c r="DT131" s="574"/>
      <c r="DU131" s="574"/>
      <c r="DV131" s="574"/>
      <c r="DW131" s="574"/>
      <c r="DX131" s="574"/>
      <c r="DY131" s="574"/>
      <c r="DZ131" s="574"/>
      <c r="EA131" s="574"/>
      <c r="EB131" s="574"/>
      <c r="EC131" s="574"/>
      <c r="ED131" s="574"/>
      <c r="EE131" s="646">
        <f t="shared" si="286"/>
        <v>0</v>
      </c>
      <c r="EF131" s="646">
        <f t="shared" si="287"/>
        <v>0</v>
      </c>
      <c r="EG131" s="646">
        <f t="shared" si="288"/>
        <v>0</v>
      </c>
      <c r="EH131" s="646">
        <f t="shared" si="289"/>
        <v>0</v>
      </c>
      <c r="EI131" s="646">
        <f t="shared" si="290"/>
        <v>0</v>
      </c>
      <c r="EJ131" s="574"/>
      <c r="EK131" s="574"/>
      <c r="EL131" s="574"/>
      <c r="EM131" s="574"/>
      <c r="EN131" s="574"/>
      <c r="EO131" s="574"/>
      <c r="EP131" s="574"/>
      <c r="EQ131" s="574"/>
      <c r="ER131" s="574"/>
      <c r="ES131" s="574"/>
      <c r="ET131" s="574"/>
      <c r="EU131" s="574"/>
    </row>
    <row r="132" hidden="1">
      <c r="A132" s="577">
        <v>7404.0</v>
      </c>
      <c r="B132" s="12" t="s">
        <v>216</v>
      </c>
      <c r="C132" s="12" t="s">
        <v>209</v>
      </c>
      <c r="D132" s="574"/>
      <c r="E132" s="574"/>
      <c r="F132" s="574"/>
      <c r="G132" s="574"/>
      <c r="H132" s="574"/>
      <c r="I132" s="574"/>
      <c r="J132" s="574"/>
      <c r="K132" s="574"/>
      <c r="L132" s="574"/>
      <c r="M132" s="574"/>
      <c r="N132" s="574"/>
      <c r="O132" s="574"/>
      <c r="P132" s="645">
        <f t="shared" si="251"/>
        <v>0</v>
      </c>
      <c r="Q132" s="645">
        <f t="shared" si="252"/>
        <v>0</v>
      </c>
      <c r="R132" s="645">
        <f t="shared" si="253"/>
        <v>0</v>
      </c>
      <c r="S132" s="645">
        <f t="shared" si="254"/>
        <v>0</v>
      </c>
      <c r="T132" s="645">
        <f t="shared" si="255"/>
        <v>0</v>
      </c>
      <c r="U132" s="569">
        <v>19165.19</v>
      </c>
      <c r="V132" s="569">
        <v>19165.19</v>
      </c>
      <c r="W132" s="569">
        <v>33722.84</v>
      </c>
      <c r="X132" s="574"/>
      <c r="Y132" s="574"/>
      <c r="Z132" s="574"/>
      <c r="AA132" s="574"/>
      <c r="AB132" s="574"/>
      <c r="AC132" s="574"/>
      <c r="AD132" s="574"/>
      <c r="AE132" s="574"/>
      <c r="AF132" s="574"/>
      <c r="AG132" s="645">
        <f t="shared" si="256"/>
        <v>72053.22</v>
      </c>
      <c r="AH132" s="645">
        <f t="shared" si="257"/>
        <v>0</v>
      </c>
      <c r="AI132" s="645">
        <f t="shared" si="258"/>
        <v>0</v>
      </c>
      <c r="AJ132" s="645">
        <f t="shared" si="259"/>
        <v>0</v>
      </c>
      <c r="AK132" s="645">
        <f t="shared" si="260"/>
        <v>72053.22</v>
      </c>
      <c r="AL132" s="574"/>
      <c r="AM132" s="574"/>
      <c r="AN132" s="569">
        <v>15102.24</v>
      </c>
      <c r="AO132" s="569">
        <v>58230.76</v>
      </c>
      <c r="AP132" s="569">
        <v>84995.64</v>
      </c>
      <c r="AQ132" s="569">
        <v>51622.75</v>
      </c>
      <c r="AR132" s="569">
        <v>40366.65</v>
      </c>
      <c r="AS132" s="569">
        <v>61208.54</v>
      </c>
      <c r="AT132" s="569">
        <v>105069.47</v>
      </c>
      <c r="AU132" s="569">
        <v>134207.08</v>
      </c>
      <c r="AV132" s="569">
        <v>162961.16</v>
      </c>
      <c r="AW132" s="569">
        <v>192182.19</v>
      </c>
      <c r="AX132" s="645">
        <f t="shared" si="261"/>
        <v>15102.24</v>
      </c>
      <c r="AY132" s="645">
        <f t="shared" si="262"/>
        <v>194849.15</v>
      </c>
      <c r="AZ132" s="645">
        <f t="shared" si="263"/>
        <v>206644.66</v>
      </c>
      <c r="BA132" s="645">
        <f t="shared" si="264"/>
        <v>489350.43</v>
      </c>
      <c r="BB132" s="645">
        <f t="shared" si="265"/>
        <v>905946.48</v>
      </c>
      <c r="BC132" s="569">
        <v>61791.95</v>
      </c>
      <c r="BD132" s="569">
        <v>15654.2</v>
      </c>
      <c r="BE132" s="569">
        <v>8892.7</v>
      </c>
      <c r="BF132" s="569">
        <v>61414.62</v>
      </c>
      <c r="BG132" s="569">
        <v>39746.58</v>
      </c>
      <c r="BH132" s="569">
        <v>11853.06</v>
      </c>
      <c r="BI132" s="569">
        <v>24231.34</v>
      </c>
      <c r="BJ132" s="569">
        <v>88532.2</v>
      </c>
      <c r="BK132" s="569">
        <v>321033.68</v>
      </c>
      <c r="BL132" s="574"/>
      <c r="BM132" s="574"/>
      <c r="BN132" s="574"/>
      <c r="BO132" s="645">
        <f t="shared" si="266"/>
        <v>86338.85</v>
      </c>
      <c r="BP132" s="645">
        <f t="shared" si="267"/>
        <v>113014.26</v>
      </c>
      <c r="BQ132" s="645">
        <f t="shared" si="268"/>
        <v>433797.22</v>
      </c>
      <c r="BR132" s="645">
        <f t="shared" si="269"/>
        <v>0</v>
      </c>
      <c r="BS132" s="645">
        <f t="shared" si="270"/>
        <v>633150.33</v>
      </c>
      <c r="BT132" s="574"/>
      <c r="BU132" s="574"/>
      <c r="BV132" s="574"/>
      <c r="BW132" s="574"/>
      <c r="BX132" s="574"/>
      <c r="BY132" s="574"/>
      <c r="BZ132" s="574"/>
      <c r="CA132" s="574"/>
      <c r="CB132" s="574"/>
      <c r="CC132" s="574"/>
      <c r="CD132" s="574"/>
      <c r="CE132" s="574"/>
      <c r="CF132" s="646">
        <f t="shared" si="271"/>
        <v>0</v>
      </c>
      <c r="CG132" s="646">
        <f t="shared" si="272"/>
        <v>0</v>
      </c>
      <c r="CH132" s="646">
        <f t="shared" si="273"/>
        <v>0</v>
      </c>
      <c r="CI132" s="646">
        <f t="shared" si="274"/>
        <v>0</v>
      </c>
      <c r="CJ132" s="646">
        <f t="shared" si="275"/>
        <v>0</v>
      </c>
      <c r="CK132" s="574"/>
      <c r="CL132" s="574"/>
      <c r="CM132" s="574"/>
      <c r="CN132" s="574"/>
      <c r="CO132" s="574"/>
      <c r="CP132" s="574"/>
      <c r="CQ132" s="574"/>
      <c r="CR132" s="574"/>
      <c r="CS132" s="574"/>
      <c r="CT132" s="574"/>
      <c r="CU132" s="574"/>
      <c r="CV132" s="574"/>
      <c r="CW132" s="646">
        <f t="shared" si="276"/>
        <v>0</v>
      </c>
      <c r="CX132" s="646">
        <f t="shared" si="277"/>
        <v>0</v>
      </c>
      <c r="CY132" s="646">
        <f t="shared" si="278"/>
        <v>0</v>
      </c>
      <c r="CZ132" s="646">
        <f t="shared" si="279"/>
        <v>0</v>
      </c>
      <c r="DA132" s="646">
        <f t="shared" si="280"/>
        <v>0</v>
      </c>
      <c r="DB132" s="574"/>
      <c r="DC132" s="574"/>
      <c r="DD132" s="574"/>
      <c r="DE132" s="574"/>
      <c r="DF132" s="574"/>
      <c r="DG132" s="574"/>
      <c r="DH132" s="574"/>
      <c r="DI132" s="574"/>
      <c r="DJ132" s="574"/>
      <c r="DK132" s="574"/>
      <c r="DL132" s="574"/>
      <c r="DM132" s="574"/>
      <c r="DN132" s="646">
        <f t="shared" si="281"/>
        <v>0</v>
      </c>
      <c r="DO132" s="646">
        <f t="shared" si="282"/>
        <v>0</v>
      </c>
      <c r="DP132" s="646">
        <f t="shared" si="283"/>
        <v>0</v>
      </c>
      <c r="DQ132" s="646">
        <f t="shared" si="284"/>
        <v>0</v>
      </c>
      <c r="DR132" s="646">
        <f t="shared" si="285"/>
        <v>0</v>
      </c>
      <c r="DS132" s="574"/>
      <c r="DT132" s="574"/>
      <c r="DU132" s="574"/>
      <c r="DV132" s="574"/>
      <c r="DW132" s="574"/>
      <c r="DX132" s="574"/>
      <c r="DY132" s="574"/>
      <c r="DZ132" s="574"/>
      <c r="EA132" s="574"/>
      <c r="EB132" s="574"/>
      <c r="EC132" s="574"/>
      <c r="ED132" s="574"/>
      <c r="EE132" s="646">
        <f t="shared" si="286"/>
        <v>0</v>
      </c>
      <c r="EF132" s="646">
        <f t="shared" si="287"/>
        <v>0</v>
      </c>
      <c r="EG132" s="646">
        <f t="shared" si="288"/>
        <v>0</v>
      </c>
      <c r="EH132" s="646">
        <f t="shared" si="289"/>
        <v>0</v>
      </c>
      <c r="EI132" s="646">
        <f t="shared" si="290"/>
        <v>0</v>
      </c>
      <c r="EJ132" s="574"/>
      <c r="EK132" s="574"/>
      <c r="EL132" s="574"/>
      <c r="EM132" s="574"/>
      <c r="EN132" s="574"/>
      <c r="EO132" s="574"/>
      <c r="EP132" s="574"/>
      <c r="EQ132" s="574"/>
      <c r="ER132" s="574"/>
      <c r="ES132" s="574"/>
      <c r="ET132" s="574"/>
      <c r="EU132" s="574"/>
    </row>
    <row r="133" hidden="1">
      <c r="A133" s="577">
        <v>7404.0</v>
      </c>
      <c r="B133" s="12" t="s">
        <v>217</v>
      </c>
      <c r="C133" s="12" t="s">
        <v>209</v>
      </c>
      <c r="D133" s="574"/>
      <c r="E133" s="574"/>
      <c r="F133" s="574"/>
      <c r="G133" s="574"/>
      <c r="H133" s="574"/>
      <c r="I133" s="574"/>
      <c r="J133" s="574"/>
      <c r="K133" s="574"/>
      <c r="L133" s="574"/>
      <c r="M133" s="574"/>
      <c r="N133" s="574"/>
      <c r="O133" s="574"/>
      <c r="P133" s="645">
        <f t="shared" si="251"/>
        <v>0</v>
      </c>
      <c r="Q133" s="645">
        <f t="shared" si="252"/>
        <v>0</v>
      </c>
      <c r="R133" s="645">
        <f t="shared" si="253"/>
        <v>0</v>
      </c>
      <c r="S133" s="645">
        <f t="shared" si="254"/>
        <v>0</v>
      </c>
      <c r="T133" s="645">
        <f t="shared" si="255"/>
        <v>0</v>
      </c>
      <c r="U133" s="574"/>
      <c r="V133" s="574"/>
      <c r="W133" s="574"/>
      <c r="X133" s="574"/>
      <c r="Y133" s="574"/>
      <c r="Z133" s="574"/>
      <c r="AA133" s="574"/>
      <c r="AB133" s="574"/>
      <c r="AC133" s="574"/>
      <c r="AD133" s="574"/>
      <c r="AE133" s="574"/>
      <c r="AF133" s="574"/>
      <c r="AG133" s="645">
        <f t="shared" si="256"/>
        <v>0</v>
      </c>
      <c r="AH133" s="645">
        <f t="shared" si="257"/>
        <v>0</v>
      </c>
      <c r="AI133" s="645">
        <f t="shared" si="258"/>
        <v>0</v>
      </c>
      <c r="AJ133" s="645">
        <f t="shared" si="259"/>
        <v>0</v>
      </c>
      <c r="AK133" s="645">
        <f t="shared" si="260"/>
        <v>0</v>
      </c>
      <c r="AL133" s="574"/>
      <c r="AM133" s="574"/>
      <c r="AN133" s="569">
        <v>50085.0</v>
      </c>
      <c r="AO133" s="574"/>
      <c r="AP133" s="574"/>
      <c r="AQ133" s="569">
        <v>75085.0</v>
      </c>
      <c r="AR133" s="574"/>
      <c r="AS133" s="574"/>
      <c r="AT133" s="574"/>
      <c r="AU133" s="574"/>
      <c r="AV133" s="574"/>
      <c r="AW133" s="574"/>
      <c r="AX133" s="645">
        <f t="shared" si="261"/>
        <v>50085</v>
      </c>
      <c r="AY133" s="645">
        <f t="shared" si="262"/>
        <v>75085</v>
      </c>
      <c r="AZ133" s="645">
        <f t="shared" si="263"/>
        <v>0</v>
      </c>
      <c r="BA133" s="645">
        <f t="shared" si="264"/>
        <v>0</v>
      </c>
      <c r="BB133" s="645">
        <f t="shared" si="265"/>
        <v>125170</v>
      </c>
      <c r="BC133" s="574"/>
      <c r="BD133" s="574"/>
      <c r="BE133" s="574"/>
      <c r="BF133" s="574"/>
      <c r="BG133" s="574"/>
      <c r="BH133" s="574"/>
      <c r="BI133" s="574"/>
      <c r="BJ133" s="574"/>
      <c r="BK133" s="574"/>
      <c r="BL133" s="574"/>
      <c r="BM133" s="574"/>
      <c r="BN133" s="574"/>
      <c r="BO133" s="645">
        <f t="shared" si="266"/>
        <v>0</v>
      </c>
      <c r="BP133" s="645">
        <f t="shared" si="267"/>
        <v>0</v>
      </c>
      <c r="BQ133" s="645">
        <f t="shared" si="268"/>
        <v>0</v>
      </c>
      <c r="BR133" s="645">
        <f t="shared" si="269"/>
        <v>0</v>
      </c>
      <c r="BS133" s="645">
        <f t="shared" si="270"/>
        <v>0</v>
      </c>
      <c r="BT133" s="569">
        <v>0.0</v>
      </c>
      <c r="BU133" s="569">
        <v>0.0</v>
      </c>
      <c r="BV133" s="569">
        <v>0.0</v>
      </c>
      <c r="BW133" s="574"/>
      <c r="BX133" s="574"/>
      <c r="BY133" s="574"/>
      <c r="BZ133" s="574"/>
      <c r="CA133" s="574"/>
      <c r="CB133" s="574"/>
      <c r="CC133" s="574"/>
      <c r="CD133" s="574"/>
      <c r="CE133" s="574"/>
      <c r="CF133" s="646">
        <f t="shared" si="271"/>
        <v>0</v>
      </c>
      <c r="CG133" s="646">
        <f t="shared" si="272"/>
        <v>0</v>
      </c>
      <c r="CH133" s="646">
        <f t="shared" si="273"/>
        <v>0</v>
      </c>
      <c r="CI133" s="646">
        <f t="shared" si="274"/>
        <v>0</v>
      </c>
      <c r="CJ133" s="646">
        <f t="shared" si="275"/>
        <v>0</v>
      </c>
      <c r="CK133" s="574"/>
      <c r="CL133" s="574"/>
      <c r="CM133" s="574"/>
      <c r="CN133" s="574"/>
      <c r="CO133" s="574"/>
      <c r="CP133" s="574"/>
      <c r="CQ133" s="574"/>
      <c r="CR133" s="574"/>
      <c r="CS133" s="574"/>
      <c r="CT133" s="574"/>
      <c r="CU133" s="574"/>
      <c r="CV133" s="574"/>
      <c r="CW133" s="646">
        <f t="shared" si="276"/>
        <v>0</v>
      </c>
      <c r="CX133" s="646">
        <f t="shared" si="277"/>
        <v>0</v>
      </c>
      <c r="CY133" s="646">
        <f t="shared" si="278"/>
        <v>0</v>
      </c>
      <c r="CZ133" s="646">
        <f t="shared" si="279"/>
        <v>0</v>
      </c>
      <c r="DA133" s="646">
        <f t="shared" si="280"/>
        <v>0</v>
      </c>
      <c r="DB133" s="574"/>
      <c r="DC133" s="574"/>
      <c r="DD133" s="574"/>
      <c r="DE133" s="574"/>
      <c r="DF133" s="574"/>
      <c r="DG133" s="574"/>
      <c r="DH133" s="574"/>
      <c r="DI133" s="574"/>
      <c r="DJ133" s="574"/>
      <c r="DK133" s="574"/>
      <c r="DL133" s="574"/>
      <c r="DM133" s="574"/>
      <c r="DN133" s="646">
        <f t="shared" si="281"/>
        <v>0</v>
      </c>
      <c r="DO133" s="646">
        <f t="shared" si="282"/>
        <v>0</v>
      </c>
      <c r="DP133" s="646">
        <f t="shared" si="283"/>
        <v>0</v>
      </c>
      <c r="DQ133" s="646">
        <f t="shared" si="284"/>
        <v>0</v>
      </c>
      <c r="DR133" s="646">
        <f t="shared" si="285"/>
        <v>0</v>
      </c>
      <c r="DS133" s="574"/>
      <c r="DT133" s="574"/>
      <c r="DU133" s="574"/>
      <c r="DV133" s="574"/>
      <c r="DW133" s="574"/>
      <c r="DX133" s="574"/>
      <c r="DY133" s="574"/>
      <c r="DZ133" s="574"/>
      <c r="EA133" s="574"/>
      <c r="EB133" s="574"/>
      <c r="EC133" s="574"/>
      <c r="ED133" s="574"/>
      <c r="EE133" s="646">
        <f t="shared" si="286"/>
        <v>0</v>
      </c>
      <c r="EF133" s="646">
        <f t="shared" si="287"/>
        <v>0</v>
      </c>
      <c r="EG133" s="646">
        <f t="shared" si="288"/>
        <v>0</v>
      </c>
      <c r="EH133" s="646">
        <f t="shared" si="289"/>
        <v>0</v>
      </c>
      <c r="EI133" s="646">
        <f t="shared" si="290"/>
        <v>0</v>
      </c>
      <c r="EJ133" s="574"/>
      <c r="EK133" s="574"/>
      <c r="EL133" s="574"/>
      <c r="EM133" s="574"/>
      <c r="EN133" s="574"/>
      <c r="EO133" s="574"/>
      <c r="EP133" s="574"/>
      <c r="EQ133" s="574"/>
      <c r="ER133" s="574"/>
      <c r="ES133" s="574"/>
      <c r="ET133" s="574"/>
      <c r="EU133" s="574"/>
    </row>
    <row r="134" hidden="1">
      <c r="A134" s="577">
        <v>7404.0</v>
      </c>
      <c r="B134" s="12" t="s">
        <v>218</v>
      </c>
      <c r="C134" s="12" t="s">
        <v>209</v>
      </c>
      <c r="D134" s="574"/>
      <c r="E134" s="574"/>
      <c r="F134" s="574"/>
      <c r="G134" s="574"/>
      <c r="H134" s="574"/>
      <c r="I134" s="574"/>
      <c r="J134" s="574"/>
      <c r="K134" s="574"/>
      <c r="L134" s="574"/>
      <c r="M134" s="574"/>
      <c r="N134" s="574"/>
      <c r="O134" s="574"/>
      <c r="P134" s="645">
        <f t="shared" si="251"/>
        <v>0</v>
      </c>
      <c r="Q134" s="645">
        <f t="shared" si="252"/>
        <v>0</v>
      </c>
      <c r="R134" s="645">
        <f t="shared" si="253"/>
        <v>0</v>
      </c>
      <c r="S134" s="645">
        <f t="shared" si="254"/>
        <v>0</v>
      </c>
      <c r="T134" s="645">
        <f t="shared" si="255"/>
        <v>0</v>
      </c>
      <c r="U134" s="574"/>
      <c r="V134" s="574"/>
      <c r="W134" s="574"/>
      <c r="X134" s="574"/>
      <c r="Y134" s="574"/>
      <c r="Z134" s="574"/>
      <c r="AA134" s="574"/>
      <c r="AB134" s="574"/>
      <c r="AC134" s="574"/>
      <c r="AD134" s="574"/>
      <c r="AE134" s="574"/>
      <c r="AF134" s="574"/>
      <c r="AG134" s="645">
        <f t="shared" si="256"/>
        <v>0</v>
      </c>
      <c r="AH134" s="645">
        <f t="shared" si="257"/>
        <v>0</v>
      </c>
      <c r="AI134" s="645">
        <f t="shared" si="258"/>
        <v>0</v>
      </c>
      <c r="AJ134" s="645">
        <f t="shared" si="259"/>
        <v>0</v>
      </c>
      <c r="AK134" s="645">
        <f t="shared" si="260"/>
        <v>0</v>
      </c>
      <c r="AL134" s="574"/>
      <c r="AM134" s="574"/>
      <c r="AN134" s="574"/>
      <c r="AO134" s="574"/>
      <c r="AP134" s="574"/>
      <c r="AQ134" s="574"/>
      <c r="AR134" s="574"/>
      <c r="AS134" s="574"/>
      <c r="AT134" s="574"/>
      <c r="AU134" s="574"/>
      <c r="AV134" s="574"/>
      <c r="AW134" s="574"/>
      <c r="AX134" s="645">
        <f t="shared" si="261"/>
        <v>0</v>
      </c>
      <c r="AY134" s="645">
        <f t="shared" si="262"/>
        <v>0</v>
      </c>
      <c r="AZ134" s="645">
        <f t="shared" si="263"/>
        <v>0</v>
      </c>
      <c r="BA134" s="645">
        <f t="shared" si="264"/>
        <v>0</v>
      </c>
      <c r="BB134" s="645">
        <f t="shared" si="265"/>
        <v>0</v>
      </c>
      <c r="BC134" s="569">
        <v>1848.0</v>
      </c>
      <c r="BD134" s="569">
        <v>3717.0</v>
      </c>
      <c r="BE134" s="569">
        <v>4512.0</v>
      </c>
      <c r="BF134" s="569">
        <v>5185.0</v>
      </c>
      <c r="BG134" s="569">
        <v>3639.0</v>
      </c>
      <c r="BH134" s="569">
        <v>1665.0</v>
      </c>
      <c r="BI134" s="574"/>
      <c r="BJ134" s="574"/>
      <c r="BK134" s="574"/>
      <c r="BL134" s="574"/>
      <c r="BM134" s="574"/>
      <c r="BN134" s="574"/>
      <c r="BO134" s="645">
        <f t="shared" si="266"/>
        <v>10077</v>
      </c>
      <c r="BP134" s="645">
        <f t="shared" si="267"/>
        <v>10489</v>
      </c>
      <c r="BQ134" s="645">
        <f t="shared" si="268"/>
        <v>0</v>
      </c>
      <c r="BR134" s="645">
        <f t="shared" si="269"/>
        <v>0</v>
      </c>
      <c r="BS134" s="645">
        <f t="shared" si="270"/>
        <v>20566</v>
      </c>
      <c r="BT134" s="569">
        <v>0.0</v>
      </c>
      <c r="BU134" s="569">
        <v>8082.0</v>
      </c>
      <c r="BV134" s="569">
        <v>16470.0</v>
      </c>
      <c r="BW134" s="569">
        <v>8190.0</v>
      </c>
      <c r="BX134" s="569">
        <v>12135.0</v>
      </c>
      <c r="BY134" s="569">
        <v>7968.0</v>
      </c>
      <c r="BZ134" s="574"/>
      <c r="CA134" s="574"/>
      <c r="CB134" s="574"/>
      <c r="CC134" s="574"/>
      <c r="CD134" s="574"/>
      <c r="CE134" s="574"/>
      <c r="CF134" s="646">
        <f t="shared" si="271"/>
        <v>24552</v>
      </c>
      <c r="CG134" s="646">
        <f t="shared" si="272"/>
        <v>28293</v>
      </c>
      <c r="CH134" s="646">
        <f t="shared" si="273"/>
        <v>0</v>
      </c>
      <c r="CI134" s="646">
        <f t="shared" si="274"/>
        <v>0</v>
      </c>
      <c r="CJ134" s="646">
        <f t="shared" si="275"/>
        <v>52845</v>
      </c>
      <c r="CK134" s="574"/>
      <c r="CL134" s="574"/>
      <c r="CM134" s="574"/>
      <c r="CN134" s="574"/>
      <c r="CO134" s="574"/>
      <c r="CP134" s="574"/>
      <c r="CQ134" s="574"/>
      <c r="CR134" s="574"/>
      <c r="CS134" s="574"/>
      <c r="CT134" s="574"/>
      <c r="CU134" s="574"/>
      <c r="CV134" s="574"/>
      <c r="CW134" s="646">
        <f t="shared" si="276"/>
        <v>0</v>
      </c>
      <c r="CX134" s="646">
        <f t="shared" si="277"/>
        <v>0</v>
      </c>
      <c r="CY134" s="646">
        <f t="shared" si="278"/>
        <v>0</v>
      </c>
      <c r="CZ134" s="646">
        <f t="shared" si="279"/>
        <v>0</v>
      </c>
      <c r="DA134" s="646">
        <f t="shared" si="280"/>
        <v>0</v>
      </c>
      <c r="DB134" s="574"/>
      <c r="DC134" s="574"/>
      <c r="DD134" s="574"/>
      <c r="DE134" s="574"/>
      <c r="DF134" s="574"/>
      <c r="DG134" s="574"/>
      <c r="DH134" s="574"/>
      <c r="DI134" s="574"/>
      <c r="DJ134" s="574"/>
      <c r="DK134" s="574"/>
      <c r="DL134" s="574"/>
      <c r="DM134" s="574"/>
      <c r="DN134" s="646">
        <f t="shared" si="281"/>
        <v>0</v>
      </c>
      <c r="DO134" s="646">
        <f t="shared" si="282"/>
        <v>0</v>
      </c>
      <c r="DP134" s="646">
        <f t="shared" si="283"/>
        <v>0</v>
      </c>
      <c r="DQ134" s="646">
        <f t="shared" si="284"/>
        <v>0</v>
      </c>
      <c r="DR134" s="646">
        <f t="shared" si="285"/>
        <v>0</v>
      </c>
      <c r="DS134" s="574"/>
      <c r="DT134" s="574"/>
      <c r="DU134" s="574"/>
      <c r="DV134" s="574"/>
      <c r="DW134" s="574"/>
      <c r="DX134" s="574"/>
      <c r="DY134" s="574"/>
      <c r="DZ134" s="574"/>
      <c r="EA134" s="574"/>
      <c r="EB134" s="574"/>
      <c r="EC134" s="574"/>
      <c r="ED134" s="574"/>
      <c r="EE134" s="646">
        <f t="shared" si="286"/>
        <v>0</v>
      </c>
      <c r="EF134" s="646">
        <f t="shared" si="287"/>
        <v>0</v>
      </c>
      <c r="EG134" s="646">
        <f t="shared" si="288"/>
        <v>0</v>
      </c>
      <c r="EH134" s="646">
        <f t="shared" si="289"/>
        <v>0</v>
      </c>
      <c r="EI134" s="646">
        <f t="shared" si="290"/>
        <v>0</v>
      </c>
      <c r="EJ134" s="574"/>
      <c r="EK134" s="574"/>
      <c r="EL134" s="574"/>
      <c r="EM134" s="574"/>
      <c r="EN134" s="574"/>
      <c r="EO134" s="574"/>
      <c r="EP134" s="574"/>
      <c r="EQ134" s="574"/>
      <c r="ER134" s="574"/>
      <c r="ES134" s="574"/>
      <c r="ET134" s="574"/>
      <c r="EU134" s="574"/>
    </row>
    <row r="135" hidden="1">
      <c r="A135" s="577">
        <v>7404.0</v>
      </c>
      <c r="B135" s="12" t="s">
        <v>219</v>
      </c>
      <c r="C135" s="12" t="s">
        <v>209</v>
      </c>
      <c r="D135" s="574"/>
      <c r="E135" s="574"/>
      <c r="F135" s="574"/>
      <c r="G135" s="574"/>
      <c r="H135" s="574"/>
      <c r="I135" s="574"/>
      <c r="J135" s="574"/>
      <c r="K135" s="574"/>
      <c r="L135" s="574"/>
      <c r="M135" s="574"/>
      <c r="N135" s="574"/>
      <c r="O135" s="574"/>
      <c r="P135" s="645">
        <f t="shared" si="251"/>
        <v>0</v>
      </c>
      <c r="Q135" s="645">
        <f t="shared" si="252"/>
        <v>0</v>
      </c>
      <c r="R135" s="645">
        <f t="shared" si="253"/>
        <v>0</v>
      </c>
      <c r="S135" s="645">
        <f t="shared" si="254"/>
        <v>0</v>
      </c>
      <c r="T135" s="645">
        <f t="shared" si="255"/>
        <v>0</v>
      </c>
      <c r="U135" s="574"/>
      <c r="V135" s="574"/>
      <c r="W135" s="574"/>
      <c r="X135" s="574"/>
      <c r="Y135" s="574"/>
      <c r="Z135" s="574"/>
      <c r="AA135" s="574"/>
      <c r="AB135" s="574"/>
      <c r="AC135" s="574"/>
      <c r="AD135" s="574"/>
      <c r="AE135" s="574"/>
      <c r="AF135" s="574"/>
      <c r="AG135" s="645">
        <f t="shared" si="256"/>
        <v>0</v>
      </c>
      <c r="AH135" s="645">
        <f t="shared" si="257"/>
        <v>0</v>
      </c>
      <c r="AI135" s="645">
        <f t="shared" si="258"/>
        <v>0</v>
      </c>
      <c r="AJ135" s="645">
        <f t="shared" si="259"/>
        <v>0</v>
      </c>
      <c r="AK135" s="645">
        <f t="shared" si="260"/>
        <v>0</v>
      </c>
      <c r="AL135" s="574"/>
      <c r="AM135" s="574"/>
      <c r="AN135" s="574"/>
      <c r="AO135" s="574"/>
      <c r="AP135" s="574"/>
      <c r="AQ135" s="574"/>
      <c r="AR135" s="574"/>
      <c r="AS135" s="574"/>
      <c r="AT135" s="574"/>
      <c r="AU135" s="574"/>
      <c r="AV135" s="574"/>
      <c r="AW135" s="574"/>
      <c r="AX135" s="645">
        <f t="shared" si="261"/>
        <v>0</v>
      </c>
      <c r="AY135" s="645">
        <f t="shared" si="262"/>
        <v>0</v>
      </c>
      <c r="AZ135" s="645">
        <f t="shared" si="263"/>
        <v>0</v>
      </c>
      <c r="BA135" s="645">
        <f t="shared" si="264"/>
        <v>0</v>
      </c>
      <c r="BB135" s="645">
        <f t="shared" si="265"/>
        <v>0</v>
      </c>
      <c r="BC135" s="574"/>
      <c r="BD135" s="574"/>
      <c r="BE135" s="574"/>
      <c r="BF135" s="574"/>
      <c r="BG135" s="574"/>
      <c r="BH135" s="574"/>
      <c r="BI135" s="574"/>
      <c r="BJ135" s="574"/>
      <c r="BK135" s="574"/>
      <c r="BL135" s="574"/>
      <c r="BM135" s="574"/>
      <c r="BN135" s="574"/>
      <c r="BO135" s="645">
        <f t="shared" si="266"/>
        <v>0</v>
      </c>
      <c r="BP135" s="645">
        <f t="shared" si="267"/>
        <v>0</v>
      </c>
      <c r="BQ135" s="645">
        <f t="shared" si="268"/>
        <v>0</v>
      </c>
      <c r="BR135" s="645">
        <f t="shared" si="269"/>
        <v>0</v>
      </c>
      <c r="BS135" s="645">
        <f t="shared" si="270"/>
        <v>0</v>
      </c>
      <c r="BT135" s="569">
        <v>0.0</v>
      </c>
      <c r="BU135" s="569">
        <v>0.0</v>
      </c>
      <c r="BV135" s="569">
        <v>0.0</v>
      </c>
      <c r="BW135" s="569">
        <v>0.0</v>
      </c>
      <c r="BX135" s="569">
        <v>0.0</v>
      </c>
      <c r="BY135" s="569">
        <v>0.0</v>
      </c>
      <c r="BZ135" s="574"/>
      <c r="CA135" s="574"/>
      <c r="CB135" s="574"/>
      <c r="CC135" s="574"/>
      <c r="CD135" s="574"/>
      <c r="CE135" s="574"/>
      <c r="CF135" s="646">
        <f t="shared" si="271"/>
        <v>0</v>
      </c>
      <c r="CG135" s="646">
        <f t="shared" si="272"/>
        <v>0</v>
      </c>
      <c r="CH135" s="646">
        <f t="shared" si="273"/>
        <v>0</v>
      </c>
      <c r="CI135" s="646">
        <f t="shared" si="274"/>
        <v>0</v>
      </c>
      <c r="CJ135" s="646">
        <f t="shared" si="275"/>
        <v>0</v>
      </c>
      <c r="CK135" s="574"/>
      <c r="CL135" s="574"/>
      <c r="CM135" s="574"/>
      <c r="CN135" s="574"/>
      <c r="CO135" s="574"/>
      <c r="CP135" s="574"/>
      <c r="CQ135" s="574"/>
      <c r="CR135" s="574"/>
      <c r="CS135" s="574"/>
      <c r="CT135" s="574"/>
      <c r="CU135" s="574"/>
      <c r="CV135" s="574"/>
      <c r="CW135" s="646">
        <f t="shared" si="276"/>
        <v>0</v>
      </c>
      <c r="CX135" s="646">
        <f t="shared" si="277"/>
        <v>0</v>
      </c>
      <c r="CY135" s="646">
        <f t="shared" si="278"/>
        <v>0</v>
      </c>
      <c r="CZ135" s="646">
        <f t="shared" si="279"/>
        <v>0</v>
      </c>
      <c r="DA135" s="646">
        <f t="shared" si="280"/>
        <v>0</v>
      </c>
      <c r="DB135" s="574"/>
      <c r="DC135" s="574"/>
      <c r="DD135" s="574"/>
      <c r="DE135" s="574"/>
      <c r="DF135" s="574"/>
      <c r="DG135" s="574"/>
      <c r="DH135" s="574"/>
      <c r="DI135" s="574"/>
      <c r="DJ135" s="574"/>
      <c r="DK135" s="574"/>
      <c r="DL135" s="574"/>
      <c r="DM135" s="574"/>
      <c r="DN135" s="646">
        <f t="shared" si="281"/>
        <v>0</v>
      </c>
      <c r="DO135" s="646">
        <f t="shared" si="282"/>
        <v>0</v>
      </c>
      <c r="DP135" s="646">
        <f t="shared" si="283"/>
        <v>0</v>
      </c>
      <c r="DQ135" s="646">
        <f t="shared" si="284"/>
        <v>0</v>
      </c>
      <c r="DR135" s="646">
        <f t="shared" si="285"/>
        <v>0</v>
      </c>
      <c r="DS135" s="574"/>
      <c r="DT135" s="574"/>
      <c r="DU135" s="574"/>
      <c r="DV135" s="574"/>
      <c r="DW135" s="574"/>
      <c r="DX135" s="574"/>
      <c r="DY135" s="574"/>
      <c r="DZ135" s="574"/>
      <c r="EA135" s="574"/>
      <c r="EB135" s="574"/>
      <c r="EC135" s="574"/>
      <c r="ED135" s="574"/>
      <c r="EE135" s="646">
        <f t="shared" si="286"/>
        <v>0</v>
      </c>
      <c r="EF135" s="646">
        <f t="shared" si="287"/>
        <v>0</v>
      </c>
      <c r="EG135" s="646">
        <f t="shared" si="288"/>
        <v>0</v>
      </c>
      <c r="EH135" s="646">
        <f t="shared" si="289"/>
        <v>0</v>
      </c>
      <c r="EI135" s="646">
        <f t="shared" si="290"/>
        <v>0</v>
      </c>
      <c r="EJ135" s="574"/>
      <c r="EK135" s="574"/>
      <c r="EL135" s="574"/>
      <c r="EM135" s="574"/>
      <c r="EN135" s="574"/>
      <c r="EO135" s="574"/>
      <c r="EP135" s="574"/>
      <c r="EQ135" s="574"/>
      <c r="ER135" s="574"/>
      <c r="ES135" s="574"/>
      <c r="ET135" s="574"/>
      <c r="EU135" s="574"/>
    </row>
    <row r="136" hidden="1">
      <c r="A136" s="577">
        <v>7404.0</v>
      </c>
      <c r="B136" s="12" t="s">
        <v>220</v>
      </c>
      <c r="C136" s="12" t="s">
        <v>209</v>
      </c>
      <c r="D136" s="574"/>
      <c r="E136" s="574"/>
      <c r="F136" s="574"/>
      <c r="G136" s="574"/>
      <c r="H136" s="574"/>
      <c r="I136" s="574"/>
      <c r="J136" s="574"/>
      <c r="K136" s="574"/>
      <c r="L136" s="574"/>
      <c r="M136" s="574"/>
      <c r="N136" s="574"/>
      <c r="O136" s="574"/>
      <c r="P136" s="645">
        <f t="shared" si="251"/>
        <v>0</v>
      </c>
      <c r="Q136" s="645">
        <f t="shared" si="252"/>
        <v>0</v>
      </c>
      <c r="R136" s="645">
        <f t="shared" si="253"/>
        <v>0</v>
      </c>
      <c r="S136" s="645">
        <f t="shared" si="254"/>
        <v>0</v>
      </c>
      <c r="T136" s="645">
        <f t="shared" si="255"/>
        <v>0</v>
      </c>
      <c r="U136" s="574"/>
      <c r="V136" s="574"/>
      <c r="W136" s="574"/>
      <c r="X136" s="574"/>
      <c r="Y136" s="574"/>
      <c r="Z136" s="574"/>
      <c r="AA136" s="574"/>
      <c r="AB136" s="574"/>
      <c r="AC136" s="574"/>
      <c r="AD136" s="569">
        <v>95899.0</v>
      </c>
      <c r="AE136" s="569">
        <v>153032.5</v>
      </c>
      <c r="AF136" s="569">
        <v>232813.1</v>
      </c>
      <c r="AG136" s="645">
        <f t="shared" si="256"/>
        <v>0</v>
      </c>
      <c r="AH136" s="645">
        <f t="shared" si="257"/>
        <v>0</v>
      </c>
      <c r="AI136" s="645">
        <f t="shared" si="258"/>
        <v>0</v>
      </c>
      <c r="AJ136" s="645">
        <f t="shared" si="259"/>
        <v>481744.6</v>
      </c>
      <c r="AK136" s="645">
        <f t="shared" si="260"/>
        <v>481744.6</v>
      </c>
      <c r="AL136" s="569">
        <v>341.49</v>
      </c>
      <c r="AM136" s="569">
        <v>352.504</v>
      </c>
      <c r="AN136" s="574" t="s">
        <v>221</v>
      </c>
      <c r="AO136" s="569">
        <v>250.026</v>
      </c>
      <c r="AP136" s="569">
        <v>203.127</v>
      </c>
      <c r="AQ136" s="574" t="s">
        <v>222</v>
      </c>
      <c r="AR136" s="569">
        <v>31.055</v>
      </c>
      <c r="AS136" s="569">
        <v>115.338</v>
      </c>
      <c r="AT136" s="569">
        <v>45.123</v>
      </c>
      <c r="AU136" s="569">
        <v>7.267</v>
      </c>
      <c r="AV136" s="569">
        <v>4.182</v>
      </c>
      <c r="AW136" s="569">
        <v>96.968</v>
      </c>
      <c r="AX136" s="645">
        <f t="shared" si="261"/>
        <v>693.994</v>
      </c>
      <c r="AY136" s="645">
        <f t="shared" si="262"/>
        <v>453.153</v>
      </c>
      <c r="AZ136" s="645">
        <f t="shared" si="263"/>
        <v>191.516</v>
      </c>
      <c r="BA136" s="645">
        <f t="shared" si="264"/>
        <v>108.417</v>
      </c>
      <c r="BB136" s="645">
        <f t="shared" si="265"/>
        <v>1447.08</v>
      </c>
      <c r="BC136" s="569">
        <v>162788.0</v>
      </c>
      <c r="BD136" s="569">
        <v>245693.0</v>
      </c>
      <c r="BE136" s="569">
        <v>251856.0</v>
      </c>
      <c r="BF136" s="569">
        <v>165966.0</v>
      </c>
      <c r="BG136" s="569">
        <v>139248.0</v>
      </c>
      <c r="BH136" s="569">
        <v>133474.0</v>
      </c>
      <c r="BI136" s="569">
        <v>292426.0</v>
      </c>
      <c r="BJ136" s="569">
        <v>235196.0</v>
      </c>
      <c r="BK136" s="569">
        <v>253389.0</v>
      </c>
      <c r="BL136" s="569">
        <v>231850.0</v>
      </c>
      <c r="BM136" s="574"/>
      <c r="BN136" s="574"/>
      <c r="BO136" s="645">
        <f t="shared" si="266"/>
        <v>660337</v>
      </c>
      <c r="BP136" s="645">
        <f t="shared" si="267"/>
        <v>438688</v>
      </c>
      <c r="BQ136" s="645">
        <f t="shared" si="268"/>
        <v>781011</v>
      </c>
      <c r="BR136" s="645">
        <f t="shared" si="269"/>
        <v>231850</v>
      </c>
      <c r="BS136" s="645">
        <f t="shared" si="270"/>
        <v>2111886</v>
      </c>
      <c r="BT136" s="578">
        <v>39240.425</v>
      </c>
      <c r="BU136" s="578">
        <v>86267.804</v>
      </c>
      <c r="BV136" s="578">
        <v>74066.501</v>
      </c>
      <c r="BW136" s="578">
        <v>37939.32</v>
      </c>
      <c r="BX136" s="578">
        <v>220431.463</v>
      </c>
      <c r="BY136" s="578">
        <v>233081.124</v>
      </c>
      <c r="BZ136" s="578">
        <v>211922.097</v>
      </c>
      <c r="CA136" s="578">
        <v>212033.279</v>
      </c>
      <c r="CB136" s="578">
        <v>290780.606</v>
      </c>
      <c r="CC136" s="578">
        <v>275465.225</v>
      </c>
      <c r="CD136" s="578">
        <v>244362.931</v>
      </c>
      <c r="CE136" s="578">
        <v>261958.537</v>
      </c>
      <c r="CF136" s="646">
        <f t="shared" si="271"/>
        <v>199574.73</v>
      </c>
      <c r="CG136" s="646">
        <f t="shared" si="272"/>
        <v>491451.907</v>
      </c>
      <c r="CH136" s="646">
        <f t="shared" si="273"/>
        <v>714735.982</v>
      </c>
      <c r="CI136" s="646">
        <f t="shared" si="274"/>
        <v>781786.693</v>
      </c>
      <c r="CJ136" s="646">
        <f t="shared" si="275"/>
        <v>2187549.312</v>
      </c>
      <c r="CK136" s="574"/>
      <c r="CL136" s="574"/>
      <c r="CM136" s="574"/>
      <c r="CN136" s="574"/>
      <c r="CO136" s="574"/>
      <c r="CP136" s="574"/>
      <c r="CQ136" s="574"/>
      <c r="CR136" s="574"/>
      <c r="CS136" s="574"/>
      <c r="CT136" s="574"/>
      <c r="CU136" s="574"/>
      <c r="CV136" s="574"/>
      <c r="CW136" s="646">
        <f t="shared" si="276"/>
        <v>0</v>
      </c>
      <c r="CX136" s="646">
        <f t="shared" si="277"/>
        <v>0</v>
      </c>
      <c r="CY136" s="646">
        <f t="shared" si="278"/>
        <v>0</v>
      </c>
      <c r="CZ136" s="646">
        <f t="shared" si="279"/>
        <v>0</v>
      </c>
      <c r="DA136" s="646">
        <f t="shared" si="280"/>
        <v>0</v>
      </c>
      <c r="DB136" s="574"/>
      <c r="DC136" s="574"/>
      <c r="DD136" s="574"/>
      <c r="DE136" s="574"/>
      <c r="DF136" s="574"/>
      <c r="DG136" s="574"/>
      <c r="DH136" s="574"/>
      <c r="DI136" s="574"/>
      <c r="DJ136" s="574"/>
      <c r="DK136" s="574"/>
      <c r="DL136" s="574"/>
      <c r="DM136" s="574"/>
      <c r="DN136" s="646">
        <f t="shared" si="281"/>
        <v>0</v>
      </c>
      <c r="DO136" s="646">
        <f t="shared" si="282"/>
        <v>0</v>
      </c>
      <c r="DP136" s="646">
        <f t="shared" si="283"/>
        <v>0</v>
      </c>
      <c r="DQ136" s="646">
        <f t="shared" si="284"/>
        <v>0</v>
      </c>
      <c r="DR136" s="646">
        <f t="shared" si="285"/>
        <v>0</v>
      </c>
      <c r="DS136" s="574"/>
      <c r="DT136" s="574"/>
      <c r="DU136" s="574"/>
      <c r="DV136" s="574"/>
      <c r="DW136" s="574"/>
      <c r="DX136" s="574"/>
      <c r="DY136" s="574"/>
      <c r="DZ136" s="574"/>
      <c r="EA136" s="574"/>
      <c r="EB136" s="574"/>
      <c r="EC136" s="574"/>
      <c r="ED136" s="574"/>
      <c r="EE136" s="646">
        <f t="shared" si="286"/>
        <v>0</v>
      </c>
      <c r="EF136" s="646">
        <f t="shared" si="287"/>
        <v>0</v>
      </c>
      <c r="EG136" s="646">
        <f t="shared" si="288"/>
        <v>0</v>
      </c>
      <c r="EH136" s="646">
        <f t="shared" si="289"/>
        <v>0</v>
      </c>
      <c r="EI136" s="646">
        <f t="shared" si="290"/>
        <v>0</v>
      </c>
      <c r="EJ136" s="574"/>
      <c r="EK136" s="574"/>
      <c r="EL136" s="574"/>
      <c r="EM136" s="574"/>
      <c r="EN136" s="574"/>
      <c r="EO136" s="574"/>
      <c r="EP136" s="574"/>
      <c r="EQ136" s="574"/>
      <c r="ER136" s="574"/>
      <c r="ES136" s="574"/>
      <c r="ET136" s="574"/>
      <c r="EU136" s="574"/>
    </row>
    <row r="137" hidden="1">
      <c r="A137" s="577">
        <v>7404.0</v>
      </c>
      <c r="B137" s="12" t="s">
        <v>223</v>
      </c>
      <c r="C137" s="12" t="s">
        <v>209</v>
      </c>
      <c r="D137" s="574"/>
      <c r="E137" s="574"/>
      <c r="F137" s="574"/>
      <c r="G137" s="574"/>
      <c r="H137" s="574"/>
      <c r="I137" s="574"/>
      <c r="J137" s="574"/>
      <c r="K137" s="574"/>
      <c r="L137" s="574"/>
      <c r="M137" s="574"/>
      <c r="N137" s="574"/>
      <c r="O137" s="574"/>
      <c r="P137" s="645">
        <f t="shared" si="251"/>
        <v>0</v>
      </c>
      <c r="Q137" s="645">
        <f t="shared" si="252"/>
        <v>0</v>
      </c>
      <c r="R137" s="645">
        <f t="shared" si="253"/>
        <v>0</v>
      </c>
      <c r="S137" s="645">
        <f t="shared" si="254"/>
        <v>0</v>
      </c>
      <c r="T137" s="645">
        <f t="shared" si="255"/>
        <v>0</v>
      </c>
      <c r="U137" s="574"/>
      <c r="V137" s="574"/>
      <c r="W137" s="574"/>
      <c r="X137" s="574"/>
      <c r="Y137" s="574"/>
      <c r="Z137" s="574"/>
      <c r="AA137" s="574"/>
      <c r="AB137" s="574"/>
      <c r="AC137" s="574"/>
      <c r="AD137" s="574"/>
      <c r="AE137" s="574"/>
      <c r="AF137" s="574"/>
      <c r="AG137" s="645">
        <f t="shared" si="256"/>
        <v>0</v>
      </c>
      <c r="AH137" s="645">
        <f t="shared" si="257"/>
        <v>0</v>
      </c>
      <c r="AI137" s="645">
        <f t="shared" si="258"/>
        <v>0</v>
      </c>
      <c r="AJ137" s="645">
        <f t="shared" si="259"/>
        <v>0</v>
      </c>
      <c r="AK137" s="645">
        <f t="shared" si="260"/>
        <v>0</v>
      </c>
      <c r="AL137" s="574"/>
      <c r="AM137" s="574"/>
      <c r="AN137" s="574"/>
      <c r="AO137" s="574"/>
      <c r="AP137" s="574"/>
      <c r="AQ137" s="574"/>
      <c r="AR137" s="574"/>
      <c r="AS137" s="574"/>
      <c r="AT137" s="574"/>
      <c r="AU137" s="574"/>
      <c r="AV137" s="574"/>
      <c r="AW137" s="574"/>
      <c r="AX137" s="645">
        <f t="shared" si="261"/>
        <v>0</v>
      </c>
      <c r="AY137" s="645">
        <f t="shared" si="262"/>
        <v>0</v>
      </c>
      <c r="AZ137" s="645">
        <f t="shared" si="263"/>
        <v>0</v>
      </c>
      <c r="BA137" s="645">
        <f t="shared" si="264"/>
        <v>0</v>
      </c>
      <c r="BB137" s="645">
        <f t="shared" si="265"/>
        <v>0</v>
      </c>
      <c r="BC137" s="574"/>
      <c r="BD137" s="574"/>
      <c r="BE137" s="574"/>
      <c r="BF137" s="569">
        <v>36160.0</v>
      </c>
      <c r="BG137" s="574"/>
      <c r="BH137" s="574"/>
      <c r="BI137" s="569">
        <v>17735.0</v>
      </c>
      <c r="BJ137" s="574"/>
      <c r="BK137" s="574"/>
      <c r="BL137" s="574"/>
      <c r="BM137" s="574"/>
      <c r="BN137" s="574"/>
      <c r="BO137" s="645">
        <f t="shared" si="266"/>
        <v>0</v>
      </c>
      <c r="BP137" s="645">
        <f t="shared" si="267"/>
        <v>36160</v>
      </c>
      <c r="BQ137" s="645">
        <f t="shared" si="268"/>
        <v>17735</v>
      </c>
      <c r="BR137" s="645">
        <f t="shared" si="269"/>
        <v>0</v>
      </c>
      <c r="BS137" s="645">
        <f t="shared" si="270"/>
        <v>53895</v>
      </c>
      <c r="BT137" s="574"/>
      <c r="BU137" s="574"/>
      <c r="BV137" s="574"/>
      <c r="BW137" s="574"/>
      <c r="BX137" s="574"/>
      <c r="BY137" s="574"/>
      <c r="BZ137" s="574"/>
      <c r="CA137" s="574"/>
      <c r="CB137" s="574"/>
      <c r="CC137" s="574"/>
      <c r="CD137" s="574"/>
      <c r="CE137" s="574"/>
      <c r="CF137" s="646">
        <f t="shared" si="271"/>
        <v>0</v>
      </c>
      <c r="CG137" s="646">
        <f t="shared" si="272"/>
        <v>0</v>
      </c>
      <c r="CH137" s="646">
        <f t="shared" si="273"/>
        <v>0</v>
      </c>
      <c r="CI137" s="646">
        <f t="shared" si="274"/>
        <v>0</v>
      </c>
      <c r="CJ137" s="646">
        <f t="shared" si="275"/>
        <v>0</v>
      </c>
      <c r="CK137" s="574"/>
      <c r="CL137" s="574"/>
      <c r="CM137" s="574"/>
      <c r="CN137" s="574"/>
      <c r="CO137" s="574"/>
      <c r="CP137" s="574"/>
      <c r="CQ137" s="574"/>
      <c r="CR137" s="574"/>
      <c r="CS137" s="574"/>
      <c r="CT137" s="574"/>
      <c r="CU137" s="574"/>
      <c r="CV137" s="574"/>
      <c r="CW137" s="646">
        <f t="shared" si="276"/>
        <v>0</v>
      </c>
      <c r="CX137" s="646">
        <f t="shared" si="277"/>
        <v>0</v>
      </c>
      <c r="CY137" s="646">
        <f t="shared" si="278"/>
        <v>0</v>
      </c>
      <c r="CZ137" s="646">
        <f t="shared" si="279"/>
        <v>0</v>
      </c>
      <c r="DA137" s="646">
        <f t="shared" si="280"/>
        <v>0</v>
      </c>
      <c r="DB137" s="574"/>
      <c r="DC137" s="574"/>
      <c r="DD137" s="574"/>
      <c r="DE137" s="574"/>
      <c r="DF137" s="574"/>
      <c r="DG137" s="574"/>
      <c r="DH137" s="574"/>
      <c r="DI137" s="574"/>
      <c r="DJ137" s="574"/>
      <c r="DK137" s="574"/>
      <c r="DL137" s="574"/>
      <c r="DM137" s="574"/>
      <c r="DN137" s="646">
        <f t="shared" si="281"/>
        <v>0</v>
      </c>
      <c r="DO137" s="646">
        <f t="shared" si="282"/>
        <v>0</v>
      </c>
      <c r="DP137" s="646">
        <f t="shared" si="283"/>
        <v>0</v>
      </c>
      <c r="DQ137" s="646">
        <f t="shared" si="284"/>
        <v>0</v>
      </c>
      <c r="DR137" s="646">
        <f t="shared" si="285"/>
        <v>0</v>
      </c>
      <c r="DS137" s="574"/>
      <c r="DT137" s="574"/>
      <c r="DU137" s="574"/>
      <c r="DV137" s="574"/>
      <c r="DW137" s="574"/>
      <c r="DX137" s="574"/>
      <c r="DY137" s="574"/>
      <c r="DZ137" s="574"/>
      <c r="EA137" s="574"/>
      <c r="EB137" s="574"/>
      <c r="EC137" s="574"/>
      <c r="ED137" s="574"/>
      <c r="EE137" s="646">
        <f t="shared" si="286"/>
        <v>0</v>
      </c>
      <c r="EF137" s="646">
        <f t="shared" si="287"/>
        <v>0</v>
      </c>
      <c r="EG137" s="646">
        <f t="shared" si="288"/>
        <v>0</v>
      </c>
      <c r="EH137" s="646">
        <f t="shared" si="289"/>
        <v>0</v>
      </c>
      <c r="EI137" s="646">
        <f t="shared" si="290"/>
        <v>0</v>
      </c>
      <c r="EJ137" s="574"/>
      <c r="EK137" s="574"/>
      <c r="EL137" s="574"/>
      <c r="EM137" s="574"/>
      <c r="EN137" s="574"/>
      <c r="EO137" s="574"/>
      <c r="EP137" s="574"/>
      <c r="EQ137" s="574"/>
      <c r="ER137" s="574"/>
      <c r="ES137" s="574"/>
      <c r="ET137" s="574"/>
      <c r="EU137" s="574"/>
    </row>
    <row r="138" hidden="1">
      <c r="A138" s="650">
        <v>7404.0</v>
      </c>
      <c r="B138" s="651" t="s">
        <v>224</v>
      </c>
      <c r="C138" s="651" t="s">
        <v>209</v>
      </c>
      <c r="D138" s="636"/>
      <c r="E138" s="636"/>
      <c r="F138" s="636"/>
      <c r="G138" s="636"/>
      <c r="H138" s="636"/>
      <c r="I138" s="636"/>
      <c r="J138" s="636"/>
      <c r="K138" s="636"/>
      <c r="L138" s="636"/>
      <c r="M138" s="636"/>
      <c r="N138" s="636"/>
      <c r="O138" s="636"/>
      <c r="P138" s="652">
        <f t="shared" si="251"/>
        <v>0</v>
      </c>
      <c r="Q138" s="652">
        <f t="shared" si="252"/>
        <v>0</v>
      </c>
      <c r="R138" s="652">
        <f t="shared" si="253"/>
        <v>0</v>
      </c>
      <c r="S138" s="652">
        <f t="shared" si="254"/>
        <v>0</v>
      </c>
      <c r="T138" s="652">
        <f t="shared" si="255"/>
        <v>0</v>
      </c>
      <c r="U138" s="653">
        <v>54957.1</v>
      </c>
      <c r="V138" s="653">
        <v>65350.26</v>
      </c>
      <c r="W138" s="653">
        <v>111766.09</v>
      </c>
      <c r="X138" s="653">
        <v>148419.93</v>
      </c>
      <c r="Y138" s="653">
        <v>194673.17</v>
      </c>
      <c r="Z138" s="653">
        <v>264294.37</v>
      </c>
      <c r="AA138" s="653">
        <v>315112.35</v>
      </c>
      <c r="AB138" s="653">
        <v>496468.38</v>
      </c>
      <c r="AC138" s="653">
        <v>505484.85</v>
      </c>
      <c r="AD138" s="653">
        <v>481410.81</v>
      </c>
      <c r="AE138" s="636"/>
      <c r="AF138" s="636"/>
      <c r="AG138" s="652">
        <f t="shared" si="256"/>
        <v>232073.45</v>
      </c>
      <c r="AH138" s="652">
        <f t="shared" si="257"/>
        <v>607387.47</v>
      </c>
      <c r="AI138" s="652">
        <f t="shared" si="258"/>
        <v>1317065.58</v>
      </c>
      <c r="AJ138" s="652">
        <f t="shared" si="259"/>
        <v>481410.81</v>
      </c>
      <c r="AK138" s="652">
        <f t="shared" si="260"/>
        <v>2637937.31</v>
      </c>
      <c r="AL138" s="653">
        <v>272451.81</v>
      </c>
      <c r="AM138" s="636" t="s">
        <v>225</v>
      </c>
      <c r="AN138" s="636" t="s">
        <v>226</v>
      </c>
      <c r="AO138" s="636" t="s">
        <v>227</v>
      </c>
      <c r="AP138" s="636" t="s">
        <v>228</v>
      </c>
      <c r="AQ138" s="636" t="s">
        <v>229</v>
      </c>
      <c r="AR138" s="636" t="s">
        <v>230</v>
      </c>
      <c r="AS138" s="636" t="s">
        <v>231</v>
      </c>
      <c r="AT138" s="636" t="s">
        <v>232</v>
      </c>
      <c r="AU138" s="636" t="s">
        <v>233</v>
      </c>
      <c r="AV138" s="636" t="s">
        <v>234</v>
      </c>
      <c r="AW138" s="636" t="s">
        <v>235</v>
      </c>
      <c r="AX138" s="652">
        <f t="shared" si="261"/>
        <v>272451.81</v>
      </c>
      <c r="AY138" s="652">
        <f t="shared" si="262"/>
        <v>0</v>
      </c>
      <c r="AZ138" s="652">
        <f t="shared" si="263"/>
        <v>0</v>
      </c>
      <c r="BA138" s="652">
        <f t="shared" si="264"/>
        <v>0</v>
      </c>
      <c r="BB138" s="652">
        <f t="shared" si="265"/>
        <v>272451.81</v>
      </c>
      <c r="BC138" s="653">
        <f t="shared" ref="BC138:BN138" si="291">BC20</f>
        <v>274137.928</v>
      </c>
      <c r="BD138" s="653">
        <f t="shared" si="291"/>
        <v>267373.65</v>
      </c>
      <c r="BE138" s="653">
        <f t="shared" si="291"/>
        <v>314206.45</v>
      </c>
      <c r="BF138" s="653">
        <f t="shared" si="291"/>
        <v>287273.19</v>
      </c>
      <c r="BG138" s="653">
        <f t="shared" si="291"/>
        <v>290131.05</v>
      </c>
      <c r="BH138" s="653">
        <f t="shared" si="291"/>
        <v>276252.44</v>
      </c>
      <c r="BI138" s="653">
        <f t="shared" si="291"/>
        <v>334240.31</v>
      </c>
      <c r="BJ138" s="653">
        <f t="shared" si="291"/>
        <v>356874.94</v>
      </c>
      <c r="BK138" s="653">
        <f t="shared" si="291"/>
        <v>173200.72</v>
      </c>
      <c r="BL138" s="653">
        <f t="shared" si="291"/>
        <v>255729.04</v>
      </c>
      <c r="BM138" s="653">
        <f t="shared" si="291"/>
        <v>146666.52</v>
      </c>
      <c r="BN138" s="653">
        <f t="shared" si="291"/>
        <v>25785.71</v>
      </c>
      <c r="BO138" s="653">
        <f t="shared" si="266"/>
        <v>855718.028</v>
      </c>
      <c r="BP138" s="653">
        <f t="shared" si="267"/>
        <v>853656.68</v>
      </c>
      <c r="BQ138" s="653">
        <f t="shared" si="268"/>
        <v>864315.97</v>
      </c>
      <c r="BR138" s="653">
        <f t="shared" si="269"/>
        <v>428181.27</v>
      </c>
      <c r="BS138" s="653">
        <f t="shared" si="270"/>
        <v>3001871.948</v>
      </c>
      <c r="BT138" s="653">
        <f t="shared" ref="BT138:CE138" si="292">BT20</f>
        <v>58114.24</v>
      </c>
      <c r="BU138" s="653">
        <f t="shared" si="292"/>
        <v>59001.64</v>
      </c>
      <c r="BV138" s="653">
        <f t="shared" si="292"/>
        <v>67936.04</v>
      </c>
      <c r="BW138" s="653">
        <f t="shared" si="292"/>
        <v>55114.24</v>
      </c>
      <c r="BX138" s="653">
        <f t="shared" si="292"/>
        <v>40713.22</v>
      </c>
      <c r="BY138" s="653">
        <f t="shared" si="292"/>
        <v>64081.22</v>
      </c>
      <c r="BZ138" s="653">
        <f t="shared" si="292"/>
        <v>69608.43</v>
      </c>
      <c r="CA138" s="653">
        <f t="shared" si="292"/>
        <v>76448.68</v>
      </c>
      <c r="CB138" s="653">
        <f t="shared" si="292"/>
        <v>75999.07</v>
      </c>
      <c r="CC138" s="653">
        <f t="shared" si="292"/>
        <v>72284.01</v>
      </c>
      <c r="CD138" s="653">
        <f t="shared" si="292"/>
        <v>76260.94</v>
      </c>
      <c r="CE138" s="653">
        <f t="shared" si="292"/>
        <v>53291.11</v>
      </c>
      <c r="CF138" s="653">
        <f t="shared" si="271"/>
        <v>185051.92</v>
      </c>
      <c r="CG138" s="653">
        <f t="shared" si="272"/>
        <v>159908.68</v>
      </c>
      <c r="CH138" s="653">
        <f t="shared" si="273"/>
        <v>222056.18</v>
      </c>
      <c r="CI138" s="653">
        <f t="shared" si="274"/>
        <v>201836.06</v>
      </c>
      <c r="CJ138" s="653">
        <f t="shared" si="275"/>
        <v>768852.84</v>
      </c>
      <c r="CK138" s="636"/>
      <c r="CL138" s="636"/>
      <c r="CM138" s="636"/>
      <c r="CN138" s="636"/>
      <c r="CO138" s="636"/>
      <c r="CP138" s="636"/>
      <c r="CQ138" s="636"/>
      <c r="CR138" s="636"/>
      <c r="CS138" s="636"/>
      <c r="CT138" s="636"/>
      <c r="CU138" s="636"/>
      <c r="CV138" s="636"/>
      <c r="CW138" s="653">
        <f t="shared" si="276"/>
        <v>0</v>
      </c>
      <c r="CX138" s="653">
        <f t="shared" si="277"/>
        <v>0</v>
      </c>
      <c r="CY138" s="653">
        <f t="shared" si="278"/>
        <v>0</v>
      </c>
      <c r="CZ138" s="653">
        <f t="shared" si="279"/>
        <v>0</v>
      </c>
      <c r="DA138" s="653">
        <f t="shared" si="280"/>
        <v>0</v>
      </c>
      <c r="DB138" s="636"/>
      <c r="DC138" s="636"/>
      <c r="DD138" s="636"/>
      <c r="DE138" s="636"/>
      <c r="DF138" s="636"/>
      <c r="DG138" s="636"/>
      <c r="DH138" s="636"/>
      <c r="DI138" s="636"/>
      <c r="DJ138" s="636"/>
      <c r="DK138" s="636"/>
      <c r="DL138" s="636"/>
      <c r="DM138" s="636"/>
      <c r="DN138" s="653">
        <f t="shared" si="281"/>
        <v>0</v>
      </c>
      <c r="DO138" s="653">
        <f t="shared" si="282"/>
        <v>0</v>
      </c>
      <c r="DP138" s="653">
        <f t="shared" si="283"/>
        <v>0</v>
      </c>
      <c r="DQ138" s="653">
        <f t="shared" si="284"/>
        <v>0</v>
      </c>
      <c r="DR138" s="653">
        <f t="shared" si="285"/>
        <v>0</v>
      </c>
      <c r="DS138" s="636"/>
      <c r="DT138" s="636"/>
      <c r="DU138" s="636"/>
      <c r="DV138" s="636"/>
      <c r="DW138" s="636"/>
      <c r="DX138" s="636"/>
      <c r="DY138" s="636"/>
      <c r="DZ138" s="636"/>
      <c r="EA138" s="636"/>
      <c r="EB138" s="636"/>
      <c r="EC138" s="636"/>
      <c r="ED138" s="636"/>
      <c r="EE138" s="653">
        <f t="shared" si="286"/>
        <v>0</v>
      </c>
      <c r="EF138" s="653">
        <f t="shared" si="287"/>
        <v>0</v>
      </c>
      <c r="EG138" s="653">
        <f t="shared" si="288"/>
        <v>0</v>
      </c>
      <c r="EH138" s="653">
        <f t="shared" si="289"/>
        <v>0</v>
      </c>
      <c r="EI138" s="653">
        <f t="shared" si="290"/>
        <v>0</v>
      </c>
      <c r="EJ138" s="636"/>
      <c r="EK138" s="636"/>
      <c r="EL138" s="636"/>
      <c r="EM138" s="636"/>
      <c r="EN138" s="574"/>
      <c r="EO138" s="574"/>
      <c r="EP138" s="574"/>
      <c r="EQ138" s="574"/>
      <c r="ER138" s="574"/>
      <c r="ES138" s="574"/>
      <c r="ET138" s="574"/>
      <c r="EU138" s="574"/>
    </row>
    <row r="139" hidden="1">
      <c r="A139" s="577">
        <v>7405.0</v>
      </c>
      <c r="B139" s="12" t="s">
        <v>236</v>
      </c>
      <c r="C139" s="12" t="s">
        <v>209</v>
      </c>
      <c r="D139" s="574"/>
      <c r="E139" s="574"/>
      <c r="F139" s="574"/>
      <c r="G139" s="574"/>
      <c r="H139" s="574"/>
      <c r="I139" s="574"/>
      <c r="J139" s="574"/>
      <c r="K139" s="574"/>
      <c r="L139" s="574"/>
      <c r="M139" s="574"/>
      <c r="N139" s="574"/>
      <c r="O139" s="574"/>
      <c r="P139" s="645">
        <f t="shared" si="251"/>
        <v>0</v>
      </c>
      <c r="Q139" s="645">
        <f t="shared" si="252"/>
        <v>0</v>
      </c>
      <c r="R139" s="645">
        <f t="shared" si="253"/>
        <v>0</v>
      </c>
      <c r="S139" s="645">
        <f t="shared" si="254"/>
        <v>0</v>
      </c>
      <c r="T139" s="645">
        <f t="shared" si="255"/>
        <v>0</v>
      </c>
      <c r="U139" s="569">
        <v>106182.0</v>
      </c>
      <c r="V139" s="569">
        <v>116682.0</v>
      </c>
      <c r="W139" s="569">
        <v>155805.0</v>
      </c>
      <c r="X139" s="569">
        <v>101490.0</v>
      </c>
      <c r="Y139" s="569">
        <v>50405.0</v>
      </c>
      <c r="Z139" s="569">
        <v>12444.0</v>
      </c>
      <c r="AA139" s="569">
        <v>32045.0</v>
      </c>
      <c r="AB139" s="569">
        <v>56488.0</v>
      </c>
      <c r="AC139" s="569">
        <v>49920.0</v>
      </c>
      <c r="AD139" s="569">
        <v>108705.0</v>
      </c>
      <c r="AE139" s="569">
        <v>147650.0</v>
      </c>
      <c r="AF139" s="569">
        <v>242325.0</v>
      </c>
      <c r="AG139" s="645">
        <f t="shared" si="256"/>
        <v>378669</v>
      </c>
      <c r="AH139" s="645">
        <f t="shared" si="257"/>
        <v>164339</v>
      </c>
      <c r="AI139" s="645">
        <f t="shared" si="258"/>
        <v>138453</v>
      </c>
      <c r="AJ139" s="645">
        <f t="shared" si="259"/>
        <v>498680</v>
      </c>
      <c r="AK139" s="645">
        <f t="shared" si="260"/>
        <v>1180141</v>
      </c>
      <c r="AL139" s="654">
        <v>206325.0</v>
      </c>
      <c r="AM139" s="654">
        <v>270225.0</v>
      </c>
      <c r="AN139" s="654">
        <v>279450.0</v>
      </c>
      <c r="AO139" s="654">
        <v>76950.0</v>
      </c>
      <c r="AP139" s="654">
        <v>97375.0</v>
      </c>
      <c r="AQ139" s="654">
        <v>42750.0</v>
      </c>
      <c r="AR139" s="654">
        <v>116191.0</v>
      </c>
      <c r="AS139" s="654">
        <v>64747.0</v>
      </c>
      <c r="AT139" s="654">
        <v>47492.0</v>
      </c>
      <c r="AU139" s="574"/>
      <c r="AV139" s="574"/>
      <c r="AW139" s="574"/>
      <c r="AX139" s="645">
        <f t="shared" si="261"/>
        <v>756000</v>
      </c>
      <c r="AY139" s="645">
        <f t="shared" si="262"/>
        <v>217075</v>
      </c>
      <c r="AZ139" s="645">
        <f t="shared" si="263"/>
        <v>228430</v>
      </c>
      <c r="BA139" s="645">
        <f t="shared" si="264"/>
        <v>0</v>
      </c>
      <c r="BB139" s="645">
        <f t="shared" si="265"/>
        <v>1201505</v>
      </c>
      <c r="BC139" s="569">
        <v>85318.0</v>
      </c>
      <c r="BD139" s="569">
        <v>52747.0</v>
      </c>
      <c r="BE139" s="569">
        <v>103963.0</v>
      </c>
      <c r="BF139" s="569">
        <v>56588.0</v>
      </c>
      <c r="BG139" s="569">
        <v>73312.0</v>
      </c>
      <c r="BH139" s="569">
        <v>81167.0</v>
      </c>
      <c r="BI139" s="574"/>
      <c r="BJ139" s="574"/>
      <c r="BK139" s="574"/>
      <c r="BL139" s="574"/>
      <c r="BM139" s="574"/>
      <c r="BN139" s="574"/>
      <c r="BO139" s="645">
        <f t="shared" si="266"/>
        <v>242028</v>
      </c>
      <c r="BP139" s="645">
        <f t="shared" si="267"/>
        <v>211067</v>
      </c>
      <c r="BQ139" s="645">
        <f t="shared" si="268"/>
        <v>0</v>
      </c>
      <c r="BR139" s="645">
        <f t="shared" si="269"/>
        <v>0</v>
      </c>
      <c r="BS139" s="645">
        <f t="shared" si="270"/>
        <v>453095</v>
      </c>
      <c r="BT139" s="569">
        <v>0.0</v>
      </c>
      <c r="BU139" s="569">
        <v>1980.0</v>
      </c>
      <c r="BV139" s="569">
        <v>72666.0</v>
      </c>
      <c r="BW139" s="569">
        <v>97227.0</v>
      </c>
      <c r="BX139" s="569">
        <v>49950.0</v>
      </c>
      <c r="BY139" s="569">
        <v>38700.0</v>
      </c>
      <c r="BZ139" s="569">
        <v>64350.0</v>
      </c>
      <c r="CA139" s="569">
        <v>114105.0</v>
      </c>
      <c r="CB139" s="569">
        <v>103050.0</v>
      </c>
      <c r="CC139" s="569">
        <v>202000.0</v>
      </c>
      <c r="CD139" s="569">
        <v>210000.0</v>
      </c>
      <c r="CE139" s="574"/>
      <c r="CF139" s="646">
        <f t="shared" si="271"/>
        <v>74646</v>
      </c>
      <c r="CG139" s="646">
        <f t="shared" si="272"/>
        <v>185877</v>
      </c>
      <c r="CH139" s="646">
        <f t="shared" si="273"/>
        <v>281505</v>
      </c>
      <c r="CI139" s="646">
        <f t="shared" si="274"/>
        <v>412000</v>
      </c>
      <c r="CJ139" s="646">
        <f t="shared" si="275"/>
        <v>954028</v>
      </c>
      <c r="CK139" s="574"/>
      <c r="CL139" s="574"/>
      <c r="CM139" s="574"/>
      <c r="CN139" s="574"/>
      <c r="CO139" s="574"/>
      <c r="CP139" s="574"/>
      <c r="CQ139" s="574"/>
      <c r="CR139" s="574"/>
      <c r="CS139" s="574"/>
      <c r="CT139" s="574"/>
      <c r="CU139" s="574"/>
      <c r="CV139" s="574"/>
      <c r="CW139" s="646">
        <f t="shared" si="276"/>
        <v>0</v>
      </c>
      <c r="CX139" s="646">
        <f t="shared" si="277"/>
        <v>0</v>
      </c>
      <c r="CY139" s="646">
        <f t="shared" si="278"/>
        <v>0</v>
      </c>
      <c r="CZ139" s="646">
        <f t="shared" si="279"/>
        <v>0</v>
      </c>
      <c r="DA139" s="646">
        <f t="shared" si="280"/>
        <v>0</v>
      </c>
      <c r="DB139" s="574"/>
      <c r="DC139" s="574"/>
      <c r="DD139" s="574"/>
      <c r="DE139" s="574"/>
      <c r="DF139" s="574"/>
      <c r="DG139" s="574"/>
      <c r="DH139" s="574"/>
      <c r="DI139" s="574"/>
      <c r="DJ139" s="574"/>
      <c r="DK139" s="574"/>
      <c r="DL139" s="574"/>
      <c r="DM139" s="574"/>
      <c r="DN139" s="646">
        <f t="shared" si="281"/>
        <v>0</v>
      </c>
      <c r="DO139" s="646">
        <f t="shared" si="282"/>
        <v>0</v>
      </c>
      <c r="DP139" s="646">
        <f t="shared" si="283"/>
        <v>0</v>
      </c>
      <c r="DQ139" s="646">
        <f t="shared" si="284"/>
        <v>0</v>
      </c>
      <c r="DR139" s="646">
        <f t="shared" si="285"/>
        <v>0</v>
      </c>
      <c r="DS139" s="574"/>
      <c r="DT139" s="574"/>
      <c r="DU139" s="574"/>
      <c r="DV139" s="574"/>
      <c r="DW139" s="574"/>
      <c r="DX139" s="574"/>
      <c r="DY139" s="574"/>
      <c r="DZ139" s="574"/>
      <c r="EA139" s="574"/>
      <c r="EB139" s="574"/>
      <c r="EC139" s="574"/>
      <c r="ED139" s="574"/>
      <c r="EE139" s="646">
        <f t="shared" si="286"/>
        <v>0</v>
      </c>
      <c r="EF139" s="646">
        <f t="shared" si="287"/>
        <v>0</v>
      </c>
      <c r="EG139" s="646">
        <f t="shared" si="288"/>
        <v>0</v>
      </c>
      <c r="EH139" s="646">
        <f t="shared" si="289"/>
        <v>0</v>
      </c>
      <c r="EI139" s="646">
        <f t="shared" si="290"/>
        <v>0</v>
      </c>
      <c r="EJ139" s="569">
        <v>83.840008911638</v>
      </c>
      <c r="EK139" s="571" t="str">
        <f>CY139/DA139*100</f>
        <v>#DIV/0!</v>
      </c>
      <c r="EL139" s="569">
        <f>CZ139/EJ139*100</f>
        <v>0</v>
      </c>
      <c r="EM139" s="596" t="str">
        <f>EL139/EK139*100-100</f>
        <v>#DIV/0!</v>
      </c>
      <c r="EN139" s="574"/>
      <c r="EO139" s="574"/>
      <c r="EP139" s="574"/>
      <c r="EQ139" s="574"/>
      <c r="ER139" s="574"/>
      <c r="ES139" s="574"/>
      <c r="ET139" s="574"/>
      <c r="EU139" s="574"/>
    </row>
    <row r="140" hidden="1">
      <c r="A140" s="577">
        <v>7405.0</v>
      </c>
      <c r="B140" s="12" t="s">
        <v>237</v>
      </c>
      <c r="C140" s="12" t="s">
        <v>209</v>
      </c>
      <c r="D140" s="574"/>
      <c r="E140" s="574"/>
      <c r="F140" s="574"/>
      <c r="G140" s="574"/>
      <c r="H140" s="574"/>
      <c r="I140" s="574"/>
      <c r="J140" s="574"/>
      <c r="K140" s="574"/>
      <c r="L140" s="574"/>
      <c r="M140" s="574"/>
      <c r="N140" s="574"/>
      <c r="O140" s="574"/>
      <c r="P140" s="645">
        <f t="shared" si="251"/>
        <v>0</v>
      </c>
      <c r="Q140" s="645">
        <f t="shared" si="252"/>
        <v>0</v>
      </c>
      <c r="R140" s="645">
        <f t="shared" si="253"/>
        <v>0</v>
      </c>
      <c r="S140" s="645">
        <f t="shared" si="254"/>
        <v>0</v>
      </c>
      <c r="T140" s="645">
        <f t="shared" si="255"/>
        <v>0</v>
      </c>
      <c r="U140" s="574"/>
      <c r="V140" s="574"/>
      <c r="W140" s="574"/>
      <c r="X140" s="574"/>
      <c r="Y140" s="574"/>
      <c r="Z140" s="574"/>
      <c r="AA140" s="574"/>
      <c r="AB140" s="574"/>
      <c r="AC140" s="574"/>
      <c r="AD140" s="574"/>
      <c r="AE140" s="574"/>
      <c r="AF140" s="574"/>
      <c r="AG140" s="645">
        <f t="shared" si="256"/>
        <v>0</v>
      </c>
      <c r="AH140" s="645">
        <f t="shared" si="257"/>
        <v>0</v>
      </c>
      <c r="AI140" s="645">
        <f t="shared" si="258"/>
        <v>0</v>
      </c>
      <c r="AJ140" s="645">
        <f t="shared" si="259"/>
        <v>0</v>
      </c>
      <c r="AK140" s="645">
        <f t="shared" si="260"/>
        <v>0</v>
      </c>
      <c r="AL140" s="574"/>
      <c r="AM140" s="574"/>
      <c r="AN140" s="574"/>
      <c r="AO140" s="574"/>
      <c r="AP140" s="574"/>
      <c r="AQ140" s="574"/>
      <c r="AR140" s="574"/>
      <c r="AS140" s="574"/>
      <c r="AT140" s="574"/>
      <c r="AU140" s="574"/>
      <c r="AV140" s="574"/>
      <c r="AW140" s="574"/>
      <c r="AX140" s="645">
        <f t="shared" si="261"/>
        <v>0</v>
      </c>
      <c r="AY140" s="645">
        <f t="shared" si="262"/>
        <v>0</v>
      </c>
      <c r="AZ140" s="645">
        <f t="shared" si="263"/>
        <v>0</v>
      </c>
      <c r="BA140" s="645">
        <f t="shared" si="264"/>
        <v>0</v>
      </c>
      <c r="BB140" s="645">
        <f t="shared" si="265"/>
        <v>0</v>
      </c>
      <c r="BC140" s="569">
        <v>46903.0</v>
      </c>
      <c r="BD140" s="569">
        <v>57744.0</v>
      </c>
      <c r="BE140" s="569">
        <v>122548.0</v>
      </c>
      <c r="BF140" s="569">
        <v>69482.0</v>
      </c>
      <c r="BG140" s="569">
        <v>30191.0</v>
      </c>
      <c r="BH140" s="574"/>
      <c r="BI140" s="574"/>
      <c r="BJ140" s="569">
        <v>2023.0</v>
      </c>
      <c r="BK140" s="569">
        <v>39112.0</v>
      </c>
      <c r="BL140" s="569">
        <v>73146.0</v>
      </c>
      <c r="BM140" s="574"/>
      <c r="BN140" s="574"/>
      <c r="BO140" s="645">
        <f t="shared" si="266"/>
        <v>227195</v>
      </c>
      <c r="BP140" s="645">
        <f t="shared" si="267"/>
        <v>99673</v>
      </c>
      <c r="BQ140" s="645">
        <f t="shared" si="268"/>
        <v>41135</v>
      </c>
      <c r="BR140" s="645">
        <f t="shared" si="269"/>
        <v>73146</v>
      </c>
      <c r="BS140" s="645">
        <f t="shared" si="270"/>
        <v>441149</v>
      </c>
      <c r="BT140" s="574"/>
      <c r="BU140" s="574"/>
      <c r="BV140" s="574"/>
      <c r="BW140" s="574"/>
      <c r="BX140" s="574"/>
      <c r="BY140" s="574"/>
      <c r="BZ140" s="574"/>
      <c r="CA140" s="574"/>
      <c r="CB140" s="574"/>
      <c r="CC140" s="574"/>
      <c r="CD140" s="574"/>
      <c r="CE140" s="574"/>
      <c r="CF140" s="646">
        <f t="shared" si="271"/>
        <v>0</v>
      </c>
      <c r="CG140" s="646">
        <f t="shared" si="272"/>
        <v>0</v>
      </c>
      <c r="CH140" s="646">
        <f t="shared" si="273"/>
        <v>0</v>
      </c>
      <c r="CI140" s="646">
        <f t="shared" si="274"/>
        <v>0</v>
      </c>
      <c r="CJ140" s="646">
        <f t="shared" si="275"/>
        <v>0</v>
      </c>
      <c r="CK140" s="574"/>
      <c r="CL140" s="574"/>
      <c r="CM140" s="574"/>
      <c r="CN140" s="574"/>
      <c r="CO140" s="574"/>
      <c r="CP140" s="574"/>
      <c r="CQ140" s="574"/>
      <c r="CR140" s="574"/>
      <c r="CS140" s="574"/>
      <c r="CT140" s="574"/>
      <c r="CU140" s="574"/>
      <c r="CV140" s="574"/>
      <c r="CW140" s="646">
        <f t="shared" si="276"/>
        <v>0</v>
      </c>
      <c r="CX140" s="646">
        <f t="shared" si="277"/>
        <v>0</v>
      </c>
      <c r="CY140" s="646">
        <f t="shared" si="278"/>
        <v>0</v>
      </c>
      <c r="CZ140" s="646">
        <f t="shared" si="279"/>
        <v>0</v>
      </c>
      <c r="DA140" s="646">
        <f t="shared" si="280"/>
        <v>0</v>
      </c>
      <c r="DB140" s="574"/>
      <c r="DC140" s="574"/>
      <c r="DD140" s="574"/>
      <c r="DE140" s="574"/>
      <c r="DF140" s="574"/>
      <c r="DG140" s="574"/>
      <c r="DH140" s="574"/>
      <c r="DI140" s="574"/>
      <c r="DJ140" s="574"/>
      <c r="DK140" s="574"/>
      <c r="DL140" s="574"/>
      <c r="DM140" s="574"/>
      <c r="DN140" s="646">
        <f t="shared" si="281"/>
        <v>0</v>
      </c>
      <c r="DO140" s="646">
        <f t="shared" si="282"/>
        <v>0</v>
      </c>
      <c r="DP140" s="646">
        <f t="shared" si="283"/>
        <v>0</v>
      </c>
      <c r="DQ140" s="646">
        <f t="shared" si="284"/>
        <v>0</v>
      </c>
      <c r="DR140" s="646">
        <f t="shared" si="285"/>
        <v>0</v>
      </c>
      <c r="DS140" s="574"/>
      <c r="DT140" s="574"/>
      <c r="DU140" s="574"/>
      <c r="DV140" s="574"/>
      <c r="DW140" s="574"/>
      <c r="DX140" s="574"/>
      <c r="DY140" s="574"/>
      <c r="DZ140" s="574"/>
      <c r="EA140" s="574"/>
      <c r="EB140" s="574"/>
      <c r="EC140" s="574"/>
      <c r="ED140" s="574"/>
      <c r="EE140" s="646">
        <f t="shared" si="286"/>
        <v>0</v>
      </c>
      <c r="EF140" s="646">
        <f t="shared" si="287"/>
        <v>0</v>
      </c>
      <c r="EG140" s="646">
        <f t="shared" si="288"/>
        <v>0</v>
      </c>
      <c r="EH140" s="646">
        <f t="shared" si="289"/>
        <v>0</v>
      </c>
      <c r="EI140" s="646">
        <f t="shared" si="290"/>
        <v>0</v>
      </c>
      <c r="EJ140" s="574"/>
      <c r="EK140" s="574"/>
      <c r="EL140" s="574"/>
      <c r="EM140" s="574"/>
      <c r="EN140" s="574"/>
      <c r="EO140" s="574"/>
      <c r="EP140" s="574"/>
      <c r="EQ140" s="574"/>
      <c r="ER140" s="574"/>
      <c r="ES140" s="574"/>
      <c r="ET140" s="574"/>
      <c r="EU140" s="574"/>
    </row>
    <row r="141" hidden="1">
      <c r="A141" s="577">
        <v>7405.0</v>
      </c>
      <c r="B141" s="12" t="s">
        <v>238</v>
      </c>
      <c r="C141" s="12" t="s">
        <v>209</v>
      </c>
      <c r="D141" s="574"/>
      <c r="E141" s="574"/>
      <c r="F141" s="574"/>
      <c r="G141" s="574"/>
      <c r="H141" s="574"/>
      <c r="I141" s="574"/>
      <c r="J141" s="574"/>
      <c r="K141" s="574"/>
      <c r="L141" s="574"/>
      <c r="M141" s="574"/>
      <c r="N141" s="574"/>
      <c r="O141" s="569">
        <v>90000.0</v>
      </c>
      <c r="P141" s="645">
        <f t="shared" si="251"/>
        <v>0</v>
      </c>
      <c r="Q141" s="645">
        <f t="shared" si="252"/>
        <v>0</v>
      </c>
      <c r="R141" s="645">
        <f t="shared" si="253"/>
        <v>0</v>
      </c>
      <c r="S141" s="645">
        <f t="shared" si="254"/>
        <v>90000</v>
      </c>
      <c r="T141" s="645">
        <f t="shared" si="255"/>
        <v>90000</v>
      </c>
      <c r="U141" s="569">
        <v>5389.0</v>
      </c>
      <c r="V141" s="569">
        <v>34116.0</v>
      </c>
      <c r="W141" s="569">
        <v>23866.0</v>
      </c>
      <c r="X141" s="569">
        <v>13349.0</v>
      </c>
      <c r="Y141" s="569">
        <v>10195.0</v>
      </c>
      <c r="Z141" s="569">
        <v>17309.0</v>
      </c>
      <c r="AA141" s="569">
        <v>25609.0</v>
      </c>
      <c r="AB141" s="569">
        <v>21795.0</v>
      </c>
      <c r="AC141" s="569">
        <v>24675.0</v>
      </c>
      <c r="AD141" s="569">
        <v>33351.0</v>
      </c>
      <c r="AE141" s="569">
        <v>38724.0</v>
      </c>
      <c r="AF141" s="569">
        <v>38265.0</v>
      </c>
      <c r="AG141" s="645">
        <f t="shared" si="256"/>
        <v>63371</v>
      </c>
      <c r="AH141" s="645">
        <f t="shared" si="257"/>
        <v>40853</v>
      </c>
      <c r="AI141" s="645">
        <f t="shared" si="258"/>
        <v>72079</v>
      </c>
      <c r="AJ141" s="645">
        <f t="shared" si="259"/>
        <v>110340</v>
      </c>
      <c r="AK141" s="645">
        <f t="shared" si="260"/>
        <v>286643</v>
      </c>
      <c r="AL141" s="569">
        <v>42089.0</v>
      </c>
      <c r="AM141" s="569">
        <v>55231.0</v>
      </c>
      <c r="AN141" s="569">
        <v>66767.0</v>
      </c>
      <c r="AO141" s="569">
        <v>88002.0</v>
      </c>
      <c r="AP141" s="569">
        <v>70239.0</v>
      </c>
      <c r="AQ141" s="569">
        <v>26081.0</v>
      </c>
      <c r="AR141" s="569">
        <v>67353.0</v>
      </c>
      <c r="AS141" s="569">
        <v>106696.0</v>
      </c>
      <c r="AT141" s="569">
        <v>130290.0</v>
      </c>
      <c r="AU141" s="569">
        <v>91754.0</v>
      </c>
      <c r="AV141" s="569">
        <v>50030.0</v>
      </c>
      <c r="AW141" s="569">
        <v>33901.0</v>
      </c>
      <c r="AX141" s="645">
        <f t="shared" si="261"/>
        <v>164087</v>
      </c>
      <c r="AY141" s="645">
        <f t="shared" si="262"/>
        <v>184322</v>
      </c>
      <c r="AZ141" s="645">
        <f t="shared" si="263"/>
        <v>304339</v>
      </c>
      <c r="BA141" s="645">
        <f t="shared" si="264"/>
        <v>175685</v>
      </c>
      <c r="BB141" s="645">
        <f t="shared" si="265"/>
        <v>828433</v>
      </c>
      <c r="BC141" s="569">
        <v>105368.0</v>
      </c>
      <c r="BD141" s="569">
        <v>84079.0</v>
      </c>
      <c r="BE141" s="569">
        <v>68000.0</v>
      </c>
      <c r="BF141" s="574"/>
      <c r="BG141" s="574"/>
      <c r="BH141" s="574"/>
      <c r="BI141" s="569">
        <v>29634.0</v>
      </c>
      <c r="BJ141" s="569">
        <v>26455.0</v>
      </c>
      <c r="BK141" s="569">
        <v>81507.0</v>
      </c>
      <c r="BL141" s="574"/>
      <c r="BM141" s="574"/>
      <c r="BN141" s="574"/>
      <c r="BO141" s="645">
        <f t="shared" si="266"/>
        <v>257447</v>
      </c>
      <c r="BP141" s="645">
        <f t="shared" si="267"/>
        <v>0</v>
      </c>
      <c r="BQ141" s="645">
        <f t="shared" si="268"/>
        <v>137596</v>
      </c>
      <c r="BR141" s="645">
        <f t="shared" si="269"/>
        <v>0</v>
      </c>
      <c r="BS141" s="645">
        <f t="shared" si="270"/>
        <v>395043</v>
      </c>
      <c r="BT141" s="569">
        <v>10020.0</v>
      </c>
      <c r="BU141" s="569">
        <v>7260.0</v>
      </c>
      <c r="BV141" s="569">
        <v>3975.0</v>
      </c>
      <c r="BW141" s="569">
        <v>12030.0</v>
      </c>
      <c r="BX141" s="569">
        <v>7110.0</v>
      </c>
      <c r="BY141" s="569">
        <v>4155.0</v>
      </c>
      <c r="BZ141" s="569">
        <v>0.0</v>
      </c>
      <c r="CA141" s="569">
        <v>0.0</v>
      </c>
      <c r="CB141" s="574"/>
      <c r="CC141" s="574"/>
      <c r="CD141" s="574"/>
      <c r="CE141" s="574"/>
      <c r="CF141" s="646">
        <f t="shared" si="271"/>
        <v>21255</v>
      </c>
      <c r="CG141" s="646">
        <f t="shared" si="272"/>
        <v>23295</v>
      </c>
      <c r="CH141" s="646">
        <f t="shared" si="273"/>
        <v>0</v>
      </c>
      <c r="CI141" s="646">
        <f t="shared" si="274"/>
        <v>0</v>
      </c>
      <c r="CJ141" s="646">
        <f t="shared" si="275"/>
        <v>44550</v>
      </c>
      <c r="CK141" s="574"/>
      <c r="CL141" s="574"/>
      <c r="CM141" s="574"/>
      <c r="CN141" s="574"/>
      <c r="CO141" s="574"/>
      <c r="CP141" s="574"/>
      <c r="CQ141" s="574"/>
      <c r="CR141" s="574"/>
      <c r="CS141" s="574"/>
      <c r="CT141" s="574"/>
      <c r="CU141" s="574"/>
      <c r="CV141" s="574"/>
      <c r="CW141" s="646">
        <f t="shared" si="276"/>
        <v>0</v>
      </c>
      <c r="CX141" s="646">
        <f t="shared" si="277"/>
        <v>0</v>
      </c>
      <c r="CY141" s="646">
        <f t="shared" si="278"/>
        <v>0</v>
      </c>
      <c r="CZ141" s="646">
        <f t="shared" si="279"/>
        <v>0</v>
      </c>
      <c r="DA141" s="646">
        <f t="shared" si="280"/>
        <v>0</v>
      </c>
      <c r="DB141" s="574"/>
      <c r="DC141" s="574"/>
      <c r="DD141" s="574"/>
      <c r="DE141" s="574"/>
      <c r="DF141" s="574"/>
      <c r="DG141" s="574"/>
      <c r="DH141" s="574"/>
      <c r="DI141" s="574"/>
      <c r="DJ141" s="574"/>
      <c r="DK141" s="574"/>
      <c r="DL141" s="574"/>
      <c r="DM141" s="574"/>
      <c r="DN141" s="646">
        <f t="shared" si="281"/>
        <v>0</v>
      </c>
      <c r="DO141" s="646">
        <f t="shared" si="282"/>
        <v>0</v>
      </c>
      <c r="DP141" s="646">
        <f t="shared" si="283"/>
        <v>0</v>
      </c>
      <c r="DQ141" s="646">
        <f t="shared" si="284"/>
        <v>0</v>
      </c>
      <c r="DR141" s="646">
        <f t="shared" si="285"/>
        <v>0</v>
      </c>
      <c r="DS141" s="574"/>
      <c r="DT141" s="574"/>
      <c r="DU141" s="574"/>
      <c r="DV141" s="574"/>
      <c r="DW141" s="574"/>
      <c r="DX141" s="574"/>
      <c r="DY141" s="574"/>
      <c r="DZ141" s="574"/>
      <c r="EA141" s="574"/>
      <c r="EB141" s="574"/>
      <c r="EC141" s="574"/>
      <c r="ED141" s="574"/>
      <c r="EE141" s="646">
        <f t="shared" si="286"/>
        <v>0</v>
      </c>
      <c r="EF141" s="646">
        <f t="shared" si="287"/>
        <v>0</v>
      </c>
      <c r="EG141" s="646">
        <f t="shared" si="288"/>
        <v>0</v>
      </c>
      <c r="EH141" s="646">
        <f t="shared" si="289"/>
        <v>0</v>
      </c>
      <c r="EI141" s="646">
        <f t="shared" si="290"/>
        <v>0</v>
      </c>
      <c r="EJ141" s="574"/>
      <c r="EK141" s="574"/>
      <c r="EL141" s="574"/>
      <c r="EM141" s="574"/>
      <c r="EN141" s="574"/>
      <c r="EO141" s="574"/>
      <c r="EP141" s="574"/>
      <c r="EQ141" s="574"/>
      <c r="ER141" s="574"/>
      <c r="ES141" s="574"/>
      <c r="ET141" s="574"/>
      <c r="EU141" s="574"/>
    </row>
    <row r="142" hidden="1">
      <c r="A142" s="577">
        <v>7405.0</v>
      </c>
      <c r="B142" s="12" t="s">
        <v>239</v>
      </c>
      <c r="C142" s="12" t="s">
        <v>209</v>
      </c>
      <c r="D142" s="574"/>
      <c r="E142" s="574"/>
      <c r="F142" s="574"/>
      <c r="G142" s="574"/>
      <c r="H142" s="574"/>
      <c r="I142" s="574"/>
      <c r="J142" s="574"/>
      <c r="K142" s="574"/>
      <c r="L142" s="574"/>
      <c r="M142" s="574"/>
      <c r="N142" s="574"/>
      <c r="O142" s="574"/>
      <c r="P142" s="645">
        <f t="shared" si="251"/>
        <v>0</v>
      </c>
      <c r="Q142" s="645">
        <f t="shared" si="252"/>
        <v>0</v>
      </c>
      <c r="R142" s="645">
        <f t="shared" si="253"/>
        <v>0</v>
      </c>
      <c r="S142" s="645">
        <f t="shared" si="254"/>
        <v>0</v>
      </c>
      <c r="T142" s="645">
        <f t="shared" si="255"/>
        <v>0</v>
      </c>
      <c r="U142" s="569">
        <v>18238.0</v>
      </c>
      <c r="V142" s="569">
        <v>30128.0</v>
      </c>
      <c r="W142" s="569">
        <v>28943.0</v>
      </c>
      <c r="X142" s="569">
        <v>14472.0</v>
      </c>
      <c r="Y142" s="569">
        <v>15915.0</v>
      </c>
      <c r="Z142" s="569">
        <v>12700.0</v>
      </c>
      <c r="AA142" s="569">
        <v>32709.0</v>
      </c>
      <c r="AB142" s="569">
        <v>62918.0</v>
      </c>
      <c r="AC142" s="569">
        <v>75056.0</v>
      </c>
      <c r="AD142" s="569">
        <v>57944.0</v>
      </c>
      <c r="AE142" s="569">
        <v>71689.0</v>
      </c>
      <c r="AF142" s="569">
        <v>69167.0</v>
      </c>
      <c r="AG142" s="645">
        <f t="shared" si="256"/>
        <v>77309</v>
      </c>
      <c r="AH142" s="645">
        <f t="shared" si="257"/>
        <v>43087</v>
      </c>
      <c r="AI142" s="645">
        <f t="shared" si="258"/>
        <v>170683</v>
      </c>
      <c r="AJ142" s="645">
        <f t="shared" si="259"/>
        <v>198800</v>
      </c>
      <c r="AK142" s="645">
        <f t="shared" si="260"/>
        <v>489879</v>
      </c>
      <c r="AL142" s="569">
        <v>64704.0</v>
      </c>
      <c r="AM142" s="569">
        <v>46760.0</v>
      </c>
      <c r="AN142" s="569">
        <v>82908.0</v>
      </c>
      <c r="AO142" s="569">
        <v>79352.0</v>
      </c>
      <c r="AP142" s="569">
        <v>55568.0</v>
      </c>
      <c r="AQ142" s="569">
        <v>29929.0</v>
      </c>
      <c r="AR142" s="569">
        <v>59593.0</v>
      </c>
      <c r="AS142" s="569">
        <v>65117.0</v>
      </c>
      <c r="AT142" s="569">
        <v>66742.0</v>
      </c>
      <c r="AU142" s="569">
        <v>99960.0</v>
      </c>
      <c r="AV142" s="569">
        <v>64050.0</v>
      </c>
      <c r="AW142" s="569">
        <v>45248.0</v>
      </c>
      <c r="AX142" s="645">
        <f t="shared" si="261"/>
        <v>194372</v>
      </c>
      <c r="AY142" s="645">
        <f t="shared" si="262"/>
        <v>164849</v>
      </c>
      <c r="AZ142" s="645">
        <f t="shared" si="263"/>
        <v>191452</v>
      </c>
      <c r="BA142" s="645">
        <f t="shared" si="264"/>
        <v>209258</v>
      </c>
      <c r="BB142" s="645">
        <f t="shared" si="265"/>
        <v>759931</v>
      </c>
      <c r="BC142" s="569">
        <v>54102.0</v>
      </c>
      <c r="BD142" s="569">
        <v>16835.0</v>
      </c>
      <c r="BE142" s="569">
        <v>21861.0</v>
      </c>
      <c r="BF142" s="569">
        <v>44670.0</v>
      </c>
      <c r="BG142" s="569">
        <v>87737.0</v>
      </c>
      <c r="BH142" s="569">
        <v>51211.0</v>
      </c>
      <c r="BI142" s="569">
        <v>37468.0</v>
      </c>
      <c r="BJ142" s="569">
        <v>11377.0</v>
      </c>
      <c r="BK142" s="569">
        <v>45371.0</v>
      </c>
      <c r="BL142" s="569">
        <v>37512.0</v>
      </c>
      <c r="BM142" s="574"/>
      <c r="BN142" s="574"/>
      <c r="BO142" s="645">
        <f t="shared" si="266"/>
        <v>92798</v>
      </c>
      <c r="BP142" s="645">
        <f t="shared" si="267"/>
        <v>183618</v>
      </c>
      <c r="BQ142" s="645">
        <f t="shared" si="268"/>
        <v>94216</v>
      </c>
      <c r="BR142" s="645">
        <f t="shared" si="269"/>
        <v>37512</v>
      </c>
      <c r="BS142" s="645">
        <f t="shared" si="270"/>
        <v>408144</v>
      </c>
      <c r="BT142" s="569">
        <v>16737.9</v>
      </c>
      <c r="BU142" s="569">
        <v>43957.2</v>
      </c>
      <c r="BV142" s="569">
        <v>48443.0</v>
      </c>
      <c r="BW142" s="569">
        <v>50118.8</v>
      </c>
      <c r="BX142" s="569">
        <v>44865.0</v>
      </c>
      <c r="BY142" s="569">
        <v>33722.2</v>
      </c>
      <c r="BZ142" s="569">
        <v>24612.8</v>
      </c>
      <c r="CA142" s="569">
        <v>52397.4</v>
      </c>
      <c r="CB142" s="569">
        <v>63589.0</v>
      </c>
      <c r="CC142" s="574"/>
      <c r="CD142" s="574"/>
      <c r="CE142" s="574"/>
      <c r="CF142" s="646">
        <f t="shared" si="271"/>
        <v>109138.1</v>
      </c>
      <c r="CG142" s="646">
        <f t="shared" si="272"/>
        <v>128706</v>
      </c>
      <c r="CH142" s="646">
        <f t="shared" si="273"/>
        <v>140599.2</v>
      </c>
      <c r="CI142" s="646">
        <f t="shared" si="274"/>
        <v>0</v>
      </c>
      <c r="CJ142" s="646">
        <f t="shared" si="275"/>
        <v>378443.3</v>
      </c>
      <c r="CK142" s="574"/>
      <c r="CL142" s="574"/>
      <c r="CM142" s="574"/>
      <c r="CN142" s="574"/>
      <c r="CO142" s="574"/>
      <c r="CP142" s="574"/>
      <c r="CQ142" s="574"/>
      <c r="CR142" s="574"/>
      <c r="CS142" s="574"/>
      <c r="CT142" s="574"/>
      <c r="CU142" s="574"/>
      <c r="CV142" s="574"/>
      <c r="CW142" s="646">
        <f t="shared" si="276"/>
        <v>0</v>
      </c>
      <c r="CX142" s="646">
        <f t="shared" si="277"/>
        <v>0</v>
      </c>
      <c r="CY142" s="646">
        <f t="shared" si="278"/>
        <v>0</v>
      </c>
      <c r="CZ142" s="646">
        <f t="shared" si="279"/>
        <v>0</v>
      </c>
      <c r="DA142" s="646">
        <f t="shared" si="280"/>
        <v>0</v>
      </c>
      <c r="DB142" s="574"/>
      <c r="DC142" s="574"/>
      <c r="DD142" s="574"/>
      <c r="DE142" s="574"/>
      <c r="DF142" s="574"/>
      <c r="DG142" s="574"/>
      <c r="DH142" s="574"/>
      <c r="DI142" s="574"/>
      <c r="DJ142" s="574"/>
      <c r="DK142" s="574"/>
      <c r="DL142" s="574"/>
      <c r="DM142" s="574"/>
      <c r="DN142" s="646">
        <f t="shared" si="281"/>
        <v>0</v>
      </c>
      <c r="DO142" s="646">
        <f t="shared" si="282"/>
        <v>0</v>
      </c>
      <c r="DP142" s="646">
        <f t="shared" si="283"/>
        <v>0</v>
      </c>
      <c r="DQ142" s="646">
        <f t="shared" si="284"/>
        <v>0</v>
      </c>
      <c r="DR142" s="646">
        <f t="shared" si="285"/>
        <v>0</v>
      </c>
      <c r="DS142" s="574"/>
      <c r="DT142" s="574"/>
      <c r="DU142" s="574"/>
      <c r="DV142" s="574"/>
      <c r="DW142" s="574"/>
      <c r="DX142" s="574"/>
      <c r="DY142" s="574"/>
      <c r="DZ142" s="574"/>
      <c r="EA142" s="574"/>
      <c r="EB142" s="574"/>
      <c r="EC142" s="574"/>
      <c r="ED142" s="574"/>
      <c r="EE142" s="646">
        <f t="shared" si="286"/>
        <v>0</v>
      </c>
      <c r="EF142" s="646">
        <f t="shared" si="287"/>
        <v>0</v>
      </c>
      <c r="EG142" s="646">
        <f t="shared" si="288"/>
        <v>0</v>
      </c>
      <c r="EH142" s="646">
        <f t="shared" si="289"/>
        <v>0</v>
      </c>
      <c r="EI142" s="646">
        <f t="shared" si="290"/>
        <v>0</v>
      </c>
      <c r="EJ142" s="574"/>
      <c r="EK142" s="574"/>
      <c r="EL142" s="574"/>
      <c r="EM142" s="574"/>
      <c r="EN142" s="574"/>
      <c r="EO142" s="574"/>
      <c r="EP142" s="574"/>
      <c r="EQ142" s="574"/>
      <c r="ER142" s="574"/>
      <c r="ES142" s="574"/>
      <c r="ET142" s="574"/>
      <c r="EU142" s="574"/>
    </row>
    <row r="143" hidden="1">
      <c r="A143" s="577">
        <v>7405.0</v>
      </c>
      <c r="B143" s="12" t="s">
        <v>240</v>
      </c>
      <c r="C143" s="12" t="s">
        <v>209</v>
      </c>
      <c r="D143" s="574"/>
      <c r="E143" s="574"/>
      <c r="F143" s="574"/>
      <c r="G143" s="574"/>
      <c r="H143" s="574"/>
      <c r="I143" s="574"/>
      <c r="J143" s="574"/>
      <c r="K143" s="574"/>
      <c r="L143" s="574"/>
      <c r="M143" s="574"/>
      <c r="N143" s="574"/>
      <c r="O143" s="574"/>
      <c r="P143" s="645">
        <f t="shared" si="251"/>
        <v>0</v>
      </c>
      <c r="Q143" s="645">
        <f t="shared" si="252"/>
        <v>0</v>
      </c>
      <c r="R143" s="645">
        <f t="shared" si="253"/>
        <v>0</v>
      </c>
      <c r="S143" s="645">
        <f t="shared" si="254"/>
        <v>0</v>
      </c>
      <c r="T143" s="645">
        <f t="shared" si="255"/>
        <v>0</v>
      </c>
      <c r="U143" s="574"/>
      <c r="V143" s="574"/>
      <c r="W143" s="574"/>
      <c r="X143" s="569">
        <v>25504.0</v>
      </c>
      <c r="Y143" s="569">
        <v>19075.0</v>
      </c>
      <c r="Z143" s="569">
        <v>10682.0</v>
      </c>
      <c r="AA143" s="569">
        <v>23035.0</v>
      </c>
      <c r="AB143" s="569">
        <v>24650.0</v>
      </c>
      <c r="AC143" s="569">
        <v>20154.0</v>
      </c>
      <c r="AD143" s="574"/>
      <c r="AE143" s="574"/>
      <c r="AF143" s="574"/>
      <c r="AG143" s="645">
        <f t="shared" si="256"/>
        <v>0</v>
      </c>
      <c r="AH143" s="645">
        <f t="shared" si="257"/>
        <v>55261</v>
      </c>
      <c r="AI143" s="645">
        <f t="shared" si="258"/>
        <v>67839</v>
      </c>
      <c r="AJ143" s="645">
        <f t="shared" si="259"/>
        <v>0</v>
      </c>
      <c r="AK143" s="645">
        <f t="shared" si="260"/>
        <v>123100</v>
      </c>
      <c r="AL143" s="574"/>
      <c r="AM143" s="574"/>
      <c r="AN143" s="574"/>
      <c r="AO143" s="574"/>
      <c r="AP143" s="574"/>
      <c r="AQ143" s="574"/>
      <c r="AR143" s="574"/>
      <c r="AS143" s="574"/>
      <c r="AT143" s="574"/>
      <c r="AU143" s="574"/>
      <c r="AV143" s="574"/>
      <c r="AW143" s="574"/>
      <c r="AX143" s="645">
        <f t="shared" si="261"/>
        <v>0</v>
      </c>
      <c r="AY143" s="645">
        <f t="shared" si="262"/>
        <v>0</v>
      </c>
      <c r="AZ143" s="645">
        <f t="shared" si="263"/>
        <v>0</v>
      </c>
      <c r="BA143" s="645">
        <f t="shared" si="264"/>
        <v>0</v>
      </c>
      <c r="BB143" s="645">
        <f t="shared" si="265"/>
        <v>0</v>
      </c>
      <c r="BC143" s="574"/>
      <c r="BD143" s="574"/>
      <c r="BE143" s="574"/>
      <c r="BF143" s="574"/>
      <c r="BG143" s="574"/>
      <c r="BH143" s="574"/>
      <c r="BI143" s="569">
        <v>15932.0</v>
      </c>
      <c r="BJ143" s="569">
        <v>15562.0</v>
      </c>
      <c r="BK143" s="569">
        <v>9840.0</v>
      </c>
      <c r="BL143" s="574"/>
      <c r="BM143" s="574"/>
      <c r="BN143" s="574"/>
      <c r="BO143" s="645">
        <f t="shared" si="266"/>
        <v>0</v>
      </c>
      <c r="BP143" s="645">
        <f t="shared" si="267"/>
        <v>0</v>
      </c>
      <c r="BQ143" s="645">
        <f t="shared" si="268"/>
        <v>41334</v>
      </c>
      <c r="BR143" s="645">
        <f t="shared" si="269"/>
        <v>0</v>
      </c>
      <c r="BS143" s="645">
        <f t="shared" si="270"/>
        <v>41334</v>
      </c>
      <c r="BT143" s="569">
        <v>0.0</v>
      </c>
      <c r="BU143" s="569">
        <v>8253.0</v>
      </c>
      <c r="BV143" s="569">
        <v>1411.0</v>
      </c>
      <c r="BW143" s="569">
        <v>628.0</v>
      </c>
      <c r="BX143" s="569">
        <v>9549.0</v>
      </c>
      <c r="BY143" s="569">
        <v>6193.0</v>
      </c>
      <c r="BZ143" s="569">
        <v>2897.0</v>
      </c>
      <c r="CA143" s="569">
        <v>2765.0</v>
      </c>
      <c r="CB143" s="569">
        <v>2546.0</v>
      </c>
      <c r="CC143" s="574"/>
      <c r="CD143" s="574"/>
      <c r="CE143" s="574"/>
      <c r="CF143" s="646">
        <f t="shared" si="271"/>
        <v>9664</v>
      </c>
      <c r="CG143" s="646">
        <f t="shared" si="272"/>
        <v>16370</v>
      </c>
      <c r="CH143" s="646">
        <f t="shared" si="273"/>
        <v>8208</v>
      </c>
      <c r="CI143" s="646">
        <f t="shared" si="274"/>
        <v>0</v>
      </c>
      <c r="CJ143" s="646">
        <f t="shared" si="275"/>
        <v>34242</v>
      </c>
      <c r="CK143" s="574"/>
      <c r="CL143" s="574"/>
      <c r="CM143" s="574"/>
      <c r="CN143" s="574"/>
      <c r="CO143" s="574"/>
      <c r="CP143" s="574"/>
      <c r="CQ143" s="574"/>
      <c r="CR143" s="574"/>
      <c r="CS143" s="574"/>
      <c r="CT143" s="574"/>
      <c r="CU143" s="574"/>
      <c r="CV143" s="574"/>
      <c r="CW143" s="646">
        <f t="shared" si="276"/>
        <v>0</v>
      </c>
      <c r="CX143" s="646">
        <f t="shared" si="277"/>
        <v>0</v>
      </c>
      <c r="CY143" s="646">
        <f t="shared" si="278"/>
        <v>0</v>
      </c>
      <c r="CZ143" s="646">
        <f t="shared" si="279"/>
        <v>0</v>
      </c>
      <c r="DA143" s="646">
        <f t="shared" si="280"/>
        <v>0</v>
      </c>
      <c r="DB143" s="574"/>
      <c r="DC143" s="574"/>
      <c r="DD143" s="574"/>
      <c r="DE143" s="574"/>
      <c r="DF143" s="574"/>
      <c r="DG143" s="574"/>
      <c r="DH143" s="574"/>
      <c r="DI143" s="574"/>
      <c r="DJ143" s="574"/>
      <c r="DK143" s="574"/>
      <c r="DL143" s="574"/>
      <c r="DM143" s="574"/>
      <c r="DN143" s="646">
        <f t="shared" si="281"/>
        <v>0</v>
      </c>
      <c r="DO143" s="646">
        <f t="shared" si="282"/>
        <v>0</v>
      </c>
      <c r="DP143" s="646">
        <f t="shared" si="283"/>
        <v>0</v>
      </c>
      <c r="DQ143" s="646">
        <f t="shared" si="284"/>
        <v>0</v>
      </c>
      <c r="DR143" s="646">
        <f t="shared" si="285"/>
        <v>0</v>
      </c>
      <c r="DS143" s="574"/>
      <c r="DT143" s="574"/>
      <c r="DU143" s="574"/>
      <c r="DV143" s="574"/>
      <c r="DW143" s="574"/>
      <c r="DX143" s="574"/>
      <c r="DY143" s="574"/>
      <c r="DZ143" s="574"/>
      <c r="EA143" s="574"/>
      <c r="EB143" s="574"/>
      <c r="EC143" s="574"/>
      <c r="ED143" s="574"/>
      <c r="EE143" s="646">
        <f t="shared" si="286"/>
        <v>0</v>
      </c>
      <c r="EF143" s="646">
        <f t="shared" si="287"/>
        <v>0</v>
      </c>
      <c r="EG143" s="646">
        <f t="shared" si="288"/>
        <v>0</v>
      </c>
      <c r="EH143" s="646">
        <f t="shared" si="289"/>
        <v>0</v>
      </c>
      <c r="EI143" s="646">
        <f t="shared" si="290"/>
        <v>0</v>
      </c>
      <c r="EJ143" s="574"/>
      <c r="EK143" s="574"/>
      <c r="EL143" s="574"/>
      <c r="EM143" s="574"/>
      <c r="EN143" s="574"/>
      <c r="EO143" s="574"/>
      <c r="EP143" s="574"/>
      <c r="EQ143" s="574"/>
      <c r="ER143" s="574"/>
      <c r="ES143" s="574"/>
      <c r="ET143" s="574"/>
      <c r="EU143" s="574"/>
    </row>
    <row r="144" hidden="1">
      <c r="A144" s="577">
        <v>7405.0</v>
      </c>
      <c r="B144" s="12" t="s">
        <v>241</v>
      </c>
      <c r="C144" s="12" t="s">
        <v>209</v>
      </c>
      <c r="D144" s="574"/>
      <c r="E144" s="574"/>
      <c r="F144" s="574"/>
      <c r="G144" s="574"/>
      <c r="H144" s="574"/>
      <c r="I144" s="574"/>
      <c r="J144" s="574"/>
      <c r="K144" s="574"/>
      <c r="L144" s="574"/>
      <c r="M144" s="574"/>
      <c r="N144" s="574"/>
      <c r="O144" s="574"/>
      <c r="P144" s="645">
        <f t="shared" si="251"/>
        <v>0</v>
      </c>
      <c r="Q144" s="645">
        <f t="shared" si="252"/>
        <v>0</v>
      </c>
      <c r="R144" s="645">
        <f t="shared" si="253"/>
        <v>0</v>
      </c>
      <c r="S144" s="645">
        <f t="shared" si="254"/>
        <v>0</v>
      </c>
      <c r="T144" s="645">
        <f t="shared" si="255"/>
        <v>0</v>
      </c>
      <c r="U144" s="574"/>
      <c r="V144" s="574"/>
      <c r="W144" s="574"/>
      <c r="X144" s="574"/>
      <c r="Y144" s="574"/>
      <c r="Z144" s="574"/>
      <c r="AA144" s="574"/>
      <c r="AB144" s="574"/>
      <c r="AC144" s="574"/>
      <c r="AD144" s="574"/>
      <c r="AE144" s="574"/>
      <c r="AF144" s="574"/>
      <c r="AG144" s="645">
        <f t="shared" si="256"/>
        <v>0</v>
      </c>
      <c r="AH144" s="645">
        <f t="shared" si="257"/>
        <v>0</v>
      </c>
      <c r="AI144" s="645">
        <f t="shared" si="258"/>
        <v>0</v>
      </c>
      <c r="AJ144" s="645">
        <f t="shared" si="259"/>
        <v>0</v>
      </c>
      <c r="AK144" s="645">
        <f t="shared" si="260"/>
        <v>0</v>
      </c>
      <c r="AL144" s="574"/>
      <c r="AM144" s="574"/>
      <c r="AN144" s="574"/>
      <c r="AO144" s="574"/>
      <c r="AP144" s="574"/>
      <c r="AQ144" s="574"/>
      <c r="AR144" s="574"/>
      <c r="AS144" s="574"/>
      <c r="AT144" s="574"/>
      <c r="AU144" s="574"/>
      <c r="AV144" s="574"/>
      <c r="AW144" s="574"/>
      <c r="AX144" s="645">
        <f t="shared" si="261"/>
        <v>0</v>
      </c>
      <c r="AY144" s="645">
        <f t="shared" si="262"/>
        <v>0</v>
      </c>
      <c r="AZ144" s="645">
        <f t="shared" si="263"/>
        <v>0</v>
      </c>
      <c r="BA144" s="645">
        <f t="shared" si="264"/>
        <v>0</v>
      </c>
      <c r="BB144" s="645">
        <f t="shared" si="265"/>
        <v>0</v>
      </c>
      <c r="BC144" s="574"/>
      <c r="BD144" s="574"/>
      <c r="BE144" s="574"/>
      <c r="BF144" s="574"/>
      <c r="BG144" s="574"/>
      <c r="BH144" s="574"/>
      <c r="BI144" s="574"/>
      <c r="BJ144" s="574"/>
      <c r="BK144" s="574"/>
      <c r="BL144" s="574"/>
      <c r="BM144" s="574"/>
      <c r="BN144" s="574"/>
      <c r="BO144" s="645">
        <f t="shared" si="266"/>
        <v>0</v>
      </c>
      <c r="BP144" s="645">
        <f t="shared" si="267"/>
        <v>0</v>
      </c>
      <c r="BQ144" s="645">
        <f t="shared" si="268"/>
        <v>0</v>
      </c>
      <c r="BR144" s="645">
        <f t="shared" si="269"/>
        <v>0</v>
      </c>
      <c r="BS144" s="645">
        <f t="shared" si="270"/>
        <v>0</v>
      </c>
      <c r="BT144" s="574"/>
      <c r="BU144" s="574"/>
      <c r="BV144" s="574"/>
      <c r="BW144" s="574"/>
      <c r="BX144" s="574"/>
      <c r="BY144" s="574"/>
      <c r="BZ144" s="574"/>
      <c r="CA144" s="574"/>
      <c r="CB144" s="574"/>
      <c r="CC144" s="574"/>
      <c r="CD144" s="574"/>
      <c r="CE144" s="574"/>
      <c r="CF144" s="646">
        <f t="shared" si="271"/>
        <v>0</v>
      </c>
      <c r="CG144" s="646">
        <f t="shared" si="272"/>
        <v>0</v>
      </c>
      <c r="CH144" s="646">
        <f t="shared" si="273"/>
        <v>0</v>
      </c>
      <c r="CI144" s="646">
        <f t="shared" si="274"/>
        <v>0</v>
      </c>
      <c r="CJ144" s="646">
        <f t="shared" si="275"/>
        <v>0</v>
      </c>
      <c r="CK144" s="574"/>
      <c r="CL144" s="574"/>
      <c r="CM144" s="574"/>
      <c r="CN144" s="574"/>
      <c r="CO144" s="574"/>
      <c r="CP144" s="574"/>
      <c r="CQ144" s="574"/>
      <c r="CR144" s="574"/>
      <c r="CS144" s="574"/>
      <c r="CT144" s="574"/>
      <c r="CU144" s="574"/>
      <c r="CV144" s="574"/>
      <c r="CW144" s="646">
        <f t="shared" si="276"/>
        <v>0</v>
      </c>
      <c r="CX144" s="646">
        <f t="shared" si="277"/>
        <v>0</v>
      </c>
      <c r="CY144" s="646">
        <f t="shared" si="278"/>
        <v>0</v>
      </c>
      <c r="CZ144" s="646">
        <f t="shared" si="279"/>
        <v>0</v>
      </c>
      <c r="DA144" s="646">
        <f t="shared" si="280"/>
        <v>0</v>
      </c>
      <c r="DB144" s="574"/>
      <c r="DC144" s="574"/>
      <c r="DD144" s="574"/>
      <c r="DE144" s="574"/>
      <c r="DF144" s="574"/>
      <c r="DG144" s="574"/>
      <c r="DH144" s="574"/>
      <c r="DI144" s="574"/>
      <c r="DJ144" s="574"/>
      <c r="DK144" s="574"/>
      <c r="DL144" s="574"/>
      <c r="DM144" s="574"/>
      <c r="DN144" s="646">
        <f t="shared" si="281"/>
        <v>0</v>
      </c>
      <c r="DO144" s="646">
        <f t="shared" si="282"/>
        <v>0</v>
      </c>
      <c r="DP144" s="646">
        <f t="shared" si="283"/>
        <v>0</v>
      </c>
      <c r="DQ144" s="646">
        <f t="shared" si="284"/>
        <v>0</v>
      </c>
      <c r="DR144" s="646">
        <f t="shared" si="285"/>
        <v>0</v>
      </c>
      <c r="DS144" s="574"/>
      <c r="DT144" s="574"/>
      <c r="DU144" s="574"/>
      <c r="DV144" s="574"/>
      <c r="DW144" s="574"/>
      <c r="DX144" s="574"/>
      <c r="DY144" s="574"/>
      <c r="DZ144" s="574"/>
      <c r="EA144" s="574"/>
      <c r="EB144" s="574"/>
      <c r="EC144" s="574"/>
      <c r="ED144" s="574"/>
      <c r="EE144" s="646">
        <f t="shared" si="286"/>
        <v>0</v>
      </c>
      <c r="EF144" s="646">
        <f t="shared" si="287"/>
        <v>0</v>
      </c>
      <c r="EG144" s="646">
        <f t="shared" si="288"/>
        <v>0</v>
      </c>
      <c r="EH144" s="646">
        <f t="shared" si="289"/>
        <v>0</v>
      </c>
      <c r="EI144" s="646">
        <f t="shared" si="290"/>
        <v>0</v>
      </c>
      <c r="EJ144" s="574"/>
      <c r="EK144" s="574"/>
      <c r="EL144" s="574"/>
      <c r="EM144" s="574"/>
      <c r="EN144" s="574"/>
      <c r="EO144" s="574"/>
      <c r="EP144" s="574"/>
      <c r="EQ144" s="574"/>
      <c r="ER144" s="574"/>
      <c r="ES144" s="574"/>
      <c r="ET144" s="574"/>
      <c r="EU144" s="574"/>
    </row>
    <row r="145" hidden="1">
      <c r="A145" s="577">
        <v>7405.0</v>
      </c>
      <c r="B145" s="12" t="s">
        <v>242</v>
      </c>
      <c r="C145" s="12" t="s">
        <v>209</v>
      </c>
      <c r="D145" s="574"/>
      <c r="E145" s="574"/>
      <c r="F145" s="574"/>
      <c r="G145" s="574"/>
      <c r="H145" s="574"/>
      <c r="I145" s="574"/>
      <c r="J145" s="574"/>
      <c r="K145" s="574"/>
      <c r="L145" s="574"/>
      <c r="M145" s="574"/>
      <c r="N145" s="574"/>
      <c r="O145" s="574"/>
      <c r="P145" s="645">
        <f t="shared" si="251"/>
        <v>0</v>
      </c>
      <c r="Q145" s="645">
        <f t="shared" si="252"/>
        <v>0</v>
      </c>
      <c r="R145" s="645">
        <f t="shared" si="253"/>
        <v>0</v>
      </c>
      <c r="S145" s="645">
        <f t="shared" si="254"/>
        <v>0</v>
      </c>
      <c r="T145" s="645">
        <f t="shared" si="255"/>
        <v>0</v>
      </c>
      <c r="U145" s="574"/>
      <c r="V145" s="574"/>
      <c r="W145" s="574"/>
      <c r="X145" s="574"/>
      <c r="Y145" s="574"/>
      <c r="Z145" s="574"/>
      <c r="AA145" s="574"/>
      <c r="AB145" s="574"/>
      <c r="AC145" s="574"/>
      <c r="AD145" s="574"/>
      <c r="AE145" s="574"/>
      <c r="AF145" s="574"/>
      <c r="AG145" s="645">
        <f t="shared" si="256"/>
        <v>0</v>
      </c>
      <c r="AH145" s="645">
        <f t="shared" si="257"/>
        <v>0</v>
      </c>
      <c r="AI145" s="645">
        <f t="shared" si="258"/>
        <v>0</v>
      </c>
      <c r="AJ145" s="645">
        <f t="shared" si="259"/>
        <v>0</v>
      </c>
      <c r="AK145" s="645">
        <f t="shared" si="260"/>
        <v>0</v>
      </c>
      <c r="AL145" s="574"/>
      <c r="AM145" s="574"/>
      <c r="AN145" s="574"/>
      <c r="AO145" s="574"/>
      <c r="AP145" s="574"/>
      <c r="AQ145" s="569">
        <v>314229.0</v>
      </c>
      <c r="AR145" s="574"/>
      <c r="AS145" s="574"/>
      <c r="AT145" s="574"/>
      <c r="AU145" s="574"/>
      <c r="AV145" s="574"/>
      <c r="AW145" s="574"/>
      <c r="AX145" s="645">
        <f t="shared" si="261"/>
        <v>0</v>
      </c>
      <c r="AY145" s="645">
        <f t="shared" si="262"/>
        <v>314229</v>
      </c>
      <c r="AZ145" s="645">
        <f t="shared" si="263"/>
        <v>0</v>
      </c>
      <c r="BA145" s="645">
        <f t="shared" si="264"/>
        <v>0</v>
      </c>
      <c r="BB145" s="645">
        <f t="shared" si="265"/>
        <v>314229</v>
      </c>
      <c r="BC145" s="569">
        <v>144797.0</v>
      </c>
      <c r="BD145" s="569">
        <v>132941.0</v>
      </c>
      <c r="BE145" s="569">
        <v>118175.0</v>
      </c>
      <c r="BF145" s="569">
        <v>201735.0</v>
      </c>
      <c r="BG145" s="569">
        <v>197173.0</v>
      </c>
      <c r="BH145" s="569">
        <v>138779.0</v>
      </c>
      <c r="BI145" s="574"/>
      <c r="BJ145" s="574"/>
      <c r="BK145" s="574"/>
      <c r="BL145" s="574"/>
      <c r="BM145" s="574"/>
      <c r="BN145" s="574"/>
      <c r="BO145" s="645">
        <f t="shared" si="266"/>
        <v>395913</v>
      </c>
      <c r="BP145" s="645">
        <f t="shared" si="267"/>
        <v>537687</v>
      </c>
      <c r="BQ145" s="645">
        <f t="shared" si="268"/>
        <v>0</v>
      </c>
      <c r="BR145" s="645">
        <f t="shared" si="269"/>
        <v>0</v>
      </c>
      <c r="BS145" s="645">
        <f t="shared" si="270"/>
        <v>933600</v>
      </c>
      <c r="BT145" s="569">
        <v>103900.0</v>
      </c>
      <c r="BU145" s="569">
        <v>120.48</v>
      </c>
      <c r="BV145" s="569">
        <v>106.55</v>
      </c>
      <c r="BW145" s="569">
        <v>121594.0</v>
      </c>
      <c r="BX145" s="569">
        <v>91633.0</v>
      </c>
      <c r="BY145" s="569">
        <v>106481.0</v>
      </c>
      <c r="BZ145" s="569">
        <v>135778.0</v>
      </c>
      <c r="CA145" s="574"/>
      <c r="CB145" s="574"/>
      <c r="CC145" s="574"/>
      <c r="CD145" s="574"/>
      <c r="CE145" s="574"/>
      <c r="CF145" s="646">
        <f t="shared" si="271"/>
        <v>104127.03</v>
      </c>
      <c r="CG145" s="646">
        <f t="shared" si="272"/>
        <v>319708</v>
      </c>
      <c r="CH145" s="646">
        <f t="shared" si="273"/>
        <v>135778</v>
      </c>
      <c r="CI145" s="646">
        <f t="shared" si="274"/>
        <v>0</v>
      </c>
      <c r="CJ145" s="646">
        <f t="shared" si="275"/>
        <v>559613.03</v>
      </c>
      <c r="CK145" s="574"/>
      <c r="CL145" s="574"/>
      <c r="CM145" s="574"/>
      <c r="CN145" s="574"/>
      <c r="CO145" s="574"/>
      <c r="CP145" s="574"/>
      <c r="CQ145" s="574"/>
      <c r="CR145" s="574"/>
      <c r="CS145" s="574"/>
      <c r="CT145" s="574"/>
      <c r="CU145" s="574"/>
      <c r="CV145" s="574"/>
      <c r="CW145" s="646">
        <f t="shared" si="276"/>
        <v>0</v>
      </c>
      <c r="CX145" s="646">
        <f t="shared" si="277"/>
        <v>0</v>
      </c>
      <c r="CY145" s="646">
        <f t="shared" si="278"/>
        <v>0</v>
      </c>
      <c r="CZ145" s="646">
        <f t="shared" si="279"/>
        <v>0</v>
      </c>
      <c r="DA145" s="646">
        <f t="shared" si="280"/>
        <v>0</v>
      </c>
      <c r="DB145" s="574"/>
      <c r="DC145" s="574"/>
      <c r="DD145" s="574"/>
      <c r="DE145" s="574"/>
      <c r="DF145" s="574"/>
      <c r="DG145" s="574"/>
      <c r="DH145" s="574"/>
      <c r="DI145" s="574"/>
      <c r="DJ145" s="574"/>
      <c r="DK145" s="574"/>
      <c r="DL145" s="574"/>
      <c r="DM145" s="574"/>
      <c r="DN145" s="646">
        <f t="shared" si="281"/>
        <v>0</v>
      </c>
      <c r="DO145" s="646">
        <f t="shared" si="282"/>
        <v>0</v>
      </c>
      <c r="DP145" s="646">
        <f t="shared" si="283"/>
        <v>0</v>
      </c>
      <c r="DQ145" s="646">
        <f t="shared" si="284"/>
        <v>0</v>
      </c>
      <c r="DR145" s="646">
        <f t="shared" si="285"/>
        <v>0</v>
      </c>
      <c r="DS145" s="574"/>
      <c r="DT145" s="574"/>
      <c r="DU145" s="574"/>
      <c r="DV145" s="574"/>
      <c r="DW145" s="574"/>
      <c r="DX145" s="574"/>
      <c r="DY145" s="574"/>
      <c r="DZ145" s="574"/>
      <c r="EA145" s="574"/>
      <c r="EB145" s="574"/>
      <c r="EC145" s="574"/>
      <c r="ED145" s="574"/>
      <c r="EE145" s="646">
        <f t="shared" si="286"/>
        <v>0</v>
      </c>
      <c r="EF145" s="646">
        <f t="shared" si="287"/>
        <v>0</v>
      </c>
      <c r="EG145" s="646">
        <f t="shared" si="288"/>
        <v>0</v>
      </c>
      <c r="EH145" s="646">
        <f t="shared" si="289"/>
        <v>0</v>
      </c>
      <c r="EI145" s="646">
        <f t="shared" si="290"/>
        <v>0</v>
      </c>
      <c r="EJ145" s="574"/>
      <c r="EK145" s="574"/>
      <c r="EL145" s="574"/>
      <c r="EM145" s="574"/>
      <c r="EN145" s="574"/>
      <c r="EO145" s="574"/>
      <c r="EP145" s="574"/>
      <c r="EQ145" s="574"/>
      <c r="ER145" s="574"/>
      <c r="ES145" s="574"/>
      <c r="ET145" s="574"/>
      <c r="EU145" s="574"/>
    </row>
    <row r="146" hidden="1">
      <c r="A146" s="577">
        <v>7405.0</v>
      </c>
      <c r="B146" s="12" t="s">
        <v>243</v>
      </c>
      <c r="C146" s="12" t="s">
        <v>209</v>
      </c>
      <c r="D146" s="574"/>
      <c r="E146" s="574"/>
      <c r="F146" s="574"/>
      <c r="G146" s="574"/>
      <c r="H146" s="574"/>
      <c r="I146" s="574"/>
      <c r="J146" s="574"/>
      <c r="K146" s="574"/>
      <c r="L146" s="574"/>
      <c r="M146" s="574"/>
      <c r="N146" s="574"/>
      <c r="O146" s="574"/>
      <c r="P146" s="645">
        <f t="shared" si="251"/>
        <v>0</v>
      </c>
      <c r="Q146" s="645">
        <f t="shared" si="252"/>
        <v>0</v>
      </c>
      <c r="R146" s="645">
        <f t="shared" si="253"/>
        <v>0</v>
      </c>
      <c r="S146" s="645">
        <f t="shared" si="254"/>
        <v>0</v>
      </c>
      <c r="T146" s="645">
        <f t="shared" si="255"/>
        <v>0</v>
      </c>
      <c r="U146" s="574"/>
      <c r="V146" s="574"/>
      <c r="W146" s="569">
        <v>31500.0</v>
      </c>
      <c r="X146" s="569">
        <v>50000.0</v>
      </c>
      <c r="Y146" s="569">
        <v>10000.0</v>
      </c>
      <c r="Z146" s="574"/>
      <c r="AA146" s="574"/>
      <c r="AB146" s="574"/>
      <c r="AC146" s="574"/>
      <c r="AD146" s="574"/>
      <c r="AE146" s="574"/>
      <c r="AF146" s="574"/>
      <c r="AG146" s="645">
        <f t="shared" si="256"/>
        <v>31500</v>
      </c>
      <c r="AH146" s="645">
        <f t="shared" si="257"/>
        <v>60000</v>
      </c>
      <c r="AI146" s="645">
        <f t="shared" si="258"/>
        <v>0</v>
      </c>
      <c r="AJ146" s="645">
        <f t="shared" si="259"/>
        <v>0</v>
      </c>
      <c r="AK146" s="645">
        <f t="shared" si="260"/>
        <v>91500</v>
      </c>
      <c r="AL146" s="574"/>
      <c r="AM146" s="574"/>
      <c r="AN146" s="574"/>
      <c r="AO146" s="574"/>
      <c r="AP146" s="574"/>
      <c r="AQ146" s="574"/>
      <c r="AR146" s="574"/>
      <c r="AS146" s="574"/>
      <c r="AT146" s="574"/>
      <c r="AU146" s="574"/>
      <c r="AV146" s="574"/>
      <c r="AW146" s="574"/>
      <c r="AX146" s="645">
        <f t="shared" si="261"/>
        <v>0</v>
      </c>
      <c r="AY146" s="645">
        <f t="shared" si="262"/>
        <v>0</v>
      </c>
      <c r="AZ146" s="645">
        <f t="shared" si="263"/>
        <v>0</v>
      </c>
      <c r="BA146" s="645">
        <f t="shared" si="264"/>
        <v>0</v>
      </c>
      <c r="BB146" s="645">
        <f t="shared" si="265"/>
        <v>0</v>
      </c>
      <c r="BC146" s="574"/>
      <c r="BD146" s="574"/>
      <c r="BE146" s="574"/>
      <c r="BF146" s="574"/>
      <c r="BG146" s="574"/>
      <c r="BH146" s="574"/>
      <c r="BI146" s="574"/>
      <c r="BJ146" s="574"/>
      <c r="BK146" s="574"/>
      <c r="BL146" s="574"/>
      <c r="BM146" s="574"/>
      <c r="BN146" s="574"/>
      <c r="BO146" s="645">
        <f t="shared" si="266"/>
        <v>0</v>
      </c>
      <c r="BP146" s="645">
        <f t="shared" si="267"/>
        <v>0</v>
      </c>
      <c r="BQ146" s="645">
        <f t="shared" si="268"/>
        <v>0</v>
      </c>
      <c r="BR146" s="645">
        <f t="shared" si="269"/>
        <v>0</v>
      </c>
      <c r="BS146" s="645">
        <f t="shared" si="270"/>
        <v>0</v>
      </c>
      <c r="BT146" s="569">
        <v>0.0</v>
      </c>
      <c r="BU146" s="569">
        <v>0.0</v>
      </c>
      <c r="BV146" s="569">
        <v>0.0</v>
      </c>
      <c r="BW146" s="569">
        <v>8600.0</v>
      </c>
      <c r="BX146" s="569">
        <v>9400.0</v>
      </c>
      <c r="BY146" s="569">
        <v>8000.0</v>
      </c>
      <c r="BZ146" s="569">
        <v>7800.0</v>
      </c>
      <c r="CA146" s="569">
        <v>7450.0</v>
      </c>
      <c r="CB146" s="569">
        <v>3000.0</v>
      </c>
      <c r="CC146" s="574"/>
      <c r="CD146" s="574"/>
      <c r="CE146" s="574"/>
      <c r="CF146" s="646">
        <f t="shared" si="271"/>
        <v>0</v>
      </c>
      <c r="CG146" s="646">
        <f t="shared" si="272"/>
        <v>26000</v>
      </c>
      <c r="CH146" s="646">
        <f t="shared" si="273"/>
        <v>18250</v>
      </c>
      <c r="CI146" s="646">
        <f t="shared" si="274"/>
        <v>0</v>
      </c>
      <c r="CJ146" s="646">
        <f t="shared" si="275"/>
        <v>44250</v>
      </c>
      <c r="CK146" s="574"/>
      <c r="CL146" s="574"/>
      <c r="CM146" s="574"/>
      <c r="CN146" s="574"/>
      <c r="CO146" s="574"/>
      <c r="CP146" s="574"/>
      <c r="CQ146" s="574"/>
      <c r="CR146" s="574"/>
      <c r="CS146" s="574"/>
      <c r="CT146" s="574"/>
      <c r="CU146" s="574"/>
      <c r="CV146" s="574"/>
      <c r="CW146" s="646">
        <f t="shared" si="276"/>
        <v>0</v>
      </c>
      <c r="CX146" s="646">
        <f t="shared" si="277"/>
        <v>0</v>
      </c>
      <c r="CY146" s="646">
        <f t="shared" si="278"/>
        <v>0</v>
      </c>
      <c r="CZ146" s="646">
        <f t="shared" si="279"/>
        <v>0</v>
      </c>
      <c r="DA146" s="646">
        <f t="shared" si="280"/>
        <v>0</v>
      </c>
      <c r="DB146" s="574"/>
      <c r="DC146" s="574"/>
      <c r="DD146" s="574"/>
      <c r="DE146" s="574"/>
      <c r="DF146" s="574"/>
      <c r="DG146" s="574"/>
      <c r="DH146" s="574"/>
      <c r="DI146" s="574"/>
      <c r="DJ146" s="574"/>
      <c r="DK146" s="574"/>
      <c r="DL146" s="574"/>
      <c r="DM146" s="574"/>
      <c r="DN146" s="646">
        <f t="shared" si="281"/>
        <v>0</v>
      </c>
      <c r="DO146" s="646">
        <f t="shared" si="282"/>
        <v>0</v>
      </c>
      <c r="DP146" s="646">
        <f t="shared" si="283"/>
        <v>0</v>
      </c>
      <c r="DQ146" s="646">
        <f t="shared" si="284"/>
        <v>0</v>
      </c>
      <c r="DR146" s="646">
        <f t="shared" si="285"/>
        <v>0</v>
      </c>
      <c r="DS146" s="574"/>
      <c r="DT146" s="574"/>
      <c r="DU146" s="574"/>
      <c r="DV146" s="574"/>
      <c r="DW146" s="574"/>
      <c r="DX146" s="574"/>
      <c r="DY146" s="574"/>
      <c r="DZ146" s="574"/>
      <c r="EA146" s="574"/>
      <c r="EB146" s="574"/>
      <c r="EC146" s="574"/>
      <c r="ED146" s="574"/>
      <c r="EE146" s="646">
        <f t="shared" si="286"/>
        <v>0</v>
      </c>
      <c r="EF146" s="646">
        <f t="shared" si="287"/>
        <v>0</v>
      </c>
      <c r="EG146" s="646">
        <f t="shared" si="288"/>
        <v>0</v>
      </c>
      <c r="EH146" s="646">
        <f t="shared" si="289"/>
        <v>0</v>
      </c>
      <c r="EI146" s="646">
        <f t="shared" si="290"/>
        <v>0</v>
      </c>
      <c r="EJ146" s="574"/>
      <c r="EK146" s="574"/>
      <c r="EL146" s="574"/>
      <c r="EM146" s="574"/>
      <c r="EN146" s="574"/>
      <c r="EO146" s="574"/>
      <c r="EP146" s="574"/>
      <c r="EQ146" s="574"/>
      <c r="ER146" s="574"/>
      <c r="ES146" s="574"/>
      <c r="ET146" s="574"/>
      <c r="EU146" s="574"/>
    </row>
    <row r="147" hidden="1">
      <c r="A147" s="577">
        <v>7405.0</v>
      </c>
      <c r="B147" s="12" t="s">
        <v>244</v>
      </c>
      <c r="C147" s="12" t="s">
        <v>209</v>
      </c>
      <c r="D147" s="574"/>
      <c r="E147" s="574"/>
      <c r="F147" s="574"/>
      <c r="G147" s="574"/>
      <c r="H147" s="574"/>
      <c r="I147" s="574"/>
      <c r="J147" s="574"/>
      <c r="K147" s="574"/>
      <c r="L147" s="574"/>
      <c r="M147" s="574"/>
      <c r="N147" s="574"/>
      <c r="O147" s="574"/>
      <c r="P147" s="645">
        <f t="shared" si="251"/>
        <v>0</v>
      </c>
      <c r="Q147" s="645">
        <f t="shared" si="252"/>
        <v>0</v>
      </c>
      <c r="R147" s="645">
        <f t="shared" si="253"/>
        <v>0</v>
      </c>
      <c r="S147" s="645">
        <f t="shared" si="254"/>
        <v>0</v>
      </c>
      <c r="T147" s="645">
        <f t="shared" si="255"/>
        <v>0</v>
      </c>
      <c r="U147" s="574"/>
      <c r="V147" s="574"/>
      <c r="W147" s="574"/>
      <c r="X147" s="574"/>
      <c r="Y147" s="574"/>
      <c r="Z147" s="574"/>
      <c r="AA147" s="574"/>
      <c r="AB147" s="574"/>
      <c r="AC147" s="574"/>
      <c r="AD147" s="574"/>
      <c r="AE147" s="574"/>
      <c r="AF147" s="574"/>
      <c r="AG147" s="645">
        <f t="shared" si="256"/>
        <v>0</v>
      </c>
      <c r="AH147" s="645">
        <f t="shared" si="257"/>
        <v>0</v>
      </c>
      <c r="AI147" s="645">
        <f t="shared" si="258"/>
        <v>0</v>
      </c>
      <c r="AJ147" s="645">
        <f t="shared" si="259"/>
        <v>0</v>
      </c>
      <c r="AK147" s="645">
        <f t="shared" si="260"/>
        <v>0</v>
      </c>
      <c r="AL147" s="574"/>
      <c r="AM147" s="574"/>
      <c r="AN147" s="569">
        <v>22300.0</v>
      </c>
      <c r="AO147" s="569">
        <v>55000.0</v>
      </c>
      <c r="AP147" s="569">
        <v>30000.0</v>
      </c>
      <c r="AQ147" s="569">
        <v>10000.0</v>
      </c>
      <c r="AR147" s="569">
        <v>20000.0</v>
      </c>
      <c r="AS147" s="569">
        <v>31000.0</v>
      </c>
      <c r="AT147" s="569">
        <v>10000.0</v>
      </c>
      <c r="AU147" s="574"/>
      <c r="AV147" s="574"/>
      <c r="AW147" s="574"/>
      <c r="AX147" s="645">
        <f t="shared" si="261"/>
        <v>22300</v>
      </c>
      <c r="AY147" s="645">
        <f t="shared" si="262"/>
        <v>95000</v>
      </c>
      <c r="AZ147" s="645">
        <f t="shared" si="263"/>
        <v>61000</v>
      </c>
      <c r="BA147" s="645">
        <f t="shared" si="264"/>
        <v>0</v>
      </c>
      <c r="BB147" s="645">
        <f t="shared" si="265"/>
        <v>178300</v>
      </c>
      <c r="BC147" s="569">
        <v>50000.0</v>
      </c>
      <c r="BD147" s="569">
        <v>50000.0</v>
      </c>
      <c r="BE147" s="569">
        <v>50000.0</v>
      </c>
      <c r="BF147" s="574"/>
      <c r="BG147" s="574"/>
      <c r="BH147" s="574"/>
      <c r="BI147" s="569">
        <v>20000.0</v>
      </c>
      <c r="BJ147" s="569">
        <v>20000.0</v>
      </c>
      <c r="BK147" s="569">
        <v>10000.0</v>
      </c>
      <c r="BL147" s="574"/>
      <c r="BM147" s="574"/>
      <c r="BN147" s="574"/>
      <c r="BO147" s="645">
        <f t="shared" si="266"/>
        <v>150000</v>
      </c>
      <c r="BP147" s="645">
        <f t="shared" si="267"/>
        <v>0</v>
      </c>
      <c r="BQ147" s="645">
        <f t="shared" si="268"/>
        <v>50000</v>
      </c>
      <c r="BR147" s="645">
        <f t="shared" si="269"/>
        <v>0</v>
      </c>
      <c r="BS147" s="645">
        <f t="shared" si="270"/>
        <v>200000</v>
      </c>
      <c r="BT147" s="569">
        <v>0.0</v>
      </c>
      <c r="BU147" s="569">
        <v>0.0</v>
      </c>
      <c r="BV147" s="569">
        <v>0.0</v>
      </c>
      <c r="BW147" s="569">
        <v>0.0</v>
      </c>
      <c r="BX147" s="569">
        <v>8136.0</v>
      </c>
      <c r="BY147" s="569">
        <v>11650.0</v>
      </c>
      <c r="BZ147" s="574"/>
      <c r="CA147" s="574"/>
      <c r="CB147" s="574"/>
      <c r="CC147" s="574"/>
      <c r="CD147" s="574"/>
      <c r="CE147" s="574"/>
      <c r="CF147" s="646">
        <f t="shared" si="271"/>
        <v>0</v>
      </c>
      <c r="CG147" s="646">
        <f t="shared" si="272"/>
        <v>19786</v>
      </c>
      <c r="CH147" s="646">
        <f t="shared" si="273"/>
        <v>0</v>
      </c>
      <c r="CI147" s="646">
        <f t="shared" si="274"/>
        <v>0</v>
      </c>
      <c r="CJ147" s="646">
        <f t="shared" si="275"/>
        <v>19786</v>
      </c>
      <c r="CK147" s="574"/>
      <c r="CL147" s="574"/>
      <c r="CM147" s="574"/>
      <c r="CN147" s="574"/>
      <c r="CO147" s="574"/>
      <c r="CP147" s="574"/>
      <c r="CQ147" s="574"/>
      <c r="CR147" s="574"/>
      <c r="CS147" s="574"/>
      <c r="CT147" s="574"/>
      <c r="CU147" s="574"/>
      <c r="CV147" s="574"/>
      <c r="CW147" s="646">
        <f t="shared" si="276"/>
        <v>0</v>
      </c>
      <c r="CX147" s="646">
        <f t="shared" si="277"/>
        <v>0</v>
      </c>
      <c r="CY147" s="646">
        <f t="shared" si="278"/>
        <v>0</v>
      </c>
      <c r="CZ147" s="646">
        <f t="shared" si="279"/>
        <v>0</v>
      </c>
      <c r="DA147" s="646">
        <f t="shared" si="280"/>
        <v>0</v>
      </c>
      <c r="DB147" s="574"/>
      <c r="DC147" s="574"/>
      <c r="DD147" s="574"/>
      <c r="DE147" s="574"/>
      <c r="DF147" s="574"/>
      <c r="DG147" s="574"/>
      <c r="DH147" s="574"/>
      <c r="DI147" s="574"/>
      <c r="DJ147" s="574"/>
      <c r="DK147" s="574"/>
      <c r="DL147" s="574"/>
      <c r="DM147" s="574"/>
      <c r="DN147" s="646">
        <f t="shared" si="281"/>
        <v>0</v>
      </c>
      <c r="DO147" s="646">
        <f t="shared" si="282"/>
        <v>0</v>
      </c>
      <c r="DP147" s="646">
        <f t="shared" si="283"/>
        <v>0</v>
      </c>
      <c r="DQ147" s="646">
        <f t="shared" si="284"/>
        <v>0</v>
      </c>
      <c r="DR147" s="646">
        <f t="shared" si="285"/>
        <v>0</v>
      </c>
      <c r="DS147" s="574"/>
      <c r="DT147" s="574"/>
      <c r="DU147" s="574"/>
      <c r="DV147" s="574"/>
      <c r="DW147" s="574"/>
      <c r="DX147" s="574"/>
      <c r="DY147" s="574"/>
      <c r="DZ147" s="574"/>
      <c r="EA147" s="574"/>
      <c r="EB147" s="574"/>
      <c r="EC147" s="574"/>
      <c r="ED147" s="574"/>
      <c r="EE147" s="646">
        <f t="shared" si="286"/>
        <v>0</v>
      </c>
      <c r="EF147" s="646">
        <f t="shared" si="287"/>
        <v>0</v>
      </c>
      <c r="EG147" s="646">
        <f t="shared" si="288"/>
        <v>0</v>
      </c>
      <c r="EH147" s="646">
        <f t="shared" si="289"/>
        <v>0</v>
      </c>
      <c r="EI147" s="646">
        <f t="shared" si="290"/>
        <v>0</v>
      </c>
      <c r="EJ147" s="574"/>
      <c r="EK147" s="574"/>
      <c r="EL147" s="574"/>
      <c r="EM147" s="574"/>
      <c r="EN147" s="574"/>
      <c r="EO147" s="574"/>
      <c r="EP147" s="574"/>
      <c r="EQ147" s="574"/>
      <c r="ER147" s="574"/>
      <c r="ES147" s="574"/>
      <c r="ET147" s="574"/>
      <c r="EU147" s="574"/>
    </row>
    <row r="148" hidden="1">
      <c r="A148" s="647">
        <v>7405.0</v>
      </c>
      <c r="B148" s="648" t="s">
        <v>245</v>
      </c>
      <c r="C148" s="648" t="s">
        <v>209</v>
      </c>
      <c r="D148" s="636"/>
      <c r="E148" s="636"/>
      <c r="F148" s="636"/>
      <c r="G148" s="636"/>
      <c r="H148" s="636"/>
      <c r="I148" s="636"/>
      <c r="J148" s="636"/>
      <c r="K148" s="636"/>
      <c r="L148" s="636"/>
      <c r="M148" s="636"/>
      <c r="N148" s="636"/>
      <c r="O148" s="636"/>
      <c r="P148" s="652">
        <f t="shared" si="251"/>
        <v>0</v>
      </c>
      <c r="Q148" s="652">
        <f t="shared" si="252"/>
        <v>0</v>
      </c>
      <c r="R148" s="652">
        <f t="shared" si="253"/>
        <v>0</v>
      </c>
      <c r="S148" s="652">
        <f t="shared" si="254"/>
        <v>0</v>
      </c>
      <c r="T148" s="652">
        <f t="shared" si="255"/>
        <v>0</v>
      </c>
      <c r="U148" s="636"/>
      <c r="V148" s="636"/>
      <c r="W148" s="636"/>
      <c r="X148" s="636"/>
      <c r="Y148" s="636"/>
      <c r="Z148" s="636"/>
      <c r="AA148" s="636"/>
      <c r="AB148" s="636"/>
      <c r="AC148" s="636"/>
      <c r="AD148" s="636"/>
      <c r="AE148" s="636"/>
      <c r="AF148" s="636"/>
      <c r="AG148" s="652">
        <f t="shared" si="256"/>
        <v>0</v>
      </c>
      <c r="AH148" s="652">
        <f t="shared" si="257"/>
        <v>0</v>
      </c>
      <c r="AI148" s="652">
        <f t="shared" si="258"/>
        <v>0</v>
      </c>
      <c r="AJ148" s="652">
        <f t="shared" si="259"/>
        <v>0</v>
      </c>
      <c r="AK148" s="652">
        <f t="shared" si="260"/>
        <v>0</v>
      </c>
      <c r="AL148" s="649">
        <v>120250.0</v>
      </c>
      <c r="AM148" s="649">
        <v>90174.0</v>
      </c>
      <c r="AN148" s="649">
        <v>150875.0</v>
      </c>
      <c r="AO148" s="649">
        <v>110585.0</v>
      </c>
      <c r="AP148" s="649">
        <v>99123.0</v>
      </c>
      <c r="AQ148" s="649">
        <v>60345.0</v>
      </c>
      <c r="AR148" s="649">
        <v>160238.0</v>
      </c>
      <c r="AS148" s="649">
        <v>168350.0</v>
      </c>
      <c r="AT148" s="649">
        <v>167921.0</v>
      </c>
      <c r="AU148" s="649">
        <v>180297.0</v>
      </c>
      <c r="AV148" s="649">
        <v>11804.0</v>
      </c>
      <c r="AW148" s="649">
        <v>21138.0</v>
      </c>
      <c r="AX148" s="652">
        <f t="shared" si="261"/>
        <v>361299</v>
      </c>
      <c r="AY148" s="652">
        <f t="shared" si="262"/>
        <v>270053</v>
      </c>
      <c r="AZ148" s="652">
        <f t="shared" si="263"/>
        <v>496509</v>
      </c>
      <c r="BA148" s="652">
        <f t="shared" si="264"/>
        <v>213239</v>
      </c>
      <c r="BB148" s="652">
        <f t="shared" si="265"/>
        <v>1341100</v>
      </c>
      <c r="BC148" s="649">
        <v>78338.0</v>
      </c>
      <c r="BD148" s="649">
        <v>113217.0</v>
      </c>
      <c r="BE148" s="649">
        <v>121485.0</v>
      </c>
      <c r="BF148" s="649">
        <v>114000.0</v>
      </c>
      <c r="BG148" s="649">
        <v>90285.0</v>
      </c>
      <c r="BH148" s="649">
        <v>14768.0</v>
      </c>
      <c r="BI148" s="649">
        <v>11479.0</v>
      </c>
      <c r="BJ148" s="649">
        <v>50167.0</v>
      </c>
      <c r="BK148" s="649">
        <v>47398.0</v>
      </c>
      <c r="BL148" s="636"/>
      <c r="BM148" s="636"/>
      <c r="BN148" s="636"/>
      <c r="BO148" s="652">
        <f t="shared" si="266"/>
        <v>313040</v>
      </c>
      <c r="BP148" s="652">
        <f t="shared" si="267"/>
        <v>219053</v>
      </c>
      <c r="BQ148" s="652">
        <f t="shared" si="268"/>
        <v>109044</v>
      </c>
      <c r="BR148" s="652">
        <f t="shared" si="269"/>
        <v>0</v>
      </c>
      <c r="BS148" s="652">
        <f t="shared" si="270"/>
        <v>641137</v>
      </c>
      <c r="BT148" s="636"/>
      <c r="BU148" s="636"/>
      <c r="BV148" s="636"/>
      <c r="BW148" s="636"/>
      <c r="BX148" s="636"/>
      <c r="BY148" s="636"/>
      <c r="BZ148" s="636"/>
      <c r="CA148" s="636"/>
      <c r="CB148" s="636"/>
      <c r="CC148" s="636"/>
      <c r="CD148" s="636"/>
      <c r="CE148" s="636"/>
      <c r="CF148" s="653">
        <f t="shared" si="271"/>
        <v>0</v>
      </c>
      <c r="CG148" s="653">
        <f t="shared" si="272"/>
        <v>0</v>
      </c>
      <c r="CH148" s="653">
        <f t="shared" si="273"/>
        <v>0</v>
      </c>
      <c r="CI148" s="653">
        <f t="shared" si="274"/>
        <v>0</v>
      </c>
      <c r="CJ148" s="653">
        <f t="shared" si="275"/>
        <v>0</v>
      </c>
      <c r="CK148" s="636"/>
      <c r="CL148" s="636"/>
      <c r="CM148" s="636"/>
      <c r="CN148" s="636"/>
      <c r="CO148" s="636"/>
      <c r="CP148" s="636"/>
      <c r="CQ148" s="636"/>
      <c r="CR148" s="636"/>
      <c r="CS148" s="636"/>
      <c r="CT148" s="636"/>
      <c r="CU148" s="636"/>
      <c r="CV148" s="636"/>
      <c r="CW148" s="653">
        <f t="shared" si="276"/>
        <v>0</v>
      </c>
      <c r="CX148" s="653">
        <f t="shared" si="277"/>
        <v>0</v>
      </c>
      <c r="CY148" s="653">
        <f t="shared" si="278"/>
        <v>0</v>
      </c>
      <c r="CZ148" s="653">
        <f t="shared" si="279"/>
        <v>0</v>
      </c>
      <c r="DA148" s="653">
        <f t="shared" si="280"/>
        <v>0</v>
      </c>
      <c r="DB148" s="636"/>
      <c r="DC148" s="636"/>
      <c r="DD148" s="636"/>
      <c r="DE148" s="636"/>
      <c r="DF148" s="636"/>
      <c r="DG148" s="636"/>
      <c r="DH148" s="636"/>
      <c r="DI148" s="636"/>
      <c r="DJ148" s="636"/>
      <c r="DK148" s="636"/>
      <c r="DL148" s="636"/>
      <c r="DM148" s="636"/>
      <c r="DN148" s="653">
        <f t="shared" si="281"/>
        <v>0</v>
      </c>
      <c r="DO148" s="653">
        <f t="shared" si="282"/>
        <v>0</v>
      </c>
      <c r="DP148" s="653">
        <f t="shared" si="283"/>
        <v>0</v>
      </c>
      <c r="DQ148" s="653">
        <f t="shared" si="284"/>
        <v>0</v>
      </c>
      <c r="DR148" s="653">
        <f t="shared" si="285"/>
        <v>0</v>
      </c>
      <c r="DS148" s="636"/>
      <c r="DT148" s="636"/>
      <c r="DU148" s="636"/>
      <c r="DV148" s="636"/>
      <c r="DW148" s="636"/>
      <c r="DX148" s="636"/>
      <c r="DY148" s="636"/>
      <c r="DZ148" s="636"/>
      <c r="EA148" s="636"/>
      <c r="EB148" s="636"/>
      <c r="EC148" s="636"/>
      <c r="ED148" s="636"/>
      <c r="EE148" s="653">
        <f t="shared" si="286"/>
        <v>0</v>
      </c>
      <c r="EF148" s="653">
        <f t="shared" si="287"/>
        <v>0</v>
      </c>
      <c r="EG148" s="653">
        <f t="shared" si="288"/>
        <v>0</v>
      </c>
      <c r="EH148" s="653">
        <f t="shared" si="289"/>
        <v>0</v>
      </c>
      <c r="EI148" s="653">
        <f t="shared" si="290"/>
        <v>0</v>
      </c>
      <c r="EJ148" s="574"/>
      <c r="EK148" s="574"/>
      <c r="EL148" s="574"/>
      <c r="EM148" s="574"/>
      <c r="EN148" s="574"/>
      <c r="EO148" s="574"/>
      <c r="EP148" s="574"/>
      <c r="EQ148" s="574"/>
      <c r="ER148" s="574"/>
      <c r="ES148" s="574"/>
      <c r="ET148" s="574"/>
      <c r="EU148" s="574"/>
    </row>
    <row r="149" hidden="1">
      <c r="A149" s="577">
        <v>7406.0</v>
      </c>
      <c r="B149" s="552" t="s">
        <v>246</v>
      </c>
      <c r="C149" s="552" t="s">
        <v>209</v>
      </c>
      <c r="D149" s="574"/>
      <c r="E149" s="574"/>
      <c r="F149" s="574"/>
      <c r="G149" s="574"/>
      <c r="H149" s="574"/>
      <c r="I149" s="574"/>
      <c r="J149" s="574"/>
      <c r="K149" s="574"/>
      <c r="L149" s="574"/>
      <c r="M149" s="574"/>
      <c r="N149" s="574"/>
      <c r="O149" s="569">
        <v>58000.0</v>
      </c>
      <c r="P149" s="645">
        <f t="shared" si="251"/>
        <v>0</v>
      </c>
      <c r="Q149" s="645">
        <f t="shared" si="252"/>
        <v>0</v>
      </c>
      <c r="R149" s="645">
        <f t="shared" si="253"/>
        <v>0</v>
      </c>
      <c r="S149" s="645">
        <f t="shared" si="254"/>
        <v>58000</v>
      </c>
      <c r="T149" s="645">
        <f t="shared" si="255"/>
        <v>58000</v>
      </c>
      <c r="U149" s="574"/>
      <c r="V149" s="574"/>
      <c r="W149" s="574"/>
      <c r="X149" s="574"/>
      <c r="Y149" s="574"/>
      <c r="Z149" s="574"/>
      <c r="AA149" s="574"/>
      <c r="AB149" s="574"/>
      <c r="AC149" s="574"/>
      <c r="AD149" s="574"/>
      <c r="AE149" s="574"/>
      <c r="AF149" s="574"/>
      <c r="AG149" s="645">
        <f t="shared" si="256"/>
        <v>0</v>
      </c>
      <c r="AH149" s="645">
        <f t="shared" si="257"/>
        <v>0</v>
      </c>
      <c r="AI149" s="645">
        <f t="shared" si="258"/>
        <v>0</v>
      </c>
      <c r="AJ149" s="645">
        <f t="shared" si="259"/>
        <v>0</v>
      </c>
      <c r="AK149" s="645">
        <f t="shared" si="260"/>
        <v>0</v>
      </c>
      <c r="AL149" s="574"/>
      <c r="AM149" s="574"/>
      <c r="AN149" s="574"/>
      <c r="AO149" s="574"/>
      <c r="AP149" s="574"/>
      <c r="AQ149" s="574"/>
      <c r="AR149" s="574"/>
      <c r="AS149" s="574"/>
      <c r="AT149" s="574"/>
      <c r="AU149" s="574"/>
      <c r="AV149" s="574"/>
      <c r="AW149" s="574"/>
      <c r="AX149" s="645">
        <f t="shared" si="261"/>
        <v>0</v>
      </c>
      <c r="AY149" s="645">
        <f t="shared" si="262"/>
        <v>0</v>
      </c>
      <c r="AZ149" s="645">
        <f t="shared" si="263"/>
        <v>0</v>
      </c>
      <c r="BA149" s="645">
        <f t="shared" si="264"/>
        <v>0</v>
      </c>
      <c r="BB149" s="645">
        <f t="shared" si="265"/>
        <v>0</v>
      </c>
      <c r="BC149" s="574"/>
      <c r="BD149" s="574"/>
      <c r="BE149" s="574"/>
      <c r="BF149" s="574"/>
      <c r="BG149" s="574"/>
      <c r="BH149" s="569">
        <v>4000.0</v>
      </c>
      <c r="BI149" s="569">
        <v>8000.0</v>
      </c>
      <c r="BJ149" s="569">
        <v>6000.0</v>
      </c>
      <c r="BK149" s="574"/>
      <c r="BL149" s="574"/>
      <c r="BM149" s="574"/>
      <c r="BN149" s="574"/>
      <c r="BO149" s="645">
        <f t="shared" si="266"/>
        <v>0</v>
      </c>
      <c r="BP149" s="645">
        <f t="shared" si="267"/>
        <v>4000</v>
      </c>
      <c r="BQ149" s="645">
        <f t="shared" si="268"/>
        <v>14000</v>
      </c>
      <c r="BR149" s="645">
        <f t="shared" si="269"/>
        <v>0</v>
      </c>
      <c r="BS149" s="645">
        <f t="shared" si="270"/>
        <v>18000</v>
      </c>
      <c r="BT149" s="569">
        <v>11505.0</v>
      </c>
      <c r="BU149" s="569">
        <v>8618.0</v>
      </c>
      <c r="BV149" s="569">
        <v>13324.0</v>
      </c>
      <c r="BW149" s="569">
        <v>22620.0</v>
      </c>
      <c r="BX149" s="569">
        <v>20391.0</v>
      </c>
      <c r="BY149" s="569">
        <v>16646.0</v>
      </c>
      <c r="BZ149" s="569">
        <v>12474.0</v>
      </c>
      <c r="CA149" s="569">
        <v>8708.0</v>
      </c>
      <c r="CB149" s="569">
        <v>0.0</v>
      </c>
      <c r="CC149" s="574"/>
      <c r="CD149" s="574"/>
      <c r="CE149" s="574"/>
      <c r="CF149" s="646">
        <f t="shared" si="271"/>
        <v>33447</v>
      </c>
      <c r="CG149" s="646">
        <f t="shared" si="272"/>
        <v>59657</v>
      </c>
      <c r="CH149" s="646">
        <f t="shared" si="273"/>
        <v>21182</v>
      </c>
      <c r="CI149" s="646">
        <f t="shared" si="274"/>
        <v>0</v>
      </c>
      <c r="CJ149" s="646">
        <f t="shared" si="275"/>
        <v>114286</v>
      </c>
      <c r="CK149" s="574"/>
      <c r="CL149" s="574"/>
      <c r="CM149" s="574"/>
      <c r="CN149" s="574"/>
      <c r="CO149" s="574"/>
      <c r="CP149" s="574"/>
      <c r="CQ149" s="574"/>
      <c r="CR149" s="574"/>
      <c r="CS149" s="574"/>
      <c r="CT149" s="574"/>
      <c r="CU149" s="574"/>
      <c r="CV149" s="574"/>
      <c r="CW149" s="646">
        <f t="shared" si="276"/>
        <v>0</v>
      </c>
      <c r="CX149" s="646">
        <f t="shared" si="277"/>
        <v>0</v>
      </c>
      <c r="CY149" s="646">
        <f t="shared" si="278"/>
        <v>0</v>
      </c>
      <c r="CZ149" s="646">
        <f t="shared" si="279"/>
        <v>0</v>
      </c>
      <c r="DA149" s="646">
        <f t="shared" si="280"/>
        <v>0</v>
      </c>
      <c r="DB149" s="574"/>
      <c r="DC149" s="574"/>
      <c r="DD149" s="574"/>
      <c r="DE149" s="574"/>
      <c r="DF149" s="574"/>
      <c r="DG149" s="574"/>
      <c r="DH149" s="574"/>
      <c r="DI149" s="574"/>
      <c r="DJ149" s="574"/>
      <c r="DK149" s="574"/>
      <c r="DL149" s="574"/>
      <c r="DM149" s="574"/>
      <c r="DN149" s="646">
        <f t="shared" si="281"/>
        <v>0</v>
      </c>
      <c r="DO149" s="646">
        <f t="shared" si="282"/>
        <v>0</v>
      </c>
      <c r="DP149" s="646">
        <f t="shared" si="283"/>
        <v>0</v>
      </c>
      <c r="DQ149" s="646">
        <f t="shared" si="284"/>
        <v>0</v>
      </c>
      <c r="DR149" s="646">
        <f t="shared" si="285"/>
        <v>0</v>
      </c>
      <c r="DS149" s="574"/>
      <c r="DT149" s="574"/>
      <c r="DU149" s="574"/>
      <c r="DV149" s="574"/>
      <c r="DW149" s="574"/>
      <c r="DX149" s="574"/>
      <c r="DY149" s="574"/>
      <c r="DZ149" s="574"/>
      <c r="EA149" s="574"/>
      <c r="EB149" s="574"/>
      <c r="EC149" s="574"/>
      <c r="ED149" s="574"/>
      <c r="EE149" s="646">
        <f t="shared" si="286"/>
        <v>0</v>
      </c>
      <c r="EF149" s="646">
        <f t="shared" si="287"/>
        <v>0</v>
      </c>
      <c r="EG149" s="646">
        <f t="shared" si="288"/>
        <v>0</v>
      </c>
      <c r="EH149" s="646">
        <f t="shared" si="289"/>
        <v>0</v>
      </c>
      <c r="EI149" s="646">
        <f t="shared" si="290"/>
        <v>0</v>
      </c>
      <c r="EJ149" s="569">
        <v>83.840008911638</v>
      </c>
      <c r="EK149" s="571" t="str">
        <f>CY149/DA149*100</f>
        <v>#DIV/0!</v>
      </c>
      <c r="EL149" s="569">
        <f>CZ149/EJ149*100</f>
        <v>0</v>
      </c>
      <c r="EM149" s="596" t="str">
        <f>EL149/EK149*100-100</f>
        <v>#DIV/0!</v>
      </c>
      <c r="EN149" s="574"/>
      <c r="EO149" s="574"/>
      <c r="EP149" s="574"/>
      <c r="EQ149" s="574"/>
      <c r="ER149" s="574"/>
      <c r="ES149" s="574"/>
      <c r="ET149" s="574"/>
      <c r="EU149" s="574"/>
    </row>
    <row r="150" hidden="1">
      <c r="A150" s="577">
        <v>7406.0</v>
      </c>
      <c r="B150" s="12" t="s">
        <v>247</v>
      </c>
      <c r="C150" s="12" t="s">
        <v>209</v>
      </c>
      <c r="D150" s="574"/>
      <c r="E150" s="574"/>
      <c r="F150" s="574"/>
      <c r="G150" s="574"/>
      <c r="H150" s="574"/>
      <c r="I150" s="574"/>
      <c r="J150" s="574"/>
      <c r="K150" s="574"/>
      <c r="L150" s="574"/>
      <c r="M150" s="574"/>
      <c r="N150" s="574"/>
      <c r="O150" s="574"/>
      <c r="P150" s="645">
        <f t="shared" si="251"/>
        <v>0</v>
      </c>
      <c r="Q150" s="645">
        <f t="shared" si="252"/>
        <v>0</v>
      </c>
      <c r="R150" s="645">
        <f t="shared" si="253"/>
        <v>0</v>
      </c>
      <c r="S150" s="645">
        <f t="shared" si="254"/>
        <v>0</v>
      </c>
      <c r="T150" s="645">
        <f t="shared" si="255"/>
        <v>0</v>
      </c>
      <c r="U150" s="574"/>
      <c r="V150" s="574"/>
      <c r="W150" s="574"/>
      <c r="X150" s="574"/>
      <c r="Y150" s="574"/>
      <c r="Z150" s="574"/>
      <c r="AA150" s="574"/>
      <c r="AB150" s="574"/>
      <c r="AC150" s="574"/>
      <c r="AD150" s="574"/>
      <c r="AE150" s="574"/>
      <c r="AF150" s="574"/>
      <c r="AG150" s="645">
        <f t="shared" si="256"/>
        <v>0</v>
      </c>
      <c r="AH150" s="645">
        <f t="shared" si="257"/>
        <v>0</v>
      </c>
      <c r="AI150" s="645">
        <f t="shared" si="258"/>
        <v>0</v>
      </c>
      <c r="AJ150" s="645">
        <f t="shared" si="259"/>
        <v>0</v>
      </c>
      <c r="AK150" s="645">
        <f t="shared" si="260"/>
        <v>0</v>
      </c>
      <c r="AL150" s="574"/>
      <c r="AM150" s="574"/>
      <c r="AN150" s="574"/>
      <c r="AO150" s="574"/>
      <c r="AP150" s="574"/>
      <c r="AQ150" s="574"/>
      <c r="AR150" s="574"/>
      <c r="AS150" s="574"/>
      <c r="AT150" s="574"/>
      <c r="AU150" s="574"/>
      <c r="AV150" s="574"/>
      <c r="AW150" s="574"/>
      <c r="AX150" s="645">
        <f t="shared" si="261"/>
        <v>0</v>
      </c>
      <c r="AY150" s="645">
        <f t="shared" si="262"/>
        <v>0</v>
      </c>
      <c r="AZ150" s="645">
        <f t="shared" si="263"/>
        <v>0</v>
      </c>
      <c r="BA150" s="645">
        <f t="shared" si="264"/>
        <v>0</v>
      </c>
      <c r="BB150" s="645">
        <f t="shared" si="265"/>
        <v>0</v>
      </c>
      <c r="BC150" s="574"/>
      <c r="BD150" s="574"/>
      <c r="BE150" s="574"/>
      <c r="BF150" s="574"/>
      <c r="BG150" s="574"/>
      <c r="BH150" s="574"/>
      <c r="BI150" s="569">
        <v>7644.0</v>
      </c>
      <c r="BJ150" s="569">
        <v>31628.0</v>
      </c>
      <c r="BK150" s="569">
        <v>40416.0</v>
      </c>
      <c r="BL150" s="574"/>
      <c r="BM150" s="574"/>
      <c r="BN150" s="574"/>
      <c r="BO150" s="645">
        <f t="shared" si="266"/>
        <v>0</v>
      </c>
      <c r="BP150" s="645">
        <f t="shared" si="267"/>
        <v>0</v>
      </c>
      <c r="BQ150" s="645">
        <f t="shared" si="268"/>
        <v>79688</v>
      </c>
      <c r="BR150" s="645">
        <f t="shared" si="269"/>
        <v>0</v>
      </c>
      <c r="BS150" s="645">
        <f t="shared" si="270"/>
        <v>79688</v>
      </c>
      <c r="BT150" s="569">
        <v>0.0</v>
      </c>
      <c r="BU150" s="569">
        <v>0.0</v>
      </c>
      <c r="BV150" s="569">
        <v>0.0</v>
      </c>
      <c r="BW150" s="569">
        <v>0.0</v>
      </c>
      <c r="BX150" s="569">
        <v>0.0</v>
      </c>
      <c r="BY150" s="574"/>
      <c r="BZ150" s="569">
        <v>10985.0</v>
      </c>
      <c r="CA150" s="569">
        <v>15849.0</v>
      </c>
      <c r="CB150" s="569">
        <v>26104.0</v>
      </c>
      <c r="CC150" s="574"/>
      <c r="CD150" s="574"/>
      <c r="CE150" s="574"/>
      <c r="CF150" s="646">
        <f t="shared" si="271"/>
        <v>0</v>
      </c>
      <c r="CG150" s="646">
        <f t="shared" si="272"/>
        <v>0</v>
      </c>
      <c r="CH150" s="646">
        <f t="shared" si="273"/>
        <v>52938</v>
      </c>
      <c r="CI150" s="646">
        <f t="shared" si="274"/>
        <v>0</v>
      </c>
      <c r="CJ150" s="646">
        <f t="shared" si="275"/>
        <v>52938</v>
      </c>
      <c r="CK150" s="574"/>
      <c r="CL150" s="574"/>
      <c r="CM150" s="574"/>
      <c r="CN150" s="574"/>
      <c r="CO150" s="574"/>
      <c r="CP150" s="574"/>
      <c r="CQ150" s="574"/>
      <c r="CR150" s="574"/>
      <c r="CS150" s="574"/>
      <c r="CT150" s="574"/>
      <c r="CU150" s="574"/>
      <c r="CV150" s="574"/>
      <c r="CW150" s="646">
        <f t="shared" si="276"/>
        <v>0</v>
      </c>
      <c r="CX150" s="646">
        <f t="shared" si="277"/>
        <v>0</v>
      </c>
      <c r="CY150" s="646">
        <f t="shared" si="278"/>
        <v>0</v>
      </c>
      <c r="CZ150" s="646">
        <f t="shared" si="279"/>
        <v>0</v>
      </c>
      <c r="DA150" s="646">
        <f t="shared" si="280"/>
        <v>0</v>
      </c>
      <c r="DB150" s="574"/>
      <c r="DC150" s="574"/>
      <c r="DD150" s="574"/>
      <c r="DE150" s="574"/>
      <c r="DF150" s="574"/>
      <c r="DG150" s="574"/>
      <c r="DH150" s="574"/>
      <c r="DI150" s="574"/>
      <c r="DJ150" s="574"/>
      <c r="DK150" s="574"/>
      <c r="DL150" s="574"/>
      <c r="DM150" s="574"/>
      <c r="DN150" s="646">
        <f t="shared" si="281"/>
        <v>0</v>
      </c>
      <c r="DO150" s="646">
        <f t="shared" si="282"/>
        <v>0</v>
      </c>
      <c r="DP150" s="646">
        <f t="shared" si="283"/>
        <v>0</v>
      </c>
      <c r="DQ150" s="646">
        <f t="shared" si="284"/>
        <v>0</v>
      </c>
      <c r="DR150" s="646">
        <f t="shared" si="285"/>
        <v>0</v>
      </c>
      <c r="DS150" s="574"/>
      <c r="DT150" s="574"/>
      <c r="DU150" s="574"/>
      <c r="DV150" s="574"/>
      <c r="DW150" s="574"/>
      <c r="DX150" s="574"/>
      <c r="DY150" s="574"/>
      <c r="DZ150" s="574"/>
      <c r="EA150" s="574"/>
      <c r="EB150" s="574"/>
      <c r="EC150" s="574"/>
      <c r="ED150" s="574"/>
      <c r="EE150" s="646">
        <f t="shared" si="286"/>
        <v>0</v>
      </c>
      <c r="EF150" s="646">
        <f t="shared" si="287"/>
        <v>0</v>
      </c>
      <c r="EG150" s="646">
        <f t="shared" si="288"/>
        <v>0</v>
      </c>
      <c r="EH150" s="646">
        <f t="shared" si="289"/>
        <v>0</v>
      </c>
      <c r="EI150" s="646">
        <f t="shared" si="290"/>
        <v>0</v>
      </c>
      <c r="EJ150" s="574"/>
      <c r="EK150" s="574"/>
      <c r="EL150" s="574"/>
      <c r="EM150" s="574"/>
      <c r="EN150" s="574"/>
      <c r="EO150" s="574"/>
      <c r="EP150" s="574"/>
      <c r="EQ150" s="574"/>
      <c r="ER150" s="574"/>
      <c r="ES150" s="574"/>
      <c r="ET150" s="574"/>
      <c r="EU150" s="574"/>
    </row>
    <row r="151" hidden="1">
      <c r="A151" s="577">
        <v>7406.0</v>
      </c>
      <c r="B151" s="12" t="s">
        <v>248</v>
      </c>
      <c r="C151" s="12" t="s">
        <v>209</v>
      </c>
      <c r="D151" s="574"/>
      <c r="E151" s="574"/>
      <c r="F151" s="574"/>
      <c r="G151" s="574"/>
      <c r="H151" s="574"/>
      <c r="I151" s="574"/>
      <c r="J151" s="574"/>
      <c r="K151" s="574"/>
      <c r="L151" s="574"/>
      <c r="M151" s="574"/>
      <c r="N151" s="574"/>
      <c r="O151" s="574"/>
      <c r="P151" s="645">
        <f t="shared" si="251"/>
        <v>0</v>
      </c>
      <c r="Q151" s="645">
        <f t="shared" si="252"/>
        <v>0</v>
      </c>
      <c r="R151" s="645">
        <f t="shared" si="253"/>
        <v>0</v>
      </c>
      <c r="S151" s="645">
        <f t="shared" si="254"/>
        <v>0</v>
      </c>
      <c r="T151" s="645">
        <f t="shared" si="255"/>
        <v>0</v>
      </c>
      <c r="U151" s="574"/>
      <c r="V151" s="574"/>
      <c r="W151" s="574"/>
      <c r="X151" s="574"/>
      <c r="Y151" s="574"/>
      <c r="Z151" s="574"/>
      <c r="AA151" s="574"/>
      <c r="AB151" s="574"/>
      <c r="AC151" s="574"/>
      <c r="AD151" s="574"/>
      <c r="AE151" s="574"/>
      <c r="AF151" s="574"/>
      <c r="AG151" s="645">
        <f t="shared" si="256"/>
        <v>0</v>
      </c>
      <c r="AH151" s="645">
        <f t="shared" si="257"/>
        <v>0</v>
      </c>
      <c r="AI151" s="645">
        <f t="shared" si="258"/>
        <v>0</v>
      </c>
      <c r="AJ151" s="645">
        <f t="shared" si="259"/>
        <v>0</v>
      </c>
      <c r="AK151" s="645">
        <f t="shared" si="260"/>
        <v>0</v>
      </c>
      <c r="AL151" s="574"/>
      <c r="AM151" s="574"/>
      <c r="AN151" s="574"/>
      <c r="AO151" s="574"/>
      <c r="AP151" s="574"/>
      <c r="AQ151" s="574"/>
      <c r="AR151" s="574"/>
      <c r="AS151" s="574"/>
      <c r="AT151" s="574"/>
      <c r="AU151" s="574"/>
      <c r="AV151" s="574"/>
      <c r="AW151" s="574"/>
      <c r="AX151" s="645">
        <f t="shared" si="261"/>
        <v>0</v>
      </c>
      <c r="AY151" s="645">
        <f t="shared" si="262"/>
        <v>0</v>
      </c>
      <c r="AZ151" s="645">
        <f t="shared" si="263"/>
        <v>0</v>
      </c>
      <c r="BA151" s="645">
        <f t="shared" si="264"/>
        <v>0</v>
      </c>
      <c r="BB151" s="645">
        <f t="shared" si="265"/>
        <v>0</v>
      </c>
      <c r="BC151" s="574"/>
      <c r="BD151" s="574"/>
      <c r="BE151" s="574"/>
      <c r="BF151" s="574"/>
      <c r="BG151" s="574"/>
      <c r="BH151" s="569">
        <v>13185.0</v>
      </c>
      <c r="BI151" s="569">
        <v>36540.0</v>
      </c>
      <c r="BJ151" s="569">
        <v>51060.0</v>
      </c>
      <c r="BK151" s="569">
        <v>47685.0</v>
      </c>
      <c r="BL151" s="569">
        <v>67560.0</v>
      </c>
      <c r="BM151" s="569">
        <v>51990.0</v>
      </c>
      <c r="BN151" s="569">
        <v>40620.0</v>
      </c>
      <c r="BO151" s="645">
        <f t="shared" si="266"/>
        <v>0</v>
      </c>
      <c r="BP151" s="645">
        <f t="shared" si="267"/>
        <v>13185</v>
      </c>
      <c r="BQ151" s="645">
        <f t="shared" si="268"/>
        <v>135285</v>
      </c>
      <c r="BR151" s="645">
        <f t="shared" si="269"/>
        <v>160170</v>
      </c>
      <c r="BS151" s="645">
        <f t="shared" si="270"/>
        <v>308640</v>
      </c>
      <c r="BT151" s="569">
        <v>28365.0</v>
      </c>
      <c r="BU151" s="569">
        <v>11565.0</v>
      </c>
      <c r="BV151" s="569">
        <v>19170.0</v>
      </c>
      <c r="BW151" s="569">
        <v>19815.0</v>
      </c>
      <c r="BX151" s="569">
        <v>24570.0</v>
      </c>
      <c r="BY151" s="569">
        <v>21705.0</v>
      </c>
      <c r="BZ151" s="569">
        <v>27300.0</v>
      </c>
      <c r="CA151" s="574"/>
      <c r="CB151" s="574"/>
      <c r="CC151" s="574"/>
      <c r="CD151" s="574"/>
      <c r="CE151" s="574"/>
      <c r="CF151" s="646">
        <f t="shared" si="271"/>
        <v>59100</v>
      </c>
      <c r="CG151" s="646">
        <f t="shared" si="272"/>
        <v>66090</v>
      </c>
      <c r="CH151" s="646">
        <f t="shared" si="273"/>
        <v>27300</v>
      </c>
      <c r="CI151" s="646">
        <f t="shared" si="274"/>
        <v>0</v>
      </c>
      <c r="CJ151" s="646">
        <f t="shared" si="275"/>
        <v>152490</v>
      </c>
      <c r="CK151" s="574"/>
      <c r="CL151" s="574"/>
      <c r="CM151" s="574"/>
      <c r="CN151" s="574"/>
      <c r="CO151" s="574"/>
      <c r="CP151" s="574"/>
      <c r="CQ151" s="574"/>
      <c r="CR151" s="574"/>
      <c r="CS151" s="574"/>
      <c r="CT151" s="574"/>
      <c r="CU151" s="574"/>
      <c r="CV151" s="574"/>
      <c r="CW151" s="646">
        <f t="shared" si="276"/>
        <v>0</v>
      </c>
      <c r="CX151" s="646">
        <f t="shared" si="277"/>
        <v>0</v>
      </c>
      <c r="CY151" s="646">
        <f t="shared" si="278"/>
        <v>0</v>
      </c>
      <c r="CZ151" s="646">
        <f t="shared" si="279"/>
        <v>0</v>
      </c>
      <c r="DA151" s="646">
        <f t="shared" si="280"/>
        <v>0</v>
      </c>
      <c r="DB151" s="574"/>
      <c r="DC151" s="574"/>
      <c r="DD151" s="574"/>
      <c r="DE151" s="574"/>
      <c r="DF151" s="574"/>
      <c r="DG151" s="574"/>
      <c r="DH151" s="574"/>
      <c r="DI151" s="574"/>
      <c r="DJ151" s="574"/>
      <c r="DK151" s="574"/>
      <c r="DL151" s="574"/>
      <c r="DM151" s="574"/>
      <c r="DN151" s="646">
        <f t="shared" si="281"/>
        <v>0</v>
      </c>
      <c r="DO151" s="646">
        <f t="shared" si="282"/>
        <v>0</v>
      </c>
      <c r="DP151" s="646">
        <f t="shared" si="283"/>
        <v>0</v>
      </c>
      <c r="DQ151" s="646">
        <f t="shared" si="284"/>
        <v>0</v>
      </c>
      <c r="DR151" s="646">
        <f t="shared" si="285"/>
        <v>0</v>
      </c>
      <c r="DS151" s="574"/>
      <c r="DT151" s="574"/>
      <c r="DU151" s="574"/>
      <c r="DV151" s="574"/>
      <c r="DW151" s="574"/>
      <c r="DX151" s="574"/>
      <c r="DY151" s="574"/>
      <c r="DZ151" s="574"/>
      <c r="EA151" s="574"/>
      <c r="EB151" s="574"/>
      <c r="EC151" s="574"/>
      <c r="ED151" s="574"/>
      <c r="EE151" s="646">
        <f t="shared" si="286"/>
        <v>0</v>
      </c>
      <c r="EF151" s="646">
        <f t="shared" si="287"/>
        <v>0</v>
      </c>
      <c r="EG151" s="646">
        <f t="shared" si="288"/>
        <v>0</v>
      </c>
      <c r="EH151" s="646">
        <f t="shared" si="289"/>
        <v>0</v>
      </c>
      <c r="EI151" s="646">
        <f t="shared" si="290"/>
        <v>0</v>
      </c>
      <c r="EJ151" s="574"/>
      <c r="EK151" s="574"/>
      <c r="EL151" s="574"/>
      <c r="EM151" s="574"/>
      <c r="EN151" s="574"/>
      <c r="EO151" s="574"/>
      <c r="EP151" s="574"/>
      <c r="EQ151" s="574"/>
      <c r="ER151" s="574"/>
      <c r="ES151" s="574"/>
      <c r="ET151" s="574"/>
      <c r="EU151" s="574"/>
    </row>
    <row r="152" hidden="1">
      <c r="A152" s="577">
        <v>7406.0</v>
      </c>
      <c r="B152" s="12" t="s">
        <v>249</v>
      </c>
      <c r="C152" s="12" t="s">
        <v>209</v>
      </c>
      <c r="D152" s="574"/>
      <c r="E152" s="574"/>
      <c r="F152" s="574"/>
      <c r="G152" s="574"/>
      <c r="H152" s="574"/>
      <c r="I152" s="574"/>
      <c r="J152" s="574"/>
      <c r="K152" s="574"/>
      <c r="L152" s="574"/>
      <c r="M152" s="574"/>
      <c r="N152" s="574"/>
      <c r="O152" s="574"/>
      <c r="P152" s="645">
        <f t="shared" si="251"/>
        <v>0</v>
      </c>
      <c r="Q152" s="645">
        <f t="shared" si="252"/>
        <v>0</v>
      </c>
      <c r="R152" s="645">
        <f t="shared" si="253"/>
        <v>0</v>
      </c>
      <c r="S152" s="645">
        <f t="shared" si="254"/>
        <v>0</v>
      </c>
      <c r="T152" s="645">
        <f t="shared" si="255"/>
        <v>0</v>
      </c>
      <c r="U152" s="574"/>
      <c r="V152" s="574"/>
      <c r="W152" s="574"/>
      <c r="X152" s="574"/>
      <c r="Y152" s="574"/>
      <c r="Z152" s="574"/>
      <c r="AA152" s="574"/>
      <c r="AB152" s="574"/>
      <c r="AC152" s="574"/>
      <c r="AD152" s="574"/>
      <c r="AE152" s="574"/>
      <c r="AF152" s="574"/>
      <c r="AG152" s="645">
        <f t="shared" si="256"/>
        <v>0</v>
      </c>
      <c r="AH152" s="645">
        <f t="shared" si="257"/>
        <v>0</v>
      </c>
      <c r="AI152" s="645">
        <f t="shared" si="258"/>
        <v>0</v>
      </c>
      <c r="AJ152" s="645">
        <f t="shared" si="259"/>
        <v>0</v>
      </c>
      <c r="AK152" s="645">
        <f t="shared" si="260"/>
        <v>0</v>
      </c>
      <c r="AL152" s="574"/>
      <c r="AM152" s="574"/>
      <c r="AN152" s="574"/>
      <c r="AO152" s="574"/>
      <c r="AP152" s="574"/>
      <c r="AQ152" s="574"/>
      <c r="AR152" s="574"/>
      <c r="AS152" s="574"/>
      <c r="AT152" s="574"/>
      <c r="AU152" s="574"/>
      <c r="AV152" s="574"/>
      <c r="AW152" s="574"/>
      <c r="AX152" s="645">
        <f t="shared" si="261"/>
        <v>0</v>
      </c>
      <c r="AY152" s="645">
        <f t="shared" si="262"/>
        <v>0</v>
      </c>
      <c r="AZ152" s="645">
        <f t="shared" si="263"/>
        <v>0</v>
      </c>
      <c r="BA152" s="645">
        <f t="shared" si="264"/>
        <v>0</v>
      </c>
      <c r="BB152" s="645">
        <f t="shared" si="265"/>
        <v>0</v>
      </c>
      <c r="BC152" s="569">
        <v>76680.0</v>
      </c>
      <c r="BD152" s="569">
        <v>130099.0</v>
      </c>
      <c r="BE152" s="569">
        <v>184748.0</v>
      </c>
      <c r="BF152" s="574"/>
      <c r="BG152" s="574"/>
      <c r="BH152" s="574"/>
      <c r="BI152" s="574"/>
      <c r="BJ152" s="574"/>
      <c r="BK152" s="574"/>
      <c r="BL152" s="574"/>
      <c r="BM152" s="574"/>
      <c r="BN152" s="574"/>
      <c r="BO152" s="645">
        <f t="shared" si="266"/>
        <v>391527</v>
      </c>
      <c r="BP152" s="645">
        <f t="shared" si="267"/>
        <v>0</v>
      </c>
      <c r="BQ152" s="645">
        <f t="shared" si="268"/>
        <v>0</v>
      </c>
      <c r="BR152" s="645">
        <f t="shared" si="269"/>
        <v>0</v>
      </c>
      <c r="BS152" s="645">
        <f t="shared" si="270"/>
        <v>391527</v>
      </c>
      <c r="BT152" s="574"/>
      <c r="BU152" s="574"/>
      <c r="BV152" s="574"/>
      <c r="BW152" s="574"/>
      <c r="BX152" s="574"/>
      <c r="BY152" s="574"/>
      <c r="BZ152" s="574"/>
      <c r="CA152" s="574"/>
      <c r="CB152" s="574"/>
      <c r="CC152" s="574"/>
      <c r="CD152" s="574"/>
      <c r="CE152" s="574"/>
      <c r="CF152" s="646">
        <f t="shared" si="271"/>
        <v>0</v>
      </c>
      <c r="CG152" s="646">
        <f t="shared" si="272"/>
        <v>0</v>
      </c>
      <c r="CH152" s="646">
        <f t="shared" si="273"/>
        <v>0</v>
      </c>
      <c r="CI152" s="646">
        <f t="shared" si="274"/>
        <v>0</v>
      </c>
      <c r="CJ152" s="646">
        <f t="shared" si="275"/>
        <v>0</v>
      </c>
      <c r="CK152" s="574"/>
      <c r="CL152" s="574"/>
      <c r="CM152" s="574"/>
      <c r="CN152" s="574"/>
      <c r="CO152" s="574"/>
      <c r="CP152" s="574"/>
      <c r="CQ152" s="574"/>
      <c r="CR152" s="574"/>
      <c r="CS152" s="574"/>
      <c r="CT152" s="574"/>
      <c r="CU152" s="574"/>
      <c r="CV152" s="574"/>
      <c r="CW152" s="646">
        <f t="shared" si="276"/>
        <v>0</v>
      </c>
      <c r="CX152" s="646">
        <f t="shared" si="277"/>
        <v>0</v>
      </c>
      <c r="CY152" s="646">
        <f t="shared" si="278"/>
        <v>0</v>
      </c>
      <c r="CZ152" s="646">
        <f t="shared" si="279"/>
        <v>0</v>
      </c>
      <c r="DA152" s="646">
        <f t="shared" si="280"/>
        <v>0</v>
      </c>
      <c r="DB152" s="574"/>
      <c r="DC152" s="574"/>
      <c r="DD152" s="574"/>
      <c r="DE152" s="574"/>
      <c r="DF152" s="574"/>
      <c r="DG152" s="574"/>
      <c r="DH152" s="574"/>
      <c r="DI152" s="574"/>
      <c r="DJ152" s="574"/>
      <c r="DK152" s="574"/>
      <c r="DL152" s="574"/>
      <c r="DM152" s="574"/>
      <c r="DN152" s="646">
        <f t="shared" si="281"/>
        <v>0</v>
      </c>
      <c r="DO152" s="646">
        <f t="shared" si="282"/>
        <v>0</v>
      </c>
      <c r="DP152" s="646">
        <f t="shared" si="283"/>
        <v>0</v>
      </c>
      <c r="DQ152" s="646">
        <f t="shared" si="284"/>
        <v>0</v>
      </c>
      <c r="DR152" s="646">
        <f t="shared" si="285"/>
        <v>0</v>
      </c>
      <c r="DS152" s="574"/>
      <c r="DT152" s="574"/>
      <c r="DU152" s="574"/>
      <c r="DV152" s="574"/>
      <c r="DW152" s="574"/>
      <c r="DX152" s="574"/>
      <c r="DY152" s="574"/>
      <c r="DZ152" s="574"/>
      <c r="EA152" s="574"/>
      <c r="EB152" s="574"/>
      <c r="EC152" s="574"/>
      <c r="ED152" s="574"/>
      <c r="EE152" s="646">
        <f t="shared" si="286"/>
        <v>0</v>
      </c>
      <c r="EF152" s="646">
        <f t="shared" si="287"/>
        <v>0</v>
      </c>
      <c r="EG152" s="646">
        <f t="shared" si="288"/>
        <v>0</v>
      </c>
      <c r="EH152" s="646">
        <f t="shared" si="289"/>
        <v>0</v>
      </c>
      <c r="EI152" s="646">
        <f t="shared" si="290"/>
        <v>0</v>
      </c>
      <c r="EJ152" s="574"/>
      <c r="EK152" s="574"/>
      <c r="EL152" s="574"/>
      <c r="EM152" s="574"/>
      <c r="EN152" s="574"/>
      <c r="EO152" s="574"/>
      <c r="EP152" s="574"/>
      <c r="EQ152" s="574"/>
      <c r="ER152" s="574"/>
      <c r="ES152" s="574"/>
      <c r="ET152" s="574"/>
      <c r="EU152" s="574"/>
    </row>
    <row r="153" hidden="1">
      <c r="A153" s="577">
        <v>7406.0</v>
      </c>
      <c r="B153" s="12" t="s">
        <v>250</v>
      </c>
      <c r="C153" s="12" t="s">
        <v>209</v>
      </c>
      <c r="D153" s="574"/>
      <c r="E153" s="574"/>
      <c r="F153" s="574"/>
      <c r="G153" s="574"/>
      <c r="H153" s="574"/>
      <c r="I153" s="574"/>
      <c r="J153" s="574"/>
      <c r="K153" s="574"/>
      <c r="L153" s="574"/>
      <c r="M153" s="574"/>
      <c r="N153" s="574"/>
      <c r="O153" s="569">
        <v>65500.0</v>
      </c>
      <c r="P153" s="645">
        <f t="shared" si="251"/>
        <v>0</v>
      </c>
      <c r="Q153" s="645">
        <f t="shared" si="252"/>
        <v>0</v>
      </c>
      <c r="R153" s="645">
        <f t="shared" si="253"/>
        <v>0</v>
      </c>
      <c r="S153" s="645">
        <f t="shared" si="254"/>
        <v>65500</v>
      </c>
      <c r="T153" s="645">
        <f t="shared" si="255"/>
        <v>65500</v>
      </c>
      <c r="U153" s="569">
        <v>9540.0</v>
      </c>
      <c r="V153" s="569">
        <v>9972.0</v>
      </c>
      <c r="W153" s="574"/>
      <c r="X153" s="574"/>
      <c r="Y153" s="574"/>
      <c r="Z153" s="574"/>
      <c r="AA153" s="574"/>
      <c r="AB153" s="574"/>
      <c r="AC153" s="574"/>
      <c r="AD153" s="574"/>
      <c r="AE153" s="569">
        <v>11028.0</v>
      </c>
      <c r="AF153" s="569">
        <v>9948.0</v>
      </c>
      <c r="AG153" s="645">
        <f t="shared" si="256"/>
        <v>19512</v>
      </c>
      <c r="AH153" s="645">
        <f t="shared" si="257"/>
        <v>0</v>
      </c>
      <c r="AI153" s="645">
        <f t="shared" si="258"/>
        <v>0</v>
      </c>
      <c r="AJ153" s="645">
        <f t="shared" si="259"/>
        <v>20976</v>
      </c>
      <c r="AK153" s="645">
        <f t="shared" si="260"/>
        <v>40488</v>
      </c>
      <c r="AL153" s="569">
        <v>11880.0</v>
      </c>
      <c r="AM153" s="569">
        <v>12516.0</v>
      </c>
      <c r="AN153" s="569">
        <v>17004.0</v>
      </c>
      <c r="AO153" s="569">
        <v>16860.0</v>
      </c>
      <c r="AP153" s="569">
        <v>16164.0</v>
      </c>
      <c r="AQ153" s="569">
        <v>9504.0</v>
      </c>
      <c r="AR153" s="569">
        <v>22480.0</v>
      </c>
      <c r="AS153" s="569">
        <v>26928.0</v>
      </c>
      <c r="AT153" s="569">
        <v>33372.0</v>
      </c>
      <c r="AU153" s="569">
        <v>25862.91</v>
      </c>
      <c r="AV153" s="569">
        <v>23985.48</v>
      </c>
      <c r="AW153" s="569">
        <v>16812.0</v>
      </c>
      <c r="AX153" s="645">
        <f t="shared" si="261"/>
        <v>41400</v>
      </c>
      <c r="AY153" s="645">
        <f t="shared" si="262"/>
        <v>42528</v>
      </c>
      <c r="AZ153" s="645">
        <f t="shared" si="263"/>
        <v>82780</v>
      </c>
      <c r="BA153" s="645">
        <f t="shared" si="264"/>
        <v>66660.39</v>
      </c>
      <c r="BB153" s="645">
        <f t="shared" si="265"/>
        <v>233368.39</v>
      </c>
      <c r="BC153" s="569">
        <v>28529.0</v>
      </c>
      <c r="BD153" s="569">
        <v>27474.0</v>
      </c>
      <c r="BE153" s="569">
        <v>28108.0</v>
      </c>
      <c r="BF153" s="569">
        <v>19398.84</v>
      </c>
      <c r="BG153" s="569">
        <v>26024.7</v>
      </c>
      <c r="BH153" s="569">
        <v>11099.15</v>
      </c>
      <c r="BI153" s="569">
        <v>22519.32</v>
      </c>
      <c r="BJ153" s="569">
        <v>24367.57</v>
      </c>
      <c r="BK153" s="569">
        <v>22257.25</v>
      </c>
      <c r="BL153" s="569">
        <v>0.0</v>
      </c>
      <c r="BM153" s="569">
        <v>0.0</v>
      </c>
      <c r="BN153" s="569">
        <v>0.0</v>
      </c>
      <c r="BO153" s="645">
        <f t="shared" si="266"/>
        <v>84111</v>
      </c>
      <c r="BP153" s="645">
        <f t="shared" si="267"/>
        <v>56522.69</v>
      </c>
      <c r="BQ153" s="645">
        <f t="shared" si="268"/>
        <v>69144.14</v>
      </c>
      <c r="BR153" s="645">
        <f t="shared" si="269"/>
        <v>0</v>
      </c>
      <c r="BS153" s="645">
        <f t="shared" si="270"/>
        <v>209777.83</v>
      </c>
      <c r="BT153" s="569">
        <v>2986.0</v>
      </c>
      <c r="BU153" s="569">
        <v>12025.0</v>
      </c>
      <c r="BV153" s="569">
        <v>7260.0</v>
      </c>
      <c r="BW153" s="569">
        <v>18333.0</v>
      </c>
      <c r="BX153" s="574"/>
      <c r="BY153" s="574"/>
      <c r="BZ153" s="574"/>
      <c r="CA153" s="574"/>
      <c r="CB153" s="574"/>
      <c r="CC153" s="574"/>
      <c r="CD153" s="574"/>
      <c r="CE153" s="574"/>
      <c r="CF153" s="646">
        <f t="shared" si="271"/>
        <v>22271</v>
      </c>
      <c r="CG153" s="646">
        <f t="shared" si="272"/>
        <v>18333</v>
      </c>
      <c r="CH153" s="646">
        <f t="shared" si="273"/>
        <v>0</v>
      </c>
      <c r="CI153" s="646">
        <f t="shared" si="274"/>
        <v>0</v>
      </c>
      <c r="CJ153" s="646">
        <f t="shared" si="275"/>
        <v>40604</v>
      </c>
      <c r="CK153" s="574"/>
      <c r="CL153" s="574"/>
      <c r="CM153" s="574"/>
      <c r="CN153" s="574"/>
      <c r="CO153" s="574"/>
      <c r="CP153" s="574"/>
      <c r="CQ153" s="574"/>
      <c r="CR153" s="574"/>
      <c r="CS153" s="574"/>
      <c r="CT153" s="574"/>
      <c r="CU153" s="574"/>
      <c r="CV153" s="574"/>
      <c r="CW153" s="646">
        <f t="shared" si="276"/>
        <v>0</v>
      </c>
      <c r="CX153" s="646">
        <f t="shared" si="277"/>
        <v>0</v>
      </c>
      <c r="CY153" s="646">
        <f t="shared" si="278"/>
        <v>0</v>
      </c>
      <c r="CZ153" s="646">
        <f t="shared" si="279"/>
        <v>0</v>
      </c>
      <c r="DA153" s="646">
        <f t="shared" si="280"/>
        <v>0</v>
      </c>
      <c r="DB153" s="574"/>
      <c r="DC153" s="574"/>
      <c r="DD153" s="574"/>
      <c r="DE153" s="574"/>
      <c r="DF153" s="574"/>
      <c r="DG153" s="574"/>
      <c r="DH153" s="574"/>
      <c r="DI153" s="574"/>
      <c r="DJ153" s="574"/>
      <c r="DK153" s="574"/>
      <c r="DL153" s="574"/>
      <c r="DM153" s="574"/>
      <c r="DN153" s="646">
        <f t="shared" si="281"/>
        <v>0</v>
      </c>
      <c r="DO153" s="646">
        <f t="shared" si="282"/>
        <v>0</v>
      </c>
      <c r="DP153" s="646">
        <f t="shared" si="283"/>
        <v>0</v>
      </c>
      <c r="DQ153" s="646">
        <f t="shared" si="284"/>
        <v>0</v>
      </c>
      <c r="DR153" s="646">
        <f t="shared" si="285"/>
        <v>0</v>
      </c>
      <c r="DS153" s="574"/>
      <c r="DT153" s="574"/>
      <c r="DU153" s="574"/>
      <c r="DV153" s="574"/>
      <c r="DW153" s="574"/>
      <c r="DX153" s="574"/>
      <c r="DY153" s="574"/>
      <c r="DZ153" s="574"/>
      <c r="EA153" s="574"/>
      <c r="EB153" s="574"/>
      <c r="EC153" s="574"/>
      <c r="ED153" s="574"/>
      <c r="EE153" s="646">
        <f t="shared" si="286"/>
        <v>0</v>
      </c>
      <c r="EF153" s="646">
        <f t="shared" si="287"/>
        <v>0</v>
      </c>
      <c r="EG153" s="646">
        <f t="shared" si="288"/>
        <v>0</v>
      </c>
      <c r="EH153" s="646">
        <f t="shared" si="289"/>
        <v>0</v>
      </c>
      <c r="EI153" s="646">
        <f t="shared" si="290"/>
        <v>0</v>
      </c>
      <c r="EJ153" s="574"/>
      <c r="EK153" s="574"/>
      <c r="EL153" s="574"/>
      <c r="EM153" s="574"/>
      <c r="EN153" s="574"/>
      <c r="EO153" s="574"/>
      <c r="EP153" s="574"/>
      <c r="EQ153" s="574"/>
      <c r="ER153" s="574"/>
      <c r="ES153" s="574"/>
      <c r="ET153" s="574"/>
      <c r="EU153" s="574"/>
    </row>
    <row r="154" hidden="1">
      <c r="A154" s="655">
        <v>7406.0</v>
      </c>
      <c r="B154" s="493" t="s">
        <v>251</v>
      </c>
      <c r="C154" s="493" t="s">
        <v>252</v>
      </c>
      <c r="D154" s="583"/>
      <c r="E154" s="583"/>
      <c r="F154" s="583"/>
      <c r="G154" s="583"/>
      <c r="H154" s="583"/>
      <c r="I154" s="583"/>
      <c r="J154" s="583"/>
      <c r="K154" s="583"/>
      <c r="L154" s="583"/>
      <c r="M154" s="583"/>
      <c r="N154" s="583"/>
      <c r="O154" s="583"/>
      <c r="P154" s="656">
        <f t="shared" si="251"/>
        <v>0</v>
      </c>
      <c r="Q154" s="656">
        <f t="shared" si="252"/>
        <v>0</v>
      </c>
      <c r="R154" s="656">
        <f t="shared" si="253"/>
        <v>0</v>
      </c>
      <c r="S154" s="656">
        <f t="shared" si="254"/>
        <v>0</v>
      </c>
      <c r="T154" s="656">
        <f t="shared" si="255"/>
        <v>0</v>
      </c>
      <c r="U154" s="583"/>
      <c r="V154" s="583"/>
      <c r="W154" s="583"/>
      <c r="X154" s="583"/>
      <c r="Y154" s="583"/>
      <c r="Z154" s="583"/>
      <c r="AA154" s="583"/>
      <c r="AB154" s="583"/>
      <c r="AC154" s="583"/>
      <c r="AD154" s="583"/>
      <c r="AE154" s="583"/>
      <c r="AF154" s="583"/>
      <c r="AG154" s="656">
        <f t="shared" si="256"/>
        <v>0</v>
      </c>
      <c r="AH154" s="656">
        <f t="shared" si="257"/>
        <v>0</v>
      </c>
      <c r="AI154" s="656">
        <f t="shared" si="258"/>
        <v>0</v>
      </c>
      <c r="AJ154" s="656">
        <f t="shared" si="259"/>
        <v>0</v>
      </c>
      <c r="AK154" s="656">
        <f t="shared" si="260"/>
        <v>0</v>
      </c>
      <c r="AL154" s="583"/>
      <c r="AM154" s="583"/>
      <c r="AN154" s="583"/>
      <c r="AO154" s="583"/>
      <c r="AP154" s="583"/>
      <c r="AQ154" s="583"/>
      <c r="AR154" s="583"/>
      <c r="AS154" s="583"/>
      <c r="AT154" s="583"/>
      <c r="AU154" s="583"/>
      <c r="AV154" s="583"/>
      <c r="AW154" s="583"/>
      <c r="AX154" s="656">
        <f t="shared" si="261"/>
        <v>0</v>
      </c>
      <c r="AY154" s="656">
        <f t="shared" si="262"/>
        <v>0</v>
      </c>
      <c r="AZ154" s="656">
        <f t="shared" si="263"/>
        <v>0</v>
      </c>
      <c r="BA154" s="656">
        <f t="shared" si="264"/>
        <v>0</v>
      </c>
      <c r="BB154" s="656">
        <f t="shared" si="265"/>
        <v>0</v>
      </c>
      <c r="BC154" s="583"/>
      <c r="BD154" s="583"/>
      <c r="BE154" s="583"/>
      <c r="BF154" s="583"/>
      <c r="BG154" s="583"/>
      <c r="BH154" s="583"/>
      <c r="BI154" s="583"/>
      <c r="BJ154" s="583"/>
      <c r="BK154" s="583"/>
      <c r="BL154" s="583"/>
      <c r="BM154" s="583"/>
      <c r="BN154" s="583"/>
      <c r="BO154" s="656">
        <f t="shared" si="266"/>
        <v>0</v>
      </c>
      <c r="BP154" s="656">
        <f t="shared" si="267"/>
        <v>0</v>
      </c>
      <c r="BQ154" s="656">
        <f t="shared" si="268"/>
        <v>0</v>
      </c>
      <c r="BR154" s="656">
        <f t="shared" si="269"/>
        <v>0</v>
      </c>
      <c r="BS154" s="656">
        <f t="shared" si="270"/>
        <v>0</v>
      </c>
      <c r="BT154" s="583"/>
      <c r="BU154" s="583"/>
      <c r="BV154" s="583"/>
      <c r="BW154" s="583"/>
      <c r="BX154" s="583"/>
      <c r="BY154" s="583"/>
      <c r="BZ154" s="583"/>
      <c r="CA154" s="583"/>
      <c r="CB154" s="583"/>
      <c r="CC154" s="583"/>
      <c r="CD154" s="583"/>
      <c r="CE154" s="583"/>
      <c r="CF154" s="657">
        <f t="shared" si="271"/>
        <v>0</v>
      </c>
      <c r="CG154" s="657">
        <f t="shared" si="272"/>
        <v>0</v>
      </c>
      <c r="CH154" s="657">
        <f t="shared" si="273"/>
        <v>0</v>
      </c>
      <c r="CI154" s="657">
        <f t="shared" si="274"/>
        <v>0</v>
      </c>
      <c r="CJ154" s="657">
        <f t="shared" si="275"/>
        <v>0</v>
      </c>
      <c r="CK154" s="583"/>
      <c r="CL154" s="583"/>
      <c r="CM154" s="583"/>
      <c r="CN154" s="583"/>
      <c r="CO154" s="583"/>
      <c r="CP154" s="583"/>
      <c r="CQ154" s="583"/>
      <c r="CR154" s="583"/>
      <c r="CS154" s="583"/>
      <c r="CT154" s="583"/>
      <c r="CU154" s="583"/>
      <c r="CV154" s="583"/>
      <c r="CW154" s="657">
        <f t="shared" si="276"/>
        <v>0</v>
      </c>
      <c r="CX154" s="657">
        <f t="shared" si="277"/>
        <v>0</v>
      </c>
      <c r="CY154" s="657">
        <f t="shared" si="278"/>
        <v>0</v>
      </c>
      <c r="CZ154" s="657">
        <f t="shared" si="279"/>
        <v>0</v>
      </c>
      <c r="DA154" s="657">
        <f t="shared" si="280"/>
        <v>0</v>
      </c>
      <c r="DB154" s="583"/>
      <c r="DC154" s="583"/>
      <c r="DD154" s="583"/>
      <c r="DE154" s="583"/>
      <c r="DF154" s="583"/>
      <c r="DG154" s="583"/>
      <c r="DH154" s="583"/>
      <c r="DI154" s="583"/>
      <c r="DJ154" s="583"/>
      <c r="DK154" s="583"/>
      <c r="DL154" s="583"/>
      <c r="DM154" s="583"/>
      <c r="DN154" s="657">
        <f t="shared" si="281"/>
        <v>0</v>
      </c>
      <c r="DO154" s="657">
        <f t="shared" si="282"/>
        <v>0</v>
      </c>
      <c r="DP154" s="657">
        <f t="shared" si="283"/>
        <v>0</v>
      </c>
      <c r="DQ154" s="657">
        <f t="shared" si="284"/>
        <v>0</v>
      </c>
      <c r="DR154" s="657">
        <f t="shared" si="285"/>
        <v>0</v>
      </c>
      <c r="DS154" s="583"/>
      <c r="DT154" s="583"/>
      <c r="DU154" s="583"/>
      <c r="DV154" s="583"/>
      <c r="DW154" s="583"/>
      <c r="DX154" s="583"/>
      <c r="DY154" s="583"/>
      <c r="DZ154" s="583"/>
      <c r="EA154" s="583"/>
      <c r="EB154" s="583"/>
      <c r="EC154" s="583"/>
      <c r="ED154" s="583"/>
      <c r="EE154" s="657">
        <f t="shared" si="286"/>
        <v>0</v>
      </c>
      <c r="EF154" s="657">
        <f t="shared" si="287"/>
        <v>0</v>
      </c>
      <c r="EG154" s="657">
        <f t="shared" si="288"/>
        <v>0</v>
      </c>
      <c r="EH154" s="657">
        <f t="shared" si="289"/>
        <v>0</v>
      </c>
      <c r="EI154" s="657">
        <f t="shared" si="290"/>
        <v>0</v>
      </c>
      <c r="EJ154" s="583"/>
      <c r="EK154" s="583"/>
      <c r="EL154" s="583"/>
      <c r="EM154" s="583"/>
      <c r="EN154" s="583"/>
      <c r="EO154" s="583"/>
      <c r="EP154" s="583"/>
      <c r="EQ154" s="583"/>
      <c r="ER154" s="583"/>
      <c r="ES154" s="583"/>
      <c r="ET154" s="583"/>
      <c r="EU154" s="583"/>
    </row>
    <row r="155" hidden="1">
      <c r="A155" s="577">
        <v>7406.0</v>
      </c>
      <c r="B155" s="12" t="s">
        <v>253</v>
      </c>
      <c r="C155" s="12" t="s">
        <v>209</v>
      </c>
      <c r="D155" s="574"/>
      <c r="E155" s="574"/>
      <c r="F155" s="574"/>
      <c r="G155" s="574"/>
      <c r="H155" s="574"/>
      <c r="I155" s="574"/>
      <c r="J155" s="574"/>
      <c r="K155" s="574"/>
      <c r="L155" s="574"/>
      <c r="M155" s="574"/>
      <c r="N155" s="574"/>
      <c r="O155" s="569">
        <v>44500.0</v>
      </c>
      <c r="P155" s="645">
        <f t="shared" si="251"/>
        <v>0</v>
      </c>
      <c r="Q155" s="645">
        <f t="shared" si="252"/>
        <v>0</v>
      </c>
      <c r="R155" s="645">
        <f t="shared" si="253"/>
        <v>0</v>
      </c>
      <c r="S155" s="645">
        <f t="shared" si="254"/>
        <v>44500</v>
      </c>
      <c r="T155" s="645">
        <f t="shared" si="255"/>
        <v>44500</v>
      </c>
      <c r="U155" s="574"/>
      <c r="V155" s="574"/>
      <c r="W155" s="569">
        <v>15876.0</v>
      </c>
      <c r="X155" s="569">
        <v>27140.0</v>
      </c>
      <c r="Y155" s="569">
        <v>20699.0</v>
      </c>
      <c r="Z155" s="569">
        <v>2308.0</v>
      </c>
      <c r="AA155" s="569">
        <v>12733.6</v>
      </c>
      <c r="AB155" s="569">
        <v>25970.0</v>
      </c>
      <c r="AC155" s="569">
        <v>22316.4</v>
      </c>
      <c r="AD155" s="569">
        <v>18589.0</v>
      </c>
      <c r="AE155" s="569">
        <v>23540.0</v>
      </c>
      <c r="AF155" s="569">
        <v>18454.0</v>
      </c>
      <c r="AG155" s="645">
        <f t="shared" si="256"/>
        <v>15876</v>
      </c>
      <c r="AH155" s="645">
        <f t="shared" si="257"/>
        <v>50147</v>
      </c>
      <c r="AI155" s="645">
        <f t="shared" si="258"/>
        <v>61020</v>
      </c>
      <c r="AJ155" s="645">
        <f t="shared" si="259"/>
        <v>60583</v>
      </c>
      <c r="AK155" s="645">
        <f t="shared" si="260"/>
        <v>187626</v>
      </c>
      <c r="AL155" s="569">
        <v>23587.2</v>
      </c>
      <c r="AM155" s="569">
        <v>20217.6</v>
      </c>
      <c r="AN155" s="569">
        <v>20020.0</v>
      </c>
      <c r="AO155" s="569">
        <v>26043.0</v>
      </c>
      <c r="AP155" s="569">
        <v>35115.0</v>
      </c>
      <c r="AQ155" s="569">
        <v>12999.0</v>
      </c>
      <c r="AR155" s="574"/>
      <c r="AS155" s="574"/>
      <c r="AT155" s="574"/>
      <c r="AU155" s="569">
        <v>17244.3</v>
      </c>
      <c r="AV155" s="569">
        <v>23816.0</v>
      </c>
      <c r="AW155" s="569">
        <v>11536.0</v>
      </c>
      <c r="AX155" s="645">
        <f t="shared" si="261"/>
        <v>63824.8</v>
      </c>
      <c r="AY155" s="645">
        <f t="shared" si="262"/>
        <v>74157</v>
      </c>
      <c r="AZ155" s="645">
        <f t="shared" si="263"/>
        <v>0</v>
      </c>
      <c r="BA155" s="645">
        <f t="shared" si="264"/>
        <v>52596.3</v>
      </c>
      <c r="BB155" s="645">
        <f t="shared" si="265"/>
        <v>190578.1</v>
      </c>
      <c r="BC155" s="574"/>
      <c r="BD155" s="574"/>
      <c r="BE155" s="574"/>
      <c r="BF155" s="574"/>
      <c r="BG155" s="574"/>
      <c r="BH155" s="574"/>
      <c r="BI155" s="574"/>
      <c r="BJ155" s="574"/>
      <c r="BK155" s="574"/>
      <c r="BL155" s="574"/>
      <c r="BM155" s="574"/>
      <c r="BN155" s="574"/>
      <c r="BO155" s="645">
        <f t="shared" si="266"/>
        <v>0</v>
      </c>
      <c r="BP155" s="645">
        <f t="shared" si="267"/>
        <v>0</v>
      </c>
      <c r="BQ155" s="645">
        <f t="shared" si="268"/>
        <v>0</v>
      </c>
      <c r="BR155" s="645">
        <f t="shared" si="269"/>
        <v>0</v>
      </c>
      <c r="BS155" s="645">
        <f t="shared" si="270"/>
        <v>0</v>
      </c>
      <c r="BT155" s="574"/>
      <c r="BU155" s="574"/>
      <c r="BV155" s="574"/>
      <c r="BW155" s="574"/>
      <c r="BX155" s="574"/>
      <c r="BY155" s="574"/>
      <c r="BZ155" s="574"/>
      <c r="CA155" s="574"/>
      <c r="CB155" s="574"/>
      <c r="CC155" s="574"/>
      <c r="CD155" s="574"/>
      <c r="CE155" s="574"/>
      <c r="CF155" s="646">
        <f t="shared" si="271"/>
        <v>0</v>
      </c>
      <c r="CG155" s="646">
        <f t="shared" si="272"/>
        <v>0</v>
      </c>
      <c r="CH155" s="646">
        <f t="shared" si="273"/>
        <v>0</v>
      </c>
      <c r="CI155" s="646">
        <f t="shared" si="274"/>
        <v>0</v>
      </c>
      <c r="CJ155" s="646">
        <f t="shared" si="275"/>
        <v>0</v>
      </c>
      <c r="CK155" s="574"/>
      <c r="CL155" s="574"/>
      <c r="CM155" s="574"/>
      <c r="CN155" s="574"/>
      <c r="CO155" s="574"/>
      <c r="CP155" s="574"/>
      <c r="CQ155" s="574"/>
      <c r="CR155" s="574"/>
      <c r="CS155" s="574"/>
      <c r="CT155" s="574"/>
      <c r="CU155" s="574"/>
      <c r="CV155" s="574"/>
      <c r="CW155" s="646">
        <f t="shared" si="276"/>
        <v>0</v>
      </c>
      <c r="CX155" s="646">
        <f t="shared" si="277"/>
        <v>0</v>
      </c>
      <c r="CY155" s="646">
        <f t="shared" si="278"/>
        <v>0</v>
      </c>
      <c r="CZ155" s="646">
        <f t="shared" si="279"/>
        <v>0</v>
      </c>
      <c r="DA155" s="646">
        <f t="shared" si="280"/>
        <v>0</v>
      </c>
      <c r="DB155" s="574"/>
      <c r="DC155" s="574"/>
      <c r="DD155" s="574"/>
      <c r="DE155" s="574"/>
      <c r="DF155" s="574"/>
      <c r="DG155" s="574"/>
      <c r="DH155" s="574"/>
      <c r="DI155" s="574"/>
      <c r="DJ155" s="574"/>
      <c r="DK155" s="574"/>
      <c r="DL155" s="574"/>
      <c r="DM155" s="574"/>
      <c r="DN155" s="646">
        <f t="shared" si="281"/>
        <v>0</v>
      </c>
      <c r="DO155" s="646">
        <f t="shared" si="282"/>
        <v>0</v>
      </c>
      <c r="DP155" s="646">
        <f t="shared" si="283"/>
        <v>0</v>
      </c>
      <c r="DQ155" s="646">
        <f t="shared" si="284"/>
        <v>0</v>
      </c>
      <c r="DR155" s="646">
        <f t="shared" si="285"/>
        <v>0</v>
      </c>
      <c r="DS155" s="574"/>
      <c r="DT155" s="574"/>
      <c r="DU155" s="574"/>
      <c r="DV155" s="574"/>
      <c r="DW155" s="574"/>
      <c r="DX155" s="574"/>
      <c r="DY155" s="574"/>
      <c r="DZ155" s="574"/>
      <c r="EA155" s="574"/>
      <c r="EB155" s="574"/>
      <c r="EC155" s="574"/>
      <c r="ED155" s="574"/>
      <c r="EE155" s="646">
        <f t="shared" si="286"/>
        <v>0</v>
      </c>
      <c r="EF155" s="646">
        <f t="shared" si="287"/>
        <v>0</v>
      </c>
      <c r="EG155" s="646">
        <f t="shared" si="288"/>
        <v>0</v>
      </c>
      <c r="EH155" s="646">
        <f t="shared" si="289"/>
        <v>0</v>
      </c>
      <c r="EI155" s="646">
        <f t="shared" si="290"/>
        <v>0</v>
      </c>
      <c r="EJ155" s="574"/>
      <c r="EK155" s="574"/>
      <c r="EL155" s="574"/>
      <c r="EM155" s="574"/>
      <c r="EN155" s="574"/>
      <c r="EO155" s="574"/>
      <c r="EP155" s="574"/>
      <c r="EQ155" s="574"/>
      <c r="ER155" s="574"/>
      <c r="ES155" s="574"/>
      <c r="ET155" s="574"/>
      <c r="EU155" s="574"/>
    </row>
    <row r="156" hidden="1">
      <c r="A156" s="655">
        <v>7406.0</v>
      </c>
      <c r="B156" s="493" t="s">
        <v>254</v>
      </c>
      <c r="C156" s="493" t="s">
        <v>252</v>
      </c>
      <c r="D156" s="583"/>
      <c r="E156" s="583"/>
      <c r="F156" s="583"/>
      <c r="G156" s="583"/>
      <c r="H156" s="583"/>
      <c r="I156" s="583"/>
      <c r="J156" s="583"/>
      <c r="K156" s="583"/>
      <c r="L156" s="583"/>
      <c r="M156" s="583"/>
      <c r="N156" s="583"/>
      <c r="O156" s="583"/>
      <c r="P156" s="656">
        <f t="shared" si="251"/>
        <v>0</v>
      </c>
      <c r="Q156" s="656">
        <f t="shared" si="252"/>
        <v>0</v>
      </c>
      <c r="R156" s="656">
        <f t="shared" si="253"/>
        <v>0</v>
      </c>
      <c r="S156" s="656">
        <f t="shared" si="254"/>
        <v>0</v>
      </c>
      <c r="T156" s="656">
        <f t="shared" si="255"/>
        <v>0</v>
      </c>
      <c r="U156" s="584">
        <v>1.1904</v>
      </c>
      <c r="V156" s="584">
        <v>0.794</v>
      </c>
      <c r="W156" s="584">
        <v>0.9732</v>
      </c>
      <c r="X156" s="584">
        <v>1.46099</v>
      </c>
      <c r="Y156" s="584">
        <v>0.91651</v>
      </c>
      <c r="Z156" s="584">
        <v>0.64222</v>
      </c>
      <c r="AA156" s="584">
        <v>0.73146</v>
      </c>
      <c r="AB156" s="584">
        <v>1.19561</v>
      </c>
      <c r="AC156" s="584">
        <v>1.11203</v>
      </c>
      <c r="AD156" s="584">
        <v>1.08559</v>
      </c>
      <c r="AE156" s="584">
        <v>0.76089</v>
      </c>
      <c r="AF156" s="584">
        <v>0.84917</v>
      </c>
      <c r="AG156" s="656">
        <f t="shared" si="256"/>
        <v>2.9576</v>
      </c>
      <c r="AH156" s="656">
        <f t="shared" si="257"/>
        <v>3.01972</v>
      </c>
      <c r="AI156" s="656">
        <f t="shared" si="258"/>
        <v>3.0391</v>
      </c>
      <c r="AJ156" s="656">
        <f t="shared" si="259"/>
        <v>2.69565</v>
      </c>
      <c r="AK156" s="656">
        <f t="shared" si="260"/>
        <v>11.71207</v>
      </c>
      <c r="AL156" s="584">
        <v>1.20042</v>
      </c>
      <c r="AM156" s="584">
        <v>0.50269</v>
      </c>
      <c r="AN156" s="584">
        <v>0.45518</v>
      </c>
      <c r="AO156" s="584">
        <v>0.81047</v>
      </c>
      <c r="AP156" s="584">
        <v>0.76299</v>
      </c>
      <c r="AQ156" s="584">
        <v>0.13405</v>
      </c>
      <c r="AR156" s="584">
        <v>0.23164</v>
      </c>
      <c r="AS156" s="584">
        <v>0.21381</v>
      </c>
      <c r="AT156" s="584">
        <v>0.11364</v>
      </c>
      <c r="AU156" s="584">
        <v>0.3154</v>
      </c>
      <c r="AV156" s="584">
        <v>0.14318</v>
      </c>
      <c r="AW156" s="584">
        <v>0.0975</v>
      </c>
      <c r="AX156" s="656">
        <f t="shared" si="261"/>
        <v>2.15829</v>
      </c>
      <c r="AY156" s="656">
        <f t="shared" si="262"/>
        <v>1.70751</v>
      </c>
      <c r="AZ156" s="656">
        <f t="shared" si="263"/>
        <v>0.55909</v>
      </c>
      <c r="BA156" s="656">
        <f t="shared" si="264"/>
        <v>0.55608</v>
      </c>
      <c r="BB156" s="656">
        <f t="shared" si="265"/>
        <v>4.98097</v>
      </c>
      <c r="BC156" s="583"/>
      <c r="BD156" s="583"/>
      <c r="BE156" s="583"/>
      <c r="BF156" s="583"/>
      <c r="BG156" s="583"/>
      <c r="BH156" s="583"/>
      <c r="BI156" s="583"/>
      <c r="BJ156" s="583"/>
      <c r="BK156" s="583"/>
      <c r="BL156" s="583"/>
      <c r="BM156" s="583"/>
      <c r="BN156" s="583"/>
      <c r="BO156" s="656">
        <f t="shared" si="266"/>
        <v>0</v>
      </c>
      <c r="BP156" s="656">
        <f t="shared" si="267"/>
        <v>0</v>
      </c>
      <c r="BQ156" s="656">
        <f t="shared" si="268"/>
        <v>0</v>
      </c>
      <c r="BR156" s="656">
        <f t="shared" si="269"/>
        <v>0</v>
      </c>
      <c r="BS156" s="656">
        <f t="shared" si="270"/>
        <v>0</v>
      </c>
      <c r="BT156" s="584">
        <v>2488.0</v>
      </c>
      <c r="BU156" s="584">
        <v>2248.0</v>
      </c>
      <c r="BV156" s="584">
        <v>3032.0</v>
      </c>
      <c r="BW156" s="584">
        <v>2170.0</v>
      </c>
      <c r="BX156" s="584">
        <v>1659.0</v>
      </c>
      <c r="BY156" s="584">
        <v>1229.0</v>
      </c>
      <c r="BZ156" s="584">
        <v>907.0</v>
      </c>
      <c r="CA156" s="583"/>
      <c r="CB156" s="584">
        <v>1257.0</v>
      </c>
      <c r="CC156" s="583"/>
      <c r="CD156" s="583"/>
      <c r="CE156" s="583"/>
      <c r="CF156" s="657">
        <f t="shared" si="271"/>
        <v>7768</v>
      </c>
      <c r="CG156" s="657">
        <f t="shared" si="272"/>
        <v>5058</v>
      </c>
      <c r="CH156" s="657">
        <f t="shared" si="273"/>
        <v>2164</v>
      </c>
      <c r="CI156" s="657">
        <f t="shared" si="274"/>
        <v>0</v>
      </c>
      <c r="CJ156" s="657">
        <f t="shared" si="275"/>
        <v>14990</v>
      </c>
      <c r="CK156" s="583"/>
      <c r="CL156" s="583"/>
      <c r="CM156" s="583"/>
      <c r="CN156" s="583"/>
      <c r="CO156" s="583"/>
      <c r="CP156" s="583"/>
      <c r="CQ156" s="583"/>
      <c r="CR156" s="583"/>
      <c r="CS156" s="583"/>
      <c r="CT156" s="583"/>
      <c r="CU156" s="583"/>
      <c r="CV156" s="583"/>
      <c r="CW156" s="657">
        <f t="shared" si="276"/>
        <v>0</v>
      </c>
      <c r="CX156" s="657">
        <f t="shared" si="277"/>
        <v>0</v>
      </c>
      <c r="CY156" s="657">
        <f t="shared" si="278"/>
        <v>0</v>
      </c>
      <c r="CZ156" s="657">
        <f t="shared" si="279"/>
        <v>0</v>
      </c>
      <c r="DA156" s="657">
        <f t="shared" si="280"/>
        <v>0</v>
      </c>
      <c r="DB156" s="583"/>
      <c r="DC156" s="583"/>
      <c r="DD156" s="583"/>
      <c r="DE156" s="583"/>
      <c r="DF156" s="583"/>
      <c r="DG156" s="583"/>
      <c r="DH156" s="583"/>
      <c r="DI156" s="583"/>
      <c r="DJ156" s="583"/>
      <c r="DK156" s="583"/>
      <c r="DL156" s="583"/>
      <c r="DM156" s="583"/>
      <c r="DN156" s="657">
        <f t="shared" si="281"/>
        <v>0</v>
      </c>
      <c r="DO156" s="657">
        <f t="shared" si="282"/>
        <v>0</v>
      </c>
      <c r="DP156" s="657">
        <f t="shared" si="283"/>
        <v>0</v>
      </c>
      <c r="DQ156" s="657">
        <f t="shared" si="284"/>
        <v>0</v>
      </c>
      <c r="DR156" s="657">
        <f t="shared" si="285"/>
        <v>0</v>
      </c>
      <c r="DS156" s="583"/>
      <c r="DT156" s="583"/>
      <c r="DU156" s="583"/>
      <c r="DV156" s="583"/>
      <c r="DW156" s="583"/>
      <c r="DX156" s="583"/>
      <c r="DY156" s="583"/>
      <c r="DZ156" s="583"/>
      <c r="EA156" s="583"/>
      <c r="EB156" s="583"/>
      <c r="EC156" s="583"/>
      <c r="ED156" s="583"/>
      <c r="EE156" s="657">
        <f t="shared" si="286"/>
        <v>0</v>
      </c>
      <c r="EF156" s="657">
        <f t="shared" si="287"/>
        <v>0</v>
      </c>
      <c r="EG156" s="657">
        <f t="shared" si="288"/>
        <v>0</v>
      </c>
      <c r="EH156" s="657">
        <f t="shared" si="289"/>
        <v>0</v>
      </c>
      <c r="EI156" s="657">
        <f t="shared" si="290"/>
        <v>0</v>
      </c>
      <c r="EJ156" s="583"/>
      <c r="EK156" s="583"/>
      <c r="EL156" s="583"/>
      <c r="EM156" s="583"/>
      <c r="EN156" s="583"/>
      <c r="EO156" s="583"/>
      <c r="EP156" s="583"/>
      <c r="EQ156" s="583"/>
      <c r="ER156" s="583"/>
      <c r="ES156" s="583"/>
      <c r="ET156" s="583"/>
      <c r="EU156" s="583"/>
    </row>
    <row r="157" hidden="1">
      <c r="A157" s="655">
        <v>7406.0</v>
      </c>
      <c r="B157" s="493" t="s">
        <v>255</v>
      </c>
      <c r="C157" s="493" t="s">
        <v>252</v>
      </c>
      <c r="D157" s="583"/>
      <c r="E157" s="583"/>
      <c r="F157" s="583"/>
      <c r="G157" s="583"/>
      <c r="H157" s="583"/>
      <c r="I157" s="583"/>
      <c r="J157" s="583"/>
      <c r="K157" s="583"/>
      <c r="L157" s="583"/>
      <c r="M157" s="583"/>
      <c r="N157" s="583"/>
      <c r="O157" s="583"/>
      <c r="P157" s="656">
        <f t="shared" si="251"/>
        <v>0</v>
      </c>
      <c r="Q157" s="656">
        <f t="shared" si="252"/>
        <v>0</v>
      </c>
      <c r="R157" s="656">
        <f t="shared" si="253"/>
        <v>0</v>
      </c>
      <c r="S157" s="656">
        <f t="shared" si="254"/>
        <v>0</v>
      </c>
      <c r="T157" s="656">
        <f t="shared" si="255"/>
        <v>0</v>
      </c>
      <c r="U157" s="584">
        <v>0.7338</v>
      </c>
      <c r="V157" s="584">
        <v>0.2147</v>
      </c>
      <c r="W157" s="584">
        <v>0.75337</v>
      </c>
      <c r="X157" s="584">
        <v>1.26527</v>
      </c>
      <c r="Y157" s="584">
        <v>1.28642</v>
      </c>
      <c r="Z157" s="584">
        <v>1.08644</v>
      </c>
      <c r="AA157" s="584">
        <v>1.6348</v>
      </c>
      <c r="AB157" s="584">
        <v>1.2667</v>
      </c>
      <c r="AC157" s="584">
        <v>1.02358</v>
      </c>
      <c r="AD157" s="584">
        <v>1.40802</v>
      </c>
      <c r="AE157" s="584">
        <v>1.56806</v>
      </c>
      <c r="AF157" s="584">
        <v>1.05891</v>
      </c>
      <c r="AG157" s="656">
        <f t="shared" si="256"/>
        <v>1.70187</v>
      </c>
      <c r="AH157" s="656">
        <f t="shared" si="257"/>
        <v>3.63813</v>
      </c>
      <c r="AI157" s="656">
        <f t="shared" si="258"/>
        <v>3.92508</v>
      </c>
      <c r="AJ157" s="656">
        <f t="shared" si="259"/>
        <v>4.03499</v>
      </c>
      <c r="AK157" s="656">
        <f t="shared" si="260"/>
        <v>13.30007</v>
      </c>
      <c r="AL157" s="584">
        <v>0.82883</v>
      </c>
      <c r="AM157" s="584">
        <v>0.89381</v>
      </c>
      <c r="AN157" s="584">
        <v>1.09991</v>
      </c>
      <c r="AO157" s="584">
        <v>1.02217</v>
      </c>
      <c r="AP157" s="584">
        <v>0.95502</v>
      </c>
      <c r="AQ157" s="584">
        <v>0.39936</v>
      </c>
      <c r="AR157" s="584">
        <v>0.67995</v>
      </c>
      <c r="AS157" s="584">
        <v>0.58156</v>
      </c>
      <c r="AT157" s="584">
        <v>0.69566</v>
      </c>
      <c r="AU157" s="584">
        <v>0.72765</v>
      </c>
      <c r="AV157" s="584">
        <v>0.43602</v>
      </c>
      <c r="AW157" s="584">
        <v>0.65379</v>
      </c>
      <c r="AX157" s="656">
        <f t="shared" si="261"/>
        <v>2.82255</v>
      </c>
      <c r="AY157" s="656">
        <f t="shared" si="262"/>
        <v>2.37655</v>
      </c>
      <c r="AZ157" s="656">
        <f t="shared" si="263"/>
        <v>1.95717</v>
      </c>
      <c r="BA157" s="656">
        <f t="shared" si="264"/>
        <v>1.81746</v>
      </c>
      <c r="BB157" s="656">
        <f t="shared" si="265"/>
        <v>8.97373</v>
      </c>
      <c r="BC157" s="583"/>
      <c r="BD157" s="583"/>
      <c r="BE157" s="583"/>
      <c r="BF157" s="583"/>
      <c r="BG157" s="583"/>
      <c r="BH157" s="583"/>
      <c r="BI157" s="583"/>
      <c r="BJ157" s="583"/>
      <c r="BK157" s="583"/>
      <c r="BL157" s="583"/>
      <c r="BM157" s="583"/>
      <c r="BN157" s="583"/>
      <c r="BO157" s="656">
        <f t="shared" si="266"/>
        <v>0</v>
      </c>
      <c r="BP157" s="656">
        <f t="shared" si="267"/>
        <v>0</v>
      </c>
      <c r="BQ157" s="656">
        <f t="shared" si="268"/>
        <v>0</v>
      </c>
      <c r="BR157" s="656">
        <f t="shared" si="269"/>
        <v>0</v>
      </c>
      <c r="BS157" s="656">
        <f t="shared" si="270"/>
        <v>0</v>
      </c>
      <c r="BT157" s="583"/>
      <c r="BU157" s="583"/>
      <c r="BV157" s="583"/>
      <c r="BW157" s="583"/>
      <c r="BX157" s="583"/>
      <c r="BY157" s="583"/>
      <c r="BZ157" s="583"/>
      <c r="CA157" s="583"/>
      <c r="CB157" s="583"/>
      <c r="CC157" s="583"/>
      <c r="CD157" s="583"/>
      <c r="CE157" s="583"/>
      <c r="CF157" s="657">
        <f t="shared" si="271"/>
        <v>0</v>
      </c>
      <c r="CG157" s="657">
        <f t="shared" si="272"/>
        <v>0</v>
      </c>
      <c r="CH157" s="657">
        <f t="shared" si="273"/>
        <v>0</v>
      </c>
      <c r="CI157" s="657">
        <f t="shared" si="274"/>
        <v>0</v>
      </c>
      <c r="CJ157" s="657">
        <f t="shared" si="275"/>
        <v>0</v>
      </c>
      <c r="CK157" s="583"/>
      <c r="CL157" s="583"/>
      <c r="CM157" s="583"/>
      <c r="CN157" s="583"/>
      <c r="CO157" s="583"/>
      <c r="CP157" s="583"/>
      <c r="CQ157" s="583"/>
      <c r="CR157" s="583"/>
      <c r="CS157" s="583"/>
      <c r="CT157" s="583"/>
      <c r="CU157" s="583"/>
      <c r="CV157" s="583"/>
      <c r="CW157" s="657">
        <f t="shared" si="276"/>
        <v>0</v>
      </c>
      <c r="CX157" s="657">
        <f t="shared" si="277"/>
        <v>0</v>
      </c>
      <c r="CY157" s="657">
        <f t="shared" si="278"/>
        <v>0</v>
      </c>
      <c r="CZ157" s="657">
        <f t="shared" si="279"/>
        <v>0</v>
      </c>
      <c r="DA157" s="657">
        <f t="shared" si="280"/>
        <v>0</v>
      </c>
      <c r="DB157" s="583"/>
      <c r="DC157" s="583"/>
      <c r="DD157" s="583"/>
      <c r="DE157" s="583"/>
      <c r="DF157" s="583"/>
      <c r="DG157" s="583"/>
      <c r="DH157" s="583"/>
      <c r="DI157" s="583"/>
      <c r="DJ157" s="583"/>
      <c r="DK157" s="583"/>
      <c r="DL157" s="583"/>
      <c r="DM157" s="583"/>
      <c r="DN157" s="657">
        <f t="shared" si="281"/>
        <v>0</v>
      </c>
      <c r="DO157" s="657">
        <f t="shared" si="282"/>
        <v>0</v>
      </c>
      <c r="DP157" s="657">
        <f t="shared" si="283"/>
        <v>0</v>
      </c>
      <c r="DQ157" s="657">
        <f t="shared" si="284"/>
        <v>0</v>
      </c>
      <c r="DR157" s="657">
        <f t="shared" si="285"/>
        <v>0</v>
      </c>
      <c r="DS157" s="583"/>
      <c r="DT157" s="583"/>
      <c r="DU157" s="583"/>
      <c r="DV157" s="583"/>
      <c r="DW157" s="583"/>
      <c r="DX157" s="583"/>
      <c r="DY157" s="583"/>
      <c r="DZ157" s="583"/>
      <c r="EA157" s="583"/>
      <c r="EB157" s="583"/>
      <c r="EC157" s="583"/>
      <c r="ED157" s="583"/>
      <c r="EE157" s="657">
        <f t="shared" si="286"/>
        <v>0</v>
      </c>
      <c r="EF157" s="657">
        <f t="shared" si="287"/>
        <v>0</v>
      </c>
      <c r="EG157" s="657">
        <f t="shared" si="288"/>
        <v>0</v>
      </c>
      <c r="EH157" s="657">
        <f t="shared" si="289"/>
        <v>0</v>
      </c>
      <c r="EI157" s="657">
        <f t="shared" si="290"/>
        <v>0</v>
      </c>
      <c r="EJ157" s="583"/>
      <c r="EK157" s="583"/>
      <c r="EL157" s="583"/>
      <c r="EM157" s="583"/>
      <c r="EN157" s="583"/>
      <c r="EO157" s="583"/>
      <c r="EP157" s="583"/>
      <c r="EQ157" s="583"/>
      <c r="ER157" s="583"/>
      <c r="ES157" s="583"/>
      <c r="ET157" s="583"/>
      <c r="EU157" s="583"/>
    </row>
    <row r="158" hidden="1">
      <c r="A158" s="577">
        <v>7406.0</v>
      </c>
      <c r="B158" s="12" t="s">
        <v>256</v>
      </c>
      <c r="C158" s="12" t="s">
        <v>209</v>
      </c>
      <c r="D158" s="574"/>
      <c r="E158" s="574"/>
      <c r="F158" s="574"/>
      <c r="G158" s="574"/>
      <c r="H158" s="574"/>
      <c r="I158" s="574"/>
      <c r="J158" s="574"/>
      <c r="K158" s="574"/>
      <c r="L158" s="574"/>
      <c r="M158" s="574"/>
      <c r="N158" s="574"/>
      <c r="O158" s="574"/>
      <c r="P158" s="645">
        <f t="shared" si="251"/>
        <v>0</v>
      </c>
      <c r="Q158" s="645">
        <f t="shared" si="252"/>
        <v>0</v>
      </c>
      <c r="R158" s="645">
        <f t="shared" si="253"/>
        <v>0</v>
      </c>
      <c r="S158" s="645">
        <f t="shared" si="254"/>
        <v>0</v>
      </c>
      <c r="T158" s="645">
        <f t="shared" si="255"/>
        <v>0</v>
      </c>
      <c r="U158" s="574"/>
      <c r="V158" s="574"/>
      <c r="W158" s="574"/>
      <c r="X158" s="574"/>
      <c r="Y158" s="574"/>
      <c r="Z158" s="574"/>
      <c r="AA158" s="574"/>
      <c r="AB158" s="574"/>
      <c r="AC158" s="574"/>
      <c r="AD158" s="574"/>
      <c r="AE158" s="574"/>
      <c r="AF158" s="574"/>
      <c r="AG158" s="645">
        <f t="shared" si="256"/>
        <v>0</v>
      </c>
      <c r="AH158" s="645">
        <f t="shared" si="257"/>
        <v>0</v>
      </c>
      <c r="AI158" s="645">
        <f t="shared" si="258"/>
        <v>0</v>
      </c>
      <c r="AJ158" s="645">
        <f t="shared" si="259"/>
        <v>0</v>
      </c>
      <c r="AK158" s="645">
        <f t="shared" si="260"/>
        <v>0</v>
      </c>
      <c r="AL158" s="574"/>
      <c r="AM158" s="574"/>
      <c r="AN158" s="574"/>
      <c r="AO158" s="574"/>
      <c r="AP158" s="574"/>
      <c r="AQ158" s="574"/>
      <c r="AR158" s="574"/>
      <c r="AS158" s="574"/>
      <c r="AT158" s="574"/>
      <c r="AU158" s="574"/>
      <c r="AV158" s="574"/>
      <c r="AW158" s="574"/>
      <c r="AX158" s="645">
        <f t="shared" si="261"/>
        <v>0</v>
      </c>
      <c r="AY158" s="645">
        <f t="shared" si="262"/>
        <v>0</v>
      </c>
      <c r="AZ158" s="645">
        <f t="shared" si="263"/>
        <v>0</v>
      </c>
      <c r="BA158" s="645">
        <f t="shared" si="264"/>
        <v>0</v>
      </c>
      <c r="BB158" s="645">
        <f t="shared" si="265"/>
        <v>0</v>
      </c>
      <c r="BC158" s="569">
        <v>0.0</v>
      </c>
      <c r="BD158" s="574" t="s">
        <v>257</v>
      </c>
      <c r="BE158" s="569">
        <v>0.0</v>
      </c>
      <c r="BF158" s="569">
        <v>0.0</v>
      </c>
      <c r="BG158" s="569">
        <v>0.0</v>
      </c>
      <c r="BH158" s="574" t="s">
        <v>257</v>
      </c>
      <c r="BI158" s="569">
        <v>0.0</v>
      </c>
      <c r="BJ158" s="569">
        <v>0.0</v>
      </c>
      <c r="BK158" s="569">
        <v>0.0</v>
      </c>
      <c r="BL158" s="569">
        <v>0.0</v>
      </c>
      <c r="BM158" s="569">
        <v>32430.0</v>
      </c>
      <c r="BN158" s="569">
        <v>95310.0</v>
      </c>
      <c r="BO158" s="645">
        <f t="shared" si="266"/>
        <v>0</v>
      </c>
      <c r="BP158" s="645">
        <f t="shared" si="267"/>
        <v>0</v>
      </c>
      <c r="BQ158" s="645">
        <f t="shared" si="268"/>
        <v>0</v>
      </c>
      <c r="BR158" s="645">
        <f t="shared" si="269"/>
        <v>127740</v>
      </c>
      <c r="BS158" s="645">
        <f t="shared" si="270"/>
        <v>127740</v>
      </c>
      <c r="BT158" s="569">
        <v>0.0</v>
      </c>
      <c r="BU158" s="569">
        <v>106200.0</v>
      </c>
      <c r="BV158" s="569">
        <v>69300.0</v>
      </c>
      <c r="BW158" s="569">
        <v>88319.0</v>
      </c>
      <c r="BX158" s="569">
        <v>33068.0</v>
      </c>
      <c r="BY158" s="569">
        <v>63196.0</v>
      </c>
      <c r="BZ158" s="569">
        <v>71120.0</v>
      </c>
      <c r="CA158" s="569">
        <v>61222.0</v>
      </c>
      <c r="CB158" s="569">
        <v>53382.0</v>
      </c>
      <c r="CC158" s="569">
        <v>63028.0</v>
      </c>
      <c r="CD158" s="574"/>
      <c r="CE158" s="574"/>
      <c r="CF158" s="646">
        <f t="shared" si="271"/>
        <v>175500</v>
      </c>
      <c r="CG158" s="646">
        <f t="shared" si="272"/>
        <v>184583</v>
      </c>
      <c r="CH158" s="646">
        <f t="shared" si="273"/>
        <v>185724</v>
      </c>
      <c r="CI158" s="646">
        <f t="shared" si="274"/>
        <v>63028</v>
      </c>
      <c r="CJ158" s="646">
        <f t="shared" si="275"/>
        <v>608835</v>
      </c>
      <c r="CK158" s="574"/>
      <c r="CL158" s="574"/>
      <c r="CM158" s="574"/>
      <c r="CN158" s="574"/>
      <c r="CO158" s="574"/>
      <c r="CP158" s="574"/>
      <c r="CQ158" s="574"/>
      <c r="CR158" s="574"/>
      <c r="CS158" s="574"/>
      <c r="CT158" s="574"/>
      <c r="CU158" s="574"/>
      <c r="CV158" s="574"/>
      <c r="CW158" s="646">
        <f t="shared" si="276"/>
        <v>0</v>
      </c>
      <c r="CX158" s="646">
        <f t="shared" si="277"/>
        <v>0</v>
      </c>
      <c r="CY158" s="646">
        <f t="shared" si="278"/>
        <v>0</v>
      </c>
      <c r="CZ158" s="646">
        <f t="shared" si="279"/>
        <v>0</v>
      </c>
      <c r="DA158" s="646">
        <f t="shared" si="280"/>
        <v>0</v>
      </c>
      <c r="DB158" s="574"/>
      <c r="DC158" s="574"/>
      <c r="DD158" s="574"/>
      <c r="DE158" s="574"/>
      <c r="DF158" s="574"/>
      <c r="DG158" s="574"/>
      <c r="DH158" s="574"/>
      <c r="DI158" s="574"/>
      <c r="DJ158" s="574"/>
      <c r="DK158" s="574"/>
      <c r="DL158" s="574"/>
      <c r="DM158" s="574"/>
      <c r="DN158" s="646">
        <f t="shared" si="281"/>
        <v>0</v>
      </c>
      <c r="DO158" s="646">
        <f t="shared" si="282"/>
        <v>0</v>
      </c>
      <c r="DP158" s="646">
        <f t="shared" si="283"/>
        <v>0</v>
      </c>
      <c r="DQ158" s="646">
        <f t="shared" si="284"/>
        <v>0</v>
      </c>
      <c r="DR158" s="646">
        <f t="shared" si="285"/>
        <v>0</v>
      </c>
      <c r="DS158" s="574"/>
      <c r="DT158" s="574"/>
      <c r="DU158" s="574"/>
      <c r="DV158" s="574"/>
      <c r="DW158" s="574"/>
      <c r="DX158" s="574"/>
      <c r="DY158" s="574"/>
      <c r="DZ158" s="574"/>
      <c r="EA158" s="574"/>
      <c r="EB158" s="574"/>
      <c r="EC158" s="574"/>
      <c r="ED158" s="574"/>
      <c r="EE158" s="646">
        <f t="shared" si="286"/>
        <v>0</v>
      </c>
      <c r="EF158" s="646">
        <f t="shared" si="287"/>
        <v>0</v>
      </c>
      <c r="EG158" s="646">
        <f t="shared" si="288"/>
        <v>0</v>
      </c>
      <c r="EH158" s="646">
        <f t="shared" si="289"/>
        <v>0</v>
      </c>
      <c r="EI158" s="646">
        <f t="shared" si="290"/>
        <v>0</v>
      </c>
      <c r="EJ158" s="574"/>
      <c r="EK158" s="574"/>
      <c r="EL158" s="574"/>
      <c r="EM158" s="574"/>
      <c r="EN158" s="574"/>
      <c r="EO158" s="574"/>
      <c r="EP158" s="574"/>
      <c r="EQ158" s="574"/>
      <c r="ER158" s="574"/>
      <c r="ES158" s="574"/>
      <c r="ET158" s="574"/>
      <c r="EU158" s="574"/>
    </row>
    <row r="159" hidden="1">
      <c r="A159" s="577">
        <v>7406.0</v>
      </c>
      <c r="B159" s="12" t="s">
        <v>258</v>
      </c>
      <c r="C159" s="12" t="s">
        <v>209</v>
      </c>
      <c r="D159" s="574"/>
      <c r="E159" s="574"/>
      <c r="F159" s="574"/>
      <c r="G159" s="574"/>
      <c r="H159" s="574"/>
      <c r="I159" s="574"/>
      <c r="J159" s="574"/>
      <c r="K159" s="574"/>
      <c r="L159" s="574"/>
      <c r="M159" s="574"/>
      <c r="N159" s="574"/>
      <c r="O159" s="574"/>
      <c r="P159" s="645">
        <f t="shared" si="251"/>
        <v>0</v>
      </c>
      <c r="Q159" s="645">
        <f t="shared" si="252"/>
        <v>0</v>
      </c>
      <c r="R159" s="645">
        <f t="shared" si="253"/>
        <v>0</v>
      </c>
      <c r="S159" s="645">
        <f t="shared" si="254"/>
        <v>0</v>
      </c>
      <c r="T159" s="645">
        <f t="shared" si="255"/>
        <v>0</v>
      </c>
      <c r="U159" s="574"/>
      <c r="V159" s="574"/>
      <c r="W159" s="574"/>
      <c r="X159" s="574"/>
      <c r="Y159" s="574"/>
      <c r="Z159" s="574"/>
      <c r="AA159" s="574"/>
      <c r="AB159" s="574"/>
      <c r="AC159" s="574"/>
      <c r="AD159" s="574"/>
      <c r="AE159" s="574"/>
      <c r="AF159" s="574"/>
      <c r="AG159" s="645">
        <f t="shared" si="256"/>
        <v>0</v>
      </c>
      <c r="AH159" s="645">
        <f t="shared" si="257"/>
        <v>0</v>
      </c>
      <c r="AI159" s="645">
        <f t="shared" si="258"/>
        <v>0</v>
      </c>
      <c r="AJ159" s="645">
        <f t="shared" si="259"/>
        <v>0</v>
      </c>
      <c r="AK159" s="645">
        <f t="shared" si="260"/>
        <v>0</v>
      </c>
      <c r="AL159" s="574"/>
      <c r="AM159" s="574"/>
      <c r="AN159" s="574"/>
      <c r="AO159" s="574"/>
      <c r="AP159" s="574"/>
      <c r="AQ159" s="574"/>
      <c r="AR159" s="574"/>
      <c r="AS159" s="574"/>
      <c r="AT159" s="574"/>
      <c r="AU159" s="574"/>
      <c r="AV159" s="574"/>
      <c r="AW159" s="574"/>
      <c r="AX159" s="645">
        <f t="shared" si="261"/>
        <v>0</v>
      </c>
      <c r="AY159" s="645">
        <f t="shared" si="262"/>
        <v>0</v>
      </c>
      <c r="AZ159" s="645">
        <f t="shared" si="263"/>
        <v>0</v>
      </c>
      <c r="BA159" s="645">
        <f t="shared" si="264"/>
        <v>0</v>
      </c>
      <c r="BB159" s="645">
        <f t="shared" si="265"/>
        <v>0</v>
      </c>
      <c r="BC159" s="574"/>
      <c r="BD159" s="574"/>
      <c r="BE159" s="574"/>
      <c r="BF159" s="574"/>
      <c r="BG159" s="574"/>
      <c r="BH159" s="574"/>
      <c r="BI159" s="574"/>
      <c r="BJ159" s="574"/>
      <c r="BK159" s="574"/>
      <c r="BL159" s="574"/>
      <c r="BM159" s="574"/>
      <c r="BN159" s="574"/>
      <c r="BO159" s="645">
        <f t="shared" si="266"/>
        <v>0</v>
      </c>
      <c r="BP159" s="645">
        <f t="shared" si="267"/>
        <v>0</v>
      </c>
      <c r="BQ159" s="645">
        <f t="shared" si="268"/>
        <v>0</v>
      </c>
      <c r="BR159" s="645">
        <f t="shared" si="269"/>
        <v>0</v>
      </c>
      <c r="BS159" s="645">
        <f t="shared" si="270"/>
        <v>0</v>
      </c>
      <c r="BT159" s="569">
        <v>0.0</v>
      </c>
      <c r="BU159" s="569">
        <v>7894.7</v>
      </c>
      <c r="BV159" s="569">
        <v>0.0</v>
      </c>
      <c r="BW159" s="569">
        <v>43789.0</v>
      </c>
      <c r="BX159" s="569">
        <v>28210.5</v>
      </c>
      <c r="BY159" s="569">
        <v>48947.4</v>
      </c>
      <c r="BZ159" s="574"/>
      <c r="CA159" s="574"/>
      <c r="CB159" s="574"/>
      <c r="CC159" s="574"/>
      <c r="CD159" s="574"/>
      <c r="CE159" s="574"/>
      <c r="CF159" s="646">
        <f t="shared" si="271"/>
        <v>7894.7</v>
      </c>
      <c r="CG159" s="646">
        <f t="shared" si="272"/>
        <v>120946.9</v>
      </c>
      <c r="CH159" s="646">
        <f t="shared" si="273"/>
        <v>0</v>
      </c>
      <c r="CI159" s="646">
        <f t="shared" si="274"/>
        <v>0</v>
      </c>
      <c r="CJ159" s="646">
        <f t="shared" si="275"/>
        <v>128841.6</v>
      </c>
      <c r="CK159" s="574"/>
      <c r="CL159" s="574"/>
      <c r="CM159" s="574"/>
      <c r="CN159" s="574"/>
      <c r="CO159" s="574"/>
      <c r="CP159" s="574"/>
      <c r="CQ159" s="574"/>
      <c r="CR159" s="574"/>
      <c r="CS159" s="574"/>
      <c r="CT159" s="574"/>
      <c r="CU159" s="574"/>
      <c r="CV159" s="574"/>
      <c r="CW159" s="646">
        <f t="shared" si="276"/>
        <v>0</v>
      </c>
      <c r="CX159" s="646">
        <f t="shared" si="277"/>
        <v>0</v>
      </c>
      <c r="CY159" s="646">
        <f t="shared" si="278"/>
        <v>0</v>
      </c>
      <c r="CZ159" s="646">
        <f t="shared" si="279"/>
        <v>0</v>
      </c>
      <c r="DA159" s="646">
        <f t="shared" si="280"/>
        <v>0</v>
      </c>
      <c r="DB159" s="574"/>
      <c r="DC159" s="574"/>
      <c r="DD159" s="574"/>
      <c r="DE159" s="574"/>
      <c r="DF159" s="574"/>
      <c r="DG159" s="574"/>
      <c r="DH159" s="574"/>
      <c r="DI159" s="574"/>
      <c r="DJ159" s="574"/>
      <c r="DK159" s="574"/>
      <c r="DL159" s="574"/>
      <c r="DM159" s="574"/>
      <c r="DN159" s="646">
        <f t="shared" si="281"/>
        <v>0</v>
      </c>
      <c r="DO159" s="646">
        <f t="shared" si="282"/>
        <v>0</v>
      </c>
      <c r="DP159" s="646">
        <f t="shared" si="283"/>
        <v>0</v>
      </c>
      <c r="DQ159" s="646">
        <f t="shared" si="284"/>
        <v>0</v>
      </c>
      <c r="DR159" s="646">
        <f t="shared" si="285"/>
        <v>0</v>
      </c>
      <c r="DS159" s="574"/>
      <c r="DT159" s="574"/>
      <c r="DU159" s="574"/>
      <c r="DV159" s="574"/>
      <c r="DW159" s="574"/>
      <c r="DX159" s="574"/>
      <c r="DY159" s="574"/>
      <c r="DZ159" s="574"/>
      <c r="EA159" s="574"/>
      <c r="EB159" s="574"/>
      <c r="EC159" s="574"/>
      <c r="ED159" s="574"/>
      <c r="EE159" s="646">
        <f t="shared" si="286"/>
        <v>0</v>
      </c>
      <c r="EF159" s="646">
        <f t="shared" si="287"/>
        <v>0</v>
      </c>
      <c r="EG159" s="646">
        <f t="shared" si="288"/>
        <v>0</v>
      </c>
      <c r="EH159" s="646">
        <f t="shared" si="289"/>
        <v>0</v>
      </c>
      <c r="EI159" s="646">
        <f t="shared" si="290"/>
        <v>0</v>
      </c>
      <c r="EJ159" s="574"/>
      <c r="EK159" s="574"/>
      <c r="EL159" s="574"/>
      <c r="EM159" s="574"/>
      <c r="EN159" s="574"/>
      <c r="EO159" s="574"/>
      <c r="EP159" s="574"/>
      <c r="EQ159" s="574"/>
      <c r="ER159" s="574"/>
      <c r="ES159" s="574"/>
      <c r="ET159" s="574"/>
      <c r="EU159" s="574"/>
    </row>
    <row r="160" hidden="1">
      <c r="A160" s="577">
        <v>7406.0</v>
      </c>
      <c r="B160" s="12" t="s">
        <v>259</v>
      </c>
      <c r="C160" s="12" t="s">
        <v>209</v>
      </c>
      <c r="D160" s="574"/>
      <c r="E160" s="574"/>
      <c r="F160" s="574"/>
      <c r="G160" s="574"/>
      <c r="H160" s="574"/>
      <c r="I160" s="574"/>
      <c r="J160" s="574"/>
      <c r="K160" s="574"/>
      <c r="L160" s="574"/>
      <c r="M160" s="574"/>
      <c r="N160" s="574"/>
      <c r="O160" s="574"/>
      <c r="P160" s="645">
        <f t="shared" si="251"/>
        <v>0</v>
      </c>
      <c r="Q160" s="645">
        <f t="shared" si="252"/>
        <v>0</v>
      </c>
      <c r="R160" s="645">
        <f t="shared" si="253"/>
        <v>0</v>
      </c>
      <c r="S160" s="645">
        <f t="shared" si="254"/>
        <v>0</v>
      </c>
      <c r="T160" s="645">
        <f t="shared" si="255"/>
        <v>0</v>
      </c>
      <c r="U160" s="569">
        <v>55654.0</v>
      </c>
      <c r="V160" s="569">
        <v>64910.0</v>
      </c>
      <c r="W160" s="569">
        <v>63801.0</v>
      </c>
      <c r="X160" s="569">
        <v>81821.0</v>
      </c>
      <c r="Y160" s="569">
        <v>86020.0</v>
      </c>
      <c r="Z160" s="569">
        <v>74800.0</v>
      </c>
      <c r="AA160" s="569">
        <v>120133.0</v>
      </c>
      <c r="AB160" s="569">
        <v>123794.0</v>
      </c>
      <c r="AC160" s="569">
        <v>107100.0</v>
      </c>
      <c r="AD160" s="569">
        <v>97223.0</v>
      </c>
      <c r="AE160" s="569">
        <v>109344.0</v>
      </c>
      <c r="AF160" s="569">
        <v>98345.0</v>
      </c>
      <c r="AG160" s="645">
        <f t="shared" si="256"/>
        <v>184365</v>
      </c>
      <c r="AH160" s="645">
        <f t="shared" si="257"/>
        <v>242641</v>
      </c>
      <c r="AI160" s="645">
        <f t="shared" si="258"/>
        <v>351027</v>
      </c>
      <c r="AJ160" s="645">
        <f t="shared" si="259"/>
        <v>304912</v>
      </c>
      <c r="AK160" s="645">
        <f t="shared" si="260"/>
        <v>1082945</v>
      </c>
      <c r="AL160" s="569">
        <v>81447.0</v>
      </c>
      <c r="AM160" s="569">
        <v>111435.0</v>
      </c>
      <c r="AN160" s="569">
        <v>103632.0</v>
      </c>
      <c r="AO160" s="569">
        <v>99008.0</v>
      </c>
      <c r="AP160" s="569">
        <v>65144.0</v>
      </c>
      <c r="AQ160" s="569">
        <v>40969.0</v>
      </c>
      <c r="AR160" s="569">
        <v>105226.0</v>
      </c>
      <c r="AS160" s="569">
        <v>122580.0</v>
      </c>
      <c r="AT160" s="569">
        <v>113815.0</v>
      </c>
      <c r="AU160" s="569">
        <v>102720.0</v>
      </c>
      <c r="AV160" s="569">
        <v>99255.0</v>
      </c>
      <c r="AW160" s="569">
        <v>118020.0</v>
      </c>
      <c r="AX160" s="645">
        <f t="shared" si="261"/>
        <v>296514</v>
      </c>
      <c r="AY160" s="645">
        <f t="shared" si="262"/>
        <v>205121</v>
      </c>
      <c r="AZ160" s="645">
        <f t="shared" si="263"/>
        <v>341621</v>
      </c>
      <c r="BA160" s="645">
        <f t="shared" si="264"/>
        <v>319995</v>
      </c>
      <c r="BB160" s="645">
        <f t="shared" si="265"/>
        <v>1163251</v>
      </c>
      <c r="BC160" s="569">
        <v>154717.0</v>
      </c>
      <c r="BD160" s="569">
        <v>144023.0</v>
      </c>
      <c r="BE160" s="569">
        <v>131479.0</v>
      </c>
      <c r="BF160" s="569">
        <v>66240.0</v>
      </c>
      <c r="BG160" s="569">
        <v>63140.0</v>
      </c>
      <c r="BH160" s="569">
        <v>29638.0</v>
      </c>
      <c r="BI160" s="574"/>
      <c r="BJ160" s="574"/>
      <c r="BK160" s="574"/>
      <c r="BL160" s="574"/>
      <c r="BM160" s="574"/>
      <c r="BN160" s="574"/>
      <c r="BO160" s="645">
        <f t="shared" si="266"/>
        <v>430219</v>
      </c>
      <c r="BP160" s="645">
        <f t="shared" si="267"/>
        <v>159018</v>
      </c>
      <c r="BQ160" s="645">
        <f t="shared" si="268"/>
        <v>0</v>
      </c>
      <c r="BR160" s="645">
        <f t="shared" si="269"/>
        <v>0</v>
      </c>
      <c r="BS160" s="645">
        <f t="shared" si="270"/>
        <v>589237</v>
      </c>
      <c r="BT160" s="574"/>
      <c r="BU160" s="574"/>
      <c r="BV160" s="574"/>
      <c r="BW160" s="574"/>
      <c r="BX160" s="574"/>
      <c r="BY160" s="574"/>
      <c r="BZ160" s="574"/>
      <c r="CA160" s="574"/>
      <c r="CB160" s="574"/>
      <c r="CC160" s="574"/>
      <c r="CD160" s="574"/>
      <c r="CE160" s="574"/>
      <c r="CF160" s="646">
        <f t="shared" si="271"/>
        <v>0</v>
      </c>
      <c r="CG160" s="646">
        <f t="shared" si="272"/>
        <v>0</v>
      </c>
      <c r="CH160" s="646">
        <f t="shared" si="273"/>
        <v>0</v>
      </c>
      <c r="CI160" s="646">
        <f t="shared" si="274"/>
        <v>0</v>
      </c>
      <c r="CJ160" s="646">
        <f t="shared" si="275"/>
        <v>0</v>
      </c>
      <c r="CK160" s="574"/>
      <c r="CL160" s="574"/>
      <c r="CM160" s="574"/>
      <c r="CN160" s="574"/>
      <c r="CO160" s="574"/>
      <c r="CP160" s="574"/>
      <c r="CQ160" s="574"/>
      <c r="CR160" s="574"/>
      <c r="CS160" s="574"/>
      <c r="CT160" s="574"/>
      <c r="CU160" s="574"/>
      <c r="CV160" s="574"/>
      <c r="CW160" s="646">
        <f t="shared" si="276"/>
        <v>0</v>
      </c>
      <c r="CX160" s="646">
        <f t="shared" si="277"/>
        <v>0</v>
      </c>
      <c r="CY160" s="646">
        <f t="shared" si="278"/>
        <v>0</v>
      </c>
      <c r="CZ160" s="646">
        <f t="shared" si="279"/>
        <v>0</v>
      </c>
      <c r="DA160" s="646">
        <f t="shared" si="280"/>
        <v>0</v>
      </c>
      <c r="DB160" s="574"/>
      <c r="DC160" s="574"/>
      <c r="DD160" s="574"/>
      <c r="DE160" s="574"/>
      <c r="DF160" s="574"/>
      <c r="DG160" s="574"/>
      <c r="DH160" s="574"/>
      <c r="DI160" s="574"/>
      <c r="DJ160" s="574"/>
      <c r="DK160" s="574"/>
      <c r="DL160" s="574"/>
      <c r="DM160" s="574"/>
      <c r="DN160" s="646">
        <f t="shared" si="281"/>
        <v>0</v>
      </c>
      <c r="DO160" s="646">
        <f t="shared" si="282"/>
        <v>0</v>
      </c>
      <c r="DP160" s="646">
        <f t="shared" si="283"/>
        <v>0</v>
      </c>
      <c r="DQ160" s="646">
        <f t="shared" si="284"/>
        <v>0</v>
      </c>
      <c r="DR160" s="646">
        <f t="shared" si="285"/>
        <v>0</v>
      </c>
      <c r="DS160" s="574"/>
      <c r="DT160" s="574"/>
      <c r="DU160" s="574"/>
      <c r="DV160" s="574"/>
      <c r="DW160" s="574"/>
      <c r="DX160" s="574"/>
      <c r="DY160" s="574"/>
      <c r="DZ160" s="574"/>
      <c r="EA160" s="574"/>
      <c r="EB160" s="574"/>
      <c r="EC160" s="574"/>
      <c r="ED160" s="574"/>
      <c r="EE160" s="646">
        <f t="shared" si="286"/>
        <v>0</v>
      </c>
      <c r="EF160" s="646">
        <f t="shared" si="287"/>
        <v>0</v>
      </c>
      <c r="EG160" s="646">
        <f t="shared" si="288"/>
        <v>0</v>
      </c>
      <c r="EH160" s="646">
        <f t="shared" si="289"/>
        <v>0</v>
      </c>
      <c r="EI160" s="646">
        <f t="shared" si="290"/>
        <v>0</v>
      </c>
      <c r="EJ160" s="574"/>
      <c r="EK160" s="574"/>
      <c r="EL160" s="574"/>
      <c r="EM160" s="574"/>
      <c r="EN160" s="574"/>
      <c r="EO160" s="574"/>
      <c r="EP160" s="574"/>
      <c r="EQ160" s="574"/>
      <c r="ER160" s="574"/>
      <c r="ES160" s="574"/>
      <c r="ET160" s="574"/>
      <c r="EU160" s="574"/>
    </row>
    <row r="161" hidden="1">
      <c r="A161" s="655">
        <v>7406.0</v>
      </c>
      <c r="B161" s="493" t="s">
        <v>260</v>
      </c>
      <c r="C161" s="493" t="s">
        <v>252</v>
      </c>
      <c r="D161" s="583"/>
      <c r="E161" s="583"/>
      <c r="F161" s="583"/>
      <c r="G161" s="583"/>
      <c r="H161" s="583"/>
      <c r="I161" s="583"/>
      <c r="J161" s="583"/>
      <c r="K161" s="583"/>
      <c r="L161" s="583"/>
      <c r="M161" s="583"/>
      <c r="N161" s="583"/>
      <c r="O161" s="583"/>
      <c r="P161" s="656">
        <f t="shared" si="251"/>
        <v>0</v>
      </c>
      <c r="Q161" s="656">
        <f t="shared" si="252"/>
        <v>0</v>
      </c>
      <c r="R161" s="656">
        <f t="shared" si="253"/>
        <v>0</v>
      </c>
      <c r="S161" s="656">
        <f t="shared" si="254"/>
        <v>0</v>
      </c>
      <c r="T161" s="656">
        <f t="shared" si="255"/>
        <v>0</v>
      </c>
      <c r="U161" s="584">
        <v>33.2</v>
      </c>
      <c r="V161" s="584">
        <v>17.2</v>
      </c>
      <c r="W161" s="584">
        <v>25.6</v>
      </c>
      <c r="X161" s="584">
        <v>74.4</v>
      </c>
      <c r="Y161" s="584">
        <v>31.2</v>
      </c>
      <c r="Z161" s="584">
        <v>18.7</v>
      </c>
      <c r="AA161" s="584">
        <v>18.5</v>
      </c>
      <c r="AB161" s="584">
        <v>26.7</v>
      </c>
      <c r="AC161" s="584">
        <v>33.8</v>
      </c>
      <c r="AD161" s="584">
        <v>47.9</v>
      </c>
      <c r="AE161" s="584">
        <v>48.3</v>
      </c>
      <c r="AF161" s="584">
        <v>40.2</v>
      </c>
      <c r="AG161" s="656">
        <f t="shared" si="256"/>
        <v>76</v>
      </c>
      <c r="AH161" s="656">
        <f t="shared" si="257"/>
        <v>124.3</v>
      </c>
      <c r="AI161" s="656">
        <f t="shared" si="258"/>
        <v>79</v>
      </c>
      <c r="AJ161" s="656">
        <f t="shared" si="259"/>
        <v>136.4</v>
      </c>
      <c r="AK161" s="656">
        <f t="shared" si="260"/>
        <v>415.7</v>
      </c>
      <c r="AL161" s="584">
        <v>0.0289</v>
      </c>
      <c r="AM161" s="584">
        <v>0.0234</v>
      </c>
      <c r="AN161" s="584">
        <v>0.0235</v>
      </c>
      <c r="AO161" s="584">
        <v>0.023</v>
      </c>
      <c r="AP161" s="584">
        <v>0.049</v>
      </c>
      <c r="AQ161" s="584">
        <v>0.0201</v>
      </c>
      <c r="AR161" s="583"/>
      <c r="AS161" s="583"/>
      <c r="AT161" s="583"/>
      <c r="AU161" s="583"/>
      <c r="AV161" s="583"/>
      <c r="AW161" s="583"/>
      <c r="AX161" s="656">
        <f t="shared" si="261"/>
        <v>0.0758</v>
      </c>
      <c r="AY161" s="656">
        <f t="shared" si="262"/>
        <v>0.0921</v>
      </c>
      <c r="AZ161" s="656">
        <f t="shared" si="263"/>
        <v>0</v>
      </c>
      <c r="BA161" s="656">
        <f t="shared" si="264"/>
        <v>0</v>
      </c>
      <c r="BB161" s="656">
        <f t="shared" si="265"/>
        <v>0.1679</v>
      </c>
      <c r="BC161" s="583"/>
      <c r="BD161" s="583"/>
      <c r="BE161" s="583"/>
      <c r="BF161" s="583"/>
      <c r="BG161" s="583"/>
      <c r="BH161" s="583"/>
      <c r="BI161" s="583"/>
      <c r="BJ161" s="583"/>
      <c r="BK161" s="583"/>
      <c r="BL161" s="583"/>
      <c r="BM161" s="583"/>
      <c r="BN161" s="583"/>
      <c r="BO161" s="583"/>
      <c r="BP161" s="583"/>
      <c r="BQ161" s="583"/>
      <c r="BR161" s="583"/>
      <c r="BS161" s="583"/>
      <c r="BT161" s="583"/>
      <c r="BU161" s="583"/>
      <c r="BV161" s="583"/>
      <c r="BW161" s="583"/>
      <c r="BX161" s="583"/>
      <c r="BY161" s="583"/>
      <c r="BZ161" s="583"/>
      <c r="CA161" s="583"/>
      <c r="CB161" s="583"/>
      <c r="CC161" s="583"/>
      <c r="CD161" s="583"/>
      <c r="CE161" s="583"/>
      <c r="CF161" s="583"/>
      <c r="CG161" s="583"/>
      <c r="CH161" s="583"/>
      <c r="CI161" s="583"/>
      <c r="CJ161" s="583"/>
      <c r="CK161" s="583"/>
      <c r="CL161" s="583"/>
      <c r="CM161" s="583"/>
      <c r="CN161" s="583"/>
      <c r="CO161" s="583"/>
      <c r="CP161" s="583"/>
      <c r="CQ161" s="583"/>
      <c r="CR161" s="583"/>
      <c r="CS161" s="583"/>
      <c r="CT161" s="583"/>
      <c r="CU161" s="583"/>
      <c r="CV161" s="583"/>
      <c r="CW161" s="583"/>
      <c r="CX161" s="583"/>
      <c r="CY161" s="583"/>
      <c r="CZ161" s="583"/>
      <c r="DA161" s="583"/>
      <c r="DB161" s="583"/>
      <c r="DC161" s="583"/>
      <c r="DD161" s="583"/>
      <c r="DE161" s="583"/>
      <c r="DF161" s="583"/>
      <c r="DG161" s="583"/>
      <c r="DH161" s="583"/>
      <c r="DI161" s="583"/>
      <c r="DJ161" s="583"/>
      <c r="DK161" s="583"/>
      <c r="DL161" s="583"/>
      <c r="DM161" s="583"/>
      <c r="DN161" s="583"/>
      <c r="DO161" s="583"/>
      <c r="DP161" s="583"/>
      <c r="DQ161" s="583"/>
      <c r="DR161" s="583"/>
      <c r="DS161" s="583"/>
      <c r="DT161" s="583"/>
      <c r="DU161" s="583"/>
      <c r="DV161" s="583"/>
      <c r="DW161" s="583"/>
      <c r="DX161" s="583"/>
      <c r="DY161" s="583"/>
      <c r="DZ161" s="583"/>
      <c r="EA161" s="583"/>
      <c r="EB161" s="583"/>
      <c r="EC161" s="583"/>
      <c r="ED161" s="583"/>
      <c r="EE161" s="583"/>
      <c r="EF161" s="583"/>
      <c r="EG161" s="583"/>
      <c r="EH161" s="583"/>
      <c r="EI161" s="583"/>
      <c r="EJ161" s="583"/>
      <c r="EK161" s="583"/>
      <c r="EL161" s="583"/>
      <c r="EM161" s="583"/>
      <c r="EN161" s="583"/>
      <c r="EO161" s="583"/>
      <c r="EP161" s="583"/>
      <c r="EQ161" s="583"/>
      <c r="ER161" s="583"/>
      <c r="ES161" s="583"/>
      <c r="ET161" s="583"/>
      <c r="EU161" s="583"/>
    </row>
    <row r="162" hidden="1">
      <c r="A162" s="655">
        <v>7406.0</v>
      </c>
      <c r="B162" s="493" t="s">
        <v>261</v>
      </c>
      <c r="C162" s="493" t="s">
        <v>252</v>
      </c>
      <c r="D162" s="583"/>
      <c r="E162" s="583"/>
      <c r="F162" s="583"/>
      <c r="G162" s="583"/>
      <c r="H162" s="583"/>
      <c r="I162" s="583"/>
      <c r="J162" s="583"/>
      <c r="K162" s="583"/>
      <c r="L162" s="583"/>
      <c r="M162" s="583"/>
      <c r="N162" s="583"/>
      <c r="O162" s="583"/>
      <c r="P162" s="656">
        <f t="shared" si="251"/>
        <v>0</v>
      </c>
      <c r="Q162" s="656">
        <f t="shared" si="252"/>
        <v>0</v>
      </c>
      <c r="R162" s="656">
        <f t="shared" si="253"/>
        <v>0</v>
      </c>
      <c r="S162" s="656">
        <f t="shared" si="254"/>
        <v>0</v>
      </c>
      <c r="T162" s="656">
        <f t="shared" si="255"/>
        <v>0</v>
      </c>
      <c r="U162" s="584">
        <v>9030.0</v>
      </c>
      <c r="V162" s="584">
        <v>5861.0</v>
      </c>
      <c r="W162" s="584">
        <v>7235.0</v>
      </c>
      <c r="X162" s="583"/>
      <c r="Y162" s="583"/>
      <c r="Z162" s="583"/>
      <c r="AA162" s="583"/>
      <c r="AB162" s="583"/>
      <c r="AC162" s="583"/>
      <c r="AD162" s="584">
        <v>17542.0</v>
      </c>
      <c r="AE162" s="584">
        <v>14597.0</v>
      </c>
      <c r="AF162" s="584">
        <v>10845.0</v>
      </c>
      <c r="AG162" s="656">
        <f t="shared" si="256"/>
        <v>22126</v>
      </c>
      <c r="AH162" s="656">
        <f t="shared" si="257"/>
        <v>0</v>
      </c>
      <c r="AI162" s="656">
        <f t="shared" si="258"/>
        <v>0</v>
      </c>
      <c r="AJ162" s="656">
        <f t="shared" si="259"/>
        <v>42984</v>
      </c>
      <c r="AK162" s="656">
        <f t="shared" si="260"/>
        <v>65110</v>
      </c>
      <c r="AL162" s="583"/>
      <c r="AM162" s="583"/>
      <c r="AN162" s="583"/>
      <c r="AO162" s="583"/>
      <c r="AP162" s="583"/>
      <c r="AQ162" s="583"/>
      <c r="AR162" s="583"/>
      <c r="AS162" s="583"/>
      <c r="AT162" s="583"/>
      <c r="AU162" s="583"/>
      <c r="AV162" s="583"/>
      <c r="AW162" s="583"/>
      <c r="AX162" s="656">
        <f t="shared" si="261"/>
        <v>0</v>
      </c>
      <c r="AY162" s="656">
        <f t="shared" si="262"/>
        <v>0</v>
      </c>
      <c r="AZ162" s="656">
        <f t="shared" si="263"/>
        <v>0</v>
      </c>
      <c r="BA162" s="656">
        <f t="shared" si="264"/>
        <v>0</v>
      </c>
      <c r="BB162" s="656">
        <f t="shared" si="265"/>
        <v>0</v>
      </c>
      <c r="BC162" s="583"/>
      <c r="BD162" s="583"/>
      <c r="BE162" s="583"/>
      <c r="BF162" s="583"/>
      <c r="BG162" s="583"/>
      <c r="BH162" s="583"/>
      <c r="BI162" s="583"/>
      <c r="BJ162" s="583"/>
      <c r="BK162" s="583"/>
      <c r="BL162" s="583"/>
      <c r="BM162" s="583"/>
      <c r="BN162" s="583"/>
      <c r="BO162" s="583"/>
      <c r="BP162" s="583"/>
      <c r="BQ162" s="583"/>
      <c r="BR162" s="583"/>
      <c r="BS162" s="583"/>
      <c r="BT162" s="583"/>
      <c r="BU162" s="583"/>
      <c r="BV162" s="583"/>
      <c r="BW162" s="583"/>
      <c r="BX162" s="583"/>
      <c r="BY162" s="583"/>
      <c r="BZ162" s="583"/>
      <c r="CA162" s="583"/>
      <c r="CB162" s="583"/>
      <c r="CC162" s="583"/>
      <c r="CD162" s="583"/>
      <c r="CE162" s="583"/>
      <c r="CF162" s="583"/>
      <c r="CG162" s="583"/>
      <c r="CH162" s="583"/>
      <c r="CI162" s="583"/>
      <c r="CJ162" s="583"/>
      <c r="CK162" s="583"/>
      <c r="CL162" s="583"/>
      <c r="CM162" s="583"/>
      <c r="CN162" s="583"/>
      <c r="CO162" s="583"/>
      <c r="CP162" s="583"/>
      <c r="CQ162" s="583"/>
      <c r="CR162" s="583"/>
      <c r="CS162" s="583"/>
      <c r="CT162" s="583"/>
      <c r="CU162" s="583"/>
      <c r="CV162" s="583"/>
      <c r="CW162" s="583"/>
      <c r="CX162" s="583"/>
      <c r="CY162" s="583"/>
      <c r="CZ162" s="583"/>
      <c r="DA162" s="583"/>
      <c r="DB162" s="583"/>
      <c r="DC162" s="583"/>
      <c r="DD162" s="583"/>
      <c r="DE162" s="583"/>
      <c r="DF162" s="583"/>
      <c r="DG162" s="583"/>
      <c r="DH162" s="583"/>
      <c r="DI162" s="583"/>
      <c r="DJ162" s="583"/>
      <c r="DK162" s="583"/>
      <c r="DL162" s="583"/>
      <c r="DM162" s="583"/>
      <c r="DN162" s="583"/>
      <c r="DO162" s="583"/>
      <c r="DP162" s="583"/>
      <c r="DQ162" s="583"/>
      <c r="DR162" s="583"/>
      <c r="DS162" s="583"/>
      <c r="DT162" s="583"/>
      <c r="DU162" s="583"/>
      <c r="DV162" s="583"/>
      <c r="DW162" s="583"/>
      <c r="DX162" s="583"/>
      <c r="DY162" s="583"/>
      <c r="DZ162" s="583"/>
      <c r="EA162" s="583"/>
      <c r="EB162" s="583"/>
      <c r="EC162" s="583"/>
      <c r="ED162" s="583"/>
      <c r="EE162" s="583"/>
      <c r="EF162" s="583"/>
      <c r="EG162" s="583"/>
      <c r="EH162" s="583"/>
      <c r="EI162" s="583"/>
      <c r="EJ162" s="583"/>
      <c r="EK162" s="583"/>
      <c r="EL162" s="583"/>
      <c r="EM162" s="583"/>
      <c r="EN162" s="583"/>
      <c r="EO162" s="583"/>
      <c r="EP162" s="583"/>
      <c r="EQ162" s="583"/>
      <c r="ER162" s="583"/>
      <c r="ES162" s="583"/>
      <c r="ET162" s="583"/>
      <c r="EU162" s="583"/>
    </row>
    <row r="163" hidden="1">
      <c r="A163" s="647">
        <v>7406.0</v>
      </c>
      <c r="B163" s="648" t="s">
        <v>262</v>
      </c>
      <c r="C163" s="648" t="s">
        <v>209</v>
      </c>
      <c r="D163" s="636"/>
      <c r="E163" s="636"/>
      <c r="F163" s="636"/>
      <c r="G163" s="636"/>
      <c r="H163" s="636"/>
      <c r="I163" s="636"/>
      <c r="J163" s="636"/>
      <c r="K163" s="636"/>
      <c r="L163" s="636"/>
      <c r="M163" s="636"/>
      <c r="N163" s="636"/>
      <c r="O163" s="649">
        <v>209265.0</v>
      </c>
      <c r="P163" s="652">
        <f t="shared" si="251"/>
        <v>0</v>
      </c>
      <c r="Q163" s="652">
        <f t="shared" si="252"/>
        <v>0</v>
      </c>
      <c r="R163" s="652">
        <f t="shared" si="253"/>
        <v>0</v>
      </c>
      <c r="S163" s="652">
        <f t="shared" si="254"/>
        <v>209265</v>
      </c>
      <c r="T163" s="652">
        <f t="shared" si="255"/>
        <v>209265</v>
      </c>
      <c r="U163" s="636"/>
      <c r="V163" s="649">
        <v>7510.0</v>
      </c>
      <c r="W163" s="649">
        <v>22802.0</v>
      </c>
      <c r="X163" s="636"/>
      <c r="Y163" s="649">
        <v>23127.0</v>
      </c>
      <c r="Z163" s="649">
        <v>14916.0</v>
      </c>
      <c r="AA163" s="649">
        <v>15245.0</v>
      </c>
      <c r="AB163" s="649">
        <v>7026.0</v>
      </c>
      <c r="AC163" s="649">
        <v>13812.0</v>
      </c>
      <c r="AD163" s="636"/>
      <c r="AE163" s="636"/>
      <c r="AF163" s="636"/>
      <c r="AG163" s="652">
        <f t="shared" si="256"/>
        <v>30312</v>
      </c>
      <c r="AH163" s="652">
        <f t="shared" si="257"/>
        <v>38043</v>
      </c>
      <c r="AI163" s="652">
        <f t="shared" si="258"/>
        <v>36083</v>
      </c>
      <c r="AJ163" s="652">
        <f t="shared" si="259"/>
        <v>0</v>
      </c>
      <c r="AK163" s="652">
        <f t="shared" si="260"/>
        <v>104438</v>
      </c>
      <c r="AL163" s="636"/>
      <c r="AM163" s="636"/>
      <c r="AN163" s="636"/>
      <c r="AO163" s="636"/>
      <c r="AP163" s="636"/>
      <c r="AQ163" s="636"/>
      <c r="AR163" s="636"/>
      <c r="AS163" s="636"/>
      <c r="AT163" s="636"/>
      <c r="AU163" s="636"/>
      <c r="AV163" s="636"/>
      <c r="AW163" s="636"/>
      <c r="AX163" s="652">
        <f t="shared" si="261"/>
        <v>0</v>
      </c>
      <c r="AY163" s="652">
        <f t="shared" si="262"/>
        <v>0</v>
      </c>
      <c r="AZ163" s="652">
        <f t="shared" si="263"/>
        <v>0</v>
      </c>
      <c r="BA163" s="652">
        <f t="shared" si="264"/>
        <v>0</v>
      </c>
      <c r="BB163" s="652">
        <f t="shared" si="265"/>
        <v>0</v>
      </c>
      <c r="BC163" s="636"/>
      <c r="BD163" s="636"/>
      <c r="BE163" s="636"/>
      <c r="BF163" s="636"/>
      <c r="BG163" s="636"/>
      <c r="BH163" s="636"/>
      <c r="BI163" s="636"/>
      <c r="BJ163" s="636"/>
      <c r="BK163" s="636"/>
      <c r="BL163" s="636"/>
      <c r="BM163" s="636"/>
      <c r="BN163" s="636"/>
      <c r="BO163" s="636"/>
      <c r="BP163" s="636"/>
      <c r="BQ163" s="636"/>
      <c r="BR163" s="636"/>
      <c r="BS163" s="636"/>
      <c r="BT163" s="636"/>
      <c r="BU163" s="636"/>
      <c r="BV163" s="636"/>
      <c r="BW163" s="636"/>
      <c r="BX163" s="636"/>
      <c r="BY163" s="636"/>
      <c r="BZ163" s="636"/>
      <c r="CA163" s="636"/>
      <c r="CB163" s="636"/>
      <c r="CC163" s="636"/>
      <c r="CD163" s="636"/>
      <c r="CE163" s="636"/>
      <c r="CF163" s="636"/>
      <c r="CG163" s="636"/>
      <c r="CH163" s="636"/>
      <c r="CI163" s="636"/>
      <c r="CJ163" s="636"/>
      <c r="CK163" s="636"/>
      <c r="CL163" s="636"/>
      <c r="CM163" s="636"/>
      <c r="CN163" s="636"/>
      <c r="CO163" s="636"/>
      <c r="CP163" s="636"/>
      <c r="CQ163" s="636"/>
      <c r="CR163" s="636"/>
      <c r="CS163" s="636"/>
      <c r="CT163" s="636"/>
      <c r="CU163" s="636"/>
      <c r="CV163" s="636"/>
      <c r="CW163" s="636"/>
      <c r="CX163" s="636"/>
      <c r="CY163" s="636"/>
      <c r="CZ163" s="636"/>
      <c r="DA163" s="636"/>
      <c r="DB163" s="636"/>
      <c r="DC163" s="636"/>
      <c r="DD163" s="636"/>
      <c r="DE163" s="636"/>
      <c r="DF163" s="636"/>
      <c r="DG163" s="636"/>
      <c r="DH163" s="636"/>
      <c r="DI163" s="636"/>
      <c r="DJ163" s="636"/>
      <c r="DK163" s="636"/>
      <c r="DL163" s="636"/>
      <c r="DM163" s="636"/>
      <c r="DN163" s="636"/>
      <c r="DO163" s="636"/>
      <c r="DP163" s="636"/>
      <c r="DQ163" s="636"/>
      <c r="DR163" s="636"/>
      <c r="DS163" s="636"/>
      <c r="DT163" s="636"/>
      <c r="DU163" s="636"/>
      <c r="DV163" s="636"/>
      <c r="DW163" s="636"/>
      <c r="DX163" s="636"/>
      <c r="DY163" s="636"/>
      <c r="DZ163" s="636"/>
      <c r="EA163" s="636"/>
      <c r="EB163" s="636"/>
      <c r="EC163" s="636"/>
      <c r="ED163" s="636"/>
      <c r="EE163" s="636"/>
      <c r="EF163" s="636"/>
      <c r="EG163" s="636"/>
      <c r="EH163" s="636"/>
      <c r="EI163" s="636"/>
      <c r="EJ163" s="574"/>
      <c r="EK163" s="574"/>
      <c r="EL163" s="574"/>
      <c r="EM163" s="574"/>
      <c r="EN163" s="574"/>
      <c r="EO163" s="574"/>
      <c r="EP163" s="574"/>
      <c r="EQ163" s="574"/>
      <c r="ER163" s="574"/>
      <c r="ES163" s="574"/>
      <c r="ET163" s="574"/>
      <c r="EU163" s="574"/>
    </row>
    <row r="164" hidden="1">
      <c r="A164" s="577">
        <v>7408.0</v>
      </c>
      <c r="B164" s="552" t="s">
        <v>263</v>
      </c>
      <c r="C164" s="552" t="s">
        <v>209</v>
      </c>
      <c r="D164" s="574"/>
      <c r="E164" s="574"/>
      <c r="F164" s="574"/>
      <c r="G164" s="574"/>
      <c r="H164" s="574"/>
      <c r="I164" s="574"/>
      <c r="J164" s="574"/>
      <c r="K164" s="574"/>
      <c r="L164" s="574"/>
      <c r="M164" s="574"/>
      <c r="N164" s="574"/>
      <c r="O164" s="574"/>
      <c r="P164" s="645">
        <f t="shared" si="251"/>
        <v>0</v>
      </c>
      <c r="Q164" s="645">
        <f t="shared" si="252"/>
        <v>0</v>
      </c>
      <c r="R164" s="645">
        <f t="shared" si="253"/>
        <v>0</v>
      </c>
      <c r="S164" s="645">
        <f t="shared" si="254"/>
        <v>0</v>
      </c>
      <c r="T164" s="645">
        <f t="shared" si="255"/>
        <v>0</v>
      </c>
      <c r="U164" s="574"/>
      <c r="V164" s="574"/>
      <c r="W164" s="574"/>
      <c r="X164" s="574"/>
      <c r="Y164" s="574"/>
      <c r="Z164" s="574"/>
      <c r="AA164" s="574"/>
      <c r="AB164" s="574"/>
      <c r="AC164" s="574"/>
      <c r="AD164" s="574"/>
      <c r="AE164" s="574"/>
      <c r="AF164" s="574"/>
      <c r="AG164" s="645">
        <f t="shared" si="256"/>
        <v>0</v>
      </c>
      <c r="AH164" s="645">
        <f t="shared" si="257"/>
        <v>0</v>
      </c>
      <c r="AI164" s="645">
        <f t="shared" si="258"/>
        <v>0</v>
      </c>
      <c r="AJ164" s="645">
        <f t="shared" si="259"/>
        <v>0</v>
      </c>
      <c r="AK164" s="645">
        <f t="shared" si="260"/>
        <v>0</v>
      </c>
      <c r="AL164" s="574"/>
      <c r="AM164" s="574"/>
      <c r="AN164" s="574"/>
      <c r="AO164" s="574"/>
      <c r="AP164" s="574"/>
      <c r="AQ164" s="574"/>
      <c r="AR164" s="574"/>
      <c r="AS164" s="574"/>
      <c r="AT164" s="574"/>
      <c r="AU164" s="574"/>
      <c r="AV164" s="574"/>
      <c r="AW164" s="574"/>
      <c r="AX164" s="645">
        <f t="shared" si="261"/>
        <v>0</v>
      </c>
      <c r="AY164" s="645">
        <f t="shared" si="262"/>
        <v>0</v>
      </c>
      <c r="AZ164" s="645">
        <f t="shared" si="263"/>
        <v>0</v>
      </c>
      <c r="BA164" s="645">
        <f t="shared" si="264"/>
        <v>0</v>
      </c>
      <c r="BB164" s="645">
        <f t="shared" si="265"/>
        <v>0</v>
      </c>
      <c r="BC164" s="569">
        <v>1277.0</v>
      </c>
      <c r="BD164" s="569">
        <v>7208.0</v>
      </c>
      <c r="BE164" s="569">
        <v>1290.0</v>
      </c>
      <c r="BF164" s="569">
        <v>0.0</v>
      </c>
      <c r="BG164" s="569">
        <v>0.0</v>
      </c>
      <c r="BH164" s="569">
        <v>0.0</v>
      </c>
      <c r="BI164" s="569">
        <v>0.0</v>
      </c>
      <c r="BJ164" s="569">
        <v>0.0</v>
      </c>
      <c r="BK164" s="569">
        <v>0.0</v>
      </c>
      <c r="BL164" s="569">
        <v>0.0</v>
      </c>
      <c r="BM164" s="569">
        <v>48075.0</v>
      </c>
      <c r="BN164" s="569">
        <v>34156.0</v>
      </c>
      <c r="BO164" s="645">
        <f t="shared" ref="BO164:BO206" si="293">SUM(BC164:BE164)</f>
        <v>9775</v>
      </c>
      <c r="BP164" s="645">
        <f t="shared" ref="BP164:BP206" si="294">SUM(BF164:BH164)</f>
        <v>0</v>
      </c>
      <c r="BQ164" s="645">
        <f t="shared" ref="BQ164:BQ206" si="295">SUM(BI164:BK164)</f>
        <v>0</v>
      </c>
      <c r="BR164" s="645">
        <f t="shared" ref="BR164:BR206" si="296">SUM(BL164:BN164)</f>
        <v>82231</v>
      </c>
      <c r="BS164" s="645">
        <f t="shared" ref="BS164:BS206" si="297">SUM(BO164:BR164)</f>
        <v>92006</v>
      </c>
      <c r="BT164" s="574"/>
      <c r="BU164" s="574"/>
      <c r="BV164" s="574"/>
      <c r="BW164" s="574"/>
      <c r="BX164" s="574"/>
      <c r="BY164" s="574"/>
      <c r="BZ164" s="574"/>
      <c r="CA164" s="574"/>
      <c r="CB164" s="574"/>
      <c r="CC164" s="574"/>
      <c r="CD164" s="574"/>
      <c r="CE164" s="574"/>
      <c r="CF164" s="646">
        <f t="shared" ref="CF164:CF206" si="298">SUM(BT164:BV164)</f>
        <v>0</v>
      </c>
      <c r="CG164" s="646">
        <f t="shared" ref="CG164:CG206" si="299">SUM(BW164:BY164)</f>
        <v>0</v>
      </c>
      <c r="CH164" s="646">
        <f t="shared" ref="CH164:CH206" si="300">SUM(BZ164:CB164)</f>
        <v>0</v>
      </c>
      <c r="CI164" s="646">
        <f t="shared" ref="CI164:CI206" si="301">SUM(CC164:CE164)</f>
        <v>0</v>
      </c>
      <c r="CJ164" s="646">
        <f t="shared" ref="CJ164:CJ206" si="302">SUM(CF164:CI164)</f>
        <v>0</v>
      </c>
      <c r="CK164" s="574"/>
      <c r="CL164" s="574"/>
      <c r="CM164" s="574"/>
      <c r="CN164" s="574"/>
      <c r="CO164" s="574"/>
      <c r="CP164" s="574"/>
      <c r="CQ164" s="574"/>
      <c r="CR164" s="574"/>
      <c r="CS164" s="574"/>
      <c r="CT164" s="574"/>
      <c r="CU164" s="574"/>
      <c r="CV164" s="574"/>
      <c r="CW164" s="646">
        <f t="shared" ref="CW164:CW206" si="303">SUM(CK164:CM164)</f>
        <v>0</v>
      </c>
      <c r="CX164" s="646">
        <f t="shared" ref="CX164:CX206" si="304">SUM(CN164:CP164)</f>
        <v>0</v>
      </c>
      <c r="CY164" s="646">
        <f t="shared" ref="CY164:CY206" si="305">SUM(CQ164:CS164)</f>
        <v>0</v>
      </c>
      <c r="CZ164" s="646">
        <f t="shared" ref="CZ164:CZ206" si="306">SUM(CT164:CV164)</f>
        <v>0</v>
      </c>
      <c r="DA164" s="646">
        <f t="shared" ref="DA164:DA206" si="307">SUM(CW164:CZ164)</f>
        <v>0</v>
      </c>
      <c r="DB164" s="574"/>
      <c r="DC164" s="574"/>
      <c r="DD164" s="574"/>
      <c r="DE164" s="574"/>
      <c r="DF164" s="574"/>
      <c r="DG164" s="574"/>
      <c r="DH164" s="574"/>
      <c r="DI164" s="574"/>
      <c r="DJ164" s="574"/>
      <c r="DK164" s="574"/>
      <c r="DL164" s="574"/>
      <c r="DM164" s="574"/>
      <c r="DN164" s="646">
        <f t="shared" ref="DN164:DN206" si="308">SUM(DB164:DD164)</f>
        <v>0</v>
      </c>
      <c r="DO164" s="646">
        <f t="shared" ref="DO164:DO206" si="309">SUM(DE164:DG164)</f>
        <v>0</v>
      </c>
      <c r="DP164" s="646">
        <f t="shared" ref="DP164:DP206" si="310">SUM(DH164:DJ164)</f>
        <v>0</v>
      </c>
      <c r="DQ164" s="646">
        <f t="shared" ref="DQ164:DQ206" si="311">SUM(DK164:DM164)</f>
        <v>0</v>
      </c>
      <c r="DR164" s="646">
        <f t="shared" ref="DR164:DR206" si="312">SUM(DN164:DQ164)</f>
        <v>0</v>
      </c>
      <c r="DS164" s="574"/>
      <c r="DT164" s="574"/>
      <c r="DU164" s="574"/>
      <c r="DV164" s="574"/>
      <c r="DW164" s="574"/>
      <c r="DX164" s="574"/>
      <c r="DY164" s="574"/>
      <c r="DZ164" s="574"/>
      <c r="EA164" s="574"/>
      <c r="EB164" s="574"/>
      <c r="EC164" s="574"/>
      <c r="ED164" s="574"/>
      <c r="EE164" s="646">
        <f t="shared" ref="EE164:EE206" si="313">SUM(DS164:DU164)</f>
        <v>0</v>
      </c>
      <c r="EF164" s="646">
        <f t="shared" ref="EF164:EF206" si="314">SUM(DV164:DX164)</f>
        <v>0</v>
      </c>
      <c r="EG164" s="646">
        <f t="shared" ref="EG164:EG206" si="315">SUM(DY164:EA164)</f>
        <v>0</v>
      </c>
      <c r="EH164" s="646">
        <f t="shared" ref="EH164:EH206" si="316">SUM(EB164:ED164)</f>
        <v>0</v>
      </c>
      <c r="EI164" s="646">
        <f t="shared" ref="EI164:EI206" si="317">SUM(EE164:EH164)</f>
        <v>0</v>
      </c>
      <c r="EJ164" s="569">
        <v>83.840008911638</v>
      </c>
      <c r="EK164" s="571" t="str">
        <f>CY164/DA164*100</f>
        <v>#DIV/0!</v>
      </c>
      <c r="EL164" s="569">
        <f>CZ164/EJ164*100</f>
        <v>0</v>
      </c>
      <c r="EM164" s="596" t="str">
        <f>EL164/EK164*100-100</f>
        <v>#DIV/0!</v>
      </c>
      <c r="EN164" s="574"/>
      <c r="EO164" s="574"/>
      <c r="EP164" s="574"/>
      <c r="EQ164" s="574"/>
      <c r="ER164" s="574"/>
      <c r="ES164" s="574"/>
      <c r="ET164" s="574"/>
      <c r="EU164" s="574"/>
    </row>
    <row r="165" hidden="1">
      <c r="A165" s="577">
        <v>7408.0</v>
      </c>
      <c r="B165" s="12" t="s">
        <v>264</v>
      </c>
      <c r="C165" s="12" t="s">
        <v>209</v>
      </c>
      <c r="D165" s="574"/>
      <c r="E165" s="574"/>
      <c r="F165" s="574"/>
      <c r="G165" s="574"/>
      <c r="H165" s="574"/>
      <c r="I165" s="574"/>
      <c r="J165" s="574"/>
      <c r="K165" s="574"/>
      <c r="L165" s="574"/>
      <c r="M165" s="574"/>
      <c r="N165" s="574"/>
      <c r="O165" s="574"/>
      <c r="P165" s="645">
        <f t="shared" si="251"/>
        <v>0</v>
      </c>
      <c r="Q165" s="645">
        <f t="shared" si="252"/>
        <v>0</v>
      </c>
      <c r="R165" s="645">
        <f t="shared" si="253"/>
        <v>0</v>
      </c>
      <c r="S165" s="645">
        <f t="shared" si="254"/>
        <v>0</v>
      </c>
      <c r="T165" s="645">
        <f t="shared" si="255"/>
        <v>0</v>
      </c>
      <c r="U165" s="574"/>
      <c r="V165" s="574"/>
      <c r="W165" s="574"/>
      <c r="X165" s="574"/>
      <c r="Y165" s="574"/>
      <c r="Z165" s="574"/>
      <c r="AA165" s="574"/>
      <c r="AB165" s="574"/>
      <c r="AC165" s="574"/>
      <c r="AD165" s="574"/>
      <c r="AE165" s="574"/>
      <c r="AF165" s="574"/>
      <c r="AG165" s="645">
        <f t="shared" si="256"/>
        <v>0</v>
      </c>
      <c r="AH165" s="645">
        <f t="shared" si="257"/>
        <v>0</v>
      </c>
      <c r="AI165" s="645">
        <f t="shared" si="258"/>
        <v>0</v>
      </c>
      <c r="AJ165" s="645">
        <f t="shared" si="259"/>
        <v>0</v>
      </c>
      <c r="AK165" s="645">
        <f t="shared" si="260"/>
        <v>0</v>
      </c>
      <c r="AL165" s="574"/>
      <c r="AM165" s="574"/>
      <c r="AN165" s="574"/>
      <c r="AO165" s="574"/>
      <c r="AP165" s="574"/>
      <c r="AQ165" s="574"/>
      <c r="AR165" s="574"/>
      <c r="AS165" s="574"/>
      <c r="AT165" s="574"/>
      <c r="AU165" s="574"/>
      <c r="AV165" s="574"/>
      <c r="AW165" s="574"/>
      <c r="AX165" s="645">
        <f t="shared" si="261"/>
        <v>0</v>
      </c>
      <c r="AY165" s="645">
        <f t="shared" si="262"/>
        <v>0</v>
      </c>
      <c r="AZ165" s="645">
        <f t="shared" si="263"/>
        <v>0</v>
      </c>
      <c r="BA165" s="645">
        <f t="shared" si="264"/>
        <v>0</v>
      </c>
      <c r="BB165" s="645">
        <f t="shared" si="265"/>
        <v>0</v>
      </c>
      <c r="BC165" s="574"/>
      <c r="BD165" s="574"/>
      <c r="BE165" s="574"/>
      <c r="BF165" s="574"/>
      <c r="BG165" s="574"/>
      <c r="BH165" s="574"/>
      <c r="BI165" s="574"/>
      <c r="BJ165" s="574"/>
      <c r="BK165" s="574"/>
      <c r="BL165" s="574"/>
      <c r="BM165" s="574"/>
      <c r="BN165" s="574"/>
      <c r="BO165" s="645">
        <f t="shared" si="293"/>
        <v>0</v>
      </c>
      <c r="BP165" s="645">
        <f t="shared" si="294"/>
        <v>0</v>
      </c>
      <c r="BQ165" s="645">
        <f t="shared" si="295"/>
        <v>0</v>
      </c>
      <c r="BR165" s="645">
        <f t="shared" si="296"/>
        <v>0</v>
      </c>
      <c r="BS165" s="645">
        <f t="shared" si="297"/>
        <v>0</v>
      </c>
      <c r="BT165" s="574"/>
      <c r="BU165" s="574"/>
      <c r="BV165" s="574"/>
      <c r="BW165" s="574"/>
      <c r="BX165" s="574"/>
      <c r="BY165" s="574"/>
      <c r="BZ165" s="574"/>
      <c r="CA165" s="574"/>
      <c r="CB165" s="574"/>
      <c r="CC165" s="574"/>
      <c r="CD165" s="574"/>
      <c r="CE165" s="574"/>
      <c r="CF165" s="646">
        <f t="shared" si="298"/>
        <v>0</v>
      </c>
      <c r="CG165" s="646">
        <f t="shared" si="299"/>
        <v>0</v>
      </c>
      <c r="CH165" s="646">
        <f t="shared" si="300"/>
        <v>0</v>
      </c>
      <c r="CI165" s="646">
        <f t="shared" si="301"/>
        <v>0</v>
      </c>
      <c r="CJ165" s="646">
        <f t="shared" si="302"/>
        <v>0</v>
      </c>
      <c r="CK165" s="574"/>
      <c r="CL165" s="574"/>
      <c r="CM165" s="574"/>
      <c r="CN165" s="574"/>
      <c r="CO165" s="574"/>
      <c r="CP165" s="574"/>
      <c r="CQ165" s="574"/>
      <c r="CR165" s="574"/>
      <c r="CS165" s="574"/>
      <c r="CT165" s="574"/>
      <c r="CU165" s="574"/>
      <c r="CV165" s="574"/>
      <c r="CW165" s="646">
        <f t="shared" si="303"/>
        <v>0</v>
      </c>
      <c r="CX165" s="646">
        <f t="shared" si="304"/>
        <v>0</v>
      </c>
      <c r="CY165" s="646">
        <f t="shared" si="305"/>
        <v>0</v>
      </c>
      <c r="CZ165" s="646">
        <f t="shared" si="306"/>
        <v>0</v>
      </c>
      <c r="DA165" s="646">
        <f t="shared" si="307"/>
        <v>0</v>
      </c>
      <c r="DB165" s="574"/>
      <c r="DC165" s="574"/>
      <c r="DD165" s="574"/>
      <c r="DE165" s="574"/>
      <c r="DF165" s="574"/>
      <c r="DG165" s="574"/>
      <c r="DH165" s="574"/>
      <c r="DI165" s="574"/>
      <c r="DJ165" s="574"/>
      <c r="DK165" s="574"/>
      <c r="DL165" s="574"/>
      <c r="DM165" s="574"/>
      <c r="DN165" s="646">
        <f t="shared" si="308"/>
        <v>0</v>
      </c>
      <c r="DO165" s="646">
        <f t="shared" si="309"/>
        <v>0</v>
      </c>
      <c r="DP165" s="646">
        <f t="shared" si="310"/>
        <v>0</v>
      </c>
      <c r="DQ165" s="646">
        <f t="shared" si="311"/>
        <v>0</v>
      </c>
      <c r="DR165" s="646">
        <f t="shared" si="312"/>
        <v>0</v>
      </c>
      <c r="DS165" s="574"/>
      <c r="DT165" s="574"/>
      <c r="DU165" s="574"/>
      <c r="DV165" s="574"/>
      <c r="DW165" s="574"/>
      <c r="DX165" s="574"/>
      <c r="DY165" s="574"/>
      <c r="DZ165" s="574"/>
      <c r="EA165" s="574"/>
      <c r="EB165" s="574"/>
      <c r="EC165" s="574"/>
      <c r="ED165" s="574"/>
      <c r="EE165" s="646">
        <f t="shared" si="313"/>
        <v>0</v>
      </c>
      <c r="EF165" s="646">
        <f t="shared" si="314"/>
        <v>0</v>
      </c>
      <c r="EG165" s="646">
        <f t="shared" si="315"/>
        <v>0</v>
      </c>
      <c r="EH165" s="646">
        <f t="shared" si="316"/>
        <v>0</v>
      </c>
      <c r="EI165" s="646">
        <f t="shared" si="317"/>
        <v>0</v>
      </c>
      <c r="EJ165" s="574"/>
      <c r="EK165" s="574"/>
      <c r="EL165" s="574"/>
      <c r="EM165" s="574"/>
      <c r="EN165" s="574"/>
      <c r="EO165" s="574"/>
      <c r="EP165" s="574"/>
      <c r="EQ165" s="574"/>
      <c r="ER165" s="574"/>
      <c r="ES165" s="574"/>
      <c r="ET165" s="574"/>
      <c r="EU165" s="574"/>
    </row>
    <row r="166" hidden="1">
      <c r="A166" s="577">
        <v>7408.0</v>
      </c>
      <c r="B166" s="12" t="s">
        <v>265</v>
      </c>
      <c r="C166" s="12" t="s">
        <v>209</v>
      </c>
      <c r="D166" s="574"/>
      <c r="E166" s="574"/>
      <c r="F166" s="574"/>
      <c r="G166" s="574"/>
      <c r="H166" s="574"/>
      <c r="I166" s="574"/>
      <c r="J166" s="574"/>
      <c r="K166" s="574"/>
      <c r="L166" s="574"/>
      <c r="M166" s="574"/>
      <c r="N166" s="574"/>
      <c r="O166" s="574"/>
      <c r="P166" s="645">
        <f t="shared" si="251"/>
        <v>0</v>
      </c>
      <c r="Q166" s="645">
        <f t="shared" si="252"/>
        <v>0</v>
      </c>
      <c r="R166" s="645">
        <f t="shared" si="253"/>
        <v>0</v>
      </c>
      <c r="S166" s="645">
        <f t="shared" si="254"/>
        <v>0</v>
      </c>
      <c r="T166" s="645">
        <f t="shared" si="255"/>
        <v>0</v>
      </c>
      <c r="U166" s="574"/>
      <c r="V166" s="574"/>
      <c r="W166" s="574"/>
      <c r="X166" s="574"/>
      <c r="Y166" s="574"/>
      <c r="Z166" s="574"/>
      <c r="AA166" s="574"/>
      <c r="AB166" s="574"/>
      <c r="AC166" s="574"/>
      <c r="AD166" s="574"/>
      <c r="AE166" s="574"/>
      <c r="AF166" s="574"/>
      <c r="AG166" s="645">
        <f t="shared" si="256"/>
        <v>0</v>
      </c>
      <c r="AH166" s="645">
        <f t="shared" si="257"/>
        <v>0</v>
      </c>
      <c r="AI166" s="645">
        <f t="shared" si="258"/>
        <v>0</v>
      </c>
      <c r="AJ166" s="645">
        <f t="shared" si="259"/>
        <v>0</v>
      </c>
      <c r="AK166" s="645">
        <f t="shared" si="260"/>
        <v>0</v>
      </c>
      <c r="AL166" s="574"/>
      <c r="AM166" s="574"/>
      <c r="AN166" s="574"/>
      <c r="AO166" s="574"/>
      <c r="AP166" s="574"/>
      <c r="AQ166" s="574"/>
      <c r="AR166" s="574"/>
      <c r="AS166" s="574"/>
      <c r="AT166" s="574"/>
      <c r="AU166" s="574"/>
      <c r="AV166" s="574"/>
      <c r="AW166" s="574"/>
      <c r="AX166" s="645">
        <f t="shared" si="261"/>
        <v>0</v>
      </c>
      <c r="AY166" s="645">
        <f t="shared" si="262"/>
        <v>0</v>
      </c>
      <c r="AZ166" s="645">
        <f t="shared" si="263"/>
        <v>0</v>
      </c>
      <c r="BA166" s="645">
        <f t="shared" si="264"/>
        <v>0</v>
      </c>
      <c r="BB166" s="645">
        <f t="shared" si="265"/>
        <v>0</v>
      </c>
      <c r="BC166" s="574"/>
      <c r="BD166" s="574"/>
      <c r="BE166" s="574"/>
      <c r="BF166" s="574"/>
      <c r="BG166" s="574"/>
      <c r="BH166" s="574"/>
      <c r="BI166" s="574"/>
      <c r="BJ166" s="574"/>
      <c r="BK166" s="574"/>
      <c r="BL166" s="574"/>
      <c r="BM166" s="574"/>
      <c r="BN166" s="574"/>
      <c r="BO166" s="645">
        <f t="shared" si="293"/>
        <v>0</v>
      </c>
      <c r="BP166" s="645">
        <f t="shared" si="294"/>
        <v>0</v>
      </c>
      <c r="BQ166" s="645">
        <f t="shared" si="295"/>
        <v>0</v>
      </c>
      <c r="BR166" s="645">
        <f t="shared" si="296"/>
        <v>0</v>
      </c>
      <c r="BS166" s="645">
        <f t="shared" si="297"/>
        <v>0</v>
      </c>
      <c r="BT166" s="574"/>
      <c r="BU166" s="574"/>
      <c r="BV166" s="574"/>
      <c r="BW166" s="574"/>
      <c r="BX166" s="574"/>
      <c r="BY166" s="574"/>
      <c r="BZ166" s="574"/>
      <c r="CA166" s="574"/>
      <c r="CB166" s="574"/>
      <c r="CC166" s="574"/>
      <c r="CD166" s="574"/>
      <c r="CE166" s="574"/>
      <c r="CF166" s="646">
        <f t="shared" si="298"/>
        <v>0</v>
      </c>
      <c r="CG166" s="646">
        <f t="shared" si="299"/>
        <v>0</v>
      </c>
      <c r="CH166" s="646">
        <f t="shared" si="300"/>
        <v>0</v>
      </c>
      <c r="CI166" s="646">
        <f t="shared" si="301"/>
        <v>0</v>
      </c>
      <c r="CJ166" s="646">
        <f t="shared" si="302"/>
        <v>0</v>
      </c>
      <c r="CK166" s="574"/>
      <c r="CL166" s="574"/>
      <c r="CM166" s="574"/>
      <c r="CN166" s="574"/>
      <c r="CO166" s="574"/>
      <c r="CP166" s="574"/>
      <c r="CQ166" s="574"/>
      <c r="CR166" s="574"/>
      <c r="CS166" s="574"/>
      <c r="CT166" s="574"/>
      <c r="CU166" s="574"/>
      <c r="CV166" s="574"/>
      <c r="CW166" s="646">
        <f t="shared" si="303"/>
        <v>0</v>
      </c>
      <c r="CX166" s="646">
        <f t="shared" si="304"/>
        <v>0</v>
      </c>
      <c r="CY166" s="646">
        <f t="shared" si="305"/>
        <v>0</v>
      </c>
      <c r="CZ166" s="646">
        <f t="shared" si="306"/>
        <v>0</v>
      </c>
      <c r="DA166" s="646">
        <f t="shared" si="307"/>
        <v>0</v>
      </c>
      <c r="DB166" s="574"/>
      <c r="DC166" s="574"/>
      <c r="DD166" s="574"/>
      <c r="DE166" s="574"/>
      <c r="DF166" s="574"/>
      <c r="DG166" s="574"/>
      <c r="DH166" s="574"/>
      <c r="DI166" s="574"/>
      <c r="DJ166" s="574"/>
      <c r="DK166" s="574"/>
      <c r="DL166" s="574"/>
      <c r="DM166" s="574"/>
      <c r="DN166" s="646">
        <f t="shared" si="308"/>
        <v>0</v>
      </c>
      <c r="DO166" s="646">
        <f t="shared" si="309"/>
        <v>0</v>
      </c>
      <c r="DP166" s="646">
        <f t="shared" si="310"/>
        <v>0</v>
      </c>
      <c r="DQ166" s="646">
        <f t="shared" si="311"/>
        <v>0</v>
      </c>
      <c r="DR166" s="646">
        <f t="shared" si="312"/>
        <v>0</v>
      </c>
      <c r="DS166" s="574"/>
      <c r="DT166" s="574"/>
      <c r="DU166" s="574"/>
      <c r="DV166" s="574"/>
      <c r="DW166" s="574"/>
      <c r="DX166" s="574"/>
      <c r="DY166" s="574"/>
      <c r="DZ166" s="574"/>
      <c r="EA166" s="574"/>
      <c r="EB166" s="574"/>
      <c r="EC166" s="574"/>
      <c r="ED166" s="574"/>
      <c r="EE166" s="646">
        <f t="shared" si="313"/>
        <v>0</v>
      </c>
      <c r="EF166" s="646">
        <f t="shared" si="314"/>
        <v>0</v>
      </c>
      <c r="EG166" s="646">
        <f t="shared" si="315"/>
        <v>0</v>
      </c>
      <c r="EH166" s="646">
        <f t="shared" si="316"/>
        <v>0</v>
      </c>
      <c r="EI166" s="646">
        <f t="shared" si="317"/>
        <v>0</v>
      </c>
      <c r="EJ166" s="574"/>
      <c r="EK166" s="574"/>
      <c r="EL166" s="574"/>
      <c r="EM166" s="574"/>
      <c r="EN166" s="574"/>
      <c r="EO166" s="574"/>
      <c r="EP166" s="574"/>
      <c r="EQ166" s="574"/>
      <c r="ER166" s="574"/>
      <c r="ES166" s="574"/>
      <c r="ET166" s="574"/>
      <c r="EU166" s="574"/>
    </row>
    <row r="167" hidden="1">
      <c r="A167" s="577">
        <v>7408.0</v>
      </c>
      <c r="B167" s="12" t="s">
        <v>266</v>
      </c>
      <c r="C167" s="12" t="s">
        <v>209</v>
      </c>
      <c r="D167" s="574"/>
      <c r="E167" s="574"/>
      <c r="F167" s="574"/>
      <c r="G167" s="574"/>
      <c r="H167" s="574"/>
      <c r="I167" s="574"/>
      <c r="J167" s="574"/>
      <c r="K167" s="574"/>
      <c r="L167" s="574"/>
      <c r="M167" s="574"/>
      <c r="N167" s="574"/>
      <c r="O167" s="574"/>
      <c r="P167" s="645">
        <f t="shared" si="251"/>
        <v>0</v>
      </c>
      <c r="Q167" s="645">
        <f t="shared" si="252"/>
        <v>0</v>
      </c>
      <c r="R167" s="645">
        <f t="shared" si="253"/>
        <v>0</v>
      </c>
      <c r="S167" s="645">
        <f t="shared" si="254"/>
        <v>0</v>
      </c>
      <c r="T167" s="645">
        <f t="shared" si="255"/>
        <v>0</v>
      </c>
      <c r="U167" s="574"/>
      <c r="V167" s="574"/>
      <c r="W167" s="574"/>
      <c r="X167" s="574"/>
      <c r="Y167" s="574"/>
      <c r="Z167" s="574"/>
      <c r="AA167" s="574"/>
      <c r="AB167" s="574"/>
      <c r="AC167" s="574"/>
      <c r="AD167" s="574"/>
      <c r="AE167" s="574"/>
      <c r="AF167" s="574"/>
      <c r="AG167" s="645">
        <f t="shared" si="256"/>
        <v>0</v>
      </c>
      <c r="AH167" s="645">
        <f t="shared" si="257"/>
        <v>0</v>
      </c>
      <c r="AI167" s="645">
        <f t="shared" si="258"/>
        <v>0</v>
      </c>
      <c r="AJ167" s="645">
        <f t="shared" si="259"/>
        <v>0</v>
      </c>
      <c r="AK167" s="645">
        <f t="shared" si="260"/>
        <v>0</v>
      </c>
      <c r="AL167" s="574"/>
      <c r="AM167" s="574"/>
      <c r="AN167" s="574"/>
      <c r="AO167" s="574"/>
      <c r="AP167" s="574"/>
      <c r="AQ167" s="569">
        <v>50300.0</v>
      </c>
      <c r="AR167" s="574"/>
      <c r="AS167" s="574"/>
      <c r="AT167" s="574"/>
      <c r="AU167" s="574"/>
      <c r="AV167" s="574"/>
      <c r="AW167" s="574"/>
      <c r="AX167" s="645">
        <f t="shared" si="261"/>
        <v>0</v>
      </c>
      <c r="AY167" s="645">
        <f t="shared" si="262"/>
        <v>50300</v>
      </c>
      <c r="AZ167" s="645">
        <f t="shared" si="263"/>
        <v>0</v>
      </c>
      <c r="BA167" s="645">
        <f t="shared" si="264"/>
        <v>0</v>
      </c>
      <c r="BB167" s="645">
        <f t="shared" si="265"/>
        <v>50300</v>
      </c>
      <c r="BC167" s="574"/>
      <c r="BD167" s="574"/>
      <c r="BE167" s="574"/>
      <c r="BF167" s="574"/>
      <c r="BG167" s="574"/>
      <c r="BH167" s="574"/>
      <c r="BI167" s="574"/>
      <c r="BJ167" s="574"/>
      <c r="BK167" s="574"/>
      <c r="BL167" s="574"/>
      <c r="BM167" s="574"/>
      <c r="BN167" s="574"/>
      <c r="BO167" s="645">
        <f t="shared" si="293"/>
        <v>0</v>
      </c>
      <c r="BP167" s="645">
        <f t="shared" si="294"/>
        <v>0</v>
      </c>
      <c r="BQ167" s="645">
        <f t="shared" si="295"/>
        <v>0</v>
      </c>
      <c r="BR167" s="645">
        <f t="shared" si="296"/>
        <v>0</v>
      </c>
      <c r="BS167" s="645">
        <f t="shared" si="297"/>
        <v>0</v>
      </c>
      <c r="BT167" s="569">
        <v>25000.0</v>
      </c>
      <c r="BU167" s="569">
        <v>21000.0</v>
      </c>
      <c r="BV167" s="569">
        <v>21000.0</v>
      </c>
      <c r="BW167" s="569">
        <v>24500.0</v>
      </c>
      <c r="BX167" s="569">
        <v>18000.0</v>
      </c>
      <c r="BY167" s="574" t="s">
        <v>257</v>
      </c>
      <c r="BZ167" s="569">
        <v>23200.0</v>
      </c>
      <c r="CA167" s="569">
        <v>18000.0</v>
      </c>
      <c r="CB167" s="569">
        <v>21000.0</v>
      </c>
      <c r="CC167" s="574"/>
      <c r="CD167" s="574"/>
      <c r="CE167" s="574"/>
      <c r="CF167" s="646">
        <f t="shared" si="298"/>
        <v>67000</v>
      </c>
      <c r="CG167" s="646">
        <f t="shared" si="299"/>
        <v>42500</v>
      </c>
      <c r="CH167" s="646">
        <f t="shared" si="300"/>
        <v>62200</v>
      </c>
      <c r="CI167" s="646">
        <f t="shared" si="301"/>
        <v>0</v>
      </c>
      <c r="CJ167" s="646">
        <f t="shared" si="302"/>
        <v>171700</v>
      </c>
      <c r="CK167" s="574"/>
      <c r="CL167" s="574"/>
      <c r="CM167" s="574"/>
      <c r="CN167" s="574"/>
      <c r="CO167" s="574"/>
      <c r="CP167" s="574"/>
      <c r="CQ167" s="574"/>
      <c r="CR167" s="574"/>
      <c r="CS167" s="574"/>
      <c r="CT167" s="574"/>
      <c r="CU167" s="574"/>
      <c r="CV167" s="574"/>
      <c r="CW167" s="646">
        <f t="shared" si="303"/>
        <v>0</v>
      </c>
      <c r="CX167" s="646">
        <f t="shared" si="304"/>
        <v>0</v>
      </c>
      <c r="CY167" s="646">
        <f t="shared" si="305"/>
        <v>0</v>
      </c>
      <c r="CZ167" s="646">
        <f t="shared" si="306"/>
        <v>0</v>
      </c>
      <c r="DA167" s="646">
        <f t="shared" si="307"/>
        <v>0</v>
      </c>
      <c r="DB167" s="574"/>
      <c r="DC167" s="574"/>
      <c r="DD167" s="574"/>
      <c r="DE167" s="574"/>
      <c r="DF167" s="574"/>
      <c r="DG167" s="574"/>
      <c r="DH167" s="574"/>
      <c r="DI167" s="574"/>
      <c r="DJ167" s="574"/>
      <c r="DK167" s="574"/>
      <c r="DL167" s="574"/>
      <c r="DM167" s="574"/>
      <c r="DN167" s="646">
        <f t="shared" si="308"/>
        <v>0</v>
      </c>
      <c r="DO167" s="646">
        <f t="shared" si="309"/>
        <v>0</v>
      </c>
      <c r="DP167" s="646">
        <f t="shared" si="310"/>
        <v>0</v>
      </c>
      <c r="DQ167" s="646">
        <f t="shared" si="311"/>
        <v>0</v>
      </c>
      <c r="DR167" s="646">
        <f t="shared" si="312"/>
        <v>0</v>
      </c>
      <c r="DS167" s="574"/>
      <c r="DT167" s="574"/>
      <c r="DU167" s="574"/>
      <c r="DV167" s="574"/>
      <c r="DW167" s="574"/>
      <c r="DX167" s="574"/>
      <c r="DY167" s="574"/>
      <c r="DZ167" s="574"/>
      <c r="EA167" s="574"/>
      <c r="EB167" s="574"/>
      <c r="EC167" s="574"/>
      <c r="ED167" s="574"/>
      <c r="EE167" s="646">
        <f t="shared" si="313"/>
        <v>0</v>
      </c>
      <c r="EF167" s="646">
        <f t="shared" si="314"/>
        <v>0</v>
      </c>
      <c r="EG167" s="646">
        <f t="shared" si="315"/>
        <v>0</v>
      </c>
      <c r="EH167" s="646">
        <f t="shared" si="316"/>
        <v>0</v>
      </c>
      <c r="EI167" s="646">
        <f t="shared" si="317"/>
        <v>0</v>
      </c>
      <c r="EJ167" s="574"/>
      <c r="EK167" s="574"/>
      <c r="EL167" s="574"/>
      <c r="EM167" s="574"/>
      <c r="EN167" s="574"/>
      <c r="EO167" s="574"/>
      <c r="EP167" s="574"/>
      <c r="EQ167" s="574"/>
      <c r="ER167" s="574"/>
      <c r="ES167" s="574"/>
      <c r="ET167" s="574"/>
      <c r="EU167" s="574"/>
    </row>
    <row r="168" hidden="1">
      <c r="A168" s="577">
        <v>7408.0</v>
      </c>
      <c r="B168" s="12" t="s">
        <v>267</v>
      </c>
      <c r="C168" s="12" t="s">
        <v>209</v>
      </c>
      <c r="D168" s="574"/>
      <c r="E168" s="574"/>
      <c r="F168" s="574"/>
      <c r="G168" s="574"/>
      <c r="H168" s="574"/>
      <c r="I168" s="574"/>
      <c r="J168" s="574"/>
      <c r="K168" s="574"/>
      <c r="L168" s="574"/>
      <c r="M168" s="574"/>
      <c r="N168" s="574"/>
      <c r="O168" s="574"/>
      <c r="P168" s="645">
        <f t="shared" si="251"/>
        <v>0</v>
      </c>
      <c r="Q168" s="645">
        <f t="shared" si="252"/>
        <v>0</v>
      </c>
      <c r="R168" s="645">
        <f t="shared" si="253"/>
        <v>0</v>
      </c>
      <c r="S168" s="645">
        <f t="shared" si="254"/>
        <v>0</v>
      </c>
      <c r="T168" s="645">
        <f t="shared" si="255"/>
        <v>0</v>
      </c>
      <c r="U168" s="574"/>
      <c r="V168" s="574"/>
      <c r="W168" s="574"/>
      <c r="X168" s="574"/>
      <c r="Y168" s="574"/>
      <c r="Z168" s="574"/>
      <c r="AA168" s="574"/>
      <c r="AB168" s="574"/>
      <c r="AC168" s="574"/>
      <c r="AD168" s="574"/>
      <c r="AE168" s="574"/>
      <c r="AF168" s="574"/>
      <c r="AG168" s="645">
        <f t="shared" si="256"/>
        <v>0</v>
      </c>
      <c r="AH168" s="645">
        <f t="shared" si="257"/>
        <v>0</v>
      </c>
      <c r="AI168" s="645">
        <f t="shared" si="258"/>
        <v>0</v>
      </c>
      <c r="AJ168" s="645">
        <f t="shared" si="259"/>
        <v>0</v>
      </c>
      <c r="AK168" s="645">
        <f t="shared" si="260"/>
        <v>0</v>
      </c>
      <c r="AL168" s="574"/>
      <c r="AM168" s="574"/>
      <c r="AN168" s="574"/>
      <c r="AO168" s="574"/>
      <c r="AP168" s="574"/>
      <c r="AQ168" s="574"/>
      <c r="AR168" s="574"/>
      <c r="AS168" s="574"/>
      <c r="AT168" s="574"/>
      <c r="AU168" s="574"/>
      <c r="AV168" s="574"/>
      <c r="AW168" s="574"/>
      <c r="AX168" s="645">
        <f t="shared" si="261"/>
        <v>0</v>
      </c>
      <c r="AY168" s="645">
        <f t="shared" si="262"/>
        <v>0</v>
      </c>
      <c r="AZ168" s="645">
        <f t="shared" si="263"/>
        <v>0</v>
      </c>
      <c r="BA168" s="645">
        <f t="shared" si="264"/>
        <v>0</v>
      </c>
      <c r="BB168" s="645">
        <f t="shared" si="265"/>
        <v>0</v>
      </c>
      <c r="BC168" s="574"/>
      <c r="BD168" s="574"/>
      <c r="BE168" s="574"/>
      <c r="BF168" s="574"/>
      <c r="BG168" s="574"/>
      <c r="BH168" s="574"/>
      <c r="BI168" s="574"/>
      <c r="BJ168" s="574"/>
      <c r="BK168" s="569">
        <v>33405.0</v>
      </c>
      <c r="BL168" s="569">
        <v>19940.0</v>
      </c>
      <c r="BM168" s="569">
        <v>21000.0</v>
      </c>
      <c r="BN168" s="569">
        <v>28184.0</v>
      </c>
      <c r="BO168" s="645">
        <f t="shared" si="293"/>
        <v>0</v>
      </c>
      <c r="BP168" s="645">
        <f t="shared" si="294"/>
        <v>0</v>
      </c>
      <c r="BQ168" s="645">
        <f t="shared" si="295"/>
        <v>33405</v>
      </c>
      <c r="BR168" s="645">
        <f t="shared" si="296"/>
        <v>69124</v>
      </c>
      <c r="BS168" s="645">
        <f t="shared" si="297"/>
        <v>102529</v>
      </c>
      <c r="BT168" s="569">
        <v>8700.0</v>
      </c>
      <c r="BU168" s="569">
        <v>4500.0</v>
      </c>
      <c r="BV168" s="569">
        <v>5700.0</v>
      </c>
      <c r="BW168" s="574"/>
      <c r="BX168" s="574"/>
      <c r="BY168" s="574"/>
      <c r="BZ168" s="574"/>
      <c r="CA168" s="574"/>
      <c r="CB168" s="574"/>
      <c r="CC168" s="574"/>
      <c r="CD168" s="574"/>
      <c r="CE168" s="574"/>
      <c r="CF168" s="646">
        <f t="shared" si="298"/>
        <v>18900</v>
      </c>
      <c r="CG168" s="646">
        <f t="shared" si="299"/>
        <v>0</v>
      </c>
      <c r="CH168" s="646">
        <f t="shared" si="300"/>
        <v>0</v>
      </c>
      <c r="CI168" s="646">
        <f t="shared" si="301"/>
        <v>0</v>
      </c>
      <c r="CJ168" s="646">
        <f t="shared" si="302"/>
        <v>18900</v>
      </c>
      <c r="CK168" s="574"/>
      <c r="CL168" s="574"/>
      <c r="CM168" s="574"/>
      <c r="CN168" s="574"/>
      <c r="CO168" s="574"/>
      <c r="CP168" s="574"/>
      <c r="CQ168" s="574"/>
      <c r="CR168" s="574"/>
      <c r="CS168" s="574"/>
      <c r="CT168" s="574"/>
      <c r="CU168" s="574"/>
      <c r="CV168" s="574"/>
      <c r="CW168" s="646">
        <f t="shared" si="303"/>
        <v>0</v>
      </c>
      <c r="CX168" s="646">
        <f t="shared" si="304"/>
        <v>0</v>
      </c>
      <c r="CY168" s="646">
        <f t="shared" si="305"/>
        <v>0</v>
      </c>
      <c r="CZ168" s="646">
        <f t="shared" si="306"/>
        <v>0</v>
      </c>
      <c r="DA168" s="646">
        <f t="shared" si="307"/>
        <v>0</v>
      </c>
      <c r="DB168" s="574"/>
      <c r="DC168" s="574"/>
      <c r="DD168" s="574"/>
      <c r="DE168" s="574"/>
      <c r="DF168" s="574"/>
      <c r="DG168" s="574"/>
      <c r="DH168" s="574"/>
      <c r="DI168" s="574"/>
      <c r="DJ168" s="574"/>
      <c r="DK168" s="574"/>
      <c r="DL168" s="574"/>
      <c r="DM168" s="574"/>
      <c r="DN168" s="646">
        <f t="shared" si="308"/>
        <v>0</v>
      </c>
      <c r="DO168" s="646">
        <f t="shared" si="309"/>
        <v>0</v>
      </c>
      <c r="DP168" s="646">
        <f t="shared" si="310"/>
        <v>0</v>
      </c>
      <c r="DQ168" s="646">
        <f t="shared" si="311"/>
        <v>0</v>
      </c>
      <c r="DR168" s="646">
        <f t="shared" si="312"/>
        <v>0</v>
      </c>
      <c r="DS168" s="574"/>
      <c r="DT168" s="574"/>
      <c r="DU168" s="574"/>
      <c r="DV168" s="574"/>
      <c r="DW168" s="574"/>
      <c r="DX168" s="574"/>
      <c r="DY168" s="574"/>
      <c r="DZ168" s="574"/>
      <c r="EA168" s="574"/>
      <c r="EB168" s="574"/>
      <c r="EC168" s="574"/>
      <c r="ED168" s="574"/>
      <c r="EE168" s="646">
        <f t="shared" si="313"/>
        <v>0</v>
      </c>
      <c r="EF168" s="646">
        <f t="shared" si="314"/>
        <v>0</v>
      </c>
      <c r="EG168" s="646">
        <f t="shared" si="315"/>
        <v>0</v>
      </c>
      <c r="EH168" s="646">
        <f t="shared" si="316"/>
        <v>0</v>
      </c>
      <c r="EI168" s="646">
        <f t="shared" si="317"/>
        <v>0</v>
      </c>
      <c r="EJ168" s="574"/>
      <c r="EK168" s="574"/>
      <c r="EL168" s="574"/>
      <c r="EM168" s="574"/>
      <c r="EN168" s="574"/>
      <c r="EO168" s="574"/>
      <c r="EP168" s="574"/>
      <c r="EQ168" s="574"/>
      <c r="ER168" s="574"/>
      <c r="ES168" s="574"/>
      <c r="ET168" s="574"/>
      <c r="EU168" s="574"/>
    </row>
    <row r="169" hidden="1">
      <c r="A169" s="577">
        <v>7408.0</v>
      </c>
      <c r="B169" s="12" t="s">
        <v>268</v>
      </c>
      <c r="C169" s="12" t="s">
        <v>209</v>
      </c>
      <c r="D169" s="574"/>
      <c r="E169" s="574"/>
      <c r="F169" s="574"/>
      <c r="G169" s="574"/>
      <c r="H169" s="574"/>
      <c r="I169" s="574"/>
      <c r="J169" s="574"/>
      <c r="K169" s="574"/>
      <c r="L169" s="574"/>
      <c r="M169" s="574"/>
      <c r="N169" s="574"/>
      <c r="O169" s="574"/>
      <c r="P169" s="645">
        <f t="shared" si="251"/>
        <v>0</v>
      </c>
      <c r="Q169" s="645">
        <f t="shared" si="252"/>
        <v>0</v>
      </c>
      <c r="R169" s="645">
        <f t="shared" si="253"/>
        <v>0</v>
      </c>
      <c r="S169" s="645">
        <f t="shared" si="254"/>
        <v>0</v>
      </c>
      <c r="T169" s="645">
        <f t="shared" si="255"/>
        <v>0</v>
      </c>
      <c r="U169" s="574"/>
      <c r="V169" s="574"/>
      <c r="W169" s="574"/>
      <c r="X169" s="574"/>
      <c r="Y169" s="574"/>
      <c r="Z169" s="574"/>
      <c r="AA169" s="574"/>
      <c r="AB169" s="574"/>
      <c r="AC169" s="574"/>
      <c r="AD169" s="574"/>
      <c r="AE169" s="574"/>
      <c r="AF169" s="574"/>
      <c r="AG169" s="645">
        <f t="shared" si="256"/>
        <v>0</v>
      </c>
      <c r="AH169" s="645">
        <f t="shared" si="257"/>
        <v>0</v>
      </c>
      <c r="AI169" s="645">
        <f t="shared" si="258"/>
        <v>0</v>
      </c>
      <c r="AJ169" s="645">
        <f t="shared" si="259"/>
        <v>0</v>
      </c>
      <c r="AK169" s="645">
        <f t="shared" si="260"/>
        <v>0</v>
      </c>
      <c r="AL169" s="574"/>
      <c r="AM169" s="574"/>
      <c r="AN169" s="574"/>
      <c r="AO169" s="574"/>
      <c r="AP169" s="574"/>
      <c r="AQ169" s="574"/>
      <c r="AR169" s="574"/>
      <c r="AS169" s="574"/>
      <c r="AT169" s="574"/>
      <c r="AU169" s="574"/>
      <c r="AV169" s="574"/>
      <c r="AW169" s="574"/>
      <c r="AX169" s="645">
        <f t="shared" si="261"/>
        <v>0</v>
      </c>
      <c r="AY169" s="645">
        <f t="shared" si="262"/>
        <v>0</v>
      </c>
      <c r="AZ169" s="645">
        <f t="shared" si="263"/>
        <v>0</v>
      </c>
      <c r="BA169" s="645">
        <f t="shared" si="264"/>
        <v>0</v>
      </c>
      <c r="BB169" s="645">
        <f t="shared" si="265"/>
        <v>0</v>
      </c>
      <c r="BC169" s="574"/>
      <c r="BD169" s="574"/>
      <c r="BE169" s="574"/>
      <c r="BF169" s="574"/>
      <c r="BG169" s="574"/>
      <c r="BH169" s="574"/>
      <c r="BI169" s="574"/>
      <c r="BJ169" s="574"/>
      <c r="BK169" s="574"/>
      <c r="BL169" s="574"/>
      <c r="BM169" s="574"/>
      <c r="BN169" s="574"/>
      <c r="BO169" s="645">
        <f t="shared" si="293"/>
        <v>0</v>
      </c>
      <c r="BP169" s="645">
        <f t="shared" si="294"/>
        <v>0</v>
      </c>
      <c r="BQ169" s="645">
        <f t="shared" si="295"/>
        <v>0</v>
      </c>
      <c r="BR169" s="645">
        <f t="shared" si="296"/>
        <v>0</v>
      </c>
      <c r="BS169" s="645">
        <f t="shared" si="297"/>
        <v>0</v>
      </c>
      <c r="BT169" s="574"/>
      <c r="BU169" s="574"/>
      <c r="BV169" s="574"/>
      <c r="BW169" s="574"/>
      <c r="BX169" s="574"/>
      <c r="BY169" s="574"/>
      <c r="BZ169" s="574"/>
      <c r="CA169" s="574"/>
      <c r="CB169" s="574"/>
      <c r="CC169" s="574"/>
      <c r="CD169" s="574"/>
      <c r="CE169" s="574"/>
      <c r="CF169" s="646">
        <f t="shared" si="298"/>
        <v>0</v>
      </c>
      <c r="CG169" s="646">
        <f t="shared" si="299"/>
        <v>0</v>
      </c>
      <c r="CH169" s="646">
        <f t="shared" si="300"/>
        <v>0</v>
      </c>
      <c r="CI169" s="646">
        <f t="shared" si="301"/>
        <v>0</v>
      </c>
      <c r="CJ169" s="646">
        <f t="shared" si="302"/>
        <v>0</v>
      </c>
      <c r="CK169" s="574"/>
      <c r="CL169" s="574"/>
      <c r="CM169" s="574"/>
      <c r="CN169" s="574"/>
      <c r="CO169" s="574"/>
      <c r="CP169" s="574"/>
      <c r="CQ169" s="574"/>
      <c r="CR169" s="574"/>
      <c r="CS169" s="574"/>
      <c r="CT169" s="574"/>
      <c r="CU169" s="574"/>
      <c r="CV169" s="574"/>
      <c r="CW169" s="646">
        <f t="shared" si="303"/>
        <v>0</v>
      </c>
      <c r="CX169" s="646">
        <f t="shared" si="304"/>
        <v>0</v>
      </c>
      <c r="CY169" s="646">
        <f t="shared" si="305"/>
        <v>0</v>
      </c>
      <c r="CZ169" s="646">
        <f t="shared" si="306"/>
        <v>0</v>
      </c>
      <c r="DA169" s="646">
        <f t="shared" si="307"/>
        <v>0</v>
      </c>
      <c r="DB169" s="574"/>
      <c r="DC169" s="574"/>
      <c r="DD169" s="574"/>
      <c r="DE169" s="574"/>
      <c r="DF169" s="574"/>
      <c r="DG169" s="574"/>
      <c r="DH169" s="574"/>
      <c r="DI169" s="574"/>
      <c r="DJ169" s="574"/>
      <c r="DK169" s="574"/>
      <c r="DL169" s="574"/>
      <c r="DM169" s="574"/>
      <c r="DN169" s="646">
        <f t="shared" si="308"/>
        <v>0</v>
      </c>
      <c r="DO169" s="646">
        <f t="shared" si="309"/>
        <v>0</v>
      </c>
      <c r="DP169" s="646">
        <f t="shared" si="310"/>
        <v>0</v>
      </c>
      <c r="DQ169" s="646">
        <f t="shared" si="311"/>
        <v>0</v>
      </c>
      <c r="DR169" s="646">
        <f t="shared" si="312"/>
        <v>0</v>
      </c>
      <c r="DS169" s="574"/>
      <c r="DT169" s="574"/>
      <c r="DU169" s="574"/>
      <c r="DV169" s="574"/>
      <c r="DW169" s="574"/>
      <c r="DX169" s="574"/>
      <c r="DY169" s="574"/>
      <c r="DZ169" s="574"/>
      <c r="EA169" s="574"/>
      <c r="EB169" s="574"/>
      <c r="EC169" s="574"/>
      <c r="ED169" s="574"/>
      <c r="EE169" s="646">
        <f t="shared" si="313"/>
        <v>0</v>
      </c>
      <c r="EF169" s="646">
        <f t="shared" si="314"/>
        <v>0</v>
      </c>
      <c r="EG169" s="646">
        <f t="shared" si="315"/>
        <v>0</v>
      </c>
      <c r="EH169" s="646">
        <f t="shared" si="316"/>
        <v>0</v>
      </c>
      <c r="EI169" s="646">
        <f t="shared" si="317"/>
        <v>0</v>
      </c>
      <c r="EJ169" s="574"/>
      <c r="EK169" s="574"/>
      <c r="EL169" s="574"/>
      <c r="EM169" s="574"/>
      <c r="EN169" s="574"/>
      <c r="EO169" s="574"/>
      <c r="EP169" s="574"/>
      <c r="EQ169" s="574"/>
      <c r="ER169" s="574"/>
      <c r="ES169" s="574"/>
      <c r="ET169" s="574"/>
      <c r="EU169" s="574"/>
    </row>
    <row r="170" hidden="1">
      <c r="A170" s="577">
        <v>7408.0</v>
      </c>
      <c r="B170" s="12" t="s">
        <v>269</v>
      </c>
      <c r="C170" s="12" t="s">
        <v>209</v>
      </c>
      <c r="D170" s="574"/>
      <c r="E170" s="574"/>
      <c r="F170" s="574"/>
      <c r="G170" s="574"/>
      <c r="H170" s="574"/>
      <c r="I170" s="574"/>
      <c r="J170" s="574"/>
      <c r="K170" s="574"/>
      <c r="L170" s="574"/>
      <c r="M170" s="574"/>
      <c r="N170" s="574"/>
      <c r="O170" s="574"/>
      <c r="P170" s="645">
        <f t="shared" si="251"/>
        <v>0</v>
      </c>
      <c r="Q170" s="645">
        <f t="shared" si="252"/>
        <v>0</v>
      </c>
      <c r="R170" s="645">
        <f t="shared" si="253"/>
        <v>0</v>
      </c>
      <c r="S170" s="645">
        <f t="shared" si="254"/>
        <v>0</v>
      </c>
      <c r="T170" s="645">
        <f t="shared" si="255"/>
        <v>0</v>
      </c>
      <c r="U170" s="574"/>
      <c r="V170" s="574"/>
      <c r="W170" s="574"/>
      <c r="X170" s="574"/>
      <c r="Y170" s="574"/>
      <c r="Z170" s="574"/>
      <c r="AA170" s="574"/>
      <c r="AB170" s="574"/>
      <c r="AC170" s="574"/>
      <c r="AD170" s="574"/>
      <c r="AE170" s="574"/>
      <c r="AF170" s="574"/>
      <c r="AG170" s="645">
        <f t="shared" si="256"/>
        <v>0</v>
      </c>
      <c r="AH170" s="645">
        <f t="shared" si="257"/>
        <v>0</v>
      </c>
      <c r="AI170" s="645">
        <f t="shared" si="258"/>
        <v>0</v>
      </c>
      <c r="AJ170" s="645">
        <f t="shared" si="259"/>
        <v>0</v>
      </c>
      <c r="AK170" s="645">
        <f t="shared" si="260"/>
        <v>0</v>
      </c>
      <c r="AL170" s="574"/>
      <c r="AM170" s="574"/>
      <c r="AN170" s="574"/>
      <c r="AO170" s="574"/>
      <c r="AP170" s="574"/>
      <c r="AQ170" s="574"/>
      <c r="AR170" s="574"/>
      <c r="AS170" s="574"/>
      <c r="AT170" s="574"/>
      <c r="AU170" s="574"/>
      <c r="AV170" s="574"/>
      <c r="AW170" s="574"/>
      <c r="AX170" s="645">
        <f t="shared" si="261"/>
        <v>0</v>
      </c>
      <c r="AY170" s="645">
        <f t="shared" si="262"/>
        <v>0</v>
      </c>
      <c r="AZ170" s="645">
        <f t="shared" si="263"/>
        <v>0</v>
      </c>
      <c r="BA170" s="645">
        <f t="shared" si="264"/>
        <v>0</v>
      </c>
      <c r="BB170" s="645">
        <f t="shared" si="265"/>
        <v>0</v>
      </c>
      <c r="BC170" s="574"/>
      <c r="BD170" s="574"/>
      <c r="BE170" s="574"/>
      <c r="BF170" s="574"/>
      <c r="BG170" s="574"/>
      <c r="BH170" s="574"/>
      <c r="BI170" s="574"/>
      <c r="BJ170" s="574"/>
      <c r="BK170" s="574"/>
      <c r="BL170" s="574"/>
      <c r="BM170" s="574"/>
      <c r="BN170" s="574"/>
      <c r="BO170" s="645">
        <f t="shared" si="293"/>
        <v>0</v>
      </c>
      <c r="BP170" s="645">
        <f t="shared" si="294"/>
        <v>0</v>
      </c>
      <c r="BQ170" s="645">
        <f t="shared" si="295"/>
        <v>0</v>
      </c>
      <c r="BR170" s="645">
        <f t="shared" si="296"/>
        <v>0</v>
      </c>
      <c r="BS170" s="645">
        <f t="shared" si="297"/>
        <v>0</v>
      </c>
      <c r="BT170" s="574"/>
      <c r="BU170" s="574"/>
      <c r="BV170" s="574"/>
      <c r="BW170" s="574"/>
      <c r="BX170" s="574"/>
      <c r="BY170" s="574"/>
      <c r="BZ170" s="574"/>
      <c r="CA170" s="574"/>
      <c r="CB170" s="574"/>
      <c r="CC170" s="574"/>
      <c r="CD170" s="574"/>
      <c r="CE170" s="574"/>
      <c r="CF170" s="646">
        <f t="shared" si="298"/>
        <v>0</v>
      </c>
      <c r="CG170" s="646">
        <f t="shared" si="299"/>
        <v>0</v>
      </c>
      <c r="CH170" s="646">
        <f t="shared" si="300"/>
        <v>0</v>
      </c>
      <c r="CI170" s="646">
        <f t="shared" si="301"/>
        <v>0</v>
      </c>
      <c r="CJ170" s="646">
        <f t="shared" si="302"/>
        <v>0</v>
      </c>
      <c r="CK170" s="574"/>
      <c r="CL170" s="574"/>
      <c r="CM170" s="574"/>
      <c r="CN170" s="574"/>
      <c r="CO170" s="574"/>
      <c r="CP170" s="574"/>
      <c r="CQ170" s="574"/>
      <c r="CR170" s="574"/>
      <c r="CS170" s="574"/>
      <c r="CT170" s="574"/>
      <c r="CU170" s="574"/>
      <c r="CV170" s="574"/>
      <c r="CW170" s="646">
        <f t="shared" si="303"/>
        <v>0</v>
      </c>
      <c r="CX170" s="646">
        <f t="shared" si="304"/>
        <v>0</v>
      </c>
      <c r="CY170" s="646">
        <f t="shared" si="305"/>
        <v>0</v>
      </c>
      <c r="CZ170" s="646">
        <f t="shared" si="306"/>
        <v>0</v>
      </c>
      <c r="DA170" s="646">
        <f t="shared" si="307"/>
        <v>0</v>
      </c>
      <c r="DB170" s="574"/>
      <c r="DC170" s="574"/>
      <c r="DD170" s="574"/>
      <c r="DE170" s="574"/>
      <c r="DF170" s="574"/>
      <c r="DG170" s="574"/>
      <c r="DH170" s="574"/>
      <c r="DI170" s="574"/>
      <c r="DJ170" s="574"/>
      <c r="DK170" s="574"/>
      <c r="DL170" s="574"/>
      <c r="DM170" s="574"/>
      <c r="DN170" s="646">
        <f t="shared" si="308"/>
        <v>0</v>
      </c>
      <c r="DO170" s="646">
        <f t="shared" si="309"/>
        <v>0</v>
      </c>
      <c r="DP170" s="646">
        <f t="shared" si="310"/>
        <v>0</v>
      </c>
      <c r="DQ170" s="646">
        <f t="shared" si="311"/>
        <v>0</v>
      </c>
      <c r="DR170" s="646">
        <f t="shared" si="312"/>
        <v>0</v>
      </c>
      <c r="DS170" s="574"/>
      <c r="DT170" s="574"/>
      <c r="DU170" s="574"/>
      <c r="DV170" s="574"/>
      <c r="DW170" s="574"/>
      <c r="DX170" s="574"/>
      <c r="DY170" s="574"/>
      <c r="DZ170" s="574"/>
      <c r="EA170" s="574"/>
      <c r="EB170" s="574"/>
      <c r="EC170" s="574"/>
      <c r="ED170" s="574"/>
      <c r="EE170" s="646">
        <f t="shared" si="313"/>
        <v>0</v>
      </c>
      <c r="EF170" s="646">
        <f t="shared" si="314"/>
        <v>0</v>
      </c>
      <c r="EG170" s="646">
        <f t="shared" si="315"/>
        <v>0</v>
      </c>
      <c r="EH170" s="646">
        <f t="shared" si="316"/>
        <v>0</v>
      </c>
      <c r="EI170" s="646">
        <f t="shared" si="317"/>
        <v>0</v>
      </c>
      <c r="EJ170" s="574"/>
      <c r="EK170" s="574"/>
      <c r="EL170" s="574"/>
      <c r="EM170" s="574"/>
      <c r="EN170" s="574"/>
      <c r="EO170" s="574"/>
      <c r="EP170" s="574"/>
      <c r="EQ170" s="574"/>
      <c r="ER170" s="574"/>
      <c r="ES170" s="574"/>
      <c r="ET170" s="574"/>
      <c r="EU170" s="574"/>
    </row>
    <row r="171" hidden="1">
      <c r="A171" s="647">
        <v>7408.0</v>
      </c>
      <c r="B171" s="658" t="s">
        <v>270</v>
      </c>
      <c r="C171" s="658" t="s">
        <v>209</v>
      </c>
      <c r="D171" s="636"/>
      <c r="E171" s="636"/>
      <c r="F171" s="636"/>
      <c r="G171" s="636"/>
      <c r="H171" s="636"/>
      <c r="I171" s="636"/>
      <c r="J171" s="636"/>
      <c r="K171" s="636"/>
      <c r="L171" s="636"/>
      <c r="M171" s="636"/>
      <c r="N171" s="636"/>
      <c r="O171" s="636"/>
      <c r="P171" s="652">
        <f t="shared" si="251"/>
        <v>0</v>
      </c>
      <c r="Q171" s="652">
        <f t="shared" si="252"/>
        <v>0</v>
      </c>
      <c r="R171" s="652">
        <f t="shared" si="253"/>
        <v>0</v>
      </c>
      <c r="S171" s="652">
        <f t="shared" si="254"/>
        <v>0</v>
      </c>
      <c r="T171" s="652">
        <f t="shared" si="255"/>
        <v>0</v>
      </c>
      <c r="U171" s="636"/>
      <c r="V171" s="636"/>
      <c r="W171" s="649">
        <v>7500.0</v>
      </c>
      <c r="X171" s="636"/>
      <c r="Y171" s="636"/>
      <c r="Z171" s="636"/>
      <c r="AA171" s="636"/>
      <c r="AB171" s="649">
        <v>7500.0</v>
      </c>
      <c r="AC171" s="636"/>
      <c r="AD171" s="636"/>
      <c r="AE171" s="636"/>
      <c r="AF171" s="649">
        <v>8000.0</v>
      </c>
      <c r="AG171" s="652">
        <f t="shared" si="256"/>
        <v>7500</v>
      </c>
      <c r="AH171" s="652">
        <f t="shared" si="257"/>
        <v>0</v>
      </c>
      <c r="AI171" s="652">
        <f t="shared" si="258"/>
        <v>7500</v>
      </c>
      <c r="AJ171" s="652">
        <f t="shared" si="259"/>
        <v>8000</v>
      </c>
      <c r="AK171" s="652">
        <f t="shared" si="260"/>
        <v>23000</v>
      </c>
      <c r="AL171" s="636"/>
      <c r="AM171" s="636"/>
      <c r="AN171" s="649">
        <v>5000.0</v>
      </c>
      <c r="AO171" s="649">
        <v>4800.0</v>
      </c>
      <c r="AP171" s="649">
        <v>4300.0</v>
      </c>
      <c r="AQ171" s="649">
        <v>2000.0</v>
      </c>
      <c r="AR171" s="649">
        <v>4000.0</v>
      </c>
      <c r="AS171" s="649">
        <v>5500.0</v>
      </c>
      <c r="AT171" s="636"/>
      <c r="AU171" s="636"/>
      <c r="AV171" s="649">
        <v>3400.0</v>
      </c>
      <c r="AW171" s="649">
        <v>3000.0</v>
      </c>
      <c r="AX171" s="652">
        <f t="shared" si="261"/>
        <v>5000</v>
      </c>
      <c r="AY171" s="652">
        <f t="shared" si="262"/>
        <v>11100</v>
      </c>
      <c r="AZ171" s="652">
        <f t="shared" si="263"/>
        <v>9500</v>
      </c>
      <c r="BA171" s="652">
        <f t="shared" si="264"/>
        <v>6400</v>
      </c>
      <c r="BB171" s="652">
        <f t="shared" si="265"/>
        <v>32000</v>
      </c>
      <c r="BC171" s="636"/>
      <c r="BD171" s="636"/>
      <c r="BE171" s="636"/>
      <c r="BF171" s="636"/>
      <c r="BG171" s="636"/>
      <c r="BH171" s="636"/>
      <c r="BI171" s="636"/>
      <c r="BJ171" s="636"/>
      <c r="BK171" s="636"/>
      <c r="BL171" s="636"/>
      <c r="BM171" s="636"/>
      <c r="BN171" s="636"/>
      <c r="BO171" s="652">
        <f t="shared" si="293"/>
        <v>0</v>
      </c>
      <c r="BP171" s="652">
        <f t="shared" si="294"/>
        <v>0</v>
      </c>
      <c r="BQ171" s="652">
        <f t="shared" si="295"/>
        <v>0</v>
      </c>
      <c r="BR171" s="652">
        <f t="shared" si="296"/>
        <v>0</v>
      </c>
      <c r="BS171" s="652">
        <f t="shared" si="297"/>
        <v>0</v>
      </c>
      <c r="BT171" s="649">
        <v>21929.0</v>
      </c>
      <c r="BU171" s="649">
        <v>52379.0</v>
      </c>
      <c r="BV171" s="649">
        <v>75414.0</v>
      </c>
      <c r="BW171" s="649">
        <v>62313.0</v>
      </c>
      <c r="BX171" s="649">
        <v>5961.0</v>
      </c>
      <c r="BY171" s="649">
        <v>0.0</v>
      </c>
      <c r="BZ171" s="649">
        <v>6154.0</v>
      </c>
      <c r="CA171" s="649">
        <v>10901.0</v>
      </c>
      <c r="CB171" s="649">
        <v>12033.0</v>
      </c>
      <c r="CC171" s="636"/>
      <c r="CD171" s="636"/>
      <c r="CE171" s="636"/>
      <c r="CF171" s="653">
        <f t="shared" si="298"/>
        <v>149722</v>
      </c>
      <c r="CG171" s="653">
        <f t="shared" si="299"/>
        <v>68274</v>
      </c>
      <c r="CH171" s="653">
        <f t="shared" si="300"/>
        <v>29088</v>
      </c>
      <c r="CI171" s="653">
        <f t="shared" si="301"/>
        <v>0</v>
      </c>
      <c r="CJ171" s="653">
        <f t="shared" si="302"/>
        <v>247084</v>
      </c>
      <c r="CK171" s="636"/>
      <c r="CL171" s="636"/>
      <c r="CM171" s="636"/>
      <c r="CN171" s="636"/>
      <c r="CO171" s="636"/>
      <c r="CP171" s="636"/>
      <c r="CQ171" s="636"/>
      <c r="CR171" s="636"/>
      <c r="CS171" s="636"/>
      <c r="CT171" s="636"/>
      <c r="CU171" s="636"/>
      <c r="CV171" s="636"/>
      <c r="CW171" s="653">
        <f t="shared" si="303"/>
        <v>0</v>
      </c>
      <c r="CX171" s="653">
        <f t="shared" si="304"/>
        <v>0</v>
      </c>
      <c r="CY171" s="653">
        <f t="shared" si="305"/>
        <v>0</v>
      </c>
      <c r="CZ171" s="653">
        <f t="shared" si="306"/>
        <v>0</v>
      </c>
      <c r="DA171" s="653">
        <f t="shared" si="307"/>
        <v>0</v>
      </c>
      <c r="DB171" s="636"/>
      <c r="DC171" s="636"/>
      <c r="DD171" s="636"/>
      <c r="DE171" s="636"/>
      <c r="DF171" s="636"/>
      <c r="DG171" s="636"/>
      <c r="DH171" s="636"/>
      <c r="DI171" s="636"/>
      <c r="DJ171" s="636"/>
      <c r="DK171" s="636"/>
      <c r="DL171" s="636"/>
      <c r="DM171" s="636"/>
      <c r="DN171" s="653">
        <f t="shared" si="308"/>
        <v>0</v>
      </c>
      <c r="DO171" s="653">
        <f t="shared" si="309"/>
        <v>0</v>
      </c>
      <c r="DP171" s="653">
        <f t="shared" si="310"/>
        <v>0</v>
      </c>
      <c r="DQ171" s="653">
        <f t="shared" si="311"/>
        <v>0</v>
      </c>
      <c r="DR171" s="653">
        <f t="shared" si="312"/>
        <v>0</v>
      </c>
      <c r="DS171" s="636"/>
      <c r="DT171" s="636"/>
      <c r="DU171" s="636"/>
      <c r="DV171" s="636"/>
      <c r="DW171" s="636"/>
      <c r="DX171" s="636"/>
      <c r="DY171" s="636"/>
      <c r="DZ171" s="636"/>
      <c r="EA171" s="636"/>
      <c r="EB171" s="636"/>
      <c r="EC171" s="636"/>
      <c r="ED171" s="636"/>
      <c r="EE171" s="653">
        <f t="shared" si="313"/>
        <v>0</v>
      </c>
      <c r="EF171" s="653">
        <f t="shared" si="314"/>
        <v>0</v>
      </c>
      <c r="EG171" s="653">
        <f t="shared" si="315"/>
        <v>0</v>
      </c>
      <c r="EH171" s="653">
        <f t="shared" si="316"/>
        <v>0</v>
      </c>
      <c r="EI171" s="653">
        <f t="shared" si="317"/>
        <v>0</v>
      </c>
      <c r="EJ171" s="636"/>
      <c r="EK171" s="636"/>
      <c r="EL171" s="636"/>
      <c r="EM171" s="636"/>
      <c r="EN171" s="574"/>
      <c r="EO171" s="574"/>
      <c r="EP171" s="574"/>
      <c r="EQ171" s="574"/>
      <c r="ER171" s="574"/>
      <c r="ES171" s="574"/>
      <c r="ET171" s="574"/>
      <c r="EU171" s="574"/>
    </row>
    <row r="172" hidden="1">
      <c r="A172" s="577">
        <v>7410.0</v>
      </c>
      <c r="B172" s="12" t="s">
        <v>271</v>
      </c>
      <c r="C172" s="12" t="s">
        <v>209</v>
      </c>
      <c r="D172" s="574"/>
      <c r="E172" s="574"/>
      <c r="F172" s="574"/>
      <c r="G172" s="574"/>
      <c r="H172" s="574"/>
      <c r="I172" s="574"/>
      <c r="J172" s="574"/>
      <c r="K172" s="574"/>
      <c r="L172" s="574"/>
      <c r="M172" s="574"/>
      <c r="N172" s="574"/>
      <c r="O172" s="574"/>
      <c r="P172" s="645">
        <f t="shared" si="251"/>
        <v>0</v>
      </c>
      <c r="Q172" s="645">
        <f t="shared" si="252"/>
        <v>0</v>
      </c>
      <c r="R172" s="645">
        <f t="shared" si="253"/>
        <v>0</v>
      </c>
      <c r="S172" s="645">
        <f t="shared" si="254"/>
        <v>0</v>
      </c>
      <c r="T172" s="645">
        <f t="shared" si="255"/>
        <v>0</v>
      </c>
      <c r="U172" s="574"/>
      <c r="V172" s="574"/>
      <c r="W172" s="574"/>
      <c r="X172" s="574"/>
      <c r="Y172" s="574"/>
      <c r="Z172" s="574"/>
      <c r="AA172" s="574"/>
      <c r="AB172" s="574"/>
      <c r="AC172" s="574"/>
      <c r="AD172" s="574"/>
      <c r="AE172" s="574"/>
      <c r="AF172" s="574"/>
      <c r="AG172" s="645">
        <f t="shared" si="256"/>
        <v>0</v>
      </c>
      <c r="AH172" s="645">
        <f t="shared" si="257"/>
        <v>0</v>
      </c>
      <c r="AI172" s="645">
        <f t="shared" si="258"/>
        <v>0</v>
      </c>
      <c r="AJ172" s="645">
        <f t="shared" si="259"/>
        <v>0</v>
      </c>
      <c r="AK172" s="645">
        <f t="shared" si="260"/>
        <v>0</v>
      </c>
      <c r="AL172" s="569">
        <v>66000.0</v>
      </c>
      <c r="AM172" s="569">
        <v>60000.0</v>
      </c>
      <c r="AN172" s="569">
        <v>58000.0</v>
      </c>
      <c r="AO172" s="569">
        <v>56500.0</v>
      </c>
      <c r="AP172" s="569">
        <v>57000.0</v>
      </c>
      <c r="AQ172" s="569">
        <v>57000.0</v>
      </c>
      <c r="AR172" s="569">
        <v>60000.0</v>
      </c>
      <c r="AS172" s="569">
        <v>60000.0</v>
      </c>
      <c r="AT172" s="569">
        <v>31000.0</v>
      </c>
      <c r="AU172" s="574"/>
      <c r="AV172" s="574"/>
      <c r="AW172" s="574"/>
      <c r="AX172" s="645">
        <f t="shared" si="261"/>
        <v>184000</v>
      </c>
      <c r="AY172" s="645">
        <f t="shared" si="262"/>
        <v>170500</v>
      </c>
      <c r="AZ172" s="645">
        <f t="shared" si="263"/>
        <v>151000</v>
      </c>
      <c r="BA172" s="645">
        <f t="shared" si="264"/>
        <v>0</v>
      </c>
      <c r="BB172" s="645">
        <f t="shared" si="265"/>
        <v>505500</v>
      </c>
      <c r="BC172" s="569">
        <v>346337.0</v>
      </c>
      <c r="BD172" s="574"/>
      <c r="BE172" s="574"/>
      <c r="BF172" s="569">
        <v>97065.0</v>
      </c>
      <c r="BG172" s="569">
        <v>111478.0</v>
      </c>
      <c r="BH172" s="569">
        <v>80300.0</v>
      </c>
      <c r="BI172" s="569">
        <v>95851.0</v>
      </c>
      <c r="BJ172" s="569">
        <v>216964.0</v>
      </c>
      <c r="BK172" s="569">
        <v>213109.0</v>
      </c>
      <c r="BL172" s="569">
        <v>185025.0</v>
      </c>
      <c r="BM172" s="569">
        <v>142490.0</v>
      </c>
      <c r="BN172" s="569">
        <v>136187.0</v>
      </c>
      <c r="BO172" s="645">
        <f t="shared" si="293"/>
        <v>346337</v>
      </c>
      <c r="BP172" s="645">
        <f t="shared" si="294"/>
        <v>288843</v>
      </c>
      <c r="BQ172" s="645">
        <f t="shared" si="295"/>
        <v>525924</v>
      </c>
      <c r="BR172" s="645">
        <f t="shared" si="296"/>
        <v>463702</v>
      </c>
      <c r="BS172" s="645">
        <f t="shared" si="297"/>
        <v>1624806</v>
      </c>
      <c r="BT172" s="569">
        <v>48532.0</v>
      </c>
      <c r="BU172" s="569">
        <v>53423.0</v>
      </c>
      <c r="BV172" s="569">
        <v>105134.0</v>
      </c>
      <c r="BW172" s="569">
        <v>130347.0</v>
      </c>
      <c r="BX172" s="569">
        <v>97332.0</v>
      </c>
      <c r="BY172" s="569">
        <v>46420.0</v>
      </c>
      <c r="BZ172" s="569">
        <v>34826.0</v>
      </c>
      <c r="CA172" s="569">
        <v>62973.0</v>
      </c>
      <c r="CB172" s="569">
        <v>46618.0</v>
      </c>
      <c r="CC172" s="574"/>
      <c r="CD172" s="574"/>
      <c r="CE172" s="574"/>
      <c r="CF172" s="646">
        <f t="shared" si="298"/>
        <v>207089</v>
      </c>
      <c r="CG172" s="646">
        <f t="shared" si="299"/>
        <v>274099</v>
      </c>
      <c r="CH172" s="646">
        <f t="shared" si="300"/>
        <v>144417</v>
      </c>
      <c r="CI172" s="646">
        <f t="shared" si="301"/>
        <v>0</v>
      </c>
      <c r="CJ172" s="646">
        <f t="shared" si="302"/>
        <v>625605</v>
      </c>
      <c r="CK172" s="574"/>
      <c r="CL172" s="574"/>
      <c r="CM172" s="574"/>
      <c r="CN172" s="574"/>
      <c r="CO172" s="574"/>
      <c r="CP172" s="574"/>
      <c r="CQ172" s="574"/>
      <c r="CR172" s="574"/>
      <c r="CS172" s="574"/>
      <c r="CT172" s="574"/>
      <c r="CU172" s="574"/>
      <c r="CV172" s="574"/>
      <c r="CW172" s="646">
        <f t="shared" si="303"/>
        <v>0</v>
      </c>
      <c r="CX172" s="646">
        <f t="shared" si="304"/>
        <v>0</v>
      </c>
      <c r="CY172" s="646">
        <f t="shared" si="305"/>
        <v>0</v>
      </c>
      <c r="CZ172" s="646">
        <f t="shared" si="306"/>
        <v>0</v>
      </c>
      <c r="DA172" s="646">
        <f t="shared" si="307"/>
        <v>0</v>
      </c>
      <c r="DB172" s="574"/>
      <c r="DC172" s="574"/>
      <c r="DD172" s="574"/>
      <c r="DE172" s="574"/>
      <c r="DF172" s="574"/>
      <c r="DG172" s="574"/>
      <c r="DH172" s="574"/>
      <c r="DI172" s="574"/>
      <c r="DJ172" s="574"/>
      <c r="DK172" s="574"/>
      <c r="DL172" s="574"/>
      <c r="DM172" s="574"/>
      <c r="DN172" s="646">
        <f t="shared" si="308"/>
        <v>0</v>
      </c>
      <c r="DO172" s="646">
        <f t="shared" si="309"/>
        <v>0</v>
      </c>
      <c r="DP172" s="646">
        <f t="shared" si="310"/>
        <v>0</v>
      </c>
      <c r="DQ172" s="646">
        <f t="shared" si="311"/>
        <v>0</v>
      </c>
      <c r="DR172" s="646">
        <f t="shared" si="312"/>
        <v>0</v>
      </c>
      <c r="DS172" s="574"/>
      <c r="DT172" s="574"/>
      <c r="DU172" s="574"/>
      <c r="DV172" s="574"/>
      <c r="DW172" s="574"/>
      <c r="DX172" s="574"/>
      <c r="DY172" s="574"/>
      <c r="DZ172" s="574"/>
      <c r="EA172" s="574"/>
      <c r="EB172" s="574"/>
      <c r="EC172" s="574"/>
      <c r="ED172" s="574"/>
      <c r="EE172" s="646">
        <f t="shared" si="313"/>
        <v>0</v>
      </c>
      <c r="EF172" s="646">
        <f t="shared" si="314"/>
        <v>0</v>
      </c>
      <c r="EG172" s="646">
        <f t="shared" si="315"/>
        <v>0</v>
      </c>
      <c r="EH172" s="646">
        <f t="shared" si="316"/>
        <v>0</v>
      </c>
      <c r="EI172" s="646">
        <f t="shared" si="317"/>
        <v>0</v>
      </c>
      <c r="EJ172" s="569">
        <v>83.840008911638</v>
      </c>
      <c r="EK172" s="571" t="str">
        <f>CY172/DA172*100</f>
        <v>#DIV/0!</v>
      </c>
      <c r="EL172" s="569">
        <f>CZ172/EJ172*100</f>
        <v>0</v>
      </c>
      <c r="EM172" s="596" t="str">
        <f>EL172/EK172*100-100</f>
        <v>#DIV/0!</v>
      </c>
      <c r="EN172" s="574"/>
      <c r="EO172" s="574"/>
      <c r="EP172" s="574"/>
      <c r="EQ172" s="574"/>
      <c r="ER172" s="574"/>
      <c r="ES172" s="574"/>
      <c r="ET172" s="574"/>
      <c r="EU172" s="574"/>
    </row>
    <row r="173" hidden="1">
      <c r="A173" s="577">
        <v>7410.0</v>
      </c>
      <c r="B173" s="12" t="s">
        <v>272</v>
      </c>
      <c r="C173" s="12" t="s">
        <v>209</v>
      </c>
      <c r="D173" s="574"/>
      <c r="E173" s="574"/>
      <c r="F173" s="574"/>
      <c r="G173" s="574"/>
      <c r="H173" s="574"/>
      <c r="I173" s="574"/>
      <c r="J173" s="574"/>
      <c r="K173" s="574"/>
      <c r="L173" s="574"/>
      <c r="M173" s="574"/>
      <c r="N173" s="574"/>
      <c r="O173" s="574"/>
      <c r="P173" s="645">
        <f t="shared" si="251"/>
        <v>0</v>
      </c>
      <c r="Q173" s="645">
        <f t="shared" si="252"/>
        <v>0</v>
      </c>
      <c r="R173" s="645">
        <f t="shared" si="253"/>
        <v>0</v>
      </c>
      <c r="S173" s="645">
        <f t="shared" si="254"/>
        <v>0</v>
      </c>
      <c r="T173" s="645">
        <f t="shared" si="255"/>
        <v>0</v>
      </c>
      <c r="U173" s="574"/>
      <c r="V173" s="574"/>
      <c r="W173" s="574"/>
      <c r="X173" s="574"/>
      <c r="Y173" s="574"/>
      <c r="Z173" s="574"/>
      <c r="AA173" s="574"/>
      <c r="AB173" s="574"/>
      <c r="AC173" s="574"/>
      <c r="AD173" s="574"/>
      <c r="AE173" s="574"/>
      <c r="AF173" s="574"/>
      <c r="AG173" s="645">
        <f t="shared" si="256"/>
        <v>0</v>
      </c>
      <c r="AH173" s="645">
        <f t="shared" si="257"/>
        <v>0</v>
      </c>
      <c r="AI173" s="645">
        <f t="shared" si="258"/>
        <v>0</v>
      </c>
      <c r="AJ173" s="645">
        <f t="shared" si="259"/>
        <v>0</v>
      </c>
      <c r="AK173" s="645">
        <f t="shared" si="260"/>
        <v>0</v>
      </c>
      <c r="AL173" s="569">
        <v>41000.0</v>
      </c>
      <c r="AM173" s="569">
        <v>79000.0</v>
      </c>
      <c r="AN173" s="569">
        <v>164000.0</v>
      </c>
      <c r="AO173" s="569">
        <v>90000.0</v>
      </c>
      <c r="AP173" s="569">
        <v>7000.0</v>
      </c>
      <c r="AQ173" s="569">
        <v>1000.0</v>
      </c>
      <c r="AR173" s="569">
        <v>5896.0</v>
      </c>
      <c r="AS173" s="569">
        <v>61315.0</v>
      </c>
      <c r="AT173" s="569">
        <v>305270.0</v>
      </c>
      <c r="AU173" s="569">
        <v>314367.0</v>
      </c>
      <c r="AV173" s="569">
        <v>304419.0</v>
      </c>
      <c r="AW173" s="569">
        <v>245610.0</v>
      </c>
      <c r="AX173" s="645">
        <f t="shared" si="261"/>
        <v>284000</v>
      </c>
      <c r="AY173" s="645">
        <f t="shared" si="262"/>
        <v>98000</v>
      </c>
      <c r="AZ173" s="645">
        <f t="shared" si="263"/>
        <v>372481</v>
      </c>
      <c r="BA173" s="645">
        <f t="shared" si="264"/>
        <v>864396</v>
      </c>
      <c r="BB173" s="645">
        <f t="shared" si="265"/>
        <v>1618877</v>
      </c>
      <c r="BC173" s="569">
        <v>231005.0</v>
      </c>
      <c r="BD173" s="569">
        <v>317862.0</v>
      </c>
      <c r="BE173" s="569">
        <v>322513.0</v>
      </c>
      <c r="BF173" s="574"/>
      <c r="BG173" s="574"/>
      <c r="BH173" s="574"/>
      <c r="BI173" s="574"/>
      <c r="BJ173" s="574"/>
      <c r="BK173" s="574"/>
      <c r="BL173" s="569">
        <v>171377.0</v>
      </c>
      <c r="BM173" s="569">
        <v>232907.0</v>
      </c>
      <c r="BN173" s="569">
        <v>233762.0</v>
      </c>
      <c r="BO173" s="645">
        <f t="shared" si="293"/>
        <v>871380</v>
      </c>
      <c r="BP173" s="645">
        <f t="shared" si="294"/>
        <v>0</v>
      </c>
      <c r="BQ173" s="645">
        <f t="shared" si="295"/>
        <v>0</v>
      </c>
      <c r="BR173" s="645">
        <f t="shared" si="296"/>
        <v>638046</v>
      </c>
      <c r="BS173" s="645">
        <f t="shared" si="297"/>
        <v>1509426</v>
      </c>
      <c r="BT173" s="569">
        <v>116371.0</v>
      </c>
      <c r="BU173" s="569">
        <v>121919.0</v>
      </c>
      <c r="BV173" s="569">
        <v>123351.0</v>
      </c>
      <c r="BW173" s="569">
        <v>142888.0</v>
      </c>
      <c r="BX173" s="569">
        <v>66032.0</v>
      </c>
      <c r="BY173" s="569">
        <v>5473.0</v>
      </c>
      <c r="BZ173" s="569">
        <v>34545.0</v>
      </c>
      <c r="CA173" s="569">
        <v>38073.0</v>
      </c>
      <c r="CB173" s="569">
        <v>188120.0</v>
      </c>
      <c r="CC173" s="574"/>
      <c r="CD173" s="574"/>
      <c r="CE173" s="574"/>
      <c r="CF173" s="646">
        <f t="shared" si="298"/>
        <v>361641</v>
      </c>
      <c r="CG173" s="646">
        <f t="shared" si="299"/>
        <v>214393</v>
      </c>
      <c r="CH173" s="646">
        <f t="shared" si="300"/>
        <v>260738</v>
      </c>
      <c r="CI173" s="646">
        <f t="shared" si="301"/>
        <v>0</v>
      </c>
      <c r="CJ173" s="646">
        <f t="shared" si="302"/>
        <v>836772</v>
      </c>
      <c r="CK173" s="574"/>
      <c r="CL173" s="574"/>
      <c r="CM173" s="574"/>
      <c r="CN173" s="574"/>
      <c r="CO173" s="574"/>
      <c r="CP173" s="574"/>
      <c r="CQ173" s="574"/>
      <c r="CR173" s="574"/>
      <c r="CS173" s="574"/>
      <c r="CT173" s="574"/>
      <c r="CU173" s="574"/>
      <c r="CV173" s="574"/>
      <c r="CW173" s="646">
        <f t="shared" si="303"/>
        <v>0</v>
      </c>
      <c r="CX173" s="646">
        <f t="shared" si="304"/>
        <v>0</v>
      </c>
      <c r="CY173" s="646">
        <f t="shared" si="305"/>
        <v>0</v>
      </c>
      <c r="CZ173" s="646">
        <f t="shared" si="306"/>
        <v>0</v>
      </c>
      <c r="DA173" s="646">
        <f t="shared" si="307"/>
        <v>0</v>
      </c>
      <c r="DB173" s="574"/>
      <c r="DC173" s="574"/>
      <c r="DD173" s="574"/>
      <c r="DE173" s="574"/>
      <c r="DF173" s="574"/>
      <c r="DG173" s="574"/>
      <c r="DH173" s="574"/>
      <c r="DI173" s="574"/>
      <c r="DJ173" s="574"/>
      <c r="DK173" s="574"/>
      <c r="DL173" s="574"/>
      <c r="DM173" s="574"/>
      <c r="DN173" s="646">
        <f t="shared" si="308"/>
        <v>0</v>
      </c>
      <c r="DO173" s="646">
        <f t="shared" si="309"/>
        <v>0</v>
      </c>
      <c r="DP173" s="646">
        <f t="shared" si="310"/>
        <v>0</v>
      </c>
      <c r="DQ173" s="646">
        <f t="shared" si="311"/>
        <v>0</v>
      </c>
      <c r="DR173" s="646">
        <f t="shared" si="312"/>
        <v>0</v>
      </c>
      <c r="DS173" s="574"/>
      <c r="DT173" s="574"/>
      <c r="DU173" s="574"/>
      <c r="DV173" s="574"/>
      <c r="DW173" s="574"/>
      <c r="DX173" s="574"/>
      <c r="DY173" s="574"/>
      <c r="DZ173" s="574"/>
      <c r="EA173" s="574"/>
      <c r="EB173" s="574"/>
      <c r="EC173" s="574"/>
      <c r="ED173" s="574"/>
      <c r="EE173" s="646">
        <f t="shared" si="313"/>
        <v>0</v>
      </c>
      <c r="EF173" s="646">
        <f t="shared" si="314"/>
        <v>0</v>
      </c>
      <c r="EG173" s="646">
        <f t="shared" si="315"/>
        <v>0</v>
      </c>
      <c r="EH173" s="646">
        <f t="shared" si="316"/>
        <v>0</v>
      </c>
      <c r="EI173" s="646">
        <f t="shared" si="317"/>
        <v>0</v>
      </c>
      <c r="EJ173" s="574"/>
      <c r="EK173" s="574"/>
      <c r="EL173" s="574"/>
      <c r="EM173" s="574"/>
      <c r="EN173" s="574"/>
      <c r="EO173" s="574"/>
      <c r="EP173" s="574"/>
      <c r="EQ173" s="574"/>
      <c r="ER173" s="574"/>
      <c r="ES173" s="574"/>
      <c r="ET173" s="574"/>
      <c r="EU173" s="574"/>
    </row>
    <row r="174" hidden="1">
      <c r="A174" s="577">
        <v>7410.0</v>
      </c>
      <c r="B174" s="12" t="s">
        <v>273</v>
      </c>
      <c r="C174" s="12" t="s">
        <v>209</v>
      </c>
      <c r="D174" s="574"/>
      <c r="E174" s="574"/>
      <c r="F174" s="574"/>
      <c r="G174" s="574"/>
      <c r="H174" s="574"/>
      <c r="I174" s="574"/>
      <c r="J174" s="574"/>
      <c r="K174" s="574"/>
      <c r="L174" s="574"/>
      <c r="M174" s="574"/>
      <c r="N174" s="574"/>
      <c r="O174" s="574"/>
      <c r="P174" s="645">
        <f t="shared" si="251"/>
        <v>0</v>
      </c>
      <c r="Q174" s="645">
        <f t="shared" si="252"/>
        <v>0</v>
      </c>
      <c r="R174" s="645">
        <f t="shared" si="253"/>
        <v>0</v>
      </c>
      <c r="S174" s="645">
        <f t="shared" si="254"/>
        <v>0</v>
      </c>
      <c r="T174" s="645">
        <f t="shared" si="255"/>
        <v>0</v>
      </c>
      <c r="U174" s="574"/>
      <c r="V174" s="574"/>
      <c r="W174" s="574"/>
      <c r="X174" s="574"/>
      <c r="Y174" s="574"/>
      <c r="Z174" s="574"/>
      <c r="AA174" s="574"/>
      <c r="AB174" s="574"/>
      <c r="AC174" s="574"/>
      <c r="AD174" s="574"/>
      <c r="AE174" s="574"/>
      <c r="AF174" s="574"/>
      <c r="AG174" s="645">
        <f t="shared" si="256"/>
        <v>0</v>
      </c>
      <c r="AH174" s="645">
        <f t="shared" si="257"/>
        <v>0</v>
      </c>
      <c r="AI174" s="645">
        <f t="shared" si="258"/>
        <v>0</v>
      </c>
      <c r="AJ174" s="645">
        <f t="shared" si="259"/>
        <v>0</v>
      </c>
      <c r="AK174" s="645">
        <f t="shared" si="260"/>
        <v>0</v>
      </c>
      <c r="AL174" s="569">
        <v>68700.0</v>
      </c>
      <c r="AM174" s="569">
        <v>70410.0</v>
      </c>
      <c r="AN174" s="569">
        <v>54800.0</v>
      </c>
      <c r="AO174" s="574"/>
      <c r="AP174" s="574"/>
      <c r="AQ174" s="574"/>
      <c r="AR174" s="574"/>
      <c r="AS174" s="574"/>
      <c r="AT174" s="574"/>
      <c r="AU174" s="574"/>
      <c r="AV174" s="574"/>
      <c r="AW174" s="574"/>
      <c r="AX174" s="645">
        <f t="shared" si="261"/>
        <v>193910</v>
      </c>
      <c r="AY174" s="645">
        <f t="shared" si="262"/>
        <v>0</v>
      </c>
      <c r="AZ174" s="645">
        <f t="shared" si="263"/>
        <v>0</v>
      </c>
      <c r="BA174" s="645">
        <f t="shared" si="264"/>
        <v>0</v>
      </c>
      <c r="BB174" s="645">
        <f t="shared" si="265"/>
        <v>193910</v>
      </c>
      <c r="BC174" s="574"/>
      <c r="BD174" s="574"/>
      <c r="BE174" s="574"/>
      <c r="BF174" s="574"/>
      <c r="BG174" s="574"/>
      <c r="BH174" s="574"/>
      <c r="BI174" s="574"/>
      <c r="BJ174" s="574"/>
      <c r="BK174" s="574"/>
      <c r="BL174" s="574"/>
      <c r="BM174" s="574"/>
      <c r="BN174" s="574"/>
      <c r="BO174" s="645">
        <f t="shared" si="293"/>
        <v>0</v>
      </c>
      <c r="BP174" s="645">
        <f t="shared" si="294"/>
        <v>0</v>
      </c>
      <c r="BQ174" s="645">
        <f t="shared" si="295"/>
        <v>0</v>
      </c>
      <c r="BR174" s="645">
        <f t="shared" si="296"/>
        <v>0</v>
      </c>
      <c r="BS174" s="645">
        <f t="shared" si="297"/>
        <v>0</v>
      </c>
      <c r="BT174" s="574"/>
      <c r="BU174" s="574"/>
      <c r="BV174" s="574"/>
      <c r="BW174" s="569">
        <v>79690.0</v>
      </c>
      <c r="BX174" s="569">
        <v>19966.0</v>
      </c>
      <c r="BY174" s="569">
        <v>45325.0</v>
      </c>
      <c r="BZ174" s="574"/>
      <c r="CA174" s="574"/>
      <c r="CB174" s="574"/>
      <c r="CC174" s="574"/>
      <c r="CD174" s="574"/>
      <c r="CE174" s="574"/>
      <c r="CF174" s="646">
        <f t="shared" si="298"/>
        <v>0</v>
      </c>
      <c r="CG174" s="646">
        <f t="shared" si="299"/>
        <v>144981</v>
      </c>
      <c r="CH174" s="646">
        <f t="shared" si="300"/>
        <v>0</v>
      </c>
      <c r="CI174" s="646">
        <f t="shared" si="301"/>
        <v>0</v>
      </c>
      <c r="CJ174" s="646">
        <f t="shared" si="302"/>
        <v>144981</v>
      </c>
      <c r="CK174" s="574"/>
      <c r="CL174" s="574"/>
      <c r="CM174" s="574"/>
      <c r="CN174" s="574"/>
      <c r="CO174" s="574"/>
      <c r="CP174" s="574"/>
      <c r="CQ174" s="574"/>
      <c r="CR174" s="574"/>
      <c r="CS174" s="574"/>
      <c r="CT174" s="574"/>
      <c r="CU174" s="574"/>
      <c r="CV174" s="574"/>
      <c r="CW174" s="646">
        <f t="shared" si="303"/>
        <v>0</v>
      </c>
      <c r="CX174" s="646">
        <f t="shared" si="304"/>
        <v>0</v>
      </c>
      <c r="CY174" s="646">
        <f t="shared" si="305"/>
        <v>0</v>
      </c>
      <c r="CZ174" s="646">
        <f t="shared" si="306"/>
        <v>0</v>
      </c>
      <c r="DA174" s="646">
        <f t="shared" si="307"/>
        <v>0</v>
      </c>
      <c r="DB174" s="574"/>
      <c r="DC174" s="574"/>
      <c r="DD174" s="574"/>
      <c r="DE174" s="574"/>
      <c r="DF174" s="574"/>
      <c r="DG174" s="574"/>
      <c r="DH174" s="574"/>
      <c r="DI174" s="574"/>
      <c r="DJ174" s="574"/>
      <c r="DK174" s="574"/>
      <c r="DL174" s="574"/>
      <c r="DM174" s="574"/>
      <c r="DN174" s="646">
        <f t="shared" si="308"/>
        <v>0</v>
      </c>
      <c r="DO174" s="646">
        <f t="shared" si="309"/>
        <v>0</v>
      </c>
      <c r="DP174" s="646">
        <f t="shared" si="310"/>
        <v>0</v>
      </c>
      <c r="DQ174" s="646">
        <f t="shared" si="311"/>
        <v>0</v>
      </c>
      <c r="DR174" s="646">
        <f t="shared" si="312"/>
        <v>0</v>
      </c>
      <c r="DS174" s="574"/>
      <c r="DT174" s="574"/>
      <c r="DU174" s="574"/>
      <c r="DV174" s="574"/>
      <c r="DW174" s="574"/>
      <c r="DX174" s="574"/>
      <c r="DY174" s="574"/>
      <c r="DZ174" s="574"/>
      <c r="EA174" s="574"/>
      <c r="EB174" s="574"/>
      <c r="EC174" s="574"/>
      <c r="ED174" s="574"/>
      <c r="EE174" s="646">
        <f t="shared" si="313"/>
        <v>0</v>
      </c>
      <c r="EF174" s="646">
        <f t="shared" si="314"/>
        <v>0</v>
      </c>
      <c r="EG174" s="646">
        <f t="shared" si="315"/>
        <v>0</v>
      </c>
      <c r="EH174" s="646">
        <f t="shared" si="316"/>
        <v>0</v>
      </c>
      <c r="EI174" s="646">
        <f t="shared" si="317"/>
        <v>0</v>
      </c>
      <c r="EJ174" s="574"/>
      <c r="EK174" s="574"/>
      <c r="EL174" s="574"/>
      <c r="EM174" s="574"/>
      <c r="EN174" s="574"/>
      <c r="EO174" s="574"/>
      <c r="EP174" s="574"/>
      <c r="EQ174" s="574"/>
      <c r="ER174" s="574"/>
      <c r="ES174" s="574"/>
      <c r="ET174" s="574"/>
      <c r="EU174" s="574"/>
    </row>
    <row r="175" hidden="1">
      <c r="A175" s="577">
        <v>7410.0</v>
      </c>
      <c r="B175" s="12" t="s">
        <v>218</v>
      </c>
      <c r="C175" s="12" t="s">
        <v>209</v>
      </c>
      <c r="D175" s="574"/>
      <c r="E175" s="574"/>
      <c r="F175" s="574"/>
      <c r="G175" s="574"/>
      <c r="H175" s="574"/>
      <c r="I175" s="574"/>
      <c r="J175" s="574"/>
      <c r="K175" s="574"/>
      <c r="L175" s="574"/>
      <c r="M175" s="574"/>
      <c r="N175" s="574"/>
      <c r="O175" s="574"/>
      <c r="P175" s="645">
        <f t="shared" si="251"/>
        <v>0</v>
      </c>
      <c r="Q175" s="645">
        <f t="shared" si="252"/>
        <v>0</v>
      </c>
      <c r="R175" s="645">
        <f t="shared" si="253"/>
        <v>0</v>
      </c>
      <c r="S175" s="645">
        <f t="shared" si="254"/>
        <v>0</v>
      </c>
      <c r="T175" s="645">
        <f t="shared" si="255"/>
        <v>0</v>
      </c>
      <c r="U175" s="574"/>
      <c r="V175" s="574"/>
      <c r="W175" s="574"/>
      <c r="X175" s="574"/>
      <c r="Y175" s="574"/>
      <c r="Z175" s="574"/>
      <c r="AA175" s="574"/>
      <c r="AB175" s="574"/>
      <c r="AC175" s="574"/>
      <c r="AD175" s="574"/>
      <c r="AE175" s="574"/>
      <c r="AF175" s="574"/>
      <c r="AG175" s="645">
        <f t="shared" si="256"/>
        <v>0</v>
      </c>
      <c r="AH175" s="645">
        <f t="shared" si="257"/>
        <v>0</v>
      </c>
      <c r="AI175" s="645">
        <f t="shared" si="258"/>
        <v>0</v>
      </c>
      <c r="AJ175" s="645">
        <f t="shared" si="259"/>
        <v>0</v>
      </c>
      <c r="AK175" s="645">
        <f t="shared" si="260"/>
        <v>0</v>
      </c>
      <c r="AL175" s="574"/>
      <c r="AM175" s="574"/>
      <c r="AN175" s="574"/>
      <c r="AO175" s="574"/>
      <c r="AP175" s="574"/>
      <c r="AQ175" s="574"/>
      <c r="AR175" s="574"/>
      <c r="AS175" s="574"/>
      <c r="AT175" s="574"/>
      <c r="AU175" s="574"/>
      <c r="AV175" s="574"/>
      <c r="AW175" s="574"/>
      <c r="AX175" s="645">
        <f t="shared" si="261"/>
        <v>0</v>
      </c>
      <c r="AY175" s="645">
        <f t="shared" si="262"/>
        <v>0</v>
      </c>
      <c r="AZ175" s="645">
        <f t="shared" si="263"/>
        <v>0</v>
      </c>
      <c r="BA175" s="645">
        <f t="shared" si="264"/>
        <v>0</v>
      </c>
      <c r="BB175" s="645">
        <f t="shared" si="265"/>
        <v>0</v>
      </c>
      <c r="BC175" s="574"/>
      <c r="BD175" s="574"/>
      <c r="BE175" s="574"/>
      <c r="BF175" s="574"/>
      <c r="BG175" s="574"/>
      <c r="BH175" s="574"/>
      <c r="BI175" s="574"/>
      <c r="BJ175" s="574"/>
      <c r="BK175" s="574"/>
      <c r="BL175" s="574"/>
      <c r="BM175" s="574"/>
      <c r="BN175" s="574"/>
      <c r="BO175" s="645">
        <f t="shared" si="293"/>
        <v>0</v>
      </c>
      <c r="BP175" s="645">
        <f t="shared" si="294"/>
        <v>0</v>
      </c>
      <c r="BQ175" s="645">
        <f t="shared" si="295"/>
        <v>0</v>
      </c>
      <c r="BR175" s="645">
        <f t="shared" si="296"/>
        <v>0</v>
      </c>
      <c r="BS175" s="645">
        <f t="shared" si="297"/>
        <v>0</v>
      </c>
      <c r="BT175" s="569">
        <v>8082.0</v>
      </c>
      <c r="BU175" s="569">
        <v>16470.0</v>
      </c>
      <c r="BV175" s="574"/>
      <c r="BW175" s="574"/>
      <c r="BX175" s="574"/>
      <c r="BY175" s="574"/>
      <c r="BZ175" s="569">
        <v>19342.0</v>
      </c>
      <c r="CA175" s="569">
        <v>45908.0</v>
      </c>
      <c r="CB175" s="569">
        <v>47267.0</v>
      </c>
      <c r="CC175" s="574"/>
      <c r="CD175" s="574"/>
      <c r="CE175" s="574"/>
      <c r="CF175" s="646">
        <f t="shared" si="298"/>
        <v>24552</v>
      </c>
      <c r="CG175" s="646">
        <f t="shared" si="299"/>
        <v>0</v>
      </c>
      <c r="CH175" s="646">
        <f t="shared" si="300"/>
        <v>112517</v>
      </c>
      <c r="CI175" s="646">
        <f t="shared" si="301"/>
        <v>0</v>
      </c>
      <c r="CJ175" s="646">
        <f t="shared" si="302"/>
        <v>137069</v>
      </c>
      <c r="CK175" s="574"/>
      <c r="CL175" s="574"/>
      <c r="CM175" s="574"/>
      <c r="CN175" s="574"/>
      <c r="CO175" s="574"/>
      <c r="CP175" s="574"/>
      <c r="CQ175" s="574"/>
      <c r="CR175" s="574"/>
      <c r="CS175" s="574"/>
      <c r="CT175" s="574"/>
      <c r="CU175" s="574"/>
      <c r="CV175" s="574"/>
      <c r="CW175" s="646">
        <f t="shared" si="303"/>
        <v>0</v>
      </c>
      <c r="CX175" s="646">
        <f t="shared" si="304"/>
        <v>0</v>
      </c>
      <c r="CY175" s="646">
        <f t="shared" si="305"/>
        <v>0</v>
      </c>
      <c r="CZ175" s="646">
        <f t="shared" si="306"/>
        <v>0</v>
      </c>
      <c r="DA175" s="646">
        <f t="shared" si="307"/>
        <v>0</v>
      </c>
      <c r="DB175" s="574"/>
      <c r="DC175" s="574"/>
      <c r="DD175" s="574"/>
      <c r="DE175" s="574"/>
      <c r="DF175" s="574"/>
      <c r="DG175" s="574"/>
      <c r="DH175" s="574"/>
      <c r="DI175" s="574"/>
      <c r="DJ175" s="574"/>
      <c r="DK175" s="574"/>
      <c r="DL175" s="574"/>
      <c r="DM175" s="574"/>
      <c r="DN175" s="646">
        <f t="shared" si="308"/>
        <v>0</v>
      </c>
      <c r="DO175" s="646">
        <f t="shared" si="309"/>
        <v>0</v>
      </c>
      <c r="DP175" s="646">
        <f t="shared" si="310"/>
        <v>0</v>
      </c>
      <c r="DQ175" s="646">
        <f t="shared" si="311"/>
        <v>0</v>
      </c>
      <c r="DR175" s="646">
        <f t="shared" si="312"/>
        <v>0</v>
      </c>
      <c r="DS175" s="574"/>
      <c r="DT175" s="574"/>
      <c r="DU175" s="574"/>
      <c r="DV175" s="574"/>
      <c r="DW175" s="574"/>
      <c r="DX175" s="574"/>
      <c r="DY175" s="574"/>
      <c r="DZ175" s="574"/>
      <c r="EA175" s="574"/>
      <c r="EB175" s="574"/>
      <c r="EC175" s="574"/>
      <c r="ED175" s="574"/>
      <c r="EE175" s="646">
        <f t="shared" si="313"/>
        <v>0</v>
      </c>
      <c r="EF175" s="646">
        <f t="shared" si="314"/>
        <v>0</v>
      </c>
      <c r="EG175" s="646">
        <f t="shared" si="315"/>
        <v>0</v>
      </c>
      <c r="EH175" s="646">
        <f t="shared" si="316"/>
        <v>0</v>
      </c>
      <c r="EI175" s="646">
        <f t="shared" si="317"/>
        <v>0</v>
      </c>
      <c r="EJ175" s="574"/>
      <c r="EK175" s="574"/>
      <c r="EL175" s="574"/>
      <c r="EM175" s="574"/>
      <c r="EN175" s="574"/>
      <c r="EO175" s="574"/>
      <c r="EP175" s="574"/>
      <c r="EQ175" s="574"/>
      <c r="ER175" s="574"/>
      <c r="ES175" s="574"/>
      <c r="ET175" s="574"/>
      <c r="EU175" s="574"/>
    </row>
    <row r="176" hidden="1">
      <c r="A176" s="577">
        <v>7410.0</v>
      </c>
      <c r="B176" s="12" t="s">
        <v>274</v>
      </c>
      <c r="C176" s="12" t="s">
        <v>209</v>
      </c>
      <c r="D176" s="574"/>
      <c r="E176" s="574"/>
      <c r="F176" s="574"/>
      <c r="G176" s="574"/>
      <c r="H176" s="574"/>
      <c r="I176" s="574"/>
      <c r="J176" s="574"/>
      <c r="K176" s="574"/>
      <c r="L176" s="574"/>
      <c r="M176" s="574"/>
      <c r="N176" s="574"/>
      <c r="O176" s="574"/>
      <c r="P176" s="645">
        <f t="shared" si="251"/>
        <v>0</v>
      </c>
      <c r="Q176" s="645">
        <f t="shared" si="252"/>
        <v>0</v>
      </c>
      <c r="R176" s="645">
        <f t="shared" si="253"/>
        <v>0</v>
      </c>
      <c r="S176" s="645">
        <f t="shared" si="254"/>
        <v>0</v>
      </c>
      <c r="T176" s="645">
        <f t="shared" si="255"/>
        <v>0</v>
      </c>
      <c r="U176" s="574"/>
      <c r="V176" s="574"/>
      <c r="W176" s="574"/>
      <c r="X176" s="574"/>
      <c r="Y176" s="574"/>
      <c r="Z176" s="574"/>
      <c r="AA176" s="574"/>
      <c r="AB176" s="574"/>
      <c r="AC176" s="574"/>
      <c r="AD176" s="574"/>
      <c r="AE176" s="574"/>
      <c r="AF176" s="574"/>
      <c r="AG176" s="645">
        <f t="shared" si="256"/>
        <v>0</v>
      </c>
      <c r="AH176" s="645">
        <f t="shared" si="257"/>
        <v>0</v>
      </c>
      <c r="AI176" s="645">
        <f t="shared" si="258"/>
        <v>0</v>
      </c>
      <c r="AJ176" s="645">
        <f t="shared" si="259"/>
        <v>0</v>
      </c>
      <c r="AK176" s="645">
        <f t="shared" si="260"/>
        <v>0</v>
      </c>
      <c r="AL176" s="574"/>
      <c r="AM176" s="574"/>
      <c r="AN176" s="574"/>
      <c r="AO176" s="574"/>
      <c r="AP176" s="574"/>
      <c r="AQ176" s="574"/>
      <c r="AR176" s="574"/>
      <c r="AS176" s="574"/>
      <c r="AT176" s="574"/>
      <c r="AU176" s="574"/>
      <c r="AV176" s="574"/>
      <c r="AW176" s="574"/>
      <c r="AX176" s="645">
        <f t="shared" si="261"/>
        <v>0</v>
      </c>
      <c r="AY176" s="645">
        <f t="shared" si="262"/>
        <v>0</v>
      </c>
      <c r="AZ176" s="645">
        <f t="shared" si="263"/>
        <v>0</v>
      </c>
      <c r="BA176" s="645">
        <f t="shared" si="264"/>
        <v>0</v>
      </c>
      <c r="BB176" s="645">
        <f t="shared" si="265"/>
        <v>0</v>
      </c>
      <c r="BC176" s="574"/>
      <c r="BD176" s="574"/>
      <c r="BE176" s="574"/>
      <c r="BF176" s="574"/>
      <c r="BG176" s="574"/>
      <c r="BH176" s="574"/>
      <c r="BI176" s="574"/>
      <c r="BJ176" s="574"/>
      <c r="BK176" s="574"/>
      <c r="BL176" s="574"/>
      <c r="BM176" s="574"/>
      <c r="BN176" s="574"/>
      <c r="BO176" s="645">
        <f t="shared" si="293"/>
        <v>0</v>
      </c>
      <c r="BP176" s="645">
        <f t="shared" si="294"/>
        <v>0</v>
      </c>
      <c r="BQ176" s="645">
        <f t="shared" si="295"/>
        <v>0</v>
      </c>
      <c r="BR176" s="645">
        <f t="shared" si="296"/>
        <v>0</v>
      </c>
      <c r="BS176" s="645">
        <f t="shared" si="297"/>
        <v>0</v>
      </c>
      <c r="BT176" s="574"/>
      <c r="BU176" s="574"/>
      <c r="BV176" s="574"/>
      <c r="BW176" s="574"/>
      <c r="BX176" s="574"/>
      <c r="BY176" s="574"/>
      <c r="BZ176" s="574"/>
      <c r="CA176" s="574"/>
      <c r="CB176" s="574"/>
      <c r="CC176" s="574"/>
      <c r="CD176" s="574"/>
      <c r="CE176" s="574"/>
      <c r="CF176" s="646">
        <f t="shared" si="298"/>
        <v>0</v>
      </c>
      <c r="CG176" s="646">
        <f t="shared" si="299"/>
        <v>0</v>
      </c>
      <c r="CH176" s="646">
        <f t="shared" si="300"/>
        <v>0</v>
      </c>
      <c r="CI176" s="646">
        <f t="shared" si="301"/>
        <v>0</v>
      </c>
      <c r="CJ176" s="646">
        <f t="shared" si="302"/>
        <v>0</v>
      </c>
      <c r="CK176" s="574"/>
      <c r="CL176" s="574"/>
      <c r="CM176" s="574"/>
      <c r="CN176" s="574"/>
      <c r="CO176" s="574"/>
      <c r="CP176" s="574"/>
      <c r="CQ176" s="574"/>
      <c r="CR176" s="574"/>
      <c r="CS176" s="574"/>
      <c r="CT176" s="574"/>
      <c r="CU176" s="574"/>
      <c r="CV176" s="574"/>
      <c r="CW176" s="646">
        <f t="shared" si="303"/>
        <v>0</v>
      </c>
      <c r="CX176" s="646">
        <f t="shared" si="304"/>
        <v>0</v>
      </c>
      <c r="CY176" s="646">
        <f t="shared" si="305"/>
        <v>0</v>
      </c>
      <c r="CZ176" s="646">
        <f t="shared" si="306"/>
        <v>0</v>
      </c>
      <c r="DA176" s="646">
        <f t="shared" si="307"/>
        <v>0</v>
      </c>
      <c r="DB176" s="574"/>
      <c r="DC176" s="574"/>
      <c r="DD176" s="574"/>
      <c r="DE176" s="574"/>
      <c r="DF176" s="574"/>
      <c r="DG176" s="574"/>
      <c r="DH176" s="574"/>
      <c r="DI176" s="574"/>
      <c r="DJ176" s="574"/>
      <c r="DK176" s="574"/>
      <c r="DL176" s="574"/>
      <c r="DM176" s="574"/>
      <c r="DN176" s="646">
        <f t="shared" si="308"/>
        <v>0</v>
      </c>
      <c r="DO176" s="646">
        <f t="shared" si="309"/>
        <v>0</v>
      </c>
      <c r="DP176" s="646">
        <f t="shared" si="310"/>
        <v>0</v>
      </c>
      <c r="DQ176" s="646">
        <f t="shared" si="311"/>
        <v>0</v>
      </c>
      <c r="DR176" s="646">
        <f t="shared" si="312"/>
        <v>0</v>
      </c>
      <c r="DS176" s="574"/>
      <c r="DT176" s="574"/>
      <c r="DU176" s="574"/>
      <c r="DV176" s="574"/>
      <c r="DW176" s="574"/>
      <c r="DX176" s="574"/>
      <c r="DY176" s="574"/>
      <c r="DZ176" s="574"/>
      <c r="EA176" s="574"/>
      <c r="EB176" s="574"/>
      <c r="EC176" s="574"/>
      <c r="ED176" s="574"/>
      <c r="EE176" s="646">
        <f t="shared" si="313"/>
        <v>0</v>
      </c>
      <c r="EF176" s="646">
        <f t="shared" si="314"/>
        <v>0</v>
      </c>
      <c r="EG176" s="646">
        <f t="shared" si="315"/>
        <v>0</v>
      </c>
      <c r="EH176" s="646">
        <f t="shared" si="316"/>
        <v>0</v>
      </c>
      <c r="EI176" s="646">
        <f t="shared" si="317"/>
        <v>0</v>
      </c>
      <c r="EJ176" s="574"/>
      <c r="EK176" s="574"/>
      <c r="EL176" s="574"/>
      <c r="EM176" s="574"/>
      <c r="EN176" s="574"/>
      <c r="EO176" s="574"/>
      <c r="EP176" s="574"/>
      <c r="EQ176" s="574"/>
      <c r="ER176" s="574"/>
      <c r="ES176" s="574"/>
      <c r="ET176" s="574"/>
      <c r="EU176" s="574"/>
    </row>
    <row r="177" hidden="1">
      <c r="A177" s="577">
        <v>7410.0</v>
      </c>
      <c r="B177" s="12" t="s">
        <v>275</v>
      </c>
      <c r="C177" s="12" t="s">
        <v>209</v>
      </c>
      <c r="D177" s="574"/>
      <c r="E177" s="574"/>
      <c r="F177" s="574"/>
      <c r="G177" s="574"/>
      <c r="H177" s="574"/>
      <c r="I177" s="574"/>
      <c r="J177" s="574"/>
      <c r="K177" s="574"/>
      <c r="L177" s="574"/>
      <c r="M177" s="574"/>
      <c r="N177" s="574"/>
      <c r="O177" s="574"/>
      <c r="P177" s="645">
        <f t="shared" si="251"/>
        <v>0</v>
      </c>
      <c r="Q177" s="645">
        <f t="shared" si="252"/>
        <v>0</v>
      </c>
      <c r="R177" s="645">
        <f t="shared" si="253"/>
        <v>0</v>
      </c>
      <c r="S177" s="645">
        <f t="shared" si="254"/>
        <v>0</v>
      </c>
      <c r="T177" s="645">
        <f t="shared" si="255"/>
        <v>0</v>
      </c>
      <c r="U177" s="574"/>
      <c r="V177" s="574"/>
      <c r="W177" s="574"/>
      <c r="X177" s="574"/>
      <c r="Y177" s="574"/>
      <c r="Z177" s="574"/>
      <c r="AA177" s="574"/>
      <c r="AB177" s="574"/>
      <c r="AC177" s="574"/>
      <c r="AD177" s="574"/>
      <c r="AE177" s="574"/>
      <c r="AF177" s="574"/>
      <c r="AG177" s="645">
        <f t="shared" si="256"/>
        <v>0</v>
      </c>
      <c r="AH177" s="645">
        <f t="shared" si="257"/>
        <v>0</v>
      </c>
      <c r="AI177" s="645">
        <f t="shared" si="258"/>
        <v>0</v>
      </c>
      <c r="AJ177" s="645">
        <f t="shared" si="259"/>
        <v>0</v>
      </c>
      <c r="AK177" s="645">
        <f t="shared" si="260"/>
        <v>0</v>
      </c>
      <c r="AL177" s="574"/>
      <c r="AM177" s="574"/>
      <c r="AN177" s="574"/>
      <c r="AO177" s="574"/>
      <c r="AP177" s="574"/>
      <c r="AQ177" s="574"/>
      <c r="AR177" s="574"/>
      <c r="AS177" s="574"/>
      <c r="AT177" s="574"/>
      <c r="AU177" s="574"/>
      <c r="AV177" s="574"/>
      <c r="AW177" s="574"/>
      <c r="AX177" s="645">
        <f t="shared" si="261"/>
        <v>0</v>
      </c>
      <c r="AY177" s="645">
        <f t="shared" si="262"/>
        <v>0</v>
      </c>
      <c r="AZ177" s="645">
        <f t="shared" si="263"/>
        <v>0</v>
      </c>
      <c r="BA177" s="645">
        <f t="shared" si="264"/>
        <v>0</v>
      </c>
      <c r="BB177" s="645">
        <f t="shared" si="265"/>
        <v>0</v>
      </c>
      <c r="BC177" s="574"/>
      <c r="BD177" s="574"/>
      <c r="BE177" s="574"/>
      <c r="BF177" s="574"/>
      <c r="BG177" s="574"/>
      <c r="BH177" s="574"/>
      <c r="BI177" s="574"/>
      <c r="BJ177" s="574"/>
      <c r="BK177" s="574"/>
      <c r="BL177" s="574"/>
      <c r="BM177" s="574"/>
      <c r="BN177" s="574"/>
      <c r="BO177" s="645">
        <f t="shared" si="293"/>
        <v>0</v>
      </c>
      <c r="BP177" s="645">
        <f t="shared" si="294"/>
        <v>0</v>
      </c>
      <c r="BQ177" s="645">
        <f t="shared" si="295"/>
        <v>0</v>
      </c>
      <c r="BR177" s="645">
        <f t="shared" si="296"/>
        <v>0</v>
      </c>
      <c r="BS177" s="645">
        <f t="shared" si="297"/>
        <v>0</v>
      </c>
      <c r="BT177" s="569">
        <v>0.0</v>
      </c>
      <c r="BU177" s="569">
        <v>0.0</v>
      </c>
      <c r="BV177" s="569">
        <v>0.0</v>
      </c>
      <c r="BW177" s="574"/>
      <c r="BX177" s="574"/>
      <c r="BY177" s="574"/>
      <c r="BZ177" s="574"/>
      <c r="CA177" s="574"/>
      <c r="CB177" s="574"/>
      <c r="CC177" s="574"/>
      <c r="CD177" s="574"/>
      <c r="CE177" s="574"/>
      <c r="CF177" s="646">
        <f t="shared" si="298"/>
        <v>0</v>
      </c>
      <c r="CG177" s="646">
        <f t="shared" si="299"/>
        <v>0</v>
      </c>
      <c r="CH177" s="646">
        <f t="shared" si="300"/>
        <v>0</v>
      </c>
      <c r="CI177" s="646">
        <f t="shared" si="301"/>
        <v>0</v>
      </c>
      <c r="CJ177" s="646">
        <f t="shared" si="302"/>
        <v>0</v>
      </c>
      <c r="CK177" s="574"/>
      <c r="CL177" s="574"/>
      <c r="CM177" s="574"/>
      <c r="CN177" s="574"/>
      <c r="CO177" s="574"/>
      <c r="CP177" s="574"/>
      <c r="CQ177" s="574"/>
      <c r="CR177" s="574"/>
      <c r="CS177" s="574"/>
      <c r="CT177" s="574"/>
      <c r="CU177" s="574"/>
      <c r="CV177" s="574"/>
      <c r="CW177" s="646">
        <f t="shared" si="303"/>
        <v>0</v>
      </c>
      <c r="CX177" s="646">
        <f t="shared" si="304"/>
        <v>0</v>
      </c>
      <c r="CY177" s="646">
        <f t="shared" si="305"/>
        <v>0</v>
      </c>
      <c r="CZ177" s="646">
        <f t="shared" si="306"/>
        <v>0</v>
      </c>
      <c r="DA177" s="646">
        <f t="shared" si="307"/>
        <v>0</v>
      </c>
      <c r="DB177" s="574"/>
      <c r="DC177" s="574"/>
      <c r="DD177" s="574"/>
      <c r="DE177" s="574"/>
      <c r="DF177" s="574"/>
      <c r="DG177" s="574"/>
      <c r="DH177" s="574"/>
      <c r="DI177" s="574"/>
      <c r="DJ177" s="574"/>
      <c r="DK177" s="574"/>
      <c r="DL177" s="574"/>
      <c r="DM177" s="574"/>
      <c r="DN177" s="646">
        <f t="shared" si="308"/>
        <v>0</v>
      </c>
      <c r="DO177" s="646">
        <f t="shared" si="309"/>
        <v>0</v>
      </c>
      <c r="DP177" s="646">
        <f t="shared" si="310"/>
        <v>0</v>
      </c>
      <c r="DQ177" s="646">
        <f t="shared" si="311"/>
        <v>0</v>
      </c>
      <c r="DR177" s="646">
        <f t="shared" si="312"/>
        <v>0</v>
      </c>
      <c r="DS177" s="574"/>
      <c r="DT177" s="574"/>
      <c r="DU177" s="574"/>
      <c r="DV177" s="574"/>
      <c r="DW177" s="574"/>
      <c r="DX177" s="574"/>
      <c r="DY177" s="574"/>
      <c r="DZ177" s="574"/>
      <c r="EA177" s="574"/>
      <c r="EB177" s="574"/>
      <c r="EC177" s="574"/>
      <c r="ED177" s="574"/>
      <c r="EE177" s="646">
        <f t="shared" si="313"/>
        <v>0</v>
      </c>
      <c r="EF177" s="646">
        <f t="shared" si="314"/>
        <v>0</v>
      </c>
      <c r="EG177" s="646">
        <f t="shared" si="315"/>
        <v>0</v>
      </c>
      <c r="EH177" s="646">
        <f t="shared" si="316"/>
        <v>0</v>
      </c>
      <c r="EI177" s="646">
        <f t="shared" si="317"/>
        <v>0</v>
      </c>
      <c r="EJ177" s="574"/>
      <c r="EK177" s="574"/>
      <c r="EL177" s="574"/>
      <c r="EM177" s="574"/>
      <c r="EN177" s="574"/>
      <c r="EO177" s="574"/>
      <c r="EP177" s="574"/>
      <c r="EQ177" s="574"/>
      <c r="ER177" s="574"/>
      <c r="ES177" s="574"/>
      <c r="ET177" s="574"/>
      <c r="EU177" s="574"/>
    </row>
    <row r="178" hidden="1">
      <c r="A178" s="577">
        <v>7410.0</v>
      </c>
      <c r="B178" s="12" t="s">
        <v>276</v>
      </c>
      <c r="C178" s="12" t="s">
        <v>209</v>
      </c>
      <c r="D178" s="574"/>
      <c r="E178" s="574"/>
      <c r="F178" s="574"/>
      <c r="G178" s="574"/>
      <c r="H178" s="574"/>
      <c r="I178" s="574"/>
      <c r="J178" s="574"/>
      <c r="K178" s="574"/>
      <c r="L178" s="574"/>
      <c r="M178" s="574"/>
      <c r="N178" s="574"/>
      <c r="O178" s="574"/>
      <c r="P178" s="645">
        <f t="shared" si="251"/>
        <v>0</v>
      </c>
      <c r="Q178" s="645">
        <f t="shared" si="252"/>
        <v>0</v>
      </c>
      <c r="R178" s="645">
        <f t="shared" si="253"/>
        <v>0</v>
      </c>
      <c r="S178" s="645">
        <f t="shared" si="254"/>
        <v>0</v>
      </c>
      <c r="T178" s="645">
        <f t="shared" si="255"/>
        <v>0</v>
      </c>
      <c r="U178" s="574"/>
      <c r="V178" s="574"/>
      <c r="W178" s="574"/>
      <c r="X178" s="574"/>
      <c r="Y178" s="574"/>
      <c r="Z178" s="574"/>
      <c r="AA178" s="574"/>
      <c r="AB178" s="574"/>
      <c r="AC178" s="574"/>
      <c r="AD178" s="574"/>
      <c r="AE178" s="574"/>
      <c r="AF178" s="574"/>
      <c r="AG178" s="645">
        <f t="shared" si="256"/>
        <v>0</v>
      </c>
      <c r="AH178" s="645">
        <f t="shared" si="257"/>
        <v>0</v>
      </c>
      <c r="AI178" s="645">
        <f t="shared" si="258"/>
        <v>0</v>
      </c>
      <c r="AJ178" s="645">
        <f t="shared" si="259"/>
        <v>0</v>
      </c>
      <c r="AK178" s="645">
        <f t="shared" si="260"/>
        <v>0</v>
      </c>
      <c r="AL178" s="574"/>
      <c r="AM178" s="574"/>
      <c r="AN178" s="574"/>
      <c r="AO178" s="574"/>
      <c r="AP178" s="574"/>
      <c r="AQ178" s="574"/>
      <c r="AR178" s="574"/>
      <c r="AS178" s="574"/>
      <c r="AT178" s="574"/>
      <c r="AU178" s="574"/>
      <c r="AV178" s="574"/>
      <c r="AW178" s="574"/>
      <c r="AX178" s="645">
        <f t="shared" si="261"/>
        <v>0</v>
      </c>
      <c r="AY178" s="645">
        <f t="shared" si="262"/>
        <v>0</v>
      </c>
      <c r="AZ178" s="645">
        <f t="shared" si="263"/>
        <v>0</v>
      </c>
      <c r="BA178" s="645">
        <f t="shared" si="264"/>
        <v>0</v>
      </c>
      <c r="BB178" s="645">
        <f t="shared" si="265"/>
        <v>0</v>
      </c>
      <c r="BC178" s="569">
        <v>10185.0</v>
      </c>
      <c r="BD178" s="569">
        <v>10110.0</v>
      </c>
      <c r="BE178" s="569">
        <v>21765.0</v>
      </c>
      <c r="BF178" s="569">
        <v>12000.0</v>
      </c>
      <c r="BG178" s="569">
        <v>15796.05</v>
      </c>
      <c r="BH178" s="569">
        <v>18196.77</v>
      </c>
      <c r="BI178" s="569">
        <v>22750.09</v>
      </c>
      <c r="BJ178" s="569">
        <v>46005.06</v>
      </c>
      <c r="BK178" s="569">
        <v>61386.47</v>
      </c>
      <c r="BL178" s="574"/>
      <c r="BM178" s="574"/>
      <c r="BN178" s="574"/>
      <c r="BO178" s="645">
        <f t="shared" si="293"/>
        <v>42060</v>
      </c>
      <c r="BP178" s="645">
        <f t="shared" si="294"/>
        <v>45992.82</v>
      </c>
      <c r="BQ178" s="645">
        <f t="shared" si="295"/>
        <v>130141.62</v>
      </c>
      <c r="BR178" s="645">
        <f t="shared" si="296"/>
        <v>0</v>
      </c>
      <c r="BS178" s="645">
        <f t="shared" si="297"/>
        <v>218194.44</v>
      </c>
      <c r="BT178" s="569">
        <v>57913.99</v>
      </c>
      <c r="BU178" s="569">
        <v>39108.55</v>
      </c>
      <c r="BV178" s="569">
        <v>43226.7</v>
      </c>
      <c r="BW178" s="569">
        <v>48221.56</v>
      </c>
      <c r="BX178" s="569">
        <v>31143.27</v>
      </c>
      <c r="BY178" s="569">
        <v>14594.27</v>
      </c>
      <c r="BZ178" s="569">
        <v>100865.19</v>
      </c>
      <c r="CA178" s="569">
        <v>92632.05</v>
      </c>
      <c r="CB178" s="569">
        <v>63684.38</v>
      </c>
      <c r="CC178" s="569">
        <v>117863.0</v>
      </c>
      <c r="CD178" s="574"/>
      <c r="CE178" s="574"/>
      <c r="CF178" s="646">
        <f t="shared" si="298"/>
        <v>140249.24</v>
      </c>
      <c r="CG178" s="646">
        <f t="shared" si="299"/>
        <v>93959.1</v>
      </c>
      <c r="CH178" s="646">
        <f t="shared" si="300"/>
        <v>257181.62</v>
      </c>
      <c r="CI178" s="646">
        <f t="shared" si="301"/>
        <v>117863</v>
      </c>
      <c r="CJ178" s="646">
        <f t="shared" si="302"/>
        <v>609252.96</v>
      </c>
      <c r="CK178" s="574"/>
      <c r="CL178" s="574"/>
      <c r="CM178" s="574"/>
      <c r="CN178" s="574"/>
      <c r="CO178" s="574"/>
      <c r="CP178" s="574"/>
      <c r="CQ178" s="574"/>
      <c r="CR178" s="574"/>
      <c r="CS178" s="574"/>
      <c r="CT178" s="574"/>
      <c r="CU178" s="574"/>
      <c r="CV178" s="574"/>
      <c r="CW178" s="646">
        <f t="shared" si="303"/>
        <v>0</v>
      </c>
      <c r="CX178" s="646">
        <f t="shared" si="304"/>
        <v>0</v>
      </c>
      <c r="CY178" s="646">
        <f t="shared" si="305"/>
        <v>0</v>
      </c>
      <c r="CZ178" s="646">
        <f t="shared" si="306"/>
        <v>0</v>
      </c>
      <c r="DA178" s="646">
        <f t="shared" si="307"/>
        <v>0</v>
      </c>
      <c r="DB178" s="574"/>
      <c r="DC178" s="574"/>
      <c r="DD178" s="574"/>
      <c r="DE178" s="574"/>
      <c r="DF178" s="574"/>
      <c r="DG178" s="574"/>
      <c r="DH178" s="574"/>
      <c r="DI178" s="574"/>
      <c r="DJ178" s="574"/>
      <c r="DK178" s="574"/>
      <c r="DL178" s="574"/>
      <c r="DM178" s="574"/>
      <c r="DN178" s="646">
        <f t="shared" si="308"/>
        <v>0</v>
      </c>
      <c r="DO178" s="646">
        <f t="shared" si="309"/>
        <v>0</v>
      </c>
      <c r="DP178" s="646">
        <f t="shared" si="310"/>
        <v>0</v>
      </c>
      <c r="DQ178" s="646">
        <f t="shared" si="311"/>
        <v>0</v>
      </c>
      <c r="DR178" s="646">
        <f t="shared" si="312"/>
        <v>0</v>
      </c>
      <c r="DS178" s="574"/>
      <c r="DT178" s="574"/>
      <c r="DU178" s="574"/>
      <c r="DV178" s="574"/>
      <c r="DW178" s="574"/>
      <c r="DX178" s="574"/>
      <c r="DY178" s="574"/>
      <c r="DZ178" s="574"/>
      <c r="EA178" s="574"/>
      <c r="EB178" s="574"/>
      <c r="EC178" s="574"/>
      <c r="ED178" s="574"/>
      <c r="EE178" s="646">
        <f t="shared" si="313"/>
        <v>0</v>
      </c>
      <c r="EF178" s="646">
        <f t="shared" si="314"/>
        <v>0</v>
      </c>
      <c r="EG178" s="646">
        <f t="shared" si="315"/>
        <v>0</v>
      </c>
      <c r="EH178" s="646">
        <f t="shared" si="316"/>
        <v>0</v>
      </c>
      <c r="EI178" s="646">
        <f t="shared" si="317"/>
        <v>0</v>
      </c>
      <c r="EJ178" s="574"/>
      <c r="EK178" s="574"/>
      <c r="EL178" s="574"/>
      <c r="EM178" s="574"/>
      <c r="EN178" s="574"/>
      <c r="EO178" s="574"/>
      <c r="EP178" s="574"/>
      <c r="EQ178" s="574"/>
      <c r="ER178" s="574"/>
      <c r="ES178" s="574"/>
      <c r="ET178" s="574"/>
      <c r="EU178" s="574"/>
    </row>
    <row r="179" hidden="1">
      <c r="A179" s="577">
        <v>7410.0</v>
      </c>
      <c r="B179" s="12" t="s">
        <v>277</v>
      </c>
      <c r="C179" s="12" t="s">
        <v>209</v>
      </c>
      <c r="D179" s="574"/>
      <c r="E179" s="574"/>
      <c r="F179" s="574"/>
      <c r="G179" s="574"/>
      <c r="H179" s="574"/>
      <c r="I179" s="574"/>
      <c r="J179" s="574"/>
      <c r="K179" s="574"/>
      <c r="L179" s="574"/>
      <c r="M179" s="574"/>
      <c r="N179" s="574"/>
      <c r="O179" s="574"/>
      <c r="P179" s="645">
        <f t="shared" si="251"/>
        <v>0</v>
      </c>
      <c r="Q179" s="645">
        <f t="shared" si="252"/>
        <v>0</v>
      </c>
      <c r="R179" s="645">
        <f t="shared" si="253"/>
        <v>0</v>
      </c>
      <c r="S179" s="645">
        <f t="shared" si="254"/>
        <v>0</v>
      </c>
      <c r="T179" s="645">
        <f t="shared" si="255"/>
        <v>0</v>
      </c>
      <c r="U179" s="574"/>
      <c r="V179" s="574"/>
      <c r="W179" s="574"/>
      <c r="X179" s="574"/>
      <c r="Y179" s="574"/>
      <c r="Z179" s="574"/>
      <c r="AA179" s="574"/>
      <c r="AB179" s="574"/>
      <c r="AC179" s="574"/>
      <c r="AD179" s="574"/>
      <c r="AE179" s="574"/>
      <c r="AF179" s="574"/>
      <c r="AG179" s="645">
        <f t="shared" si="256"/>
        <v>0</v>
      </c>
      <c r="AH179" s="645">
        <f t="shared" si="257"/>
        <v>0</v>
      </c>
      <c r="AI179" s="645">
        <f t="shared" si="258"/>
        <v>0</v>
      </c>
      <c r="AJ179" s="645">
        <f t="shared" si="259"/>
        <v>0</v>
      </c>
      <c r="AK179" s="645">
        <f t="shared" si="260"/>
        <v>0</v>
      </c>
      <c r="AL179" s="574"/>
      <c r="AM179" s="574"/>
      <c r="AN179" s="574"/>
      <c r="AO179" s="574"/>
      <c r="AP179" s="574"/>
      <c r="AQ179" s="574"/>
      <c r="AR179" s="574"/>
      <c r="AS179" s="574"/>
      <c r="AT179" s="574"/>
      <c r="AU179" s="574"/>
      <c r="AV179" s="574"/>
      <c r="AW179" s="574"/>
      <c r="AX179" s="645">
        <f t="shared" si="261"/>
        <v>0</v>
      </c>
      <c r="AY179" s="645">
        <f t="shared" si="262"/>
        <v>0</v>
      </c>
      <c r="AZ179" s="645">
        <f t="shared" si="263"/>
        <v>0</v>
      </c>
      <c r="BA179" s="645">
        <f t="shared" si="264"/>
        <v>0</v>
      </c>
      <c r="BB179" s="645">
        <f t="shared" si="265"/>
        <v>0</v>
      </c>
      <c r="BC179" s="574"/>
      <c r="BD179" s="574"/>
      <c r="BE179" s="574"/>
      <c r="BF179" s="574"/>
      <c r="BG179" s="574"/>
      <c r="BH179" s="574"/>
      <c r="BI179" s="574"/>
      <c r="BJ179" s="574"/>
      <c r="BK179" s="574"/>
      <c r="BL179" s="574"/>
      <c r="BM179" s="574"/>
      <c r="BN179" s="574"/>
      <c r="BO179" s="645">
        <f t="shared" si="293"/>
        <v>0</v>
      </c>
      <c r="BP179" s="645">
        <f t="shared" si="294"/>
        <v>0</v>
      </c>
      <c r="BQ179" s="645">
        <f t="shared" si="295"/>
        <v>0</v>
      </c>
      <c r="BR179" s="645">
        <f t="shared" si="296"/>
        <v>0</v>
      </c>
      <c r="BS179" s="645">
        <f t="shared" si="297"/>
        <v>0</v>
      </c>
      <c r="BT179" s="569">
        <v>0.0</v>
      </c>
      <c r="BU179" s="569">
        <v>0.0</v>
      </c>
      <c r="BV179" s="569">
        <v>0.0</v>
      </c>
      <c r="BW179" s="574"/>
      <c r="BX179" s="574"/>
      <c r="BY179" s="574"/>
      <c r="BZ179" s="574"/>
      <c r="CA179" s="574"/>
      <c r="CB179" s="574"/>
      <c r="CC179" s="574"/>
      <c r="CD179" s="574"/>
      <c r="CE179" s="574"/>
      <c r="CF179" s="646">
        <f t="shared" si="298"/>
        <v>0</v>
      </c>
      <c r="CG179" s="646">
        <f t="shared" si="299"/>
        <v>0</v>
      </c>
      <c r="CH179" s="646">
        <f t="shared" si="300"/>
        <v>0</v>
      </c>
      <c r="CI179" s="646">
        <f t="shared" si="301"/>
        <v>0</v>
      </c>
      <c r="CJ179" s="646">
        <f t="shared" si="302"/>
        <v>0</v>
      </c>
      <c r="CK179" s="574"/>
      <c r="CL179" s="574"/>
      <c r="CM179" s="574"/>
      <c r="CN179" s="574"/>
      <c r="CO179" s="574"/>
      <c r="CP179" s="574"/>
      <c r="CQ179" s="574"/>
      <c r="CR179" s="574"/>
      <c r="CS179" s="574"/>
      <c r="CT179" s="574"/>
      <c r="CU179" s="574"/>
      <c r="CV179" s="574"/>
      <c r="CW179" s="646">
        <f t="shared" si="303"/>
        <v>0</v>
      </c>
      <c r="CX179" s="646">
        <f t="shared" si="304"/>
        <v>0</v>
      </c>
      <c r="CY179" s="646">
        <f t="shared" si="305"/>
        <v>0</v>
      </c>
      <c r="CZ179" s="646">
        <f t="shared" si="306"/>
        <v>0</v>
      </c>
      <c r="DA179" s="646">
        <f t="shared" si="307"/>
        <v>0</v>
      </c>
      <c r="DB179" s="574"/>
      <c r="DC179" s="574"/>
      <c r="DD179" s="574"/>
      <c r="DE179" s="574"/>
      <c r="DF179" s="574"/>
      <c r="DG179" s="574"/>
      <c r="DH179" s="574"/>
      <c r="DI179" s="574"/>
      <c r="DJ179" s="574"/>
      <c r="DK179" s="574"/>
      <c r="DL179" s="574"/>
      <c r="DM179" s="574"/>
      <c r="DN179" s="646">
        <f t="shared" si="308"/>
        <v>0</v>
      </c>
      <c r="DO179" s="646">
        <f t="shared" si="309"/>
        <v>0</v>
      </c>
      <c r="DP179" s="646">
        <f t="shared" si="310"/>
        <v>0</v>
      </c>
      <c r="DQ179" s="646">
        <f t="shared" si="311"/>
        <v>0</v>
      </c>
      <c r="DR179" s="646">
        <f t="shared" si="312"/>
        <v>0</v>
      </c>
      <c r="DS179" s="574"/>
      <c r="DT179" s="574"/>
      <c r="DU179" s="574"/>
      <c r="DV179" s="574"/>
      <c r="DW179" s="574"/>
      <c r="DX179" s="574"/>
      <c r="DY179" s="574"/>
      <c r="DZ179" s="574"/>
      <c r="EA179" s="574"/>
      <c r="EB179" s="574"/>
      <c r="EC179" s="574"/>
      <c r="ED179" s="574"/>
      <c r="EE179" s="646">
        <f t="shared" si="313"/>
        <v>0</v>
      </c>
      <c r="EF179" s="646">
        <f t="shared" si="314"/>
        <v>0</v>
      </c>
      <c r="EG179" s="646">
        <f t="shared" si="315"/>
        <v>0</v>
      </c>
      <c r="EH179" s="646">
        <f t="shared" si="316"/>
        <v>0</v>
      </c>
      <c r="EI179" s="646">
        <f t="shared" si="317"/>
        <v>0</v>
      </c>
      <c r="EJ179" s="574"/>
      <c r="EK179" s="574"/>
      <c r="EL179" s="574"/>
      <c r="EM179" s="574"/>
      <c r="EN179" s="574"/>
      <c r="EO179" s="574"/>
      <c r="EP179" s="574"/>
      <c r="EQ179" s="574"/>
      <c r="ER179" s="574"/>
      <c r="ES179" s="574"/>
      <c r="ET179" s="574"/>
      <c r="EU179" s="574"/>
    </row>
    <row r="180" hidden="1">
      <c r="A180" s="577">
        <v>7410.0</v>
      </c>
      <c r="B180" s="12" t="s">
        <v>278</v>
      </c>
      <c r="C180" s="12" t="s">
        <v>209</v>
      </c>
      <c r="D180" s="574"/>
      <c r="E180" s="574"/>
      <c r="F180" s="574"/>
      <c r="G180" s="574"/>
      <c r="H180" s="574"/>
      <c r="I180" s="574"/>
      <c r="J180" s="574"/>
      <c r="K180" s="574"/>
      <c r="L180" s="574"/>
      <c r="M180" s="574"/>
      <c r="N180" s="574"/>
      <c r="O180" s="574"/>
      <c r="P180" s="645">
        <f t="shared" si="251"/>
        <v>0</v>
      </c>
      <c r="Q180" s="645">
        <f t="shared" si="252"/>
        <v>0</v>
      </c>
      <c r="R180" s="645">
        <f t="shared" si="253"/>
        <v>0</v>
      </c>
      <c r="S180" s="645">
        <f t="shared" si="254"/>
        <v>0</v>
      </c>
      <c r="T180" s="645">
        <f t="shared" si="255"/>
        <v>0</v>
      </c>
      <c r="U180" s="574"/>
      <c r="V180" s="574"/>
      <c r="W180" s="574"/>
      <c r="X180" s="574"/>
      <c r="Y180" s="574"/>
      <c r="Z180" s="574"/>
      <c r="AA180" s="574"/>
      <c r="AB180" s="574"/>
      <c r="AC180" s="574"/>
      <c r="AD180" s="574"/>
      <c r="AE180" s="574"/>
      <c r="AF180" s="574"/>
      <c r="AG180" s="645">
        <f t="shared" si="256"/>
        <v>0</v>
      </c>
      <c r="AH180" s="645">
        <f t="shared" si="257"/>
        <v>0</v>
      </c>
      <c r="AI180" s="645">
        <f t="shared" si="258"/>
        <v>0</v>
      </c>
      <c r="AJ180" s="645">
        <f t="shared" si="259"/>
        <v>0</v>
      </c>
      <c r="AK180" s="645">
        <f t="shared" si="260"/>
        <v>0</v>
      </c>
      <c r="AL180" s="569">
        <v>9735.0</v>
      </c>
      <c r="AM180" s="569">
        <v>7747.0</v>
      </c>
      <c r="AN180" s="569">
        <v>17709.0</v>
      </c>
      <c r="AO180" s="569">
        <v>7694.0</v>
      </c>
      <c r="AP180" s="569">
        <v>1904.0</v>
      </c>
      <c r="AQ180" s="569">
        <v>4030.0</v>
      </c>
      <c r="AR180" s="569">
        <v>18352.0</v>
      </c>
      <c r="AS180" s="569">
        <v>10199.0</v>
      </c>
      <c r="AT180" s="569">
        <v>10564.0</v>
      </c>
      <c r="AU180" s="569">
        <v>5712.0</v>
      </c>
      <c r="AV180" s="569">
        <v>11312.0</v>
      </c>
      <c r="AW180" s="569">
        <v>4637.0</v>
      </c>
      <c r="AX180" s="645">
        <f t="shared" si="261"/>
        <v>35191</v>
      </c>
      <c r="AY180" s="645">
        <f t="shared" si="262"/>
        <v>13628</v>
      </c>
      <c r="AZ180" s="645">
        <f t="shared" si="263"/>
        <v>39115</v>
      </c>
      <c r="BA180" s="645">
        <f t="shared" si="264"/>
        <v>21661</v>
      </c>
      <c r="BB180" s="645">
        <f t="shared" si="265"/>
        <v>109595</v>
      </c>
      <c r="BC180" s="569">
        <v>14456.0</v>
      </c>
      <c r="BD180" s="569">
        <v>25073.0</v>
      </c>
      <c r="BE180" s="569">
        <v>52777.0</v>
      </c>
      <c r="BF180" s="569">
        <v>64852.0</v>
      </c>
      <c r="BG180" s="569">
        <v>75503.0</v>
      </c>
      <c r="BH180" s="569">
        <v>40262.0</v>
      </c>
      <c r="BI180" s="569">
        <v>24378.0</v>
      </c>
      <c r="BJ180" s="569">
        <v>42790.0</v>
      </c>
      <c r="BK180" s="569">
        <v>42195.0</v>
      </c>
      <c r="BL180" s="569">
        <v>47810.0</v>
      </c>
      <c r="BM180" s="574"/>
      <c r="BN180" s="574"/>
      <c r="BO180" s="645">
        <f t="shared" si="293"/>
        <v>92306</v>
      </c>
      <c r="BP180" s="645">
        <f t="shared" si="294"/>
        <v>180617</v>
      </c>
      <c r="BQ180" s="645">
        <f t="shared" si="295"/>
        <v>109363</v>
      </c>
      <c r="BR180" s="645">
        <f t="shared" si="296"/>
        <v>47810</v>
      </c>
      <c r="BS180" s="645">
        <f t="shared" si="297"/>
        <v>430096</v>
      </c>
      <c r="BT180" s="574"/>
      <c r="BU180" s="574"/>
      <c r="BV180" s="574"/>
      <c r="BW180" s="574"/>
      <c r="BX180" s="574"/>
      <c r="BY180" s="574"/>
      <c r="BZ180" s="574"/>
      <c r="CA180" s="574"/>
      <c r="CB180" s="574"/>
      <c r="CC180" s="574"/>
      <c r="CD180" s="574"/>
      <c r="CE180" s="574"/>
      <c r="CF180" s="646">
        <f t="shared" si="298"/>
        <v>0</v>
      </c>
      <c r="CG180" s="646">
        <f t="shared" si="299"/>
        <v>0</v>
      </c>
      <c r="CH180" s="646">
        <f t="shared" si="300"/>
        <v>0</v>
      </c>
      <c r="CI180" s="646">
        <f t="shared" si="301"/>
        <v>0</v>
      </c>
      <c r="CJ180" s="646">
        <f t="shared" si="302"/>
        <v>0</v>
      </c>
      <c r="CK180" s="574"/>
      <c r="CL180" s="574"/>
      <c r="CM180" s="574"/>
      <c r="CN180" s="574"/>
      <c r="CO180" s="574"/>
      <c r="CP180" s="574"/>
      <c r="CQ180" s="574"/>
      <c r="CR180" s="574"/>
      <c r="CS180" s="574"/>
      <c r="CT180" s="574"/>
      <c r="CU180" s="574"/>
      <c r="CV180" s="574"/>
      <c r="CW180" s="646">
        <f t="shared" si="303"/>
        <v>0</v>
      </c>
      <c r="CX180" s="646">
        <f t="shared" si="304"/>
        <v>0</v>
      </c>
      <c r="CY180" s="646">
        <f t="shared" si="305"/>
        <v>0</v>
      </c>
      <c r="CZ180" s="646">
        <f t="shared" si="306"/>
        <v>0</v>
      </c>
      <c r="DA180" s="646">
        <f t="shared" si="307"/>
        <v>0</v>
      </c>
      <c r="DB180" s="574"/>
      <c r="DC180" s="574"/>
      <c r="DD180" s="574"/>
      <c r="DE180" s="574"/>
      <c r="DF180" s="574"/>
      <c r="DG180" s="574"/>
      <c r="DH180" s="574"/>
      <c r="DI180" s="574"/>
      <c r="DJ180" s="574"/>
      <c r="DK180" s="574"/>
      <c r="DL180" s="574"/>
      <c r="DM180" s="574"/>
      <c r="DN180" s="646">
        <f t="shared" si="308"/>
        <v>0</v>
      </c>
      <c r="DO180" s="646">
        <f t="shared" si="309"/>
        <v>0</v>
      </c>
      <c r="DP180" s="646">
        <f t="shared" si="310"/>
        <v>0</v>
      </c>
      <c r="DQ180" s="646">
        <f t="shared" si="311"/>
        <v>0</v>
      </c>
      <c r="DR180" s="646">
        <f t="shared" si="312"/>
        <v>0</v>
      </c>
      <c r="DS180" s="574"/>
      <c r="DT180" s="574"/>
      <c r="DU180" s="574"/>
      <c r="DV180" s="574"/>
      <c r="DW180" s="574"/>
      <c r="DX180" s="574"/>
      <c r="DY180" s="574"/>
      <c r="DZ180" s="574"/>
      <c r="EA180" s="574"/>
      <c r="EB180" s="574"/>
      <c r="EC180" s="574"/>
      <c r="ED180" s="574"/>
      <c r="EE180" s="646">
        <f t="shared" si="313"/>
        <v>0</v>
      </c>
      <c r="EF180" s="646">
        <f t="shared" si="314"/>
        <v>0</v>
      </c>
      <c r="EG180" s="646">
        <f t="shared" si="315"/>
        <v>0</v>
      </c>
      <c r="EH180" s="646">
        <f t="shared" si="316"/>
        <v>0</v>
      </c>
      <c r="EI180" s="646">
        <f t="shared" si="317"/>
        <v>0</v>
      </c>
      <c r="EJ180" s="574"/>
      <c r="EK180" s="574"/>
      <c r="EL180" s="574"/>
      <c r="EM180" s="574"/>
      <c r="EN180" s="574"/>
      <c r="EO180" s="574"/>
      <c r="EP180" s="574"/>
      <c r="EQ180" s="574"/>
      <c r="ER180" s="574"/>
      <c r="ES180" s="574"/>
      <c r="ET180" s="574"/>
      <c r="EU180" s="574"/>
    </row>
    <row r="181" hidden="1">
      <c r="A181" s="577">
        <v>7410.0</v>
      </c>
      <c r="B181" s="12" t="s">
        <v>279</v>
      </c>
      <c r="C181" s="12" t="s">
        <v>209</v>
      </c>
      <c r="D181" s="574"/>
      <c r="E181" s="574"/>
      <c r="F181" s="574"/>
      <c r="G181" s="574"/>
      <c r="H181" s="574"/>
      <c r="I181" s="574"/>
      <c r="J181" s="574"/>
      <c r="K181" s="574"/>
      <c r="L181" s="574"/>
      <c r="M181" s="574"/>
      <c r="N181" s="574"/>
      <c r="O181" s="574"/>
      <c r="P181" s="645">
        <f t="shared" si="251"/>
        <v>0</v>
      </c>
      <c r="Q181" s="645">
        <f t="shared" si="252"/>
        <v>0</v>
      </c>
      <c r="R181" s="645">
        <f t="shared" si="253"/>
        <v>0</v>
      </c>
      <c r="S181" s="645">
        <f t="shared" si="254"/>
        <v>0</v>
      </c>
      <c r="T181" s="645">
        <f t="shared" si="255"/>
        <v>0</v>
      </c>
      <c r="U181" s="574"/>
      <c r="V181" s="574"/>
      <c r="W181" s="574"/>
      <c r="X181" s="574"/>
      <c r="Y181" s="574"/>
      <c r="Z181" s="574"/>
      <c r="AA181" s="574"/>
      <c r="AB181" s="574"/>
      <c r="AC181" s="574"/>
      <c r="AD181" s="574"/>
      <c r="AE181" s="574"/>
      <c r="AF181" s="574"/>
      <c r="AG181" s="645">
        <f t="shared" si="256"/>
        <v>0</v>
      </c>
      <c r="AH181" s="645">
        <f t="shared" si="257"/>
        <v>0</v>
      </c>
      <c r="AI181" s="645">
        <f t="shared" si="258"/>
        <v>0</v>
      </c>
      <c r="AJ181" s="645">
        <f t="shared" si="259"/>
        <v>0</v>
      </c>
      <c r="AK181" s="645">
        <f t="shared" si="260"/>
        <v>0</v>
      </c>
      <c r="AL181" s="569">
        <v>17647.0</v>
      </c>
      <c r="AM181" s="569">
        <v>27643.0</v>
      </c>
      <c r="AN181" s="569">
        <v>30608.0</v>
      </c>
      <c r="AO181" s="569">
        <v>50267.08</v>
      </c>
      <c r="AP181" s="569">
        <v>10019.07</v>
      </c>
      <c r="AQ181" s="569">
        <v>15649.18</v>
      </c>
      <c r="AR181" s="574"/>
      <c r="AS181" s="574"/>
      <c r="AT181" s="574"/>
      <c r="AU181" s="574"/>
      <c r="AV181" s="574"/>
      <c r="AW181" s="574"/>
      <c r="AX181" s="645">
        <f t="shared" si="261"/>
        <v>75898</v>
      </c>
      <c r="AY181" s="645">
        <f t="shared" si="262"/>
        <v>75935.33</v>
      </c>
      <c r="AZ181" s="645">
        <f t="shared" si="263"/>
        <v>0</v>
      </c>
      <c r="BA181" s="645">
        <f t="shared" si="264"/>
        <v>0</v>
      </c>
      <c r="BB181" s="645">
        <f t="shared" si="265"/>
        <v>151833.33</v>
      </c>
      <c r="BC181" s="574"/>
      <c r="BD181" s="574"/>
      <c r="BE181" s="574"/>
      <c r="BF181" s="569">
        <v>41713.0</v>
      </c>
      <c r="BG181" s="569">
        <v>38061.0</v>
      </c>
      <c r="BH181" s="569">
        <v>19302.0</v>
      </c>
      <c r="BI181" s="569">
        <v>20509.432</v>
      </c>
      <c r="BJ181" s="569">
        <v>7465.327</v>
      </c>
      <c r="BK181" s="569">
        <v>19193.0</v>
      </c>
      <c r="BL181" s="574"/>
      <c r="BM181" s="574"/>
      <c r="BN181" s="574"/>
      <c r="BO181" s="645">
        <f t="shared" si="293"/>
        <v>0</v>
      </c>
      <c r="BP181" s="645">
        <f t="shared" si="294"/>
        <v>99076</v>
      </c>
      <c r="BQ181" s="645">
        <f t="shared" si="295"/>
        <v>47167.759</v>
      </c>
      <c r="BR181" s="645">
        <f t="shared" si="296"/>
        <v>0</v>
      </c>
      <c r="BS181" s="645">
        <f t="shared" si="297"/>
        <v>146243.759</v>
      </c>
      <c r="BT181" s="574"/>
      <c r="BU181" s="574"/>
      <c r="BV181" s="574"/>
      <c r="BW181" s="574"/>
      <c r="BX181" s="574"/>
      <c r="BY181" s="574"/>
      <c r="BZ181" s="574"/>
      <c r="CA181" s="574"/>
      <c r="CB181" s="574"/>
      <c r="CC181" s="574"/>
      <c r="CD181" s="574"/>
      <c r="CE181" s="574"/>
      <c r="CF181" s="646">
        <f t="shared" si="298"/>
        <v>0</v>
      </c>
      <c r="CG181" s="646">
        <f t="shared" si="299"/>
        <v>0</v>
      </c>
      <c r="CH181" s="646">
        <f t="shared" si="300"/>
        <v>0</v>
      </c>
      <c r="CI181" s="646">
        <f t="shared" si="301"/>
        <v>0</v>
      </c>
      <c r="CJ181" s="646">
        <f t="shared" si="302"/>
        <v>0</v>
      </c>
      <c r="CK181" s="574"/>
      <c r="CL181" s="574"/>
      <c r="CM181" s="574"/>
      <c r="CN181" s="574"/>
      <c r="CO181" s="574"/>
      <c r="CP181" s="574"/>
      <c r="CQ181" s="574"/>
      <c r="CR181" s="574"/>
      <c r="CS181" s="574"/>
      <c r="CT181" s="574"/>
      <c r="CU181" s="574"/>
      <c r="CV181" s="574"/>
      <c r="CW181" s="646">
        <f t="shared" si="303"/>
        <v>0</v>
      </c>
      <c r="CX181" s="646">
        <f t="shared" si="304"/>
        <v>0</v>
      </c>
      <c r="CY181" s="646">
        <f t="shared" si="305"/>
        <v>0</v>
      </c>
      <c r="CZ181" s="646">
        <f t="shared" si="306"/>
        <v>0</v>
      </c>
      <c r="DA181" s="646">
        <f t="shared" si="307"/>
        <v>0</v>
      </c>
      <c r="DB181" s="574"/>
      <c r="DC181" s="574"/>
      <c r="DD181" s="574"/>
      <c r="DE181" s="574"/>
      <c r="DF181" s="574"/>
      <c r="DG181" s="574"/>
      <c r="DH181" s="574"/>
      <c r="DI181" s="574"/>
      <c r="DJ181" s="574"/>
      <c r="DK181" s="574"/>
      <c r="DL181" s="574"/>
      <c r="DM181" s="574"/>
      <c r="DN181" s="646">
        <f t="shared" si="308"/>
        <v>0</v>
      </c>
      <c r="DO181" s="646">
        <f t="shared" si="309"/>
        <v>0</v>
      </c>
      <c r="DP181" s="646">
        <f t="shared" si="310"/>
        <v>0</v>
      </c>
      <c r="DQ181" s="646">
        <f t="shared" si="311"/>
        <v>0</v>
      </c>
      <c r="DR181" s="646">
        <f t="shared" si="312"/>
        <v>0</v>
      </c>
      <c r="DS181" s="574"/>
      <c r="DT181" s="574"/>
      <c r="DU181" s="574"/>
      <c r="DV181" s="574"/>
      <c r="DW181" s="574"/>
      <c r="DX181" s="574"/>
      <c r="DY181" s="574"/>
      <c r="DZ181" s="574"/>
      <c r="EA181" s="574"/>
      <c r="EB181" s="574"/>
      <c r="EC181" s="574"/>
      <c r="ED181" s="574"/>
      <c r="EE181" s="646">
        <f t="shared" si="313"/>
        <v>0</v>
      </c>
      <c r="EF181" s="646">
        <f t="shared" si="314"/>
        <v>0</v>
      </c>
      <c r="EG181" s="646">
        <f t="shared" si="315"/>
        <v>0</v>
      </c>
      <c r="EH181" s="646">
        <f t="shared" si="316"/>
        <v>0</v>
      </c>
      <c r="EI181" s="646">
        <f t="shared" si="317"/>
        <v>0</v>
      </c>
      <c r="EJ181" s="574"/>
      <c r="EK181" s="574"/>
      <c r="EL181" s="574"/>
      <c r="EM181" s="574"/>
      <c r="EN181" s="574"/>
      <c r="EO181" s="574"/>
      <c r="EP181" s="574"/>
      <c r="EQ181" s="574"/>
      <c r="ER181" s="574"/>
      <c r="ES181" s="574"/>
      <c r="ET181" s="574"/>
      <c r="EU181" s="574"/>
    </row>
    <row r="182" hidden="1">
      <c r="A182" s="577">
        <v>7410.0</v>
      </c>
      <c r="B182" s="12" t="s">
        <v>280</v>
      </c>
      <c r="C182" s="12" t="s">
        <v>209</v>
      </c>
      <c r="D182" s="574"/>
      <c r="E182" s="574"/>
      <c r="F182" s="574"/>
      <c r="G182" s="574"/>
      <c r="H182" s="574"/>
      <c r="I182" s="574"/>
      <c r="J182" s="574"/>
      <c r="K182" s="574"/>
      <c r="L182" s="574"/>
      <c r="M182" s="574"/>
      <c r="N182" s="574"/>
      <c r="O182" s="574"/>
      <c r="P182" s="645">
        <f t="shared" si="251"/>
        <v>0</v>
      </c>
      <c r="Q182" s="645">
        <f t="shared" si="252"/>
        <v>0</v>
      </c>
      <c r="R182" s="645">
        <f t="shared" si="253"/>
        <v>0</v>
      </c>
      <c r="S182" s="645">
        <f t="shared" si="254"/>
        <v>0</v>
      </c>
      <c r="T182" s="645">
        <f t="shared" si="255"/>
        <v>0</v>
      </c>
      <c r="U182" s="574"/>
      <c r="V182" s="574"/>
      <c r="W182" s="574"/>
      <c r="X182" s="574"/>
      <c r="Y182" s="574"/>
      <c r="Z182" s="574"/>
      <c r="AA182" s="574"/>
      <c r="AB182" s="574"/>
      <c r="AC182" s="574"/>
      <c r="AD182" s="574"/>
      <c r="AE182" s="574"/>
      <c r="AF182" s="574"/>
      <c r="AG182" s="645">
        <f t="shared" si="256"/>
        <v>0</v>
      </c>
      <c r="AH182" s="645">
        <f t="shared" si="257"/>
        <v>0</v>
      </c>
      <c r="AI182" s="645">
        <f t="shared" si="258"/>
        <v>0</v>
      </c>
      <c r="AJ182" s="645">
        <f t="shared" si="259"/>
        <v>0</v>
      </c>
      <c r="AK182" s="645">
        <f t="shared" si="260"/>
        <v>0</v>
      </c>
      <c r="AL182" s="569">
        <v>12687.0</v>
      </c>
      <c r="AM182" s="569">
        <v>17403.0</v>
      </c>
      <c r="AN182" s="569">
        <v>11738.0</v>
      </c>
      <c r="AO182" s="569">
        <v>12687.0</v>
      </c>
      <c r="AP182" s="569">
        <v>17403.0</v>
      </c>
      <c r="AQ182" s="569">
        <v>11738.0</v>
      </c>
      <c r="AR182" s="569">
        <v>38296.0</v>
      </c>
      <c r="AS182" s="569">
        <v>32245.0</v>
      </c>
      <c r="AT182" s="569">
        <v>28951.0</v>
      </c>
      <c r="AU182" s="569">
        <v>46177.0</v>
      </c>
      <c r="AV182" s="569">
        <v>46068.0</v>
      </c>
      <c r="AW182" s="569">
        <v>45128.0</v>
      </c>
      <c r="AX182" s="645">
        <f t="shared" si="261"/>
        <v>41828</v>
      </c>
      <c r="AY182" s="645">
        <f t="shared" si="262"/>
        <v>41828</v>
      </c>
      <c r="AZ182" s="645">
        <f t="shared" si="263"/>
        <v>99492</v>
      </c>
      <c r="BA182" s="645">
        <f t="shared" si="264"/>
        <v>137373</v>
      </c>
      <c r="BB182" s="645">
        <f t="shared" si="265"/>
        <v>320521</v>
      </c>
      <c r="BC182" s="569">
        <v>27511.0</v>
      </c>
      <c r="BD182" s="569">
        <v>33318.0</v>
      </c>
      <c r="BE182" s="569">
        <v>41175.0</v>
      </c>
      <c r="BF182" s="569">
        <v>23961.0</v>
      </c>
      <c r="BG182" s="569">
        <v>21594.0</v>
      </c>
      <c r="BH182" s="569">
        <v>11871.0</v>
      </c>
      <c r="BI182" s="569">
        <v>77518.0</v>
      </c>
      <c r="BJ182" s="569">
        <v>121940.0</v>
      </c>
      <c r="BK182" s="569">
        <v>144088.0</v>
      </c>
      <c r="BL182" s="569">
        <v>155032.0</v>
      </c>
      <c r="BM182" s="569">
        <v>159292.0</v>
      </c>
      <c r="BN182" s="569">
        <v>141666.0</v>
      </c>
      <c r="BO182" s="645">
        <f t="shared" si="293"/>
        <v>102004</v>
      </c>
      <c r="BP182" s="645">
        <f t="shared" si="294"/>
        <v>57426</v>
      </c>
      <c r="BQ182" s="645">
        <f t="shared" si="295"/>
        <v>343546</v>
      </c>
      <c r="BR182" s="645">
        <f t="shared" si="296"/>
        <v>455990</v>
      </c>
      <c r="BS182" s="645">
        <f t="shared" si="297"/>
        <v>958966</v>
      </c>
      <c r="BT182" s="569">
        <v>88788.0</v>
      </c>
      <c r="BU182" s="569">
        <v>98356.0</v>
      </c>
      <c r="BV182" s="569">
        <v>0.0</v>
      </c>
      <c r="BW182" s="569">
        <v>0.0</v>
      </c>
      <c r="BX182" s="569">
        <v>0.0</v>
      </c>
      <c r="BY182" s="569">
        <v>0.0</v>
      </c>
      <c r="BZ182" s="569">
        <v>0.0</v>
      </c>
      <c r="CA182" s="569">
        <v>9086.0</v>
      </c>
      <c r="CB182" s="569">
        <v>44602.0</v>
      </c>
      <c r="CC182" s="574"/>
      <c r="CD182" s="574"/>
      <c r="CE182" s="574"/>
      <c r="CF182" s="646">
        <f t="shared" si="298"/>
        <v>187144</v>
      </c>
      <c r="CG182" s="646">
        <f t="shared" si="299"/>
        <v>0</v>
      </c>
      <c r="CH182" s="646">
        <f t="shared" si="300"/>
        <v>53688</v>
      </c>
      <c r="CI182" s="646">
        <f t="shared" si="301"/>
        <v>0</v>
      </c>
      <c r="CJ182" s="646">
        <f t="shared" si="302"/>
        <v>240832</v>
      </c>
      <c r="CK182" s="574"/>
      <c r="CL182" s="574"/>
      <c r="CM182" s="574"/>
      <c r="CN182" s="574"/>
      <c r="CO182" s="574"/>
      <c r="CP182" s="574"/>
      <c r="CQ182" s="574"/>
      <c r="CR182" s="574"/>
      <c r="CS182" s="574"/>
      <c r="CT182" s="574"/>
      <c r="CU182" s="574"/>
      <c r="CV182" s="574"/>
      <c r="CW182" s="646">
        <f t="shared" si="303"/>
        <v>0</v>
      </c>
      <c r="CX182" s="646">
        <f t="shared" si="304"/>
        <v>0</v>
      </c>
      <c r="CY182" s="646">
        <f t="shared" si="305"/>
        <v>0</v>
      </c>
      <c r="CZ182" s="646">
        <f t="shared" si="306"/>
        <v>0</v>
      </c>
      <c r="DA182" s="646">
        <f t="shared" si="307"/>
        <v>0</v>
      </c>
      <c r="DB182" s="574"/>
      <c r="DC182" s="574"/>
      <c r="DD182" s="574"/>
      <c r="DE182" s="574"/>
      <c r="DF182" s="574"/>
      <c r="DG182" s="574"/>
      <c r="DH182" s="574"/>
      <c r="DI182" s="574"/>
      <c r="DJ182" s="574"/>
      <c r="DK182" s="574"/>
      <c r="DL182" s="574"/>
      <c r="DM182" s="574"/>
      <c r="DN182" s="646">
        <f t="shared" si="308"/>
        <v>0</v>
      </c>
      <c r="DO182" s="646">
        <f t="shared" si="309"/>
        <v>0</v>
      </c>
      <c r="DP182" s="646">
        <f t="shared" si="310"/>
        <v>0</v>
      </c>
      <c r="DQ182" s="646">
        <f t="shared" si="311"/>
        <v>0</v>
      </c>
      <c r="DR182" s="646">
        <f t="shared" si="312"/>
        <v>0</v>
      </c>
      <c r="DS182" s="574"/>
      <c r="DT182" s="574"/>
      <c r="DU182" s="574"/>
      <c r="DV182" s="574"/>
      <c r="DW182" s="574"/>
      <c r="DX182" s="574"/>
      <c r="DY182" s="574"/>
      <c r="DZ182" s="574"/>
      <c r="EA182" s="574"/>
      <c r="EB182" s="574"/>
      <c r="EC182" s="574"/>
      <c r="ED182" s="574"/>
      <c r="EE182" s="646">
        <f t="shared" si="313"/>
        <v>0</v>
      </c>
      <c r="EF182" s="646">
        <f t="shared" si="314"/>
        <v>0</v>
      </c>
      <c r="EG182" s="646">
        <f t="shared" si="315"/>
        <v>0</v>
      </c>
      <c r="EH182" s="646">
        <f t="shared" si="316"/>
        <v>0</v>
      </c>
      <c r="EI182" s="646">
        <f t="shared" si="317"/>
        <v>0</v>
      </c>
      <c r="EJ182" s="574"/>
      <c r="EK182" s="574"/>
      <c r="EL182" s="574"/>
      <c r="EM182" s="574"/>
      <c r="EN182" s="574"/>
      <c r="EO182" s="574"/>
      <c r="EP182" s="574"/>
      <c r="EQ182" s="574"/>
      <c r="ER182" s="574"/>
      <c r="ES182" s="574"/>
      <c r="ET182" s="574"/>
      <c r="EU182" s="574"/>
    </row>
    <row r="183" hidden="1">
      <c r="A183" s="577">
        <v>7410.0</v>
      </c>
      <c r="B183" s="12" t="s">
        <v>281</v>
      </c>
      <c r="C183" s="12" t="s">
        <v>209</v>
      </c>
      <c r="D183" s="574"/>
      <c r="E183" s="574"/>
      <c r="F183" s="574"/>
      <c r="G183" s="574"/>
      <c r="H183" s="574"/>
      <c r="I183" s="574"/>
      <c r="J183" s="574"/>
      <c r="K183" s="574"/>
      <c r="L183" s="574"/>
      <c r="M183" s="574"/>
      <c r="N183" s="574"/>
      <c r="O183" s="574"/>
      <c r="P183" s="645">
        <f t="shared" si="251"/>
        <v>0</v>
      </c>
      <c r="Q183" s="645">
        <f t="shared" si="252"/>
        <v>0</v>
      </c>
      <c r="R183" s="645">
        <f t="shared" si="253"/>
        <v>0</v>
      </c>
      <c r="S183" s="645">
        <f t="shared" si="254"/>
        <v>0</v>
      </c>
      <c r="T183" s="645">
        <f t="shared" si="255"/>
        <v>0</v>
      </c>
      <c r="U183" s="574"/>
      <c r="V183" s="574"/>
      <c r="W183" s="574"/>
      <c r="X183" s="574"/>
      <c r="Y183" s="574"/>
      <c r="Z183" s="574"/>
      <c r="AA183" s="574"/>
      <c r="AB183" s="574"/>
      <c r="AC183" s="574"/>
      <c r="AD183" s="574"/>
      <c r="AE183" s="574"/>
      <c r="AF183" s="574"/>
      <c r="AG183" s="645">
        <f t="shared" si="256"/>
        <v>0</v>
      </c>
      <c r="AH183" s="645">
        <f t="shared" si="257"/>
        <v>0</v>
      </c>
      <c r="AI183" s="645">
        <f t="shared" si="258"/>
        <v>0</v>
      </c>
      <c r="AJ183" s="645">
        <f t="shared" si="259"/>
        <v>0</v>
      </c>
      <c r="AK183" s="645">
        <f t="shared" si="260"/>
        <v>0</v>
      </c>
      <c r="AL183" s="574"/>
      <c r="AM183" s="574"/>
      <c r="AN183" s="574"/>
      <c r="AO183" s="574"/>
      <c r="AP183" s="574"/>
      <c r="AQ183" s="574"/>
      <c r="AR183" s="574"/>
      <c r="AS183" s="574"/>
      <c r="AT183" s="574"/>
      <c r="AU183" s="574"/>
      <c r="AV183" s="574"/>
      <c r="AW183" s="574"/>
      <c r="AX183" s="645">
        <f t="shared" si="261"/>
        <v>0</v>
      </c>
      <c r="AY183" s="645">
        <f t="shared" si="262"/>
        <v>0</v>
      </c>
      <c r="AZ183" s="645">
        <f t="shared" si="263"/>
        <v>0</v>
      </c>
      <c r="BA183" s="645">
        <f t="shared" si="264"/>
        <v>0</v>
      </c>
      <c r="BB183" s="645">
        <f t="shared" si="265"/>
        <v>0</v>
      </c>
      <c r="BC183" s="569">
        <v>260000.0</v>
      </c>
      <c r="BD183" s="569">
        <v>200000.0</v>
      </c>
      <c r="BE183" s="569">
        <v>230000.0</v>
      </c>
      <c r="BF183" s="569">
        <v>260000.0</v>
      </c>
      <c r="BG183" s="569">
        <v>200000.0</v>
      </c>
      <c r="BH183" s="569">
        <v>230000.0</v>
      </c>
      <c r="BI183" s="569">
        <v>114583.026</v>
      </c>
      <c r="BJ183" s="569">
        <v>255504.723</v>
      </c>
      <c r="BK183" s="569">
        <v>154264.62</v>
      </c>
      <c r="BL183" s="574"/>
      <c r="BM183" s="574"/>
      <c r="BN183" s="574"/>
      <c r="BO183" s="645">
        <f t="shared" si="293"/>
        <v>690000</v>
      </c>
      <c r="BP183" s="645">
        <f t="shared" si="294"/>
        <v>690000</v>
      </c>
      <c r="BQ183" s="645">
        <f t="shared" si="295"/>
        <v>524352.369</v>
      </c>
      <c r="BR183" s="645">
        <f t="shared" si="296"/>
        <v>0</v>
      </c>
      <c r="BS183" s="645">
        <f t="shared" si="297"/>
        <v>1904352.369</v>
      </c>
      <c r="BT183" s="569">
        <v>20422.541</v>
      </c>
      <c r="BU183" s="569">
        <v>10001.264</v>
      </c>
      <c r="BV183" s="569">
        <v>20716.766</v>
      </c>
      <c r="BW183" s="574"/>
      <c r="BX183" s="574"/>
      <c r="BY183" s="574"/>
      <c r="BZ183" s="569">
        <v>14580.0</v>
      </c>
      <c r="CA183" s="569">
        <v>22140.0</v>
      </c>
      <c r="CB183" s="569">
        <v>17250.0</v>
      </c>
      <c r="CC183" s="574"/>
      <c r="CD183" s="574"/>
      <c r="CE183" s="574"/>
      <c r="CF183" s="646">
        <f t="shared" si="298"/>
        <v>51140.571</v>
      </c>
      <c r="CG183" s="646">
        <f t="shared" si="299"/>
        <v>0</v>
      </c>
      <c r="CH183" s="646">
        <f t="shared" si="300"/>
        <v>53970</v>
      </c>
      <c r="CI183" s="646">
        <f t="shared" si="301"/>
        <v>0</v>
      </c>
      <c r="CJ183" s="646">
        <f t="shared" si="302"/>
        <v>105110.571</v>
      </c>
      <c r="CK183" s="574"/>
      <c r="CL183" s="574"/>
      <c r="CM183" s="574"/>
      <c r="CN183" s="574"/>
      <c r="CO183" s="574"/>
      <c r="CP183" s="574"/>
      <c r="CQ183" s="574"/>
      <c r="CR183" s="574"/>
      <c r="CS183" s="574"/>
      <c r="CT183" s="574"/>
      <c r="CU183" s="574"/>
      <c r="CV183" s="574"/>
      <c r="CW183" s="646">
        <f t="shared" si="303"/>
        <v>0</v>
      </c>
      <c r="CX183" s="646">
        <f t="shared" si="304"/>
        <v>0</v>
      </c>
      <c r="CY183" s="646">
        <f t="shared" si="305"/>
        <v>0</v>
      </c>
      <c r="CZ183" s="646">
        <f t="shared" si="306"/>
        <v>0</v>
      </c>
      <c r="DA183" s="646">
        <f t="shared" si="307"/>
        <v>0</v>
      </c>
      <c r="DB183" s="574"/>
      <c r="DC183" s="574"/>
      <c r="DD183" s="574"/>
      <c r="DE183" s="574"/>
      <c r="DF183" s="574"/>
      <c r="DG183" s="574"/>
      <c r="DH183" s="574"/>
      <c r="DI183" s="574"/>
      <c r="DJ183" s="574"/>
      <c r="DK183" s="574"/>
      <c r="DL183" s="574"/>
      <c r="DM183" s="574"/>
      <c r="DN183" s="646">
        <f t="shared" si="308"/>
        <v>0</v>
      </c>
      <c r="DO183" s="646">
        <f t="shared" si="309"/>
        <v>0</v>
      </c>
      <c r="DP183" s="646">
        <f t="shared" si="310"/>
        <v>0</v>
      </c>
      <c r="DQ183" s="646">
        <f t="shared" si="311"/>
        <v>0</v>
      </c>
      <c r="DR183" s="646">
        <f t="shared" si="312"/>
        <v>0</v>
      </c>
      <c r="DS183" s="574"/>
      <c r="DT183" s="574"/>
      <c r="DU183" s="574"/>
      <c r="DV183" s="574"/>
      <c r="DW183" s="574"/>
      <c r="DX183" s="574"/>
      <c r="DY183" s="574"/>
      <c r="DZ183" s="574"/>
      <c r="EA183" s="574"/>
      <c r="EB183" s="574"/>
      <c r="EC183" s="574"/>
      <c r="ED183" s="574"/>
      <c r="EE183" s="646">
        <f t="shared" si="313"/>
        <v>0</v>
      </c>
      <c r="EF183" s="646">
        <f t="shared" si="314"/>
        <v>0</v>
      </c>
      <c r="EG183" s="646">
        <f t="shared" si="315"/>
        <v>0</v>
      </c>
      <c r="EH183" s="646">
        <f t="shared" si="316"/>
        <v>0</v>
      </c>
      <c r="EI183" s="646">
        <f t="shared" si="317"/>
        <v>0</v>
      </c>
      <c r="EJ183" s="574"/>
      <c r="EK183" s="574"/>
      <c r="EL183" s="574"/>
      <c r="EM183" s="574"/>
      <c r="EN183" s="574"/>
      <c r="EO183" s="574"/>
      <c r="EP183" s="574"/>
      <c r="EQ183" s="574"/>
      <c r="ER183" s="574"/>
      <c r="ES183" s="574"/>
      <c r="ET183" s="574"/>
      <c r="EU183" s="574"/>
    </row>
    <row r="184" hidden="1">
      <c r="A184" s="577">
        <v>7410.0</v>
      </c>
      <c r="B184" s="12" t="s">
        <v>282</v>
      </c>
      <c r="C184" s="12" t="s">
        <v>209</v>
      </c>
      <c r="D184" s="574"/>
      <c r="E184" s="574"/>
      <c r="F184" s="574"/>
      <c r="G184" s="574"/>
      <c r="H184" s="574"/>
      <c r="I184" s="574"/>
      <c r="J184" s="574"/>
      <c r="K184" s="574"/>
      <c r="L184" s="574"/>
      <c r="M184" s="574"/>
      <c r="N184" s="574"/>
      <c r="O184" s="574"/>
      <c r="P184" s="645">
        <f t="shared" si="251"/>
        <v>0</v>
      </c>
      <c r="Q184" s="645">
        <f t="shared" si="252"/>
        <v>0</v>
      </c>
      <c r="R184" s="645">
        <f t="shared" si="253"/>
        <v>0</v>
      </c>
      <c r="S184" s="645">
        <f t="shared" si="254"/>
        <v>0</v>
      </c>
      <c r="T184" s="645">
        <f t="shared" si="255"/>
        <v>0</v>
      </c>
      <c r="U184" s="574"/>
      <c r="V184" s="574"/>
      <c r="W184" s="574"/>
      <c r="X184" s="574"/>
      <c r="Y184" s="574"/>
      <c r="Z184" s="574"/>
      <c r="AA184" s="574"/>
      <c r="AB184" s="574"/>
      <c r="AC184" s="574"/>
      <c r="AD184" s="574"/>
      <c r="AE184" s="574"/>
      <c r="AF184" s="574"/>
      <c r="AG184" s="645">
        <f t="shared" si="256"/>
        <v>0</v>
      </c>
      <c r="AH184" s="645">
        <f t="shared" si="257"/>
        <v>0</v>
      </c>
      <c r="AI184" s="645">
        <f t="shared" si="258"/>
        <v>0</v>
      </c>
      <c r="AJ184" s="645">
        <f t="shared" si="259"/>
        <v>0</v>
      </c>
      <c r="AK184" s="645">
        <f t="shared" si="260"/>
        <v>0</v>
      </c>
      <c r="AL184" s="574"/>
      <c r="AM184" s="574"/>
      <c r="AN184" s="574"/>
      <c r="AO184" s="574"/>
      <c r="AP184" s="574"/>
      <c r="AQ184" s="574"/>
      <c r="AR184" s="574"/>
      <c r="AS184" s="574"/>
      <c r="AT184" s="574"/>
      <c r="AU184" s="574"/>
      <c r="AV184" s="574"/>
      <c r="AW184" s="574"/>
      <c r="AX184" s="645">
        <f t="shared" si="261"/>
        <v>0</v>
      </c>
      <c r="AY184" s="645">
        <f t="shared" si="262"/>
        <v>0</v>
      </c>
      <c r="AZ184" s="645">
        <f t="shared" si="263"/>
        <v>0</v>
      </c>
      <c r="BA184" s="645">
        <f t="shared" si="264"/>
        <v>0</v>
      </c>
      <c r="BB184" s="645">
        <f t="shared" si="265"/>
        <v>0</v>
      </c>
      <c r="BC184" s="574"/>
      <c r="BD184" s="574"/>
      <c r="BE184" s="574"/>
      <c r="BF184" s="569">
        <v>19200.0</v>
      </c>
      <c r="BG184" s="569">
        <v>28000.0</v>
      </c>
      <c r="BH184" s="569">
        <v>9600.0</v>
      </c>
      <c r="BI184" s="569">
        <v>38400.0</v>
      </c>
      <c r="BJ184" s="569">
        <v>57600.0</v>
      </c>
      <c r="BK184" s="569">
        <v>67200.0</v>
      </c>
      <c r="BL184" s="574"/>
      <c r="BM184" s="574"/>
      <c r="BN184" s="574"/>
      <c r="BO184" s="645">
        <f t="shared" si="293"/>
        <v>0</v>
      </c>
      <c r="BP184" s="645">
        <f t="shared" si="294"/>
        <v>56800</v>
      </c>
      <c r="BQ184" s="645">
        <f t="shared" si="295"/>
        <v>163200</v>
      </c>
      <c r="BR184" s="645">
        <f t="shared" si="296"/>
        <v>0</v>
      </c>
      <c r="BS184" s="645">
        <f t="shared" si="297"/>
        <v>220000</v>
      </c>
      <c r="BT184" s="574"/>
      <c r="BU184" s="574"/>
      <c r="BV184" s="574"/>
      <c r="BW184" s="574"/>
      <c r="BX184" s="574"/>
      <c r="BY184" s="574"/>
      <c r="BZ184" s="574"/>
      <c r="CA184" s="574"/>
      <c r="CB184" s="574"/>
      <c r="CC184" s="574"/>
      <c r="CD184" s="574"/>
      <c r="CE184" s="574"/>
      <c r="CF184" s="646">
        <f t="shared" si="298"/>
        <v>0</v>
      </c>
      <c r="CG184" s="646">
        <f t="shared" si="299"/>
        <v>0</v>
      </c>
      <c r="CH184" s="646">
        <f t="shared" si="300"/>
        <v>0</v>
      </c>
      <c r="CI184" s="646">
        <f t="shared" si="301"/>
        <v>0</v>
      </c>
      <c r="CJ184" s="646">
        <f t="shared" si="302"/>
        <v>0</v>
      </c>
      <c r="CK184" s="574"/>
      <c r="CL184" s="574"/>
      <c r="CM184" s="574"/>
      <c r="CN184" s="574"/>
      <c r="CO184" s="574"/>
      <c r="CP184" s="574"/>
      <c r="CQ184" s="574"/>
      <c r="CR184" s="574"/>
      <c r="CS184" s="574"/>
      <c r="CT184" s="574"/>
      <c r="CU184" s="574"/>
      <c r="CV184" s="574"/>
      <c r="CW184" s="646">
        <f t="shared" si="303"/>
        <v>0</v>
      </c>
      <c r="CX184" s="646">
        <f t="shared" si="304"/>
        <v>0</v>
      </c>
      <c r="CY184" s="646">
        <f t="shared" si="305"/>
        <v>0</v>
      </c>
      <c r="CZ184" s="646">
        <f t="shared" si="306"/>
        <v>0</v>
      </c>
      <c r="DA184" s="646">
        <f t="shared" si="307"/>
        <v>0</v>
      </c>
      <c r="DB184" s="574"/>
      <c r="DC184" s="574"/>
      <c r="DD184" s="574"/>
      <c r="DE184" s="574"/>
      <c r="DF184" s="574"/>
      <c r="DG184" s="574"/>
      <c r="DH184" s="574"/>
      <c r="DI184" s="574"/>
      <c r="DJ184" s="574"/>
      <c r="DK184" s="574"/>
      <c r="DL184" s="574"/>
      <c r="DM184" s="574"/>
      <c r="DN184" s="646">
        <f t="shared" si="308"/>
        <v>0</v>
      </c>
      <c r="DO184" s="646">
        <f t="shared" si="309"/>
        <v>0</v>
      </c>
      <c r="DP184" s="646">
        <f t="shared" si="310"/>
        <v>0</v>
      </c>
      <c r="DQ184" s="646">
        <f t="shared" si="311"/>
        <v>0</v>
      </c>
      <c r="DR184" s="646">
        <f t="shared" si="312"/>
        <v>0</v>
      </c>
      <c r="DS184" s="574"/>
      <c r="DT184" s="574"/>
      <c r="DU184" s="574"/>
      <c r="DV184" s="574"/>
      <c r="DW184" s="574"/>
      <c r="DX184" s="574"/>
      <c r="DY184" s="574"/>
      <c r="DZ184" s="574"/>
      <c r="EA184" s="574"/>
      <c r="EB184" s="574"/>
      <c r="EC184" s="574"/>
      <c r="ED184" s="574"/>
      <c r="EE184" s="646">
        <f t="shared" si="313"/>
        <v>0</v>
      </c>
      <c r="EF184" s="646">
        <f t="shared" si="314"/>
        <v>0</v>
      </c>
      <c r="EG184" s="646">
        <f t="shared" si="315"/>
        <v>0</v>
      </c>
      <c r="EH184" s="646">
        <f t="shared" si="316"/>
        <v>0</v>
      </c>
      <c r="EI184" s="646">
        <f t="shared" si="317"/>
        <v>0</v>
      </c>
      <c r="EJ184" s="574"/>
      <c r="EK184" s="574"/>
      <c r="EL184" s="574"/>
      <c r="EM184" s="574"/>
      <c r="EN184" s="574"/>
      <c r="EO184" s="574"/>
      <c r="EP184" s="574"/>
      <c r="EQ184" s="574"/>
      <c r="ER184" s="574"/>
      <c r="ES184" s="574"/>
      <c r="ET184" s="574"/>
      <c r="EU184" s="574"/>
    </row>
    <row r="185" hidden="1">
      <c r="A185" s="577">
        <v>7410.0</v>
      </c>
      <c r="B185" s="12" t="s">
        <v>283</v>
      </c>
      <c r="C185" s="12" t="s">
        <v>209</v>
      </c>
      <c r="D185" s="574"/>
      <c r="E185" s="574"/>
      <c r="F185" s="574"/>
      <c r="G185" s="574"/>
      <c r="H185" s="574"/>
      <c r="I185" s="574"/>
      <c r="J185" s="574"/>
      <c r="K185" s="574"/>
      <c r="L185" s="574"/>
      <c r="M185" s="574"/>
      <c r="N185" s="574"/>
      <c r="O185" s="574"/>
      <c r="P185" s="645">
        <f t="shared" si="251"/>
        <v>0</v>
      </c>
      <c r="Q185" s="645">
        <f t="shared" si="252"/>
        <v>0</v>
      </c>
      <c r="R185" s="645">
        <f t="shared" si="253"/>
        <v>0</v>
      </c>
      <c r="S185" s="645">
        <f t="shared" si="254"/>
        <v>0</v>
      </c>
      <c r="T185" s="645">
        <f t="shared" si="255"/>
        <v>0</v>
      </c>
      <c r="U185" s="574"/>
      <c r="V185" s="574"/>
      <c r="W185" s="574"/>
      <c r="X185" s="574"/>
      <c r="Y185" s="574"/>
      <c r="Z185" s="574"/>
      <c r="AA185" s="574"/>
      <c r="AB185" s="574"/>
      <c r="AC185" s="574"/>
      <c r="AD185" s="574"/>
      <c r="AE185" s="574"/>
      <c r="AF185" s="574"/>
      <c r="AG185" s="645">
        <f t="shared" si="256"/>
        <v>0</v>
      </c>
      <c r="AH185" s="645">
        <f t="shared" si="257"/>
        <v>0</v>
      </c>
      <c r="AI185" s="645">
        <f t="shared" si="258"/>
        <v>0</v>
      </c>
      <c r="AJ185" s="645">
        <f t="shared" si="259"/>
        <v>0</v>
      </c>
      <c r="AK185" s="645">
        <f t="shared" si="260"/>
        <v>0</v>
      </c>
      <c r="AL185" s="574"/>
      <c r="AM185" s="574"/>
      <c r="AN185" s="574"/>
      <c r="AO185" s="574"/>
      <c r="AP185" s="574"/>
      <c r="AQ185" s="574"/>
      <c r="AR185" s="574"/>
      <c r="AS185" s="574"/>
      <c r="AT185" s="574"/>
      <c r="AU185" s="574"/>
      <c r="AV185" s="574"/>
      <c r="AW185" s="574"/>
      <c r="AX185" s="645">
        <f t="shared" si="261"/>
        <v>0</v>
      </c>
      <c r="AY185" s="645">
        <f t="shared" si="262"/>
        <v>0</v>
      </c>
      <c r="AZ185" s="645">
        <f t="shared" si="263"/>
        <v>0</v>
      </c>
      <c r="BA185" s="645">
        <f t="shared" si="264"/>
        <v>0</v>
      </c>
      <c r="BB185" s="645">
        <f t="shared" si="265"/>
        <v>0</v>
      </c>
      <c r="BC185" s="574"/>
      <c r="BD185" s="574"/>
      <c r="BE185" s="574"/>
      <c r="BF185" s="574"/>
      <c r="BG185" s="574"/>
      <c r="BH185" s="574"/>
      <c r="BI185" s="574"/>
      <c r="BJ185" s="574"/>
      <c r="BK185" s="574"/>
      <c r="BL185" s="574"/>
      <c r="BM185" s="574"/>
      <c r="BN185" s="574"/>
      <c r="BO185" s="645">
        <f t="shared" si="293"/>
        <v>0</v>
      </c>
      <c r="BP185" s="645">
        <f t="shared" si="294"/>
        <v>0</v>
      </c>
      <c r="BQ185" s="645">
        <f t="shared" si="295"/>
        <v>0</v>
      </c>
      <c r="BR185" s="645">
        <f t="shared" si="296"/>
        <v>0</v>
      </c>
      <c r="BS185" s="645">
        <f t="shared" si="297"/>
        <v>0</v>
      </c>
      <c r="BT185" s="574"/>
      <c r="BU185" s="574"/>
      <c r="BV185" s="574"/>
      <c r="BW185" s="574"/>
      <c r="BX185" s="574"/>
      <c r="BY185" s="574"/>
      <c r="BZ185" s="574"/>
      <c r="CA185" s="574"/>
      <c r="CB185" s="574"/>
      <c r="CC185" s="574"/>
      <c r="CD185" s="574"/>
      <c r="CE185" s="574"/>
      <c r="CF185" s="646">
        <f t="shared" si="298"/>
        <v>0</v>
      </c>
      <c r="CG185" s="646">
        <f t="shared" si="299"/>
        <v>0</v>
      </c>
      <c r="CH185" s="646">
        <f t="shared" si="300"/>
        <v>0</v>
      </c>
      <c r="CI185" s="646">
        <f t="shared" si="301"/>
        <v>0</v>
      </c>
      <c r="CJ185" s="646">
        <f t="shared" si="302"/>
        <v>0</v>
      </c>
      <c r="CK185" s="574"/>
      <c r="CL185" s="574"/>
      <c r="CM185" s="574"/>
      <c r="CN185" s="574"/>
      <c r="CO185" s="574"/>
      <c r="CP185" s="574"/>
      <c r="CQ185" s="574"/>
      <c r="CR185" s="574"/>
      <c r="CS185" s="574"/>
      <c r="CT185" s="574"/>
      <c r="CU185" s="574"/>
      <c r="CV185" s="574"/>
      <c r="CW185" s="646">
        <f t="shared" si="303"/>
        <v>0</v>
      </c>
      <c r="CX185" s="646">
        <f t="shared" si="304"/>
        <v>0</v>
      </c>
      <c r="CY185" s="646">
        <f t="shared" si="305"/>
        <v>0</v>
      </c>
      <c r="CZ185" s="646">
        <f t="shared" si="306"/>
        <v>0</v>
      </c>
      <c r="DA185" s="646">
        <f t="shared" si="307"/>
        <v>0</v>
      </c>
      <c r="DB185" s="574"/>
      <c r="DC185" s="574"/>
      <c r="DD185" s="574"/>
      <c r="DE185" s="574"/>
      <c r="DF185" s="574"/>
      <c r="DG185" s="574"/>
      <c r="DH185" s="574"/>
      <c r="DI185" s="574"/>
      <c r="DJ185" s="574"/>
      <c r="DK185" s="574"/>
      <c r="DL185" s="574"/>
      <c r="DM185" s="574"/>
      <c r="DN185" s="646">
        <f t="shared" si="308"/>
        <v>0</v>
      </c>
      <c r="DO185" s="646">
        <f t="shared" si="309"/>
        <v>0</v>
      </c>
      <c r="DP185" s="646">
        <f t="shared" si="310"/>
        <v>0</v>
      </c>
      <c r="DQ185" s="646">
        <f t="shared" si="311"/>
        <v>0</v>
      </c>
      <c r="DR185" s="646">
        <f t="shared" si="312"/>
        <v>0</v>
      </c>
      <c r="DS185" s="574"/>
      <c r="DT185" s="574"/>
      <c r="DU185" s="574"/>
      <c r="DV185" s="574"/>
      <c r="DW185" s="574"/>
      <c r="DX185" s="574"/>
      <c r="DY185" s="574"/>
      <c r="DZ185" s="574"/>
      <c r="EA185" s="574"/>
      <c r="EB185" s="574"/>
      <c r="EC185" s="574"/>
      <c r="ED185" s="574"/>
      <c r="EE185" s="646">
        <f t="shared" si="313"/>
        <v>0</v>
      </c>
      <c r="EF185" s="646">
        <f t="shared" si="314"/>
        <v>0</v>
      </c>
      <c r="EG185" s="646">
        <f t="shared" si="315"/>
        <v>0</v>
      </c>
      <c r="EH185" s="646">
        <f t="shared" si="316"/>
        <v>0</v>
      </c>
      <c r="EI185" s="646">
        <f t="shared" si="317"/>
        <v>0</v>
      </c>
      <c r="EJ185" s="574"/>
      <c r="EK185" s="574"/>
      <c r="EL185" s="574"/>
      <c r="EM185" s="574"/>
      <c r="EN185" s="574"/>
      <c r="EO185" s="574"/>
      <c r="EP185" s="574"/>
      <c r="EQ185" s="574"/>
      <c r="ER185" s="574"/>
      <c r="ES185" s="574"/>
      <c r="ET185" s="574"/>
      <c r="EU185" s="574"/>
    </row>
    <row r="186" hidden="1">
      <c r="A186" s="577">
        <v>7410.0</v>
      </c>
      <c r="B186" s="12" t="s">
        <v>284</v>
      </c>
      <c r="C186" s="12" t="s">
        <v>209</v>
      </c>
      <c r="D186" s="574"/>
      <c r="E186" s="574"/>
      <c r="F186" s="574"/>
      <c r="G186" s="574"/>
      <c r="H186" s="574"/>
      <c r="I186" s="574"/>
      <c r="J186" s="574"/>
      <c r="K186" s="574"/>
      <c r="L186" s="574"/>
      <c r="M186" s="574"/>
      <c r="N186" s="574"/>
      <c r="O186" s="574"/>
      <c r="P186" s="645">
        <f t="shared" si="251"/>
        <v>0</v>
      </c>
      <c r="Q186" s="645">
        <f t="shared" si="252"/>
        <v>0</v>
      </c>
      <c r="R186" s="645">
        <f t="shared" si="253"/>
        <v>0</v>
      </c>
      <c r="S186" s="645">
        <f t="shared" si="254"/>
        <v>0</v>
      </c>
      <c r="T186" s="645">
        <f t="shared" si="255"/>
        <v>0</v>
      </c>
      <c r="U186" s="574"/>
      <c r="V186" s="574"/>
      <c r="W186" s="574"/>
      <c r="X186" s="574"/>
      <c r="Y186" s="574"/>
      <c r="Z186" s="574"/>
      <c r="AA186" s="574"/>
      <c r="AB186" s="574"/>
      <c r="AC186" s="574"/>
      <c r="AD186" s="574"/>
      <c r="AE186" s="574"/>
      <c r="AF186" s="574"/>
      <c r="AG186" s="645">
        <f t="shared" si="256"/>
        <v>0</v>
      </c>
      <c r="AH186" s="645">
        <f t="shared" si="257"/>
        <v>0</v>
      </c>
      <c r="AI186" s="645">
        <f t="shared" si="258"/>
        <v>0</v>
      </c>
      <c r="AJ186" s="645">
        <f t="shared" si="259"/>
        <v>0</v>
      </c>
      <c r="AK186" s="645">
        <f t="shared" si="260"/>
        <v>0</v>
      </c>
      <c r="AL186" s="574"/>
      <c r="AM186" s="574"/>
      <c r="AN186" s="574"/>
      <c r="AO186" s="574"/>
      <c r="AP186" s="574"/>
      <c r="AQ186" s="574"/>
      <c r="AR186" s="574"/>
      <c r="AS186" s="574"/>
      <c r="AT186" s="574"/>
      <c r="AU186" s="574"/>
      <c r="AV186" s="574"/>
      <c r="AW186" s="574"/>
      <c r="AX186" s="645">
        <f t="shared" si="261"/>
        <v>0</v>
      </c>
      <c r="AY186" s="645">
        <f t="shared" si="262"/>
        <v>0</v>
      </c>
      <c r="AZ186" s="645">
        <f t="shared" si="263"/>
        <v>0</v>
      </c>
      <c r="BA186" s="645">
        <f t="shared" si="264"/>
        <v>0</v>
      </c>
      <c r="BB186" s="645">
        <f t="shared" si="265"/>
        <v>0</v>
      </c>
      <c r="BC186" s="574"/>
      <c r="BD186" s="574"/>
      <c r="BE186" s="574"/>
      <c r="BF186" s="574"/>
      <c r="BG186" s="574"/>
      <c r="BH186" s="574"/>
      <c r="BI186" s="574"/>
      <c r="BJ186" s="574"/>
      <c r="BK186" s="574"/>
      <c r="BL186" s="574"/>
      <c r="BM186" s="574"/>
      <c r="BN186" s="574"/>
      <c r="BO186" s="645">
        <f t="shared" si="293"/>
        <v>0</v>
      </c>
      <c r="BP186" s="645">
        <f t="shared" si="294"/>
        <v>0</v>
      </c>
      <c r="BQ186" s="645">
        <f t="shared" si="295"/>
        <v>0</v>
      </c>
      <c r="BR186" s="645">
        <f t="shared" si="296"/>
        <v>0</v>
      </c>
      <c r="BS186" s="645">
        <f t="shared" si="297"/>
        <v>0</v>
      </c>
      <c r="BT186" s="569">
        <v>0.0</v>
      </c>
      <c r="BU186" s="569">
        <v>50000.0</v>
      </c>
      <c r="BV186" s="569">
        <v>50000.0</v>
      </c>
      <c r="BW186" s="574"/>
      <c r="BX186" s="574"/>
      <c r="BY186" s="574"/>
      <c r="BZ186" s="574"/>
      <c r="CA186" s="574"/>
      <c r="CB186" s="574"/>
      <c r="CC186" s="574"/>
      <c r="CD186" s="574"/>
      <c r="CE186" s="574"/>
      <c r="CF186" s="646">
        <f t="shared" si="298"/>
        <v>100000</v>
      </c>
      <c r="CG186" s="646">
        <f t="shared" si="299"/>
        <v>0</v>
      </c>
      <c r="CH186" s="646">
        <f t="shared" si="300"/>
        <v>0</v>
      </c>
      <c r="CI186" s="646">
        <f t="shared" si="301"/>
        <v>0</v>
      </c>
      <c r="CJ186" s="646">
        <f t="shared" si="302"/>
        <v>100000</v>
      </c>
      <c r="CK186" s="574"/>
      <c r="CL186" s="574"/>
      <c r="CM186" s="574"/>
      <c r="CN186" s="574"/>
      <c r="CO186" s="574"/>
      <c r="CP186" s="574"/>
      <c r="CQ186" s="574"/>
      <c r="CR186" s="574"/>
      <c r="CS186" s="574"/>
      <c r="CT186" s="574"/>
      <c r="CU186" s="574"/>
      <c r="CV186" s="574"/>
      <c r="CW186" s="646">
        <f t="shared" si="303"/>
        <v>0</v>
      </c>
      <c r="CX186" s="646">
        <f t="shared" si="304"/>
        <v>0</v>
      </c>
      <c r="CY186" s="646">
        <f t="shared" si="305"/>
        <v>0</v>
      </c>
      <c r="CZ186" s="646">
        <f t="shared" si="306"/>
        <v>0</v>
      </c>
      <c r="DA186" s="646">
        <f t="shared" si="307"/>
        <v>0</v>
      </c>
      <c r="DB186" s="574"/>
      <c r="DC186" s="574"/>
      <c r="DD186" s="574"/>
      <c r="DE186" s="574"/>
      <c r="DF186" s="574"/>
      <c r="DG186" s="574"/>
      <c r="DH186" s="574"/>
      <c r="DI186" s="574"/>
      <c r="DJ186" s="574"/>
      <c r="DK186" s="574"/>
      <c r="DL186" s="574"/>
      <c r="DM186" s="574"/>
      <c r="DN186" s="646">
        <f t="shared" si="308"/>
        <v>0</v>
      </c>
      <c r="DO186" s="646">
        <f t="shared" si="309"/>
        <v>0</v>
      </c>
      <c r="DP186" s="646">
        <f t="shared" si="310"/>
        <v>0</v>
      </c>
      <c r="DQ186" s="646">
        <f t="shared" si="311"/>
        <v>0</v>
      </c>
      <c r="DR186" s="646">
        <f t="shared" si="312"/>
        <v>0</v>
      </c>
      <c r="DS186" s="574"/>
      <c r="DT186" s="574"/>
      <c r="DU186" s="574"/>
      <c r="DV186" s="574"/>
      <c r="DW186" s="574"/>
      <c r="DX186" s="574"/>
      <c r="DY186" s="574"/>
      <c r="DZ186" s="574"/>
      <c r="EA186" s="574"/>
      <c r="EB186" s="574"/>
      <c r="EC186" s="574"/>
      <c r="ED186" s="574"/>
      <c r="EE186" s="646">
        <f t="shared" si="313"/>
        <v>0</v>
      </c>
      <c r="EF186" s="646">
        <f t="shared" si="314"/>
        <v>0</v>
      </c>
      <c r="EG186" s="646">
        <f t="shared" si="315"/>
        <v>0</v>
      </c>
      <c r="EH186" s="646">
        <f t="shared" si="316"/>
        <v>0</v>
      </c>
      <c r="EI186" s="646">
        <f t="shared" si="317"/>
        <v>0</v>
      </c>
      <c r="EJ186" s="574"/>
      <c r="EK186" s="574"/>
      <c r="EL186" s="574"/>
      <c r="EM186" s="574"/>
      <c r="EN186" s="574"/>
      <c r="EO186" s="574"/>
      <c r="EP186" s="574"/>
      <c r="EQ186" s="574"/>
      <c r="ER186" s="574"/>
      <c r="ES186" s="574"/>
      <c r="ET186" s="574"/>
      <c r="EU186" s="574"/>
    </row>
    <row r="187" hidden="1">
      <c r="A187" s="577">
        <v>7410.0</v>
      </c>
      <c r="B187" s="12" t="s">
        <v>285</v>
      </c>
      <c r="C187" s="12" t="s">
        <v>209</v>
      </c>
      <c r="D187" s="574"/>
      <c r="E187" s="574"/>
      <c r="F187" s="574"/>
      <c r="G187" s="574"/>
      <c r="H187" s="574"/>
      <c r="I187" s="574"/>
      <c r="J187" s="574"/>
      <c r="K187" s="574"/>
      <c r="L187" s="574"/>
      <c r="M187" s="574"/>
      <c r="N187" s="574"/>
      <c r="O187" s="574"/>
      <c r="P187" s="645">
        <f t="shared" si="251"/>
        <v>0</v>
      </c>
      <c r="Q187" s="645">
        <f t="shared" si="252"/>
        <v>0</v>
      </c>
      <c r="R187" s="645">
        <f t="shared" si="253"/>
        <v>0</v>
      </c>
      <c r="S187" s="645">
        <f t="shared" si="254"/>
        <v>0</v>
      </c>
      <c r="T187" s="645">
        <f t="shared" si="255"/>
        <v>0</v>
      </c>
      <c r="U187" s="574"/>
      <c r="V187" s="574"/>
      <c r="W187" s="574"/>
      <c r="X187" s="574"/>
      <c r="Y187" s="574"/>
      <c r="Z187" s="574"/>
      <c r="AA187" s="574"/>
      <c r="AB187" s="574"/>
      <c r="AC187" s="574"/>
      <c r="AD187" s="574"/>
      <c r="AE187" s="574"/>
      <c r="AF187" s="574"/>
      <c r="AG187" s="645">
        <f t="shared" si="256"/>
        <v>0</v>
      </c>
      <c r="AH187" s="645">
        <f t="shared" si="257"/>
        <v>0</v>
      </c>
      <c r="AI187" s="645">
        <f t="shared" si="258"/>
        <v>0</v>
      </c>
      <c r="AJ187" s="645">
        <f t="shared" si="259"/>
        <v>0</v>
      </c>
      <c r="AK187" s="645">
        <f t="shared" si="260"/>
        <v>0</v>
      </c>
      <c r="AL187" s="574"/>
      <c r="AM187" s="574"/>
      <c r="AN187" s="574"/>
      <c r="AO187" s="574"/>
      <c r="AP187" s="574"/>
      <c r="AQ187" s="574"/>
      <c r="AR187" s="574"/>
      <c r="AS187" s="574"/>
      <c r="AT187" s="574"/>
      <c r="AU187" s="574"/>
      <c r="AV187" s="574"/>
      <c r="AW187" s="574"/>
      <c r="AX187" s="645">
        <f t="shared" si="261"/>
        <v>0</v>
      </c>
      <c r="AY187" s="645">
        <f t="shared" si="262"/>
        <v>0</v>
      </c>
      <c r="AZ187" s="645">
        <f t="shared" si="263"/>
        <v>0</v>
      </c>
      <c r="BA187" s="645">
        <f t="shared" si="264"/>
        <v>0</v>
      </c>
      <c r="BB187" s="645">
        <f t="shared" si="265"/>
        <v>0</v>
      </c>
      <c r="BC187" s="574"/>
      <c r="BD187" s="574"/>
      <c r="BE187" s="574"/>
      <c r="BF187" s="574"/>
      <c r="BG187" s="574"/>
      <c r="BH187" s="574"/>
      <c r="BI187" s="574"/>
      <c r="BJ187" s="574"/>
      <c r="BK187" s="574"/>
      <c r="BL187" s="574"/>
      <c r="BM187" s="574"/>
      <c r="BN187" s="574"/>
      <c r="BO187" s="645">
        <f t="shared" si="293"/>
        <v>0</v>
      </c>
      <c r="BP187" s="645">
        <f t="shared" si="294"/>
        <v>0</v>
      </c>
      <c r="BQ187" s="645">
        <f t="shared" si="295"/>
        <v>0</v>
      </c>
      <c r="BR187" s="645">
        <f t="shared" si="296"/>
        <v>0</v>
      </c>
      <c r="BS187" s="645">
        <f t="shared" si="297"/>
        <v>0</v>
      </c>
      <c r="BT187" s="569">
        <v>0.0</v>
      </c>
      <c r="BU187" s="569">
        <v>0.0</v>
      </c>
      <c r="BV187" s="569">
        <v>0.0</v>
      </c>
      <c r="BW187" s="569">
        <v>42813.0</v>
      </c>
      <c r="BX187" s="569">
        <v>62800.0</v>
      </c>
      <c r="BY187" s="569">
        <v>25300.0</v>
      </c>
      <c r="BZ187" s="569">
        <v>31800.0</v>
      </c>
      <c r="CA187" s="569">
        <v>71800.0</v>
      </c>
      <c r="CB187" s="569">
        <v>143329.0</v>
      </c>
      <c r="CC187" s="574"/>
      <c r="CD187" s="574"/>
      <c r="CE187" s="574"/>
      <c r="CF187" s="646">
        <f t="shared" si="298"/>
        <v>0</v>
      </c>
      <c r="CG187" s="646">
        <f t="shared" si="299"/>
        <v>130913</v>
      </c>
      <c r="CH187" s="646">
        <f t="shared" si="300"/>
        <v>246929</v>
      </c>
      <c r="CI187" s="646">
        <f t="shared" si="301"/>
        <v>0</v>
      </c>
      <c r="CJ187" s="646">
        <f t="shared" si="302"/>
        <v>377842</v>
      </c>
      <c r="CK187" s="574"/>
      <c r="CL187" s="574"/>
      <c r="CM187" s="574"/>
      <c r="CN187" s="574"/>
      <c r="CO187" s="574"/>
      <c r="CP187" s="574"/>
      <c r="CQ187" s="574"/>
      <c r="CR187" s="574"/>
      <c r="CS187" s="574"/>
      <c r="CT187" s="574"/>
      <c r="CU187" s="574"/>
      <c r="CV187" s="574"/>
      <c r="CW187" s="646">
        <f t="shared" si="303"/>
        <v>0</v>
      </c>
      <c r="CX187" s="646">
        <f t="shared" si="304"/>
        <v>0</v>
      </c>
      <c r="CY187" s="646">
        <f t="shared" si="305"/>
        <v>0</v>
      </c>
      <c r="CZ187" s="646">
        <f t="shared" si="306"/>
        <v>0</v>
      </c>
      <c r="DA187" s="646">
        <f t="shared" si="307"/>
        <v>0</v>
      </c>
      <c r="DB187" s="574"/>
      <c r="DC187" s="574"/>
      <c r="DD187" s="574"/>
      <c r="DE187" s="574"/>
      <c r="DF187" s="574"/>
      <c r="DG187" s="574"/>
      <c r="DH187" s="574"/>
      <c r="DI187" s="574"/>
      <c r="DJ187" s="574"/>
      <c r="DK187" s="574"/>
      <c r="DL187" s="574"/>
      <c r="DM187" s="574"/>
      <c r="DN187" s="646">
        <f t="shared" si="308"/>
        <v>0</v>
      </c>
      <c r="DO187" s="646">
        <f t="shared" si="309"/>
        <v>0</v>
      </c>
      <c r="DP187" s="646">
        <f t="shared" si="310"/>
        <v>0</v>
      </c>
      <c r="DQ187" s="646">
        <f t="shared" si="311"/>
        <v>0</v>
      </c>
      <c r="DR187" s="646">
        <f t="shared" si="312"/>
        <v>0</v>
      </c>
      <c r="DS187" s="574"/>
      <c r="DT187" s="574"/>
      <c r="DU187" s="574"/>
      <c r="DV187" s="574"/>
      <c r="DW187" s="574"/>
      <c r="DX187" s="574"/>
      <c r="DY187" s="574"/>
      <c r="DZ187" s="574"/>
      <c r="EA187" s="574"/>
      <c r="EB187" s="574"/>
      <c r="EC187" s="574"/>
      <c r="ED187" s="574"/>
      <c r="EE187" s="646">
        <f t="shared" si="313"/>
        <v>0</v>
      </c>
      <c r="EF187" s="646">
        <f t="shared" si="314"/>
        <v>0</v>
      </c>
      <c r="EG187" s="646">
        <f t="shared" si="315"/>
        <v>0</v>
      </c>
      <c r="EH187" s="646">
        <f t="shared" si="316"/>
        <v>0</v>
      </c>
      <c r="EI187" s="646">
        <f t="shared" si="317"/>
        <v>0</v>
      </c>
      <c r="EJ187" s="574"/>
      <c r="EK187" s="574"/>
      <c r="EL187" s="574"/>
      <c r="EM187" s="574"/>
      <c r="EN187" s="574"/>
      <c r="EO187" s="574"/>
      <c r="EP187" s="574"/>
      <c r="EQ187" s="574"/>
      <c r="ER187" s="574"/>
      <c r="ES187" s="574"/>
      <c r="ET187" s="574"/>
      <c r="EU187" s="574"/>
    </row>
    <row r="188" hidden="1">
      <c r="A188" s="577">
        <v>7410.0</v>
      </c>
      <c r="B188" s="12" t="s">
        <v>286</v>
      </c>
      <c r="C188" s="12" t="s">
        <v>209</v>
      </c>
      <c r="D188" s="574"/>
      <c r="E188" s="574"/>
      <c r="F188" s="574"/>
      <c r="G188" s="574"/>
      <c r="H188" s="574"/>
      <c r="I188" s="574"/>
      <c r="J188" s="574"/>
      <c r="K188" s="574"/>
      <c r="L188" s="574"/>
      <c r="M188" s="574"/>
      <c r="N188" s="574"/>
      <c r="O188" s="574"/>
      <c r="P188" s="645">
        <f t="shared" si="251"/>
        <v>0</v>
      </c>
      <c r="Q188" s="645">
        <f t="shared" si="252"/>
        <v>0</v>
      </c>
      <c r="R188" s="645">
        <f t="shared" si="253"/>
        <v>0</v>
      </c>
      <c r="S188" s="645">
        <f t="shared" si="254"/>
        <v>0</v>
      </c>
      <c r="T188" s="645">
        <f t="shared" si="255"/>
        <v>0</v>
      </c>
      <c r="U188" s="574"/>
      <c r="V188" s="574"/>
      <c r="W188" s="574"/>
      <c r="X188" s="574"/>
      <c r="Y188" s="574"/>
      <c r="Z188" s="574"/>
      <c r="AA188" s="574"/>
      <c r="AB188" s="574"/>
      <c r="AC188" s="574"/>
      <c r="AD188" s="574"/>
      <c r="AE188" s="574"/>
      <c r="AF188" s="574"/>
      <c r="AG188" s="645">
        <f t="shared" si="256"/>
        <v>0</v>
      </c>
      <c r="AH188" s="645">
        <f t="shared" si="257"/>
        <v>0</v>
      </c>
      <c r="AI188" s="645">
        <f t="shared" si="258"/>
        <v>0</v>
      </c>
      <c r="AJ188" s="645">
        <f t="shared" si="259"/>
        <v>0</v>
      </c>
      <c r="AK188" s="645">
        <f t="shared" si="260"/>
        <v>0</v>
      </c>
      <c r="AL188" s="574"/>
      <c r="AM188" s="574"/>
      <c r="AN188" s="574"/>
      <c r="AO188" s="574"/>
      <c r="AP188" s="574"/>
      <c r="AQ188" s="574"/>
      <c r="AR188" s="574"/>
      <c r="AS188" s="574"/>
      <c r="AT188" s="574"/>
      <c r="AU188" s="574"/>
      <c r="AV188" s="574"/>
      <c r="AW188" s="574"/>
      <c r="AX188" s="645">
        <f t="shared" si="261"/>
        <v>0</v>
      </c>
      <c r="AY188" s="645">
        <f t="shared" si="262"/>
        <v>0</v>
      </c>
      <c r="AZ188" s="645">
        <f t="shared" si="263"/>
        <v>0</v>
      </c>
      <c r="BA188" s="645">
        <f t="shared" si="264"/>
        <v>0</v>
      </c>
      <c r="BB188" s="645">
        <f t="shared" si="265"/>
        <v>0</v>
      </c>
      <c r="BC188" s="574"/>
      <c r="BD188" s="574"/>
      <c r="BE188" s="574"/>
      <c r="BF188" s="574"/>
      <c r="BG188" s="574"/>
      <c r="BH188" s="574"/>
      <c r="BI188" s="574"/>
      <c r="BJ188" s="574"/>
      <c r="BK188" s="574"/>
      <c r="BL188" s="574"/>
      <c r="BM188" s="574"/>
      <c r="BN188" s="574"/>
      <c r="BO188" s="645">
        <f t="shared" si="293"/>
        <v>0</v>
      </c>
      <c r="BP188" s="645">
        <f t="shared" si="294"/>
        <v>0</v>
      </c>
      <c r="BQ188" s="645">
        <f t="shared" si="295"/>
        <v>0</v>
      </c>
      <c r="BR188" s="645">
        <f t="shared" si="296"/>
        <v>0</v>
      </c>
      <c r="BS188" s="645">
        <f t="shared" si="297"/>
        <v>0</v>
      </c>
      <c r="BT188" s="574"/>
      <c r="BU188" s="574"/>
      <c r="BV188" s="574"/>
      <c r="BW188" s="574"/>
      <c r="BX188" s="574"/>
      <c r="BY188" s="574"/>
      <c r="BZ188" s="574"/>
      <c r="CA188" s="574"/>
      <c r="CB188" s="574"/>
      <c r="CC188" s="574"/>
      <c r="CD188" s="574"/>
      <c r="CE188" s="574"/>
      <c r="CF188" s="646">
        <f t="shared" si="298"/>
        <v>0</v>
      </c>
      <c r="CG188" s="646">
        <f t="shared" si="299"/>
        <v>0</v>
      </c>
      <c r="CH188" s="646">
        <f t="shared" si="300"/>
        <v>0</v>
      </c>
      <c r="CI188" s="646">
        <f t="shared" si="301"/>
        <v>0</v>
      </c>
      <c r="CJ188" s="646">
        <f t="shared" si="302"/>
        <v>0</v>
      </c>
      <c r="CK188" s="574"/>
      <c r="CL188" s="574"/>
      <c r="CM188" s="574"/>
      <c r="CN188" s="574"/>
      <c r="CO188" s="574"/>
      <c r="CP188" s="574"/>
      <c r="CQ188" s="574"/>
      <c r="CR188" s="574"/>
      <c r="CS188" s="574"/>
      <c r="CT188" s="574"/>
      <c r="CU188" s="574"/>
      <c r="CV188" s="574"/>
      <c r="CW188" s="646">
        <f t="shared" si="303"/>
        <v>0</v>
      </c>
      <c r="CX188" s="646">
        <f t="shared" si="304"/>
        <v>0</v>
      </c>
      <c r="CY188" s="646">
        <f t="shared" si="305"/>
        <v>0</v>
      </c>
      <c r="CZ188" s="646">
        <f t="shared" si="306"/>
        <v>0</v>
      </c>
      <c r="DA188" s="646">
        <f t="shared" si="307"/>
        <v>0</v>
      </c>
      <c r="DB188" s="574"/>
      <c r="DC188" s="574"/>
      <c r="DD188" s="574"/>
      <c r="DE188" s="574"/>
      <c r="DF188" s="574"/>
      <c r="DG188" s="574"/>
      <c r="DH188" s="574"/>
      <c r="DI188" s="574"/>
      <c r="DJ188" s="574"/>
      <c r="DK188" s="574"/>
      <c r="DL188" s="574"/>
      <c r="DM188" s="574"/>
      <c r="DN188" s="646">
        <f t="shared" si="308"/>
        <v>0</v>
      </c>
      <c r="DO188" s="646">
        <f t="shared" si="309"/>
        <v>0</v>
      </c>
      <c r="DP188" s="646">
        <f t="shared" si="310"/>
        <v>0</v>
      </c>
      <c r="DQ188" s="646">
        <f t="shared" si="311"/>
        <v>0</v>
      </c>
      <c r="DR188" s="646">
        <f t="shared" si="312"/>
        <v>0</v>
      </c>
      <c r="DS188" s="574"/>
      <c r="DT188" s="574"/>
      <c r="DU188" s="574"/>
      <c r="DV188" s="574"/>
      <c r="DW188" s="574"/>
      <c r="DX188" s="574"/>
      <c r="DY188" s="574"/>
      <c r="DZ188" s="574"/>
      <c r="EA188" s="574"/>
      <c r="EB188" s="574"/>
      <c r="EC188" s="574"/>
      <c r="ED188" s="574"/>
      <c r="EE188" s="646">
        <f t="shared" si="313"/>
        <v>0</v>
      </c>
      <c r="EF188" s="646">
        <f t="shared" si="314"/>
        <v>0</v>
      </c>
      <c r="EG188" s="646">
        <f t="shared" si="315"/>
        <v>0</v>
      </c>
      <c r="EH188" s="646">
        <f t="shared" si="316"/>
        <v>0</v>
      </c>
      <c r="EI188" s="646">
        <f t="shared" si="317"/>
        <v>0</v>
      </c>
      <c r="EJ188" s="574"/>
      <c r="EK188" s="574"/>
      <c r="EL188" s="574"/>
      <c r="EM188" s="574"/>
      <c r="EN188" s="574"/>
      <c r="EO188" s="574"/>
      <c r="EP188" s="574"/>
      <c r="EQ188" s="574"/>
      <c r="ER188" s="574"/>
      <c r="ES188" s="574"/>
      <c r="ET188" s="574"/>
      <c r="EU188" s="574"/>
    </row>
    <row r="189" hidden="1">
      <c r="A189" s="577">
        <v>7410.0</v>
      </c>
      <c r="B189" s="12" t="s">
        <v>287</v>
      </c>
      <c r="C189" s="12" t="s">
        <v>209</v>
      </c>
      <c r="D189" s="574"/>
      <c r="E189" s="574"/>
      <c r="F189" s="574"/>
      <c r="G189" s="574"/>
      <c r="H189" s="574"/>
      <c r="I189" s="574"/>
      <c r="J189" s="574"/>
      <c r="K189" s="574"/>
      <c r="L189" s="574"/>
      <c r="M189" s="574"/>
      <c r="N189" s="574"/>
      <c r="O189" s="574"/>
      <c r="P189" s="645">
        <f t="shared" si="251"/>
        <v>0</v>
      </c>
      <c r="Q189" s="645">
        <f t="shared" si="252"/>
        <v>0</v>
      </c>
      <c r="R189" s="645">
        <f t="shared" si="253"/>
        <v>0</v>
      </c>
      <c r="S189" s="645">
        <f t="shared" si="254"/>
        <v>0</v>
      </c>
      <c r="T189" s="645">
        <f t="shared" si="255"/>
        <v>0</v>
      </c>
      <c r="U189" s="574"/>
      <c r="V189" s="574"/>
      <c r="W189" s="574"/>
      <c r="X189" s="574"/>
      <c r="Y189" s="574"/>
      <c r="Z189" s="574"/>
      <c r="AA189" s="574"/>
      <c r="AB189" s="574"/>
      <c r="AC189" s="574"/>
      <c r="AD189" s="574"/>
      <c r="AE189" s="574"/>
      <c r="AF189" s="574"/>
      <c r="AG189" s="645">
        <f t="shared" si="256"/>
        <v>0</v>
      </c>
      <c r="AH189" s="645">
        <f t="shared" si="257"/>
        <v>0</v>
      </c>
      <c r="AI189" s="645">
        <f t="shared" si="258"/>
        <v>0</v>
      </c>
      <c r="AJ189" s="645">
        <f t="shared" si="259"/>
        <v>0</v>
      </c>
      <c r="AK189" s="645">
        <f t="shared" si="260"/>
        <v>0</v>
      </c>
      <c r="AL189" s="574"/>
      <c r="AM189" s="574"/>
      <c r="AN189" s="574"/>
      <c r="AO189" s="574"/>
      <c r="AP189" s="574"/>
      <c r="AQ189" s="574"/>
      <c r="AR189" s="574"/>
      <c r="AS189" s="574"/>
      <c r="AT189" s="574"/>
      <c r="AU189" s="574"/>
      <c r="AV189" s="574"/>
      <c r="AW189" s="574"/>
      <c r="AX189" s="645">
        <f t="shared" si="261"/>
        <v>0</v>
      </c>
      <c r="AY189" s="645">
        <f t="shared" si="262"/>
        <v>0</v>
      </c>
      <c r="AZ189" s="645">
        <f t="shared" si="263"/>
        <v>0</v>
      </c>
      <c r="BA189" s="645">
        <f t="shared" si="264"/>
        <v>0</v>
      </c>
      <c r="BB189" s="645">
        <f t="shared" si="265"/>
        <v>0</v>
      </c>
      <c r="BC189" s="574"/>
      <c r="BD189" s="574"/>
      <c r="BE189" s="574"/>
      <c r="BF189" s="574"/>
      <c r="BG189" s="574"/>
      <c r="BH189" s="574"/>
      <c r="BI189" s="574"/>
      <c r="BJ189" s="574"/>
      <c r="BK189" s="574"/>
      <c r="BL189" s="574"/>
      <c r="BM189" s="574"/>
      <c r="BN189" s="574"/>
      <c r="BO189" s="645">
        <f t="shared" si="293"/>
        <v>0</v>
      </c>
      <c r="BP189" s="645">
        <f t="shared" si="294"/>
        <v>0</v>
      </c>
      <c r="BQ189" s="645">
        <f t="shared" si="295"/>
        <v>0</v>
      </c>
      <c r="BR189" s="645">
        <f t="shared" si="296"/>
        <v>0</v>
      </c>
      <c r="BS189" s="645">
        <f t="shared" si="297"/>
        <v>0</v>
      </c>
      <c r="BT189" s="574"/>
      <c r="BU189" s="574"/>
      <c r="BV189" s="574"/>
      <c r="BW189" s="574"/>
      <c r="BX189" s="574"/>
      <c r="BY189" s="574"/>
      <c r="BZ189" s="574"/>
      <c r="CA189" s="574"/>
      <c r="CB189" s="574"/>
      <c r="CC189" s="574"/>
      <c r="CD189" s="574"/>
      <c r="CE189" s="574"/>
      <c r="CF189" s="646">
        <f t="shared" si="298"/>
        <v>0</v>
      </c>
      <c r="CG189" s="646">
        <f t="shared" si="299"/>
        <v>0</v>
      </c>
      <c r="CH189" s="646">
        <f t="shared" si="300"/>
        <v>0</v>
      </c>
      <c r="CI189" s="646">
        <f t="shared" si="301"/>
        <v>0</v>
      </c>
      <c r="CJ189" s="646">
        <f t="shared" si="302"/>
        <v>0</v>
      </c>
      <c r="CK189" s="574"/>
      <c r="CL189" s="574"/>
      <c r="CM189" s="574"/>
      <c r="CN189" s="574"/>
      <c r="CO189" s="574"/>
      <c r="CP189" s="574"/>
      <c r="CQ189" s="574"/>
      <c r="CR189" s="574"/>
      <c r="CS189" s="574"/>
      <c r="CT189" s="574"/>
      <c r="CU189" s="574"/>
      <c r="CV189" s="574"/>
      <c r="CW189" s="646">
        <f t="shared" si="303"/>
        <v>0</v>
      </c>
      <c r="CX189" s="646">
        <f t="shared" si="304"/>
        <v>0</v>
      </c>
      <c r="CY189" s="646">
        <f t="shared" si="305"/>
        <v>0</v>
      </c>
      <c r="CZ189" s="646">
        <f t="shared" si="306"/>
        <v>0</v>
      </c>
      <c r="DA189" s="646">
        <f t="shared" si="307"/>
        <v>0</v>
      </c>
      <c r="DB189" s="574"/>
      <c r="DC189" s="574"/>
      <c r="DD189" s="574"/>
      <c r="DE189" s="574"/>
      <c r="DF189" s="574"/>
      <c r="DG189" s="574"/>
      <c r="DH189" s="574"/>
      <c r="DI189" s="574"/>
      <c r="DJ189" s="574"/>
      <c r="DK189" s="574"/>
      <c r="DL189" s="574"/>
      <c r="DM189" s="574"/>
      <c r="DN189" s="646">
        <f t="shared" si="308"/>
        <v>0</v>
      </c>
      <c r="DO189" s="646">
        <f t="shared" si="309"/>
        <v>0</v>
      </c>
      <c r="DP189" s="646">
        <f t="shared" si="310"/>
        <v>0</v>
      </c>
      <c r="DQ189" s="646">
        <f t="shared" si="311"/>
        <v>0</v>
      </c>
      <c r="DR189" s="646">
        <f t="shared" si="312"/>
        <v>0</v>
      </c>
      <c r="DS189" s="574"/>
      <c r="DT189" s="574"/>
      <c r="DU189" s="574"/>
      <c r="DV189" s="574"/>
      <c r="DW189" s="574"/>
      <c r="DX189" s="574"/>
      <c r="DY189" s="574"/>
      <c r="DZ189" s="574"/>
      <c r="EA189" s="574"/>
      <c r="EB189" s="574"/>
      <c r="EC189" s="574"/>
      <c r="ED189" s="574"/>
      <c r="EE189" s="646">
        <f t="shared" si="313"/>
        <v>0</v>
      </c>
      <c r="EF189" s="646">
        <f t="shared" si="314"/>
        <v>0</v>
      </c>
      <c r="EG189" s="646">
        <f t="shared" si="315"/>
        <v>0</v>
      </c>
      <c r="EH189" s="646">
        <f t="shared" si="316"/>
        <v>0</v>
      </c>
      <c r="EI189" s="646">
        <f t="shared" si="317"/>
        <v>0</v>
      </c>
      <c r="EJ189" s="574"/>
      <c r="EK189" s="574"/>
      <c r="EL189" s="574"/>
      <c r="EM189" s="574"/>
      <c r="EN189" s="574"/>
      <c r="EO189" s="574"/>
      <c r="EP189" s="574"/>
      <c r="EQ189" s="574"/>
      <c r="ER189" s="574"/>
      <c r="ES189" s="574"/>
      <c r="ET189" s="574"/>
      <c r="EU189" s="574"/>
    </row>
    <row r="190" hidden="1">
      <c r="A190" s="577">
        <v>7410.0</v>
      </c>
      <c r="B190" s="12" t="s">
        <v>288</v>
      </c>
      <c r="C190" s="12" t="s">
        <v>209</v>
      </c>
      <c r="D190" s="574"/>
      <c r="E190" s="574"/>
      <c r="F190" s="574"/>
      <c r="G190" s="574"/>
      <c r="H190" s="574"/>
      <c r="I190" s="574"/>
      <c r="J190" s="574"/>
      <c r="K190" s="574"/>
      <c r="L190" s="574"/>
      <c r="M190" s="574"/>
      <c r="N190" s="574"/>
      <c r="O190" s="574"/>
      <c r="P190" s="645">
        <f t="shared" si="251"/>
        <v>0</v>
      </c>
      <c r="Q190" s="645">
        <f t="shared" si="252"/>
        <v>0</v>
      </c>
      <c r="R190" s="645">
        <f t="shared" si="253"/>
        <v>0</v>
      </c>
      <c r="S190" s="645">
        <f t="shared" si="254"/>
        <v>0</v>
      </c>
      <c r="T190" s="645">
        <f t="shared" si="255"/>
        <v>0</v>
      </c>
      <c r="U190" s="574"/>
      <c r="V190" s="574"/>
      <c r="W190" s="574"/>
      <c r="X190" s="574"/>
      <c r="Y190" s="574"/>
      <c r="Z190" s="574"/>
      <c r="AA190" s="574"/>
      <c r="AB190" s="574"/>
      <c r="AC190" s="574"/>
      <c r="AD190" s="574"/>
      <c r="AE190" s="574"/>
      <c r="AF190" s="574"/>
      <c r="AG190" s="645">
        <f t="shared" si="256"/>
        <v>0</v>
      </c>
      <c r="AH190" s="645">
        <f t="shared" si="257"/>
        <v>0</v>
      </c>
      <c r="AI190" s="645">
        <f t="shared" si="258"/>
        <v>0</v>
      </c>
      <c r="AJ190" s="645">
        <f t="shared" si="259"/>
        <v>0</v>
      </c>
      <c r="AK190" s="645">
        <f t="shared" si="260"/>
        <v>0</v>
      </c>
      <c r="AL190" s="574"/>
      <c r="AM190" s="574"/>
      <c r="AN190" s="574"/>
      <c r="AO190" s="574"/>
      <c r="AP190" s="574"/>
      <c r="AQ190" s="574"/>
      <c r="AR190" s="574"/>
      <c r="AS190" s="574"/>
      <c r="AT190" s="574"/>
      <c r="AU190" s="574"/>
      <c r="AV190" s="574"/>
      <c r="AW190" s="574"/>
      <c r="AX190" s="645">
        <f t="shared" si="261"/>
        <v>0</v>
      </c>
      <c r="AY190" s="645">
        <f t="shared" si="262"/>
        <v>0</v>
      </c>
      <c r="AZ190" s="645">
        <f t="shared" si="263"/>
        <v>0</v>
      </c>
      <c r="BA190" s="645">
        <f t="shared" si="264"/>
        <v>0</v>
      </c>
      <c r="BB190" s="645">
        <f t="shared" si="265"/>
        <v>0</v>
      </c>
      <c r="BC190" s="574"/>
      <c r="BD190" s="574"/>
      <c r="BE190" s="574"/>
      <c r="BF190" s="574"/>
      <c r="BG190" s="574"/>
      <c r="BH190" s="574"/>
      <c r="BI190" s="574"/>
      <c r="BJ190" s="574"/>
      <c r="BK190" s="574"/>
      <c r="BL190" s="574"/>
      <c r="BM190" s="574"/>
      <c r="BN190" s="574"/>
      <c r="BO190" s="645">
        <f t="shared" si="293"/>
        <v>0</v>
      </c>
      <c r="BP190" s="645">
        <f t="shared" si="294"/>
        <v>0</v>
      </c>
      <c r="BQ190" s="645">
        <f t="shared" si="295"/>
        <v>0</v>
      </c>
      <c r="BR190" s="645">
        <f t="shared" si="296"/>
        <v>0</v>
      </c>
      <c r="BS190" s="645">
        <f t="shared" si="297"/>
        <v>0</v>
      </c>
      <c r="BT190" s="569">
        <v>0.0</v>
      </c>
      <c r="BU190" s="569">
        <v>0.0</v>
      </c>
      <c r="BV190" s="569">
        <v>0.0</v>
      </c>
      <c r="BW190" s="569">
        <v>0.0</v>
      </c>
      <c r="BX190" s="569">
        <v>767.34</v>
      </c>
      <c r="BY190" s="569">
        <v>22746.71</v>
      </c>
      <c r="BZ190" s="569">
        <v>53397.6</v>
      </c>
      <c r="CA190" s="569">
        <v>68788.06</v>
      </c>
      <c r="CB190" s="569">
        <v>81966.67</v>
      </c>
      <c r="CC190" s="569">
        <v>124400.36</v>
      </c>
      <c r="CD190" s="574"/>
      <c r="CE190" s="574"/>
      <c r="CF190" s="646">
        <f t="shared" si="298"/>
        <v>0</v>
      </c>
      <c r="CG190" s="646">
        <f t="shared" si="299"/>
        <v>23514.05</v>
      </c>
      <c r="CH190" s="646">
        <f t="shared" si="300"/>
        <v>204152.33</v>
      </c>
      <c r="CI190" s="646">
        <f t="shared" si="301"/>
        <v>124400.36</v>
      </c>
      <c r="CJ190" s="646">
        <f t="shared" si="302"/>
        <v>352066.74</v>
      </c>
      <c r="CK190" s="574"/>
      <c r="CL190" s="574"/>
      <c r="CM190" s="574"/>
      <c r="CN190" s="574"/>
      <c r="CO190" s="574"/>
      <c r="CP190" s="574"/>
      <c r="CQ190" s="574"/>
      <c r="CR190" s="574"/>
      <c r="CS190" s="574"/>
      <c r="CT190" s="574"/>
      <c r="CU190" s="574"/>
      <c r="CV190" s="574"/>
      <c r="CW190" s="646">
        <f t="shared" si="303"/>
        <v>0</v>
      </c>
      <c r="CX190" s="646">
        <f t="shared" si="304"/>
        <v>0</v>
      </c>
      <c r="CY190" s="646">
        <f t="shared" si="305"/>
        <v>0</v>
      </c>
      <c r="CZ190" s="646">
        <f t="shared" si="306"/>
        <v>0</v>
      </c>
      <c r="DA190" s="646">
        <f t="shared" si="307"/>
        <v>0</v>
      </c>
      <c r="DB190" s="574"/>
      <c r="DC190" s="574"/>
      <c r="DD190" s="574"/>
      <c r="DE190" s="574"/>
      <c r="DF190" s="574"/>
      <c r="DG190" s="574"/>
      <c r="DH190" s="574"/>
      <c r="DI190" s="574"/>
      <c r="DJ190" s="574"/>
      <c r="DK190" s="574"/>
      <c r="DL190" s="574"/>
      <c r="DM190" s="574"/>
      <c r="DN190" s="646">
        <f t="shared" si="308"/>
        <v>0</v>
      </c>
      <c r="DO190" s="646">
        <f t="shared" si="309"/>
        <v>0</v>
      </c>
      <c r="DP190" s="646">
        <f t="shared" si="310"/>
        <v>0</v>
      </c>
      <c r="DQ190" s="646">
        <f t="shared" si="311"/>
        <v>0</v>
      </c>
      <c r="DR190" s="646">
        <f t="shared" si="312"/>
        <v>0</v>
      </c>
      <c r="DS190" s="574"/>
      <c r="DT190" s="574"/>
      <c r="DU190" s="574"/>
      <c r="DV190" s="574"/>
      <c r="DW190" s="574"/>
      <c r="DX190" s="574"/>
      <c r="DY190" s="574"/>
      <c r="DZ190" s="574"/>
      <c r="EA190" s="574"/>
      <c r="EB190" s="574"/>
      <c r="EC190" s="574"/>
      <c r="ED190" s="574"/>
      <c r="EE190" s="646">
        <f t="shared" si="313"/>
        <v>0</v>
      </c>
      <c r="EF190" s="646">
        <f t="shared" si="314"/>
        <v>0</v>
      </c>
      <c r="EG190" s="646">
        <f t="shared" si="315"/>
        <v>0</v>
      </c>
      <c r="EH190" s="646">
        <f t="shared" si="316"/>
        <v>0</v>
      </c>
      <c r="EI190" s="646">
        <f t="shared" si="317"/>
        <v>0</v>
      </c>
      <c r="EJ190" s="574"/>
      <c r="EK190" s="574"/>
      <c r="EL190" s="574"/>
      <c r="EM190" s="574"/>
      <c r="EN190" s="574"/>
      <c r="EO190" s="574"/>
      <c r="EP190" s="574"/>
      <c r="EQ190" s="574"/>
      <c r="ER190" s="574"/>
      <c r="ES190" s="574"/>
      <c r="ET190" s="574"/>
      <c r="EU190" s="574"/>
    </row>
    <row r="191" hidden="1">
      <c r="A191" s="577">
        <v>7410.0</v>
      </c>
      <c r="B191" s="12" t="s">
        <v>289</v>
      </c>
      <c r="C191" s="12" t="s">
        <v>209</v>
      </c>
      <c r="D191" s="574"/>
      <c r="E191" s="574"/>
      <c r="F191" s="574"/>
      <c r="G191" s="574"/>
      <c r="H191" s="574"/>
      <c r="I191" s="574"/>
      <c r="J191" s="574"/>
      <c r="K191" s="574"/>
      <c r="L191" s="574"/>
      <c r="M191" s="574"/>
      <c r="N191" s="574"/>
      <c r="O191" s="574"/>
      <c r="P191" s="645">
        <f t="shared" si="251"/>
        <v>0</v>
      </c>
      <c r="Q191" s="645">
        <f t="shared" si="252"/>
        <v>0</v>
      </c>
      <c r="R191" s="645">
        <f t="shared" si="253"/>
        <v>0</v>
      </c>
      <c r="S191" s="645">
        <f t="shared" si="254"/>
        <v>0</v>
      </c>
      <c r="T191" s="645">
        <f t="shared" si="255"/>
        <v>0</v>
      </c>
      <c r="U191" s="574"/>
      <c r="V191" s="574"/>
      <c r="W191" s="574"/>
      <c r="X191" s="574"/>
      <c r="Y191" s="574"/>
      <c r="Z191" s="574"/>
      <c r="AA191" s="574"/>
      <c r="AB191" s="574"/>
      <c r="AC191" s="574"/>
      <c r="AD191" s="574"/>
      <c r="AE191" s="574"/>
      <c r="AF191" s="574"/>
      <c r="AG191" s="645">
        <f t="shared" si="256"/>
        <v>0</v>
      </c>
      <c r="AH191" s="645">
        <f t="shared" si="257"/>
        <v>0</v>
      </c>
      <c r="AI191" s="645">
        <f t="shared" si="258"/>
        <v>0</v>
      </c>
      <c r="AJ191" s="645">
        <f t="shared" si="259"/>
        <v>0</v>
      </c>
      <c r="AK191" s="645">
        <f t="shared" si="260"/>
        <v>0</v>
      </c>
      <c r="AL191" s="574"/>
      <c r="AM191" s="574"/>
      <c r="AN191" s="574"/>
      <c r="AO191" s="574"/>
      <c r="AP191" s="574"/>
      <c r="AQ191" s="574"/>
      <c r="AR191" s="574"/>
      <c r="AS191" s="574"/>
      <c r="AT191" s="574"/>
      <c r="AU191" s="574"/>
      <c r="AV191" s="574"/>
      <c r="AW191" s="574"/>
      <c r="AX191" s="645">
        <f t="shared" si="261"/>
        <v>0</v>
      </c>
      <c r="AY191" s="645">
        <f t="shared" si="262"/>
        <v>0</v>
      </c>
      <c r="AZ191" s="645">
        <f t="shared" si="263"/>
        <v>0</v>
      </c>
      <c r="BA191" s="645">
        <f t="shared" si="264"/>
        <v>0</v>
      </c>
      <c r="BB191" s="645">
        <f t="shared" si="265"/>
        <v>0</v>
      </c>
      <c r="BC191" s="574"/>
      <c r="BD191" s="574"/>
      <c r="BE191" s="574"/>
      <c r="BF191" s="574"/>
      <c r="BG191" s="574"/>
      <c r="BH191" s="574"/>
      <c r="BI191" s="574"/>
      <c r="BJ191" s="574"/>
      <c r="BK191" s="574"/>
      <c r="BL191" s="574"/>
      <c r="BM191" s="574"/>
      <c r="BN191" s="574"/>
      <c r="BO191" s="645">
        <f t="shared" si="293"/>
        <v>0</v>
      </c>
      <c r="BP191" s="645">
        <f t="shared" si="294"/>
        <v>0</v>
      </c>
      <c r="BQ191" s="645">
        <f t="shared" si="295"/>
        <v>0</v>
      </c>
      <c r="BR191" s="645">
        <f t="shared" si="296"/>
        <v>0</v>
      </c>
      <c r="BS191" s="645">
        <f t="shared" si="297"/>
        <v>0</v>
      </c>
      <c r="BT191" s="569">
        <v>24764.0</v>
      </c>
      <c r="BU191" s="569">
        <v>44872.0</v>
      </c>
      <c r="BV191" s="569">
        <v>31656.0</v>
      </c>
      <c r="BW191" s="569">
        <v>31464.0</v>
      </c>
      <c r="BX191" s="569">
        <v>35306.0</v>
      </c>
      <c r="BY191" s="569">
        <v>27275.0</v>
      </c>
      <c r="BZ191" s="569">
        <v>31342.0</v>
      </c>
      <c r="CA191" s="569">
        <v>52955.0</v>
      </c>
      <c r="CB191" s="569">
        <v>41338.0</v>
      </c>
      <c r="CC191" s="574"/>
      <c r="CD191" s="574"/>
      <c r="CE191" s="574"/>
      <c r="CF191" s="646">
        <f t="shared" si="298"/>
        <v>101292</v>
      </c>
      <c r="CG191" s="646">
        <f t="shared" si="299"/>
        <v>94045</v>
      </c>
      <c r="CH191" s="646">
        <f t="shared" si="300"/>
        <v>125635</v>
      </c>
      <c r="CI191" s="646">
        <f t="shared" si="301"/>
        <v>0</v>
      </c>
      <c r="CJ191" s="646">
        <f t="shared" si="302"/>
        <v>320972</v>
      </c>
      <c r="CK191" s="574"/>
      <c r="CL191" s="574"/>
      <c r="CM191" s="574"/>
      <c r="CN191" s="574"/>
      <c r="CO191" s="574"/>
      <c r="CP191" s="574"/>
      <c r="CQ191" s="574"/>
      <c r="CR191" s="574"/>
      <c r="CS191" s="574"/>
      <c r="CT191" s="574"/>
      <c r="CU191" s="574"/>
      <c r="CV191" s="574"/>
      <c r="CW191" s="646">
        <f t="shared" si="303"/>
        <v>0</v>
      </c>
      <c r="CX191" s="646">
        <f t="shared" si="304"/>
        <v>0</v>
      </c>
      <c r="CY191" s="646">
        <f t="shared" si="305"/>
        <v>0</v>
      </c>
      <c r="CZ191" s="646">
        <f t="shared" si="306"/>
        <v>0</v>
      </c>
      <c r="DA191" s="646">
        <f t="shared" si="307"/>
        <v>0</v>
      </c>
      <c r="DB191" s="574"/>
      <c r="DC191" s="574"/>
      <c r="DD191" s="574"/>
      <c r="DE191" s="574"/>
      <c r="DF191" s="574"/>
      <c r="DG191" s="574"/>
      <c r="DH191" s="574"/>
      <c r="DI191" s="574"/>
      <c r="DJ191" s="574"/>
      <c r="DK191" s="574"/>
      <c r="DL191" s="574"/>
      <c r="DM191" s="574"/>
      <c r="DN191" s="646">
        <f t="shared" si="308"/>
        <v>0</v>
      </c>
      <c r="DO191" s="646">
        <f t="shared" si="309"/>
        <v>0</v>
      </c>
      <c r="DP191" s="646">
        <f t="shared" si="310"/>
        <v>0</v>
      </c>
      <c r="DQ191" s="646">
        <f t="shared" si="311"/>
        <v>0</v>
      </c>
      <c r="DR191" s="646">
        <f t="shared" si="312"/>
        <v>0</v>
      </c>
      <c r="DS191" s="574"/>
      <c r="DT191" s="574"/>
      <c r="DU191" s="574"/>
      <c r="DV191" s="574"/>
      <c r="DW191" s="574"/>
      <c r="DX191" s="574"/>
      <c r="DY191" s="574"/>
      <c r="DZ191" s="574"/>
      <c r="EA191" s="574"/>
      <c r="EB191" s="574"/>
      <c r="EC191" s="574"/>
      <c r="ED191" s="574"/>
      <c r="EE191" s="646">
        <f t="shared" si="313"/>
        <v>0</v>
      </c>
      <c r="EF191" s="646">
        <f t="shared" si="314"/>
        <v>0</v>
      </c>
      <c r="EG191" s="646">
        <f t="shared" si="315"/>
        <v>0</v>
      </c>
      <c r="EH191" s="646">
        <f t="shared" si="316"/>
        <v>0</v>
      </c>
      <c r="EI191" s="646">
        <f t="shared" si="317"/>
        <v>0</v>
      </c>
      <c r="EJ191" s="574"/>
      <c r="EK191" s="574"/>
      <c r="EL191" s="574"/>
      <c r="EM191" s="574"/>
      <c r="EN191" s="574"/>
      <c r="EO191" s="574"/>
      <c r="EP191" s="574"/>
      <c r="EQ191" s="574"/>
      <c r="ER191" s="574"/>
      <c r="ES191" s="574"/>
      <c r="ET191" s="574"/>
      <c r="EU191" s="574"/>
    </row>
    <row r="192" hidden="1">
      <c r="A192" s="577">
        <v>7410.0</v>
      </c>
      <c r="B192" s="12" t="s">
        <v>290</v>
      </c>
      <c r="C192" s="12" t="s">
        <v>209</v>
      </c>
      <c r="D192" s="574"/>
      <c r="E192" s="574"/>
      <c r="F192" s="574"/>
      <c r="G192" s="574"/>
      <c r="H192" s="574"/>
      <c r="I192" s="574"/>
      <c r="J192" s="574"/>
      <c r="K192" s="574"/>
      <c r="L192" s="574"/>
      <c r="M192" s="574"/>
      <c r="N192" s="574"/>
      <c r="O192" s="574"/>
      <c r="P192" s="645">
        <f t="shared" si="251"/>
        <v>0</v>
      </c>
      <c r="Q192" s="645">
        <f t="shared" si="252"/>
        <v>0</v>
      </c>
      <c r="R192" s="645">
        <f t="shared" si="253"/>
        <v>0</v>
      </c>
      <c r="S192" s="645">
        <f t="shared" si="254"/>
        <v>0</v>
      </c>
      <c r="T192" s="645">
        <f t="shared" si="255"/>
        <v>0</v>
      </c>
      <c r="U192" s="574"/>
      <c r="V192" s="574"/>
      <c r="W192" s="574"/>
      <c r="X192" s="574"/>
      <c r="Y192" s="574"/>
      <c r="Z192" s="574"/>
      <c r="AA192" s="574"/>
      <c r="AB192" s="574"/>
      <c r="AC192" s="574"/>
      <c r="AD192" s="574"/>
      <c r="AE192" s="574"/>
      <c r="AF192" s="574"/>
      <c r="AG192" s="645">
        <f t="shared" si="256"/>
        <v>0</v>
      </c>
      <c r="AH192" s="645">
        <f t="shared" si="257"/>
        <v>0</v>
      </c>
      <c r="AI192" s="645">
        <f t="shared" si="258"/>
        <v>0</v>
      </c>
      <c r="AJ192" s="645">
        <f t="shared" si="259"/>
        <v>0</v>
      </c>
      <c r="AK192" s="645">
        <f t="shared" si="260"/>
        <v>0</v>
      </c>
      <c r="AL192" s="569">
        <v>85145.98</v>
      </c>
      <c r="AM192" s="569">
        <v>83425.0</v>
      </c>
      <c r="AN192" s="569">
        <v>84098.0</v>
      </c>
      <c r="AO192" s="569">
        <v>113225.0</v>
      </c>
      <c r="AP192" s="569">
        <v>64435.0</v>
      </c>
      <c r="AQ192" s="569">
        <v>42534.0</v>
      </c>
      <c r="AR192" s="569">
        <v>117104.0</v>
      </c>
      <c r="AS192" s="569">
        <v>105549.0</v>
      </c>
      <c r="AT192" s="569">
        <v>127488.0</v>
      </c>
      <c r="AU192" s="569">
        <v>164309.57</v>
      </c>
      <c r="AV192" s="569">
        <v>154458.0</v>
      </c>
      <c r="AW192" s="569">
        <v>116559.74</v>
      </c>
      <c r="AX192" s="645">
        <f t="shared" si="261"/>
        <v>252668.98</v>
      </c>
      <c r="AY192" s="645">
        <f t="shared" si="262"/>
        <v>220194</v>
      </c>
      <c r="AZ192" s="645">
        <f t="shared" si="263"/>
        <v>350141</v>
      </c>
      <c r="BA192" s="645">
        <f t="shared" si="264"/>
        <v>435327.31</v>
      </c>
      <c r="BB192" s="645">
        <f t="shared" si="265"/>
        <v>1258331.29</v>
      </c>
      <c r="BC192" s="569">
        <v>73500.0</v>
      </c>
      <c r="BD192" s="569">
        <v>83200.0</v>
      </c>
      <c r="BE192" s="569">
        <v>107500.0</v>
      </c>
      <c r="BF192" s="569">
        <v>207900.0</v>
      </c>
      <c r="BG192" s="569">
        <v>207900.0</v>
      </c>
      <c r="BH192" s="569">
        <v>207900.0</v>
      </c>
      <c r="BI192" s="569">
        <v>160500.0</v>
      </c>
      <c r="BJ192" s="569">
        <v>160500.0</v>
      </c>
      <c r="BK192" s="569">
        <v>167000.0</v>
      </c>
      <c r="BL192" s="569">
        <v>31222.0</v>
      </c>
      <c r="BM192" s="574"/>
      <c r="BN192" s="574"/>
      <c r="BO192" s="645">
        <f t="shared" si="293"/>
        <v>264200</v>
      </c>
      <c r="BP192" s="645">
        <f t="shared" si="294"/>
        <v>623700</v>
      </c>
      <c r="BQ192" s="645">
        <f t="shared" si="295"/>
        <v>488000</v>
      </c>
      <c r="BR192" s="645">
        <f t="shared" si="296"/>
        <v>31222</v>
      </c>
      <c r="BS192" s="645">
        <f t="shared" si="297"/>
        <v>1407122</v>
      </c>
      <c r="BT192" s="569">
        <v>14751.0</v>
      </c>
      <c r="BU192" s="569">
        <v>14509.0</v>
      </c>
      <c r="BV192" s="574"/>
      <c r="BW192" s="569">
        <v>15026.0</v>
      </c>
      <c r="BX192" s="569">
        <v>7505.0</v>
      </c>
      <c r="BY192" s="569">
        <v>7545.0</v>
      </c>
      <c r="BZ192" s="569">
        <v>17313.0</v>
      </c>
      <c r="CA192" s="569">
        <v>15968.0</v>
      </c>
      <c r="CB192" s="569">
        <v>32029.0</v>
      </c>
      <c r="CC192" s="569">
        <v>31833.0</v>
      </c>
      <c r="CD192" s="569">
        <v>21215.0</v>
      </c>
      <c r="CE192" s="574"/>
      <c r="CF192" s="646">
        <f t="shared" si="298"/>
        <v>29260</v>
      </c>
      <c r="CG192" s="646">
        <f t="shared" si="299"/>
        <v>30076</v>
      </c>
      <c r="CH192" s="646">
        <f t="shared" si="300"/>
        <v>65310</v>
      </c>
      <c r="CI192" s="646">
        <f t="shared" si="301"/>
        <v>53048</v>
      </c>
      <c r="CJ192" s="646">
        <f t="shared" si="302"/>
        <v>177694</v>
      </c>
      <c r="CK192" s="574"/>
      <c r="CL192" s="574"/>
      <c r="CM192" s="574"/>
      <c r="CN192" s="574"/>
      <c r="CO192" s="574"/>
      <c r="CP192" s="574"/>
      <c r="CQ192" s="574"/>
      <c r="CR192" s="574"/>
      <c r="CS192" s="574"/>
      <c r="CT192" s="574"/>
      <c r="CU192" s="574"/>
      <c r="CV192" s="574"/>
      <c r="CW192" s="646">
        <f t="shared" si="303"/>
        <v>0</v>
      </c>
      <c r="CX192" s="646">
        <f t="shared" si="304"/>
        <v>0</v>
      </c>
      <c r="CY192" s="646">
        <f t="shared" si="305"/>
        <v>0</v>
      </c>
      <c r="CZ192" s="646">
        <f t="shared" si="306"/>
        <v>0</v>
      </c>
      <c r="DA192" s="646">
        <f t="shared" si="307"/>
        <v>0</v>
      </c>
      <c r="DB192" s="574"/>
      <c r="DC192" s="574"/>
      <c r="DD192" s="574"/>
      <c r="DE192" s="574"/>
      <c r="DF192" s="574"/>
      <c r="DG192" s="574"/>
      <c r="DH192" s="574"/>
      <c r="DI192" s="574"/>
      <c r="DJ192" s="574"/>
      <c r="DK192" s="574"/>
      <c r="DL192" s="574"/>
      <c r="DM192" s="574"/>
      <c r="DN192" s="646">
        <f t="shared" si="308"/>
        <v>0</v>
      </c>
      <c r="DO192" s="646">
        <f t="shared" si="309"/>
        <v>0</v>
      </c>
      <c r="DP192" s="646">
        <f t="shared" si="310"/>
        <v>0</v>
      </c>
      <c r="DQ192" s="646">
        <f t="shared" si="311"/>
        <v>0</v>
      </c>
      <c r="DR192" s="646">
        <f t="shared" si="312"/>
        <v>0</v>
      </c>
      <c r="DS192" s="574"/>
      <c r="DT192" s="574"/>
      <c r="DU192" s="574"/>
      <c r="DV192" s="574"/>
      <c r="DW192" s="574"/>
      <c r="DX192" s="574"/>
      <c r="DY192" s="574"/>
      <c r="DZ192" s="574"/>
      <c r="EA192" s="574"/>
      <c r="EB192" s="574"/>
      <c r="EC192" s="574"/>
      <c r="ED192" s="574"/>
      <c r="EE192" s="646">
        <f t="shared" si="313"/>
        <v>0</v>
      </c>
      <c r="EF192" s="646">
        <f t="shared" si="314"/>
        <v>0</v>
      </c>
      <c r="EG192" s="646">
        <f t="shared" si="315"/>
        <v>0</v>
      </c>
      <c r="EH192" s="646">
        <f t="shared" si="316"/>
        <v>0</v>
      </c>
      <c r="EI192" s="646">
        <f t="shared" si="317"/>
        <v>0</v>
      </c>
      <c r="EJ192" s="574"/>
      <c r="EK192" s="574"/>
      <c r="EL192" s="574"/>
      <c r="EM192" s="574"/>
      <c r="EN192" s="574"/>
      <c r="EO192" s="574"/>
      <c r="EP192" s="574"/>
      <c r="EQ192" s="574"/>
      <c r="ER192" s="574"/>
      <c r="ES192" s="574"/>
      <c r="ET192" s="574"/>
      <c r="EU192" s="574"/>
    </row>
    <row r="193" hidden="1">
      <c r="A193" s="577">
        <v>7410.0</v>
      </c>
      <c r="B193" s="12" t="s">
        <v>291</v>
      </c>
      <c r="C193" s="12" t="s">
        <v>209</v>
      </c>
      <c r="D193" s="574"/>
      <c r="E193" s="574"/>
      <c r="F193" s="574"/>
      <c r="G193" s="574"/>
      <c r="H193" s="574"/>
      <c r="I193" s="574"/>
      <c r="J193" s="574"/>
      <c r="K193" s="574"/>
      <c r="L193" s="574"/>
      <c r="M193" s="574"/>
      <c r="N193" s="574"/>
      <c r="O193" s="574"/>
      <c r="P193" s="645">
        <f t="shared" si="251"/>
        <v>0</v>
      </c>
      <c r="Q193" s="645">
        <f t="shared" si="252"/>
        <v>0</v>
      </c>
      <c r="R193" s="645">
        <f t="shared" si="253"/>
        <v>0</v>
      </c>
      <c r="S193" s="645">
        <f t="shared" si="254"/>
        <v>0</v>
      </c>
      <c r="T193" s="645">
        <f t="shared" si="255"/>
        <v>0</v>
      </c>
      <c r="U193" s="574"/>
      <c r="V193" s="574"/>
      <c r="W193" s="574"/>
      <c r="X193" s="574"/>
      <c r="Y193" s="574"/>
      <c r="Z193" s="574"/>
      <c r="AA193" s="574"/>
      <c r="AB193" s="574"/>
      <c r="AC193" s="574"/>
      <c r="AD193" s="574"/>
      <c r="AE193" s="574"/>
      <c r="AF193" s="574"/>
      <c r="AG193" s="645">
        <f t="shared" si="256"/>
        <v>0</v>
      </c>
      <c r="AH193" s="645">
        <f t="shared" si="257"/>
        <v>0</v>
      </c>
      <c r="AI193" s="645">
        <f t="shared" si="258"/>
        <v>0</v>
      </c>
      <c r="AJ193" s="645">
        <f t="shared" si="259"/>
        <v>0</v>
      </c>
      <c r="AK193" s="645">
        <f t="shared" si="260"/>
        <v>0</v>
      </c>
      <c r="AL193" s="574"/>
      <c r="AM193" s="574"/>
      <c r="AN193" s="574"/>
      <c r="AO193" s="574"/>
      <c r="AP193" s="574"/>
      <c r="AQ193" s="574"/>
      <c r="AR193" s="574"/>
      <c r="AS193" s="574"/>
      <c r="AT193" s="574"/>
      <c r="AU193" s="574"/>
      <c r="AV193" s="574"/>
      <c r="AW193" s="574"/>
      <c r="AX193" s="645">
        <f t="shared" si="261"/>
        <v>0</v>
      </c>
      <c r="AY193" s="645">
        <f t="shared" si="262"/>
        <v>0</v>
      </c>
      <c r="AZ193" s="645">
        <f t="shared" si="263"/>
        <v>0</v>
      </c>
      <c r="BA193" s="645">
        <f t="shared" si="264"/>
        <v>0</v>
      </c>
      <c r="BB193" s="645">
        <f t="shared" si="265"/>
        <v>0</v>
      </c>
      <c r="BC193" s="574"/>
      <c r="BD193" s="574"/>
      <c r="BE193" s="574"/>
      <c r="BF193" s="574"/>
      <c r="BG193" s="574"/>
      <c r="BH193" s="574"/>
      <c r="BI193" s="574"/>
      <c r="BJ193" s="574"/>
      <c r="BK193" s="574"/>
      <c r="BL193" s="574"/>
      <c r="BM193" s="574"/>
      <c r="BN193" s="574"/>
      <c r="BO193" s="645">
        <f t="shared" si="293"/>
        <v>0</v>
      </c>
      <c r="BP193" s="645">
        <f t="shared" si="294"/>
        <v>0</v>
      </c>
      <c r="BQ193" s="645">
        <f t="shared" si="295"/>
        <v>0</v>
      </c>
      <c r="BR193" s="645">
        <f t="shared" si="296"/>
        <v>0</v>
      </c>
      <c r="BS193" s="645">
        <f t="shared" si="297"/>
        <v>0</v>
      </c>
      <c r="BT193" s="574"/>
      <c r="BU193" s="574"/>
      <c r="BV193" s="574"/>
      <c r="BW193" s="574"/>
      <c r="BX193" s="574"/>
      <c r="BY193" s="574"/>
      <c r="BZ193" s="574"/>
      <c r="CA193" s="574"/>
      <c r="CB193" s="574"/>
      <c r="CC193" s="574"/>
      <c r="CD193" s="574"/>
      <c r="CE193" s="574"/>
      <c r="CF193" s="646">
        <f t="shared" si="298"/>
        <v>0</v>
      </c>
      <c r="CG193" s="646">
        <f t="shared" si="299"/>
        <v>0</v>
      </c>
      <c r="CH193" s="646">
        <f t="shared" si="300"/>
        <v>0</v>
      </c>
      <c r="CI193" s="646">
        <f t="shared" si="301"/>
        <v>0</v>
      </c>
      <c r="CJ193" s="646">
        <f t="shared" si="302"/>
        <v>0</v>
      </c>
      <c r="CK193" s="574"/>
      <c r="CL193" s="574"/>
      <c r="CM193" s="574"/>
      <c r="CN193" s="574"/>
      <c r="CO193" s="574"/>
      <c r="CP193" s="574"/>
      <c r="CQ193" s="574"/>
      <c r="CR193" s="574"/>
      <c r="CS193" s="574"/>
      <c r="CT193" s="574"/>
      <c r="CU193" s="574"/>
      <c r="CV193" s="574"/>
      <c r="CW193" s="646">
        <f t="shared" si="303"/>
        <v>0</v>
      </c>
      <c r="CX193" s="646">
        <f t="shared" si="304"/>
        <v>0</v>
      </c>
      <c r="CY193" s="646">
        <f t="shared" si="305"/>
        <v>0</v>
      </c>
      <c r="CZ193" s="646">
        <f t="shared" si="306"/>
        <v>0</v>
      </c>
      <c r="DA193" s="646">
        <f t="shared" si="307"/>
        <v>0</v>
      </c>
      <c r="DB193" s="574"/>
      <c r="DC193" s="574"/>
      <c r="DD193" s="574"/>
      <c r="DE193" s="574"/>
      <c r="DF193" s="574"/>
      <c r="DG193" s="574"/>
      <c r="DH193" s="574"/>
      <c r="DI193" s="574"/>
      <c r="DJ193" s="574"/>
      <c r="DK193" s="574"/>
      <c r="DL193" s="574"/>
      <c r="DM193" s="574"/>
      <c r="DN193" s="646">
        <f t="shared" si="308"/>
        <v>0</v>
      </c>
      <c r="DO193" s="646">
        <f t="shared" si="309"/>
        <v>0</v>
      </c>
      <c r="DP193" s="646">
        <f t="shared" si="310"/>
        <v>0</v>
      </c>
      <c r="DQ193" s="646">
        <f t="shared" si="311"/>
        <v>0</v>
      </c>
      <c r="DR193" s="646">
        <f t="shared" si="312"/>
        <v>0</v>
      </c>
      <c r="DS193" s="574"/>
      <c r="DT193" s="574"/>
      <c r="DU193" s="574"/>
      <c r="DV193" s="574"/>
      <c r="DW193" s="574"/>
      <c r="DX193" s="574"/>
      <c r="DY193" s="574"/>
      <c r="DZ193" s="574"/>
      <c r="EA193" s="574"/>
      <c r="EB193" s="574"/>
      <c r="EC193" s="574"/>
      <c r="ED193" s="574"/>
      <c r="EE193" s="646">
        <f t="shared" si="313"/>
        <v>0</v>
      </c>
      <c r="EF193" s="646">
        <f t="shared" si="314"/>
        <v>0</v>
      </c>
      <c r="EG193" s="646">
        <f t="shared" si="315"/>
        <v>0</v>
      </c>
      <c r="EH193" s="646">
        <f t="shared" si="316"/>
        <v>0</v>
      </c>
      <c r="EI193" s="646">
        <f t="shared" si="317"/>
        <v>0</v>
      </c>
      <c r="EJ193" s="574"/>
      <c r="EK193" s="574"/>
      <c r="EL193" s="574"/>
      <c r="EM193" s="574"/>
      <c r="EN193" s="574"/>
      <c r="EO193" s="574"/>
      <c r="EP193" s="574"/>
      <c r="EQ193" s="574"/>
      <c r="ER193" s="574"/>
      <c r="ES193" s="574"/>
      <c r="ET193" s="574"/>
      <c r="EU193" s="574"/>
    </row>
    <row r="194" hidden="1">
      <c r="A194" s="577">
        <v>7410.0</v>
      </c>
      <c r="B194" s="12" t="s">
        <v>292</v>
      </c>
      <c r="C194" s="12" t="s">
        <v>209</v>
      </c>
      <c r="D194" s="574"/>
      <c r="E194" s="574"/>
      <c r="F194" s="574"/>
      <c r="G194" s="574"/>
      <c r="H194" s="574"/>
      <c r="I194" s="574"/>
      <c r="J194" s="574"/>
      <c r="K194" s="574"/>
      <c r="L194" s="574"/>
      <c r="M194" s="574"/>
      <c r="N194" s="574"/>
      <c r="O194" s="574"/>
      <c r="P194" s="645">
        <f t="shared" si="251"/>
        <v>0</v>
      </c>
      <c r="Q194" s="645">
        <f t="shared" si="252"/>
        <v>0</v>
      </c>
      <c r="R194" s="645">
        <f t="shared" si="253"/>
        <v>0</v>
      </c>
      <c r="S194" s="645">
        <f t="shared" si="254"/>
        <v>0</v>
      </c>
      <c r="T194" s="645">
        <f t="shared" si="255"/>
        <v>0</v>
      </c>
      <c r="U194" s="574"/>
      <c r="V194" s="574"/>
      <c r="W194" s="574"/>
      <c r="X194" s="574"/>
      <c r="Y194" s="574"/>
      <c r="Z194" s="574"/>
      <c r="AA194" s="574"/>
      <c r="AB194" s="574"/>
      <c r="AC194" s="574"/>
      <c r="AD194" s="574"/>
      <c r="AE194" s="574"/>
      <c r="AF194" s="574"/>
      <c r="AG194" s="645">
        <f t="shared" si="256"/>
        <v>0</v>
      </c>
      <c r="AH194" s="645">
        <f t="shared" si="257"/>
        <v>0</v>
      </c>
      <c r="AI194" s="645">
        <f t="shared" si="258"/>
        <v>0</v>
      </c>
      <c r="AJ194" s="645">
        <f t="shared" si="259"/>
        <v>0</v>
      </c>
      <c r="AK194" s="645">
        <f t="shared" si="260"/>
        <v>0</v>
      </c>
      <c r="AL194" s="569">
        <v>141819.0</v>
      </c>
      <c r="AM194" s="569">
        <v>141824.0</v>
      </c>
      <c r="AN194" s="569">
        <v>19961.0</v>
      </c>
      <c r="AO194" s="569">
        <v>117066.0</v>
      </c>
      <c r="AP194" s="569">
        <v>44373.0</v>
      </c>
      <c r="AQ194" s="569">
        <v>53842.0</v>
      </c>
      <c r="AR194" s="569">
        <v>102531.0</v>
      </c>
      <c r="AS194" s="569">
        <v>106416.0</v>
      </c>
      <c r="AT194" s="569">
        <v>169351.0</v>
      </c>
      <c r="AU194" s="569">
        <v>225175.0</v>
      </c>
      <c r="AV194" s="569">
        <v>188871.0</v>
      </c>
      <c r="AW194" s="569">
        <v>153862.0</v>
      </c>
      <c r="AX194" s="645">
        <f t="shared" si="261"/>
        <v>303604</v>
      </c>
      <c r="AY194" s="645">
        <f t="shared" si="262"/>
        <v>215281</v>
      </c>
      <c r="AZ194" s="645">
        <f t="shared" si="263"/>
        <v>378298</v>
      </c>
      <c r="BA194" s="645">
        <f t="shared" si="264"/>
        <v>567908</v>
      </c>
      <c r="BB194" s="645">
        <f t="shared" si="265"/>
        <v>1465091</v>
      </c>
      <c r="BC194" s="569">
        <v>156826.0</v>
      </c>
      <c r="BD194" s="569">
        <v>151570.0</v>
      </c>
      <c r="BE194" s="569">
        <v>158712.0</v>
      </c>
      <c r="BF194" s="569">
        <v>72612.0</v>
      </c>
      <c r="BG194" s="569">
        <v>71044.0</v>
      </c>
      <c r="BH194" s="569">
        <v>76357.0</v>
      </c>
      <c r="BI194" s="569">
        <v>191674.0</v>
      </c>
      <c r="BJ194" s="569">
        <v>183344.0</v>
      </c>
      <c r="BK194" s="569">
        <v>135303.0</v>
      </c>
      <c r="BL194" s="569">
        <v>142277.0</v>
      </c>
      <c r="BM194" s="569">
        <v>194691.0</v>
      </c>
      <c r="BN194" s="569">
        <v>151831.0</v>
      </c>
      <c r="BO194" s="645">
        <f t="shared" si="293"/>
        <v>467108</v>
      </c>
      <c r="BP194" s="645">
        <f t="shared" si="294"/>
        <v>220013</v>
      </c>
      <c r="BQ194" s="645">
        <f t="shared" si="295"/>
        <v>510321</v>
      </c>
      <c r="BR194" s="645">
        <f t="shared" si="296"/>
        <v>488799</v>
      </c>
      <c r="BS194" s="645">
        <f t="shared" si="297"/>
        <v>1686241</v>
      </c>
      <c r="BT194" s="569">
        <v>81647.0</v>
      </c>
      <c r="BU194" s="569">
        <v>52013.0</v>
      </c>
      <c r="BV194" s="569">
        <v>47412.0</v>
      </c>
      <c r="BW194" s="569">
        <v>26864.0</v>
      </c>
      <c r="BX194" s="569">
        <v>21578.0</v>
      </c>
      <c r="BY194" s="569">
        <v>41182.0</v>
      </c>
      <c r="BZ194" s="569">
        <v>42548.0</v>
      </c>
      <c r="CA194" s="569">
        <v>58346.0</v>
      </c>
      <c r="CB194" s="569">
        <v>62399.0</v>
      </c>
      <c r="CC194" s="574"/>
      <c r="CD194" s="574"/>
      <c r="CE194" s="574"/>
      <c r="CF194" s="646">
        <f t="shared" si="298"/>
        <v>181072</v>
      </c>
      <c r="CG194" s="646">
        <f t="shared" si="299"/>
        <v>89624</v>
      </c>
      <c r="CH194" s="646">
        <f t="shared" si="300"/>
        <v>163293</v>
      </c>
      <c r="CI194" s="646">
        <f t="shared" si="301"/>
        <v>0</v>
      </c>
      <c r="CJ194" s="646">
        <f t="shared" si="302"/>
        <v>433989</v>
      </c>
      <c r="CK194" s="574"/>
      <c r="CL194" s="574"/>
      <c r="CM194" s="574"/>
      <c r="CN194" s="574"/>
      <c r="CO194" s="574"/>
      <c r="CP194" s="574"/>
      <c r="CQ194" s="574"/>
      <c r="CR194" s="574"/>
      <c r="CS194" s="574"/>
      <c r="CT194" s="574"/>
      <c r="CU194" s="574"/>
      <c r="CV194" s="574"/>
      <c r="CW194" s="646">
        <f t="shared" si="303"/>
        <v>0</v>
      </c>
      <c r="CX194" s="646">
        <f t="shared" si="304"/>
        <v>0</v>
      </c>
      <c r="CY194" s="646">
        <f t="shared" si="305"/>
        <v>0</v>
      </c>
      <c r="CZ194" s="646">
        <f t="shared" si="306"/>
        <v>0</v>
      </c>
      <c r="DA194" s="646">
        <f t="shared" si="307"/>
        <v>0</v>
      </c>
      <c r="DB194" s="574"/>
      <c r="DC194" s="574"/>
      <c r="DD194" s="574"/>
      <c r="DE194" s="574"/>
      <c r="DF194" s="574"/>
      <c r="DG194" s="574"/>
      <c r="DH194" s="574"/>
      <c r="DI194" s="574"/>
      <c r="DJ194" s="574"/>
      <c r="DK194" s="574"/>
      <c r="DL194" s="574"/>
      <c r="DM194" s="574"/>
      <c r="DN194" s="646">
        <f t="shared" si="308"/>
        <v>0</v>
      </c>
      <c r="DO194" s="646">
        <f t="shared" si="309"/>
        <v>0</v>
      </c>
      <c r="DP194" s="646">
        <f t="shared" si="310"/>
        <v>0</v>
      </c>
      <c r="DQ194" s="646">
        <f t="shared" si="311"/>
        <v>0</v>
      </c>
      <c r="DR194" s="646">
        <f t="shared" si="312"/>
        <v>0</v>
      </c>
      <c r="DS194" s="574"/>
      <c r="DT194" s="574"/>
      <c r="DU194" s="574"/>
      <c r="DV194" s="574"/>
      <c r="DW194" s="574"/>
      <c r="DX194" s="574"/>
      <c r="DY194" s="574"/>
      <c r="DZ194" s="574"/>
      <c r="EA194" s="574"/>
      <c r="EB194" s="574"/>
      <c r="EC194" s="574"/>
      <c r="ED194" s="574"/>
      <c r="EE194" s="646">
        <f t="shared" si="313"/>
        <v>0</v>
      </c>
      <c r="EF194" s="646">
        <f t="shared" si="314"/>
        <v>0</v>
      </c>
      <c r="EG194" s="646">
        <f t="shared" si="315"/>
        <v>0</v>
      </c>
      <c r="EH194" s="646">
        <f t="shared" si="316"/>
        <v>0</v>
      </c>
      <c r="EI194" s="646">
        <f t="shared" si="317"/>
        <v>0</v>
      </c>
      <c r="EJ194" s="574"/>
      <c r="EK194" s="574"/>
      <c r="EL194" s="574"/>
      <c r="EM194" s="574"/>
      <c r="EN194" s="574"/>
      <c r="EO194" s="574"/>
      <c r="EP194" s="574"/>
      <c r="EQ194" s="574"/>
      <c r="ER194" s="574"/>
      <c r="ES194" s="574"/>
      <c r="ET194" s="574"/>
      <c r="EU194" s="574"/>
    </row>
    <row r="195" hidden="1">
      <c r="A195" s="577">
        <v>7410.0</v>
      </c>
      <c r="B195" s="12" t="s">
        <v>293</v>
      </c>
      <c r="C195" s="12" t="s">
        <v>209</v>
      </c>
      <c r="D195" s="574"/>
      <c r="E195" s="574"/>
      <c r="F195" s="574"/>
      <c r="G195" s="574"/>
      <c r="H195" s="574"/>
      <c r="I195" s="574"/>
      <c r="J195" s="574"/>
      <c r="K195" s="574"/>
      <c r="L195" s="574"/>
      <c r="M195" s="574"/>
      <c r="N195" s="574"/>
      <c r="O195" s="574"/>
      <c r="P195" s="645">
        <f t="shared" si="251"/>
        <v>0</v>
      </c>
      <c r="Q195" s="645">
        <f t="shared" si="252"/>
        <v>0</v>
      </c>
      <c r="R195" s="645">
        <f t="shared" si="253"/>
        <v>0</v>
      </c>
      <c r="S195" s="645">
        <f t="shared" si="254"/>
        <v>0</v>
      </c>
      <c r="T195" s="645">
        <f t="shared" si="255"/>
        <v>0</v>
      </c>
      <c r="U195" s="574"/>
      <c r="V195" s="574"/>
      <c r="W195" s="574"/>
      <c r="X195" s="574"/>
      <c r="Y195" s="574"/>
      <c r="Z195" s="574"/>
      <c r="AA195" s="574"/>
      <c r="AB195" s="574"/>
      <c r="AC195" s="574"/>
      <c r="AD195" s="574"/>
      <c r="AE195" s="574"/>
      <c r="AF195" s="574"/>
      <c r="AG195" s="645">
        <f t="shared" si="256"/>
        <v>0</v>
      </c>
      <c r="AH195" s="645">
        <f t="shared" si="257"/>
        <v>0</v>
      </c>
      <c r="AI195" s="645">
        <f t="shared" si="258"/>
        <v>0</v>
      </c>
      <c r="AJ195" s="645">
        <f t="shared" si="259"/>
        <v>0</v>
      </c>
      <c r="AK195" s="645">
        <f t="shared" si="260"/>
        <v>0</v>
      </c>
      <c r="AL195" s="569">
        <v>51624.74</v>
      </c>
      <c r="AM195" s="569">
        <v>52658.92</v>
      </c>
      <c r="AN195" s="569">
        <v>55395.87</v>
      </c>
      <c r="AO195" s="574"/>
      <c r="AP195" s="574"/>
      <c r="AQ195" s="574"/>
      <c r="AR195" s="574"/>
      <c r="AS195" s="574"/>
      <c r="AT195" s="574"/>
      <c r="AU195" s="574"/>
      <c r="AV195" s="574"/>
      <c r="AW195" s="574"/>
      <c r="AX195" s="645">
        <f t="shared" si="261"/>
        <v>159679.53</v>
      </c>
      <c r="AY195" s="645">
        <f t="shared" si="262"/>
        <v>0</v>
      </c>
      <c r="AZ195" s="645">
        <f t="shared" si="263"/>
        <v>0</v>
      </c>
      <c r="BA195" s="645">
        <f t="shared" si="264"/>
        <v>0</v>
      </c>
      <c r="BB195" s="645">
        <f t="shared" si="265"/>
        <v>159679.53</v>
      </c>
      <c r="BC195" s="569">
        <v>40163.0</v>
      </c>
      <c r="BD195" s="569">
        <v>52877.0</v>
      </c>
      <c r="BE195" s="569">
        <v>123830.0</v>
      </c>
      <c r="BF195" s="569">
        <v>87140.0</v>
      </c>
      <c r="BG195" s="569">
        <v>97720.0</v>
      </c>
      <c r="BH195" s="569">
        <v>80150.0</v>
      </c>
      <c r="BI195" s="569">
        <v>98435.0</v>
      </c>
      <c r="BJ195" s="569">
        <v>197190.0</v>
      </c>
      <c r="BK195" s="569">
        <v>208325.0</v>
      </c>
      <c r="BL195" s="569">
        <v>54695.0</v>
      </c>
      <c r="BM195" s="569">
        <v>78672.0</v>
      </c>
      <c r="BN195" s="569">
        <v>49874.0</v>
      </c>
      <c r="BO195" s="645">
        <f t="shared" si="293"/>
        <v>216870</v>
      </c>
      <c r="BP195" s="645">
        <f t="shared" si="294"/>
        <v>265010</v>
      </c>
      <c r="BQ195" s="645">
        <f t="shared" si="295"/>
        <v>503950</v>
      </c>
      <c r="BR195" s="645">
        <f t="shared" si="296"/>
        <v>183241</v>
      </c>
      <c r="BS195" s="645">
        <f t="shared" si="297"/>
        <v>1169071</v>
      </c>
      <c r="BT195" s="569">
        <v>53240.0</v>
      </c>
      <c r="BU195" s="569">
        <v>65940.0</v>
      </c>
      <c r="BV195" s="569">
        <v>48040.0</v>
      </c>
      <c r="BW195" s="574"/>
      <c r="BX195" s="574"/>
      <c r="BY195" s="574"/>
      <c r="BZ195" s="574"/>
      <c r="CA195" s="574"/>
      <c r="CB195" s="574"/>
      <c r="CC195" s="574"/>
      <c r="CD195" s="574"/>
      <c r="CE195" s="574"/>
      <c r="CF195" s="646">
        <f t="shared" si="298"/>
        <v>167220</v>
      </c>
      <c r="CG195" s="646">
        <f t="shared" si="299"/>
        <v>0</v>
      </c>
      <c r="CH195" s="646">
        <f t="shared" si="300"/>
        <v>0</v>
      </c>
      <c r="CI195" s="646">
        <f t="shared" si="301"/>
        <v>0</v>
      </c>
      <c r="CJ195" s="646">
        <f t="shared" si="302"/>
        <v>167220</v>
      </c>
      <c r="CK195" s="574"/>
      <c r="CL195" s="574"/>
      <c r="CM195" s="574"/>
      <c r="CN195" s="574"/>
      <c r="CO195" s="574"/>
      <c r="CP195" s="574"/>
      <c r="CQ195" s="574"/>
      <c r="CR195" s="574"/>
      <c r="CS195" s="574"/>
      <c r="CT195" s="574"/>
      <c r="CU195" s="574"/>
      <c r="CV195" s="574"/>
      <c r="CW195" s="646">
        <f t="shared" si="303"/>
        <v>0</v>
      </c>
      <c r="CX195" s="646">
        <f t="shared" si="304"/>
        <v>0</v>
      </c>
      <c r="CY195" s="646">
        <f t="shared" si="305"/>
        <v>0</v>
      </c>
      <c r="CZ195" s="646">
        <f t="shared" si="306"/>
        <v>0</v>
      </c>
      <c r="DA195" s="646">
        <f t="shared" si="307"/>
        <v>0</v>
      </c>
      <c r="DB195" s="574"/>
      <c r="DC195" s="574"/>
      <c r="DD195" s="574"/>
      <c r="DE195" s="574"/>
      <c r="DF195" s="574"/>
      <c r="DG195" s="574"/>
      <c r="DH195" s="574"/>
      <c r="DI195" s="574"/>
      <c r="DJ195" s="574"/>
      <c r="DK195" s="574"/>
      <c r="DL195" s="574"/>
      <c r="DM195" s="574"/>
      <c r="DN195" s="646">
        <f t="shared" si="308"/>
        <v>0</v>
      </c>
      <c r="DO195" s="646">
        <f t="shared" si="309"/>
        <v>0</v>
      </c>
      <c r="DP195" s="646">
        <f t="shared" si="310"/>
        <v>0</v>
      </c>
      <c r="DQ195" s="646">
        <f t="shared" si="311"/>
        <v>0</v>
      </c>
      <c r="DR195" s="646">
        <f t="shared" si="312"/>
        <v>0</v>
      </c>
      <c r="DS195" s="574"/>
      <c r="DT195" s="574"/>
      <c r="DU195" s="574"/>
      <c r="DV195" s="574"/>
      <c r="DW195" s="574"/>
      <c r="DX195" s="574"/>
      <c r="DY195" s="574"/>
      <c r="DZ195" s="574"/>
      <c r="EA195" s="574"/>
      <c r="EB195" s="574"/>
      <c r="EC195" s="574"/>
      <c r="ED195" s="574"/>
      <c r="EE195" s="646">
        <f t="shared" si="313"/>
        <v>0</v>
      </c>
      <c r="EF195" s="646">
        <f t="shared" si="314"/>
        <v>0</v>
      </c>
      <c r="EG195" s="646">
        <f t="shared" si="315"/>
        <v>0</v>
      </c>
      <c r="EH195" s="646">
        <f t="shared" si="316"/>
        <v>0</v>
      </c>
      <c r="EI195" s="646">
        <f t="shared" si="317"/>
        <v>0</v>
      </c>
      <c r="EJ195" s="574"/>
      <c r="EK195" s="574"/>
      <c r="EL195" s="574"/>
      <c r="EM195" s="574"/>
      <c r="EN195" s="574"/>
      <c r="EO195" s="574"/>
      <c r="EP195" s="574"/>
      <c r="EQ195" s="574"/>
      <c r="ER195" s="574"/>
      <c r="ES195" s="574"/>
      <c r="ET195" s="574"/>
      <c r="EU195" s="574"/>
    </row>
    <row r="196" hidden="1">
      <c r="A196" s="577">
        <v>7410.0</v>
      </c>
      <c r="B196" s="12" t="s">
        <v>294</v>
      </c>
      <c r="C196" s="12" t="s">
        <v>209</v>
      </c>
      <c r="D196" s="574"/>
      <c r="E196" s="574"/>
      <c r="F196" s="574"/>
      <c r="G196" s="574"/>
      <c r="H196" s="574"/>
      <c r="I196" s="574"/>
      <c r="J196" s="574"/>
      <c r="K196" s="574"/>
      <c r="L196" s="574"/>
      <c r="M196" s="574"/>
      <c r="N196" s="574"/>
      <c r="O196" s="574"/>
      <c r="P196" s="645">
        <f t="shared" si="251"/>
        <v>0</v>
      </c>
      <c r="Q196" s="645">
        <f t="shared" si="252"/>
        <v>0</v>
      </c>
      <c r="R196" s="645">
        <f t="shared" si="253"/>
        <v>0</v>
      </c>
      <c r="S196" s="645">
        <f t="shared" si="254"/>
        <v>0</v>
      </c>
      <c r="T196" s="645">
        <f t="shared" si="255"/>
        <v>0</v>
      </c>
      <c r="U196" s="574"/>
      <c r="V196" s="574"/>
      <c r="W196" s="574"/>
      <c r="X196" s="574"/>
      <c r="Y196" s="574"/>
      <c r="Z196" s="574"/>
      <c r="AA196" s="574"/>
      <c r="AB196" s="574"/>
      <c r="AC196" s="574"/>
      <c r="AD196" s="574"/>
      <c r="AE196" s="574"/>
      <c r="AF196" s="574"/>
      <c r="AG196" s="645">
        <f t="shared" si="256"/>
        <v>0</v>
      </c>
      <c r="AH196" s="645">
        <f t="shared" si="257"/>
        <v>0</v>
      </c>
      <c r="AI196" s="645">
        <f t="shared" si="258"/>
        <v>0</v>
      </c>
      <c r="AJ196" s="645">
        <f t="shared" si="259"/>
        <v>0</v>
      </c>
      <c r="AK196" s="645">
        <f t="shared" si="260"/>
        <v>0</v>
      </c>
      <c r="AL196" s="574"/>
      <c r="AM196" s="574"/>
      <c r="AN196" s="574"/>
      <c r="AO196" s="574"/>
      <c r="AP196" s="574"/>
      <c r="AQ196" s="574"/>
      <c r="AR196" s="574"/>
      <c r="AS196" s="574"/>
      <c r="AT196" s="574"/>
      <c r="AU196" s="574"/>
      <c r="AV196" s="574"/>
      <c r="AW196" s="574"/>
      <c r="AX196" s="645">
        <f t="shared" si="261"/>
        <v>0</v>
      </c>
      <c r="AY196" s="645">
        <f t="shared" si="262"/>
        <v>0</v>
      </c>
      <c r="AZ196" s="645">
        <f t="shared" si="263"/>
        <v>0</v>
      </c>
      <c r="BA196" s="645">
        <f t="shared" si="264"/>
        <v>0</v>
      </c>
      <c r="BB196" s="645">
        <f t="shared" si="265"/>
        <v>0</v>
      </c>
      <c r="BC196" s="569">
        <v>17667.0</v>
      </c>
      <c r="BD196" s="569">
        <v>17625.0</v>
      </c>
      <c r="BE196" s="569">
        <v>18980.0</v>
      </c>
      <c r="BF196" s="569">
        <v>18725.0</v>
      </c>
      <c r="BG196" s="569">
        <v>19865.0</v>
      </c>
      <c r="BH196" s="569">
        <v>20387.0</v>
      </c>
      <c r="BI196" s="569">
        <v>36547.0</v>
      </c>
      <c r="BJ196" s="569">
        <v>54678.0</v>
      </c>
      <c r="BK196" s="569">
        <v>52457.0</v>
      </c>
      <c r="BL196" s="569">
        <v>34257.0</v>
      </c>
      <c r="BM196" s="569">
        <v>95880.0</v>
      </c>
      <c r="BN196" s="569">
        <v>100490.0</v>
      </c>
      <c r="BO196" s="645">
        <f t="shared" si="293"/>
        <v>54272</v>
      </c>
      <c r="BP196" s="645">
        <f t="shared" si="294"/>
        <v>58977</v>
      </c>
      <c r="BQ196" s="645">
        <f t="shared" si="295"/>
        <v>143682</v>
      </c>
      <c r="BR196" s="645">
        <f t="shared" si="296"/>
        <v>230627</v>
      </c>
      <c r="BS196" s="645">
        <f t="shared" si="297"/>
        <v>487558</v>
      </c>
      <c r="BT196" s="569">
        <v>44757.0</v>
      </c>
      <c r="BU196" s="569">
        <v>25394.0</v>
      </c>
      <c r="BV196" s="569">
        <v>30176.0</v>
      </c>
      <c r="BW196" s="569">
        <v>29558.0</v>
      </c>
      <c r="BX196" s="569">
        <v>44965.0</v>
      </c>
      <c r="BY196" s="569">
        <v>26832.0</v>
      </c>
      <c r="BZ196" s="569">
        <v>31570.0</v>
      </c>
      <c r="CA196" s="569">
        <v>56900.0</v>
      </c>
      <c r="CB196" s="569">
        <v>103600.0</v>
      </c>
      <c r="CC196" s="574"/>
      <c r="CD196" s="574"/>
      <c r="CE196" s="574"/>
      <c r="CF196" s="646">
        <f t="shared" si="298"/>
        <v>100327</v>
      </c>
      <c r="CG196" s="646">
        <f t="shared" si="299"/>
        <v>101355</v>
      </c>
      <c r="CH196" s="646">
        <f t="shared" si="300"/>
        <v>192070</v>
      </c>
      <c r="CI196" s="646">
        <f t="shared" si="301"/>
        <v>0</v>
      </c>
      <c r="CJ196" s="646">
        <f t="shared" si="302"/>
        <v>393752</v>
      </c>
      <c r="CK196" s="574"/>
      <c r="CL196" s="574"/>
      <c r="CM196" s="574"/>
      <c r="CN196" s="574"/>
      <c r="CO196" s="574"/>
      <c r="CP196" s="574"/>
      <c r="CQ196" s="574"/>
      <c r="CR196" s="574"/>
      <c r="CS196" s="574"/>
      <c r="CT196" s="574"/>
      <c r="CU196" s="574"/>
      <c r="CV196" s="574"/>
      <c r="CW196" s="646">
        <f t="shared" si="303"/>
        <v>0</v>
      </c>
      <c r="CX196" s="646">
        <f t="shared" si="304"/>
        <v>0</v>
      </c>
      <c r="CY196" s="646">
        <f t="shared" si="305"/>
        <v>0</v>
      </c>
      <c r="CZ196" s="646">
        <f t="shared" si="306"/>
        <v>0</v>
      </c>
      <c r="DA196" s="646">
        <f t="shared" si="307"/>
        <v>0</v>
      </c>
      <c r="DB196" s="574"/>
      <c r="DC196" s="574"/>
      <c r="DD196" s="574"/>
      <c r="DE196" s="574"/>
      <c r="DF196" s="574"/>
      <c r="DG196" s="574"/>
      <c r="DH196" s="574"/>
      <c r="DI196" s="574"/>
      <c r="DJ196" s="574"/>
      <c r="DK196" s="574"/>
      <c r="DL196" s="574"/>
      <c r="DM196" s="574"/>
      <c r="DN196" s="646">
        <f t="shared" si="308"/>
        <v>0</v>
      </c>
      <c r="DO196" s="646">
        <f t="shared" si="309"/>
        <v>0</v>
      </c>
      <c r="DP196" s="646">
        <f t="shared" si="310"/>
        <v>0</v>
      </c>
      <c r="DQ196" s="646">
        <f t="shared" si="311"/>
        <v>0</v>
      </c>
      <c r="DR196" s="646">
        <f t="shared" si="312"/>
        <v>0</v>
      </c>
      <c r="DS196" s="574"/>
      <c r="DT196" s="574"/>
      <c r="DU196" s="574"/>
      <c r="DV196" s="574"/>
      <c r="DW196" s="574"/>
      <c r="DX196" s="574"/>
      <c r="DY196" s="574"/>
      <c r="DZ196" s="574"/>
      <c r="EA196" s="574"/>
      <c r="EB196" s="574"/>
      <c r="EC196" s="574"/>
      <c r="ED196" s="574"/>
      <c r="EE196" s="646">
        <f t="shared" si="313"/>
        <v>0</v>
      </c>
      <c r="EF196" s="646">
        <f t="shared" si="314"/>
        <v>0</v>
      </c>
      <c r="EG196" s="646">
        <f t="shared" si="315"/>
        <v>0</v>
      </c>
      <c r="EH196" s="646">
        <f t="shared" si="316"/>
        <v>0</v>
      </c>
      <c r="EI196" s="646">
        <f t="shared" si="317"/>
        <v>0</v>
      </c>
      <c r="EJ196" s="574"/>
      <c r="EK196" s="574"/>
      <c r="EL196" s="574"/>
      <c r="EM196" s="574"/>
      <c r="EN196" s="574"/>
      <c r="EO196" s="574"/>
      <c r="EP196" s="574"/>
      <c r="EQ196" s="574"/>
      <c r="ER196" s="574"/>
      <c r="ES196" s="574"/>
      <c r="ET196" s="574"/>
      <c r="EU196" s="574"/>
    </row>
    <row r="197" hidden="1">
      <c r="A197" s="577">
        <v>7410.0</v>
      </c>
      <c r="B197" s="12" t="s">
        <v>295</v>
      </c>
      <c r="C197" s="12" t="s">
        <v>209</v>
      </c>
      <c r="D197" s="574"/>
      <c r="E197" s="574"/>
      <c r="F197" s="574"/>
      <c r="G197" s="574"/>
      <c r="H197" s="574"/>
      <c r="I197" s="574"/>
      <c r="J197" s="574"/>
      <c r="K197" s="574"/>
      <c r="L197" s="574"/>
      <c r="M197" s="574"/>
      <c r="N197" s="574"/>
      <c r="O197" s="574"/>
      <c r="P197" s="645">
        <f t="shared" si="251"/>
        <v>0</v>
      </c>
      <c r="Q197" s="645">
        <f t="shared" si="252"/>
        <v>0</v>
      </c>
      <c r="R197" s="645">
        <f t="shared" si="253"/>
        <v>0</v>
      </c>
      <c r="S197" s="645">
        <f t="shared" si="254"/>
        <v>0</v>
      </c>
      <c r="T197" s="645">
        <f t="shared" si="255"/>
        <v>0</v>
      </c>
      <c r="U197" s="574"/>
      <c r="V197" s="574"/>
      <c r="W197" s="574"/>
      <c r="X197" s="574"/>
      <c r="Y197" s="574"/>
      <c r="Z197" s="574"/>
      <c r="AA197" s="574"/>
      <c r="AB197" s="574"/>
      <c r="AC197" s="574"/>
      <c r="AD197" s="574"/>
      <c r="AE197" s="574"/>
      <c r="AF197" s="574"/>
      <c r="AG197" s="645">
        <f t="shared" si="256"/>
        <v>0</v>
      </c>
      <c r="AH197" s="645">
        <f t="shared" si="257"/>
        <v>0</v>
      </c>
      <c r="AI197" s="645">
        <f t="shared" si="258"/>
        <v>0</v>
      </c>
      <c r="AJ197" s="645">
        <f t="shared" si="259"/>
        <v>0</v>
      </c>
      <c r="AK197" s="645">
        <f t="shared" si="260"/>
        <v>0</v>
      </c>
      <c r="AL197" s="574"/>
      <c r="AM197" s="574"/>
      <c r="AN197" s="574"/>
      <c r="AO197" s="574"/>
      <c r="AP197" s="574"/>
      <c r="AQ197" s="574"/>
      <c r="AR197" s="569">
        <v>3312.0</v>
      </c>
      <c r="AS197" s="569">
        <v>7368.0</v>
      </c>
      <c r="AT197" s="569">
        <v>14283.0</v>
      </c>
      <c r="AU197" s="569">
        <v>7123.8</v>
      </c>
      <c r="AV197" s="569">
        <v>9045.8</v>
      </c>
      <c r="AW197" s="569">
        <v>5307.2</v>
      </c>
      <c r="AX197" s="645">
        <f t="shared" si="261"/>
        <v>0</v>
      </c>
      <c r="AY197" s="645">
        <f t="shared" si="262"/>
        <v>0</v>
      </c>
      <c r="AZ197" s="645">
        <f t="shared" si="263"/>
        <v>24963</v>
      </c>
      <c r="BA197" s="645">
        <f t="shared" si="264"/>
        <v>21476.8</v>
      </c>
      <c r="BB197" s="645">
        <f t="shared" si="265"/>
        <v>46439.8</v>
      </c>
      <c r="BC197" s="574"/>
      <c r="BD197" s="574"/>
      <c r="BE197" s="574"/>
      <c r="BF197" s="574"/>
      <c r="BG197" s="574"/>
      <c r="BH197" s="574"/>
      <c r="BI197" s="574"/>
      <c r="BJ197" s="574"/>
      <c r="BK197" s="574"/>
      <c r="BL197" s="574"/>
      <c r="BM197" s="574"/>
      <c r="BN197" s="574"/>
      <c r="BO197" s="645">
        <f t="shared" si="293"/>
        <v>0</v>
      </c>
      <c r="BP197" s="645">
        <f t="shared" si="294"/>
        <v>0</v>
      </c>
      <c r="BQ197" s="645">
        <f t="shared" si="295"/>
        <v>0</v>
      </c>
      <c r="BR197" s="645">
        <f t="shared" si="296"/>
        <v>0</v>
      </c>
      <c r="BS197" s="645">
        <f t="shared" si="297"/>
        <v>0</v>
      </c>
      <c r="BT197" s="574"/>
      <c r="BU197" s="574"/>
      <c r="BV197" s="574"/>
      <c r="BW197" s="574"/>
      <c r="BX197" s="574"/>
      <c r="BY197" s="574"/>
      <c r="BZ197" s="574"/>
      <c r="CA197" s="574"/>
      <c r="CB197" s="574"/>
      <c r="CC197" s="574"/>
      <c r="CD197" s="574"/>
      <c r="CE197" s="574"/>
      <c r="CF197" s="646">
        <f t="shared" si="298"/>
        <v>0</v>
      </c>
      <c r="CG197" s="646">
        <f t="shared" si="299"/>
        <v>0</v>
      </c>
      <c r="CH197" s="646">
        <f t="shared" si="300"/>
        <v>0</v>
      </c>
      <c r="CI197" s="646">
        <f t="shared" si="301"/>
        <v>0</v>
      </c>
      <c r="CJ197" s="646">
        <f t="shared" si="302"/>
        <v>0</v>
      </c>
      <c r="CK197" s="574"/>
      <c r="CL197" s="574"/>
      <c r="CM197" s="574"/>
      <c r="CN197" s="574"/>
      <c r="CO197" s="574"/>
      <c r="CP197" s="574"/>
      <c r="CQ197" s="574"/>
      <c r="CR197" s="574"/>
      <c r="CS197" s="574"/>
      <c r="CT197" s="574"/>
      <c r="CU197" s="574"/>
      <c r="CV197" s="574"/>
      <c r="CW197" s="646">
        <f t="shared" si="303"/>
        <v>0</v>
      </c>
      <c r="CX197" s="646">
        <f t="shared" si="304"/>
        <v>0</v>
      </c>
      <c r="CY197" s="646">
        <f t="shared" si="305"/>
        <v>0</v>
      </c>
      <c r="CZ197" s="646">
        <f t="shared" si="306"/>
        <v>0</v>
      </c>
      <c r="DA197" s="646">
        <f t="shared" si="307"/>
        <v>0</v>
      </c>
      <c r="DB197" s="574"/>
      <c r="DC197" s="574"/>
      <c r="DD197" s="574"/>
      <c r="DE197" s="574"/>
      <c r="DF197" s="574"/>
      <c r="DG197" s="574"/>
      <c r="DH197" s="574"/>
      <c r="DI197" s="574"/>
      <c r="DJ197" s="574"/>
      <c r="DK197" s="574"/>
      <c r="DL197" s="574"/>
      <c r="DM197" s="574"/>
      <c r="DN197" s="646">
        <f t="shared" si="308"/>
        <v>0</v>
      </c>
      <c r="DO197" s="646">
        <f t="shared" si="309"/>
        <v>0</v>
      </c>
      <c r="DP197" s="646">
        <f t="shared" si="310"/>
        <v>0</v>
      </c>
      <c r="DQ197" s="646">
        <f t="shared" si="311"/>
        <v>0</v>
      </c>
      <c r="DR197" s="646">
        <f t="shared" si="312"/>
        <v>0</v>
      </c>
      <c r="DS197" s="574"/>
      <c r="DT197" s="574"/>
      <c r="DU197" s="574"/>
      <c r="DV197" s="574"/>
      <c r="DW197" s="574"/>
      <c r="DX197" s="574"/>
      <c r="DY197" s="574"/>
      <c r="DZ197" s="574"/>
      <c r="EA197" s="574"/>
      <c r="EB197" s="574"/>
      <c r="EC197" s="574"/>
      <c r="ED197" s="574"/>
      <c r="EE197" s="646">
        <f t="shared" si="313"/>
        <v>0</v>
      </c>
      <c r="EF197" s="646">
        <f t="shared" si="314"/>
        <v>0</v>
      </c>
      <c r="EG197" s="646">
        <f t="shared" si="315"/>
        <v>0</v>
      </c>
      <c r="EH197" s="646">
        <f t="shared" si="316"/>
        <v>0</v>
      </c>
      <c r="EI197" s="646">
        <f t="shared" si="317"/>
        <v>0</v>
      </c>
      <c r="EJ197" s="574"/>
      <c r="EK197" s="574"/>
      <c r="EL197" s="574"/>
      <c r="EM197" s="574"/>
      <c r="EN197" s="574"/>
      <c r="EO197" s="574"/>
      <c r="EP197" s="574"/>
      <c r="EQ197" s="574"/>
      <c r="ER197" s="574"/>
      <c r="ES197" s="574"/>
      <c r="ET197" s="574"/>
      <c r="EU197" s="574"/>
    </row>
    <row r="198" hidden="1">
      <c r="A198" s="577">
        <v>7410.0</v>
      </c>
      <c r="B198" s="12" t="s">
        <v>296</v>
      </c>
      <c r="C198" s="12" t="s">
        <v>209</v>
      </c>
      <c r="D198" s="574"/>
      <c r="E198" s="574"/>
      <c r="F198" s="574"/>
      <c r="G198" s="574"/>
      <c r="H198" s="574"/>
      <c r="I198" s="574"/>
      <c r="J198" s="574"/>
      <c r="K198" s="574"/>
      <c r="L198" s="574"/>
      <c r="M198" s="574"/>
      <c r="N198" s="574"/>
      <c r="O198" s="574"/>
      <c r="P198" s="645">
        <f t="shared" si="251"/>
        <v>0</v>
      </c>
      <c r="Q198" s="645">
        <f t="shared" si="252"/>
        <v>0</v>
      </c>
      <c r="R198" s="645">
        <f t="shared" si="253"/>
        <v>0</v>
      </c>
      <c r="S198" s="645">
        <f t="shared" si="254"/>
        <v>0</v>
      </c>
      <c r="T198" s="645">
        <f t="shared" si="255"/>
        <v>0</v>
      </c>
      <c r="U198" s="574"/>
      <c r="V198" s="574"/>
      <c r="W198" s="574"/>
      <c r="X198" s="574"/>
      <c r="Y198" s="574"/>
      <c r="Z198" s="574"/>
      <c r="AA198" s="574"/>
      <c r="AB198" s="574"/>
      <c r="AC198" s="574"/>
      <c r="AD198" s="574"/>
      <c r="AE198" s="574"/>
      <c r="AF198" s="574"/>
      <c r="AG198" s="645">
        <f t="shared" si="256"/>
        <v>0</v>
      </c>
      <c r="AH198" s="645">
        <f t="shared" si="257"/>
        <v>0</v>
      </c>
      <c r="AI198" s="645">
        <f t="shared" si="258"/>
        <v>0</v>
      </c>
      <c r="AJ198" s="645">
        <f t="shared" si="259"/>
        <v>0</v>
      </c>
      <c r="AK198" s="645">
        <f t="shared" si="260"/>
        <v>0</v>
      </c>
      <c r="AL198" s="574"/>
      <c r="AM198" s="574"/>
      <c r="AN198" s="574"/>
      <c r="AO198" s="574"/>
      <c r="AP198" s="574"/>
      <c r="AQ198" s="574"/>
      <c r="AR198" s="574"/>
      <c r="AS198" s="574"/>
      <c r="AT198" s="574"/>
      <c r="AU198" s="574"/>
      <c r="AV198" s="574"/>
      <c r="AW198" s="574"/>
      <c r="AX198" s="645">
        <f t="shared" si="261"/>
        <v>0</v>
      </c>
      <c r="AY198" s="645">
        <f t="shared" si="262"/>
        <v>0</v>
      </c>
      <c r="AZ198" s="645">
        <f t="shared" si="263"/>
        <v>0</v>
      </c>
      <c r="BA198" s="645">
        <f t="shared" si="264"/>
        <v>0</v>
      </c>
      <c r="BB198" s="645">
        <f t="shared" si="265"/>
        <v>0</v>
      </c>
      <c r="BC198" s="574"/>
      <c r="BD198" s="574"/>
      <c r="BE198" s="574"/>
      <c r="BF198" s="574"/>
      <c r="BG198" s="574"/>
      <c r="BH198" s="574"/>
      <c r="BI198" s="574"/>
      <c r="BJ198" s="574"/>
      <c r="BK198" s="574"/>
      <c r="BL198" s="574"/>
      <c r="BM198" s="574"/>
      <c r="BN198" s="574"/>
      <c r="BO198" s="645">
        <f t="shared" si="293"/>
        <v>0</v>
      </c>
      <c r="BP198" s="645">
        <f t="shared" si="294"/>
        <v>0</v>
      </c>
      <c r="BQ198" s="645">
        <f t="shared" si="295"/>
        <v>0</v>
      </c>
      <c r="BR198" s="645">
        <f t="shared" si="296"/>
        <v>0</v>
      </c>
      <c r="BS198" s="645">
        <f t="shared" si="297"/>
        <v>0</v>
      </c>
      <c r="BT198" s="574"/>
      <c r="BU198" s="574"/>
      <c r="BV198" s="574"/>
      <c r="BW198" s="574"/>
      <c r="BX198" s="574"/>
      <c r="BY198" s="574"/>
      <c r="BZ198" s="574"/>
      <c r="CA198" s="574"/>
      <c r="CB198" s="574"/>
      <c r="CC198" s="574"/>
      <c r="CD198" s="574"/>
      <c r="CE198" s="574"/>
      <c r="CF198" s="646">
        <f t="shared" si="298"/>
        <v>0</v>
      </c>
      <c r="CG198" s="646">
        <f t="shared" si="299"/>
        <v>0</v>
      </c>
      <c r="CH198" s="646">
        <f t="shared" si="300"/>
        <v>0</v>
      </c>
      <c r="CI198" s="646">
        <f t="shared" si="301"/>
        <v>0</v>
      </c>
      <c r="CJ198" s="646">
        <f t="shared" si="302"/>
        <v>0</v>
      </c>
      <c r="CK198" s="574"/>
      <c r="CL198" s="574"/>
      <c r="CM198" s="574"/>
      <c r="CN198" s="574"/>
      <c r="CO198" s="574"/>
      <c r="CP198" s="574"/>
      <c r="CQ198" s="574"/>
      <c r="CR198" s="574"/>
      <c r="CS198" s="574"/>
      <c r="CT198" s="574"/>
      <c r="CU198" s="574"/>
      <c r="CV198" s="574"/>
      <c r="CW198" s="646">
        <f t="shared" si="303"/>
        <v>0</v>
      </c>
      <c r="CX198" s="646">
        <f t="shared" si="304"/>
        <v>0</v>
      </c>
      <c r="CY198" s="646">
        <f t="shared" si="305"/>
        <v>0</v>
      </c>
      <c r="CZ198" s="646">
        <f t="shared" si="306"/>
        <v>0</v>
      </c>
      <c r="DA198" s="646">
        <f t="shared" si="307"/>
        <v>0</v>
      </c>
      <c r="DB198" s="574"/>
      <c r="DC198" s="574"/>
      <c r="DD198" s="574"/>
      <c r="DE198" s="574"/>
      <c r="DF198" s="574"/>
      <c r="DG198" s="574"/>
      <c r="DH198" s="574"/>
      <c r="DI198" s="574"/>
      <c r="DJ198" s="574"/>
      <c r="DK198" s="574"/>
      <c r="DL198" s="574"/>
      <c r="DM198" s="574"/>
      <c r="DN198" s="646">
        <f t="shared" si="308"/>
        <v>0</v>
      </c>
      <c r="DO198" s="646">
        <f t="shared" si="309"/>
        <v>0</v>
      </c>
      <c r="DP198" s="646">
        <f t="shared" si="310"/>
        <v>0</v>
      </c>
      <c r="DQ198" s="646">
        <f t="shared" si="311"/>
        <v>0</v>
      </c>
      <c r="DR198" s="646">
        <f t="shared" si="312"/>
        <v>0</v>
      </c>
      <c r="DS198" s="574"/>
      <c r="DT198" s="574"/>
      <c r="DU198" s="574"/>
      <c r="DV198" s="574"/>
      <c r="DW198" s="574"/>
      <c r="DX198" s="574"/>
      <c r="DY198" s="574"/>
      <c r="DZ198" s="574"/>
      <c r="EA198" s="574"/>
      <c r="EB198" s="574"/>
      <c r="EC198" s="574"/>
      <c r="ED198" s="574"/>
      <c r="EE198" s="646">
        <f t="shared" si="313"/>
        <v>0</v>
      </c>
      <c r="EF198" s="646">
        <f t="shared" si="314"/>
        <v>0</v>
      </c>
      <c r="EG198" s="646">
        <f t="shared" si="315"/>
        <v>0</v>
      </c>
      <c r="EH198" s="646">
        <f t="shared" si="316"/>
        <v>0</v>
      </c>
      <c r="EI198" s="646">
        <f t="shared" si="317"/>
        <v>0</v>
      </c>
      <c r="EJ198" s="574"/>
      <c r="EK198" s="574"/>
      <c r="EL198" s="574"/>
      <c r="EM198" s="574"/>
      <c r="EN198" s="574"/>
      <c r="EO198" s="574"/>
      <c r="EP198" s="574"/>
      <c r="EQ198" s="574"/>
      <c r="ER198" s="574"/>
      <c r="ES198" s="574"/>
      <c r="ET198" s="574"/>
      <c r="EU198" s="574"/>
    </row>
    <row r="199" hidden="1">
      <c r="A199" s="577">
        <v>7410.0</v>
      </c>
      <c r="B199" s="12" t="s">
        <v>297</v>
      </c>
      <c r="C199" s="12" t="s">
        <v>209</v>
      </c>
      <c r="D199" s="574"/>
      <c r="E199" s="574"/>
      <c r="F199" s="574"/>
      <c r="G199" s="574"/>
      <c r="H199" s="574"/>
      <c r="I199" s="574"/>
      <c r="J199" s="574"/>
      <c r="K199" s="574"/>
      <c r="L199" s="574"/>
      <c r="M199" s="574"/>
      <c r="N199" s="574"/>
      <c r="O199" s="574"/>
      <c r="P199" s="645">
        <f t="shared" si="251"/>
        <v>0</v>
      </c>
      <c r="Q199" s="645">
        <f t="shared" si="252"/>
        <v>0</v>
      </c>
      <c r="R199" s="645">
        <f t="shared" si="253"/>
        <v>0</v>
      </c>
      <c r="S199" s="645">
        <f t="shared" si="254"/>
        <v>0</v>
      </c>
      <c r="T199" s="645">
        <f t="shared" si="255"/>
        <v>0</v>
      </c>
      <c r="U199" s="574"/>
      <c r="V199" s="574"/>
      <c r="W199" s="574"/>
      <c r="X199" s="574"/>
      <c r="Y199" s="574"/>
      <c r="Z199" s="574"/>
      <c r="AA199" s="574"/>
      <c r="AB199" s="574"/>
      <c r="AC199" s="574"/>
      <c r="AD199" s="574"/>
      <c r="AE199" s="574"/>
      <c r="AF199" s="574"/>
      <c r="AG199" s="645">
        <f t="shared" si="256"/>
        <v>0</v>
      </c>
      <c r="AH199" s="645">
        <f t="shared" si="257"/>
        <v>0</v>
      </c>
      <c r="AI199" s="645">
        <f t="shared" si="258"/>
        <v>0</v>
      </c>
      <c r="AJ199" s="645">
        <f t="shared" si="259"/>
        <v>0</v>
      </c>
      <c r="AK199" s="645">
        <f t="shared" si="260"/>
        <v>0</v>
      </c>
      <c r="AL199" s="574"/>
      <c r="AM199" s="574"/>
      <c r="AN199" s="574"/>
      <c r="AO199" s="574"/>
      <c r="AP199" s="574"/>
      <c r="AQ199" s="574"/>
      <c r="AR199" s="574"/>
      <c r="AS199" s="574"/>
      <c r="AT199" s="574"/>
      <c r="AU199" s="574"/>
      <c r="AV199" s="574"/>
      <c r="AW199" s="574"/>
      <c r="AX199" s="645">
        <f t="shared" si="261"/>
        <v>0</v>
      </c>
      <c r="AY199" s="645">
        <f t="shared" si="262"/>
        <v>0</v>
      </c>
      <c r="AZ199" s="645">
        <f t="shared" si="263"/>
        <v>0</v>
      </c>
      <c r="BA199" s="645">
        <f t="shared" si="264"/>
        <v>0</v>
      </c>
      <c r="BB199" s="645">
        <f t="shared" si="265"/>
        <v>0</v>
      </c>
      <c r="BC199" s="569">
        <v>89824.23</v>
      </c>
      <c r="BD199" s="569">
        <v>112617.06</v>
      </c>
      <c r="BE199" s="569">
        <v>161473.48</v>
      </c>
      <c r="BF199" s="569">
        <v>59489.5</v>
      </c>
      <c r="BG199" s="569">
        <v>62951.06</v>
      </c>
      <c r="BH199" s="569">
        <v>31816.0</v>
      </c>
      <c r="BI199" s="569">
        <v>57657.55</v>
      </c>
      <c r="BJ199" s="569">
        <v>79190.43</v>
      </c>
      <c r="BK199" s="569">
        <v>93023.37</v>
      </c>
      <c r="BL199" s="569">
        <v>107032.86</v>
      </c>
      <c r="BM199" s="574"/>
      <c r="BN199" s="574"/>
      <c r="BO199" s="645">
        <f t="shared" si="293"/>
        <v>363914.77</v>
      </c>
      <c r="BP199" s="645">
        <f t="shared" si="294"/>
        <v>154256.56</v>
      </c>
      <c r="BQ199" s="645">
        <f t="shared" si="295"/>
        <v>229871.35</v>
      </c>
      <c r="BR199" s="645">
        <f t="shared" si="296"/>
        <v>107032.86</v>
      </c>
      <c r="BS199" s="645">
        <f t="shared" si="297"/>
        <v>855075.54</v>
      </c>
      <c r="BT199" s="569">
        <v>67815.33</v>
      </c>
      <c r="BU199" s="569">
        <v>47496.9</v>
      </c>
      <c r="BV199" s="569">
        <v>43689.69</v>
      </c>
      <c r="BW199" s="569">
        <v>40745.0</v>
      </c>
      <c r="BX199" s="569">
        <v>16839.0</v>
      </c>
      <c r="BY199" s="569">
        <v>0.0</v>
      </c>
      <c r="BZ199" s="574"/>
      <c r="CA199" s="574"/>
      <c r="CB199" s="574"/>
      <c r="CC199" s="574"/>
      <c r="CD199" s="574"/>
      <c r="CE199" s="574"/>
      <c r="CF199" s="646">
        <f t="shared" si="298"/>
        <v>159001.92</v>
      </c>
      <c r="CG199" s="646">
        <f t="shared" si="299"/>
        <v>57584</v>
      </c>
      <c r="CH199" s="646">
        <f t="shared" si="300"/>
        <v>0</v>
      </c>
      <c r="CI199" s="646">
        <f t="shared" si="301"/>
        <v>0</v>
      </c>
      <c r="CJ199" s="646">
        <f t="shared" si="302"/>
        <v>216585.92</v>
      </c>
      <c r="CK199" s="574"/>
      <c r="CL199" s="574"/>
      <c r="CM199" s="574"/>
      <c r="CN199" s="574"/>
      <c r="CO199" s="574"/>
      <c r="CP199" s="574"/>
      <c r="CQ199" s="574"/>
      <c r="CR199" s="574"/>
      <c r="CS199" s="574"/>
      <c r="CT199" s="574"/>
      <c r="CU199" s="574"/>
      <c r="CV199" s="574"/>
      <c r="CW199" s="646">
        <f t="shared" si="303"/>
        <v>0</v>
      </c>
      <c r="CX199" s="646">
        <f t="shared" si="304"/>
        <v>0</v>
      </c>
      <c r="CY199" s="646">
        <f t="shared" si="305"/>
        <v>0</v>
      </c>
      <c r="CZ199" s="646">
        <f t="shared" si="306"/>
        <v>0</v>
      </c>
      <c r="DA199" s="646">
        <f t="shared" si="307"/>
        <v>0</v>
      </c>
      <c r="DB199" s="574"/>
      <c r="DC199" s="574"/>
      <c r="DD199" s="574"/>
      <c r="DE199" s="574"/>
      <c r="DF199" s="574"/>
      <c r="DG199" s="574"/>
      <c r="DH199" s="574"/>
      <c r="DI199" s="574"/>
      <c r="DJ199" s="574"/>
      <c r="DK199" s="574"/>
      <c r="DL199" s="574"/>
      <c r="DM199" s="574"/>
      <c r="DN199" s="646">
        <f t="shared" si="308"/>
        <v>0</v>
      </c>
      <c r="DO199" s="646">
        <f t="shared" si="309"/>
        <v>0</v>
      </c>
      <c r="DP199" s="646">
        <f t="shared" si="310"/>
        <v>0</v>
      </c>
      <c r="DQ199" s="646">
        <f t="shared" si="311"/>
        <v>0</v>
      </c>
      <c r="DR199" s="646">
        <f t="shared" si="312"/>
        <v>0</v>
      </c>
      <c r="DS199" s="574"/>
      <c r="DT199" s="574"/>
      <c r="DU199" s="574"/>
      <c r="DV199" s="574"/>
      <c r="DW199" s="574"/>
      <c r="DX199" s="574"/>
      <c r="DY199" s="574"/>
      <c r="DZ199" s="574"/>
      <c r="EA199" s="574"/>
      <c r="EB199" s="574"/>
      <c r="EC199" s="574"/>
      <c r="ED199" s="574"/>
      <c r="EE199" s="646">
        <f t="shared" si="313"/>
        <v>0</v>
      </c>
      <c r="EF199" s="646">
        <f t="shared" si="314"/>
        <v>0</v>
      </c>
      <c r="EG199" s="646">
        <f t="shared" si="315"/>
        <v>0</v>
      </c>
      <c r="EH199" s="646">
        <f t="shared" si="316"/>
        <v>0</v>
      </c>
      <c r="EI199" s="646">
        <f t="shared" si="317"/>
        <v>0</v>
      </c>
      <c r="EJ199" s="574"/>
      <c r="EK199" s="574"/>
      <c r="EL199" s="574"/>
      <c r="EM199" s="574"/>
      <c r="EN199" s="574"/>
      <c r="EO199" s="574"/>
      <c r="EP199" s="574"/>
      <c r="EQ199" s="574"/>
      <c r="ER199" s="574"/>
      <c r="ES199" s="574"/>
      <c r="ET199" s="574"/>
      <c r="EU199" s="574"/>
    </row>
    <row r="200" hidden="1">
      <c r="A200" s="577">
        <v>7410.0</v>
      </c>
      <c r="B200" s="12" t="s">
        <v>298</v>
      </c>
      <c r="C200" s="12" t="s">
        <v>209</v>
      </c>
      <c r="D200" s="574"/>
      <c r="E200" s="574"/>
      <c r="F200" s="574"/>
      <c r="G200" s="574"/>
      <c r="H200" s="574"/>
      <c r="I200" s="574"/>
      <c r="J200" s="574"/>
      <c r="K200" s="574"/>
      <c r="L200" s="574"/>
      <c r="M200" s="574"/>
      <c r="N200" s="574"/>
      <c r="O200" s="574"/>
      <c r="P200" s="645">
        <f t="shared" si="251"/>
        <v>0</v>
      </c>
      <c r="Q200" s="645">
        <f t="shared" si="252"/>
        <v>0</v>
      </c>
      <c r="R200" s="645">
        <f t="shared" si="253"/>
        <v>0</v>
      </c>
      <c r="S200" s="645">
        <f t="shared" si="254"/>
        <v>0</v>
      </c>
      <c r="T200" s="645">
        <f t="shared" si="255"/>
        <v>0</v>
      </c>
      <c r="U200" s="574"/>
      <c r="V200" s="574"/>
      <c r="W200" s="574"/>
      <c r="X200" s="574"/>
      <c r="Y200" s="574"/>
      <c r="Z200" s="574"/>
      <c r="AA200" s="574"/>
      <c r="AB200" s="574"/>
      <c r="AC200" s="574"/>
      <c r="AD200" s="574"/>
      <c r="AE200" s="574"/>
      <c r="AF200" s="574"/>
      <c r="AG200" s="645">
        <f t="shared" si="256"/>
        <v>0</v>
      </c>
      <c r="AH200" s="645">
        <f t="shared" si="257"/>
        <v>0</v>
      </c>
      <c r="AI200" s="645">
        <f t="shared" si="258"/>
        <v>0</v>
      </c>
      <c r="AJ200" s="645">
        <f t="shared" si="259"/>
        <v>0</v>
      </c>
      <c r="AK200" s="645">
        <f t="shared" si="260"/>
        <v>0</v>
      </c>
      <c r="AL200" s="574"/>
      <c r="AM200" s="574"/>
      <c r="AN200" s="574"/>
      <c r="AO200" s="574"/>
      <c r="AP200" s="574"/>
      <c r="AQ200" s="574"/>
      <c r="AR200" s="574"/>
      <c r="AS200" s="574"/>
      <c r="AT200" s="574"/>
      <c r="AU200" s="574"/>
      <c r="AV200" s="574"/>
      <c r="AW200" s="574"/>
      <c r="AX200" s="645">
        <f t="shared" si="261"/>
        <v>0</v>
      </c>
      <c r="AY200" s="645">
        <f t="shared" si="262"/>
        <v>0</v>
      </c>
      <c r="AZ200" s="645">
        <f t="shared" si="263"/>
        <v>0</v>
      </c>
      <c r="BA200" s="645">
        <f t="shared" si="264"/>
        <v>0</v>
      </c>
      <c r="BB200" s="645">
        <f t="shared" si="265"/>
        <v>0</v>
      </c>
      <c r="BC200" s="574"/>
      <c r="BD200" s="574"/>
      <c r="BE200" s="574"/>
      <c r="BF200" s="574"/>
      <c r="BG200" s="574"/>
      <c r="BH200" s="574"/>
      <c r="BI200" s="574"/>
      <c r="BJ200" s="574"/>
      <c r="BK200" s="574"/>
      <c r="BL200" s="574"/>
      <c r="BM200" s="574"/>
      <c r="BN200" s="574"/>
      <c r="BO200" s="645">
        <f t="shared" si="293"/>
        <v>0</v>
      </c>
      <c r="BP200" s="645">
        <f t="shared" si="294"/>
        <v>0</v>
      </c>
      <c r="BQ200" s="645">
        <f t="shared" si="295"/>
        <v>0</v>
      </c>
      <c r="BR200" s="645">
        <f t="shared" si="296"/>
        <v>0</v>
      </c>
      <c r="BS200" s="645">
        <f t="shared" si="297"/>
        <v>0</v>
      </c>
      <c r="BT200" s="569">
        <v>18705.0</v>
      </c>
      <c r="BU200" s="569">
        <v>10905.0</v>
      </c>
      <c r="BV200" s="569">
        <v>16950.0</v>
      </c>
      <c r="BW200" s="569">
        <v>26010.0</v>
      </c>
      <c r="BX200" s="569">
        <v>12180.0</v>
      </c>
      <c r="BY200" s="569">
        <v>5520.0</v>
      </c>
      <c r="BZ200" s="574"/>
      <c r="CA200" s="574"/>
      <c r="CB200" s="574"/>
      <c r="CC200" s="574"/>
      <c r="CD200" s="574"/>
      <c r="CE200" s="574"/>
      <c r="CF200" s="646">
        <f t="shared" si="298"/>
        <v>46560</v>
      </c>
      <c r="CG200" s="646">
        <f t="shared" si="299"/>
        <v>43710</v>
      </c>
      <c r="CH200" s="646">
        <f t="shared" si="300"/>
        <v>0</v>
      </c>
      <c r="CI200" s="646">
        <f t="shared" si="301"/>
        <v>0</v>
      </c>
      <c r="CJ200" s="646">
        <f t="shared" si="302"/>
        <v>90270</v>
      </c>
      <c r="CK200" s="574"/>
      <c r="CL200" s="574"/>
      <c r="CM200" s="574"/>
      <c r="CN200" s="574"/>
      <c r="CO200" s="574"/>
      <c r="CP200" s="574"/>
      <c r="CQ200" s="574"/>
      <c r="CR200" s="574"/>
      <c r="CS200" s="574"/>
      <c r="CT200" s="574"/>
      <c r="CU200" s="574"/>
      <c r="CV200" s="574"/>
      <c r="CW200" s="646">
        <f t="shared" si="303"/>
        <v>0</v>
      </c>
      <c r="CX200" s="646">
        <f t="shared" si="304"/>
        <v>0</v>
      </c>
      <c r="CY200" s="646">
        <f t="shared" si="305"/>
        <v>0</v>
      </c>
      <c r="CZ200" s="646">
        <f t="shared" si="306"/>
        <v>0</v>
      </c>
      <c r="DA200" s="646">
        <f t="shared" si="307"/>
        <v>0</v>
      </c>
      <c r="DB200" s="574"/>
      <c r="DC200" s="574"/>
      <c r="DD200" s="574"/>
      <c r="DE200" s="574"/>
      <c r="DF200" s="574"/>
      <c r="DG200" s="574"/>
      <c r="DH200" s="574"/>
      <c r="DI200" s="574"/>
      <c r="DJ200" s="574"/>
      <c r="DK200" s="574"/>
      <c r="DL200" s="574"/>
      <c r="DM200" s="574"/>
      <c r="DN200" s="646">
        <f t="shared" si="308"/>
        <v>0</v>
      </c>
      <c r="DO200" s="646">
        <f t="shared" si="309"/>
        <v>0</v>
      </c>
      <c r="DP200" s="646">
        <f t="shared" si="310"/>
        <v>0</v>
      </c>
      <c r="DQ200" s="646">
        <f t="shared" si="311"/>
        <v>0</v>
      </c>
      <c r="DR200" s="646">
        <f t="shared" si="312"/>
        <v>0</v>
      </c>
      <c r="DS200" s="574"/>
      <c r="DT200" s="574"/>
      <c r="DU200" s="574"/>
      <c r="DV200" s="574"/>
      <c r="DW200" s="574"/>
      <c r="DX200" s="574"/>
      <c r="DY200" s="574"/>
      <c r="DZ200" s="574"/>
      <c r="EA200" s="574"/>
      <c r="EB200" s="574"/>
      <c r="EC200" s="574"/>
      <c r="ED200" s="574"/>
      <c r="EE200" s="646">
        <f t="shared" si="313"/>
        <v>0</v>
      </c>
      <c r="EF200" s="646">
        <f t="shared" si="314"/>
        <v>0</v>
      </c>
      <c r="EG200" s="646">
        <f t="shared" si="315"/>
        <v>0</v>
      </c>
      <c r="EH200" s="646">
        <f t="shared" si="316"/>
        <v>0</v>
      </c>
      <c r="EI200" s="646">
        <f t="shared" si="317"/>
        <v>0</v>
      </c>
      <c r="EJ200" s="574"/>
      <c r="EK200" s="574"/>
      <c r="EL200" s="574"/>
      <c r="EM200" s="574"/>
      <c r="EN200" s="574"/>
      <c r="EO200" s="574"/>
      <c r="EP200" s="574"/>
      <c r="EQ200" s="574"/>
      <c r="ER200" s="574"/>
      <c r="ES200" s="574"/>
      <c r="ET200" s="574"/>
      <c r="EU200" s="574"/>
    </row>
    <row r="201" hidden="1">
      <c r="A201" s="647">
        <v>7410.0</v>
      </c>
      <c r="B201" s="648" t="s">
        <v>299</v>
      </c>
      <c r="C201" s="648" t="s">
        <v>209</v>
      </c>
      <c r="D201" s="636"/>
      <c r="E201" s="636"/>
      <c r="F201" s="636"/>
      <c r="G201" s="636"/>
      <c r="H201" s="636"/>
      <c r="I201" s="636"/>
      <c r="J201" s="636"/>
      <c r="K201" s="636"/>
      <c r="L201" s="636"/>
      <c r="M201" s="636"/>
      <c r="N201" s="636"/>
      <c r="O201" s="636"/>
      <c r="P201" s="652">
        <f t="shared" si="251"/>
        <v>0</v>
      </c>
      <c r="Q201" s="652">
        <f t="shared" si="252"/>
        <v>0</v>
      </c>
      <c r="R201" s="652">
        <f t="shared" si="253"/>
        <v>0</v>
      </c>
      <c r="S201" s="652">
        <f t="shared" si="254"/>
        <v>0</v>
      </c>
      <c r="T201" s="652">
        <f t="shared" si="255"/>
        <v>0</v>
      </c>
      <c r="U201" s="636"/>
      <c r="V201" s="636"/>
      <c r="W201" s="636"/>
      <c r="X201" s="636"/>
      <c r="Y201" s="636"/>
      <c r="Z201" s="636"/>
      <c r="AA201" s="636"/>
      <c r="AB201" s="636"/>
      <c r="AC201" s="636"/>
      <c r="AD201" s="636"/>
      <c r="AE201" s="636"/>
      <c r="AF201" s="636"/>
      <c r="AG201" s="652">
        <f t="shared" si="256"/>
        <v>0</v>
      </c>
      <c r="AH201" s="652">
        <f t="shared" si="257"/>
        <v>0</v>
      </c>
      <c r="AI201" s="652">
        <f t="shared" si="258"/>
        <v>0</v>
      </c>
      <c r="AJ201" s="652">
        <f t="shared" si="259"/>
        <v>0</v>
      </c>
      <c r="AK201" s="652">
        <f t="shared" si="260"/>
        <v>0</v>
      </c>
      <c r="AL201" s="649">
        <v>12480.0</v>
      </c>
      <c r="AM201" s="649">
        <v>2160.0</v>
      </c>
      <c r="AN201" s="649">
        <v>2970.0</v>
      </c>
      <c r="AO201" s="649">
        <v>34650.0</v>
      </c>
      <c r="AP201" s="649">
        <v>1188.0</v>
      </c>
      <c r="AQ201" s="649">
        <v>2268.0</v>
      </c>
      <c r="AR201" s="649">
        <v>39744.0</v>
      </c>
      <c r="AS201" s="649">
        <v>35676.0</v>
      </c>
      <c r="AT201" s="649">
        <v>47268.0</v>
      </c>
      <c r="AU201" s="649">
        <v>175608.0</v>
      </c>
      <c r="AV201" s="636"/>
      <c r="AW201" s="636"/>
      <c r="AX201" s="652">
        <f t="shared" si="261"/>
        <v>17610</v>
      </c>
      <c r="AY201" s="652">
        <f t="shared" si="262"/>
        <v>38106</v>
      </c>
      <c r="AZ201" s="652">
        <f t="shared" si="263"/>
        <v>122688</v>
      </c>
      <c r="BA201" s="652">
        <f t="shared" si="264"/>
        <v>175608</v>
      </c>
      <c r="BB201" s="652">
        <f t="shared" si="265"/>
        <v>354012</v>
      </c>
      <c r="BC201" s="636" t="s">
        <v>257</v>
      </c>
      <c r="BD201" s="649">
        <v>17664.0</v>
      </c>
      <c r="BE201" s="649">
        <v>74864.0</v>
      </c>
      <c r="BF201" s="649">
        <v>33600.0</v>
      </c>
      <c r="BG201" s="649">
        <v>31720.0</v>
      </c>
      <c r="BH201" s="636" t="s">
        <v>257</v>
      </c>
      <c r="BI201" s="649">
        <v>8720.0</v>
      </c>
      <c r="BJ201" s="649">
        <v>19344.0</v>
      </c>
      <c r="BK201" s="649">
        <v>28304.0</v>
      </c>
      <c r="BL201" s="649">
        <v>25600.0</v>
      </c>
      <c r="BM201" s="649">
        <v>11664.0</v>
      </c>
      <c r="BN201" s="649">
        <v>16448.0</v>
      </c>
      <c r="BO201" s="652">
        <f t="shared" si="293"/>
        <v>92528</v>
      </c>
      <c r="BP201" s="652">
        <f t="shared" si="294"/>
        <v>65320</v>
      </c>
      <c r="BQ201" s="652">
        <f t="shared" si="295"/>
        <v>56368</v>
      </c>
      <c r="BR201" s="652">
        <f t="shared" si="296"/>
        <v>53712</v>
      </c>
      <c r="BS201" s="652">
        <f t="shared" si="297"/>
        <v>267928</v>
      </c>
      <c r="BT201" s="649">
        <v>9787.0</v>
      </c>
      <c r="BU201" s="649">
        <v>0.0</v>
      </c>
      <c r="BV201" s="649">
        <v>0.0</v>
      </c>
      <c r="BW201" s="649">
        <v>14481.0</v>
      </c>
      <c r="BX201" s="649">
        <v>15662.0</v>
      </c>
      <c r="BY201" s="649">
        <v>23696.0</v>
      </c>
      <c r="BZ201" s="649">
        <v>6059.0</v>
      </c>
      <c r="CA201" s="649">
        <v>18528.0</v>
      </c>
      <c r="CB201" s="649">
        <v>38960.0</v>
      </c>
      <c r="CC201" s="649">
        <v>33570.0</v>
      </c>
      <c r="CD201" s="636"/>
      <c r="CE201" s="636"/>
      <c r="CF201" s="653">
        <f t="shared" si="298"/>
        <v>9787</v>
      </c>
      <c r="CG201" s="653">
        <f t="shared" si="299"/>
        <v>53839</v>
      </c>
      <c r="CH201" s="653">
        <f t="shared" si="300"/>
        <v>63547</v>
      </c>
      <c r="CI201" s="653">
        <f t="shared" si="301"/>
        <v>33570</v>
      </c>
      <c r="CJ201" s="653">
        <f t="shared" si="302"/>
        <v>160743</v>
      </c>
      <c r="CK201" s="636"/>
      <c r="CL201" s="636"/>
      <c r="CM201" s="636"/>
      <c r="CN201" s="636"/>
      <c r="CO201" s="636"/>
      <c r="CP201" s="636"/>
      <c r="CQ201" s="636"/>
      <c r="CR201" s="636"/>
      <c r="CS201" s="636"/>
      <c r="CT201" s="636"/>
      <c r="CU201" s="636"/>
      <c r="CV201" s="636"/>
      <c r="CW201" s="653">
        <f t="shared" si="303"/>
        <v>0</v>
      </c>
      <c r="CX201" s="653">
        <f t="shared" si="304"/>
        <v>0</v>
      </c>
      <c r="CY201" s="653">
        <f t="shared" si="305"/>
        <v>0</v>
      </c>
      <c r="CZ201" s="653">
        <f t="shared" si="306"/>
        <v>0</v>
      </c>
      <c r="DA201" s="653">
        <f t="shared" si="307"/>
        <v>0</v>
      </c>
      <c r="DB201" s="636"/>
      <c r="DC201" s="636"/>
      <c r="DD201" s="636"/>
      <c r="DE201" s="636"/>
      <c r="DF201" s="636"/>
      <c r="DG201" s="636"/>
      <c r="DH201" s="636"/>
      <c r="DI201" s="636"/>
      <c r="DJ201" s="636"/>
      <c r="DK201" s="636"/>
      <c r="DL201" s="636"/>
      <c r="DM201" s="636"/>
      <c r="DN201" s="653">
        <f t="shared" si="308"/>
        <v>0</v>
      </c>
      <c r="DO201" s="653">
        <f t="shared" si="309"/>
        <v>0</v>
      </c>
      <c r="DP201" s="653">
        <f t="shared" si="310"/>
        <v>0</v>
      </c>
      <c r="DQ201" s="653">
        <f t="shared" si="311"/>
        <v>0</v>
      </c>
      <c r="DR201" s="653">
        <f t="shared" si="312"/>
        <v>0</v>
      </c>
      <c r="DS201" s="636"/>
      <c r="DT201" s="636"/>
      <c r="DU201" s="636"/>
      <c r="DV201" s="636"/>
      <c r="DW201" s="636"/>
      <c r="DX201" s="636"/>
      <c r="DY201" s="636"/>
      <c r="DZ201" s="636"/>
      <c r="EA201" s="636"/>
      <c r="EB201" s="636"/>
      <c r="EC201" s="636"/>
      <c r="ED201" s="636"/>
      <c r="EE201" s="653">
        <f t="shared" si="313"/>
        <v>0</v>
      </c>
      <c r="EF201" s="653">
        <f t="shared" si="314"/>
        <v>0</v>
      </c>
      <c r="EG201" s="653">
        <f t="shared" si="315"/>
        <v>0</v>
      </c>
      <c r="EH201" s="653">
        <f t="shared" si="316"/>
        <v>0</v>
      </c>
      <c r="EI201" s="653">
        <f t="shared" si="317"/>
        <v>0</v>
      </c>
      <c r="EJ201" s="574"/>
      <c r="EK201" s="574"/>
      <c r="EL201" s="574"/>
      <c r="EM201" s="574"/>
      <c r="EN201" s="574"/>
      <c r="EO201" s="574"/>
      <c r="EP201" s="574"/>
      <c r="EQ201" s="574"/>
      <c r="ER201" s="574"/>
      <c r="ES201" s="574"/>
      <c r="ET201" s="574"/>
      <c r="EU201" s="574"/>
    </row>
    <row r="202" hidden="1">
      <c r="A202" s="647">
        <v>7414.0</v>
      </c>
      <c r="B202" s="658" t="s">
        <v>300</v>
      </c>
      <c r="C202" s="658" t="s">
        <v>209</v>
      </c>
      <c r="D202" s="636"/>
      <c r="E202" s="636"/>
      <c r="F202" s="636"/>
      <c r="G202" s="636"/>
      <c r="H202" s="636"/>
      <c r="I202" s="636"/>
      <c r="J202" s="636"/>
      <c r="K202" s="636"/>
      <c r="L202" s="636"/>
      <c r="M202" s="636"/>
      <c r="N202" s="636"/>
      <c r="O202" s="636"/>
      <c r="P202" s="652">
        <f t="shared" si="251"/>
        <v>0</v>
      </c>
      <c r="Q202" s="652">
        <f t="shared" si="252"/>
        <v>0</v>
      </c>
      <c r="R202" s="652">
        <f t="shared" si="253"/>
        <v>0</v>
      </c>
      <c r="S202" s="652">
        <f t="shared" si="254"/>
        <v>0</v>
      </c>
      <c r="T202" s="652">
        <f t="shared" si="255"/>
        <v>0</v>
      </c>
      <c r="U202" s="636"/>
      <c r="V202" s="636"/>
      <c r="W202" s="636"/>
      <c r="X202" s="636"/>
      <c r="Y202" s="636"/>
      <c r="Z202" s="636"/>
      <c r="AA202" s="636"/>
      <c r="AB202" s="636"/>
      <c r="AC202" s="636"/>
      <c r="AD202" s="636"/>
      <c r="AE202" s="636"/>
      <c r="AF202" s="636"/>
      <c r="AG202" s="652">
        <f t="shared" si="256"/>
        <v>0</v>
      </c>
      <c r="AH202" s="652">
        <f t="shared" si="257"/>
        <v>0</v>
      </c>
      <c r="AI202" s="652">
        <f t="shared" si="258"/>
        <v>0</v>
      </c>
      <c r="AJ202" s="652">
        <f t="shared" si="259"/>
        <v>0</v>
      </c>
      <c r="AK202" s="652">
        <f t="shared" si="260"/>
        <v>0</v>
      </c>
      <c r="AL202" s="636"/>
      <c r="AM202" s="636"/>
      <c r="AN202" s="636"/>
      <c r="AO202" s="636"/>
      <c r="AP202" s="636"/>
      <c r="AQ202" s="636"/>
      <c r="AR202" s="636"/>
      <c r="AS202" s="636"/>
      <c r="AT202" s="636"/>
      <c r="AU202" s="636"/>
      <c r="AV202" s="636"/>
      <c r="AW202" s="636"/>
      <c r="AX202" s="652">
        <f t="shared" si="261"/>
        <v>0</v>
      </c>
      <c r="AY202" s="652">
        <f t="shared" si="262"/>
        <v>0</v>
      </c>
      <c r="AZ202" s="652">
        <f t="shared" si="263"/>
        <v>0</v>
      </c>
      <c r="BA202" s="652">
        <f t="shared" si="264"/>
        <v>0</v>
      </c>
      <c r="BB202" s="652">
        <f t="shared" si="265"/>
        <v>0</v>
      </c>
      <c r="BC202" s="636"/>
      <c r="BD202" s="636"/>
      <c r="BE202" s="636"/>
      <c r="BF202" s="636"/>
      <c r="BG202" s="636"/>
      <c r="BH202" s="636"/>
      <c r="BI202" s="636"/>
      <c r="BJ202" s="636"/>
      <c r="BK202" s="636"/>
      <c r="BL202" s="636"/>
      <c r="BM202" s="636"/>
      <c r="BN202" s="636"/>
      <c r="BO202" s="652">
        <f t="shared" si="293"/>
        <v>0</v>
      </c>
      <c r="BP202" s="652">
        <f t="shared" si="294"/>
        <v>0</v>
      </c>
      <c r="BQ202" s="652">
        <f t="shared" si="295"/>
        <v>0</v>
      </c>
      <c r="BR202" s="652">
        <f t="shared" si="296"/>
        <v>0</v>
      </c>
      <c r="BS202" s="652">
        <f t="shared" si="297"/>
        <v>0</v>
      </c>
      <c r="BT202" s="649">
        <v>34358.85</v>
      </c>
      <c r="BU202" s="649">
        <v>41292.0</v>
      </c>
      <c r="BV202" s="649">
        <v>34233.3</v>
      </c>
      <c r="BW202" s="649">
        <v>55116.45</v>
      </c>
      <c r="BX202" s="649">
        <v>60416.28</v>
      </c>
      <c r="BY202" s="649">
        <v>57649.58</v>
      </c>
      <c r="BZ202" s="649">
        <v>65349.18</v>
      </c>
      <c r="CA202" s="649">
        <v>121458.96</v>
      </c>
      <c r="CB202" s="649">
        <v>55232.82</v>
      </c>
      <c r="CC202" s="636"/>
      <c r="CD202" s="636"/>
      <c r="CE202" s="636"/>
      <c r="CF202" s="653">
        <f t="shared" si="298"/>
        <v>109884.15</v>
      </c>
      <c r="CG202" s="653">
        <f t="shared" si="299"/>
        <v>173182.31</v>
      </c>
      <c r="CH202" s="653">
        <f t="shared" si="300"/>
        <v>242040.96</v>
      </c>
      <c r="CI202" s="653">
        <f t="shared" si="301"/>
        <v>0</v>
      </c>
      <c r="CJ202" s="653">
        <f t="shared" si="302"/>
        <v>525107.42</v>
      </c>
      <c r="CK202" s="636"/>
      <c r="CL202" s="636"/>
      <c r="CM202" s="636"/>
      <c r="CN202" s="636"/>
      <c r="CO202" s="636"/>
      <c r="CP202" s="636"/>
      <c r="CQ202" s="636"/>
      <c r="CR202" s="636"/>
      <c r="CS202" s="636"/>
      <c r="CT202" s="636"/>
      <c r="CU202" s="636"/>
      <c r="CV202" s="636"/>
      <c r="CW202" s="653">
        <f t="shared" si="303"/>
        <v>0</v>
      </c>
      <c r="CX202" s="653">
        <f t="shared" si="304"/>
        <v>0</v>
      </c>
      <c r="CY202" s="653">
        <f t="shared" si="305"/>
        <v>0</v>
      </c>
      <c r="CZ202" s="653">
        <f t="shared" si="306"/>
        <v>0</v>
      </c>
      <c r="DA202" s="653">
        <f t="shared" si="307"/>
        <v>0</v>
      </c>
      <c r="DB202" s="636"/>
      <c r="DC202" s="636"/>
      <c r="DD202" s="636"/>
      <c r="DE202" s="636"/>
      <c r="DF202" s="636"/>
      <c r="DG202" s="636"/>
      <c r="DH202" s="636"/>
      <c r="DI202" s="636"/>
      <c r="DJ202" s="636"/>
      <c r="DK202" s="636"/>
      <c r="DL202" s="636"/>
      <c r="DM202" s="636"/>
      <c r="DN202" s="653">
        <f t="shared" si="308"/>
        <v>0</v>
      </c>
      <c r="DO202" s="653">
        <f t="shared" si="309"/>
        <v>0</v>
      </c>
      <c r="DP202" s="653">
        <f t="shared" si="310"/>
        <v>0</v>
      </c>
      <c r="DQ202" s="653">
        <f t="shared" si="311"/>
        <v>0</v>
      </c>
      <c r="DR202" s="653">
        <f t="shared" si="312"/>
        <v>0</v>
      </c>
      <c r="DS202" s="636"/>
      <c r="DT202" s="636"/>
      <c r="DU202" s="636"/>
      <c r="DV202" s="636"/>
      <c r="DW202" s="636"/>
      <c r="DX202" s="636"/>
      <c r="DY202" s="636"/>
      <c r="DZ202" s="636"/>
      <c r="EA202" s="636"/>
      <c r="EB202" s="636"/>
      <c r="EC202" s="636"/>
      <c r="ED202" s="636"/>
      <c r="EE202" s="653">
        <f t="shared" si="313"/>
        <v>0</v>
      </c>
      <c r="EF202" s="653">
        <f t="shared" si="314"/>
        <v>0</v>
      </c>
      <c r="EG202" s="653">
        <f t="shared" si="315"/>
        <v>0</v>
      </c>
      <c r="EH202" s="653">
        <f t="shared" si="316"/>
        <v>0</v>
      </c>
      <c r="EI202" s="653">
        <f t="shared" si="317"/>
        <v>0</v>
      </c>
      <c r="EJ202" s="569">
        <v>83.840008911638</v>
      </c>
      <c r="EK202" s="571" t="str">
        <f>CY202/DA202*100</f>
        <v>#DIV/0!</v>
      </c>
      <c r="EL202" s="569">
        <f>CZ202/EJ202*100</f>
        <v>0</v>
      </c>
      <c r="EM202" s="596" t="str">
        <f>EL202/EK202*100-100</f>
        <v>#DIV/0!</v>
      </c>
      <c r="EN202" s="574"/>
      <c r="EO202" s="574"/>
      <c r="EP202" s="574"/>
      <c r="EQ202" s="574"/>
      <c r="ER202" s="574"/>
      <c r="ES202" s="574"/>
      <c r="ET202" s="574"/>
      <c r="EU202" s="574"/>
    </row>
    <row r="203" hidden="1">
      <c r="A203" s="577">
        <v>7412.0</v>
      </c>
      <c r="B203" s="12" t="s">
        <v>301</v>
      </c>
      <c r="C203" s="12" t="s">
        <v>209</v>
      </c>
      <c r="D203" s="574"/>
      <c r="E203" s="574"/>
      <c r="F203" s="574"/>
      <c r="G203" s="574"/>
      <c r="H203" s="574"/>
      <c r="I203" s="574"/>
      <c r="J203" s="574"/>
      <c r="K203" s="574"/>
      <c r="L203" s="574"/>
      <c r="M203" s="574"/>
      <c r="N203" s="574"/>
      <c r="O203" s="574"/>
      <c r="P203" s="645">
        <f t="shared" si="251"/>
        <v>0</v>
      </c>
      <c r="Q203" s="645">
        <f t="shared" si="252"/>
        <v>0</v>
      </c>
      <c r="R203" s="645">
        <f t="shared" si="253"/>
        <v>0</v>
      </c>
      <c r="S203" s="645">
        <f t="shared" si="254"/>
        <v>0</v>
      </c>
      <c r="T203" s="645">
        <f t="shared" si="255"/>
        <v>0</v>
      </c>
      <c r="U203" s="574"/>
      <c r="V203" s="574"/>
      <c r="W203" s="574"/>
      <c r="X203" s="574"/>
      <c r="Y203" s="574"/>
      <c r="Z203" s="574"/>
      <c r="AA203" s="574"/>
      <c r="AB203" s="574"/>
      <c r="AC203" s="574"/>
      <c r="AD203" s="574"/>
      <c r="AE203" s="574"/>
      <c r="AF203" s="574"/>
      <c r="AG203" s="645">
        <f t="shared" si="256"/>
        <v>0</v>
      </c>
      <c r="AH203" s="645">
        <f t="shared" si="257"/>
        <v>0</v>
      </c>
      <c r="AI203" s="645">
        <f t="shared" si="258"/>
        <v>0</v>
      </c>
      <c r="AJ203" s="645">
        <f t="shared" si="259"/>
        <v>0</v>
      </c>
      <c r="AK203" s="645">
        <f t="shared" si="260"/>
        <v>0</v>
      </c>
      <c r="AL203" s="574"/>
      <c r="AM203" s="574"/>
      <c r="AN203" s="574"/>
      <c r="AO203" s="574"/>
      <c r="AP203" s="574"/>
      <c r="AQ203" s="574"/>
      <c r="AR203" s="574"/>
      <c r="AS203" s="574"/>
      <c r="AT203" s="574"/>
      <c r="AU203" s="574"/>
      <c r="AV203" s="574"/>
      <c r="AW203" s="574"/>
      <c r="AX203" s="645">
        <f t="shared" si="261"/>
        <v>0</v>
      </c>
      <c r="AY203" s="645">
        <f t="shared" si="262"/>
        <v>0</v>
      </c>
      <c r="AZ203" s="645">
        <f t="shared" si="263"/>
        <v>0</v>
      </c>
      <c r="BA203" s="645">
        <f t="shared" si="264"/>
        <v>0</v>
      </c>
      <c r="BB203" s="645">
        <f t="shared" si="265"/>
        <v>0</v>
      </c>
      <c r="BC203" s="574"/>
      <c r="BD203" s="574"/>
      <c r="BE203" s="574"/>
      <c r="BF203" s="574"/>
      <c r="BG203" s="574"/>
      <c r="BH203" s="574"/>
      <c r="BI203" s="574"/>
      <c r="BJ203" s="574"/>
      <c r="BK203" s="574"/>
      <c r="BL203" s="574"/>
      <c r="BM203" s="574"/>
      <c r="BN203" s="574"/>
      <c r="BO203" s="645">
        <f t="shared" si="293"/>
        <v>0</v>
      </c>
      <c r="BP203" s="645">
        <f t="shared" si="294"/>
        <v>0</v>
      </c>
      <c r="BQ203" s="645">
        <f t="shared" si="295"/>
        <v>0</v>
      </c>
      <c r="BR203" s="645">
        <f t="shared" si="296"/>
        <v>0</v>
      </c>
      <c r="BS203" s="645">
        <f t="shared" si="297"/>
        <v>0</v>
      </c>
      <c r="BT203" s="569">
        <v>0.0</v>
      </c>
      <c r="BU203" s="569">
        <v>0.0</v>
      </c>
      <c r="BV203" s="569">
        <v>0.0</v>
      </c>
      <c r="BW203" s="574"/>
      <c r="BX203" s="574"/>
      <c r="BY203" s="574"/>
      <c r="BZ203" s="574"/>
      <c r="CA203" s="574"/>
      <c r="CB203" s="574"/>
      <c r="CC203" s="574"/>
      <c r="CD203" s="574"/>
      <c r="CE203" s="574"/>
      <c r="CF203" s="646">
        <f t="shared" si="298"/>
        <v>0</v>
      </c>
      <c r="CG203" s="646">
        <f t="shared" si="299"/>
        <v>0</v>
      </c>
      <c r="CH203" s="646">
        <f t="shared" si="300"/>
        <v>0</v>
      </c>
      <c r="CI203" s="646">
        <f t="shared" si="301"/>
        <v>0</v>
      </c>
      <c r="CJ203" s="646">
        <f t="shared" si="302"/>
        <v>0</v>
      </c>
      <c r="CK203" s="574"/>
      <c r="CL203" s="574"/>
      <c r="CM203" s="574"/>
      <c r="CN203" s="574"/>
      <c r="CO203" s="574"/>
      <c r="CP203" s="574"/>
      <c r="CQ203" s="574"/>
      <c r="CR203" s="574"/>
      <c r="CS203" s="574"/>
      <c r="CT203" s="574"/>
      <c r="CU203" s="574"/>
      <c r="CV203" s="574"/>
      <c r="CW203" s="646">
        <f t="shared" si="303"/>
        <v>0</v>
      </c>
      <c r="CX203" s="646">
        <f t="shared" si="304"/>
        <v>0</v>
      </c>
      <c r="CY203" s="646">
        <f t="shared" si="305"/>
        <v>0</v>
      </c>
      <c r="CZ203" s="646">
        <f t="shared" si="306"/>
        <v>0</v>
      </c>
      <c r="DA203" s="646">
        <f t="shared" si="307"/>
        <v>0</v>
      </c>
      <c r="DB203" s="574"/>
      <c r="DC203" s="574"/>
      <c r="DD203" s="574"/>
      <c r="DE203" s="574"/>
      <c r="DF203" s="574"/>
      <c r="DG203" s="574"/>
      <c r="DH203" s="574"/>
      <c r="DI203" s="574"/>
      <c r="DJ203" s="574"/>
      <c r="DK203" s="574"/>
      <c r="DL203" s="574"/>
      <c r="DM203" s="574"/>
      <c r="DN203" s="646">
        <f t="shared" si="308"/>
        <v>0</v>
      </c>
      <c r="DO203" s="646">
        <f t="shared" si="309"/>
        <v>0</v>
      </c>
      <c r="DP203" s="646">
        <f t="shared" si="310"/>
        <v>0</v>
      </c>
      <c r="DQ203" s="646">
        <f t="shared" si="311"/>
        <v>0</v>
      </c>
      <c r="DR203" s="646">
        <f t="shared" si="312"/>
        <v>0</v>
      </c>
      <c r="DS203" s="574"/>
      <c r="DT203" s="574"/>
      <c r="DU203" s="574"/>
      <c r="DV203" s="574"/>
      <c r="DW203" s="574"/>
      <c r="DX203" s="574"/>
      <c r="DY203" s="574"/>
      <c r="DZ203" s="574"/>
      <c r="EA203" s="574"/>
      <c r="EB203" s="574"/>
      <c r="EC203" s="574"/>
      <c r="ED203" s="574"/>
      <c r="EE203" s="646">
        <f t="shared" si="313"/>
        <v>0</v>
      </c>
      <c r="EF203" s="646">
        <f t="shared" si="314"/>
        <v>0</v>
      </c>
      <c r="EG203" s="646">
        <f t="shared" si="315"/>
        <v>0</v>
      </c>
      <c r="EH203" s="646">
        <f t="shared" si="316"/>
        <v>0</v>
      </c>
      <c r="EI203" s="646">
        <f t="shared" si="317"/>
        <v>0</v>
      </c>
      <c r="EJ203" s="574"/>
      <c r="EK203" s="574"/>
      <c r="EL203" s="574"/>
      <c r="EM203" s="574"/>
      <c r="EN203" s="574"/>
      <c r="EO203" s="574"/>
      <c r="EP203" s="574"/>
      <c r="EQ203" s="574"/>
      <c r="ER203" s="574"/>
      <c r="ES203" s="574"/>
      <c r="ET203" s="574"/>
      <c r="EU203" s="574"/>
    </row>
    <row r="204">
      <c r="A204" s="12"/>
      <c r="B204" s="12"/>
      <c r="C204" s="12"/>
      <c r="D204" s="574"/>
      <c r="E204" s="574"/>
      <c r="F204" s="574"/>
      <c r="G204" s="574"/>
      <c r="H204" s="574"/>
      <c r="I204" s="574"/>
      <c r="J204" s="574"/>
      <c r="K204" s="574"/>
      <c r="L204" s="574"/>
      <c r="M204" s="574"/>
      <c r="N204" s="574"/>
      <c r="O204" s="574"/>
      <c r="P204" s="574"/>
      <c r="Q204" s="574"/>
      <c r="R204" s="574"/>
      <c r="S204" s="574"/>
      <c r="T204" s="574"/>
      <c r="U204" s="574"/>
      <c r="V204" s="574"/>
      <c r="W204" s="574"/>
      <c r="X204" s="574"/>
      <c r="Y204" s="574"/>
      <c r="Z204" s="574"/>
      <c r="AA204" s="574"/>
      <c r="AB204" s="574"/>
      <c r="AC204" s="574"/>
      <c r="AD204" s="574"/>
      <c r="AE204" s="574"/>
      <c r="AF204" s="574"/>
      <c r="AG204" s="574"/>
      <c r="AH204" s="574"/>
      <c r="AI204" s="574"/>
      <c r="AJ204" s="574"/>
      <c r="AK204" s="574"/>
      <c r="AL204" s="574"/>
      <c r="AM204" s="574"/>
      <c r="AN204" s="574"/>
      <c r="AO204" s="574"/>
      <c r="AP204" s="574"/>
      <c r="AQ204" s="574"/>
      <c r="AR204" s="574"/>
      <c r="AS204" s="574"/>
      <c r="AT204" s="574"/>
      <c r="AU204" s="574"/>
      <c r="AV204" s="574"/>
      <c r="AW204" s="574"/>
      <c r="AX204" s="574"/>
      <c r="AY204" s="574"/>
      <c r="AZ204" s="574"/>
      <c r="BA204" s="574"/>
      <c r="BB204" s="574"/>
      <c r="BC204" s="574"/>
      <c r="BD204" s="574"/>
      <c r="BE204" s="574"/>
      <c r="BF204" s="574"/>
      <c r="BG204" s="574"/>
      <c r="BH204" s="574"/>
      <c r="BI204" s="574"/>
      <c r="BJ204" s="574"/>
      <c r="BK204" s="574"/>
      <c r="BL204" s="574"/>
      <c r="BM204" s="574"/>
      <c r="BN204" s="574"/>
      <c r="BO204" s="645">
        <f t="shared" si="293"/>
        <v>0</v>
      </c>
      <c r="BP204" s="645">
        <f t="shared" si="294"/>
        <v>0</v>
      </c>
      <c r="BQ204" s="645">
        <f t="shared" si="295"/>
        <v>0</v>
      </c>
      <c r="BR204" s="645">
        <f t="shared" si="296"/>
        <v>0</v>
      </c>
      <c r="BS204" s="645">
        <f t="shared" si="297"/>
        <v>0</v>
      </c>
      <c r="BT204" s="574"/>
      <c r="BU204" s="574"/>
      <c r="BV204" s="574"/>
      <c r="BW204" s="574"/>
      <c r="BX204" s="574"/>
      <c r="BY204" s="574"/>
      <c r="BZ204" s="574"/>
      <c r="CA204" s="574"/>
      <c r="CB204" s="574"/>
      <c r="CC204" s="574"/>
      <c r="CD204" s="574"/>
      <c r="CE204" s="574"/>
      <c r="CF204" s="646">
        <f t="shared" si="298"/>
        <v>0</v>
      </c>
      <c r="CG204" s="646">
        <f t="shared" si="299"/>
        <v>0</v>
      </c>
      <c r="CH204" s="646">
        <f t="shared" si="300"/>
        <v>0</v>
      </c>
      <c r="CI204" s="646">
        <f t="shared" si="301"/>
        <v>0</v>
      </c>
      <c r="CJ204" s="646">
        <f t="shared" si="302"/>
        <v>0</v>
      </c>
      <c r="CK204" s="574"/>
      <c r="CL204" s="574"/>
      <c r="CM204" s="574"/>
      <c r="CN204" s="574"/>
      <c r="CO204" s="574"/>
      <c r="CP204" s="574"/>
      <c r="CQ204" s="574"/>
      <c r="CR204" s="574"/>
      <c r="CS204" s="574"/>
      <c r="CT204" s="574"/>
      <c r="CU204" s="574"/>
      <c r="CV204" s="574"/>
      <c r="CW204" s="646">
        <f t="shared" si="303"/>
        <v>0</v>
      </c>
      <c r="CX204" s="646">
        <f t="shared" si="304"/>
        <v>0</v>
      </c>
      <c r="CY204" s="646">
        <f t="shared" si="305"/>
        <v>0</v>
      </c>
      <c r="CZ204" s="646">
        <f t="shared" si="306"/>
        <v>0</v>
      </c>
      <c r="DA204" s="646">
        <f t="shared" si="307"/>
        <v>0</v>
      </c>
      <c r="DB204" s="574"/>
      <c r="DC204" s="574"/>
      <c r="DD204" s="574"/>
      <c r="DE204" s="574"/>
      <c r="DF204" s="574"/>
      <c r="DG204" s="574"/>
      <c r="DH204" s="574"/>
      <c r="DI204" s="574"/>
      <c r="DJ204" s="574"/>
      <c r="DK204" s="574"/>
      <c r="DL204" s="574"/>
      <c r="DM204" s="574"/>
      <c r="DN204" s="646">
        <f t="shared" si="308"/>
        <v>0</v>
      </c>
      <c r="DO204" s="646">
        <f t="shared" si="309"/>
        <v>0</v>
      </c>
      <c r="DP204" s="646">
        <f t="shared" si="310"/>
        <v>0</v>
      </c>
      <c r="DQ204" s="646">
        <f t="shared" si="311"/>
        <v>0</v>
      </c>
      <c r="DR204" s="646">
        <f t="shared" si="312"/>
        <v>0</v>
      </c>
      <c r="DS204" s="574"/>
      <c r="DT204" s="574"/>
      <c r="DU204" s="574"/>
      <c r="DV204" s="574"/>
      <c r="DW204" s="574"/>
      <c r="DX204" s="574"/>
      <c r="DY204" s="574"/>
      <c r="DZ204" s="574"/>
      <c r="EA204" s="574"/>
      <c r="EB204" s="574"/>
      <c r="EC204" s="574"/>
      <c r="ED204" s="574"/>
      <c r="EE204" s="646">
        <f t="shared" si="313"/>
        <v>0</v>
      </c>
      <c r="EF204" s="646">
        <f t="shared" si="314"/>
        <v>0</v>
      </c>
      <c r="EG204" s="646">
        <f t="shared" si="315"/>
        <v>0</v>
      </c>
      <c r="EH204" s="646">
        <f t="shared" si="316"/>
        <v>0</v>
      </c>
      <c r="EI204" s="646">
        <f t="shared" si="317"/>
        <v>0</v>
      </c>
      <c r="EJ204" s="574"/>
      <c r="EK204" s="574"/>
      <c r="EL204" s="574"/>
      <c r="EM204" s="574"/>
      <c r="EN204" s="574"/>
      <c r="EO204" s="574"/>
      <c r="EP204" s="574"/>
      <c r="EQ204" s="574"/>
      <c r="ER204" s="574"/>
      <c r="ES204" s="574"/>
      <c r="ET204" s="574"/>
      <c r="EU204" s="574"/>
    </row>
    <row r="205">
      <c r="A205" s="12"/>
      <c r="B205" s="12" t="s">
        <v>302</v>
      </c>
      <c r="C205" s="12" t="s">
        <v>209</v>
      </c>
      <c r="D205" s="574"/>
      <c r="E205" s="574"/>
      <c r="F205" s="574"/>
      <c r="G205" s="574"/>
      <c r="H205" s="574"/>
      <c r="I205" s="574"/>
      <c r="J205" s="574"/>
      <c r="K205" s="574"/>
      <c r="L205" s="574"/>
      <c r="M205" s="574"/>
      <c r="N205" s="574"/>
      <c r="O205" s="574"/>
      <c r="P205" s="574"/>
      <c r="Q205" s="574"/>
      <c r="R205" s="574"/>
      <c r="S205" s="574"/>
      <c r="T205" s="574"/>
      <c r="U205" s="574"/>
      <c r="V205" s="574"/>
      <c r="W205" s="574"/>
      <c r="X205" s="574"/>
      <c r="Y205" s="574"/>
      <c r="Z205" s="574"/>
      <c r="AA205" s="574"/>
      <c r="AB205" s="574"/>
      <c r="AC205" s="574"/>
      <c r="AD205" s="574"/>
      <c r="AE205" s="574"/>
      <c r="AF205" s="569">
        <f>9043233-7111007.2</f>
        <v>1932225.8</v>
      </c>
      <c r="AG205" s="645">
        <f>SUM(U205:W205)</f>
        <v>0</v>
      </c>
      <c r="AH205" s="645">
        <f>SUM(X205:Z205)</f>
        <v>0</v>
      </c>
      <c r="AI205" s="645">
        <f>SUM(AA205:AC205)</f>
        <v>0</v>
      </c>
      <c r="AJ205" s="645">
        <f>SUM(AD205:AF205)</f>
        <v>1932225.8</v>
      </c>
      <c r="AK205" s="645">
        <f>SUM(AG205:AJ205)</f>
        <v>1932225.8</v>
      </c>
      <c r="AL205" s="574"/>
      <c r="AM205" s="574"/>
      <c r="AN205" s="574"/>
      <c r="AO205" s="574"/>
      <c r="AP205" s="574"/>
      <c r="AQ205" s="574"/>
      <c r="AR205" s="574"/>
      <c r="AS205" s="574"/>
      <c r="AT205" s="574"/>
      <c r="AU205" s="574"/>
      <c r="AV205" s="574"/>
      <c r="AW205" s="569">
        <f>16926763-14243937</f>
        <v>2682826</v>
      </c>
      <c r="AX205" s="645">
        <f>SUM(AL205:AN205)</f>
        <v>0</v>
      </c>
      <c r="AY205" s="645">
        <f>SUM(AO205:AQ205)</f>
        <v>0</v>
      </c>
      <c r="AZ205" s="645">
        <f>SUM(AR205:AT205)</f>
        <v>0</v>
      </c>
      <c r="BA205" s="645">
        <f>SUM(AU205:AW205)</f>
        <v>2682826</v>
      </c>
      <c r="BB205" s="645">
        <f>SUM(AX205:BA205)</f>
        <v>2682826</v>
      </c>
      <c r="BC205" s="574"/>
      <c r="BD205" s="574"/>
      <c r="BE205" s="574"/>
      <c r="BF205" s="574"/>
      <c r="BG205" s="574"/>
      <c r="BH205" s="574"/>
      <c r="BI205" s="574"/>
      <c r="BJ205" s="574"/>
      <c r="BK205" s="574"/>
      <c r="BL205" s="574"/>
      <c r="BM205" s="574"/>
      <c r="BN205" s="569">
        <f>22576054-24590973</f>
        <v>-2014919</v>
      </c>
      <c r="BO205" s="645">
        <f t="shared" si="293"/>
        <v>0</v>
      </c>
      <c r="BP205" s="645">
        <f t="shared" si="294"/>
        <v>0</v>
      </c>
      <c r="BQ205" s="645">
        <f t="shared" si="295"/>
        <v>0</v>
      </c>
      <c r="BR205" s="645">
        <f t="shared" si="296"/>
        <v>-2014919</v>
      </c>
      <c r="BS205" s="645">
        <f t="shared" si="297"/>
        <v>-2014919</v>
      </c>
      <c r="BT205" s="574"/>
      <c r="BU205" s="574"/>
      <c r="BV205" s="574"/>
      <c r="BW205" s="574"/>
      <c r="BX205" s="574"/>
      <c r="BY205" s="574"/>
      <c r="BZ205" s="574"/>
      <c r="CA205" s="574"/>
      <c r="CB205" s="574"/>
      <c r="CC205" s="574"/>
      <c r="CD205" s="574"/>
      <c r="CE205" s="569">
        <f>22531686-12927287</f>
        <v>9604399</v>
      </c>
      <c r="CF205" s="646">
        <f t="shared" si="298"/>
        <v>0</v>
      </c>
      <c r="CG205" s="646">
        <f t="shared" si="299"/>
        <v>0</v>
      </c>
      <c r="CH205" s="646">
        <f t="shared" si="300"/>
        <v>0</v>
      </c>
      <c r="CI205" s="646">
        <f t="shared" si="301"/>
        <v>9604399</v>
      </c>
      <c r="CJ205" s="646">
        <f t="shared" si="302"/>
        <v>9604399</v>
      </c>
      <c r="CK205" s="574"/>
      <c r="CL205" s="574"/>
      <c r="CM205" s="574"/>
      <c r="CN205" s="574"/>
      <c r="CO205" s="574"/>
      <c r="CP205" s="574"/>
      <c r="CQ205" s="574"/>
      <c r="CR205" s="574"/>
      <c r="CS205" s="574"/>
      <c r="CT205" s="574"/>
      <c r="CU205" s="574"/>
      <c r="CV205" s="574"/>
      <c r="CW205" s="646">
        <f t="shared" si="303"/>
        <v>0</v>
      </c>
      <c r="CX205" s="646">
        <f t="shared" si="304"/>
        <v>0</v>
      </c>
      <c r="CY205" s="646">
        <f t="shared" si="305"/>
        <v>0</v>
      </c>
      <c r="CZ205" s="646">
        <f t="shared" si="306"/>
        <v>0</v>
      </c>
      <c r="DA205" s="646">
        <f t="shared" si="307"/>
        <v>0</v>
      </c>
      <c r="DB205" s="574"/>
      <c r="DC205" s="574"/>
      <c r="DD205" s="574"/>
      <c r="DE205" s="574"/>
      <c r="DF205" s="574"/>
      <c r="DG205" s="574"/>
      <c r="DH205" s="574"/>
      <c r="DI205" s="574"/>
      <c r="DJ205" s="574"/>
      <c r="DK205" s="574"/>
      <c r="DL205" s="574"/>
      <c r="DM205" s="574"/>
      <c r="DN205" s="646">
        <f t="shared" si="308"/>
        <v>0</v>
      </c>
      <c r="DO205" s="646">
        <f t="shared" si="309"/>
        <v>0</v>
      </c>
      <c r="DP205" s="646">
        <f t="shared" si="310"/>
        <v>0</v>
      </c>
      <c r="DQ205" s="646">
        <f t="shared" si="311"/>
        <v>0</v>
      </c>
      <c r="DR205" s="646">
        <f t="shared" si="312"/>
        <v>0</v>
      </c>
      <c r="DS205" s="574"/>
      <c r="DT205" s="574"/>
      <c r="DU205" s="574"/>
      <c r="DV205" s="574"/>
      <c r="DW205" s="574"/>
      <c r="DX205" s="574"/>
      <c r="DY205" s="574"/>
      <c r="DZ205" s="574"/>
      <c r="EA205" s="574"/>
      <c r="EB205" s="574"/>
      <c r="EC205" s="574"/>
      <c r="ED205" s="574"/>
      <c r="EE205" s="646">
        <f t="shared" si="313"/>
        <v>0</v>
      </c>
      <c r="EF205" s="646">
        <f t="shared" si="314"/>
        <v>0</v>
      </c>
      <c r="EG205" s="646">
        <f t="shared" si="315"/>
        <v>0</v>
      </c>
      <c r="EH205" s="646">
        <f t="shared" si="316"/>
        <v>0</v>
      </c>
      <c r="EI205" s="646">
        <f t="shared" si="317"/>
        <v>0</v>
      </c>
      <c r="EJ205" s="574"/>
      <c r="EK205" s="574"/>
      <c r="EL205" s="574"/>
      <c r="EM205" s="574"/>
      <c r="EN205" s="574"/>
      <c r="EO205" s="574"/>
      <c r="EP205" s="574"/>
      <c r="EQ205" s="574"/>
      <c r="ER205" s="574"/>
      <c r="ES205" s="574"/>
      <c r="ET205" s="574"/>
      <c r="EU205" s="574"/>
    </row>
    <row r="206">
      <c r="A206" s="552"/>
      <c r="B206" s="552"/>
      <c r="C206" s="552"/>
      <c r="D206" s="574"/>
      <c r="E206" s="574"/>
      <c r="F206" s="574"/>
      <c r="G206" s="574"/>
      <c r="H206" s="574"/>
      <c r="I206" s="574"/>
      <c r="J206" s="574"/>
      <c r="K206" s="574"/>
      <c r="L206" s="574"/>
      <c r="M206" s="574"/>
      <c r="N206" s="574"/>
      <c r="O206" s="574"/>
      <c r="P206" s="574"/>
      <c r="Q206" s="574"/>
      <c r="R206" s="574"/>
      <c r="S206" s="574"/>
      <c r="T206" s="574"/>
      <c r="U206" s="574"/>
      <c r="V206" s="574"/>
      <c r="W206" s="574"/>
      <c r="X206" s="574"/>
      <c r="Y206" s="574"/>
      <c r="Z206" s="574"/>
      <c r="AA206" s="574"/>
      <c r="AB206" s="574"/>
      <c r="AC206" s="574"/>
      <c r="AD206" s="574"/>
      <c r="AE206" s="574"/>
      <c r="AF206" s="574"/>
      <c r="AG206" s="574"/>
      <c r="AH206" s="574"/>
      <c r="AI206" s="574"/>
      <c r="AJ206" s="574"/>
      <c r="AK206" s="574"/>
      <c r="AL206" s="574"/>
      <c r="AM206" s="574"/>
      <c r="AN206" s="574"/>
      <c r="AO206" s="574"/>
      <c r="AP206" s="574"/>
      <c r="AQ206" s="574"/>
      <c r="AR206" s="574"/>
      <c r="AS206" s="574"/>
      <c r="AT206" s="574"/>
      <c r="AU206" s="574"/>
      <c r="AV206" s="574"/>
      <c r="AW206" s="574"/>
      <c r="AX206" s="574"/>
      <c r="AY206" s="574"/>
      <c r="AZ206" s="574"/>
      <c r="BA206" s="574"/>
      <c r="BB206" s="574"/>
      <c r="BC206" s="574"/>
      <c r="BD206" s="574"/>
      <c r="BE206" s="574"/>
      <c r="BF206" s="574"/>
      <c r="BG206" s="574"/>
      <c r="BH206" s="574"/>
      <c r="BI206" s="574"/>
      <c r="BJ206" s="574"/>
      <c r="BK206" s="574"/>
      <c r="BL206" s="574"/>
      <c r="BM206" s="574"/>
      <c r="BN206" s="574"/>
      <c r="BO206" s="645">
        <f t="shared" si="293"/>
        <v>0</v>
      </c>
      <c r="BP206" s="645">
        <f t="shared" si="294"/>
        <v>0</v>
      </c>
      <c r="BQ206" s="645">
        <f t="shared" si="295"/>
        <v>0</v>
      </c>
      <c r="BR206" s="645">
        <f t="shared" si="296"/>
        <v>0</v>
      </c>
      <c r="BS206" s="645">
        <f t="shared" si="297"/>
        <v>0</v>
      </c>
      <c r="BT206" s="574"/>
      <c r="BU206" s="574"/>
      <c r="BV206" s="574"/>
      <c r="BW206" s="574"/>
      <c r="BX206" s="574"/>
      <c r="BY206" s="574"/>
      <c r="BZ206" s="574"/>
      <c r="CA206" s="574"/>
      <c r="CB206" s="574"/>
      <c r="CC206" s="574"/>
      <c r="CD206" s="574"/>
      <c r="CE206" s="574"/>
      <c r="CF206" s="646">
        <f t="shared" si="298"/>
        <v>0</v>
      </c>
      <c r="CG206" s="646">
        <f t="shared" si="299"/>
        <v>0</v>
      </c>
      <c r="CH206" s="646">
        <f t="shared" si="300"/>
        <v>0</v>
      </c>
      <c r="CI206" s="646">
        <f t="shared" si="301"/>
        <v>0</v>
      </c>
      <c r="CJ206" s="646">
        <f t="shared" si="302"/>
        <v>0</v>
      </c>
      <c r="CK206" s="574"/>
      <c r="CL206" s="574"/>
      <c r="CM206" s="574"/>
      <c r="CN206" s="574"/>
      <c r="CO206" s="574"/>
      <c r="CP206" s="574"/>
      <c r="CQ206" s="574"/>
      <c r="CR206" s="574"/>
      <c r="CS206" s="574"/>
      <c r="CT206" s="574"/>
      <c r="CU206" s="574"/>
      <c r="CV206" s="574"/>
      <c r="CW206" s="646">
        <f t="shared" si="303"/>
        <v>0</v>
      </c>
      <c r="CX206" s="646">
        <f t="shared" si="304"/>
        <v>0</v>
      </c>
      <c r="CY206" s="646">
        <f t="shared" si="305"/>
        <v>0</v>
      </c>
      <c r="CZ206" s="646">
        <f t="shared" si="306"/>
        <v>0</v>
      </c>
      <c r="DA206" s="646">
        <f t="shared" si="307"/>
        <v>0</v>
      </c>
      <c r="DB206" s="574"/>
      <c r="DC206" s="574"/>
      <c r="DD206" s="574"/>
      <c r="DE206" s="574"/>
      <c r="DF206" s="574"/>
      <c r="DG206" s="574"/>
      <c r="DH206" s="574"/>
      <c r="DI206" s="574"/>
      <c r="DJ206" s="574"/>
      <c r="DK206" s="574"/>
      <c r="DL206" s="574"/>
      <c r="DM206" s="574"/>
      <c r="DN206" s="646">
        <f t="shared" si="308"/>
        <v>0</v>
      </c>
      <c r="DO206" s="646">
        <f t="shared" si="309"/>
        <v>0</v>
      </c>
      <c r="DP206" s="646">
        <f t="shared" si="310"/>
        <v>0</v>
      </c>
      <c r="DQ206" s="646">
        <f t="shared" si="311"/>
        <v>0</v>
      </c>
      <c r="DR206" s="646">
        <f t="shared" si="312"/>
        <v>0</v>
      </c>
      <c r="DS206" s="574"/>
      <c r="DT206" s="574"/>
      <c r="DU206" s="574"/>
      <c r="DV206" s="574"/>
      <c r="DW206" s="574"/>
      <c r="DX206" s="574"/>
      <c r="DY206" s="574"/>
      <c r="DZ206" s="574"/>
      <c r="EA206" s="574"/>
      <c r="EB206" s="574"/>
      <c r="EC206" s="574"/>
      <c r="ED206" s="574"/>
      <c r="EE206" s="646">
        <f t="shared" si="313"/>
        <v>0</v>
      </c>
      <c r="EF206" s="646">
        <f t="shared" si="314"/>
        <v>0</v>
      </c>
      <c r="EG206" s="646">
        <f t="shared" si="315"/>
        <v>0</v>
      </c>
      <c r="EH206" s="646">
        <f t="shared" si="316"/>
        <v>0</v>
      </c>
      <c r="EI206" s="646">
        <f t="shared" si="317"/>
        <v>0</v>
      </c>
      <c r="EJ206" s="574"/>
      <c r="EK206" s="574"/>
      <c r="EL206" s="574"/>
      <c r="EM206" s="574"/>
      <c r="EN206" s="574"/>
      <c r="EO206" s="574"/>
      <c r="EP206" s="574"/>
      <c r="EQ206" s="574"/>
      <c r="ER206" s="574"/>
      <c r="ES206" s="574"/>
      <c r="ET206" s="574"/>
      <c r="EU206" s="574"/>
    </row>
    <row r="207">
      <c r="A207" s="659"/>
      <c r="B207" s="659" t="s">
        <v>303</v>
      </c>
      <c r="C207" s="659"/>
      <c r="D207" s="660">
        <f t="shared" ref="D207:AJ207" si="318">SUM(D125:D203)</f>
        <v>0</v>
      </c>
      <c r="E207" s="660">
        <f t="shared" si="318"/>
        <v>0</v>
      </c>
      <c r="F207" s="660">
        <f t="shared" si="318"/>
        <v>0</v>
      </c>
      <c r="G207" s="660">
        <f t="shared" si="318"/>
        <v>0</v>
      </c>
      <c r="H207" s="660">
        <f t="shared" si="318"/>
        <v>0</v>
      </c>
      <c r="I207" s="660">
        <f t="shared" si="318"/>
        <v>0</v>
      </c>
      <c r="J207" s="660">
        <f t="shared" si="318"/>
        <v>0</v>
      </c>
      <c r="K207" s="660">
        <f t="shared" si="318"/>
        <v>0</v>
      </c>
      <c r="L207" s="660">
        <f t="shared" si="318"/>
        <v>0</v>
      </c>
      <c r="M207" s="660">
        <f t="shared" si="318"/>
        <v>0</v>
      </c>
      <c r="N207" s="660">
        <f t="shared" si="318"/>
        <v>0</v>
      </c>
      <c r="O207" s="660">
        <f t="shared" si="318"/>
        <v>577278</v>
      </c>
      <c r="P207" s="660">
        <f t="shared" si="318"/>
        <v>0</v>
      </c>
      <c r="Q207" s="660">
        <f t="shared" si="318"/>
        <v>0</v>
      </c>
      <c r="R207" s="660">
        <f t="shared" si="318"/>
        <v>0</v>
      </c>
      <c r="S207" s="660">
        <f t="shared" si="318"/>
        <v>577278</v>
      </c>
      <c r="T207" s="660">
        <f t="shared" si="318"/>
        <v>577278</v>
      </c>
      <c r="U207" s="660">
        <f t="shared" si="318"/>
        <v>293599.4142</v>
      </c>
      <c r="V207" s="660">
        <f t="shared" si="318"/>
        <v>371933.6587</v>
      </c>
      <c r="W207" s="660">
        <f t="shared" si="318"/>
        <v>519616.2566</v>
      </c>
      <c r="X207" s="660">
        <f t="shared" si="318"/>
        <v>480125.0563</v>
      </c>
      <c r="Y207" s="660">
        <f t="shared" si="318"/>
        <v>446855.5729</v>
      </c>
      <c r="Z207" s="660">
        <f t="shared" si="318"/>
        <v>422095.7987</v>
      </c>
      <c r="AA207" s="660">
        <f t="shared" si="318"/>
        <v>618803.3163</v>
      </c>
      <c r="AB207" s="660">
        <f t="shared" si="318"/>
        <v>877246.4323</v>
      </c>
      <c r="AC207" s="660">
        <f t="shared" si="318"/>
        <v>833926.1856</v>
      </c>
      <c r="AD207" s="660">
        <f t="shared" si="318"/>
        <v>924574.2036</v>
      </c>
      <c r="AE207" s="660">
        <f t="shared" si="318"/>
        <v>587573.129</v>
      </c>
      <c r="AF207" s="660">
        <f t="shared" si="318"/>
        <v>734658.2081</v>
      </c>
      <c r="AG207" s="660">
        <f t="shared" si="318"/>
        <v>1185149.329</v>
      </c>
      <c r="AH207" s="660">
        <f t="shared" si="318"/>
        <v>1349076.428</v>
      </c>
      <c r="AI207" s="660">
        <f t="shared" si="318"/>
        <v>2329975.934</v>
      </c>
      <c r="AJ207" s="660">
        <f t="shared" si="318"/>
        <v>2246805.541</v>
      </c>
      <c r="AK207" s="661">
        <f>SUM(AK125:AK205)</f>
        <v>9043233.032</v>
      </c>
      <c r="AL207" s="660">
        <f t="shared" ref="AL207:BA207" si="319">SUM(AL125:AL203)</f>
        <v>1358367.678</v>
      </c>
      <c r="AM207" s="660">
        <f t="shared" si="319"/>
        <v>1194412.944</v>
      </c>
      <c r="AN207" s="660">
        <f t="shared" si="319"/>
        <v>1345041.189</v>
      </c>
      <c r="AO207" s="660">
        <f t="shared" si="319"/>
        <v>1139387.222</v>
      </c>
      <c r="AP207" s="660">
        <f t="shared" si="319"/>
        <v>788012.104</v>
      </c>
      <c r="AQ207" s="660">
        <f t="shared" si="319"/>
        <v>925215.2235</v>
      </c>
      <c r="AR207" s="660">
        <f t="shared" si="319"/>
        <v>1032991.457</v>
      </c>
      <c r="AS207" s="660">
        <f t="shared" si="319"/>
        <v>1091466.673</v>
      </c>
      <c r="AT207" s="660">
        <f t="shared" si="319"/>
        <v>1455251.902</v>
      </c>
      <c r="AU207" s="660">
        <f t="shared" si="319"/>
        <v>1658416.67</v>
      </c>
      <c r="AV207" s="660">
        <f t="shared" si="319"/>
        <v>1198863.001</v>
      </c>
      <c r="AW207" s="660">
        <f t="shared" si="319"/>
        <v>1056511.799</v>
      </c>
      <c r="AX207" s="660">
        <f t="shared" si="319"/>
        <v>3897821.811</v>
      </c>
      <c r="AY207" s="660">
        <f t="shared" si="319"/>
        <v>2852614.549</v>
      </c>
      <c r="AZ207" s="660">
        <f t="shared" si="319"/>
        <v>3579710.032</v>
      </c>
      <c r="BA207" s="660">
        <f t="shared" si="319"/>
        <v>3913791.471</v>
      </c>
      <c r="BB207" s="661">
        <f>SUM(BB125:BB205)</f>
        <v>16926763.86</v>
      </c>
      <c r="BC207" s="660">
        <f t="shared" ref="BC207:BR207" si="320">SUM(BC125:BC203)</f>
        <v>2640643.108</v>
      </c>
      <c r="BD207" s="660">
        <f t="shared" si="320"/>
        <v>2413072.91</v>
      </c>
      <c r="BE207" s="660">
        <f t="shared" si="320"/>
        <v>2899141.13</v>
      </c>
      <c r="BF207" s="660">
        <f t="shared" si="320"/>
        <v>2156534.45</v>
      </c>
      <c r="BG207" s="660">
        <f t="shared" si="320"/>
        <v>2057255.04</v>
      </c>
      <c r="BH207" s="660">
        <f t="shared" si="320"/>
        <v>1617262.52</v>
      </c>
      <c r="BI207" s="660">
        <f t="shared" si="320"/>
        <v>1855520.968</v>
      </c>
      <c r="BJ207" s="660">
        <f t="shared" si="320"/>
        <v>2396117.25</v>
      </c>
      <c r="BK207" s="660">
        <f t="shared" si="320"/>
        <v>2557419.11</v>
      </c>
      <c r="BL207" s="660">
        <f t="shared" si="320"/>
        <v>1688191.5</v>
      </c>
      <c r="BM207" s="660">
        <f t="shared" si="320"/>
        <v>1229455.32</v>
      </c>
      <c r="BN207" s="660">
        <f t="shared" si="320"/>
        <v>1080359.71</v>
      </c>
      <c r="BO207" s="660">
        <f t="shared" si="320"/>
        <v>7952857.148</v>
      </c>
      <c r="BP207" s="660">
        <f t="shared" si="320"/>
        <v>5831052.01</v>
      </c>
      <c r="BQ207" s="660">
        <f t="shared" si="320"/>
        <v>6809057.328</v>
      </c>
      <c r="BR207" s="660">
        <f t="shared" si="320"/>
        <v>3998006.53</v>
      </c>
      <c r="BS207" s="661">
        <f>SUM(BS125:BS205)</f>
        <v>22576054.02</v>
      </c>
      <c r="BT207" s="660">
        <f t="shared" ref="BT207:CI207" si="321">SUM(BT125:BT203)</f>
        <v>1060806.076</v>
      </c>
      <c r="BU207" s="660">
        <f t="shared" si="321"/>
        <v>1179343.638</v>
      </c>
      <c r="BV207" s="660">
        <f t="shared" si="321"/>
        <v>1146522.047</v>
      </c>
      <c r="BW207" s="660">
        <f t="shared" si="321"/>
        <v>1385548.067</v>
      </c>
      <c r="BX207" s="660">
        <f t="shared" si="321"/>
        <v>1157200.973</v>
      </c>
      <c r="BY207" s="660">
        <f t="shared" si="321"/>
        <v>1048588.204</v>
      </c>
      <c r="BZ207" s="660">
        <f t="shared" si="321"/>
        <v>1188299.297</v>
      </c>
      <c r="CA207" s="660">
        <f t="shared" si="321"/>
        <v>1354664.429</v>
      </c>
      <c r="CB207" s="660">
        <f t="shared" si="321"/>
        <v>1636782.546</v>
      </c>
      <c r="CC207" s="660">
        <f t="shared" si="321"/>
        <v>920443.595</v>
      </c>
      <c r="CD207" s="660">
        <f t="shared" si="321"/>
        <v>551838.871</v>
      </c>
      <c r="CE207" s="660">
        <f t="shared" si="321"/>
        <v>315249.647</v>
      </c>
      <c r="CF207" s="661">
        <f t="shared" si="321"/>
        <v>3386671.761</v>
      </c>
      <c r="CG207" s="661">
        <f t="shared" si="321"/>
        <v>3591337.244</v>
      </c>
      <c r="CH207" s="661">
        <f t="shared" si="321"/>
        <v>4161746.272</v>
      </c>
      <c r="CI207" s="661">
        <f t="shared" si="321"/>
        <v>1787532.113</v>
      </c>
      <c r="CJ207" s="661">
        <f>SUM(CJ125:CJ205)</f>
        <v>22531686.39</v>
      </c>
      <c r="CK207" s="660">
        <f t="shared" ref="CK207:EI207" si="322">SUM(CK125:CK203)</f>
        <v>0</v>
      </c>
      <c r="CL207" s="660">
        <f t="shared" si="322"/>
        <v>0</v>
      </c>
      <c r="CM207" s="660">
        <f t="shared" si="322"/>
        <v>0</v>
      </c>
      <c r="CN207" s="660">
        <f t="shared" si="322"/>
        <v>0</v>
      </c>
      <c r="CO207" s="660">
        <f t="shared" si="322"/>
        <v>0</v>
      </c>
      <c r="CP207" s="660">
        <f t="shared" si="322"/>
        <v>0</v>
      </c>
      <c r="CQ207" s="660">
        <f t="shared" si="322"/>
        <v>0</v>
      </c>
      <c r="CR207" s="660">
        <f t="shared" si="322"/>
        <v>0</v>
      </c>
      <c r="CS207" s="660">
        <f t="shared" si="322"/>
        <v>0</v>
      </c>
      <c r="CT207" s="660">
        <f t="shared" si="322"/>
        <v>0</v>
      </c>
      <c r="CU207" s="660">
        <f t="shared" si="322"/>
        <v>0</v>
      </c>
      <c r="CV207" s="660">
        <f t="shared" si="322"/>
        <v>0</v>
      </c>
      <c r="CW207" s="661">
        <f t="shared" si="322"/>
        <v>0</v>
      </c>
      <c r="CX207" s="661">
        <f t="shared" si="322"/>
        <v>0</v>
      </c>
      <c r="CY207" s="661">
        <f t="shared" si="322"/>
        <v>0</v>
      </c>
      <c r="CZ207" s="661">
        <f t="shared" si="322"/>
        <v>0</v>
      </c>
      <c r="DA207" s="661">
        <f t="shared" si="322"/>
        <v>0</v>
      </c>
      <c r="DB207" s="660">
        <f t="shared" si="322"/>
        <v>0</v>
      </c>
      <c r="DC207" s="660">
        <f t="shared" si="322"/>
        <v>0</v>
      </c>
      <c r="DD207" s="660">
        <f t="shared" si="322"/>
        <v>0</v>
      </c>
      <c r="DE207" s="660">
        <f t="shared" si="322"/>
        <v>0</v>
      </c>
      <c r="DF207" s="660">
        <f t="shared" si="322"/>
        <v>0</v>
      </c>
      <c r="DG207" s="660">
        <f t="shared" si="322"/>
        <v>0</v>
      </c>
      <c r="DH207" s="660">
        <f t="shared" si="322"/>
        <v>0</v>
      </c>
      <c r="DI207" s="660">
        <f t="shared" si="322"/>
        <v>0</v>
      </c>
      <c r="DJ207" s="660">
        <f t="shared" si="322"/>
        <v>0</v>
      </c>
      <c r="DK207" s="660">
        <f t="shared" si="322"/>
        <v>0</v>
      </c>
      <c r="DL207" s="660">
        <f t="shared" si="322"/>
        <v>0</v>
      </c>
      <c r="DM207" s="660">
        <f t="shared" si="322"/>
        <v>0</v>
      </c>
      <c r="DN207" s="661">
        <f t="shared" si="322"/>
        <v>0</v>
      </c>
      <c r="DO207" s="661">
        <f t="shared" si="322"/>
        <v>0</v>
      </c>
      <c r="DP207" s="661">
        <f t="shared" si="322"/>
        <v>0</v>
      </c>
      <c r="DQ207" s="661">
        <f t="shared" si="322"/>
        <v>0</v>
      </c>
      <c r="DR207" s="661">
        <f t="shared" si="322"/>
        <v>0</v>
      </c>
      <c r="DS207" s="660">
        <f t="shared" si="322"/>
        <v>0</v>
      </c>
      <c r="DT207" s="660">
        <f t="shared" si="322"/>
        <v>0</v>
      </c>
      <c r="DU207" s="660">
        <f t="shared" si="322"/>
        <v>0</v>
      </c>
      <c r="DV207" s="660">
        <f t="shared" si="322"/>
        <v>0</v>
      </c>
      <c r="DW207" s="660">
        <f t="shared" si="322"/>
        <v>0</v>
      </c>
      <c r="DX207" s="660">
        <f t="shared" si="322"/>
        <v>0</v>
      </c>
      <c r="DY207" s="660">
        <f t="shared" si="322"/>
        <v>0</v>
      </c>
      <c r="DZ207" s="660">
        <f t="shared" si="322"/>
        <v>0</v>
      </c>
      <c r="EA207" s="660">
        <f t="shared" si="322"/>
        <v>0</v>
      </c>
      <c r="EB207" s="660">
        <f t="shared" si="322"/>
        <v>0</v>
      </c>
      <c r="EC207" s="660">
        <f t="shared" si="322"/>
        <v>0</v>
      </c>
      <c r="ED207" s="660">
        <f t="shared" si="322"/>
        <v>0</v>
      </c>
      <c r="EE207" s="661">
        <f t="shared" si="322"/>
        <v>0</v>
      </c>
      <c r="EF207" s="661">
        <f t="shared" si="322"/>
        <v>0</v>
      </c>
      <c r="EG207" s="661">
        <f t="shared" si="322"/>
        <v>0</v>
      </c>
      <c r="EH207" s="661">
        <f t="shared" si="322"/>
        <v>0</v>
      </c>
      <c r="EI207" s="661">
        <f t="shared" si="322"/>
        <v>0</v>
      </c>
      <c r="EJ207" s="662"/>
      <c r="EK207" s="662"/>
      <c r="EL207" s="662"/>
      <c r="EM207" s="662"/>
      <c r="EN207" s="662"/>
      <c r="EO207" s="662"/>
      <c r="EP207" s="662"/>
      <c r="EQ207" s="662"/>
      <c r="ER207" s="662"/>
      <c r="ES207" s="662"/>
      <c r="ET207" s="662"/>
      <c r="EU207" s="662"/>
    </row>
    <row r="208">
      <c r="A208" s="552"/>
      <c r="B208" s="552" t="s">
        <v>161</v>
      </c>
      <c r="C208" s="552"/>
      <c r="D208" s="552"/>
      <c r="E208" s="552"/>
      <c r="F208" s="552"/>
      <c r="G208" s="552"/>
      <c r="H208" s="552"/>
      <c r="I208" s="552"/>
      <c r="J208" s="552"/>
      <c r="K208" s="552"/>
      <c r="L208" s="552"/>
      <c r="M208" s="552"/>
      <c r="N208" s="552"/>
      <c r="O208" s="552"/>
      <c r="P208" s="552"/>
      <c r="Q208" s="552"/>
      <c r="R208" s="552"/>
      <c r="S208" s="552"/>
      <c r="T208" s="552"/>
      <c r="U208" s="552"/>
      <c r="V208" s="552"/>
      <c r="W208" s="552"/>
      <c r="X208" s="552"/>
      <c r="Y208" s="552"/>
      <c r="Z208" s="552"/>
      <c r="AA208" s="552"/>
      <c r="AB208" s="552"/>
      <c r="AC208" s="552"/>
      <c r="AD208" s="552"/>
      <c r="AE208" s="552"/>
      <c r="AF208" s="552"/>
      <c r="AG208" s="552"/>
      <c r="AH208" s="552"/>
      <c r="AI208" s="552"/>
      <c r="AJ208" s="552"/>
      <c r="AK208" s="552"/>
      <c r="AL208" s="552"/>
      <c r="AM208" s="552"/>
      <c r="AN208" s="552"/>
      <c r="AO208" s="552"/>
      <c r="AP208" s="552"/>
      <c r="AQ208" s="552"/>
      <c r="AR208" s="552"/>
      <c r="AS208" s="552"/>
      <c r="AT208" s="552"/>
      <c r="AU208" s="552"/>
      <c r="AV208" s="552"/>
      <c r="AW208" s="552"/>
      <c r="AX208" s="552"/>
      <c r="AY208" s="552"/>
      <c r="AZ208" s="552"/>
      <c r="BA208" s="552"/>
      <c r="BB208" s="552"/>
      <c r="BC208" s="552"/>
      <c r="BD208" s="552"/>
      <c r="BE208" s="552"/>
      <c r="BF208" s="552"/>
      <c r="BG208" s="552"/>
      <c r="BH208" s="552"/>
      <c r="BI208" s="552"/>
      <c r="BJ208" s="552"/>
      <c r="BK208" s="552"/>
      <c r="BL208" s="552"/>
      <c r="BM208" s="552"/>
      <c r="BN208" s="552"/>
      <c r="BO208" s="552"/>
      <c r="BP208" s="552"/>
      <c r="BQ208" s="552"/>
      <c r="BR208" s="552"/>
      <c r="BS208" s="552"/>
      <c r="BT208" s="552"/>
      <c r="BU208" s="552"/>
      <c r="BV208" s="552"/>
      <c r="BW208" s="552"/>
      <c r="BX208" s="552"/>
      <c r="BY208" s="552"/>
      <c r="BZ208" s="552"/>
      <c r="CA208" s="552"/>
      <c r="CB208" s="552"/>
      <c r="CC208" s="552"/>
      <c r="CD208" s="552"/>
      <c r="CE208" s="552"/>
      <c r="CF208" s="12"/>
      <c r="CG208" s="12"/>
      <c r="CH208" s="12"/>
      <c r="CI208" s="12"/>
      <c r="CJ208" s="12"/>
      <c r="CK208" s="552"/>
      <c r="CL208" s="552"/>
      <c r="CM208" s="552"/>
      <c r="CN208" s="552"/>
      <c r="CO208" s="552"/>
      <c r="CP208" s="552"/>
      <c r="CQ208" s="552"/>
      <c r="CR208" s="552"/>
      <c r="CS208" s="552"/>
      <c r="CT208" s="552"/>
      <c r="CU208" s="552"/>
      <c r="CV208" s="552"/>
      <c r="CW208" s="12"/>
      <c r="CX208" s="12"/>
      <c r="CY208" s="12"/>
      <c r="CZ208" s="12"/>
      <c r="DA208" s="12"/>
      <c r="DB208" s="552"/>
      <c r="DC208" s="552"/>
      <c r="DD208" s="552"/>
      <c r="DE208" s="552"/>
      <c r="DF208" s="552"/>
      <c r="DG208" s="552"/>
      <c r="DH208" s="552"/>
      <c r="DI208" s="552"/>
      <c r="DJ208" s="552"/>
      <c r="DK208" s="552"/>
      <c r="DL208" s="552"/>
      <c r="DM208" s="552"/>
      <c r="DN208" s="12"/>
      <c r="DO208" s="12"/>
      <c r="DP208" s="12"/>
      <c r="DQ208" s="12"/>
      <c r="DR208" s="12"/>
      <c r="DS208" s="552"/>
      <c r="DT208" s="552"/>
      <c r="DU208" s="552"/>
      <c r="DV208" s="552"/>
      <c r="DW208" s="552"/>
      <c r="DX208" s="552"/>
      <c r="DY208" s="552"/>
      <c r="DZ208" s="552"/>
      <c r="EA208" s="552"/>
      <c r="EB208" s="552"/>
      <c r="EC208" s="552"/>
      <c r="ED208" s="552"/>
      <c r="EE208" s="12"/>
      <c r="EF208" s="12"/>
      <c r="EG208" s="12"/>
      <c r="EH208" s="12"/>
      <c r="EI208" s="12"/>
      <c r="EJ208" s="574"/>
      <c r="EK208" s="574"/>
      <c r="EL208" s="574"/>
      <c r="EM208" s="574"/>
      <c r="EN208" s="574"/>
      <c r="EO208" s="574"/>
      <c r="EP208" s="574"/>
      <c r="EQ208" s="574"/>
      <c r="ER208" s="574"/>
      <c r="ES208" s="574"/>
      <c r="ET208" s="574"/>
      <c r="EU208" s="574"/>
    </row>
    <row r="209">
      <c r="A209" s="552"/>
      <c r="B209" s="552" t="s">
        <v>162</v>
      </c>
      <c r="C209" s="552"/>
      <c r="D209" s="552"/>
      <c r="E209" s="552"/>
      <c r="F209" s="552"/>
      <c r="G209" s="552"/>
      <c r="H209" s="552"/>
      <c r="I209" s="552"/>
      <c r="J209" s="552"/>
      <c r="K209" s="552"/>
      <c r="L209" s="552"/>
      <c r="M209" s="552"/>
      <c r="N209" s="552"/>
      <c r="O209" s="552"/>
      <c r="P209" s="552"/>
      <c r="Q209" s="552"/>
      <c r="R209" s="552"/>
      <c r="S209" s="552"/>
      <c r="T209" s="552"/>
      <c r="U209" s="552"/>
      <c r="V209" s="552"/>
      <c r="W209" s="552"/>
      <c r="X209" s="552"/>
      <c r="Y209" s="552"/>
      <c r="Z209" s="552"/>
      <c r="AA209" s="552"/>
      <c r="AB209" s="552"/>
      <c r="AC209" s="552"/>
      <c r="AD209" s="552"/>
      <c r="AE209" s="552"/>
      <c r="AF209" s="552"/>
      <c r="AG209" s="569">
        <f>AG207/S207*100-100</f>
        <v>105.2995835</v>
      </c>
      <c r="AH209" s="569">
        <f t="shared" ref="AH209:AJ209" si="323">AH207/AG207*100-100</f>
        <v>13.83176738</v>
      </c>
      <c r="AI209" s="569">
        <f t="shared" si="323"/>
        <v>72.70896489</v>
      </c>
      <c r="AJ209" s="569">
        <f t="shared" si="323"/>
        <v>-3.569581656</v>
      </c>
      <c r="AK209" s="552"/>
      <c r="AL209" s="552"/>
      <c r="AM209" s="552"/>
      <c r="AN209" s="552"/>
      <c r="AO209" s="552"/>
      <c r="AP209" s="552"/>
      <c r="AQ209" s="552"/>
      <c r="AR209" s="552"/>
      <c r="AS209" s="552"/>
      <c r="AT209" s="552"/>
      <c r="AU209" s="552"/>
      <c r="AV209" s="552"/>
      <c r="AW209" s="552"/>
      <c r="AX209" s="569">
        <f>AX207/AJ207*100-100</f>
        <v>73.48282885</v>
      </c>
      <c r="AY209" s="569">
        <f t="shared" ref="AY209:BA209" si="324">AY207/AX207*100-100</f>
        <v>-26.81516273</v>
      </c>
      <c r="AZ209" s="569">
        <f t="shared" si="324"/>
        <v>25.48873921</v>
      </c>
      <c r="BA209" s="569">
        <f t="shared" si="324"/>
        <v>9.332639663</v>
      </c>
      <c r="BB209" s="552"/>
      <c r="BC209" s="552"/>
      <c r="BD209" s="552"/>
      <c r="BE209" s="552"/>
      <c r="BF209" s="552"/>
      <c r="BG209" s="552"/>
      <c r="BH209" s="552"/>
      <c r="BI209" s="552"/>
      <c r="BJ209" s="552"/>
      <c r="BK209" s="552"/>
      <c r="BL209" s="552"/>
      <c r="BM209" s="552"/>
      <c r="BN209" s="552"/>
      <c r="BO209" s="569">
        <f>BO207/BA207*100-100</f>
        <v>103.2008401</v>
      </c>
      <c r="BP209" s="569">
        <f t="shared" ref="BP209:BR209" si="325">BP207/BO207*100-100</f>
        <v>-26.67978437</v>
      </c>
      <c r="BQ209" s="569">
        <f t="shared" si="325"/>
        <v>16.77236485</v>
      </c>
      <c r="BR209" s="569">
        <f t="shared" si="325"/>
        <v>-41.2839937</v>
      </c>
      <c r="BS209" s="552"/>
      <c r="BT209" s="552"/>
      <c r="BU209" s="552"/>
      <c r="BV209" s="552"/>
      <c r="BW209" s="552"/>
      <c r="BX209" s="552"/>
      <c r="BY209" s="552"/>
      <c r="BZ209" s="552"/>
      <c r="CA209" s="552"/>
      <c r="CB209" s="552"/>
      <c r="CC209" s="552"/>
      <c r="CD209" s="552"/>
      <c r="CE209" s="552"/>
      <c r="CF209" s="578">
        <f>CF207/BR207*100-100</f>
        <v>-15.29098976</v>
      </c>
      <c r="CG209" s="578">
        <f t="shared" ref="CG209:CI209" si="326">CG207/CF207*100-100</f>
        <v>6.043263045</v>
      </c>
      <c r="CH209" s="578">
        <f t="shared" si="326"/>
        <v>15.88291461</v>
      </c>
      <c r="CI209" s="578">
        <f t="shared" si="326"/>
        <v>-57.0485081</v>
      </c>
      <c r="CJ209" s="12"/>
      <c r="CK209" s="552"/>
      <c r="CL209" s="552"/>
      <c r="CM209" s="552"/>
      <c r="CN209" s="552"/>
      <c r="CO209" s="552"/>
      <c r="CP209" s="552"/>
      <c r="CQ209" s="552"/>
      <c r="CR209" s="552"/>
      <c r="CS209" s="552"/>
      <c r="CT209" s="552"/>
      <c r="CU209" s="552"/>
      <c r="CV209" s="552"/>
      <c r="CW209" s="578">
        <f>CW207/CI207*100-100</f>
        <v>-100</v>
      </c>
      <c r="CX209" s="596" t="str">
        <f t="shared" ref="CX209:CZ209" si="327">CX207/CW207*100-100</f>
        <v>#DIV/0!</v>
      </c>
      <c r="CY209" s="596" t="str">
        <f t="shared" si="327"/>
        <v>#DIV/0!</v>
      </c>
      <c r="CZ209" s="596" t="str">
        <f t="shared" si="327"/>
        <v>#DIV/0!</v>
      </c>
      <c r="DA209" s="12"/>
      <c r="DB209" s="552"/>
      <c r="DC209" s="552"/>
      <c r="DD209" s="552"/>
      <c r="DE209" s="552"/>
      <c r="DF209" s="552"/>
      <c r="DG209" s="552"/>
      <c r="DH209" s="552"/>
      <c r="DI209" s="552"/>
      <c r="DJ209" s="552"/>
      <c r="DK209" s="552"/>
      <c r="DL209" s="552"/>
      <c r="DM209" s="552"/>
      <c r="DN209" s="596" t="str">
        <f>DN207/CZ207*100-100</f>
        <v>#DIV/0!</v>
      </c>
      <c r="DO209" s="596" t="str">
        <f t="shared" ref="DO209:DQ209" si="328">DO207/DN207*100-100</f>
        <v>#DIV/0!</v>
      </c>
      <c r="DP209" s="596" t="str">
        <f t="shared" si="328"/>
        <v>#DIV/0!</v>
      </c>
      <c r="DQ209" s="596" t="str">
        <f t="shared" si="328"/>
        <v>#DIV/0!</v>
      </c>
      <c r="DR209" s="12"/>
      <c r="DS209" s="552"/>
      <c r="DT209" s="552"/>
      <c r="DU209" s="552"/>
      <c r="DV209" s="552"/>
      <c r="DW209" s="552"/>
      <c r="DX209" s="552"/>
      <c r="DY209" s="552"/>
      <c r="DZ209" s="552"/>
      <c r="EA209" s="552"/>
      <c r="EB209" s="552"/>
      <c r="EC209" s="552"/>
      <c r="ED209" s="552"/>
      <c r="EE209" s="596" t="str">
        <f>EE207/DQ207*100-100</f>
        <v>#DIV/0!</v>
      </c>
      <c r="EF209" s="596" t="str">
        <f t="shared" ref="EF209:EH209" si="329">EF207/EE207*100-100</f>
        <v>#DIV/0!</v>
      </c>
      <c r="EG209" s="596" t="str">
        <f t="shared" si="329"/>
        <v>#DIV/0!</v>
      </c>
      <c r="EH209" s="596" t="str">
        <f t="shared" si="329"/>
        <v>#DIV/0!</v>
      </c>
      <c r="EI209" s="12"/>
      <c r="EJ209" s="574"/>
      <c r="EK209" s="574"/>
      <c r="EL209" s="574"/>
      <c r="EM209" s="574"/>
      <c r="EN209" s="574"/>
      <c r="EO209" s="574"/>
      <c r="EP209" s="574"/>
      <c r="EQ209" s="574"/>
      <c r="ER209" s="574"/>
      <c r="ES209" s="574"/>
      <c r="ET209" s="574"/>
      <c r="EU209" s="574"/>
    </row>
    <row r="210">
      <c r="A210" s="552"/>
      <c r="B210" s="552" t="s">
        <v>164</v>
      </c>
      <c r="C210" s="552"/>
      <c r="D210" s="552"/>
      <c r="E210" s="552"/>
      <c r="F210" s="552"/>
      <c r="G210" s="552"/>
      <c r="H210" s="552"/>
      <c r="I210" s="552"/>
      <c r="J210" s="552"/>
      <c r="K210" s="552"/>
      <c r="L210" s="552"/>
      <c r="M210" s="552"/>
      <c r="N210" s="552"/>
      <c r="O210" s="552"/>
      <c r="P210" s="552"/>
      <c r="Q210" s="552"/>
      <c r="R210" s="552"/>
      <c r="S210" s="552"/>
      <c r="T210" s="552"/>
      <c r="U210" s="552"/>
      <c r="V210" s="552"/>
      <c r="W210" s="552"/>
      <c r="X210" s="552"/>
      <c r="Y210" s="552"/>
      <c r="Z210" s="552"/>
      <c r="AA210" s="552"/>
      <c r="AB210" s="552"/>
      <c r="AC210" s="552"/>
      <c r="AD210" s="552"/>
      <c r="AE210" s="552"/>
      <c r="AF210" s="552"/>
      <c r="AG210" s="571" t="str">
        <f t="shared" ref="AG210:AK210" si="330">AG207/P207*100-100</f>
        <v>#DIV/0!</v>
      </c>
      <c r="AH210" s="571" t="str">
        <f t="shared" si="330"/>
        <v>#DIV/0!</v>
      </c>
      <c r="AI210" s="571" t="str">
        <f t="shared" si="330"/>
        <v>#DIV/0!</v>
      </c>
      <c r="AJ210" s="569">
        <f t="shared" si="330"/>
        <v>289.2068537</v>
      </c>
      <c r="AK210" s="569">
        <f t="shared" si="330"/>
        <v>1466.529996</v>
      </c>
      <c r="AL210" s="552"/>
      <c r="AM210" s="552"/>
      <c r="AN210" s="552"/>
      <c r="AO210" s="552"/>
      <c r="AP210" s="552"/>
      <c r="AQ210" s="552"/>
      <c r="AR210" s="552"/>
      <c r="AS210" s="552"/>
      <c r="AT210" s="552"/>
      <c r="AU210" s="552"/>
      <c r="AV210" s="552"/>
      <c r="AW210" s="552"/>
      <c r="AX210" s="569">
        <f t="shared" ref="AX210:BB210" si="331">AX207/AG207*100-100</f>
        <v>228.8886652</v>
      </c>
      <c r="AY210" s="569">
        <f t="shared" si="331"/>
        <v>111.4494398</v>
      </c>
      <c r="AZ210" s="569">
        <f t="shared" si="331"/>
        <v>53.63721057</v>
      </c>
      <c r="BA210" s="569">
        <f t="shared" si="331"/>
        <v>74.19360064</v>
      </c>
      <c r="BB210" s="569">
        <f t="shared" si="331"/>
        <v>87.17602214</v>
      </c>
      <c r="BC210" s="552"/>
      <c r="BD210" s="552"/>
      <c r="BE210" s="552"/>
      <c r="BF210" s="552"/>
      <c r="BG210" s="552"/>
      <c r="BH210" s="552"/>
      <c r="BI210" s="552"/>
      <c r="BJ210" s="552"/>
      <c r="BK210" s="552"/>
      <c r="BL210" s="552"/>
      <c r="BM210" s="552"/>
      <c r="BN210" s="552"/>
      <c r="BO210" s="569">
        <f t="shared" ref="BO210:BS210" si="332">BO207/AX207*100-100</f>
        <v>104.0333687</v>
      </c>
      <c r="BP210" s="569">
        <f t="shared" si="332"/>
        <v>104.4107926</v>
      </c>
      <c r="BQ210" s="569">
        <f t="shared" si="332"/>
        <v>90.21253863</v>
      </c>
      <c r="BR210" s="569">
        <f t="shared" si="332"/>
        <v>2.151751316</v>
      </c>
      <c r="BS210" s="569">
        <f t="shared" si="332"/>
        <v>33.37489788</v>
      </c>
      <c r="BT210" s="552"/>
      <c r="BU210" s="552"/>
      <c r="BV210" s="552"/>
      <c r="BW210" s="552"/>
      <c r="BX210" s="552"/>
      <c r="BY210" s="552"/>
      <c r="BZ210" s="552"/>
      <c r="CA210" s="552"/>
      <c r="CB210" s="552"/>
      <c r="CC210" s="552"/>
      <c r="CD210" s="552"/>
      <c r="CE210" s="552"/>
      <c r="CF210" s="578">
        <f t="shared" ref="CF210:CJ210" si="333">CF207/BO207*100-100</f>
        <v>-57.41565958</v>
      </c>
      <c r="CG210" s="578">
        <f t="shared" si="333"/>
        <v>-38.41013186</v>
      </c>
      <c r="CH210" s="578">
        <f t="shared" si="333"/>
        <v>-38.87925932</v>
      </c>
      <c r="CI210" s="578">
        <f t="shared" si="333"/>
        <v>-55.28941487</v>
      </c>
      <c r="CJ210" s="578">
        <f t="shared" si="333"/>
        <v>-0.1965251588</v>
      </c>
      <c r="CK210" s="552"/>
      <c r="CL210" s="552"/>
      <c r="CM210" s="552"/>
      <c r="CN210" s="552"/>
      <c r="CO210" s="552"/>
      <c r="CP210" s="552"/>
      <c r="CQ210" s="552"/>
      <c r="CR210" s="552"/>
      <c r="CS210" s="552"/>
      <c r="CT210" s="552"/>
      <c r="CU210" s="552"/>
      <c r="CV210" s="552"/>
      <c r="CW210" s="578">
        <f t="shared" ref="CW210:DA210" si="334">CW207/CF207*100-100</f>
        <v>-100</v>
      </c>
      <c r="CX210" s="578">
        <f t="shared" si="334"/>
        <v>-100</v>
      </c>
      <c r="CY210" s="578">
        <f t="shared" si="334"/>
        <v>-100</v>
      </c>
      <c r="CZ210" s="578">
        <f t="shared" si="334"/>
        <v>-100</v>
      </c>
      <c r="DA210" s="578">
        <f t="shared" si="334"/>
        <v>-100</v>
      </c>
      <c r="DB210" s="552"/>
      <c r="DC210" s="552"/>
      <c r="DD210" s="552"/>
      <c r="DE210" s="552"/>
      <c r="DF210" s="552"/>
      <c r="DG210" s="552"/>
      <c r="DH210" s="552"/>
      <c r="DI210" s="552"/>
      <c r="DJ210" s="552"/>
      <c r="DK210" s="552"/>
      <c r="DL210" s="552"/>
      <c r="DM210" s="552"/>
      <c r="DN210" s="596" t="str">
        <f t="shared" ref="DN210:DR210" si="335">DN207/CW207*100-100</f>
        <v>#DIV/0!</v>
      </c>
      <c r="DO210" s="596" t="str">
        <f t="shared" si="335"/>
        <v>#DIV/0!</v>
      </c>
      <c r="DP210" s="596" t="str">
        <f t="shared" si="335"/>
        <v>#DIV/0!</v>
      </c>
      <c r="DQ210" s="596" t="str">
        <f t="shared" si="335"/>
        <v>#DIV/0!</v>
      </c>
      <c r="DR210" s="596" t="str">
        <f t="shared" si="335"/>
        <v>#DIV/0!</v>
      </c>
      <c r="DS210" s="552"/>
      <c r="DT210" s="552"/>
      <c r="DU210" s="552"/>
      <c r="DV210" s="552"/>
      <c r="DW210" s="552"/>
      <c r="DX210" s="552"/>
      <c r="DY210" s="552"/>
      <c r="DZ210" s="552"/>
      <c r="EA210" s="552"/>
      <c r="EB210" s="552"/>
      <c r="EC210" s="552"/>
      <c r="ED210" s="552"/>
      <c r="EE210" s="596" t="str">
        <f t="shared" ref="EE210:EI210" si="336">EE207/DN207*100-100</f>
        <v>#DIV/0!</v>
      </c>
      <c r="EF210" s="596" t="str">
        <f t="shared" si="336"/>
        <v>#DIV/0!</v>
      </c>
      <c r="EG210" s="596" t="str">
        <f t="shared" si="336"/>
        <v>#DIV/0!</v>
      </c>
      <c r="EH210" s="596" t="str">
        <f t="shared" si="336"/>
        <v>#DIV/0!</v>
      </c>
      <c r="EI210" s="596" t="str">
        <f t="shared" si="336"/>
        <v>#DIV/0!</v>
      </c>
      <c r="EJ210" s="574"/>
      <c r="EK210" s="574"/>
      <c r="EL210" s="574"/>
      <c r="EM210" s="574"/>
      <c r="EN210" s="574"/>
      <c r="EO210" s="574"/>
      <c r="EP210" s="574"/>
      <c r="EQ210" s="574"/>
      <c r="ER210" s="574"/>
      <c r="ES210" s="574"/>
      <c r="ET210" s="574"/>
      <c r="EU210" s="574"/>
    </row>
    <row r="211">
      <c r="A211" s="552"/>
      <c r="B211" s="552" t="s">
        <v>148</v>
      </c>
      <c r="C211" s="552"/>
      <c r="D211" s="552"/>
      <c r="E211" s="552"/>
      <c r="F211" s="552"/>
      <c r="G211" s="552"/>
      <c r="H211" s="552"/>
      <c r="I211" s="552"/>
      <c r="J211" s="552"/>
      <c r="K211" s="552"/>
      <c r="L211" s="552"/>
      <c r="M211" s="552"/>
      <c r="N211" s="552"/>
      <c r="O211" s="552"/>
      <c r="P211" s="552"/>
      <c r="Q211" s="552"/>
      <c r="R211" s="552"/>
      <c r="S211" s="552"/>
      <c r="T211" s="552"/>
      <c r="U211" s="552"/>
      <c r="V211" s="552"/>
      <c r="W211" s="552"/>
      <c r="X211" s="552"/>
      <c r="Y211" s="552"/>
      <c r="Z211" s="552"/>
      <c r="AA211" s="552"/>
      <c r="AB211" s="552"/>
      <c r="AC211" s="552"/>
      <c r="AD211" s="552"/>
      <c r="AE211" s="552"/>
      <c r="AF211" s="552"/>
      <c r="AG211" s="571" t="str">
        <f>SUM(AG207)/SUM(P207)*100-100</f>
        <v>#DIV/0!</v>
      </c>
      <c r="AH211" s="571" t="str">
        <f>SUM(AG207:AH207)/SUM(P207:Q207)*100-100</f>
        <v>#DIV/0!</v>
      </c>
      <c r="AI211" s="571" t="str">
        <f>SUM(AG207:AI207)/SUM(P207:R207)*100-100</f>
        <v>#DIV/0!</v>
      </c>
      <c r="AJ211" s="569">
        <f>SUM(AG207:AJ207)/SUM(P207:S207)*100-100</f>
        <v>1131.816773</v>
      </c>
      <c r="AK211" s="552"/>
      <c r="AL211" s="552"/>
      <c r="AM211" s="552"/>
      <c r="AN211" s="552"/>
      <c r="AO211" s="552"/>
      <c r="AP211" s="552"/>
      <c r="AQ211" s="552"/>
      <c r="AR211" s="552"/>
      <c r="AS211" s="552"/>
      <c r="AT211" s="552"/>
      <c r="AU211" s="552"/>
      <c r="AV211" s="552"/>
      <c r="AW211" s="552"/>
      <c r="AX211" s="569">
        <f>SUM(AX207)/SUM(AG207)*100-100</f>
        <v>228.8886652</v>
      </c>
      <c r="AY211" s="569">
        <f>SUM(AX207:AY207)/SUM(AG207:AH207)*100-100</f>
        <v>166.370758</v>
      </c>
      <c r="AZ211" s="569">
        <f>SUM(AX207:AZ207)/SUM(AG207:AI207)*100-100</f>
        <v>112.3708482</v>
      </c>
      <c r="BA211" s="569">
        <f>SUM(AX207:BA207)/SUM(AG207:AJ207)*100-100</f>
        <v>100.3083023</v>
      </c>
      <c r="BB211" s="552"/>
      <c r="BC211" s="552"/>
      <c r="BD211" s="552"/>
      <c r="BE211" s="552"/>
      <c r="BF211" s="552"/>
      <c r="BG211" s="552"/>
      <c r="BH211" s="552"/>
      <c r="BI211" s="552"/>
      <c r="BJ211" s="552"/>
      <c r="BK211" s="552"/>
      <c r="BL211" s="552"/>
      <c r="BM211" s="552"/>
      <c r="BN211" s="552"/>
      <c r="BO211" s="569">
        <f>SUM(BO207)/SUM(AX207)*100-100</f>
        <v>104.0333687</v>
      </c>
      <c r="BP211" s="569">
        <f>SUM(BO207:BP207)/SUM(AX207:AY207)*100-100</f>
        <v>104.1928614</v>
      </c>
      <c r="BQ211" s="569">
        <f>SUM(BO207:BQ207)/SUM(AX207:AZ207)*100-100</f>
        <v>99.34825417</v>
      </c>
      <c r="BR211" s="569">
        <f>SUM(BO207:BR207)/SUM(AX207:BA207)*100-100</f>
        <v>72.64167573</v>
      </c>
      <c r="BS211" s="552"/>
      <c r="BT211" s="552"/>
      <c r="BU211" s="552"/>
      <c r="BV211" s="552"/>
      <c r="BW211" s="552"/>
      <c r="BX211" s="552"/>
      <c r="BY211" s="552"/>
      <c r="BZ211" s="552"/>
      <c r="CA211" s="552"/>
      <c r="CB211" s="552"/>
      <c r="CC211" s="552"/>
      <c r="CD211" s="552"/>
      <c r="CE211" s="552"/>
      <c r="CF211" s="578">
        <f>SUM(CF207)/SUM(BO207)*100-100</f>
        <v>-57.41565958</v>
      </c>
      <c r="CG211" s="578">
        <f>SUM(CF207:CG207)/SUM(BO207:BP207)*100-100</f>
        <v>-49.37568925</v>
      </c>
      <c r="CH211" s="578">
        <f>SUM(CF207:CH207)/SUM(BO207:BQ207)*100-100</f>
        <v>-45.90504829</v>
      </c>
      <c r="CI211" s="578">
        <f>SUM(CF207:CI207)/SUM(BO207:BR207)*100-100</f>
        <v>-47.43076095</v>
      </c>
      <c r="CJ211" s="12"/>
      <c r="CK211" s="552"/>
      <c r="CL211" s="552"/>
      <c r="CM211" s="552"/>
      <c r="CN211" s="552"/>
      <c r="CO211" s="552"/>
      <c r="CP211" s="552"/>
      <c r="CQ211" s="552"/>
      <c r="CR211" s="552"/>
      <c r="CS211" s="552"/>
      <c r="CT211" s="552"/>
      <c r="CU211" s="552"/>
      <c r="CV211" s="552"/>
      <c r="CW211" s="578">
        <f>SUM(CW207)/SUM(CF207)*100-100</f>
        <v>-100</v>
      </c>
      <c r="CX211" s="578">
        <f>SUM(CW207:CX207)/SUM(CF207:CG207)*100-100</f>
        <v>-100</v>
      </c>
      <c r="CY211" s="578">
        <f>SUM(CW207:CY207)/SUM(CF207:CH207)*100-100</f>
        <v>-100</v>
      </c>
      <c r="CZ211" s="578">
        <f>SUM(CW207:CZ207)/SUM(CF207:CI207)*100-100</f>
        <v>-100</v>
      </c>
      <c r="DA211" s="12"/>
      <c r="DB211" s="552"/>
      <c r="DC211" s="552"/>
      <c r="DD211" s="552"/>
      <c r="DE211" s="552"/>
      <c r="DF211" s="552"/>
      <c r="DG211" s="552"/>
      <c r="DH211" s="552"/>
      <c r="DI211" s="552"/>
      <c r="DJ211" s="552"/>
      <c r="DK211" s="552"/>
      <c r="DL211" s="552"/>
      <c r="DM211" s="552"/>
      <c r="DN211" s="596" t="str">
        <f>SUM(DN207)/SUM(CW207)*100-100</f>
        <v>#DIV/0!</v>
      </c>
      <c r="DO211" s="596" t="str">
        <f>SUM(DN207:DO207)/SUM(CW207:CX207)*100-100</f>
        <v>#DIV/0!</v>
      </c>
      <c r="DP211" s="596" t="str">
        <f>SUM(DN207:DP207)/SUM(CW207:CY207)*100-100</f>
        <v>#DIV/0!</v>
      </c>
      <c r="DQ211" s="596" t="str">
        <f>SUM(DN207:DQ207)/SUM(CW207:CZ207)*100-100</f>
        <v>#DIV/0!</v>
      </c>
      <c r="DR211" s="12"/>
      <c r="DS211" s="552"/>
      <c r="DT211" s="552"/>
      <c r="DU211" s="552"/>
      <c r="DV211" s="552"/>
      <c r="DW211" s="552"/>
      <c r="DX211" s="552"/>
      <c r="DY211" s="552"/>
      <c r="DZ211" s="552"/>
      <c r="EA211" s="552"/>
      <c r="EB211" s="552"/>
      <c r="EC211" s="552"/>
      <c r="ED211" s="552"/>
      <c r="EE211" s="596" t="str">
        <f>SUM(EE207)/SUM(DN207)*100-100</f>
        <v>#DIV/0!</v>
      </c>
      <c r="EF211" s="596" t="str">
        <f>SUM(EE207:EF207)/SUM(DN207:DO207)*100-100</f>
        <v>#DIV/0!</v>
      </c>
      <c r="EG211" s="596" t="str">
        <f>SUM(EE207:EG207)/SUM(DN207:DP207)*100-100</f>
        <v>#DIV/0!</v>
      </c>
      <c r="EH211" s="596" t="str">
        <f>SUM(EE207:EH207)/SUM(DN207:DQ207)*100-100</f>
        <v>#DIV/0!</v>
      </c>
      <c r="EI211" s="12"/>
      <c r="EJ211" s="574"/>
      <c r="EK211" s="574"/>
      <c r="EL211" s="574"/>
      <c r="EM211" s="574"/>
      <c r="EN211" s="574"/>
      <c r="EO211" s="574"/>
      <c r="EP211" s="574"/>
      <c r="EQ211" s="574"/>
      <c r="ER211" s="574"/>
      <c r="ES211" s="574"/>
      <c r="ET211" s="574"/>
      <c r="EU211" s="574"/>
    </row>
    <row r="212">
      <c r="A212" s="552"/>
      <c r="B212" s="552"/>
      <c r="C212" s="552"/>
      <c r="D212" s="552"/>
      <c r="E212" s="552"/>
      <c r="F212" s="552"/>
      <c r="G212" s="552"/>
      <c r="H212" s="552"/>
      <c r="I212" s="552"/>
      <c r="J212" s="552"/>
      <c r="K212" s="552"/>
      <c r="L212" s="552"/>
      <c r="M212" s="552"/>
      <c r="N212" s="552"/>
      <c r="O212" s="552"/>
      <c r="P212" s="552"/>
      <c r="Q212" s="552"/>
      <c r="R212" s="552"/>
      <c r="S212" s="552"/>
      <c r="T212" s="552"/>
      <c r="U212" s="552"/>
      <c r="V212" s="552"/>
      <c r="W212" s="552"/>
      <c r="X212" s="552"/>
      <c r="Y212" s="552"/>
      <c r="Z212" s="552"/>
      <c r="AA212" s="552"/>
      <c r="AB212" s="552"/>
      <c r="AC212" s="552"/>
      <c r="AD212" s="552"/>
      <c r="AE212" s="552"/>
      <c r="AF212" s="552"/>
      <c r="AG212" s="552"/>
      <c r="AH212" s="552"/>
      <c r="AI212" s="552"/>
      <c r="AJ212" s="552"/>
      <c r="AK212" s="552"/>
      <c r="AL212" s="552"/>
      <c r="AM212" s="552"/>
      <c r="AN212" s="552"/>
      <c r="AO212" s="552"/>
      <c r="AP212" s="552"/>
      <c r="AQ212" s="552"/>
      <c r="AR212" s="552"/>
      <c r="AS212" s="552"/>
      <c r="AT212" s="552"/>
      <c r="AU212" s="552"/>
      <c r="AV212" s="552"/>
      <c r="AW212" s="552"/>
      <c r="AX212" s="552"/>
      <c r="AY212" s="552"/>
      <c r="AZ212" s="552"/>
      <c r="BA212" s="552"/>
      <c r="BB212" s="552"/>
      <c r="BC212" s="552"/>
      <c r="BD212" s="552"/>
      <c r="BE212" s="552"/>
      <c r="BF212" s="552"/>
      <c r="BG212" s="552"/>
      <c r="BH212" s="552"/>
      <c r="BI212" s="552"/>
      <c r="BJ212" s="552"/>
      <c r="BK212" s="552"/>
      <c r="BL212" s="552"/>
      <c r="BM212" s="552"/>
      <c r="BN212" s="552"/>
      <c r="BO212" s="552"/>
      <c r="BP212" s="552"/>
      <c r="BQ212" s="552"/>
      <c r="BR212" s="552"/>
      <c r="BS212" s="552"/>
      <c r="BT212" s="552"/>
      <c r="BU212" s="552"/>
      <c r="BV212" s="552"/>
      <c r="BW212" s="552"/>
      <c r="BX212" s="552"/>
      <c r="BY212" s="552"/>
      <c r="BZ212" s="552"/>
      <c r="CA212" s="552"/>
      <c r="CB212" s="552"/>
      <c r="CC212" s="552"/>
      <c r="CD212" s="552"/>
      <c r="CE212" s="552"/>
      <c r="CF212" s="663"/>
      <c r="CG212" s="663"/>
      <c r="CH212" s="663"/>
      <c r="CI212" s="663"/>
      <c r="CJ212" s="663"/>
      <c r="CK212" s="552"/>
      <c r="CL212" s="552"/>
      <c r="CM212" s="552"/>
      <c r="CN212" s="552"/>
      <c r="CO212" s="552"/>
      <c r="CP212" s="552"/>
      <c r="CQ212" s="552"/>
      <c r="CR212" s="552"/>
      <c r="CS212" s="552"/>
      <c r="CT212" s="552"/>
      <c r="CU212" s="552"/>
      <c r="CV212" s="552"/>
      <c r="CW212" s="663"/>
      <c r="CX212" s="663"/>
      <c r="CY212" s="663"/>
      <c r="CZ212" s="663"/>
      <c r="DA212" s="663"/>
      <c r="DB212" s="552"/>
      <c r="DC212" s="552"/>
      <c r="DD212" s="552"/>
      <c r="DE212" s="552"/>
      <c r="DF212" s="552"/>
      <c r="DG212" s="552"/>
      <c r="DH212" s="552"/>
      <c r="DI212" s="552"/>
      <c r="DJ212" s="552"/>
      <c r="DK212" s="552"/>
      <c r="DL212" s="552"/>
      <c r="DM212" s="552"/>
      <c r="DN212" s="663"/>
      <c r="DO212" s="663"/>
      <c r="DP212" s="663"/>
      <c r="DQ212" s="663"/>
      <c r="DR212" s="663"/>
      <c r="DS212" s="552"/>
      <c r="DT212" s="552"/>
      <c r="DU212" s="552"/>
      <c r="DV212" s="552"/>
      <c r="DW212" s="552"/>
      <c r="DX212" s="552"/>
      <c r="DY212" s="552"/>
      <c r="DZ212" s="552"/>
      <c r="EA212" s="552"/>
      <c r="EB212" s="552"/>
      <c r="EC212" s="552"/>
      <c r="ED212" s="552"/>
      <c r="EE212" s="663"/>
      <c r="EF212" s="663"/>
      <c r="EG212" s="663"/>
      <c r="EH212" s="663"/>
      <c r="EI212" s="663"/>
      <c r="EJ212" s="574"/>
      <c r="EK212" s="574"/>
      <c r="EL212" s="574"/>
      <c r="EM212" s="574"/>
      <c r="EN212" s="574"/>
      <c r="EO212" s="574"/>
      <c r="EP212" s="574"/>
      <c r="EQ212" s="574"/>
      <c r="ER212" s="574"/>
      <c r="ES212" s="574"/>
      <c r="ET212" s="574"/>
      <c r="EU212" s="574"/>
    </row>
    <row r="213">
      <c r="A213" s="664">
        <v>7404.0</v>
      </c>
      <c r="B213" s="665" t="s">
        <v>224</v>
      </c>
      <c r="C213" s="665" t="s">
        <v>209</v>
      </c>
      <c r="D213" s="574"/>
      <c r="E213" s="574"/>
      <c r="F213" s="574"/>
      <c r="G213" s="574"/>
      <c r="H213" s="574"/>
      <c r="I213" s="574"/>
      <c r="J213" s="574"/>
      <c r="K213" s="574"/>
      <c r="L213" s="574"/>
      <c r="M213" s="574"/>
      <c r="N213" s="574"/>
      <c r="O213" s="574"/>
      <c r="P213" s="574"/>
      <c r="Q213" s="574"/>
      <c r="R213" s="574"/>
      <c r="S213" s="574"/>
      <c r="T213" s="574"/>
      <c r="U213" s="574"/>
      <c r="V213" s="574"/>
      <c r="W213" s="574"/>
      <c r="X213" s="574"/>
      <c r="Y213" s="574"/>
      <c r="Z213" s="574"/>
      <c r="AA213" s="574"/>
      <c r="AB213" s="574"/>
      <c r="AC213" s="574"/>
      <c r="AD213" s="574"/>
      <c r="AE213" s="574"/>
      <c r="AF213" s="574"/>
      <c r="AG213" s="574"/>
      <c r="AH213" s="574"/>
      <c r="AI213" s="574"/>
      <c r="AJ213" s="574"/>
      <c r="AK213" s="574"/>
      <c r="AL213" s="574"/>
      <c r="AM213" s="574"/>
      <c r="AN213" s="574"/>
      <c r="AO213" s="574"/>
      <c r="AP213" s="574"/>
      <c r="AQ213" s="574"/>
      <c r="AR213" s="574"/>
      <c r="AS213" s="574"/>
      <c r="AT213" s="574"/>
      <c r="AU213" s="574"/>
      <c r="AV213" s="574"/>
      <c r="AW213" s="574"/>
      <c r="AX213" s="574"/>
      <c r="AY213" s="574"/>
      <c r="AZ213" s="574"/>
      <c r="BA213" s="574"/>
      <c r="BB213" s="574"/>
      <c r="BC213" s="646">
        <v>261789.0</v>
      </c>
      <c r="BD213" s="646">
        <v>256430.0</v>
      </c>
      <c r="BE213" s="646">
        <v>276932.0</v>
      </c>
      <c r="BF213" s="646">
        <v>270626.0</v>
      </c>
      <c r="BG213" s="646">
        <v>277965.0</v>
      </c>
      <c r="BH213" s="646">
        <v>253407.0</v>
      </c>
      <c r="BI213" s="646">
        <v>294059.0</v>
      </c>
      <c r="BJ213" s="646">
        <v>323308.0</v>
      </c>
      <c r="BK213" s="646">
        <v>163530.0</v>
      </c>
      <c r="BL213" s="574"/>
      <c r="BM213" s="574"/>
      <c r="BN213" s="574"/>
      <c r="BO213" s="646">
        <f>SUM(BC213:BE213)</f>
        <v>795151</v>
      </c>
      <c r="BP213" s="646">
        <f>SUM(BF213:BH213)</f>
        <v>801998</v>
      </c>
      <c r="BQ213" s="646">
        <f>SUM(BI213:BK213)</f>
        <v>780897</v>
      </c>
      <c r="BR213" s="646">
        <f>SUM(BL213:BN213)</f>
        <v>0</v>
      </c>
      <c r="BS213" s="646">
        <f>SUM(BO213:BR213)</f>
        <v>2378046</v>
      </c>
      <c r="BT213" s="574"/>
      <c r="BU213" s="574"/>
      <c r="BV213" s="574"/>
      <c r="BW213" s="574"/>
      <c r="BX213" s="574"/>
      <c r="BY213" s="574"/>
      <c r="BZ213" s="574"/>
      <c r="CA213" s="574"/>
      <c r="CB213" s="574"/>
      <c r="CC213" s="574"/>
      <c r="CD213" s="574"/>
      <c r="CE213" s="574"/>
      <c r="CF213" s="646">
        <f>SUM(BT213:BV213)</f>
        <v>0</v>
      </c>
      <c r="CG213" s="646">
        <f>SUM(BW213:BY213)</f>
        <v>0</v>
      </c>
      <c r="CH213" s="646">
        <f>SUM(BZ213:CB213)</f>
        <v>0</v>
      </c>
      <c r="CI213" s="646">
        <f>SUM(CC213:CE213)</f>
        <v>0</v>
      </c>
      <c r="CJ213" s="646">
        <f>SUM(CF213:CI213)</f>
        <v>0</v>
      </c>
      <c r="CK213" s="574"/>
      <c r="CL213" s="574"/>
      <c r="CM213" s="574"/>
      <c r="CN213" s="574"/>
      <c r="CO213" s="574"/>
      <c r="CP213" s="574"/>
      <c r="CQ213" s="574"/>
      <c r="CR213" s="574"/>
      <c r="CS213" s="574"/>
      <c r="CT213" s="574"/>
      <c r="CU213" s="574"/>
      <c r="CV213" s="574"/>
      <c r="CW213" s="646">
        <f>SUM(CK213:CM213)</f>
        <v>0</v>
      </c>
      <c r="CX213" s="646">
        <f>SUM(CN213:CP213)</f>
        <v>0</v>
      </c>
      <c r="CY213" s="646">
        <f>SUM(CQ213:CS213)</f>
        <v>0</v>
      </c>
      <c r="CZ213" s="646">
        <f>SUM(CT213:CV213)</f>
        <v>0</v>
      </c>
      <c r="DA213" s="646">
        <f>SUM(CW213:CZ213)</f>
        <v>0</v>
      </c>
      <c r="DB213" s="574"/>
      <c r="DC213" s="574"/>
      <c r="DD213" s="574"/>
      <c r="DE213" s="574"/>
      <c r="DF213" s="574"/>
      <c r="DG213" s="574"/>
      <c r="DH213" s="574"/>
      <c r="DI213" s="574"/>
      <c r="DJ213" s="574"/>
      <c r="DK213" s="574"/>
      <c r="DL213" s="574"/>
      <c r="DM213" s="574"/>
      <c r="DN213" s="646">
        <f>SUM(DB213:DD213)</f>
        <v>0</v>
      </c>
      <c r="DO213" s="646">
        <f>SUM(DE213:DG213)</f>
        <v>0</v>
      </c>
      <c r="DP213" s="646">
        <f>SUM(DH213:DJ213)</f>
        <v>0</v>
      </c>
      <c r="DQ213" s="646">
        <f>SUM(DK213:DM213)</f>
        <v>0</v>
      </c>
      <c r="DR213" s="646">
        <f>SUM(DN213:DQ213)</f>
        <v>0</v>
      </c>
      <c r="DS213" s="574"/>
      <c r="DT213" s="574"/>
      <c r="DU213" s="574"/>
      <c r="DV213" s="574"/>
      <c r="DW213" s="574"/>
      <c r="DX213" s="574"/>
      <c r="DY213" s="574"/>
      <c r="DZ213" s="574"/>
      <c r="EA213" s="574"/>
      <c r="EB213" s="574"/>
      <c r="EC213" s="574"/>
      <c r="ED213" s="574"/>
      <c r="EE213" s="646">
        <f>SUM(DS213:DU213)</f>
        <v>0</v>
      </c>
      <c r="EF213" s="646">
        <f>SUM(DV213:DX213)</f>
        <v>0</v>
      </c>
      <c r="EG213" s="646">
        <f>SUM(DY213:EA213)</f>
        <v>0</v>
      </c>
      <c r="EH213" s="646">
        <f>SUM(EB213:ED213)</f>
        <v>0</v>
      </c>
      <c r="EI213" s="646">
        <f>SUM(EE213:EH213)</f>
        <v>0</v>
      </c>
      <c r="EJ213" s="574"/>
      <c r="EK213" s="574"/>
      <c r="EL213" s="574"/>
      <c r="EM213" s="574"/>
      <c r="EN213" s="574"/>
      <c r="EO213" s="574"/>
      <c r="EP213" s="574"/>
      <c r="EQ213" s="574"/>
      <c r="ER213" s="574"/>
      <c r="ES213" s="574"/>
      <c r="ET213" s="574"/>
      <c r="EU213" s="574"/>
    </row>
    <row r="214">
      <c r="A214" s="552"/>
      <c r="B214" s="552"/>
      <c r="C214" s="552"/>
      <c r="D214" s="552"/>
      <c r="E214" s="552"/>
      <c r="F214" s="552"/>
      <c r="G214" s="552"/>
      <c r="H214" s="552"/>
      <c r="I214" s="552"/>
      <c r="J214" s="552"/>
      <c r="K214" s="552"/>
      <c r="L214" s="552"/>
      <c r="M214" s="552"/>
      <c r="N214" s="552"/>
      <c r="O214" s="552"/>
      <c r="P214" s="552"/>
      <c r="Q214" s="552"/>
      <c r="R214" s="552"/>
      <c r="S214" s="552"/>
      <c r="T214" s="552"/>
      <c r="U214" s="552"/>
      <c r="V214" s="552"/>
      <c r="W214" s="552"/>
      <c r="X214" s="552"/>
      <c r="Y214" s="552"/>
      <c r="Z214" s="552"/>
      <c r="AA214" s="552"/>
      <c r="AB214" s="552"/>
      <c r="AC214" s="552"/>
      <c r="AD214" s="552"/>
      <c r="AE214" s="552"/>
      <c r="AF214" s="552"/>
      <c r="AG214" s="552"/>
      <c r="AH214" s="552"/>
      <c r="AI214" s="552"/>
      <c r="AJ214" s="552"/>
      <c r="AK214" s="552"/>
      <c r="AL214" s="552"/>
      <c r="AM214" s="552"/>
      <c r="AN214" s="552"/>
      <c r="AO214" s="552"/>
      <c r="AP214" s="552"/>
      <c r="AQ214" s="552"/>
      <c r="AR214" s="552"/>
      <c r="AS214" s="552"/>
      <c r="AT214" s="552"/>
      <c r="AU214" s="552"/>
      <c r="AV214" s="552"/>
      <c r="AW214" s="552"/>
      <c r="AX214" s="552"/>
      <c r="AY214" s="552"/>
      <c r="AZ214" s="552"/>
      <c r="BA214" s="552"/>
      <c r="BB214" s="552"/>
      <c r="BC214" s="552"/>
      <c r="BD214" s="552"/>
      <c r="BE214" s="552"/>
      <c r="BF214" s="552"/>
      <c r="BG214" s="552"/>
      <c r="BH214" s="552"/>
      <c r="BI214" s="552"/>
      <c r="BJ214" s="552"/>
      <c r="BK214" s="552"/>
      <c r="BL214" s="552"/>
      <c r="BM214" s="552"/>
      <c r="BN214" s="552"/>
      <c r="BO214" s="552"/>
      <c r="BP214" s="552"/>
      <c r="BQ214" s="552"/>
      <c r="BR214" s="552"/>
      <c r="BS214" s="552"/>
      <c r="BT214" s="552"/>
      <c r="BU214" s="552"/>
      <c r="BV214" s="552"/>
      <c r="BW214" s="552"/>
      <c r="BX214" s="552"/>
      <c r="BY214" s="552"/>
      <c r="BZ214" s="552"/>
      <c r="CA214" s="552"/>
      <c r="CB214" s="552"/>
      <c r="CC214" s="552"/>
      <c r="CD214" s="552"/>
      <c r="CE214" s="552"/>
      <c r="CF214" s="12"/>
      <c r="CG214" s="12"/>
      <c r="CH214" s="12"/>
      <c r="CI214" s="12"/>
      <c r="CJ214" s="12"/>
      <c r="CK214" s="552"/>
      <c r="CL214" s="552"/>
      <c r="CM214" s="552"/>
      <c r="CN214" s="552"/>
      <c r="CO214" s="552"/>
      <c r="CP214" s="552"/>
      <c r="CQ214" s="552"/>
      <c r="CR214" s="552"/>
      <c r="CS214" s="552"/>
      <c r="CT214" s="552"/>
      <c r="CU214" s="552"/>
      <c r="CV214" s="552"/>
      <c r="CW214" s="12"/>
      <c r="CX214" s="12"/>
      <c r="CY214" s="12"/>
      <c r="CZ214" s="12"/>
      <c r="DA214" s="12"/>
      <c r="DB214" s="552"/>
      <c r="DC214" s="552"/>
      <c r="DD214" s="552"/>
      <c r="DE214" s="552"/>
      <c r="DF214" s="552"/>
      <c r="DG214" s="552"/>
      <c r="DH214" s="552"/>
      <c r="DI214" s="552"/>
      <c r="DJ214" s="552"/>
      <c r="DK214" s="552"/>
      <c r="DL214" s="552"/>
      <c r="DM214" s="552"/>
      <c r="DN214" s="12"/>
      <c r="DO214" s="12"/>
      <c r="DP214" s="12"/>
      <c r="DQ214" s="12"/>
      <c r="DR214" s="12"/>
      <c r="DS214" s="552"/>
      <c r="DT214" s="552"/>
      <c r="DU214" s="552"/>
      <c r="DV214" s="552"/>
      <c r="DW214" s="552"/>
      <c r="DX214" s="552"/>
      <c r="DY214" s="552"/>
      <c r="DZ214" s="552"/>
      <c r="EA214" s="552"/>
      <c r="EB214" s="552"/>
      <c r="EC214" s="552"/>
      <c r="ED214" s="552"/>
      <c r="EE214" s="12"/>
      <c r="EF214" s="12"/>
      <c r="EG214" s="12"/>
      <c r="EH214" s="12"/>
      <c r="EI214" s="12"/>
      <c r="EJ214" s="574"/>
      <c r="EK214" s="574"/>
      <c r="EL214" s="574"/>
      <c r="EM214" s="574"/>
      <c r="EN214" s="574"/>
      <c r="EO214" s="574"/>
      <c r="EP214" s="574"/>
      <c r="EQ214" s="574"/>
      <c r="ER214" s="574"/>
      <c r="ES214" s="574"/>
      <c r="ET214" s="574"/>
      <c r="EU214" s="574"/>
    </row>
    <row r="215">
      <c r="A215" s="552"/>
      <c r="B215" s="552"/>
      <c r="C215" s="552"/>
      <c r="D215" s="552"/>
      <c r="E215" s="552"/>
      <c r="F215" s="552"/>
      <c r="G215" s="552"/>
      <c r="H215" s="552"/>
      <c r="I215" s="552"/>
      <c r="J215" s="552"/>
      <c r="K215" s="552"/>
      <c r="L215" s="552"/>
      <c r="M215" s="552"/>
      <c r="N215" s="552"/>
      <c r="O215" s="552"/>
      <c r="P215" s="552"/>
      <c r="Q215" s="552"/>
      <c r="R215" s="552"/>
      <c r="S215" s="552"/>
      <c r="T215" s="552"/>
      <c r="U215" s="552"/>
      <c r="V215" s="552"/>
      <c r="W215" s="552"/>
      <c r="X215" s="552"/>
      <c r="Y215" s="552"/>
      <c r="Z215" s="552"/>
      <c r="AA215" s="552"/>
      <c r="AB215" s="552"/>
      <c r="AC215" s="552"/>
      <c r="AD215" s="552"/>
      <c r="AE215" s="552"/>
      <c r="AF215" s="552"/>
      <c r="AG215" s="552"/>
      <c r="AH215" s="552"/>
      <c r="AI215" s="552"/>
      <c r="AJ215" s="552"/>
      <c r="AK215" s="552"/>
      <c r="AL215" s="552"/>
      <c r="AM215" s="552"/>
      <c r="AN215" s="552"/>
      <c r="AO215" s="552"/>
      <c r="AP215" s="552"/>
      <c r="AQ215" s="552"/>
      <c r="AR215" s="552"/>
      <c r="AS215" s="552"/>
      <c r="AT215" s="552"/>
      <c r="AU215" s="552"/>
      <c r="AV215" s="552"/>
      <c r="AW215" s="552"/>
      <c r="AX215" s="552"/>
      <c r="AY215" s="552"/>
      <c r="AZ215" s="552"/>
      <c r="BA215" s="552"/>
      <c r="BB215" s="552"/>
      <c r="BC215" s="552"/>
      <c r="BD215" s="552"/>
      <c r="BE215" s="552"/>
      <c r="BF215" s="552"/>
      <c r="BG215" s="552"/>
      <c r="BH215" s="552"/>
      <c r="BI215" s="552"/>
      <c r="BJ215" s="552"/>
      <c r="BK215" s="552"/>
      <c r="BL215" s="552"/>
      <c r="BM215" s="552"/>
      <c r="BN215" s="552"/>
      <c r="BO215" s="552"/>
      <c r="BP215" s="552"/>
      <c r="BQ215" s="552"/>
      <c r="BR215" s="552"/>
      <c r="BS215" s="552"/>
      <c r="BT215" s="552"/>
      <c r="BU215" s="552"/>
      <c r="BV215" s="552"/>
      <c r="BW215" s="552"/>
      <c r="BX215" s="552"/>
      <c r="BY215" s="552"/>
      <c r="BZ215" s="552"/>
      <c r="CA215" s="552"/>
      <c r="CB215" s="552"/>
      <c r="CC215" s="552"/>
      <c r="CD215" s="552"/>
      <c r="CE215" s="552"/>
      <c r="CF215" s="12"/>
      <c r="CG215" s="12"/>
      <c r="CH215" s="12"/>
      <c r="CI215" s="12"/>
      <c r="CJ215" s="12"/>
      <c r="CK215" s="552"/>
      <c r="CL215" s="552"/>
      <c r="CM215" s="552"/>
      <c r="CN215" s="552"/>
      <c r="CO215" s="552"/>
      <c r="CP215" s="552"/>
      <c r="CQ215" s="552"/>
      <c r="CR215" s="552"/>
      <c r="CS215" s="552"/>
      <c r="CT215" s="552"/>
      <c r="CU215" s="552"/>
      <c r="CV215" s="552"/>
      <c r="CW215" s="12"/>
      <c r="CX215" s="12"/>
      <c r="CY215" s="12"/>
      <c r="CZ215" s="12"/>
      <c r="DA215" s="12"/>
      <c r="DB215" s="552"/>
      <c r="DC215" s="552"/>
      <c r="DD215" s="552"/>
      <c r="DE215" s="552"/>
      <c r="DF215" s="552"/>
      <c r="DG215" s="552"/>
      <c r="DH215" s="552"/>
      <c r="DI215" s="552"/>
      <c r="DJ215" s="552"/>
      <c r="DK215" s="552"/>
      <c r="DL215" s="552"/>
      <c r="DM215" s="552"/>
      <c r="DN215" s="12"/>
      <c r="DO215" s="12"/>
      <c r="DP215" s="12"/>
      <c r="DQ215" s="12"/>
      <c r="DR215" s="12"/>
      <c r="DS215" s="552"/>
      <c r="DT215" s="552"/>
      <c r="DU215" s="552"/>
      <c r="DV215" s="552"/>
      <c r="DW215" s="552"/>
      <c r="DX215" s="552"/>
      <c r="DY215" s="552"/>
      <c r="DZ215" s="552"/>
      <c r="EA215" s="552"/>
      <c r="EB215" s="552"/>
      <c r="EC215" s="552"/>
      <c r="ED215" s="552"/>
      <c r="EE215" s="12"/>
      <c r="EF215" s="12"/>
      <c r="EG215" s="12"/>
      <c r="EH215" s="12"/>
      <c r="EI215" s="12"/>
      <c r="EJ215" s="574"/>
      <c r="EK215" s="574"/>
      <c r="EL215" s="574"/>
      <c r="EM215" s="574"/>
      <c r="EN215" s="574"/>
      <c r="EO215" s="574"/>
      <c r="EP215" s="574"/>
      <c r="EQ215" s="574"/>
      <c r="ER215" s="574"/>
      <c r="ES215" s="574"/>
      <c r="ET215" s="574"/>
      <c r="EU215" s="574"/>
    </row>
    <row r="216">
      <c r="A216" s="552"/>
      <c r="B216" s="552"/>
      <c r="C216" s="552"/>
      <c r="D216" s="552"/>
      <c r="E216" s="552"/>
      <c r="F216" s="552"/>
      <c r="G216" s="552"/>
      <c r="H216" s="552"/>
      <c r="I216" s="552"/>
      <c r="J216" s="552"/>
      <c r="K216" s="552"/>
      <c r="L216" s="552"/>
      <c r="M216" s="552"/>
      <c r="N216" s="552"/>
      <c r="O216" s="552"/>
      <c r="P216" s="552"/>
      <c r="Q216" s="552"/>
      <c r="R216" s="552"/>
      <c r="S216" s="552"/>
      <c r="T216" s="552"/>
      <c r="U216" s="552"/>
      <c r="V216" s="552"/>
      <c r="W216" s="552"/>
      <c r="X216" s="552"/>
      <c r="Y216" s="552"/>
      <c r="Z216" s="552"/>
      <c r="AA216" s="552"/>
      <c r="AB216" s="552"/>
      <c r="AC216" s="552"/>
      <c r="AD216" s="552"/>
      <c r="AE216" s="552"/>
      <c r="AF216" s="552"/>
      <c r="AG216" s="552"/>
      <c r="AH216" s="552"/>
      <c r="AI216" s="552"/>
      <c r="AJ216" s="552"/>
      <c r="AK216" s="552"/>
      <c r="AL216" s="552"/>
      <c r="AM216" s="552"/>
      <c r="AN216" s="552"/>
      <c r="AO216" s="552"/>
      <c r="AP216" s="552"/>
      <c r="AQ216" s="552"/>
      <c r="AR216" s="552"/>
      <c r="AS216" s="552"/>
      <c r="AT216" s="552"/>
      <c r="AU216" s="552"/>
      <c r="AV216" s="552"/>
      <c r="AW216" s="552"/>
      <c r="AX216" s="552"/>
      <c r="AY216" s="552"/>
      <c r="AZ216" s="552"/>
      <c r="BA216" s="552"/>
      <c r="BB216" s="552"/>
      <c r="BC216" s="552"/>
      <c r="BD216" s="552"/>
      <c r="BE216" s="552"/>
      <c r="BF216" s="552"/>
      <c r="BG216" s="552"/>
      <c r="BH216" s="552"/>
      <c r="BI216" s="552"/>
      <c r="BJ216" s="552"/>
      <c r="BK216" s="552"/>
      <c r="BL216" s="552"/>
      <c r="BM216" s="552"/>
      <c r="BN216" s="552"/>
      <c r="BO216" s="552"/>
      <c r="BP216" s="552"/>
      <c r="BQ216" s="552"/>
      <c r="BR216" s="552"/>
      <c r="BS216" s="552"/>
      <c r="BT216" s="552"/>
      <c r="BU216" s="552"/>
      <c r="BV216" s="552"/>
      <c r="BW216" s="552"/>
      <c r="BX216" s="552"/>
      <c r="BY216" s="552"/>
      <c r="BZ216" s="552"/>
      <c r="CA216" s="552"/>
      <c r="CB216" s="552"/>
      <c r="CC216" s="552"/>
      <c r="CD216" s="552"/>
      <c r="CE216" s="552"/>
      <c r="CF216" s="12"/>
      <c r="CG216" s="12"/>
      <c r="CH216" s="12"/>
      <c r="CI216" s="12"/>
      <c r="CJ216" s="12"/>
      <c r="CK216" s="552"/>
      <c r="CL216" s="552"/>
      <c r="CM216" s="552"/>
      <c r="CN216" s="552"/>
      <c r="CO216" s="552"/>
      <c r="CP216" s="552"/>
      <c r="CQ216" s="552"/>
      <c r="CR216" s="552"/>
      <c r="CS216" s="552"/>
      <c r="CT216" s="552"/>
      <c r="CU216" s="552"/>
      <c r="CV216" s="552"/>
      <c r="CW216" s="12"/>
      <c r="CX216" s="12"/>
      <c r="CY216" s="12"/>
      <c r="CZ216" s="12"/>
      <c r="DA216" s="12"/>
      <c r="DB216" s="552"/>
      <c r="DC216" s="552"/>
      <c r="DD216" s="552"/>
      <c r="DE216" s="552"/>
      <c r="DF216" s="552"/>
      <c r="DG216" s="552"/>
      <c r="DH216" s="552"/>
      <c r="DI216" s="552"/>
      <c r="DJ216" s="552"/>
      <c r="DK216" s="552"/>
      <c r="DL216" s="552"/>
      <c r="DM216" s="552"/>
      <c r="DN216" s="12"/>
      <c r="DO216" s="12"/>
      <c r="DP216" s="12"/>
      <c r="DQ216" s="12"/>
      <c r="DR216" s="12"/>
      <c r="DS216" s="552"/>
      <c r="DT216" s="552"/>
      <c r="DU216" s="552"/>
      <c r="DV216" s="552"/>
      <c r="DW216" s="552"/>
      <c r="DX216" s="552"/>
      <c r="DY216" s="552"/>
      <c r="DZ216" s="552"/>
      <c r="EA216" s="552"/>
      <c r="EB216" s="552"/>
      <c r="EC216" s="552"/>
      <c r="ED216" s="552"/>
      <c r="EE216" s="12"/>
      <c r="EF216" s="12"/>
      <c r="EG216" s="12"/>
      <c r="EH216" s="12"/>
      <c r="EI216" s="12"/>
      <c r="EJ216" s="574"/>
      <c r="EK216" s="574"/>
      <c r="EL216" s="574"/>
      <c r="EM216" s="574"/>
      <c r="EN216" s="574"/>
      <c r="EO216" s="574"/>
      <c r="EP216" s="574"/>
      <c r="EQ216" s="574"/>
      <c r="ER216" s="574"/>
      <c r="ES216" s="574"/>
      <c r="ET216" s="574"/>
      <c r="EU216" s="574"/>
    </row>
    <row r="217">
      <c r="A217" s="552"/>
      <c r="B217" s="572" t="s">
        <v>304</v>
      </c>
      <c r="C217" s="552"/>
      <c r="D217" s="552"/>
      <c r="E217" s="552"/>
      <c r="F217" s="552"/>
      <c r="G217" s="552"/>
      <c r="H217" s="552"/>
      <c r="I217" s="552"/>
      <c r="J217" s="552"/>
      <c r="K217" s="552"/>
      <c r="L217" s="552"/>
      <c r="M217" s="552"/>
      <c r="N217" s="552"/>
      <c r="O217" s="552"/>
      <c r="P217" s="552"/>
      <c r="Q217" s="552"/>
      <c r="R217" s="552"/>
      <c r="S217" s="552"/>
      <c r="T217" s="552"/>
      <c r="U217" s="552"/>
      <c r="V217" s="552"/>
      <c r="W217" s="552"/>
      <c r="X217" s="552"/>
      <c r="Y217" s="552"/>
      <c r="Z217" s="552"/>
      <c r="AA217" s="552"/>
      <c r="AB217" s="552"/>
      <c r="AC217" s="552"/>
      <c r="AD217" s="552"/>
      <c r="AE217" s="552"/>
      <c r="AF217" s="552"/>
      <c r="AG217" s="552"/>
      <c r="AH217" s="552"/>
      <c r="AI217" s="552"/>
      <c r="AJ217" s="552"/>
      <c r="AK217" s="552"/>
      <c r="AL217" s="552"/>
      <c r="AM217" s="552"/>
      <c r="AN217" s="552"/>
      <c r="AO217" s="552"/>
      <c r="AP217" s="552"/>
      <c r="AQ217" s="552"/>
      <c r="AR217" s="552"/>
      <c r="AS217" s="552"/>
      <c r="AT217" s="552"/>
      <c r="AU217" s="552"/>
      <c r="AV217" s="552"/>
      <c r="AW217" s="552"/>
      <c r="AX217" s="552"/>
      <c r="AY217" s="552"/>
      <c r="AZ217" s="552"/>
      <c r="BA217" s="552"/>
      <c r="BB217" s="552"/>
      <c r="BC217" s="552"/>
      <c r="BD217" s="552"/>
      <c r="BE217" s="552"/>
      <c r="BF217" s="552"/>
      <c r="BG217" s="552"/>
      <c r="BH217" s="552"/>
      <c r="BI217" s="552"/>
      <c r="BJ217" s="552"/>
      <c r="BK217" s="552"/>
      <c r="BL217" s="552"/>
      <c r="BM217" s="552"/>
      <c r="BN217" s="552"/>
      <c r="BO217" s="552"/>
      <c r="BP217" s="552"/>
      <c r="BQ217" s="552"/>
      <c r="BR217" s="552"/>
      <c r="BS217" s="552"/>
      <c r="BT217" s="552"/>
      <c r="BU217" s="552"/>
      <c r="BV217" s="552"/>
      <c r="BW217" s="552"/>
      <c r="BX217" s="552"/>
      <c r="BY217" s="552"/>
      <c r="BZ217" s="552"/>
      <c r="CA217" s="552"/>
      <c r="CB217" s="552"/>
      <c r="CC217" s="552"/>
      <c r="CD217" s="552"/>
      <c r="CE217" s="552"/>
      <c r="CF217" s="12"/>
      <c r="CG217" s="12"/>
      <c r="CH217" s="12"/>
      <c r="CI217" s="12"/>
      <c r="CJ217" s="12"/>
      <c r="CK217" s="552"/>
      <c r="CL217" s="552"/>
      <c r="CM217" s="552"/>
      <c r="CN217" s="552"/>
      <c r="CO217" s="552"/>
      <c r="CP217" s="552"/>
      <c r="CQ217" s="552"/>
      <c r="CR217" s="552"/>
      <c r="CS217" s="552"/>
      <c r="CT217" s="552"/>
      <c r="CU217" s="552"/>
      <c r="CV217" s="552"/>
      <c r="CW217" s="12"/>
      <c r="CX217" s="12"/>
      <c r="CY217" s="12"/>
      <c r="CZ217" s="12"/>
      <c r="DA217" s="12"/>
      <c r="DB217" s="552"/>
      <c r="DC217" s="552"/>
      <c r="DD217" s="552"/>
      <c r="DE217" s="552"/>
      <c r="DF217" s="552"/>
      <c r="DG217" s="552"/>
      <c r="DH217" s="552"/>
      <c r="DI217" s="552"/>
      <c r="DJ217" s="552"/>
      <c r="DK217" s="552"/>
      <c r="DL217" s="552"/>
      <c r="DM217" s="552"/>
      <c r="DN217" s="12"/>
      <c r="DO217" s="12"/>
      <c r="DP217" s="12"/>
      <c r="DQ217" s="12"/>
      <c r="DR217" s="12"/>
      <c r="DS217" s="552"/>
      <c r="DT217" s="552"/>
      <c r="DU217" s="552"/>
      <c r="DV217" s="552"/>
      <c r="DW217" s="552"/>
      <c r="DX217" s="552"/>
      <c r="DY217" s="552"/>
      <c r="DZ217" s="552"/>
      <c r="EA217" s="552"/>
      <c r="EB217" s="552"/>
      <c r="EC217" s="552"/>
      <c r="ED217" s="552"/>
      <c r="EE217" s="12"/>
      <c r="EF217" s="12"/>
      <c r="EG217" s="12"/>
      <c r="EH217" s="12"/>
      <c r="EI217" s="12"/>
      <c r="EJ217" s="574"/>
      <c r="EK217" s="574"/>
      <c r="EL217" s="574"/>
      <c r="EM217" s="574"/>
      <c r="EN217" s="574"/>
      <c r="EO217" s="574"/>
      <c r="EP217" s="574"/>
      <c r="EQ217" s="574"/>
      <c r="ER217" s="574"/>
      <c r="ES217" s="574"/>
      <c r="ET217" s="574"/>
      <c r="EU217" s="574"/>
    </row>
    <row r="218">
      <c r="A218" s="552"/>
      <c r="B218" s="552"/>
      <c r="C218" s="552"/>
      <c r="D218" s="552"/>
      <c r="E218" s="552"/>
      <c r="F218" s="552"/>
      <c r="G218" s="552"/>
      <c r="H218" s="552"/>
      <c r="I218" s="552"/>
      <c r="J218" s="552"/>
      <c r="K218" s="552"/>
      <c r="L218" s="552"/>
      <c r="M218" s="552"/>
      <c r="N218" s="552"/>
      <c r="O218" s="552"/>
      <c r="P218" s="552"/>
      <c r="Q218" s="552"/>
      <c r="R218" s="552"/>
      <c r="S218" s="552"/>
      <c r="T218" s="552"/>
      <c r="U218" s="552"/>
      <c r="V218" s="552"/>
      <c r="W218" s="552"/>
      <c r="X218" s="552"/>
      <c r="Y218" s="552"/>
      <c r="Z218" s="552"/>
      <c r="AA218" s="552"/>
      <c r="AB218" s="552"/>
      <c r="AC218" s="552"/>
      <c r="AD218" s="552"/>
      <c r="AE218" s="552"/>
      <c r="AF218" s="552"/>
      <c r="AG218" s="552"/>
      <c r="AH218" s="552"/>
      <c r="AI218" s="552"/>
      <c r="AJ218" s="552"/>
      <c r="AK218" s="552"/>
      <c r="AL218" s="552"/>
      <c r="AM218" s="552"/>
      <c r="AN218" s="552"/>
      <c r="AO218" s="552"/>
      <c r="AP218" s="552"/>
      <c r="AQ218" s="552"/>
      <c r="AR218" s="552"/>
      <c r="AS218" s="552"/>
      <c r="AT218" s="552"/>
      <c r="AU218" s="552"/>
      <c r="AV218" s="552"/>
      <c r="AW218" s="552"/>
      <c r="AX218" s="552"/>
      <c r="AY218" s="552"/>
      <c r="AZ218" s="552"/>
      <c r="BA218" s="552"/>
      <c r="BB218" s="552"/>
      <c r="BC218" s="552"/>
      <c r="BD218" s="552"/>
      <c r="BE218" s="552"/>
      <c r="BF218" s="552"/>
      <c r="BG218" s="552"/>
      <c r="BH218" s="552"/>
      <c r="BI218" s="552"/>
      <c r="BJ218" s="552"/>
      <c r="BK218" s="552"/>
      <c r="BL218" s="552"/>
      <c r="BM218" s="552"/>
      <c r="BN218" s="552"/>
      <c r="BO218" s="552"/>
      <c r="BP218" s="552"/>
      <c r="BQ218" s="552"/>
      <c r="BR218" s="552"/>
      <c r="BS218" s="552"/>
      <c r="BT218" s="552"/>
      <c r="BU218" s="552"/>
      <c r="BV218" s="552"/>
      <c r="BW218" s="552"/>
      <c r="BX218" s="552"/>
      <c r="BY218" s="552"/>
      <c r="BZ218" s="552"/>
      <c r="CA218" s="552"/>
      <c r="CB218" s="552"/>
      <c r="CC218" s="552"/>
      <c r="CD218" s="552"/>
      <c r="CE218" s="552"/>
      <c r="CF218" s="12"/>
      <c r="CG218" s="12"/>
      <c r="CH218" s="12"/>
      <c r="CI218" s="12"/>
      <c r="CJ218" s="12"/>
      <c r="CK218" s="552"/>
      <c r="CL218" s="552"/>
      <c r="CM218" s="552"/>
      <c r="CN218" s="552"/>
      <c r="CO218" s="552"/>
      <c r="CP218" s="552"/>
      <c r="CQ218" s="552"/>
      <c r="CR218" s="552"/>
      <c r="CS218" s="552"/>
      <c r="CT218" s="552"/>
      <c r="CU218" s="552"/>
      <c r="CV218" s="552"/>
      <c r="CW218" s="12"/>
      <c r="CX218" s="12"/>
      <c r="CY218" s="12"/>
      <c r="CZ218" s="12"/>
      <c r="DA218" s="12"/>
      <c r="DB218" s="552"/>
      <c r="DC218" s="552"/>
      <c r="DD218" s="552"/>
      <c r="DE218" s="552"/>
      <c r="DF218" s="552"/>
      <c r="DG218" s="552"/>
      <c r="DH218" s="552"/>
      <c r="DI218" s="552"/>
      <c r="DJ218" s="552"/>
      <c r="DK218" s="552"/>
      <c r="DL218" s="552"/>
      <c r="DM218" s="552"/>
      <c r="DN218" s="12"/>
      <c r="DO218" s="12"/>
      <c r="DP218" s="12"/>
      <c r="DQ218" s="12"/>
      <c r="DR218" s="12"/>
      <c r="DS218" s="552"/>
      <c r="DT218" s="552"/>
      <c r="DU218" s="552"/>
      <c r="DV218" s="552"/>
      <c r="DW218" s="552"/>
      <c r="DX218" s="552"/>
      <c r="DY218" s="552"/>
      <c r="DZ218" s="552"/>
      <c r="EA218" s="552"/>
      <c r="EB218" s="552"/>
      <c r="EC218" s="552"/>
      <c r="ED218" s="552"/>
      <c r="EE218" s="12"/>
      <c r="EF218" s="12"/>
      <c r="EG218" s="12"/>
      <c r="EH218" s="12"/>
      <c r="EI218" s="12"/>
      <c r="EJ218" s="574"/>
      <c r="EK218" s="574"/>
      <c r="EL218" s="574"/>
      <c r="EM218" s="574"/>
      <c r="EN218" s="574"/>
      <c r="EO218" s="574"/>
      <c r="EP218" s="574"/>
      <c r="EQ218" s="574"/>
      <c r="ER218" s="574"/>
      <c r="ES218" s="574"/>
      <c r="ET218" s="574"/>
      <c r="EU218" s="574"/>
    </row>
    <row r="219">
      <c r="A219" s="577">
        <v>7404.0</v>
      </c>
      <c r="B219" s="552" t="s">
        <v>220</v>
      </c>
      <c r="C219" s="552"/>
      <c r="D219" s="552"/>
      <c r="E219" s="552"/>
      <c r="F219" s="552"/>
      <c r="G219" s="552"/>
      <c r="H219" s="552"/>
      <c r="I219" s="552"/>
      <c r="J219" s="552"/>
      <c r="K219" s="552"/>
      <c r="L219" s="552"/>
      <c r="M219" s="552"/>
      <c r="N219" s="552"/>
      <c r="O219" s="552"/>
      <c r="P219" s="552"/>
      <c r="Q219" s="552"/>
      <c r="R219" s="552"/>
      <c r="S219" s="552"/>
      <c r="T219" s="552"/>
      <c r="U219" s="552"/>
      <c r="V219" s="552"/>
      <c r="W219" s="552"/>
      <c r="X219" s="552"/>
      <c r="Y219" s="552"/>
      <c r="Z219" s="552"/>
      <c r="AA219" s="552"/>
      <c r="AB219" s="552"/>
      <c r="AC219" s="552"/>
      <c r="AD219" s="552"/>
      <c r="AE219" s="552"/>
      <c r="AF219" s="552"/>
      <c r="AG219" s="552"/>
      <c r="AH219" s="552"/>
      <c r="AI219" s="552"/>
      <c r="AJ219" s="552"/>
      <c r="AK219" s="552"/>
      <c r="AL219" s="552"/>
      <c r="AM219" s="552"/>
      <c r="AN219" s="552"/>
      <c r="AO219" s="552"/>
      <c r="AP219" s="552"/>
      <c r="AQ219" s="552"/>
      <c r="AR219" s="552"/>
      <c r="AS219" s="552"/>
      <c r="AT219" s="552"/>
      <c r="AU219" s="552"/>
      <c r="AV219" s="552"/>
      <c r="AW219" s="552"/>
      <c r="AX219" s="552"/>
      <c r="AY219" s="552"/>
      <c r="AZ219" s="552"/>
      <c r="BA219" s="552"/>
      <c r="BB219" s="552"/>
      <c r="BC219" s="552"/>
      <c r="BD219" s="552"/>
      <c r="BE219" s="552"/>
      <c r="BF219" s="552"/>
      <c r="BG219" s="552"/>
      <c r="BH219" s="552"/>
      <c r="BI219" s="552"/>
      <c r="BJ219" s="552"/>
      <c r="BK219" s="552"/>
      <c r="BL219" s="552"/>
      <c r="BM219" s="552"/>
      <c r="BN219" s="552"/>
      <c r="BO219" s="552"/>
      <c r="BP219" s="552"/>
      <c r="BQ219" s="552"/>
      <c r="BR219" s="552"/>
      <c r="BS219" s="552"/>
      <c r="BT219" s="577">
        <v>14962.13861026</v>
      </c>
      <c r="BU219" s="577">
        <v>28464.18974855</v>
      </c>
      <c r="BV219" s="577">
        <v>27661.67439479</v>
      </c>
      <c r="BW219" s="577">
        <v>14128.59249618</v>
      </c>
      <c r="BX219" s="577">
        <v>86198.40520861</v>
      </c>
      <c r="BY219" s="577">
        <v>133694.64500594</v>
      </c>
      <c r="BZ219" s="577">
        <v>97343.56134726</v>
      </c>
      <c r="CA219" s="577">
        <v>88594.30116934</v>
      </c>
      <c r="CB219" s="577">
        <v>128315.5836621</v>
      </c>
      <c r="CC219" s="577">
        <v>131116.63462196</v>
      </c>
      <c r="CD219" s="577">
        <v>114108.05557604</v>
      </c>
      <c r="CE219" s="577">
        <v>127127.79005461</v>
      </c>
      <c r="CF219" s="664">
        <f>SUM(BT219:BV219)</f>
        <v>71088.00275</v>
      </c>
      <c r="CG219" s="664">
        <f>SUM(BW219:BY219)</f>
        <v>234021.6427</v>
      </c>
      <c r="CH219" s="664">
        <f>SUM(BZ219:CB219)</f>
        <v>314253.4462</v>
      </c>
      <c r="CI219" s="664">
        <f>SUM(CC219:CE219)</f>
        <v>372352.4803</v>
      </c>
      <c r="CJ219" s="664">
        <f>SUM(CF219:CI219)</f>
        <v>991715.5719</v>
      </c>
      <c r="CK219" s="552"/>
      <c r="CL219" s="552"/>
      <c r="CM219" s="552"/>
      <c r="CN219" s="552"/>
      <c r="CO219" s="552"/>
      <c r="CP219" s="552"/>
      <c r="CQ219" s="552"/>
      <c r="CR219" s="552"/>
      <c r="CS219" s="552"/>
      <c r="CT219" s="552"/>
      <c r="CU219" s="552"/>
      <c r="CV219" s="552"/>
      <c r="CW219" s="664">
        <f>SUM(CK219:CM219)</f>
        <v>0</v>
      </c>
      <c r="CX219" s="664">
        <f>SUM(CN219:CP219)</f>
        <v>0</v>
      </c>
      <c r="CY219" s="664">
        <f>SUM(CQ219:CS219)</f>
        <v>0</v>
      </c>
      <c r="CZ219" s="664">
        <f>SUM(CT219:CV219)</f>
        <v>0</v>
      </c>
      <c r="DA219" s="664">
        <f>SUM(CW219:CZ219)</f>
        <v>0</v>
      </c>
      <c r="DB219" s="552"/>
      <c r="DC219" s="552"/>
      <c r="DD219" s="552"/>
      <c r="DE219" s="552"/>
      <c r="DF219" s="552"/>
      <c r="DG219" s="552"/>
      <c r="DH219" s="552"/>
      <c r="DI219" s="552"/>
      <c r="DJ219" s="552"/>
      <c r="DK219" s="552"/>
      <c r="DL219" s="552"/>
      <c r="DM219" s="552"/>
      <c r="DN219" s="664">
        <f>SUM(DB219:DD219)</f>
        <v>0</v>
      </c>
      <c r="DO219" s="664">
        <f>SUM(DE219:DG219)</f>
        <v>0</v>
      </c>
      <c r="DP219" s="664">
        <f>SUM(DH219:DJ219)</f>
        <v>0</v>
      </c>
      <c r="DQ219" s="664">
        <f>SUM(DK219:DM219)</f>
        <v>0</v>
      </c>
      <c r="DR219" s="664">
        <f>SUM(DN219:DQ219)</f>
        <v>0</v>
      </c>
      <c r="DS219" s="552"/>
      <c r="DT219" s="552"/>
      <c r="DU219" s="552"/>
      <c r="DV219" s="552"/>
      <c r="DW219" s="552"/>
      <c r="DX219" s="552"/>
      <c r="DY219" s="552"/>
      <c r="DZ219" s="552"/>
      <c r="EA219" s="552"/>
      <c r="EB219" s="552"/>
      <c r="EC219" s="552"/>
      <c r="ED219" s="552"/>
      <c r="EE219" s="664">
        <f>SUM(DS219:DU219)</f>
        <v>0</v>
      </c>
      <c r="EF219" s="664">
        <f>SUM(DV219:DX219)</f>
        <v>0</v>
      </c>
      <c r="EG219" s="664">
        <f>SUM(DY219:EA219)</f>
        <v>0</v>
      </c>
      <c r="EH219" s="664">
        <f>SUM(EB219:ED219)</f>
        <v>0</v>
      </c>
      <c r="EI219" s="664">
        <f>SUM(EE219:EH219)</f>
        <v>0</v>
      </c>
      <c r="EJ219" s="574"/>
      <c r="EK219" s="574"/>
      <c r="EL219" s="574"/>
      <c r="EM219" s="574"/>
      <c r="EN219" s="574"/>
      <c r="EO219" s="574"/>
      <c r="EP219" s="574"/>
      <c r="EQ219" s="574"/>
      <c r="ER219" s="574"/>
      <c r="ES219" s="574"/>
      <c r="ET219" s="574"/>
      <c r="EU219" s="574"/>
    </row>
    <row r="220">
      <c r="A220" s="552"/>
      <c r="B220" s="552" t="s">
        <v>305</v>
      </c>
      <c r="C220" s="552"/>
      <c r="D220" s="552"/>
      <c r="E220" s="552"/>
      <c r="F220" s="552"/>
      <c r="G220" s="552"/>
      <c r="H220" s="552"/>
      <c r="I220" s="552"/>
      <c r="J220" s="552"/>
      <c r="K220" s="552"/>
      <c r="L220" s="552"/>
      <c r="M220" s="552"/>
      <c r="N220" s="552"/>
      <c r="O220" s="552"/>
      <c r="P220" s="552"/>
      <c r="Q220" s="552"/>
      <c r="R220" s="552"/>
      <c r="S220" s="552"/>
      <c r="T220" s="552"/>
      <c r="U220" s="552"/>
      <c r="V220" s="552"/>
      <c r="W220" s="552"/>
      <c r="X220" s="552"/>
      <c r="Y220" s="552"/>
      <c r="Z220" s="552"/>
      <c r="AA220" s="552"/>
      <c r="AB220" s="552"/>
      <c r="AC220" s="552"/>
      <c r="AD220" s="552"/>
      <c r="AE220" s="552"/>
      <c r="AF220" s="552"/>
      <c r="AG220" s="552"/>
      <c r="AH220" s="552"/>
      <c r="AI220" s="552"/>
      <c r="AJ220" s="552"/>
      <c r="AK220" s="552"/>
      <c r="AL220" s="552"/>
      <c r="AM220" s="552"/>
      <c r="AN220" s="552"/>
      <c r="AO220" s="552"/>
      <c r="AP220" s="552"/>
      <c r="AQ220" s="552"/>
      <c r="AR220" s="552"/>
      <c r="AS220" s="552"/>
      <c r="AT220" s="552"/>
      <c r="AU220" s="552"/>
      <c r="AV220" s="552"/>
      <c r="AW220" s="552"/>
      <c r="AX220" s="552"/>
      <c r="AY220" s="552"/>
      <c r="AZ220" s="552"/>
      <c r="BA220" s="552"/>
      <c r="BB220" s="552"/>
      <c r="BC220" s="552"/>
      <c r="BD220" s="552"/>
      <c r="BE220" s="552"/>
      <c r="BF220" s="552"/>
      <c r="BG220" s="552"/>
      <c r="BH220" s="552"/>
      <c r="BI220" s="552"/>
      <c r="BJ220" s="552"/>
      <c r="BK220" s="552"/>
      <c r="BL220" s="552"/>
      <c r="BM220" s="552"/>
      <c r="BN220" s="552"/>
      <c r="BO220" s="552"/>
      <c r="BP220" s="552"/>
      <c r="BQ220" s="552"/>
      <c r="BR220" s="552"/>
      <c r="BS220" s="552"/>
      <c r="BT220" s="618">
        <f t="shared" ref="BT220:EI220" si="337">BT219/BT136</f>
        <v>0.381294</v>
      </c>
      <c r="BU220" s="618">
        <f t="shared" si="337"/>
        <v>0.3299514817</v>
      </c>
      <c r="BV220" s="618">
        <f t="shared" si="337"/>
        <v>0.3734707867</v>
      </c>
      <c r="BW220" s="618">
        <f t="shared" si="337"/>
        <v>0.3723997293</v>
      </c>
      <c r="BX220" s="618">
        <f t="shared" si="337"/>
        <v>0.391044019</v>
      </c>
      <c r="BY220" s="618">
        <f t="shared" si="337"/>
        <v>0.5735970494</v>
      </c>
      <c r="BZ220" s="618">
        <f t="shared" si="337"/>
        <v>0.4593365332</v>
      </c>
      <c r="CA220" s="618">
        <f t="shared" si="337"/>
        <v>0.4178320572</v>
      </c>
      <c r="CB220" s="618">
        <f t="shared" si="337"/>
        <v>0.4412797175</v>
      </c>
      <c r="CC220" s="618">
        <f t="shared" si="337"/>
        <v>0.4759825296</v>
      </c>
      <c r="CD220" s="618">
        <f t="shared" si="337"/>
        <v>0.4669613968</v>
      </c>
      <c r="CE220" s="618">
        <f t="shared" si="337"/>
        <v>0.4852973738</v>
      </c>
      <c r="CF220" s="666">
        <f t="shared" si="337"/>
        <v>0.3561974141</v>
      </c>
      <c r="CG220" s="666">
        <f t="shared" si="337"/>
        <v>0.4761842194</v>
      </c>
      <c r="CH220" s="666">
        <f t="shared" si="337"/>
        <v>0.4396776629</v>
      </c>
      <c r="CI220" s="666">
        <f t="shared" si="337"/>
        <v>0.4762839833</v>
      </c>
      <c r="CJ220" s="666">
        <f t="shared" si="337"/>
        <v>0.4533454704</v>
      </c>
      <c r="CK220" s="619" t="str">
        <f t="shared" si="337"/>
        <v>#DIV/0!</v>
      </c>
      <c r="CL220" s="619" t="str">
        <f t="shared" si="337"/>
        <v>#DIV/0!</v>
      </c>
      <c r="CM220" s="619" t="str">
        <f t="shared" si="337"/>
        <v>#DIV/0!</v>
      </c>
      <c r="CN220" s="619" t="str">
        <f t="shared" si="337"/>
        <v>#DIV/0!</v>
      </c>
      <c r="CO220" s="619" t="str">
        <f t="shared" si="337"/>
        <v>#DIV/0!</v>
      </c>
      <c r="CP220" s="619" t="str">
        <f t="shared" si="337"/>
        <v>#DIV/0!</v>
      </c>
      <c r="CQ220" s="619" t="str">
        <f t="shared" si="337"/>
        <v>#DIV/0!</v>
      </c>
      <c r="CR220" s="619" t="str">
        <f t="shared" si="337"/>
        <v>#DIV/0!</v>
      </c>
      <c r="CS220" s="619" t="str">
        <f t="shared" si="337"/>
        <v>#DIV/0!</v>
      </c>
      <c r="CT220" s="619" t="str">
        <f t="shared" si="337"/>
        <v>#DIV/0!</v>
      </c>
      <c r="CU220" s="619" t="str">
        <f t="shared" si="337"/>
        <v>#DIV/0!</v>
      </c>
      <c r="CV220" s="619" t="str">
        <f t="shared" si="337"/>
        <v>#DIV/0!</v>
      </c>
      <c r="CW220" s="667" t="str">
        <f t="shared" si="337"/>
        <v>#DIV/0!</v>
      </c>
      <c r="CX220" s="667" t="str">
        <f t="shared" si="337"/>
        <v>#DIV/0!</v>
      </c>
      <c r="CY220" s="667" t="str">
        <f t="shared" si="337"/>
        <v>#DIV/0!</v>
      </c>
      <c r="CZ220" s="667" t="str">
        <f t="shared" si="337"/>
        <v>#DIV/0!</v>
      </c>
      <c r="DA220" s="667" t="str">
        <f t="shared" si="337"/>
        <v>#DIV/0!</v>
      </c>
      <c r="DB220" s="619" t="str">
        <f t="shared" si="337"/>
        <v>#DIV/0!</v>
      </c>
      <c r="DC220" s="619" t="str">
        <f t="shared" si="337"/>
        <v>#DIV/0!</v>
      </c>
      <c r="DD220" s="619" t="str">
        <f t="shared" si="337"/>
        <v>#DIV/0!</v>
      </c>
      <c r="DE220" s="619" t="str">
        <f t="shared" si="337"/>
        <v>#DIV/0!</v>
      </c>
      <c r="DF220" s="619" t="str">
        <f t="shared" si="337"/>
        <v>#DIV/0!</v>
      </c>
      <c r="DG220" s="619" t="str">
        <f t="shared" si="337"/>
        <v>#DIV/0!</v>
      </c>
      <c r="DH220" s="619" t="str">
        <f t="shared" si="337"/>
        <v>#DIV/0!</v>
      </c>
      <c r="DI220" s="619" t="str">
        <f t="shared" si="337"/>
        <v>#DIV/0!</v>
      </c>
      <c r="DJ220" s="619" t="str">
        <f t="shared" si="337"/>
        <v>#DIV/0!</v>
      </c>
      <c r="DK220" s="619" t="str">
        <f t="shared" si="337"/>
        <v>#DIV/0!</v>
      </c>
      <c r="DL220" s="619" t="str">
        <f t="shared" si="337"/>
        <v>#DIV/0!</v>
      </c>
      <c r="DM220" s="619" t="str">
        <f t="shared" si="337"/>
        <v>#DIV/0!</v>
      </c>
      <c r="DN220" s="667" t="str">
        <f t="shared" si="337"/>
        <v>#DIV/0!</v>
      </c>
      <c r="DO220" s="667" t="str">
        <f t="shared" si="337"/>
        <v>#DIV/0!</v>
      </c>
      <c r="DP220" s="667" t="str">
        <f t="shared" si="337"/>
        <v>#DIV/0!</v>
      </c>
      <c r="DQ220" s="667" t="str">
        <f t="shared" si="337"/>
        <v>#DIV/0!</v>
      </c>
      <c r="DR220" s="667" t="str">
        <f t="shared" si="337"/>
        <v>#DIV/0!</v>
      </c>
      <c r="DS220" s="619" t="str">
        <f t="shared" si="337"/>
        <v>#DIV/0!</v>
      </c>
      <c r="DT220" s="619" t="str">
        <f t="shared" si="337"/>
        <v>#DIV/0!</v>
      </c>
      <c r="DU220" s="619" t="str">
        <f t="shared" si="337"/>
        <v>#DIV/0!</v>
      </c>
      <c r="DV220" s="619" t="str">
        <f t="shared" si="337"/>
        <v>#DIV/0!</v>
      </c>
      <c r="DW220" s="619" t="str">
        <f t="shared" si="337"/>
        <v>#DIV/0!</v>
      </c>
      <c r="DX220" s="619" t="str">
        <f t="shared" si="337"/>
        <v>#DIV/0!</v>
      </c>
      <c r="DY220" s="619" t="str">
        <f t="shared" si="337"/>
        <v>#DIV/0!</v>
      </c>
      <c r="DZ220" s="619" t="str">
        <f t="shared" si="337"/>
        <v>#DIV/0!</v>
      </c>
      <c r="EA220" s="619" t="str">
        <f t="shared" si="337"/>
        <v>#DIV/0!</v>
      </c>
      <c r="EB220" s="619" t="str">
        <f t="shared" si="337"/>
        <v>#DIV/0!</v>
      </c>
      <c r="EC220" s="619" t="str">
        <f t="shared" si="337"/>
        <v>#DIV/0!</v>
      </c>
      <c r="ED220" s="619" t="str">
        <f t="shared" si="337"/>
        <v>#DIV/0!</v>
      </c>
      <c r="EE220" s="667" t="str">
        <f t="shared" si="337"/>
        <v>#DIV/0!</v>
      </c>
      <c r="EF220" s="667" t="str">
        <f t="shared" si="337"/>
        <v>#DIV/0!</v>
      </c>
      <c r="EG220" s="667" t="str">
        <f t="shared" si="337"/>
        <v>#DIV/0!</v>
      </c>
      <c r="EH220" s="667" t="str">
        <f t="shared" si="337"/>
        <v>#DIV/0!</v>
      </c>
      <c r="EI220" s="667" t="str">
        <f t="shared" si="337"/>
        <v>#DIV/0!</v>
      </c>
      <c r="EJ220" s="574"/>
      <c r="EK220" s="574"/>
      <c r="EL220" s="574"/>
      <c r="EM220" s="574"/>
      <c r="EN220" s="574"/>
      <c r="EO220" s="574"/>
      <c r="EP220" s="574"/>
      <c r="EQ220" s="574"/>
      <c r="ER220" s="574"/>
      <c r="ES220" s="574"/>
      <c r="ET220" s="574"/>
      <c r="EU220" s="574"/>
    </row>
    <row r="221">
      <c r="A221" s="552"/>
      <c r="B221" s="552"/>
      <c r="C221" s="552"/>
      <c r="D221" s="552"/>
      <c r="E221" s="552"/>
      <c r="F221" s="552"/>
      <c r="G221" s="552"/>
      <c r="H221" s="552"/>
      <c r="I221" s="552"/>
      <c r="J221" s="552"/>
      <c r="K221" s="552"/>
      <c r="L221" s="552"/>
      <c r="M221" s="552"/>
      <c r="N221" s="552"/>
      <c r="O221" s="552"/>
      <c r="P221" s="552"/>
      <c r="Q221" s="552"/>
      <c r="R221" s="552"/>
      <c r="S221" s="552"/>
      <c r="T221" s="552"/>
      <c r="U221" s="552"/>
      <c r="V221" s="552"/>
      <c r="W221" s="552"/>
      <c r="X221" s="552"/>
      <c r="Y221" s="552"/>
      <c r="Z221" s="552"/>
      <c r="AA221" s="552"/>
      <c r="AB221" s="552"/>
      <c r="AC221" s="552"/>
      <c r="AD221" s="552"/>
      <c r="AE221" s="552"/>
      <c r="AF221" s="552"/>
      <c r="AG221" s="552"/>
      <c r="AH221" s="552"/>
      <c r="AI221" s="552"/>
      <c r="AJ221" s="552"/>
      <c r="AK221" s="552"/>
      <c r="AL221" s="552"/>
      <c r="AM221" s="552"/>
      <c r="AN221" s="552"/>
      <c r="AO221" s="552"/>
      <c r="AP221" s="552"/>
      <c r="AQ221" s="552"/>
      <c r="AR221" s="552"/>
      <c r="AS221" s="552"/>
      <c r="AT221" s="552"/>
      <c r="AU221" s="552"/>
      <c r="AV221" s="552"/>
      <c r="AW221" s="552"/>
      <c r="AX221" s="552"/>
      <c r="AY221" s="552"/>
      <c r="AZ221" s="552"/>
      <c r="BA221" s="552"/>
      <c r="BB221" s="552"/>
      <c r="BC221" s="552"/>
      <c r="BD221" s="552"/>
      <c r="BE221" s="552"/>
      <c r="BF221" s="552"/>
      <c r="BG221" s="552"/>
      <c r="BH221" s="552"/>
      <c r="BI221" s="552"/>
      <c r="BJ221" s="552"/>
      <c r="BK221" s="552"/>
      <c r="BL221" s="552"/>
      <c r="BM221" s="552"/>
      <c r="BN221" s="552"/>
      <c r="BO221" s="552"/>
      <c r="BP221" s="552"/>
      <c r="BQ221" s="552"/>
      <c r="BR221" s="552"/>
      <c r="BS221" s="552"/>
      <c r="BT221" s="552"/>
      <c r="BU221" s="552"/>
      <c r="BV221" s="552"/>
      <c r="BW221" s="552"/>
      <c r="BX221" s="552"/>
      <c r="BY221" s="552"/>
      <c r="BZ221" s="552"/>
      <c r="CA221" s="552"/>
      <c r="CB221" s="552"/>
      <c r="CC221" s="552"/>
      <c r="CD221" s="552"/>
      <c r="CE221" s="552"/>
      <c r="CF221" s="12"/>
      <c r="CG221" s="12"/>
      <c r="CH221" s="12"/>
      <c r="CI221" s="12"/>
      <c r="CJ221" s="12"/>
      <c r="CK221" s="552"/>
      <c r="CL221" s="552"/>
      <c r="CM221" s="552"/>
      <c r="CN221" s="552"/>
      <c r="CO221" s="552"/>
      <c r="CP221" s="552"/>
      <c r="CQ221" s="552"/>
      <c r="CR221" s="552"/>
      <c r="CS221" s="552"/>
      <c r="CT221" s="552"/>
      <c r="CU221" s="552"/>
      <c r="CV221" s="552"/>
      <c r="CW221" s="12"/>
      <c r="CX221" s="12"/>
      <c r="CY221" s="12"/>
      <c r="CZ221" s="12"/>
      <c r="DA221" s="12"/>
      <c r="DB221" s="552"/>
      <c r="DC221" s="552"/>
      <c r="DD221" s="552"/>
      <c r="DE221" s="552"/>
      <c r="DF221" s="552"/>
      <c r="DG221" s="552"/>
      <c r="DH221" s="552"/>
      <c r="DI221" s="552"/>
      <c r="DJ221" s="552"/>
      <c r="DK221" s="552"/>
      <c r="DL221" s="552"/>
      <c r="DM221" s="552"/>
      <c r="DN221" s="12"/>
      <c r="DO221" s="12"/>
      <c r="DP221" s="12"/>
      <c r="DQ221" s="12"/>
      <c r="DR221" s="12"/>
      <c r="DS221" s="552"/>
      <c r="DT221" s="552"/>
      <c r="DU221" s="552"/>
      <c r="DV221" s="552"/>
      <c r="DW221" s="552"/>
      <c r="DX221" s="552"/>
      <c r="DY221" s="552"/>
      <c r="DZ221" s="552"/>
      <c r="EA221" s="552"/>
      <c r="EB221" s="552"/>
      <c r="EC221" s="552"/>
      <c r="ED221" s="552"/>
      <c r="EE221" s="12"/>
      <c r="EF221" s="12"/>
      <c r="EG221" s="12"/>
      <c r="EH221" s="12"/>
      <c r="EI221" s="12"/>
      <c r="EJ221" s="574"/>
      <c r="EK221" s="574"/>
      <c r="EL221" s="574"/>
      <c r="EM221" s="574"/>
      <c r="EN221" s="574"/>
      <c r="EO221" s="574"/>
      <c r="EP221" s="574"/>
      <c r="EQ221" s="574"/>
      <c r="ER221" s="574"/>
      <c r="ES221" s="574"/>
      <c r="ET221" s="574"/>
      <c r="EU221" s="574"/>
    </row>
    <row r="222">
      <c r="A222" s="552"/>
      <c r="B222" s="552"/>
      <c r="C222" s="552"/>
      <c r="D222" s="552"/>
      <c r="E222" s="552"/>
      <c r="F222" s="552"/>
      <c r="G222" s="552"/>
      <c r="H222" s="552"/>
      <c r="I222" s="552"/>
      <c r="J222" s="552"/>
      <c r="K222" s="552"/>
      <c r="L222" s="552"/>
      <c r="M222" s="552"/>
      <c r="N222" s="552"/>
      <c r="O222" s="552"/>
      <c r="P222" s="552"/>
      <c r="Q222" s="552"/>
      <c r="R222" s="552"/>
      <c r="S222" s="552"/>
      <c r="T222" s="552"/>
      <c r="U222" s="552"/>
      <c r="V222" s="552"/>
      <c r="W222" s="552"/>
      <c r="X222" s="552"/>
      <c r="Y222" s="552"/>
      <c r="Z222" s="552"/>
      <c r="AA222" s="552"/>
      <c r="AB222" s="552"/>
      <c r="AC222" s="552"/>
      <c r="AD222" s="552"/>
      <c r="AE222" s="552"/>
      <c r="AF222" s="552"/>
      <c r="AG222" s="552"/>
      <c r="AH222" s="552"/>
      <c r="AI222" s="552"/>
      <c r="AJ222" s="552"/>
      <c r="AK222" s="552"/>
      <c r="AL222" s="552"/>
      <c r="AM222" s="552"/>
      <c r="AN222" s="552"/>
      <c r="AO222" s="552"/>
      <c r="AP222" s="552"/>
      <c r="AQ222" s="552"/>
      <c r="AR222" s="552"/>
      <c r="AS222" s="552"/>
      <c r="AT222" s="552"/>
      <c r="AU222" s="552"/>
      <c r="AV222" s="552"/>
      <c r="AW222" s="552"/>
      <c r="AX222" s="552"/>
      <c r="AY222" s="552"/>
      <c r="AZ222" s="552"/>
      <c r="BA222" s="552"/>
      <c r="BB222" s="552"/>
      <c r="BC222" s="552"/>
      <c r="BD222" s="552"/>
      <c r="BE222" s="552"/>
      <c r="BF222" s="552"/>
      <c r="BG222" s="552"/>
      <c r="BH222" s="552"/>
      <c r="BI222" s="552"/>
      <c r="BJ222" s="552"/>
      <c r="BK222" s="552"/>
      <c r="BL222" s="552"/>
      <c r="BM222" s="552"/>
      <c r="BN222" s="552"/>
      <c r="BO222" s="552"/>
      <c r="BP222" s="552"/>
      <c r="BQ222" s="552"/>
      <c r="BR222" s="552"/>
      <c r="BS222" s="552"/>
      <c r="BT222" s="552"/>
      <c r="BU222" s="552"/>
      <c r="BV222" s="552"/>
      <c r="BW222" s="552"/>
      <c r="BX222" s="552"/>
      <c r="BY222" s="552"/>
      <c r="BZ222" s="552"/>
      <c r="CA222" s="552"/>
      <c r="CB222" s="552"/>
      <c r="CC222" s="552"/>
      <c r="CD222" s="552"/>
      <c r="CE222" s="552"/>
      <c r="CF222" s="12"/>
      <c r="CG222" s="12"/>
      <c r="CH222" s="12"/>
      <c r="CI222" s="12"/>
      <c r="CJ222" s="12"/>
      <c r="CK222" s="552"/>
      <c r="CL222" s="552"/>
      <c r="CM222" s="552"/>
      <c r="CN222" s="552"/>
      <c r="CO222" s="552"/>
      <c r="CP222" s="552"/>
      <c r="CQ222" s="552"/>
      <c r="CR222" s="552"/>
      <c r="CS222" s="552"/>
      <c r="CT222" s="552"/>
      <c r="CU222" s="552"/>
      <c r="CV222" s="552"/>
      <c r="CW222" s="12"/>
      <c r="CX222" s="12"/>
      <c r="CY222" s="12"/>
      <c r="CZ222" s="12"/>
      <c r="DA222" s="12"/>
      <c r="DB222" s="552"/>
      <c r="DC222" s="552"/>
      <c r="DD222" s="552"/>
      <c r="DE222" s="552"/>
      <c r="DF222" s="552"/>
      <c r="DG222" s="552"/>
      <c r="DH222" s="552"/>
      <c r="DI222" s="552"/>
      <c r="DJ222" s="552"/>
      <c r="DK222" s="552"/>
      <c r="DL222" s="552"/>
      <c r="DM222" s="552"/>
      <c r="DN222" s="12"/>
      <c r="DO222" s="12"/>
      <c r="DP222" s="12"/>
      <c r="DQ222" s="12"/>
      <c r="DR222" s="12"/>
      <c r="DS222" s="552"/>
      <c r="DT222" s="552"/>
      <c r="DU222" s="552"/>
      <c r="DV222" s="552"/>
      <c r="DW222" s="552"/>
      <c r="DX222" s="552"/>
      <c r="DY222" s="552"/>
      <c r="DZ222" s="552"/>
      <c r="EA222" s="552"/>
      <c r="EB222" s="552"/>
      <c r="EC222" s="552"/>
      <c r="ED222" s="552"/>
      <c r="EE222" s="12"/>
      <c r="EF222" s="12"/>
      <c r="EG222" s="12"/>
      <c r="EH222" s="12"/>
      <c r="EI222" s="12"/>
      <c r="EJ222" s="574"/>
      <c r="EK222" s="574"/>
      <c r="EL222" s="574"/>
      <c r="EM222" s="574"/>
      <c r="EN222" s="574"/>
      <c r="EO222" s="574"/>
      <c r="EP222" s="574"/>
      <c r="EQ222" s="574"/>
      <c r="ER222" s="574"/>
      <c r="ES222" s="574"/>
      <c r="ET222" s="574"/>
      <c r="EU222" s="574"/>
    </row>
    <row r="223">
      <c r="A223" s="552"/>
      <c r="B223" s="552"/>
      <c r="C223" s="552"/>
      <c r="D223" s="552"/>
      <c r="E223" s="552"/>
      <c r="F223" s="552"/>
      <c r="G223" s="552"/>
      <c r="H223" s="552"/>
      <c r="I223" s="552"/>
      <c r="J223" s="552"/>
      <c r="K223" s="552"/>
      <c r="L223" s="552"/>
      <c r="M223" s="552"/>
      <c r="N223" s="552"/>
      <c r="O223" s="552"/>
      <c r="P223" s="552"/>
      <c r="Q223" s="552"/>
      <c r="R223" s="552"/>
      <c r="S223" s="552"/>
      <c r="T223" s="552"/>
      <c r="U223" s="552"/>
      <c r="V223" s="552"/>
      <c r="W223" s="552"/>
      <c r="X223" s="552"/>
      <c r="Y223" s="552"/>
      <c r="Z223" s="552"/>
      <c r="AA223" s="552"/>
      <c r="AB223" s="552"/>
      <c r="AC223" s="552"/>
      <c r="AD223" s="552"/>
      <c r="AE223" s="552"/>
      <c r="AF223" s="552"/>
      <c r="AG223" s="552"/>
      <c r="AH223" s="552"/>
      <c r="AI223" s="552"/>
      <c r="AJ223" s="552"/>
      <c r="AK223" s="552"/>
      <c r="AL223" s="552"/>
      <c r="AM223" s="552"/>
      <c r="AN223" s="552"/>
      <c r="AO223" s="552"/>
      <c r="AP223" s="552"/>
      <c r="AQ223" s="552"/>
      <c r="AR223" s="552"/>
      <c r="AS223" s="552"/>
      <c r="AT223" s="552"/>
      <c r="AU223" s="552"/>
      <c r="AV223" s="552"/>
      <c r="AW223" s="552"/>
      <c r="AX223" s="552"/>
      <c r="AY223" s="552"/>
      <c r="AZ223" s="552"/>
      <c r="BA223" s="552"/>
      <c r="BB223" s="552"/>
      <c r="BC223" s="552"/>
      <c r="BD223" s="552"/>
      <c r="BE223" s="552"/>
      <c r="BF223" s="552"/>
      <c r="BG223" s="552"/>
      <c r="BH223" s="552"/>
      <c r="BI223" s="552"/>
      <c r="BJ223" s="552"/>
      <c r="BK223" s="552"/>
      <c r="BL223" s="552"/>
      <c r="BM223" s="552"/>
      <c r="BN223" s="552"/>
      <c r="BO223" s="552"/>
      <c r="BP223" s="552"/>
      <c r="BQ223" s="552"/>
      <c r="BR223" s="552"/>
      <c r="BS223" s="552"/>
      <c r="BT223" s="552"/>
      <c r="BU223" s="552"/>
      <c r="BV223" s="552"/>
      <c r="BW223" s="552"/>
      <c r="BX223" s="552"/>
      <c r="BY223" s="552"/>
      <c r="BZ223" s="552"/>
      <c r="CA223" s="552"/>
      <c r="CB223" s="552"/>
      <c r="CC223" s="552"/>
      <c r="CD223" s="552"/>
      <c r="CE223" s="552"/>
      <c r="CF223" s="12"/>
      <c r="CG223" s="12"/>
      <c r="CH223" s="12"/>
      <c r="CI223" s="12"/>
      <c r="CJ223" s="12"/>
      <c r="CK223" s="552"/>
      <c r="CL223" s="552"/>
      <c r="CM223" s="552"/>
      <c r="CN223" s="552"/>
      <c r="CO223" s="552"/>
      <c r="CP223" s="552"/>
      <c r="CQ223" s="552"/>
      <c r="CR223" s="552"/>
      <c r="CS223" s="552"/>
      <c r="CT223" s="552"/>
      <c r="CU223" s="552"/>
      <c r="CV223" s="552"/>
      <c r="CW223" s="12"/>
      <c r="CX223" s="12"/>
      <c r="CY223" s="12"/>
      <c r="CZ223" s="12"/>
      <c r="DA223" s="12"/>
      <c r="DB223" s="552"/>
      <c r="DC223" s="552"/>
      <c r="DD223" s="552"/>
      <c r="DE223" s="552"/>
      <c r="DF223" s="552"/>
      <c r="DG223" s="552"/>
      <c r="DH223" s="552"/>
      <c r="DI223" s="552"/>
      <c r="DJ223" s="552"/>
      <c r="DK223" s="552"/>
      <c r="DL223" s="552"/>
      <c r="DM223" s="552"/>
      <c r="DN223" s="12"/>
      <c r="DO223" s="12"/>
      <c r="DP223" s="12"/>
      <c r="DQ223" s="12"/>
      <c r="DR223" s="12"/>
      <c r="DS223" s="552"/>
      <c r="DT223" s="552"/>
      <c r="DU223" s="552"/>
      <c r="DV223" s="552"/>
      <c r="DW223" s="552"/>
      <c r="DX223" s="552"/>
      <c r="DY223" s="552"/>
      <c r="DZ223" s="552"/>
      <c r="EA223" s="552"/>
      <c r="EB223" s="552"/>
      <c r="EC223" s="552"/>
      <c r="ED223" s="552"/>
      <c r="EE223" s="12"/>
      <c r="EF223" s="12"/>
      <c r="EG223" s="12"/>
      <c r="EH223" s="12"/>
      <c r="EI223" s="12"/>
      <c r="EJ223" s="574"/>
      <c r="EK223" s="574"/>
      <c r="EL223" s="574"/>
      <c r="EM223" s="574"/>
      <c r="EN223" s="574"/>
      <c r="EO223" s="574"/>
      <c r="EP223" s="574"/>
      <c r="EQ223" s="574"/>
      <c r="ER223" s="574"/>
      <c r="ES223" s="574"/>
      <c r="ET223" s="574"/>
      <c r="EU223" s="574"/>
    </row>
    <row r="224">
      <c r="A224" s="552"/>
      <c r="B224" s="552"/>
      <c r="C224" s="552"/>
      <c r="D224" s="552"/>
      <c r="E224" s="552"/>
      <c r="F224" s="552"/>
      <c r="G224" s="552"/>
      <c r="H224" s="552"/>
      <c r="I224" s="552"/>
      <c r="J224" s="552"/>
      <c r="K224" s="552"/>
      <c r="L224" s="552"/>
      <c r="M224" s="552"/>
      <c r="N224" s="552"/>
      <c r="O224" s="552"/>
      <c r="P224" s="552"/>
      <c r="Q224" s="552"/>
      <c r="R224" s="552"/>
      <c r="S224" s="552"/>
      <c r="T224" s="552"/>
      <c r="U224" s="552"/>
      <c r="V224" s="552"/>
      <c r="W224" s="552"/>
      <c r="X224" s="552"/>
      <c r="Y224" s="552"/>
      <c r="Z224" s="552"/>
      <c r="AA224" s="552"/>
      <c r="AB224" s="552"/>
      <c r="AC224" s="552"/>
      <c r="AD224" s="552"/>
      <c r="AE224" s="552"/>
      <c r="AF224" s="552"/>
      <c r="AG224" s="552"/>
      <c r="AH224" s="552"/>
      <c r="AI224" s="552"/>
      <c r="AJ224" s="552"/>
      <c r="AK224" s="552"/>
      <c r="AL224" s="552"/>
      <c r="AM224" s="552"/>
      <c r="AN224" s="552"/>
      <c r="AO224" s="552"/>
      <c r="AP224" s="552"/>
      <c r="AQ224" s="552"/>
      <c r="AR224" s="552"/>
      <c r="AS224" s="552"/>
      <c r="AT224" s="552"/>
      <c r="AU224" s="552"/>
      <c r="AV224" s="552"/>
      <c r="AW224" s="552"/>
      <c r="AX224" s="552"/>
      <c r="AY224" s="552"/>
      <c r="AZ224" s="552"/>
      <c r="BA224" s="552"/>
      <c r="BB224" s="552"/>
      <c r="BC224" s="552"/>
      <c r="BD224" s="552"/>
      <c r="BE224" s="552"/>
      <c r="BF224" s="552"/>
      <c r="BG224" s="552"/>
      <c r="BH224" s="552"/>
      <c r="BI224" s="552"/>
      <c r="BJ224" s="552"/>
      <c r="BK224" s="552"/>
      <c r="BL224" s="552"/>
      <c r="BM224" s="552"/>
      <c r="BN224" s="552"/>
      <c r="BO224" s="552"/>
      <c r="BP224" s="552"/>
      <c r="BQ224" s="552"/>
      <c r="BR224" s="552"/>
      <c r="BS224" s="552"/>
      <c r="BT224" s="552"/>
      <c r="BU224" s="552"/>
      <c r="BV224" s="552"/>
      <c r="BW224" s="552"/>
      <c r="BX224" s="552"/>
      <c r="BY224" s="552"/>
      <c r="BZ224" s="552"/>
      <c r="CA224" s="552"/>
      <c r="CB224" s="552"/>
      <c r="CC224" s="552"/>
      <c r="CD224" s="552"/>
      <c r="CE224" s="552"/>
      <c r="CF224" s="12"/>
      <c r="CG224" s="12"/>
      <c r="CH224" s="12"/>
      <c r="CI224" s="12"/>
      <c r="CJ224" s="12"/>
      <c r="CK224" s="552"/>
      <c r="CL224" s="552"/>
      <c r="CM224" s="552"/>
      <c r="CN224" s="552"/>
      <c r="CO224" s="552"/>
      <c r="CP224" s="552"/>
      <c r="CQ224" s="552"/>
      <c r="CR224" s="552"/>
      <c r="CS224" s="552"/>
      <c r="CT224" s="552"/>
      <c r="CU224" s="552"/>
      <c r="CV224" s="552"/>
      <c r="CW224" s="12"/>
      <c r="CX224" s="12"/>
      <c r="CY224" s="12"/>
      <c r="CZ224" s="12"/>
      <c r="DA224" s="12"/>
      <c r="DB224" s="552"/>
      <c r="DC224" s="552"/>
      <c r="DD224" s="552"/>
      <c r="DE224" s="552"/>
      <c r="DF224" s="552"/>
      <c r="DG224" s="552"/>
      <c r="DH224" s="552"/>
      <c r="DI224" s="552"/>
      <c r="DJ224" s="552"/>
      <c r="DK224" s="552"/>
      <c r="DL224" s="552"/>
      <c r="DM224" s="552"/>
      <c r="DN224" s="12"/>
      <c r="DO224" s="12"/>
      <c r="DP224" s="12"/>
      <c r="DQ224" s="12"/>
      <c r="DR224" s="12"/>
      <c r="DS224" s="552"/>
      <c r="DT224" s="552"/>
      <c r="DU224" s="552"/>
      <c r="DV224" s="552"/>
      <c r="DW224" s="552"/>
      <c r="DX224" s="552"/>
      <c r="DY224" s="552"/>
      <c r="DZ224" s="552"/>
      <c r="EA224" s="552"/>
      <c r="EB224" s="552"/>
      <c r="EC224" s="552"/>
      <c r="ED224" s="552"/>
      <c r="EE224" s="12"/>
      <c r="EF224" s="12"/>
      <c r="EG224" s="12"/>
      <c r="EH224" s="12"/>
      <c r="EI224" s="12"/>
      <c r="EJ224" s="574"/>
      <c r="EK224" s="574"/>
      <c r="EL224" s="574"/>
      <c r="EM224" s="574"/>
      <c r="EN224" s="574"/>
      <c r="EO224" s="574"/>
      <c r="EP224" s="574"/>
      <c r="EQ224" s="574"/>
      <c r="ER224" s="574"/>
      <c r="ES224" s="574"/>
      <c r="ET224" s="574"/>
      <c r="EU224" s="574"/>
    </row>
    <row r="225">
      <c r="A225" s="552"/>
      <c r="B225" s="552"/>
      <c r="C225" s="552"/>
      <c r="D225" s="552"/>
      <c r="E225" s="552"/>
      <c r="F225" s="552"/>
      <c r="G225" s="552"/>
      <c r="H225" s="552"/>
      <c r="I225" s="552"/>
      <c r="J225" s="552"/>
      <c r="K225" s="552"/>
      <c r="L225" s="552"/>
      <c r="M225" s="552"/>
      <c r="N225" s="552"/>
      <c r="O225" s="552"/>
      <c r="P225" s="552"/>
      <c r="Q225" s="552"/>
      <c r="R225" s="552"/>
      <c r="S225" s="552"/>
      <c r="T225" s="552"/>
      <c r="U225" s="552"/>
      <c r="V225" s="552"/>
      <c r="W225" s="552"/>
      <c r="X225" s="552"/>
      <c r="Y225" s="552"/>
      <c r="Z225" s="552"/>
      <c r="AA225" s="552"/>
      <c r="AB225" s="552"/>
      <c r="AC225" s="552"/>
      <c r="AD225" s="552"/>
      <c r="AE225" s="552"/>
      <c r="AF225" s="552"/>
      <c r="AG225" s="552"/>
      <c r="AH225" s="552"/>
      <c r="AI225" s="552"/>
      <c r="AJ225" s="552"/>
      <c r="AK225" s="552"/>
      <c r="AL225" s="552"/>
      <c r="AM225" s="552"/>
      <c r="AN225" s="552"/>
      <c r="AO225" s="552"/>
      <c r="AP225" s="552"/>
      <c r="AQ225" s="552"/>
      <c r="AR225" s="552"/>
      <c r="AS225" s="552"/>
      <c r="AT225" s="552"/>
      <c r="AU225" s="552"/>
      <c r="AV225" s="552"/>
      <c r="AW225" s="552"/>
      <c r="AX225" s="552"/>
      <c r="AY225" s="552"/>
      <c r="AZ225" s="552"/>
      <c r="BA225" s="552"/>
      <c r="BB225" s="552"/>
      <c r="BC225" s="552"/>
      <c r="BD225" s="552"/>
      <c r="BE225" s="552"/>
      <c r="BF225" s="552"/>
      <c r="BG225" s="552"/>
      <c r="BH225" s="552"/>
      <c r="BI225" s="552"/>
      <c r="BJ225" s="552"/>
      <c r="BK225" s="552"/>
      <c r="BL225" s="552"/>
      <c r="BM225" s="552"/>
      <c r="BN225" s="552"/>
      <c r="BO225" s="552"/>
      <c r="BP225" s="552"/>
      <c r="BQ225" s="552"/>
      <c r="BR225" s="552"/>
      <c r="BS225" s="552"/>
      <c r="BT225" s="552"/>
      <c r="BU225" s="552"/>
      <c r="BV225" s="552"/>
      <c r="BW225" s="552"/>
      <c r="BX225" s="552"/>
      <c r="BY225" s="552"/>
      <c r="BZ225" s="552"/>
      <c r="CA225" s="552"/>
      <c r="CB225" s="552"/>
      <c r="CC225" s="552"/>
      <c r="CD225" s="552"/>
      <c r="CE225" s="552"/>
      <c r="CF225" s="12"/>
      <c r="CG225" s="12"/>
      <c r="CH225" s="12"/>
      <c r="CI225" s="12"/>
      <c r="CJ225" s="12"/>
      <c r="CK225" s="552"/>
      <c r="CL225" s="552"/>
      <c r="CM225" s="552"/>
      <c r="CN225" s="552"/>
      <c r="CO225" s="552"/>
      <c r="CP225" s="552"/>
      <c r="CQ225" s="552"/>
      <c r="CR225" s="552"/>
      <c r="CS225" s="552"/>
      <c r="CT225" s="552"/>
      <c r="CU225" s="552"/>
      <c r="CV225" s="552"/>
      <c r="CW225" s="12"/>
      <c r="CX225" s="12"/>
      <c r="CY225" s="12"/>
      <c r="CZ225" s="12"/>
      <c r="DA225" s="12"/>
      <c r="DB225" s="552"/>
      <c r="DC225" s="552"/>
      <c r="DD225" s="552"/>
      <c r="DE225" s="552"/>
      <c r="DF225" s="552"/>
      <c r="DG225" s="552"/>
      <c r="DH225" s="552"/>
      <c r="DI225" s="552"/>
      <c r="DJ225" s="552"/>
      <c r="DK225" s="552"/>
      <c r="DL225" s="552"/>
      <c r="DM225" s="552"/>
      <c r="DN225" s="12"/>
      <c r="DO225" s="12"/>
      <c r="DP225" s="12"/>
      <c r="DQ225" s="12"/>
      <c r="DR225" s="12"/>
      <c r="DS225" s="552"/>
      <c r="DT225" s="552"/>
      <c r="DU225" s="552"/>
      <c r="DV225" s="552"/>
      <c r="DW225" s="552"/>
      <c r="DX225" s="552"/>
      <c r="DY225" s="552"/>
      <c r="DZ225" s="552"/>
      <c r="EA225" s="552"/>
      <c r="EB225" s="552"/>
      <c r="EC225" s="552"/>
      <c r="ED225" s="552"/>
      <c r="EE225" s="12"/>
      <c r="EF225" s="12"/>
      <c r="EG225" s="12"/>
      <c r="EH225" s="12"/>
      <c r="EI225" s="12"/>
      <c r="EJ225" s="574"/>
      <c r="EK225" s="574"/>
      <c r="EL225" s="574"/>
      <c r="EM225" s="574"/>
      <c r="EN225" s="574"/>
      <c r="EO225" s="574"/>
      <c r="EP225" s="574"/>
      <c r="EQ225" s="574"/>
      <c r="ER225" s="574"/>
      <c r="ES225" s="574"/>
      <c r="ET225" s="574"/>
      <c r="EU225" s="574"/>
    </row>
    <row r="226">
      <c r="A226" s="552"/>
      <c r="B226" s="552"/>
      <c r="C226" s="552"/>
      <c r="D226" s="552"/>
      <c r="E226" s="552"/>
      <c r="F226" s="552"/>
      <c r="G226" s="552"/>
      <c r="H226" s="552"/>
      <c r="I226" s="552"/>
      <c r="J226" s="552"/>
      <c r="K226" s="552"/>
      <c r="L226" s="552"/>
      <c r="M226" s="552"/>
      <c r="N226" s="552"/>
      <c r="O226" s="552"/>
      <c r="P226" s="552"/>
      <c r="Q226" s="552"/>
      <c r="R226" s="552"/>
      <c r="S226" s="552"/>
      <c r="T226" s="552"/>
      <c r="U226" s="552"/>
      <c r="V226" s="552"/>
      <c r="W226" s="552"/>
      <c r="X226" s="552"/>
      <c r="Y226" s="552"/>
      <c r="Z226" s="552"/>
      <c r="AA226" s="552"/>
      <c r="AB226" s="552"/>
      <c r="AC226" s="552"/>
      <c r="AD226" s="552"/>
      <c r="AE226" s="552"/>
      <c r="AF226" s="552"/>
      <c r="AG226" s="552"/>
      <c r="AH226" s="552"/>
      <c r="AI226" s="552"/>
      <c r="AJ226" s="552"/>
      <c r="AK226" s="552"/>
      <c r="AL226" s="552"/>
      <c r="AM226" s="552"/>
      <c r="AN226" s="552"/>
      <c r="AO226" s="552"/>
      <c r="AP226" s="552"/>
      <c r="AQ226" s="552"/>
      <c r="AR226" s="552"/>
      <c r="AS226" s="552"/>
      <c r="AT226" s="552"/>
      <c r="AU226" s="552"/>
      <c r="AV226" s="552"/>
      <c r="AW226" s="552"/>
      <c r="AX226" s="552"/>
      <c r="AY226" s="552"/>
      <c r="AZ226" s="552"/>
      <c r="BA226" s="552"/>
      <c r="BB226" s="552"/>
      <c r="BC226" s="552"/>
      <c r="BD226" s="552"/>
      <c r="BE226" s="552"/>
      <c r="BF226" s="552"/>
      <c r="BG226" s="552"/>
      <c r="BH226" s="552"/>
      <c r="BI226" s="552"/>
      <c r="BJ226" s="552"/>
      <c r="BK226" s="552"/>
      <c r="BL226" s="552"/>
      <c r="BM226" s="552"/>
      <c r="BN226" s="552"/>
      <c r="BO226" s="552"/>
      <c r="BP226" s="552"/>
      <c r="BQ226" s="552"/>
      <c r="BR226" s="552"/>
      <c r="BS226" s="552"/>
      <c r="BT226" s="552"/>
      <c r="BU226" s="552"/>
      <c r="BV226" s="552"/>
      <c r="BW226" s="552"/>
      <c r="BX226" s="552"/>
      <c r="BY226" s="552"/>
      <c r="BZ226" s="552"/>
      <c r="CA226" s="552"/>
      <c r="CB226" s="552"/>
      <c r="CC226" s="552"/>
      <c r="CD226" s="552"/>
      <c r="CE226" s="552"/>
      <c r="CF226" s="12"/>
      <c r="CG226" s="12"/>
      <c r="CH226" s="12"/>
      <c r="CI226" s="12"/>
      <c r="CJ226" s="12"/>
      <c r="CK226" s="552"/>
      <c r="CL226" s="552"/>
      <c r="CM226" s="552"/>
      <c r="CN226" s="552"/>
      <c r="CO226" s="552"/>
      <c r="CP226" s="552"/>
      <c r="CQ226" s="552"/>
      <c r="CR226" s="552"/>
      <c r="CS226" s="552"/>
      <c r="CT226" s="552"/>
      <c r="CU226" s="552"/>
      <c r="CV226" s="552"/>
      <c r="CW226" s="12"/>
      <c r="CX226" s="12"/>
      <c r="CY226" s="12"/>
      <c r="CZ226" s="12"/>
      <c r="DA226" s="12"/>
      <c r="DB226" s="552"/>
      <c r="DC226" s="552"/>
      <c r="DD226" s="552"/>
      <c r="DE226" s="552"/>
      <c r="DF226" s="552"/>
      <c r="DG226" s="552"/>
      <c r="DH226" s="552"/>
      <c r="DI226" s="552"/>
      <c r="DJ226" s="552"/>
      <c r="DK226" s="552"/>
      <c r="DL226" s="552"/>
      <c r="DM226" s="552"/>
      <c r="DN226" s="12"/>
      <c r="DO226" s="12"/>
      <c r="DP226" s="12"/>
      <c r="DQ226" s="12"/>
      <c r="DR226" s="12"/>
      <c r="DS226" s="552"/>
      <c r="DT226" s="552"/>
      <c r="DU226" s="552"/>
      <c r="DV226" s="552"/>
      <c r="DW226" s="552"/>
      <c r="DX226" s="552"/>
      <c r="DY226" s="552"/>
      <c r="DZ226" s="552"/>
      <c r="EA226" s="552"/>
      <c r="EB226" s="552"/>
      <c r="EC226" s="552"/>
      <c r="ED226" s="552"/>
      <c r="EE226" s="12"/>
      <c r="EF226" s="12"/>
      <c r="EG226" s="12"/>
      <c r="EH226" s="12"/>
      <c r="EI226" s="12"/>
      <c r="EJ226" s="574"/>
      <c r="EK226" s="574"/>
      <c r="EL226" s="574"/>
      <c r="EM226" s="574"/>
      <c r="EN226" s="574"/>
      <c r="EO226" s="574"/>
      <c r="EP226" s="574"/>
      <c r="EQ226" s="574"/>
      <c r="ER226" s="574"/>
      <c r="ES226" s="574"/>
      <c r="ET226" s="574"/>
      <c r="EU226" s="574"/>
    </row>
    <row r="227">
      <c r="A227" s="552"/>
      <c r="B227" s="552"/>
      <c r="C227" s="552"/>
      <c r="D227" s="552"/>
      <c r="E227" s="552"/>
      <c r="F227" s="552"/>
      <c r="G227" s="552"/>
      <c r="H227" s="552"/>
      <c r="I227" s="552"/>
      <c r="J227" s="552"/>
      <c r="K227" s="552"/>
      <c r="L227" s="552"/>
      <c r="M227" s="552"/>
      <c r="N227" s="552"/>
      <c r="O227" s="552"/>
      <c r="P227" s="552"/>
      <c r="Q227" s="552"/>
      <c r="R227" s="552"/>
      <c r="S227" s="552"/>
      <c r="T227" s="552"/>
      <c r="U227" s="552"/>
      <c r="V227" s="552"/>
      <c r="W227" s="552"/>
      <c r="X227" s="552"/>
      <c r="Y227" s="552"/>
      <c r="Z227" s="552"/>
      <c r="AA227" s="552"/>
      <c r="AB227" s="552"/>
      <c r="AC227" s="552"/>
      <c r="AD227" s="552"/>
      <c r="AE227" s="552"/>
      <c r="AF227" s="552"/>
      <c r="AG227" s="552"/>
      <c r="AH227" s="552"/>
      <c r="AI227" s="552"/>
      <c r="AJ227" s="552"/>
      <c r="AK227" s="552"/>
      <c r="AL227" s="552"/>
      <c r="AM227" s="552"/>
      <c r="AN227" s="552"/>
      <c r="AO227" s="552"/>
      <c r="AP227" s="552"/>
      <c r="AQ227" s="552"/>
      <c r="AR227" s="552"/>
      <c r="AS227" s="552"/>
      <c r="AT227" s="552"/>
      <c r="AU227" s="552"/>
      <c r="AV227" s="552"/>
      <c r="AW227" s="552"/>
      <c r="AX227" s="552"/>
      <c r="AY227" s="552"/>
      <c r="AZ227" s="552"/>
      <c r="BA227" s="552"/>
      <c r="BB227" s="552"/>
      <c r="BC227" s="552"/>
      <c r="BD227" s="552"/>
      <c r="BE227" s="552"/>
      <c r="BF227" s="552"/>
      <c r="BG227" s="552"/>
      <c r="BH227" s="552"/>
      <c r="BI227" s="552"/>
      <c r="BJ227" s="552"/>
      <c r="BK227" s="552"/>
      <c r="BL227" s="552"/>
      <c r="BM227" s="552"/>
      <c r="BN227" s="552"/>
      <c r="BO227" s="552"/>
      <c r="BP227" s="552"/>
      <c r="BQ227" s="552"/>
      <c r="BR227" s="552"/>
      <c r="BS227" s="552"/>
      <c r="BT227" s="552"/>
      <c r="BU227" s="552"/>
      <c r="BV227" s="552"/>
      <c r="BW227" s="552"/>
      <c r="BX227" s="552"/>
      <c r="BY227" s="552"/>
      <c r="BZ227" s="552"/>
      <c r="CA227" s="552"/>
      <c r="CB227" s="552"/>
      <c r="CC227" s="552"/>
      <c r="CD227" s="552"/>
      <c r="CE227" s="552"/>
      <c r="CF227" s="12"/>
      <c r="CG227" s="12"/>
      <c r="CH227" s="12"/>
      <c r="CI227" s="12"/>
      <c r="CJ227" s="12"/>
      <c r="CK227" s="552"/>
      <c r="CL227" s="552"/>
      <c r="CM227" s="552"/>
      <c r="CN227" s="552"/>
      <c r="CO227" s="552"/>
      <c r="CP227" s="552"/>
      <c r="CQ227" s="552"/>
      <c r="CR227" s="552"/>
      <c r="CS227" s="552"/>
      <c r="CT227" s="552"/>
      <c r="CU227" s="552"/>
      <c r="CV227" s="552"/>
      <c r="CW227" s="577">
        <f t="shared" ref="CW227:CZ227" si="338">SUM(CW234:CW235)*1000</f>
        <v>7399379</v>
      </c>
      <c r="CX227" s="577">
        <f t="shared" si="338"/>
        <v>6635365</v>
      </c>
      <c r="CY227" s="577">
        <f t="shared" si="338"/>
        <v>5681819</v>
      </c>
      <c r="CZ227" s="577">
        <f t="shared" si="338"/>
        <v>5274903</v>
      </c>
      <c r="DA227" s="12"/>
      <c r="DB227" s="552"/>
      <c r="DC227" s="552"/>
      <c r="DD227" s="552"/>
      <c r="DE227" s="552"/>
      <c r="DF227" s="552"/>
      <c r="DG227" s="552"/>
      <c r="DH227" s="552"/>
      <c r="DI227" s="552"/>
      <c r="DJ227" s="552"/>
      <c r="DK227" s="552"/>
      <c r="DL227" s="552"/>
      <c r="DM227" s="552"/>
      <c r="DN227" s="12"/>
      <c r="DO227" s="12"/>
      <c r="DP227" s="12"/>
      <c r="DQ227" s="12"/>
      <c r="DR227" s="12"/>
      <c r="DS227" s="552"/>
      <c r="DT227" s="552"/>
      <c r="DU227" s="552"/>
      <c r="DV227" s="552"/>
      <c r="DW227" s="552"/>
      <c r="DX227" s="552"/>
      <c r="DY227" s="552"/>
      <c r="DZ227" s="552"/>
      <c r="EA227" s="552"/>
      <c r="EB227" s="552"/>
      <c r="EC227" s="552"/>
      <c r="ED227" s="552"/>
      <c r="EE227" s="12"/>
      <c r="EF227" s="12"/>
      <c r="EG227" s="12"/>
      <c r="EH227" s="12"/>
      <c r="EI227" s="12"/>
      <c r="EJ227" s="574"/>
      <c r="EK227" s="574"/>
      <c r="EL227" s="574"/>
      <c r="EM227" s="574"/>
      <c r="EN227" s="574"/>
      <c r="EO227" s="574"/>
      <c r="EP227" s="574"/>
      <c r="EQ227" s="574"/>
      <c r="ER227" s="574"/>
      <c r="ES227" s="574"/>
      <c r="ET227" s="574"/>
      <c r="EU227" s="574"/>
    </row>
    <row r="228">
      <c r="A228" s="552"/>
      <c r="B228" s="552"/>
      <c r="C228" s="552"/>
      <c r="D228" s="552"/>
      <c r="E228" s="552"/>
      <c r="F228" s="552"/>
      <c r="G228" s="552"/>
      <c r="H228" s="552"/>
      <c r="I228" s="552"/>
      <c r="J228" s="552"/>
      <c r="K228" s="552"/>
      <c r="L228" s="552"/>
      <c r="M228" s="552"/>
      <c r="N228" s="552"/>
      <c r="O228" s="552"/>
      <c r="P228" s="552"/>
      <c r="Q228" s="552"/>
      <c r="R228" s="552"/>
      <c r="S228" s="552"/>
      <c r="T228" s="552"/>
      <c r="U228" s="552"/>
      <c r="V228" s="552"/>
      <c r="W228" s="552"/>
      <c r="X228" s="552"/>
      <c r="Y228" s="552"/>
      <c r="Z228" s="552"/>
      <c r="AA228" s="552"/>
      <c r="AB228" s="552"/>
      <c r="AC228" s="552"/>
      <c r="AD228" s="552"/>
      <c r="AE228" s="552"/>
      <c r="AF228" s="552"/>
      <c r="AG228" s="552"/>
      <c r="AH228" s="552"/>
      <c r="AI228" s="552"/>
      <c r="AJ228" s="552"/>
      <c r="AK228" s="552"/>
      <c r="AL228" s="552"/>
      <c r="AM228" s="552"/>
      <c r="AN228" s="552"/>
      <c r="AO228" s="552"/>
      <c r="AP228" s="552"/>
      <c r="AQ228" s="552"/>
      <c r="AR228" s="552"/>
      <c r="AS228" s="552"/>
      <c r="AT228" s="552"/>
      <c r="AU228" s="552"/>
      <c r="AV228" s="552"/>
      <c r="AW228" s="552"/>
      <c r="AX228" s="552"/>
      <c r="AY228" s="552"/>
      <c r="AZ228" s="552"/>
      <c r="BA228" s="552"/>
      <c r="BB228" s="552"/>
      <c r="BC228" s="552"/>
      <c r="BD228" s="552"/>
      <c r="BE228" s="552"/>
      <c r="BF228" s="552"/>
      <c r="BG228" s="552"/>
      <c r="BH228" s="552"/>
      <c r="BI228" s="552"/>
      <c r="BJ228" s="552"/>
      <c r="BK228" s="552"/>
      <c r="BL228" s="552"/>
      <c r="BM228" s="552"/>
      <c r="BN228" s="552"/>
      <c r="BO228" s="552"/>
      <c r="BP228" s="552"/>
      <c r="BQ228" s="552"/>
      <c r="BR228" s="552"/>
      <c r="BS228" s="552"/>
      <c r="BT228" s="552"/>
      <c r="BU228" s="552"/>
      <c r="BV228" s="552"/>
      <c r="BW228" s="552"/>
      <c r="BX228" s="552"/>
      <c r="BY228" s="552"/>
      <c r="BZ228" s="552"/>
      <c r="CA228" s="552"/>
      <c r="CB228" s="552"/>
      <c r="CC228" s="552"/>
      <c r="CD228" s="552"/>
      <c r="CE228" s="552"/>
      <c r="CF228" s="12"/>
      <c r="CG228" s="12"/>
      <c r="CH228" s="12"/>
      <c r="CI228" s="12"/>
      <c r="CJ228" s="12"/>
      <c r="CK228" s="552"/>
      <c r="CL228" s="552"/>
      <c r="CM228" s="552"/>
      <c r="CN228" s="552"/>
      <c r="CO228" s="552"/>
      <c r="CP228" s="552"/>
      <c r="CQ228" s="552"/>
      <c r="CR228" s="552"/>
      <c r="CS228" s="552"/>
      <c r="CT228" s="552"/>
      <c r="CU228" s="552"/>
      <c r="CV228" s="552"/>
      <c r="CW228" s="12"/>
      <c r="CX228" s="12"/>
      <c r="CY228" s="12" t="s">
        <v>306</v>
      </c>
      <c r="CZ228" s="12"/>
      <c r="DA228" s="12"/>
      <c r="DB228" s="552"/>
      <c r="DC228" s="552"/>
      <c r="DD228" s="552"/>
      <c r="DE228" s="552"/>
      <c r="DF228" s="552"/>
      <c r="DG228" s="552"/>
      <c r="DH228" s="552"/>
      <c r="DI228" s="552"/>
      <c r="DJ228" s="552"/>
      <c r="DK228" s="552"/>
      <c r="DL228" s="552"/>
      <c r="DM228" s="552"/>
      <c r="DN228" s="12"/>
      <c r="DO228" s="12"/>
      <c r="DP228" s="12"/>
      <c r="DQ228" s="12"/>
      <c r="DR228" s="12"/>
      <c r="DS228" s="552"/>
      <c r="DT228" s="552"/>
      <c r="DU228" s="552"/>
      <c r="DV228" s="552"/>
      <c r="DW228" s="552"/>
      <c r="DX228" s="552"/>
      <c r="DY228" s="552"/>
      <c r="DZ228" s="552"/>
      <c r="EA228" s="552"/>
      <c r="EB228" s="552"/>
      <c r="EC228" s="552"/>
      <c r="ED228" s="552"/>
      <c r="EE228" s="12"/>
      <c r="EF228" s="12"/>
      <c r="EG228" s="12"/>
      <c r="EH228" s="12"/>
      <c r="EI228" s="12"/>
      <c r="EJ228" s="574"/>
      <c r="EK228" s="574"/>
      <c r="EL228" s="574"/>
      <c r="EM228" s="574"/>
      <c r="EN228" s="574"/>
      <c r="EO228" s="574"/>
      <c r="EP228" s="574"/>
      <c r="EQ228" s="574"/>
      <c r="ER228" s="574"/>
      <c r="ES228" s="574"/>
      <c r="ET228" s="574"/>
      <c r="EU228" s="574"/>
    </row>
    <row r="229">
      <c r="A229" s="552"/>
      <c r="B229" s="552"/>
      <c r="C229" s="552"/>
      <c r="D229" s="552"/>
      <c r="E229" s="552"/>
      <c r="F229" s="552"/>
      <c r="G229" s="552"/>
      <c r="H229" s="552"/>
      <c r="I229" s="552"/>
      <c r="J229" s="552"/>
      <c r="K229" s="552"/>
      <c r="L229" s="552"/>
      <c r="M229" s="552"/>
      <c r="N229" s="552"/>
      <c r="O229" s="552"/>
      <c r="P229" s="552"/>
      <c r="Q229" s="552"/>
      <c r="R229" s="552"/>
      <c r="S229" s="552"/>
      <c r="T229" s="552"/>
      <c r="U229" s="552"/>
      <c r="V229" s="552"/>
      <c r="W229" s="552"/>
      <c r="X229" s="552"/>
      <c r="Y229" s="552"/>
      <c r="Z229" s="552"/>
      <c r="AA229" s="552"/>
      <c r="AB229" s="552"/>
      <c r="AC229" s="552"/>
      <c r="AD229" s="552"/>
      <c r="AE229" s="552"/>
      <c r="AF229" s="552"/>
      <c r="AG229" s="552"/>
      <c r="AH229" s="552"/>
      <c r="AI229" s="552"/>
      <c r="AJ229" s="552"/>
      <c r="AK229" s="552"/>
      <c r="AL229" s="552"/>
      <c r="AM229" s="552"/>
      <c r="AN229" s="552"/>
      <c r="AO229" s="552"/>
      <c r="AP229" s="552"/>
      <c r="AQ229" s="552"/>
      <c r="AR229" s="552"/>
      <c r="AS229" s="552"/>
      <c r="AT229" s="552"/>
      <c r="AU229" s="552"/>
      <c r="AV229" s="552"/>
      <c r="AW229" s="552"/>
      <c r="AX229" s="552"/>
      <c r="AY229" s="552"/>
      <c r="AZ229" s="552"/>
      <c r="BA229" s="552"/>
      <c r="BB229" s="552"/>
      <c r="BC229" s="552"/>
      <c r="BD229" s="552"/>
      <c r="BE229" s="552"/>
      <c r="BF229" s="552"/>
      <c r="BG229" s="552"/>
      <c r="BH229" s="552"/>
      <c r="BI229" s="552"/>
      <c r="BJ229" s="552"/>
      <c r="BK229" s="552"/>
      <c r="BL229" s="552"/>
      <c r="BM229" s="552"/>
      <c r="BN229" s="552"/>
      <c r="BO229" s="552"/>
      <c r="BP229" s="552"/>
      <c r="BQ229" s="552"/>
      <c r="BR229" s="552"/>
      <c r="BS229" s="552"/>
      <c r="BT229" s="552"/>
      <c r="BU229" s="552"/>
      <c r="BV229" s="552"/>
      <c r="BW229" s="552"/>
      <c r="BX229" s="552"/>
      <c r="BY229" s="552"/>
      <c r="BZ229" s="552"/>
      <c r="CA229" s="552"/>
      <c r="CB229" s="552"/>
      <c r="CC229" s="552"/>
      <c r="CD229" s="552"/>
      <c r="CE229" s="552"/>
      <c r="CF229" s="12"/>
      <c r="CG229" s="12"/>
      <c r="CH229" s="12"/>
      <c r="CI229" s="12"/>
      <c r="CJ229" s="12"/>
      <c r="CK229" s="552"/>
      <c r="CL229" s="552"/>
      <c r="CM229" s="552"/>
      <c r="CN229" s="552"/>
      <c r="CO229" s="552"/>
      <c r="CP229" s="552"/>
      <c r="CQ229" s="552"/>
      <c r="CR229" s="552"/>
      <c r="CS229" s="552"/>
      <c r="CT229" s="552"/>
      <c r="CU229" s="552"/>
      <c r="CV229" s="552"/>
      <c r="CW229" s="12"/>
      <c r="CX229" s="12"/>
      <c r="CY229" s="12"/>
      <c r="CZ229" s="12"/>
      <c r="DA229" s="12"/>
      <c r="DB229" s="552"/>
      <c r="DC229" s="552"/>
      <c r="DD229" s="552"/>
      <c r="DE229" s="552"/>
      <c r="DF229" s="552"/>
      <c r="DG229" s="552"/>
      <c r="DH229" s="552"/>
      <c r="DI229" s="552"/>
      <c r="DJ229" s="552"/>
      <c r="DK229" s="552"/>
      <c r="DL229" s="552"/>
      <c r="DM229" s="552"/>
      <c r="DN229" s="12"/>
      <c r="DO229" s="12"/>
      <c r="DP229" s="12"/>
      <c r="DQ229" s="12"/>
      <c r="DR229" s="12"/>
      <c r="DS229" s="552"/>
      <c r="DT229" s="552"/>
      <c r="DU229" s="552"/>
      <c r="DV229" s="552"/>
      <c r="DW229" s="552"/>
      <c r="DX229" s="552"/>
      <c r="DY229" s="552"/>
      <c r="DZ229" s="552"/>
      <c r="EA229" s="552"/>
      <c r="EB229" s="552"/>
      <c r="EC229" s="552"/>
      <c r="ED229" s="552"/>
      <c r="EE229" s="12"/>
      <c r="EF229" s="12"/>
      <c r="EG229" s="12"/>
      <c r="EH229" s="12"/>
      <c r="EI229" s="12"/>
      <c r="EJ229" s="574"/>
      <c r="EK229" s="574"/>
      <c r="EL229" s="574"/>
      <c r="EM229" s="574"/>
      <c r="EN229" s="574"/>
      <c r="EO229" s="574"/>
      <c r="EP229" s="574"/>
      <c r="EQ229" s="574"/>
      <c r="ER229" s="574"/>
      <c r="ES229" s="574"/>
      <c r="ET229" s="574"/>
      <c r="EU229" s="574"/>
    </row>
    <row r="230">
      <c r="A230" s="552"/>
      <c r="B230" s="552"/>
      <c r="C230" s="552"/>
      <c r="D230" s="552"/>
      <c r="E230" s="552"/>
      <c r="F230" s="552"/>
      <c r="G230" s="552"/>
      <c r="H230" s="552"/>
      <c r="I230" s="552"/>
      <c r="J230" s="552"/>
      <c r="K230" s="552"/>
      <c r="L230" s="552"/>
      <c r="M230" s="552"/>
      <c r="N230" s="552"/>
      <c r="O230" s="552"/>
      <c r="P230" s="552"/>
      <c r="Q230" s="552"/>
      <c r="R230" s="552"/>
      <c r="S230" s="552"/>
      <c r="T230" s="552"/>
      <c r="U230" s="552"/>
      <c r="V230" s="552"/>
      <c r="W230" s="552"/>
      <c r="X230" s="552"/>
      <c r="Y230" s="552"/>
      <c r="Z230" s="552"/>
      <c r="AA230" s="552"/>
      <c r="AB230" s="552"/>
      <c r="AC230" s="552"/>
      <c r="AD230" s="552"/>
      <c r="AE230" s="552"/>
      <c r="AF230" s="552"/>
      <c r="AG230" s="552"/>
      <c r="AH230" s="552"/>
      <c r="AI230" s="552"/>
      <c r="AJ230" s="552"/>
      <c r="AK230" s="552"/>
      <c r="AL230" s="552"/>
      <c r="AM230" s="552"/>
      <c r="AN230" s="552"/>
      <c r="AO230" s="552"/>
      <c r="AP230" s="552"/>
      <c r="AQ230" s="552"/>
      <c r="AR230" s="552"/>
      <c r="AS230" s="552"/>
      <c r="AT230" s="552"/>
      <c r="AU230" s="552"/>
      <c r="AV230" s="552"/>
      <c r="AW230" s="552"/>
      <c r="AX230" s="552"/>
      <c r="AY230" s="552"/>
      <c r="AZ230" s="552"/>
      <c r="BA230" s="552"/>
      <c r="BB230" s="552"/>
      <c r="BC230" s="552"/>
      <c r="BD230" s="552"/>
      <c r="BE230" s="552"/>
      <c r="BF230" s="552"/>
      <c r="BG230" s="552"/>
      <c r="BH230" s="552"/>
      <c r="BI230" s="552"/>
      <c r="BJ230" s="552"/>
      <c r="BK230" s="552"/>
      <c r="BL230" s="552"/>
      <c r="BM230" s="552"/>
      <c r="BN230" s="552"/>
      <c r="BO230" s="552"/>
      <c r="BP230" s="552"/>
      <c r="BQ230" s="552"/>
      <c r="BR230" s="552"/>
      <c r="BS230" s="552"/>
      <c r="BT230" s="552"/>
      <c r="BU230" s="552"/>
      <c r="BV230" s="552"/>
      <c r="BW230" s="552"/>
      <c r="BX230" s="552"/>
      <c r="BY230" s="552"/>
      <c r="BZ230" s="552"/>
      <c r="CA230" s="552"/>
      <c r="CB230" s="552"/>
      <c r="CC230" s="552"/>
      <c r="CD230" s="552"/>
      <c r="CE230" s="552"/>
      <c r="CF230" s="12"/>
      <c r="CG230" s="12"/>
      <c r="CH230" s="12"/>
      <c r="CI230" s="12"/>
      <c r="CJ230" s="12"/>
      <c r="CK230" s="552"/>
      <c r="CL230" s="552"/>
      <c r="CM230" s="552"/>
      <c r="CN230" s="552"/>
      <c r="CO230" s="552"/>
      <c r="CP230" s="552"/>
      <c r="CQ230" s="552"/>
      <c r="CR230" s="552"/>
      <c r="CS230" s="552"/>
      <c r="CT230" s="552"/>
      <c r="CU230" s="552"/>
      <c r="CV230" s="552"/>
      <c r="CW230" s="12"/>
      <c r="CX230" s="12"/>
      <c r="CY230" s="12"/>
      <c r="CZ230" s="12"/>
      <c r="DA230" s="12"/>
      <c r="DB230" s="552"/>
      <c r="DC230" s="552"/>
      <c r="DD230" s="552"/>
      <c r="DE230" s="552"/>
      <c r="DF230" s="552"/>
      <c r="DG230" s="552"/>
      <c r="DH230" s="552"/>
      <c r="DI230" s="552"/>
      <c r="DJ230" s="552"/>
      <c r="DK230" s="552"/>
      <c r="DL230" s="552"/>
      <c r="DM230" s="552"/>
      <c r="DN230" s="12"/>
      <c r="DO230" s="12"/>
      <c r="DP230" s="12"/>
      <c r="DQ230" s="12"/>
      <c r="DR230" s="12"/>
      <c r="DS230" s="552"/>
      <c r="DT230" s="552"/>
      <c r="DU230" s="552"/>
      <c r="DV230" s="552"/>
      <c r="DW230" s="552"/>
      <c r="DX230" s="552"/>
      <c r="DY230" s="552"/>
      <c r="DZ230" s="552"/>
      <c r="EA230" s="552"/>
      <c r="EB230" s="552"/>
      <c r="EC230" s="552"/>
      <c r="ED230" s="552"/>
      <c r="EE230" s="12"/>
      <c r="EF230" s="12"/>
      <c r="EG230" s="12"/>
      <c r="EH230" s="12"/>
      <c r="EI230" s="12"/>
      <c r="EJ230" s="574"/>
      <c r="EK230" s="574"/>
      <c r="EL230" s="574"/>
      <c r="EM230" s="574"/>
      <c r="EN230" s="574"/>
      <c r="EO230" s="574"/>
      <c r="EP230" s="574"/>
      <c r="EQ230" s="574"/>
      <c r="ER230" s="574"/>
      <c r="ES230" s="574"/>
      <c r="ET230" s="574"/>
      <c r="EU230" s="574"/>
    </row>
    <row r="231">
      <c r="A231" s="552"/>
      <c r="B231" s="552"/>
      <c r="C231" s="552"/>
      <c r="D231" s="552"/>
      <c r="E231" s="552"/>
      <c r="F231" s="552"/>
      <c r="G231" s="552"/>
      <c r="H231" s="552"/>
      <c r="I231" s="552"/>
      <c r="J231" s="552"/>
      <c r="K231" s="552"/>
      <c r="L231" s="552"/>
      <c r="M231" s="552"/>
      <c r="N231" s="552"/>
      <c r="O231" s="552"/>
      <c r="P231" s="552"/>
      <c r="Q231" s="552"/>
      <c r="R231" s="552"/>
      <c r="S231" s="552"/>
      <c r="T231" s="552"/>
      <c r="U231" s="552"/>
      <c r="V231" s="552"/>
      <c r="W231" s="552"/>
      <c r="X231" s="552"/>
      <c r="Y231" s="552"/>
      <c r="Z231" s="552"/>
      <c r="AA231" s="552"/>
      <c r="AB231" s="552"/>
      <c r="AC231" s="552"/>
      <c r="AD231" s="552"/>
      <c r="AE231" s="552"/>
      <c r="AF231" s="552"/>
      <c r="AG231" s="552"/>
      <c r="AH231" s="552"/>
      <c r="AI231" s="552"/>
      <c r="AJ231" s="552"/>
      <c r="AK231" s="552"/>
      <c r="AL231" s="552"/>
      <c r="AM231" s="552"/>
      <c r="AN231" s="552"/>
      <c r="AO231" s="552"/>
      <c r="AP231" s="552"/>
      <c r="AQ231" s="552"/>
      <c r="AR231" s="552"/>
      <c r="AS231" s="552"/>
      <c r="AT231" s="552"/>
      <c r="AU231" s="552"/>
      <c r="AV231" s="552"/>
      <c r="AW231" s="552"/>
      <c r="AX231" s="552"/>
      <c r="AY231" s="552"/>
      <c r="AZ231" s="552"/>
      <c r="BA231" s="552"/>
      <c r="BB231" s="552"/>
      <c r="BC231" s="552"/>
      <c r="BD231" s="552"/>
      <c r="BE231" s="552"/>
      <c r="BF231" s="552"/>
      <c r="BG231" s="552"/>
      <c r="BH231" s="552"/>
      <c r="BI231" s="552"/>
      <c r="BJ231" s="552"/>
      <c r="BK231" s="552"/>
      <c r="BL231" s="552"/>
      <c r="BM231" s="552"/>
      <c r="BN231" s="552"/>
      <c r="BO231" s="552"/>
      <c r="BP231" s="552"/>
      <c r="BQ231" s="552"/>
      <c r="BR231" s="552"/>
      <c r="BS231" s="552"/>
      <c r="BT231" s="552"/>
      <c r="BU231" s="552"/>
      <c r="BV231" s="552"/>
      <c r="BW231" s="552"/>
      <c r="BX231" s="552"/>
      <c r="BY231" s="552"/>
      <c r="BZ231" s="552"/>
      <c r="CA231" s="552"/>
      <c r="CB231" s="552"/>
      <c r="CC231" s="552"/>
      <c r="CD231" s="552"/>
      <c r="CE231" s="552"/>
      <c r="CF231" s="12"/>
      <c r="CG231" s="12"/>
      <c r="CH231" s="12"/>
      <c r="CI231" s="12"/>
      <c r="CJ231" s="12"/>
      <c r="CK231" s="552"/>
      <c r="CL231" s="552"/>
      <c r="CM231" s="552"/>
      <c r="CN231" s="552"/>
      <c r="CO231" s="552"/>
      <c r="CP231" s="552"/>
      <c r="CQ231" s="552"/>
      <c r="CR231" s="552"/>
      <c r="CS231" s="552"/>
      <c r="CT231" s="552"/>
      <c r="CU231" s="552"/>
      <c r="CV231" s="552"/>
      <c r="CW231" s="12"/>
      <c r="CX231" s="12"/>
      <c r="CY231" s="12"/>
      <c r="CZ231" s="12"/>
      <c r="DA231" s="12"/>
      <c r="DB231" s="552"/>
      <c r="DC231" s="552"/>
      <c r="DD231" s="552"/>
      <c r="DE231" s="552"/>
      <c r="DF231" s="552"/>
      <c r="DG231" s="552"/>
      <c r="DH231" s="552"/>
      <c r="DI231" s="552"/>
      <c r="DJ231" s="552"/>
      <c r="DK231" s="552"/>
      <c r="DL231" s="552"/>
      <c r="DM231" s="552"/>
      <c r="DN231" s="12"/>
      <c r="DO231" s="12"/>
      <c r="DP231" s="12"/>
      <c r="DQ231" s="12"/>
      <c r="DR231" s="12"/>
      <c r="DS231" s="552"/>
      <c r="DT231" s="552"/>
      <c r="DU231" s="552"/>
      <c r="DV231" s="552"/>
      <c r="DW231" s="552"/>
      <c r="DX231" s="552"/>
      <c r="DY231" s="552"/>
      <c r="DZ231" s="552"/>
      <c r="EA231" s="552"/>
      <c r="EB231" s="552"/>
      <c r="EC231" s="552"/>
      <c r="ED231" s="552"/>
      <c r="EE231" s="12"/>
      <c r="EF231" s="12"/>
      <c r="EG231" s="12"/>
      <c r="EH231" s="12"/>
      <c r="EI231" s="12"/>
      <c r="EJ231" s="574"/>
      <c r="EK231" s="574"/>
      <c r="EL231" s="574"/>
      <c r="EM231" s="574"/>
      <c r="EN231" s="574"/>
      <c r="EO231" s="574"/>
      <c r="EP231" s="574"/>
      <c r="EQ231" s="574"/>
      <c r="ER231" s="574"/>
      <c r="ES231" s="574"/>
      <c r="ET231" s="574"/>
      <c r="EU231" s="574"/>
    </row>
    <row r="232">
      <c r="A232" s="4"/>
      <c r="B232" s="668" t="s">
        <v>307</v>
      </c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4"/>
      <c r="DP232" s="4"/>
      <c r="DQ232" s="4"/>
      <c r="DR232" s="4"/>
      <c r="DS232" s="4"/>
      <c r="DT232" s="4"/>
      <c r="DU232" s="4"/>
      <c r="DV232" s="4"/>
      <c r="DW232" s="4"/>
      <c r="DX232" s="4"/>
      <c r="DY232" s="4"/>
      <c r="DZ232" s="4"/>
      <c r="EA232" s="4"/>
      <c r="EB232" s="4"/>
      <c r="EC232" s="4"/>
      <c r="ED232" s="4"/>
      <c r="EE232" s="4"/>
      <c r="EF232" s="4"/>
      <c r="EG232" s="4"/>
      <c r="EH232" s="4"/>
      <c r="EI232" s="4"/>
      <c r="EJ232" s="669"/>
      <c r="EK232" s="669"/>
      <c r="EL232" s="669"/>
      <c r="EM232" s="669"/>
      <c r="EN232" s="669"/>
      <c r="EO232" s="669"/>
      <c r="EP232" s="669"/>
      <c r="EQ232" s="669"/>
      <c r="ER232" s="669"/>
      <c r="ES232" s="669"/>
      <c r="ET232" s="669"/>
      <c r="EU232" s="669"/>
    </row>
    <row r="233">
      <c r="A233" s="552"/>
      <c r="B233" s="552" t="s">
        <v>308</v>
      </c>
      <c r="C233" s="552"/>
      <c r="D233" s="552"/>
      <c r="E233" s="552"/>
      <c r="F233" s="552"/>
      <c r="G233" s="552"/>
      <c r="H233" s="552"/>
      <c r="I233" s="552"/>
      <c r="J233" s="552"/>
      <c r="K233" s="552"/>
      <c r="L233" s="552"/>
      <c r="M233" s="552"/>
      <c r="N233" s="552"/>
      <c r="O233" s="552"/>
      <c r="P233" s="552"/>
      <c r="Q233" s="552"/>
      <c r="R233" s="552"/>
      <c r="S233" s="552"/>
      <c r="T233" s="552"/>
      <c r="U233" s="552"/>
      <c r="V233" s="552"/>
      <c r="W233" s="552"/>
      <c r="X233" s="552"/>
      <c r="Y233" s="552"/>
      <c r="Z233" s="552"/>
      <c r="AA233" s="552"/>
      <c r="AB233" s="552"/>
      <c r="AC233" s="552"/>
      <c r="AD233" s="552"/>
      <c r="AE233" s="552"/>
      <c r="AF233" s="552"/>
      <c r="AG233" s="552"/>
      <c r="AH233" s="552"/>
      <c r="AI233" s="552"/>
      <c r="AJ233" s="552"/>
      <c r="AK233" s="552"/>
      <c r="AL233" s="552"/>
      <c r="AM233" s="552"/>
      <c r="AN233" s="552"/>
      <c r="AO233" s="552"/>
      <c r="AP233" s="552"/>
      <c r="AQ233" s="552"/>
      <c r="AR233" s="552"/>
      <c r="AS233" s="552"/>
      <c r="AT233" s="552"/>
      <c r="AU233" s="552"/>
      <c r="AV233" s="552"/>
      <c r="AW233" s="552"/>
      <c r="AX233" s="552"/>
      <c r="AY233" s="552"/>
      <c r="AZ233" s="552"/>
      <c r="BA233" s="552"/>
      <c r="BB233" s="552"/>
      <c r="BC233" s="552"/>
      <c r="BD233" s="552"/>
      <c r="BE233" s="552"/>
      <c r="BF233" s="552"/>
      <c r="BG233" s="552"/>
      <c r="BH233" s="552"/>
      <c r="BI233" s="552"/>
      <c r="BJ233" s="552"/>
      <c r="BK233" s="552"/>
      <c r="BL233" s="552"/>
      <c r="BM233" s="552"/>
      <c r="BN233" s="552"/>
      <c r="BO233" s="552"/>
      <c r="BP233" s="552"/>
      <c r="BQ233" s="552"/>
      <c r="BR233" s="552"/>
      <c r="BS233" s="552"/>
      <c r="BT233" s="552"/>
      <c r="BU233" s="552"/>
      <c r="BV233" s="552"/>
      <c r="BW233" s="552"/>
      <c r="BX233" s="552"/>
      <c r="BY233" s="552"/>
      <c r="BZ233" s="552"/>
      <c r="CA233" s="552"/>
      <c r="CB233" s="552"/>
      <c r="CC233" s="552"/>
      <c r="CD233" s="552"/>
      <c r="CE233" s="552"/>
      <c r="CF233" s="12"/>
      <c r="CG233" s="12"/>
      <c r="CH233" s="12"/>
      <c r="CI233" s="12"/>
      <c r="CJ233" s="12"/>
      <c r="CK233" s="552"/>
      <c r="CL233" s="552"/>
      <c r="CM233" s="552"/>
      <c r="CN233" s="552"/>
      <c r="CO233" s="552"/>
      <c r="CP233" s="552"/>
      <c r="CQ233" s="552"/>
      <c r="CR233" s="552"/>
      <c r="CS233" s="552"/>
      <c r="CT233" s="552"/>
      <c r="CU233" s="552"/>
      <c r="CV233" s="552"/>
      <c r="CW233" s="12"/>
      <c r="CX233" s="12"/>
      <c r="CY233" s="12"/>
      <c r="CZ233" s="12"/>
      <c r="DA233" s="12"/>
      <c r="DB233" s="552"/>
      <c r="DC233" s="552"/>
      <c r="DD233" s="552"/>
      <c r="DE233" s="552"/>
      <c r="DF233" s="552"/>
      <c r="DG233" s="552"/>
      <c r="DH233" s="552"/>
      <c r="DI233" s="552"/>
      <c r="DJ233" s="552"/>
      <c r="DK233" s="552"/>
      <c r="DL233" s="552"/>
      <c r="DM233" s="552"/>
      <c r="DN233" s="12"/>
      <c r="DO233" s="12"/>
      <c r="DP233" s="12"/>
      <c r="DQ233" s="12"/>
      <c r="DR233" s="12"/>
      <c r="DS233" s="552"/>
      <c r="DT233" s="552"/>
      <c r="DU233" s="552"/>
      <c r="DV233" s="552"/>
      <c r="DW233" s="552"/>
      <c r="DX233" s="552"/>
      <c r="DY233" s="552"/>
      <c r="DZ233" s="552"/>
      <c r="EA233" s="552"/>
      <c r="EB233" s="552"/>
      <c r="EC233" s="552"/>
      <c r="ED233" s="552"/>
      <c r="EE233" s="12"/>
      <c r="EF233" s="12"/>
      <c r="EG233" s="12"/>
      <c r="EH233" s="12"/>
      <c r="EI233" s="12"/>
      <c r="EJ233" s="574"/>
      <c r="EK233" s="574"/>
      <c r="EL233" s="574"/>
      <c r="EM233" s="574"/>
      <c r="EN233" s="574"/>
      <c r="EO233" s="574"/>
      <c r="EP233" s="574"/>
      <c r="EQ233" s="574"/>
      <c r="ER233" s="574"/>
      <c r="ES233" s="574"/>
      <c r="ET233" s="574"/>
      <c r="EU233" s="574"/>
    </row>
    <row r="234">
      <c r="A234" s="552"/>
      <c r="B234" s="552" t="s">
        <v>309</v>
      </c>
      <c r="C234" s="552"/>
      <c r="D234" s="552"/>
      <c r="E234" s="552"/>
      <c r="F234" s="552"/>
      <c r="G234" s="552"/>
      <c r="H234" s="552"/>
      <c r="I234" s="552"/>
      <c r="J234" s="552"/>
      <c r="K234" s="552"/>
      <c r="L234" s="552"/>
      <c r="M234" s="552"/>
      <c r="N234" s="552"/>
      <c r="O234" s="552"/>
      <c r="P234" s="552"/>
      <c r="Q234" s="552"/>
      <c r="R234" s="552"/>
      <c r="S234" s="552"/>
      <c r="T234" s="552"/>
      <c r="U234" s="552"/>
      <c r="V234" s="552"/>
      <c r="W234" s="552"/>
      <c r="X234" s="552"/>
      <c r="Y234" s="552"/>
      <c r="Z234" s="552"/>
      <c r="AA234" s="552"/>
      <c r="AB234" s="552"/>
      <c r="AC234" s="552"/>
      <c r="AD234" s="552"/>
      <c r="AE234" s="552"/>
      <c r="AF234" s="552"/>
      <c r="AG234" s="552"/>
      <c r="AH234" s="552"/>
      <c r="AI234" s="552"/>
      <c r="AJ234" s="552"/>
      <c r="AK234" s="552"/>
      <c r="AL234" s="552"/>
      <c r="AM234" s="552"/>
      <c r="AN234" s="552"/>
      <c r="AO234" s="552"/>
      <c r="AP234" s="552"/>
      <c r="AQ234" s="552"/>
      <c r="AR234" s="552"/>
      <c r="AS234" s="552"/>
      <c r="AT234" s="552"/>
      <c r="AU234" s="552"/>
      <c r="AV234" s="552"/>
      <c r="AW234" s="552"/>
      <c r="AX234" s="552"/>
      <c r="AY234" s="552"/>
      <c r="AZ234" s="552"/>
      <c r="BA234" s="552"/>
      <c r="BB234" s="552"/>
      <c r="BC234" s="552"/>
      <c r="BD234" s="552"/>
      <c r="BE234" s="552"/>
      <c r="BF234" s="552"/>
      <c r="BG234" s="552"/>
      <c r="BH234" s="552"/>
      <c r="BI234" s="552"/>
      <c r="BJ234" s="552"/>
      <c r="BK234" s="552"/>
      <c r="BL234" s="552"/>
      <c r="BM234" s="552"/>
      <c r="BN234" s="552"/>
      <c r="BO234" s="552"/>
      <c r="BP234" s="552"/>
      <c r="BQ234" s="552"/>
      <c r="BR234" s="552"/>
      <c r="BS234" s="552"/>
      <c r="BT234" s="569">
        <v>919.54187</v>
      </c>
      <c r="BU234" s="569">
        <v>985.60531</v>
      </c>
      <c r="BV234" s="569">
        <v>1095.42306</v>
      </c>
      <c r="BW234" s="569">
        <v>2092.00655</v>
      </c>
      <c r="BX234" s="569">
        <v>1008.06522</v>
      </c>
      <c r="BY234" s="569">
        <v>1080.44068</v>
      </c>
      <c r="BZ234" s="569">
        <v>1643.86893</v>
      </c>
      <c r="CA234" s="569">
        <v>1702.07763</v>
      </c>
      <c r="CB234" s="569">
        <v>1681.18516</v>
      </c>
      <c r="CC234" s="569">
        <v>2440.1864</v>
      </c>
      <c r="CD234" s="569">
        <v>2696.19956</v>
      </c>
      <c r="CE234" s="569">
        <v>2830.01238</v>
      </c>
      <c r="CF234" s="646">
        <f>SUM(BT234:BV234)</f>
        <v>3000.57024</v>
      </c>
      <c r="CG234" s="646">
        <f>SUM(BW234:BY234)</f>
        <v>4180.51245</v>
      </c>
      <c r="CH234" s="646">
        <f>SUM(BZ234:CB234)</f>
        <v>5027.13172</v>
      </c>
      <c r="CI234" s="646">
        <f>SUM(CC234:CE234)</f>
        <v>7966.39834</v>
      </c>
      <c r="CJ234" s="646">
        <f>SUM(CF234:CI234)</f>
        <v>20174.61275</v>
      </c>
      <c r="CK234" s="569">
        <v>2471.677</v>
      </c>
      <c r="CL234" s="569">
        <v>2187.14</v>
      </c>
      <c r="CM234" s="569">
        <v>2103.126</v>
      </c>
      <c r="CN234" s="569">
        <v>2359.017</v>
      </c>
      <c r="CO234" s="569">
        <v>1615.843</v>
      </c>
      <c r="CP234" s="569">
        <v>2138.19</v>
      </c>
      <c r="CQ234" s="569">
        <v>1693.477</v>
      </c>
      <c r="CR234" s="569">
        <v>1525.786</v>
      </c>
      <c r="CS234" s="569">
        <v>1836.526</v>
      </c>
      <c r="CT234" s="569">
        <v>2456.201</v>
      </c>
      <c r="CU234" s="569">
        <v>1811.537</v>
      </c>
      <c r="CV234" s="577">
        <v>758.318</v>
      </c>
      <c r="CW234" s="646">
        <f t="shared" ref="CW234:CW235" si="339">SUM(CK234:CM234)</f>
        <v>6761.943</v>
      </c>
      <c r="CX234" s="646">
        <f t="shared" ref="CX234:CX235" si="340">SUM(CN234:CP234)</f>
        <v>6113.05</v>
      </c>
      <c r="CY234" s="646">
        <f t="shared" ref="CY234:CY235" si="341">SUM(CQ234:CS234)</f>
        <v>5055.789</v>
      </c>
      <c r="CZ234" s="646">
        <f t="shared" ref="CZ234:CZ235" si="342">SUM(CT234:CV234)</f>
        <v>5026.056</v>
      </c>
      <c r="DA234" s="646">
        <f t="shared" ref="DA234:DA235" si="343">SUM(CW234:CZ234)</f>
        <v>22956.838</v>
      </c>
      <c r="DB234" s="569">
        <v>2759.012</v>
      </c>
      <c r="DC234" s="569">
        <v>2263.515</v>
      </c>
      <c r="DD234" s="569">
        <v>2635.984</v>
      </c>
      <c r="DE234" s="569">
        <v>2756.11</v>
      </c>
      <c r="DF234" s="569">
        <v>2005.624</v>
      </c>
      <c r="DG234" s="569">
        <v>1240.127</v>
      </c>
      <c r="DH234" s="594"/>
      <c r="DI234" s="594"/>
      <c r="DJ234" s="594"/>
      <c r="DK234" s="594"/>
      <c r="DL234" s="594"/>
      <c r="DM234" s="552"/>
      <c r="DN234" s="646">
        <f t="shared" ref="DN234:DN235" si="344">SUM(DB234:DD234)</f>
        <v>7658.511</v>
      </c>
      <c r="DO234" s="646">
        <f t="shared" ref="DO234:DO235" si="345">SUM(DE234:DG234)</f>
        <v>6001.861</v>
      </c>
      <c r="DP234" s="646">
        <f t="shared" ref="DP234:DP235" si="346">SUM(DH234:DJ234)</f>
        <v>0</v>
      </c>
      <c r="DQ234" s="646">
        <f t="shared" ref="DQ234:DQ235" si="347">SUM(DK234:DM234)</f>
        <v>0</v>
      </c>
      <c r="DR234" s="646">
        <f t="shared" ref="DR234:DR235" si="348">SUM(DN234:DQ234)</f>
        <v>13660.372</v>
      </c>
      <c r="DS234" s="594"/>
      <c r="DT234" s="594"/>
      <c r="DU234" s="594"/>
      <c r="DV234" s="594"/>
      <c r="DW234" s="594"/>
      <c r="DX234" s="594"/>
      <c r="DY234" s="594"/>
      <c r="DZ234" s="594"/>
      <c r="EA234" s="594"/>
      <c r="EB234" s="594"/>
      <c r="EC234" s="594"/>
      <c r="ED234" s="552"/>
      <c r="EE234" s="646">
        <f t="shared" ref="EE234:EE235" si="349">SUM(DS234:DU234)</f>
        <v>0</v>
      </c>
      <c r="EF234" s="646">
        <f t="shared" ref="EF234:EF235" si="350">SUM(DV234:DX234)</f>
        <v>0</v>
      </c>
      <c r="EG234" s="646">
        <f t="shared" ref="EG234:EG235" si="351">SUM(DY234:EA234)</f>
        <v>0</v>
      </c>
      <c r="EH234" s="646">
        <f t="shared" ref="EH234:EH235" si="352">SUM(EB234:ED234)</f>
        <v>0</v>
      </c>
      <c r="EI234" s="646">
        <f t="shared" ref="EI234:EI235" si="353">SUM(EE234:EH234)</f>
        <v>0</v>
      </c>
      <c r="EJ234" s="574"/>
      <c r="EK234" s="574"/>
      <c r="EL234" s="574"/>
      <c r="EM234" s="574"/>
      <c r="EN234" s="574"/>
      <c r="EO234" s="574"/>
      <c r="EP234" s="574"/>
      <c r="EQ234" s="574"/>
      <c r="ER234" s="574"/>
      <c r="ES234" s="574"/>
      <c r="ET234" s="574"/>
      <c r="EU234" s="574"/>
    </row>
    <row r="235">
      <c r="A235" s="552"/>
      <c r="B235" s="552" t="s">
        <v>310</v>
      </c>
      <c r="C235" s="552"/>
      <c r="D235" s="552"/>
      <c r="E235" s="552"/>
      <c r="F235" s="552"/>
      <c r="G235" s="552"/>
      <c r="H235" s="552"/>
      <c r="I235" s="552"/>
      <c r="J235" s="552"/>
      <c r="K235" s="552"/>
      <c r="L235" s="552"/>
      <c r="M235" s="552"/>
      <c r="N235" s="552"/>
      <c r="O235" s="552"/>
      <c r="P235" s="552"/>
      <c r="Q235" s="552"/>
      <c r="R235" s="552"/>
      <c r="S235" s="552"/>
      <c r="T235" s="552"/>
      <c r="U235" s="552"/>
      <c r="V235" s="552"/>
      <c r="W235" s="552"/>
      <c r="X235" s="552"/>
      <c r="Y235" s="552"/>
      <c r="Z235" s="552"/>
      <c r="AA235" s="552"/>
      <c r="AB235" s="552"/>
      <c r="AC235" s="552"/>
      <c r="AD235" s="552"/>
      <c r="AE235" s="552"/>
      <c r="AF235" s="552"/>
      <c r="AG235" s="552"/>
      <c r="AH235" s="552"/>
      <c r="AI235" s="552"/>
      <c r="AJ235" s="552"/>
      <c r="AK235" s="552"/>
      <c r="AL235" s="552"/>
      <c r="AM235" s="552"/>
      <c r="AN235" s="552"/>
      <c r="AO235" s="552"/>
      <c r="AP235" s="552"/>
      <c r="AQ235" s="552"/>
      <c r="AR235" s="552"/>
      <c r="AS235" s="552"/>
      <c r="AT235" s="552"/>
      <c r="AU235" s="552"/>
      <c r="AV235" s="552"/>
      <c r="AW235" s="552"/>
      <c r="AX235" s="552"/>
      <c r="AY235" s="552"/>
      <c r="AZ235" s="552"/>
      <c r="BA235" s="552"/>
      <c r="BB235" s="552"/>
      <c r="BC235" s="552"/>
      <c r="BD235" s="552"/>
      <c r="BE235" s="552"/>
      <c r="BF235" s="552"/>
      <c r="BG235" s="552"/>
      <c r="BH235" s="552"/>
      <c r="BI235" s="552"/>
      <c r="BJ235" s="552"/>
      <c r="BK235" s="552"/>
      <c r="BL235" s="552"/>
      <c r="BM235" s="552"/>
      <c r="BN235" s="552"/>
      <c r="BO235" s="552"/>
      <c r="BP235" s="552"/>
      <c r="BQ235" s="552"/>
      <c r="BR235" s="552"/>
      <c r="BS235" s="552"/>
      <c r="BT235" s="552"/>
      <c r="BU235" s="552"/>
      <c r="BV235" s="552"/>
      <c r="BW235" s="552"/>
      <c r="BX235" s="552"/>
      <c r="BY235" s="552"/>
      <c r="BZ235" s="552"/>
      <c r="CA235" s="552"/>
      <c r="CB235" s="552"/>
      <c r="CC235" s="552"/>
      <c r="CD235" s="552"/>
      <c r="CE235" s="552"/>
      <c r="CF235" s="12"/>
      <c r="CG235" s="12"/>
      <c r="CH235" s="12"/>
      <c r="CI235" s="12"/>
      <c r="CJ235" s="12"/>
      <c r="CK235" s="569">
        <v>166.936</v>
      </c>
      <c r="CL235" s="569">
        <v>254.022</v>
      </c>
      <c r="CM235" s="569">
        <v>216.478</v>
      </c>
      <c r="CN235" s="577">
        <v>161.43</v>
      </c>
      <c r="CO235" s="577">
        <v>152.917</v>
      </c>
      <c r="CP235" s="569">
        <v>207.968</v>
      </c>
      <c r="CQ235" s="569">
        <v>239.463</v>
      </c>
      <c r="CR235" s="569">
        <v>175.074</v>
      </c>
      <c r="CS235" s="569">
        <v>211.493</v>
      </c>
      <c r="CT235" s="577">
        <v>213.866</v>
      </c>
      <c r="CU235" s="577">
        <v>34.981</v>
      </c>
      <c r="CV235" s="577">
        <v>0.0</v>
      </c>
      <c r="CW235" s="646">
        <f t="shared" si="339"/>
        <v>637.436</v>
      </c>
      <c r="CX235" s="664">
        <f t="shared" si="340"/>
        <v>522.315</v>
      </c>
      <c r="CY235" s="646">
        <f t="shared" si="341"/>
        <v>626.03</v>
      </c>
      <c r="CZ235" s="664">
        <f t="shared" si="342"/>
        <v>248.847</v>
      </c>
      <c r="DA235" s="646">
        <f t="shared" si="343"/>
        <v>2034.628</v>
      </c>
      <c r="DB235" s="569">
        <v>84.586</v>
      </c>
      <c r="DC235" s="569">
        <v>40.2</v>
      </c>
      <c r="DD235" s="569">
        <v>87.805</v>
      </c>
      <c r="DE235" s="569">
        <v>75.48</v>
      </c>
      <c r="DF235" s="569">
        <v>32.844</v>
      </c>
      <c r="DG235" s="569">
        <v>20.561</v>
      </c>
      <c r="DH235" s="594"/>
      <c r="DI235" s="594"/>
      <c r="DJ235" s="594"/>
      <c r="DK235" s="552"/>
      <c r="DL235" s="552"/>
      <c r="DM235" s="552"/>
      <c r="DN235" s="646">
        <f t="shared" si="344"/>
        <v>212.591</v>
      </c>
      <c r="DO235" s="646">
        <f t="shared" si="345"/>
        <v>128.885</v>
      </c>
      <c r="DP235" s="646">
        <f t="shared" si="346"/>
        <v>0</v>
      </c>
      <c r="DQ235" s="664">
        <f t="shared" si="347"/>
        <v>0</v>
      </c>
      <c r="DR235" s="646">
        <f t="shared" si="348"/>
        <v>341.476</v>
      </c>
      <c r="DS235" s="594"/>
      <c r="DT235" s="594"/>
      <c r="DU235" s="594"/>
      <c r="DV235" s="594"/>
      <c r="DW235" s="594"/>
      <c r="DX235" s="594"/>
      <c r="DY235" s="594"/>
      <c r="DZ235" s="594"/>
      <c r="EA235" s="594"/>
      <c r="EB235" s="552"/>
      <c r="EC235" s="552"/>
      <c r="ED235" s="552"/>
      <c r="EE235" s="646">
        <f t="shared" si="349"/>
        <v>0</v>
      </c>
      <c r="EF235" s="646">
        <f t="shared" si="350"/>
        <v>0</v>
      </c>
      <c r="EG235" s="646">
        <f t="shared" si="351"/>
        <v>0</v>
      </c>
      <c r="EH235" s="664">
        <f t="shared" si="352"/>
        <v>0</v>
      </c>
      <c r="EI235" s="646">
        <f t="shared" si="353"/>
        <v>0</v>
      </c>
      <c r="EJ235" s="574"/>
      <c r="EK235" s="574"/>
      <c r="EL235" s="574"/>
      <c r="EM235" s="574"/>
      <c r="EN235" s="574"/>
      <c r="EO235" s="574"/>
      <c r="EP235" s="574"/>
      <c r="EQ235" s="574"/>
      <c r="ER235" s="574"/>
      <c r="ES235" s="574"/>
      <c r="ET235" s="574"/>
      <c r="EU235" s="574"/>
    </row>
    <row r="236">
      <c r="A236" s="552"/>
      <c r="B236" s="552"/>
      <c r="C236" s="552"/>
      <c r="D236" s="552"/>
      <c r="E236" s="552"/>
      <c r="F236" s="552"/>
      <c r="G236" s="552"/>
      <c r="H236" s="552"/>
      <c r="I236" s="552"/>
      <c r="J236" s="552"/>
      <c r="K236" s="552"/>
      <c r="L236" s="552"/>
      <c r="M236" s="552"/>
      <c r="N236" s="552"/>
      <c r="O236" s="552"/>
      <c r="P236" s="552"/>
      <c r="Q236" s="552"/>
      <c r="R236" s="552"/>
      <c r="S236" s="552"/>
      <c r="T236" s="552"/>
      <c r="U236" s="552"/>
      <c r="V236" s="552"/>
      <c r="W236" s="552"/>
      <c r="X236" s="552"/>
      <c r="Y236" s="552"/>
      <c r="Z236" s="552"/>
      <c r="AA236" s="552"/>
      <c r="AB236" s="552"/>
      <c r="AC236" s="552"/>
      <c r="AD236" s="552"/>
      <c r="AE236" s="552"/>
      <c r="AF236" s="552"/>
      <c r="AG236" s="552"/>
      <c r="AH236" s="552"/>
      <c r="AI236" s="552"/>
      <c r="AJ236" s="552"/>
      <c r="AK236" s="552"/>
      <c r="AL236" s="552"/>
      <c r="AM236" s="552"/>
      <c r="AN236" s="552"/>
      <c r="AO236" s="552"/>
      <c r="AP236" s="552"/>
      <c r="AQ236" s="552"/>
      <c r="AR236" s="552"/>
      <c r="AS236" s="552"/>
      <c r="AT236" s="552"/>
      <c r="AU236" s="552"/>
      <c r="AV236" s="552"/>
      <c r="AW236" s="552"/>
      <c r="AX236" s="552"/>
      <c r="AY236" s="552"/>
      <c r="AZ236" s="552"/>
      <c r="BA236" s="552"/>
      <c r="BB236" s="552"/>
      <c r="BC236" s="552"/>
      <c r="BD236" s="552"/>
      <c r="BE236" s="552"/>
      <c r="BF236" s="552"/>
      <c r="BG236" s="552"/>
      <c r="BH236" s="552"/>
      <c r="BI236" s="552"/>
      <c r="BJ236" s="552"/>
      <c r="BK236" s="552"/>
      <c r="BL236" s="552"/>
      <c r="BM236" s="552"/>
      <c r="BN236" s="552"/>
      <c r="BO236" s="552"/>
      <c r="BP236" s="552"/>
      <c r="BQ236" s="552"/>
      <c r="BR236" s="552"/>
      <c r="BS236" s="552"/>
      <c r="BT236" s="552"/>
      <c r="BU236" s="552"/>
      <c r="BV236" s="552"/>
      <c r="BW236" s="552"/>
      <c r="BX236" s="552"/>
      <c r="BY236" s="552"/>
      <c r="BZ236" s="552"/>
      <c r="CA236" s="552"/>
      <c r="CB236" s="552"/>
      <c r="CC236" s="552"/>
      <c r="CD236" s="552"/>
      <c r="CE236" s="552"/>
      <c r="CF236" s="12"/>
      <c r="CG236" s="12"/>
      <c r="CH236" s="12"/>
      <c r="CI236" s="12"/>
      <c r="CJ236" s="12"/>
      <c r="CK236" s="552"/>
      <c r="CL236" s="552"/>
      <c r="CM236" s="552"/>
      <c r="CN236" s="552"/>
      <c r="CO236" s="552"/>
      <c r="CP236" s="552"/>
      <c r="CQ236" s="552"/>
      <c r="CR236" s="552"/>
      <c r="CS236" s="552"/>
      <c r="CT236" s="552"/>
      <c r="CU236" s="552"/>
      <c r="CV236" s="552"/>
      <c r="CW236" s="12"/>
      <c r="CX236" s="12"/>
      <c r="CY236" s="12"/>
      <c r="CZ236" s="12"/>
      <c r="DA236" s="12"/>
      <c r="DB236" s="552"/>
      <c r="DC236" s="552"/>
      <c r="DD236" s="552"/>
      <c r="DE236" s="552"/>
      <c r="DF236" s="552"/>
      <c r="DG236" s="552"/>
      <c r="DH236" s="552"/>
      <c r="DI236" s="552"/>
      <c r="DJ236" s="552"/>
      <c r="DK236" s="552"/>
      <c r="DL236" s="552"/>
      <c r="DM236" s="552"/>
      <c r="DN236" s="12"/>
      <c r="DO236" s="12"/>
      <c r="DP236" s="12"/>
      <c r="DQ236" s="12"/>
      <c r="DR236" s="12"/>
      <c r="DS236" s="552"/>
      <c r="DT236" s="552"/>
      <c r="DU236" s="552"/>
      <c r="DV236" s="552"/>
      <c r="DW236" s="552"/>
      <c r="DX236" s="552"/>
      <c r="DY236" s="552"/>
      <c r="DZ236" s="552"/>
      <c r="EA236" s="552"/>
      <c r="EB236" s="552"/>
      <c r="EC236" s="552"/>
      <c r="ED236" s="552"/>
      <c r="EE236" s="12"/>
      <c r="EF236" s="12"/>
      <c r="EG236" s="12"/>
      <c r="EH236" s="12"/>
      <c r="EI236" s="12"/>
      <c r="EJ236" s="574"/>
      <c r="EK236" s="574"/>
      <c r="EL236" s="574"/>
      <c r="EM236" s="574"/>
      <c r="EN236" s="574"/>
      <c r="EO236" s="574"/>
      <c r="EP236" s="574"/>
      <c r="EQ236" s="574"/>
      <c r="ER236" s="574"/>
      <c r="ES236" s="574"/>
      <c r="ET236" s="574"/>
      <c r="EU236" s="574"/>
    </row>
    <row r="237">
      <c r="A237" s="12"/>
      <c r="B237" s="552" t="s">
        <v>311</v>
      </c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  <c r="BJ237" s="12"/>
      <c r="BK237" s="12"/>
      <c r="BL237" s="12"/>
      <c r="BM237" s="12"/>
      <c r="BN237" s="12"/>
      <c r="BO237" s="12"/>
      <c r="BP237" s="12"/>
      <c r="BQ237" s="12"/>
      <c r="BR237" s="12"/>
      <c r="BS237" s="12"/>
      <c r="BT237" s="12"/>
      <c r="BU237" s="12"/>
      <c r="BV237" s="12"/>
      <c r="BW237" s="12"/>
      <c r="BX237" s="12"/>
      <c r="BY237" s="12"/>
      <c r="BZ237" s="12"/>
      <c r="CA237" s="12"/>
      <c r="CB237" s="12"/>
      <c r="CC237" s="12"/>
      <c r="CD237" s="12"/>
      <c r="CE237" s="12"/>
      <c r="CF237" s="12"/>
      <c r="CG237" s="12"/>
      <c r="CH237" s="12"/>
      <c r="CI237" s="12"/>
      <c r="CJ237" s="12"/>
      <c r="CK237" s="12"/>
      <c r="CL237" s="12"/>
      <c r="CM237" s="12"/>
      <c r="CN237" s="12"/>
      <c r="CO237" s="12"/>
      <c r="CP237" s="12"/>
      <c r="CQ237" s="12"/>
      <c r="CR237" s="12"/>
      <c r="CS237" s="577">
        <f>SUM(CQ234:CS235)/SUM(CN234:CP235)*100-100</f>
        <v>-14.37066386</v>
      </c>
      <c r="CT237" s="12"/>
      <c r="CU237" s="12"/>
      <c r="CV237" s="12"/>
      <c r="CW237" s="578">
        <f>CW234/CI234*100-100</f>
        <v>-15.11919551</v>
      </c>
      <c r="CX237" s="578">
        <f t="shared" ref="CX237:CZ237" si="354">CX234/CW234*100-100</f>
        <v>-9.596250663</v>
      </c>
      <c r="CY237" s="578">
        <f t="shared" si="354"/>
        <v>-17.29514727</v>
      </c>
      <c r="CZ237" s="578">
        <f t="shared" si="354"/>
        <v>-0.5880981188</v>
      </c>
      <c r="DA237" s="574"/>
      <c r="DB237" s="12"/>
      <c r="DC237" s="12"/>
      <c r="DD237" s="12"/>
      <c r="DE237" s="12"/>
      <c r="DF237" s="12"/>
      <c r="DG237" s="12"/>
      <c r="DH237" s="12"/>
      <c r="DI237" s="12"/>
      <c r="DJ237" s="577">
        <f>SUM(DH234:DJ235)/SUM(DE234:DG235)*100-100</f>
        <v>-100</v>
      </c>
      <c r="DK237" s="12"/>
      <c r="DL237" s="12"/>
      <c r="DM237" s="12"/>
      <c r="DN237" s="578">
        <f>DN234/CZ234*100-100</f>
        <v>52.37615737</v>
      </c>
      <c r="DO237" s="578">
        <f t="shared" ref="DO237:DQ237" si="355">DO234/DN234*100-100</f>
        <v>-21.63148946</v>
      </c>
      <c r="DP237" s="578">
        <f t="shared" si="355"/>
        <v>-100</v>
      </c>
      <c r="DQ237" s="596" t="str">
        <f t="shared" si="355"/>
        <v>#DIV/0!</v>
      </c>
      <c r="DR237" s="574"/>
      <c r="DS237" s="12"/>
      <c r="DT237" s="12"/>
      <c r="DU237" s="12"/>
      <c r="DV237" s="12"/>
      <c r="DW237" s="12"/>
      <c r="DX237" s="12"/>
      <c r="DY237" s="12"/>
      <c r="DZ237" s="12"/>
      <c r="EA237" s="12"/>
      <c r="EB237" s="12"/>
      <c r="EC237" s="12"/>
      <c r="ED237" s="12"/>
      <c r="EE237" s="596" t="str">
        <f>EE234/DQ234*100-100</f>
        <v>#DIV/0!</v>
      </c>
      <c r="EF237" s="596" t="str">
        <f t="shared" ref="EF237:EH237" si="356">EF234/EE234*100-100</f>
        <v>#DIV/0!</v>
      </c>
      <c r="EG237" s="596" t="str">
        <f t="shared" si="356"/>
        <v>#DIV/0!</v>
      </c>
      <c r="EH237" s="596" t="str">
        <f t="shared" si="356"/>
        <v>#DIV/0!</v>
      </c>
      <c r="EI237" s="574"/>
      <c r="EJ237" s="574"/>
      <c r="EK237" s="574"/>
      <c r="EL237" s="574"/>
      <c r="EM237" s="574"/>
      <c r="EN237" s="574"/>
      <c r="EO237" s="574"/>
      <c r="EP237" s="574"/>
      <c r="EQ237" s="574"/>
      <c r="ER237" s="574"/>
      <c r="ES237" s="574"/>
      <c r="ET237" s="574"/>
      <c r="EU237" s="574"/>
    </row>
    <row r="238">
      <c r="A238" s="12"/>
      <c r="B238" s="552" t="s">
        <v>312</v>
      </c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  <c r="BK238" s="12"/>
      <c r="BL238" s="12"/>
      <c r="BM238" s="12"/>
      <c r="BN238" s="12"/>
      <c r="BO238" s="12"/>
      <c r="BP238" s="12"/>
      <c r="BQ238" s="12"/>
      <c r="BR238" s="12"/>
      <c r="BS238" s="12"/>
      <c r="BT238" s="12"/>
      <c r="BU238" s="12"/>
      <c r="BV238" s="12"/>
      <c r="BW238" s="12"/>
      <c r="BX238" s="12"/>
      <c r="BY238" s="12"/>
      <c r="BZ238" s="12"/>
      <c r="CA238" s="12"/>
      <c r="CB238" s="12"/>
      <c r="CC238" s="12"/>
      <c r="CD238" s="12"/>
      <c r="CE238" s="12"/>
      <c r="CF238" s="12"/>
      <c r="CG238" s="12"/>
      <c r="CH238" s="12"/>
      <c r="CI238" s="12"/>
      <c r="CJ238" s="12"/>
      <c r="CK238" s="12"/>
      <c r="CL238" s="12"/>
      <c r="CM238" s="12"/>
      <c r="CN238" s="12"/>
      <c r="CO238" s="12"/>
      <c r="CP238" s="12"/>
      <c r="CQ238" s="12"/>
      <c r="CR238" s="12"/>
      <c r="CS238" s="12"/>
      <c r="CT238" s="12"/>
      <c r="CU238" s="12"/>
      <c r="CV238" s="12"/>
      <c r="CW238" s="578">
        <f t="shared" ref="CW238:DA238" si="357">CW234/CF234*100-100</f>
        <v>125.3552645</v>
      </c>
      <c r="CX238" s="578">
        <f t="shared" si="357"/>
        <v>46.22728848</v>
      </c>
      <c r="CY238" s="578">
        <f t="shared" si="357"/>
        <v>0.5700523001</v>
      </c>
      <c r="CZ238" s="578">
        <f t="shared" si="357"/>
        <v>-36.90930599</v>
      </c>
      <c r="DA238" s="578">
        <f t="shared" si="357"/>
        <v>13.79072443</v>
      </c>
      <c r="DB238" s="12"/>
      <c r="DC238" s="12"/>
      <c r="DD238" s="12"/>
      <c r="DE238" s="12"/>
      <c r="DF238" s="12"/>
      <c r="DG238" s="12"/>
      <c r="DH238" s="12"/>
      <c r="DI238" s="12"/>
      <c r="DJ238" s="12"/>
      <c r="DK238" s="12"/>
      <c r="DL238" s="12"/>
      <c r="DM238" s="12"/>
      <c r="DN238" s="578">
        <f t="shared" ref="DN238:DR238" si="358">DN234/CW234*100-100</f>
        <v>13.25902925</v>
      </c>
      <c r="DO238" s="578">
        <f t="shared" si="358"/>
        <v>-1.818879283</v>
      </c>
      <c r="DP238" s="578">
        <f t="shared" si="358"/>
        <v>-100</v>
      </c>
      <c r="DQ238" s="578">
        <f t="shared" si="358"/>
        <v>-100</v>
      </c>
      <c r="DR238" s="578">
        <f t="shared" si="358"/>
        <v>-40.49541143</v>
      </c>
      <c r="DS238" s="12"/>
      <c r="DT238" s="12"/>
      <c r="DU238" s="12"/>
      <c r="DV238" s="12"/>
      <c r="DW238" s="12"/>
      <c r="DX238" s="12"/>
      <c r="DY238" s="12"/>
      <c r="DZ238" s="12"/>
      <c r="EA238" s="12"/>
      <c r="EB238" s="12"/>
      <c r="EC238" s="12"/>
      <c r="ED238" s="12"/>
      <c r="EE238" s="578">
        <f t="shared" ref="EE238:EI238" si="359">EE234/DN234*100-100</f>
        <v>-100</v>
      </c>
      <c r="EF238" s="578">
        <f t="shared" si="359"/>
        <v>-100</v>
      </c>
      <c r="EG238" s="596" t="str">
        <f t="shared" si="359"/>
        <v>#DIV/0!</v>
      </c>
      <c r="EH238" s="596" t="str">
        <f t="shared" si="359"/>
        <v>#DIV/0!</v>
      </c>
      <c r="EI238" s="578">
        <f t="shared" si="359"/>
        <v>-100</v>
      </c>
      <c r="EJ238" s="574"/>
      <c r="EK238" s="574"/>
      <c r="EL238" s="574"/>
      <c r="EM238" s="574"/>
      <c r="EN238" s="574"/>
      <c r="EO238" s="574"/>
      <c r="EP238" s="574"/>
      <c r="EQ238" s="574"/>
      <c r="ER238" s="574"/>
      <c r="ES238" s="574"/>
      <c r="ET238" s="574"/>
      <c r="EU238" s="574"/>
    </row>
    <row r="239">
      <c r="A239" s="12"/>
      <c r="B239" s="552" t="s">
        <v>313</v>
      </c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  <c r="BJ239" s="12"/>
      <c r="BK239" s="12"/>
      <c r="BL239" s="12"/>
      <c r="BM239" s="12"/>
      <c r="BN239" s="12"/>
      <c r="BO239" s="12"/>
      <c r="BP239" s="12"/>
      <c r="BQ239" s="12"/>
      <c r="BR239" s="12"/>
      <c r="BS239" s="12"/>
      <c r="BT239" s="12"/>
      <c r="BU239" s="12"/>
      <c r="BV239" s="12"/>
      <c r="BW239" s="12"/>
      <c r="BX239" s="12"/>
      <c r="BY239" s="12"/>
      <c r="BZ239" s="12"/>
      <c r="CA239" s="12"/>
      <c r="CB239" s="12"/>
      <c r="CC239" s="12"/>
      <c r="CD239" s="12"/>
      <c r="CE239" s="12"/>
      <c r="CF239" s="12"/>
      <c r="CG239" s="12"/>
      <c r="CH239" s="12"/>
      <c r="CI239" s="12"/>
      <c r="CJ239" s="12"/>
      <c r="CK239" s="12"/>
      <c r="CL239" s="12"/>
      <c r="CM239" s="12"/>
      <c r="CN239" s="12"/>
      <c r="CO239" s="12"/>
      <c r="CP239" s="12"/>
      <c r="CQ239" s="12"/>
      <c r="CR239" s="12"/>
      <c r="CS239" s="569">
        <f>SUM(CS234:CS235)</f>
        <v>2048.019</v>
      </c>
      <c r="CT239" s="12"/>
      <c r="CU239" s="12"/>
      <c r="CV239" s="12"/>
      <c r="CW239" s="578">
        <f>SUM(CW234)/sum(CF234)*100-100</f>
        <v>125.3552645</v>
      </c>
      <c r="CX239" s="578">
        <f t="shared" ref="CX239:CZ239" si="360">SUM($CW234:CX234)/sum($CF234:CG234)*100-100</f>
        <v>79.29041561</v>
      </c>
      <c r="CY239" s="578">
        <f t="shared" si="360"/>
        <v>46.87473039</v>
      </c>
      <c r="CZ239" s="578">
        <f t="shared" si="360"/>
        <v>13.79072443</v>
      </c>
      <c r="DA239" s="12"/>
      <c r="DB239" s="12"/>
      <c r="DC239" s="12"/>
      <c r="DD239" s="12"/>
      <c r="DE239" s="12"/>
      <c r="DF239" s="12"/>
      <c r="DG239" s="12"/>
      <c r="DH239" s="12"/>
      <c r="DI239" s="12"/>
      <c r="DJ239" s="569">
        <f>SUM(DJ234:DJ235)</f>
        <v>0</v>
      </c>
      <c r="DK239" s="12"/>
      <c r="DL239" s="12"/>
      <c r="DM239" s="12"/>
      <c r="DN239" s="578">
        <f>SUM(DN234)/sum(CW234)*100-100</f>
        <v>13.25902925</v>
      </c>
      <c r="DO239" s="578">
        <f t="shared" ref="DO239:DQ239" si="361">SUM($DN234:DO234)/sum($CW234:CX234)*100-100</f>
        <v>6.100034384</v>
      </c>
      <c r="DP239" s="578">
        <f t="shared" si="361"/>
        <v>-23.81608343</v>
      </c>
      <c r="DQ239" s="578">
        <f t="shared" si="361"/>
        <v>-40.49541143</v>
      </c>
      <c r="DR239" s="12"/>
      <c r="DS239" s="12"/>
      <c r="DT239" s="12"/>
      <c r="DU239" s="12"/>
      <c r="DV239" s="12"/>
      <c r="DW239" s="12"/>
      <c r="DX239" s="12"/>
      <c r="DY239" s="12"/>
      <c r="DZ239" s="12"/>
      <c r="EA239" s="12"/>
      <c r="EB239" s="12"/>
      <c r="EC239" s="12"/>
      <c r="ED239" s="12"/>
      <c r="EE239" s="578">
        <f>SUM(EE234)/sum(DN234)*100-100</f>
        <v>-100</v>
      </c>
      <c r="EF239" s="578">
        <f t="shared" ref="EF239:EH239" si="362">SUM($DN234:EF234)/sum($CW234:DO234)*100-100</f>
        <v>-62.69412115</v>
      </c>
      <c r="EG239" s="578">
        <f t="shared" si="362"/>
        <v>-62.69412115</v>
      </c>
      <c r="EH239" s="578">
        <f t="shared" si="362"/>
        <v>-62.69412115</v>
      </c>
      <c r="EI239" s="12"/>
      <c r="EJ239" s="574"/>
      <c r="EK239" s="574"/>
      <c r="EL239" s="574"/>
      <c r="EM239" s="574"/>
      <c r="EN239" s="574"/>
      <c r="EO239" s="574"/>
      <c r="EP239" s="574"/>
      <c r="EQ239" s="574"/>
      <c r="ER239" s="574"/>
      <c r="ES239" s="574"/>
      <c r="ET239" s="574"/>
      <c r="EU239" s="574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2"/>
      <c r="BL240" s="12"/>
      <c r="BM240" s="12"/>
      <c r="BN240" s="12"/>
      <c r="BO240" s="12"/>
      <c r="BP240" s="12"/>
      <c r="BQ240" s="12"/>
      <c r="BR240" s="12"/>
      <c r="BS240" s="12"/>
      <c r="BT240" s="12"/>
      <c r="BU240" s="12"/>
      <c r="BV240" s="12"/>
      <c r="BW240" s="12"/>
      <c r="BX240" s="12"/>
      <c r="BY240" s="12"/>
      <c r="BZ240" s="12"/>
      <c r="CA240" s="12"/>
      <c r="CB240" s="12"/>
      <c r="CC240" s="12"/>
      <c r="CD240" s="12"/>
      <c r="CE240" s="12"/>
      <c r="CF240" s="12"/>
      <c r="CG240" s="12"/>
      <c r="CH240" s="12"/>
      <c r="CI240" s="12"/>
      <c r="CJ240" s="12"/>
      <c r="CK240" s="12"/>
      <c r="CL240" s="12"/>
      <c r="CM240" s="12"/>
      <c r="CN240" s="12"/>
      <c r="CO240" s="12"/>
      <c r="CP240" s="12"/>
      <c r="CQ240" s="12"/>
      <c r="CR240" s="12"/>
      <c r="CS240" s="12"/>
      <c r="CT240" s="12"/>
      <c r="CU240" s="12"/>
      <c r="CV240" s="12"/>
      <c r="CW240" s="12"/>
      <c r="CX240" s="12"/>
      <c r="CY240" s="12"/>
      <c r="CZ240" s="12"/>
      <c r="DA240" s="12"/>
      <c r="DB240" s="12"/>
      <c r="DC240" s="12"/>
      <c r="DD240" s="12"/>
      <c r="DE240" s="12"/>
      <c r="DF240" s="12"/>
      <c r="DG240" s="12"/>
      <c r="DH240" s="12"/>
      <c r="DI240" s="12"/>
      <c r="DJ240" s="12"/>
      <c r="DK240" s="12"/>
      <c r="DL240" s="12"/>
      <c r="DM240" s="12"/>
      <c r="DN240" s="12"/>
      <c r="DO240" s="12"/>
      <c r="DP240" s="12"/>
      <c r="DQ240" s="12"/>
      <c r="DR240" s="12"/>
      <c r="DS240" s="12"/>
      <c r="DT240" s="12"/>
      <c r="DU240" s="12"/>
      <c r="DV240" s="12"/>
      <c r="DW240" s="12"/>
      <c r="DX240" s="12"/>
      <c r="DY240" s="12"/>
      <c r="DZ240" s="12"/>
      <c r="EA240" s="12"/>
      <c r="EB240" s="12"/>
      <c r="EC240" s="12"/>
      <c r="ED240" s="12"/>
      <c r="EE240" s="12"/>
      <c r="EF240" s="12"/>
      <c r="EG240" s="12"/>
      <c r="EH240" s="12"/>
      <c r="EI240" s="12"/>
      <c r="EJ240" s="574"/>
      <c r="EK240" s="574"/>
      <c r="EL240" s="574"/>
      <c r="EM240" s="574"/>
      <c r="EN240" s="574"/>
      <c r="EO240" s="574"/>
      <c r="EP240" s="574"/>
      <c r="EQ240" s="574"/>
      <c r="ER240" s="574"/>
      <c r="ES240" s="574"/>
      <c r="ET240" s="574"/>
      <c r="EU240" s="574"/>
    </row>
    <row r="241">
      <c r="A241" s="12"/>
      <c r="B241" s="552" t="s">
        <v>314</v>
      </c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2"/>
      <c r="BL241" s="12"/>
      <c r="BM241" s="12"/>
      <c r="BN241" s="12"/>
      <c r="BO241" s="12"/>
      <c r="BP241" s="12"/>
      <c r="BQ241" s="12"/>
      <c r="BR241" s="12"/>
      <c r="BS241" s="12"/>
      <c r="BT241" s="12"/>
      <c r="BU241" s="12"/>
      <c r="BV241" s="12"/>
      <c r="BW241" s="12"/>
      <c r="BX241" s="12"/>
      <c r="BY241" s="12"/>
      <c r="BZ241" s="12"/>
      <c r="CA241" s="12"/>
      <c r="CB241" s="12"/>
      <c r="CC241" s="12"/>
      <c r="CD241" s="12"/>
      <c r="CE241" s="12"/>
      <c r="CF241" s="12"/>
      <c r="CG241" s="12"/>
      <c r="CH241" s="12"/>
      <c r="CI241" s="12"/>
      <c r="CJ241" s="12"/>
      <c r="CK241" s="12"/>
      <c r="CL241" s="12"/>
      <c r="CM241" s="12"/>
      <c r="CN241" s="12"/>
      <c r="CO241" s="12"/>
      <c r="CP241" s="12"/>
      <c r="CQ241" s="12"/>
      <c r="CR241" s="12"/>
      <c r="CS241" s="12"/>
      <c r="CT241" s="12"/>
      <c r="CU241" s="12"/>
      <c r="CV241" s="12"/>
      <c r="CW241" s="12"/>
      <c r="CX241" s="12"/>
      <c r="CY241" s="12"/>
      <c r="CZ241" s="12"/>
      <c r="DA241" s="12"/>
      <c r="DB241" s="12"/>
      <c r="DC241" s="12"/>
      <c r="DD241" s="12"/>
      <c r="DE241" s="12"/>
      <c r="DF241" s="12"/>
      <c r="DG241" s="12"/>
      <c r="DH241" s="12"/>
      <c r="DI241" s="12"/>
      <c r="DJ241" s="12"/>
      <c r="DK241" s="12"/>
      <c r="DL241" s="12"/>
      <c r="DM241" s="12"/>
      <c r="DN241" s="578">
        <f>DN235/CZ235*100-100</f>
        <v>-14.56959497</v>
      </c>
      <c r="DO241" s="578">
        <f t="shared" ref="DO241:DQ241" si="363">DO235/DN235*100-100</f>
        <v>-39.3741974</v>
      </c>
      <c r="DP241" s="578">
        <f t="shared" si="363"/>
        <v>-100</v>
      </c>
      <c r="DQ241" s="596" t="str">
        <f t="shared" si="363"/>
        <v>#DIV/0!</v>
      </c>
      <c r="DR241" s="12"/>
      <c r="DS241" s="12"/>
      <c r="DT241" s="12"/>
      <c r="DU241" s="12"/>
      <c r="DV241" s="12"/>
      <c r="DW241" s="12"/>
      <c r="DX241" s="12"/>
      <c r="DY241" s="12"/>
      <c r="DZ241" s="12"/>
      <c r="EA241" s="12"/>
      <c r="EB241" s="12"/>
      <c r="EC241" s="12"/>
      <c r="ED241" s="12"/>
      <c r="EE241" s="596" t="str">
        <f>EE235/DQ235*100-100</f>
        <v>#DIV/0!</v>
      </c>
      <c r="EF241" s="596" t="str">
        <f t="shared" ref="EF241:EH241" si="364">EF235/EE235*100-100</f>
        <v>#DIV/0!</v>
      </c>
      <c r="EG241" s="596" t="str">
        <f t="shared" si="364"/>
        <v>#DIV/0!</v>
      </c>
      <c r="EH241" s="596" t="str">
        <f t="shared" si="364"/>
        <v>#DIV/0!</v>
      </c>
      <c r="EI241" s="12"/>
      <c r="EJ241" s="574"/>
      <c r="EK241" s="574"/>
      <c r="EL241" s="574"/>
      <c r="EM241" s="574"/>
      <c r="EN241" s="574"/>
      <c r="EO241" s="574"/>
      <c r="EP241" s="574"/>
      <c r="EQ241" s="574"/>
      <c r="ER241" s="574"/>
      <c r="ES241" s="574"/>
      <c r="ET241" s="574"/>
      <c r="EU241" s="574"/>
    </row>
    <row r="242">
      <c r="A242" s="12"/>
      <c r="B242" s="552" t="s">
        <v>312</v>
      </c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  <c r="BL242" s="12"/>
      <c r="BM242" s="12"/>
      <c r="BN242" s="12"/>
      <c r="BO242" s="12"/>
      <c r="BP242" s="12"/>
      <c r="BQ242" s="12"/>
      <c r="BR242" s="12"/>
      <c r="BS242" s="12"/>
      <c r="BT242" s="12"/>
      <c r="BU242" s="12"/>
      <c r="BV242" s="12"/>
      <c r="BW242" s="12"/>
      <c r="BX242" s="12"/>
      <c r="BY242" s="12"/>
      <c r="BZ242" s="12"/>
      <c r="CA242" s="12"/>
      <c r="CB242" s="12"/>
      <c r="CC242" s="12"/>
      <c r="CD242" s="12"/>
      <c r="CE242" s="12"/>
      <c r="CF242" s="12"/>
      <c r="CG242" s="12"/>
      <c r="CH242" s="12"/>
      <c r="CI242" s="12"/>
      <c r="CJ242" s="12"/>
      <c r="CK242" s="12"/>
      <c r="CL242" s="12"/>
      <c r="CM242" s="12"/>
      <c r="CN242" s="12"/>
      <c r="CO242" s="12"/>
      <c r="CP242" s="12"/>
      <c r="CQ242" s="12"/>
      <c r="CR242" s="12"/>
      <c r="CS242" s="12"/>
      <c r="CT242" s="12"/>
      <c r="CU242" s="12"/>
      <c r="CV242" s="12"/>
      <c r="CW242" s="12"/>
      <c r="CX242" s="12"/>
      <c r="CY242" s="12"/>
      <c r="CZ242" s="12"/>
      <c r="DA242" s="12"/>
      <c r="DB242" s="12"/>
      <c r="DC242" s="12"/>
      <c r="DD242" s="12"/>
      <c r="DE242" s="12"/>
      <c r="DF242" s="12"/>
      <c r="DG242" s="12"/>
      <c r="DH242" s="12"/>
      <c r="DI242" s="12"/>
      <c r="DJ242" s="12"/>
      <c r="DK242" s="12"/>
      <c r="DL242" s="12"/>
      <c r="DM242" s="12"/>
      <c r="DN242" s="578">
        <f t="shared" ref="DN242:DR242" si="365">DN235/CW235*100-100</f>
        <v>-66.64904398</v>
      </c>
      <c r="DO242" s="578">
        <f t="shared" si="365"/>
        <v>-75.3242775</v>
      </c>
      <c r="DP242" s="578">
        <f t="shared" si="365"/>
        <v>-100</v>
      </c>
      <c r="DQ242" s="578">
        <f t="shared" si="365"/>
        <v>-100</v>
      </c>
      <c r="DR242" s="578">
        <f t="shared" si="365"/>
        <v>-83.21678459</v>
      </c>
      <c r="DS242" s="12"/>
      <c r="DT242" s="12"/>
      <c r="DU242" s="12"/>
      <c r="DV242" s="12"/>
      <c r="DW242" s="12"/>
      <c r="DX242" s="12"/>
      <c r="DY242" s="12"/>
      <c r="DZ242" s="12"/>
      <c r="EA242" s="12"/>
      <c r="EB242" s="12"/>
      <c r="EC242" s="12"/>
      <c r="ED242" s="12"/>
      <c r="EE242" s="578">
        <f t="shared" ref="EE242:EI242" si="366">EE235/DN235*100-100</f>
        <v>-100</v>
      </c>
      <c r="EF242" s="578">
        <f t="shared" si="366"/>
        <v>-100</v>
      </c>
      <c r="EG242" s="596" t="str">
        <f t="shared" si="366"/>
        <v>#DIV/0!</v>
      </c>
      <c r="EH242" s="596" t="str">
        <f t="shared" si="366"/>
        <v>#DIV/0!</v>
      </c>
      <c r="EI242" s="578">
        <f t="shared" si="366"/>
        <v>-100</v>
      </c>
      <c r="EJ242" s="574"/>
      <c r="EK242" s="574"/>
      <c r="EL242" s="574"/>
      <c r="EM242" s="574"/>
      <c r="EN242" s="574"/>
      <c r="EO242" s="574"/>
      <c r="EP242" s="574"/>
      <c r="EQ242" s="574"/>
      <c r="ER242" s="574"/>
      <c r="ES242" s="574"/>
      <c r="ET242" s="574"/>
      <c r="EU242" s="574"/>
    </row>
    <row r="243">
      <c r="A243" s="12"/>
      <c r="B243" s="552" t="s">
        <v>313</v>
      </c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  <c r="BJ243" s="12"/>
      <c r="BK243" s="12"/>
      <c r="BL243" s="12"/>
      <c r="BM243" s="12"/>
      <c r="BN243" s="12"/>
      <c r="BO243" s="12"/>
      <c r="BP243" s="12"/>
      <c r="BQ243" s="12"/>
      <c r="BR243" s="12"/>
      <c r="BS243" s="12"/>
      <c r="BT243" s="12"/>
      <c r="BU243" s="12"/>
      <c r="BV243" s="12"/>
      <c r="BW243" s="12"/>
      <c r="BX243" s="12"/>
      <c r="BY243" s="12"/>
      <c r="BZ243" s="12"/>
      <c r="CA243" s="12"/>
      <c r="CB243" s="12"/>
      <c r="CC243" s="12"/>
      <c r="CD243" s="12"/>
      <c r="CE243" s="12"/>
      <c r="CF243" s="12"/>
      <c r="CG243" s="12"/>
      <c r="CH243" s="12"/>
      <c r="CI243" s="12"/>
      <c r="CJ243" s="12"/>
      <c r="CK243" s="12"/>
      <c r="CL243" s="12"/>
      <c r="CM243" s="12"/>
      <c r="CN243" s="12"/>
      <c r="CO243" s="12"/>
      <c r="CP243" s="12"/>
      <c r="CQ243" s="12"/>
      <c r="CR243" s="12"/>
      <c r="CS243" s="12"/>
      <c r="CT243" s="12"/>
      <c r="CU243" s="12"/>
      <c r="CV243" s="12"/>
      <c r="CW243" s="12"/>
      <c r="CX243" s="12"/>
      <c r="CY243" s="12"/>
      <c r="CZ243" s="12"/>
      <c r="DA243" s="12"/>
      <c r="DB243" s="12"/>
      <c r="DC243" s="12"/>
      <c r="DD243" s="12"/>
      <c r="DE243" s="12"/>
      <c r="DF243" s="12"/>
      <c r="DG243" s="12"/>
      <c r="DH243" s="12"/>
      <c r="DI243" s="12"/>
      <c r="DJ243" s="12"/>
      <c r="DK243" s="12"/>
      <c r="DL243" s="12"/>
      <c r="DM243" s="12"/>
      <c r="DN243" s="578">
        <f>SUM(DN235)/sum(CW235)*100-100</f>
        <v>-66.64904398</v>
      </c>
      <c r="DO243" s="578">
        <f t="shared" ref="DO243:DQ243" si="367">SUM($DN235:DO235)/sum($CW235:CX235)*100-100</f>
        <v>-70.55609351</v>
      </c>
      <c r="DP243" s="578">
        <f t="shared" si="367"/>
        <v>-80.8780584</v>
      </c>
      <c r="DQ243" s="578">
        <f t="shared" si="367"/>
        <v>-83.21678459</v>
      </c>
      <c r="DR243" s="12"/>
      <c r="DS243" s="12"/>
      <c r="DT243" s="12"/>
      <c r="DU243" s="12"/>
      <c r="DV243" s="12"/>
      <c r="DW243" s="12"/>
      <c r="DX243" s="12"/>
      <c r="DY243" s="12"/>
      <c r="DZ243" s="12"/>
      <c r="EA243" s="12"/>
      <c r="EB243" s="12"/>
      <c r="EC243" s="12"/>
      <c r="ED243" s="12"/>
      <c r="EE243" s="578">
        <f>SUM(EE235)/sum(DN235)*100-100</f>
        <v>-100</v>
      </c>
      <c r="EF243" s="578">
        <f t="shared" ref="EF243:EH243" si="368">SUM($DN235:EF235)/sum($CW235:DO235)*100-100</f>
        <v>-85.62874352</v>
      </c>
      <c r="EG243" s="578">
        <f t="shared" si="368"/>
        <v>-85.62874352</v>
      </c>
      <c r="EH243" s="578">
        <f t="shared" si="368"/>
        <v>-85.62874352</v>
      </c>
      <c r="EI243" s="12"/>
      <c r="EJ243" s="574"/>
      <c r="EK243" s="574"/>
      <c r="EL243" s="574"/>
      <c r="EM243" s="574"/>
      <c r="EN243" s="574"/>
      <c r="EO243" s="574"/>
      <c r="EP243" s="574"/>
      <c r="EQ243" s="574"/>
      <c r="ER243" s="574"/>
      <c r="ES243" s="574"/>
      <c r="ET243" s="574"/>
      <c r="EU243" s="574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  <c r="BJ244" s="12"/>
      <c r="BK244" s="12"/>
      <c r="BL244" s="12"/>
      <c r="BM244" s="12"/>
      <c r="BN244" s="12"/>
      <c r="BO244" s="12"/>
      <c r="BP244" s="12"/>
      <c r="BQ244" s="12"/>
      <c r="BR244" s="12"/>
      <c r="BS244" s="12"/>
      <c r="BT244" s="12"/>
      <c r="BU244" s="12"/>
      <c r="BV244" s="12"/>
      <c r="BW244" s="12"/>
      <c r="BX244" s="12"/>
      <c r="BY244" s="12"/>
      <c r="BZ244" s="12"/>
      <c r="CA244" s="12"/>
      <c r="CB244" s="12"/>
      <c r="CC244" s="12"/>
      <c r="CD244" s="12"/>
      <c r="CE244" s="12"/>
      <c r="CF244" s="12"/>
      <c r="CG244" s="12"/>
      <c r="CH244" s="12"/>
      <c r="CI244" s="12"/>
      <c r="CJ244" s="12"/>
      <c r="CK244" s="12"/>
      <c r="CL244" s="12"/>
      <c r="CM244" s="12"/>
      <c r="CN244" s="12"/>
      <c r="CO244" s="12"/>
      <c r="CP244" s="12"/>
      <c r="CQ244" s="12"/>
      <c r="CR244" s="12"/>
      <c r="CS244" s="12"/>
      <c r="CT244" s="12"/>
      <c r="CU244" s="12"/>
      <c r="CV244" s="12"/>
      <c r="CW244" s="12"/>
      <c r="CX244" s="12"/>
      <c r="CY244" s="12"/>
      <c r="CZ244" s="12"/>
      <c r="DA244" s="12"/>
      <c r="DB244" s="12"/>
      <c r="DC244" s="12"/>
      <c r="DD244" s="12"/>
      <c r="DE244" s="12"/>
      <c r="DF244" s="12"/>
      <c r="DG244" s="12"/>
      <c r="DH244" s="12"/>
      <c r="DI244" s="12"/>
      <c r="DJ244" s="12"/>
      <c r="DK244" s="12"/>
      <c r="DL244" s="12"/>
      <c r="DM244" s="12"/>
      <c r="DN244" s="12"/>
      <c r="DO244" s="12"/>
      <c r="DP244" s="12"/>
      <c r="DQ244" s="12"/>
      <c r="DR244" s="12"/>
      <c r="DS244" s="12"/>
      <c r="DT244" s="12"/>
      <c r="DU244" s="12"/>
      <c r="DV244" s="12"/>
      <c r="DW244" s="12"/>
      <c r="DX244" s="12"/>
      <c r="DY244" s="12"/>
      <c r="DZ244" s="12"/>
      <c r="EA244" s="12"/>
      <c r="EB244" s="12"/>
      <c r="EC244" s="12"/>
      <c r="ED244" s="12"/>
      <c r="EE244" s="12"/>
      <c r="EF244" s="12"/>
      <c r="EG244" s="12"/>
      <c r="EH244" s="12"/>
      <c r="EI244" s="12"/>
      <c r="EJ244" s="574"/>
      <c r="EK244" s="574"/>
      <c r="EL244" s="574"/>
      <c r="EM244" s="574"/>
      <c r="EN244" s="574"/>
      <c r="EO244" s="574"/>
      <c r="EP244" s="574"/>
      <c r="EQ244" s="574"/>
      <c r="ER244" s="574"/>
      <c r="ES244" s="574"/>
      <c r="ET244" s="574"/>
      <c r="EU244" s="574"/>
    </row>
    <row r="245">
      <c r="A245" s="12"/>
      <c r="B245" s="572" t="s">
        <v>315</v>
      </c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2"/>
      <c r="BL245" s="12"/>
      <c r="BM245" s="12"/>
      <c r="BN245" s="12"/>
      <c r="BO245" s="12"/>
      <c r="BP245" s="12"/>
      <c r="BQ245" s="12"/>
      <c r="BR245" s="12"/>
      <c r="BS245" s="12"/>
      <c r="BT245" s="12"/>
      <c r="BU245" s="12"/>
      <c r="BV245" s="12"/>
      <c r="BW245" s="12"/>
      <c r="BX245" s="12"/>
      <c r="BY245" s="12"/>
      <c r="BZ245" s="12"/>
      <c r="CA245" s="12"/>
      <c r="CB245" s="12"/>
      <c r="CC245" s="12"/>
      <c r="CD245" s="12"/>
      <c r="CE245" s="12"/>
      <c r="CF245" s="12"/>
      <c r="CG245" s="12"/>
      <c r="CH245" s="12"/>
      <c r="CI245" s="12"/>
      <c r="CJ245" s="12"/>
      <c r="CK245" s="12"/>
      <c r="CL245" s="12"/>
      <c r="CM245" s="12"/>
      <c r="CN245" s="12"/>
      <c r="CO245" s="12"/>
      <c r="CP245" s="12"/>
      <c r="CQ245" s="12"/>
      <c r="CR245" s="12"/>
      <c r="CS245" s="12"/>
      <c r="CT245" s="12"/>
      <c r="CU245" s="12"/>
      <c r="CV245" s="12"/>
      <c r="CW245" s="12"/>
      <c r="CX245" s="12"/>
      <c r="CY245" s="12"/>
      <c r="CZ245" s="12"/>
      <c r="DA245" s="12"/>
      <c r="DB245" s="12"/>
      <c r="DC245" s="12"/>
      <c r="DD245" s="12"/>
      <c r="DE245" s="12"/>
      <c r="DF245" s="12"/>
      <c r="DG245" s="12"/>
      <c r="DH245" s="12"/>
      <c r="DI245" s="12"/>
      <c r="DJ245" s="12"/>
      <c r="DK245" s="12"/>
      <c r="DL245" s="12"/>
      <c r="DM245" s="12"/>
      <c r="DN245" s="12"/>
      <c r="DO245" s="12"/>
      <c r="DP245" s="12"/>
      <c r="DQ245" s="12"/>
      <c r="DR245" s="12"/>
      <c r="DS245" s="12"/>
      <c r="DT245" s="12"/>
      <c r="DU245" s="12"/>
      <c r="DV245" s="12"/>
      <c r="DW245" s="12"/>
      <c r="DX245" s="12"/>
      <c r="DY245" s="12"/>
      <c r="DZ245" s="12"/>
      <c r="EA245" s="12"/>
      <c r="EB245" s="12"/>
      <c r="EC245" s="12"/>
      <c r="ED245" s="12"/>
      <c r="EE245" s="12"/>
      <c r="EF245" s="12"/>
      <c r="EG245" s="12"/>
      <c r="EH245" s="12"/>
      <c r="EI245" s="12"/>
      <c r="EJ245" s="574"/>
      <c r="EK245" s="574"/>
      <c r="EL245" s="574"/>
      <c r="EM245" s="574"/>
      <c r="EN245" s="574"/>
      <c r="EO245" s="574"/>
      <c r="EP245" s="574"/>
      <c r="EQ245" s="574"/>
      <c r="ER245" s="574"/>
      <c r="ES245" s="574"/>
      <c r="ET245" s="574"/>
      <c r="EU245" s="574"/>
    </row>
    <row r="246">
      <c r="A246" s="12"/>
      <c r="B246" s="552" t="s">
        <v>309</v>
      </c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  <c r="BJ246" s="12"/>
      <c r="BK246" s="12"/>
      <c r="BL246" s="12"/>
      <c r="BM246" s="12"/>
      <c r="BN246" s="12"/>
      <c r="BO246" s="12"/>
      <c r="BP246" s="12"/>
      <c r="BQ246" s="12"/>
      <c r="BR246" s="12"/>
      <c r="BS246" s="12"/>
      <c r="BT246" s="12"/>
      <c r="BU246" s="12"/>
      <c r="BV246" s="12"/>
      <c r="BW246" s="12"/>
      <c r="BX246" s="12"/>
      <c r="BY246" s="12"/>
      <c r="BZ246" s="12"/>
      <c r="CA246" s="12"/>
      <c r="CB246" s="12"/>
      <c r="CC246" s="12"/>
      <c r="CD246" s="12"/>
      <c r="CE246" s="12"/>
      <c r="CF246" s="12"/>
      <c r="CG246" s="12"/>
      <c r="CH246" s="12"/>
      <c r="CI246" s="12"/>
      <c r="CJ246" s="12"/>
      <c r="CK246" s="12"/>
      <c r="CL246" s="12"/>
      <c r="CM246" s="12"/>
      <c r="CN246" s="12"/>
      <c r="CO246" s="12"/>
      <c r="CP246" s="12"/>
      <c r="CQ246" s="12"/>
      <c r="CR246" s="12"/>
      <c r="CS246" s="12"/>
      <c r="CT246" s="12"/>
      <c r="CU246" s="12"/>
      <c r="CV246" s="12"/>
      <c r="CW246" s="12"/>
      <c r="CX246" s="12"/>
      <c r="CY246" s="12"/>
      <c r="CZ246" s="12"/>
      <c r="DA246" s="12"/>
      <c r="DB246" s="569">
        <v>1828.89959</v>
      </c>
      <c r="DC246" s="569">
        <v>3554.05777</v>
      </c>
      <c r="DD246" s="569">
        <v>4597.82377</v>
      </c>
      <c r="DE246" s="569">
        <v>4409.80434</v>
      </c>
      <c r="DF246" s="569">
        <v>3890.22075</v>
      </c>
      <c r="DG246" s="569">
        <v>4118.39044</v>
      </c>
      <c r="DH246" s="569">
        <v>4016.90975</v>
      </c>
      <c r="DI246" s="569">
        <v>4412.41114</v>
      </c>
      <c r="DJ246" s="569">
        <v>5009.27596</v>
      </c>
      <c r="DK246" s="12"/>
      <c r="DL246" s="12"/>
      <c r="DM246" s="12"/>
      <c r="DN246" s="646">
        <f>SUM(DB246:DD246)</f>
        <v>9980.78113</v>
      </c>
      <c r="DO246" s="646">
        <f>SUM(DE246:DG246)</f>
        <v>12418.41553</v>
      </c>
      <c r="DP246" s="646">
        <f>SUM(DH246:DJ246)</f>
        <v>13438.59685</v>
      </c>
      <c r="DQ246" s="664">
        <f>SUM(DK246:DM246)</f>
        <v>0</v>
      </c>
      <c r="DR246" s="646">
        <f>SUM(DN246:DQ246)</f>
        <v>35837.79351</v>
      </c>
      <c r="DS246" s="574"/>
      <c r="DT246" s="574"/>
      <c r="DU246" s="574"/>
      <c r="DV246" s="574"/>
      <c r="DW246" s="574"/>
      <c r="DX246" s="574"/>
      <c r="DY246" s="574"/>
      <c r="DZ246" s="574"/>
      <c r="EA246" s="574"/>
      <c r="EB246" s="12"/>
      <c r="EC246" s="12"/>
      <c r="ED246" s="12"/>
      <c r="EE246" s="646">
        <f>SUM(DS246:DU246)</f>
        <v>0</v>
      </c>
      <c r="EF246" s="646">
        <f>SUM(DV246:DX246)</f>
        <v>0</v>
      </c>
      <c r="EG246" s="646">
        <f>SUM(DY246:EA246)</f>
        <v>0</v>
      </c>
      <c r="EH246" s="664">
        <f>SUM(EB246:ED246)</f>
        <v>0</v>
      </c>
      <c r="EI246" s="646">
        <f>SUM(EE246:EH246)</f>
        <v>0</v>
      </c>
      <c r="EJ246" s="574"/>
      <c r="EK246" s="574"/>
      <c r="EL246" s="574"/>
      <c r="EM246" s="574"/>
      <c r="EN246" s="574"/>
      <c r="EO246" s="574"/>
      <c r="EP246" s="574"/>
      <c r="EQ246" s="574"/>
      <c r="ER246" s="574"/>
      <c r="ES246" s="574"/>
      <c r="ET246" s="574"/>
      <c r="EU246" s="574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  <c r="BJ247" s="12"/>
      <c r="BK247" s="12"/>
      <c r="BL247" s="12"/>
      <c r="BM247" s="12"/>
      <c r="BN247" s="12"/>
      <c r="BO247" s="12"/>
      <c r="BP247" s="12"/>
      <c r="BQ247" s="12"/>
      <c r="BR247" s="12"/>
      <c r="BS247" s="12"/>
      <c r="BT247" s="12"/>
      <c r="BU247" s="12"/>
      <c r="BV247" s="12"/>
      <c r="BW247" s="12"/>
      <c r="BX247" s="12"/>
      <c r="BY247" s="12"/>
      <c r="BZ247" s="12"/>
      <c r="CA247" s="12"/>
      <c r="CB247" s="12"/>
      <c r="CC247" s="12"/>
      <c r="CD247" s="12"/>
      <c r="CE247" s="12"/>
      <c r="CF247" s="12"/>
      <c r="CG247" s="12"/>
      <c r="CH247" s="12"/>
      <c r="CI247" s="12"/>
      <c r="CJ247" s="12"/>
      <c r="CK247" s="12"/>
      <c r="CL247" s="12"/>
      <c r="CM247" s="12"/>
      <c r="CN247" s="12"/>
      <c r="CO247" s="12"/>
      <c r="CP247" s="12"/>
      <c r="CQ247" s="12"/>
      <c r="CR247" s="12"/>
      <c r="CS247" s="12"/>
      <c r="CT247" s="12"/>
      <c r="CU247" s="12"/>
      <c r="CV247" s="12"/>
      <c r="CW247" s="12"/>
      <c r="CX247" s="12"/>
      <c r="CY247" s="12"/>
      <c r="CZ247" s="12"/>
      <c r="DA247" s="12"/>
      <c r="DB247" s="12"/>
      <c r="DC247" s="12"/>
      <c r="DD247" s="12"/>
      <c r="DE247" s="12"/>
      <c r="DF247" s="12"/>
      <c r="DG247" s="12"/>
      <c r="DH247" s="12"/>
      <c r="DI247" s="12"/>
      <c r="DJ247" s="12"/>
      <c r="DK247" s="12"/>
      <c r="DL247" s="12"/>
      <c r="DM247" s="12"/>
      <c r="DN247" s="12"/>
      <c r="DO247" s="12"/>
      <c r="DP247" s="12"/>
      <c r="DQ247" s="12"/>
      <c r="DR247" s="12"/>
      <c r="DS247" s="12"/>
      <c r="DT247" s="12"/>
      <c r="DU247" s="12"/>
      <c r="DV247" s="12"/>
      <c r="DW247" s="12"/>
      <c r="DX247" s="12"/>
      <c r="DY247" s="12"/>
      <c r="DZ247" s="12"/>
      <c r="EA247" s="12"/>
      <c r="EB247" s="12"/>
      <c r="EC247" s="12"/>
      <c r="ED247" s="12"/>
      <c r="EE247" s="12"/>
      <c r="EF247" s="12"/>
      <c r="EG247" s="12"/>
      <c r="EH247" s="12"/>
      <c r="EI247" s="12"/>
      <c r="EJ247" s="574"/>
      <c r="EK247" s="574"/>
      <c r="EL247" s="574"/>
      <c r="EM247" s="574"/>
      <c r="EN247" s="574"/>
      <c r="EO247" s="574"/>
      <c r="EP247" s="574"/>
      <c r="EQ247" s="574"/>
      <c r="ER247" s="574"/>
      <c r="ES247" s="574"/>
      <c r="ET247" s="574"/>
      <c r="EU247" s="574"/>
    </row>
    <row r="248">
      <c r="A248" s="12"/>
      <c r="B248" s="552" t="s">
        <v>311</v>
      </c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  <c r="BK248" s="12"/>
      <c r="BL248" s="12"/>
      <c r="BM248" s="12"/>
      <c r="BN248" s="12"/>
      <c r="BO248" s="12"/>
      <c r="BP248" s="12"/>
      <c r="BQ248" s="12"/>
      <c r="BR248" s="12"/>
      <c r="BS248" s="12"/>
      <c r="BT248" s="12"/>
      <c r="BU248" s="12"/>
      <c r="BV248" s="12"/>
      <c r="BW248" s="12"/>
      <c r="BX248" s="12"/>
      <c r="BY248" s="12"/>
      <c r="BZ248" s="12"/>
      <c r="CA248" s="12"/>
      <c r="CB248" s="12"/>
      <c r="CC248" s="12"/>
      <c r="CD248" s="12"/>
      <c r="CE248" s="12"/>
      <c r="CF248" s="12"/>
      <c r="CG248" s="12"/>
      <c r="CH248" s="12"/>
      <c r="CI248" s="12"/>
      <c r="CJ248" s="12"/>
      <c r="CK248" s="12"/>
      <c r="CL248" s="12"/>
      <c r="CM248" s="12"/>
      <c r="CN248" s="12"/>
      <c r="CO248" s="12"/>
      <c r="CP248" s="12"/>
      <c r="CQ248" s="12"/>
      <c r="CR248" s="12"/>
      <c r="CS248" s="12"/>
      <c r="CT248" s="12"/>
      <c r="CU248" s="12"/>
      <c r="CV248" s="12"/>
      <c r="CW248" s="12"/>
      <c r="CX248" s="12"/>
      <c r="CY248" s="12"/>
      <c r="CZ248" s="12"/>
      <c r="DA248" s="12"/>
      <c r="DB248" s="12"/>
      <c r="DC248" s="12"/>
      <c r="DD248" s="12"/>
      <c r="DE248" s="12"/>
      <c r="DF248" s="12"/>
      <c r="DG248" s="12"/>
      <c r="DH248" s="12"/>
      <c r="DI248" s="12"/>
      <c r="DJ248" s="12"/>
      <c r="DK248" s="12"/>
      <c r="DL248" s="12"/>
      <c r="DM248" s="12"/>
      <c r="DN248" s="578">
        <f>DN246/CZ234*100-100</f>
        <v>98.58077845</v>
      </c>
      <c r="DO248" s="578">
        <f t="shared" ref="DO248:DQ248" si="369">DO246/DN246*100-100</f>
        <v>24.42328279</v>
      </c>
      <c r="DP248" s="578">
        <f t="shared" si="369"/>
        <v>8.21506832</v>
      </c>
      <c r="DQ248" s="578">
        <f t="shared" si="369"/>
        <v>-100</v>
      </c>
      <c r="DR248" s="574"/>
      <c r="DS248" s="12"/>
      <c r="DT248" s="12"/>
      <c r="DU248" s="12"/>
      <c r="DV248" s="12"/>
      <c r="DW248" s="12"/>
      <c r="DX248" s="12"/>
      <c r="DY248" s="12"/>
      <c r="DZ248" s="12"/>
      <c r="EA248" s="12"/>
      <c r="EB248" s="12"/>
      <c r="EC248" s="12"/>
      <c r="ED248" s="12"/>
      <c r="EE248" s="596" t="str">
        <f>EE246/DQ234*100-100</f>
        <v>#DIV/0!</v>
      </c>
      <c r="EF248" s="596" t="str">
        <f t="shared" ref="EF248:EH248" si="370">EF246/EE246*100-100</f>
        <v>#DIV/0!</v>
      </c>
      <c r="EG248" s="596" t="str">
        <f t="shared" si="370"/>
        <v>#DIV/0!</v>
      </c>
      <c r="EH248" s="596" t="str">
        <f t="shared" si="370"/>
        <v>#DIV/0!</v>
      </c>
      <c r="EI248" s="574"/>
      <c r="EJ248" s="574"/>
      <c r="EK248" s="574"/>
      <c r="EL248" s="574"/>
      <c r="EM248" s="574"/>
      <c r="EN248" s="574"/>
      <c r="EO248" s="574"/>
      <c r="EP248" s="574"/>
      <c r="EQ248" s="574"/>
      <c r="ER248" s="574"/>
      <c r="ES248" s="574"/>
      <c r="ET248" s="574"/>
      <c r="EU248" s="574"/>
    </row>
    <row r="249">
      <c r="A249" s="12"/>
      <c r="B249" s="552" t="s">
        <v>312</v>
      </c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  <c r="BJ249" s="12"/>
      <c r="BK249" s="12"/>
      <c r="BL249" s="12"/>
      <c r="BM249" s="12"/>
      <c r="BN249" s="12"/>
      <c r="BO249" s="12"/>
      <c r="BP249" s="12"/>
      <c r="BQ249" s="12"/>
      <c r="BR249" s="12"/>
      <c r="BS249" s="12"/>
      <c r="BT249" s="12"/>
      <c r="BU249" s="12"/>
      <c r="BV249" s="12"/>
      <c r="BW249" s="12"/>
      <c r="BX249" s="12"/>
      <c r="BY249" s="12"/>
      <c r="BZ249" s="12"/>
      <c r="CA249" s="12"/>
      <c r="CB249" s="12"/>
      <c r="CC249" s="12"/>
      <c r="CD249" s="12"/>
      <c r="CE249" s="12"/>
      <c r="CF249" s="12"/>
      <c r="CG249" s="12"/>
      <c r="CH249" s="12"/>
      <c r="CI249" s="12"/>
      <c r="CJ249" s="12"/>
      <c r="CK249" s="12"/>
      <c r="CL249" s="12"/>
      <c r="CM249" s="12"/>
      <c r="CN249" s="12"/>
      <c r="CO249" s="12"/>
      <c r="CP249" s="12"/>
      <c r="CQ249" s="12"/>
      <c r="CR249" s="12"/>
      <c r="CS249" s="12"/>
      <c r="CT249" s="12"/>
      <c r="CU249" s="12"/>
      <c r="CV249" s="12"/>
      <c r="CW249" s="12"/>
      <c r="CX249" s="12"/>
      <c r="CY249" s="12"/>
      <c r="CZ249" s="12"/>
      <c r="DA249" s="12"/>
      <c r="DB249" s="12"/>
      <c r="DC249" s="12"/>
      <c r="DD249" s="12"/>
      <c r="DE249" s="12"/>
      <c r="DF249" s="12"/>
      <c r="DG249" s="12"/>
      <c r="DH249" s="12"/>
      <c r="DI249" s="12"/>
      <c r="DJ249" s="12"/>
      <c r="DK249" s="12"/>
      <c r="DL249" s="12"/>
      <c r="DM249" s="12"/>
      <c r="DN249" s="578">
        <f t="shared" ref="DN249:DR249" si="371">DN246/CW234*100-100</f>
        <v>47.60226654</v>
      </c>
      <c r="DO249" s="578">
        <f t="shared" si="371"/>
        <v>103.1459833</v>
      </c>
      <c r="DP249" s="578">
        <f t="shared" si="371"/>
        <v>165.8061254</v>
      </c>
      <c r="DQ249" s="578">
        <f t="shared" si="371"/>
        <v>-100</v>
      </c>
      <c r="DR249" s="578">
        <f t="shared" si="371"/>
        <v>56.10944987</v>
      </c>
      <c r="DS249" s="12"/>
      <c r="DT249" s="12"/>
      <c r="DU249" s="12"/>
      <c r="DV249" s="12"/>
      <c r="DW249" s="12"/>
      <c r="DX249" s="12"/>
      <c r="DY249" s="12"/>
      <c r="DZ249" s="12"/>
      <c r="EA249" s="12"/>
      <c r="EB249" s="12"/>
      <c r="EC249" s="12"/>
      <c r="ED249" s="12"/>
      <c r="EE249" s="578">
        <f t="shared" ref="EE249:EI249" si="372">EE246/DN234*100-100</f>
        <v>-100</v>
      </c>
      <c r="EF249" s="578">
        <f t="shared" si="372"/>
        <v>-100</v>
      </c>
      <c r="EG249" s="596" t="str">
        <f t="shared" si="372"/>
        <v>#DIV/0!</v>
      </c>
      <c r="EH249" s="596" t="str">
        <f t="shared" si="372"/>
        <v>#DIV/0!</v>
      </c>
      <c r="EI249" s="578">
        <f t="shared" si="372"/>
        <v>-100</v>
      </c>
      <c r="EJ249" s="574"/>
      <c r="EK249" s="574"/>
      <c r="EL249" s="574"/>
      <c r="EM249" s="574"/>
      <c r="EN249" s="574"/>
      <c r="EO249" s="574"/>
      <c r="EP249" s="574"/>
      <c r="EQ249" s="574"/>
      <c r="ER249" s="574"/>
      <c r="ES249" s="574"/>
      <c r="ET249" s="574"/>
      <c r="EU249" s="574"/>
    </row>
    <row r="250">
      <c r="A250" s="12"/>
      <c r="B250" s="552" t="s">
        <v>313</v>
      </c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  <c r="BK250" s="12"/>
      <c r="BL250" s="12"/>
      <c r="BM250" s="12"/>
      <c r="BN250" s="12"/>
      <c r="BO250" s="12"/>
      <c r="BP250" s="12"/>
      <c r="BQ250" s="12"/>
      <c r="BR250" s="12"/>
      <c r="BS250" s="12"/>
      <c r="BT250" s="12"/>
      <c r="BU250" s="12"/>
      <c r="BV250" s="12"/>
      <c r="BW250" s="12"/>
      <c r="BX250" s="12"/>
      <c r="BY250" s="12"/>
      <c r="BZ250" s="12"/>
      <c r="CA250" s="12"/>
      <c r="CB250" s="12"/>
      <c r="CC250" s="12"/>
      <c r="CD250" s="12"/>
      <c r="CE250" s="12"/>
      <c r="CF250" s="12"/>
      <c r="CG250" s="12"/>
      <c r="CH250" s="12"/>
      <c r="CI250" s="12"/>
      <c r="CJ250" s="12"/>
      <c r="CK250" s="12"/>
      <c r="CL250" s="12"/>
      <c r="CM250" s="12"/>
      <c r="CN250" s="12"/>
      <c r="CO250" s="12"/>
      <c r="CP250" s="12"/>
      <c r="CQ250" s="12"/>
      <c r="CR250" s="12"/>
      <c r="CS250" s="12"/>
      <c r="CT250" s="12"/>
      <c r="CU250" s="12"/>
      <c r="CV250" s="12"/>
      <c r="CW250" s="12"/>
      <c r="CX250" s="12"/>
      <c r="CY250" s="12"/>
      <c r="CZ250" s="12"/>
      <c r="DA250" s="12"/>
      <c r="DB250" s="12"/>
      <c r="DC250" s="12"/>
      <c r="DD250" s="12"/>
      <c r="DE250" s="12"/>
      <c r="DF250" s="12"/>
      <c r="DG250" s="12"/>
      <c r="DH250" s="12"/>
      <c r="DI250" s="12"/>
      <c r="DJ250" s="12"/>
      <c r="DK250" s="12"/>
      <c r="DL250" s="12"/>
      <c r="DM250" s="12"/>
      <c r="DN250" s="12"/>
      <c r="DO250" s="12"/>
      <c r="DP250" s="12"/>
      <c r="DQ250" s="12"/>
      <c r="DR250" s="12"/>
      <c r="DS250" s="12"/>
      <c r="DT250" s="12"/>
      <c r="DU250" s="12"/>
      <c r="DV250" s="12"/>
      <c r="DW250" s="12"/>
      <c r="DX250" s="12"/>
      <c r="DY250" s="12"/>
      <c r="DZ250" s="12"/>
      <c r="EA250" s="12"/>
      <c r="EB250" s="12"/>
      <c r="EC250" s="12"/>
      <c r="ED250" s="12"/>
      <c r="EE250" s="12"/>
      <c r="EF250" s="12"/>
      <c r="EG250" s="12"/>
      <c r="EH250" s="12"/>
      <c r="EI250" s="12"/>
      <c r="EJ250" s="574"/>
      <c r="EK250" s="574"/>
      <c r="EL250" s="574"/>
      <c r="EM250" s="574"/>
      <c r="EN250" s="574"/>
      <c r="EO250" s="574"/>
      <c r="EP250" s="574"/>
      <c r="EQ250" s="574"/>
      <c r="ER250" s="574"/>
      <c r="ES250" s="574"/>
      <c r="ET250" s="574"/>
      <c r="EU250" s="574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  <c r="BK251" s="12"/>
      <c r="BL251" s="12"/>
      <c r="BM251" s="12"/>
      <c r="BN251" s="12"/>
      <c r="BO251" s="12"/>
      <c r="BP251" s="12"/>
      <c r="BQ251" s="12"/>
      <c r="BR251" s="12"/>
      <c r="BS251" s="12"/>
      <c r="BT251" s="12"/>
      <c r="BU251" s="12"/>
      <c r="BV251" s="12"/>
      <c r="BW251" s="12"/>
      <c r="BX251" s="12"/>
      <c r="BY251" s="12"/>
      <c r="BZ251" s="12"/>
      <c r="CA251" s="12"/>
      <c r="CB251" s="12"/>
      <c r="CC251" s="12"/>
      <c r="CD251" s="12"/>
      <c r="CE251" s="12"/>
      <c r="CF251" s="12"/>
      <c r="CG251" s="12"/>
      <c r="CH251" s="12"/>
      <c r="CI251" s="12"/>
      <c r="CJ251" s="12"/>
      <c r="CK251" s="12"/>
      <c r="CL251" s="12"/>
      <c r="CM251" s="12"/>
      <c r="CN251" s="12"/>
      <c r="CO251" s="12"/>
      <c r="CP251" s="12"/>
      <c r="CQ251" s="12"/>
      <c r="CR251" s="12"/>
      <c r="CS251" s="12"/>
      <c r="CT251" s="12"/>
      <c r="CU251" s="12"/>
      <c r="CV251" s="12"/>
      <c r="CW251" s="12"/>
      <c r="CX251" s="12"/>
      <c r="CY251" s="12"/>
      <c r="CZ251" s="12"/>
      <c r="DA251" s="12"/>
      <c r="DB251" s="12"/>
      <c r="DC251" s="12"/>
      <c r="DD251" s="12"/>
      <c r="DE251" s="12"/>
      <c r="DF251" s="12"/>
      <c r="DG251" s="12"/>
      <c r="DH251" s="12"/>
      <c r="DI251" s="12"/>
      <c r="DJ251" s="12"/>
      <c r="DK251" s="12"/>
      <c r="DL251" s="12"/>
      <c r="DM251" s="12"/>
      <c r="DN251" s="12"/>
      <c r="DO251" s="12"/>
      <c r="DP251" s="12"/>
      <c r="DQ251" s="12"/>
      <c r="DR251" s="12"/>
      <c r="DS251" s="12"/>
      <c r="DT251" s="12"/>
      <c r="DU251" s="12"/>
      <c r="DV251" s="12"/>
      <c r="DW251" s="12"/>
      <c r="DX251" s="12"/>
      <c r="DY251" s="12"/>
      <c r="DZ251" s="12"/>
      <c r="EA251" s="12"/>
      <c r="EB251" s="12"/>
      <c r="EC251" s="12"/>
      <c r="ED251" s="12"/>
      <c r="EE251" s="12"/>
      <c r="EF251" s="12"/>
      <c r="EG251" s="12"/>
      <c r="EH251" s="12"/>
      <c r="EI251" s="12"/>
      <c r="EJ251" s="574"/>
      <c r="EK251" s="574"/>
      <c r="EL251" s="574"/>
      <c r="EM251" s="574"/>
      <c r="EN251" s="574"/>
      <c r="EO251" s="574"/>
      <c r="EP251" s="574"/>
      <c r="EQ251" s="574"/>
      <c r="ER251" s="574"/>
      <c r="ES251" s="574"/>
      <c r="ET251" s="574"/>
      <c r="EU251" s="574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  <c r="BJ252" s="12"/>
      <c r="BK252" s="12"/>
      <c r="BL252" s="12"/>
      <c r="BM252" s="12"/>
      <c r="BN252" s="12"/>
      <c r="BO252" s="12"/>
      <c r="BP252" s="12"/>
      <c r="BQ252" s="12"/>
      <c r="BR252" s="12"/>
      <c r="BS252" s="12"/>
      <c r="BT252" s="12"/>
      <c r="BU252" s="12"/>
      <c r="BV252" s="12"/>
      <c r="BW252" s="12"/>
      <c r="BX252" s="12"/>
      <c r="BY252" s="12"/>
      <c r="BZ252" s="12"/>
      <c r="CA252" s="12"/>
      <c r="CB252" s="12"/>
      <c r="CC252" s="12"/>
      <c r="CD252" s="12"/>
      <c r="CE252" s="12"/>
      <c r="CF252" s="12"/>
      <c r="CG252" s="12"/>
      <c r="CH252" s="12"/>
      <c r="CI252" s="12"/>
      <c r="CJ252" s="12"/>
      <c r="CK252" s="12"/>
      <c r="CL252" s="12"/>
      <c r="CM252" s="12"/>
      <c r="CN252" s="12"/>
      <c r="CO252" s="12"/>
      <c r="CP252" s="12"/>
      <c r="CQ252" s="12"/>
      <c r="CR252" s="12"/>
      <c r="CS252" s="12"/>
      <c r="CT252" s="12"/>
      <c r="CU252" s="12"/>
      <c r="CV252" s="12"/>
      <c r="CW252" s="12"/>
      <c r="CX252" s="12"/>
      <c r="CY252" s="12"/>
      <c r="CZ252" s="12"/>
      <c r="DA252" s="12"/>
      <c r="DB252" s="574"/>
      <c r="DC252" s="574"/>
      <c r="DD252" s="574"/>
      <c r="DE252" s="574"/>
      <c r="DF252" s="574"/>
      <c r="DG252" s="574"/>
      <c r="DH252" s="574"/>
      <c r="DI252" s="574"/>
      <c r="DJ252" s="574"/>
      <c r="DK252" s="574"/>
      <c r="DL252" s="574"/>
      <c r="DM252" s="574"/>
      <c r="DN252" s="12"/>
      <c r="DO252" s="12"/>
      <c r="DP252" s="12"/>
      <c r="DQ252" s="12"/>
      <c r="DR252" s="12"/>
      <c r="DS252" s="574"/>
      <c r="DT252" s="574"/>
      <c r="DU252" s="574"/>
      <c r="DV252" s="574"/>
      <c r="DW252" s="574"/>
      <c r="DX252" s="574"/>
      <c r="DY252" s="574"/>
      <c r="DZ252" s="574"/>
      <c r="EA252" s="574"/>
      <c r="EB252" s="574"/>
      <c r="EC252" s="574"/>
      <c r="ED252" s="574"/>
      <c r="EE252" s="12"/>
      <c r="EF252" s="12"/>
      <c r="EG252" s="12"/>
      <c r="EH252" s="12"/>
      <c r="EI252" s="12"/>
      <c r="EJ252" s="574"/>
      <c r="EK252" s="574"/>
      <c r="EL252" s="574"/>
      <c r="EM252" s="574"/>
      <c r="EN252" s="574"/>
      <c r="EO252" s="574"/>
      <c r="EP252" s="574"/>
      <c r="EQ252" s="574"/>
      <c r="ER252" s="574"/>
      <c r="ES252" s="574"/>
      <c r="ET252" s="574"/>
      <c r="EU252" s="574"/>
    </row>
    <row r="253">
      <c r="A253" s="12"/>
      <c r="B253" s="552" t="s">
        <v>316</v>
      </c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2"/>
      <c r="BL253" s="12"/>
      <c r="BM253" s="12"/>
      <c r="BN253" s="12"/>
      <c r="BO253" s="12"/>
      <c r="BP253" s="12"/>
      <c r="BQ253" s="12"/>
      <c r="BR253" s="12"/>
      <c r="BS253" s="12"/>
      <c r="BT253" s="569">
        <v>13800.88955</v>
      </c>
      <c r="BU253" s="569">
        <v>13845.0335</v>
      </c>
      <c r="BV253" s="569">
        <v>15270.54667</v>
      </c>
      <c r="BW253" s="569">
        <v>15946.76905</v>
      </c>
      <c r="BX253" s="569">
        <v>14980.72188</v>
      </c>
      <c r="BY253" s="569">
        <v>14266.93476</v>
      </c>
      <c r="BZ253" s="569">
        <v>14655.32318</v>
      </c>
      <c r="CA253" s="569">
        <v>14798.125</v>
      </c>
      <c r="CB253" s="569">
        <v>14922.19636</v>
      </c>
      <c r="CC253" s="569">
        <v>14822.88364</v>
      </c>
      <c r="CD253" s="569">
        <v>14307.99619</v>
      </c>
      <c r="CE253" s="569">
        <v>14243.95391</v>
      </c>
      <c r="CF253" s="12"/>
      <c r="CG253" s="12"/>
      <c r="CH253" s="12"/>
      <c r="CI253" s="12"/>
      <c r="CJ253" s="12"/>
      <c r="CK253" s="569">
        <v>14132.212</v>
      </c>
      <c r="CL253" s="569">
        <v>14112.313</v>
      </c>
      <c r="CM253" s="569">
        <v>14489.48043</v>
      </c>
      <c r="CN253" s="569">
        <v>14630.975</v>
      </c>
      <c r="CO253" s="569">
        <v>14394.80857</v>
      </c>
      <c r="CP253" s="569">
        <v>14409.92</v>
      </c>
      <c r="CQ253" s="569">
        <v>14583.7481</v>
      </c>
      <c r="CR253" s="569">
        <v>14469.6905</v>
      </c>
      <c r="CS253" s="569">
        <v>14328.24182</v>
      </c>
      <c r="CT253" s="569">
        <v>14269.445</v>
      </c>
      <c r="CU253" s="569">
        <v>14334.82045</v>
      </c>
      <c r="CV253" s="569">
        <v>14400.56043</v>
      </c>
      <c r="CW253" s="12"/>
      <c r="CX253" s="12"/>
      <c r="CY253" s="12"/>
      <c r="CZ253" s="12"/>
      <c r="DA253" s="12"/>
      <c r="DB253" s="569">
        <v>14406.91667</v>
      </c>
      <c r="DC253" s="569">
        <v>14422.81333</v>
      </c>
      <c r="DD253" s="569">
        <v>14420.38227</v>
      </c>
      <c r="DE253" s="569">
        <v>14440.58263</v>
      </c>
      <c r="DF253" s="569">
        <v>14681.04267</v>
      </c>
      <c r="DG253" s="569">
        <v>14762.01619</v>
      </c>
      <c r="DH253" s="569">
        <v>15059.30333</v>
      </c>
      <c r="DI253" s="569">
        <v>14924.89045</v>
      </c>
      <c r="DJ253" s="569">
        <v>15046.63136</v>
      </c>
      <c r="DK253" s="569">
        <v>15494.56333</v>
      </c>
      <c r="DL253" s="569">
        <v>15737.02136</v>
      </c>
      <c r="DM253" s="569">
        <v>15693.07409</v>
      </c>
      <c r="DN253" s="12"/>
      <c r="DO253" s="12"/>
      <c r="DP253" s="12"/>
      <c r="DQ253" s="12"/>
      <c r="DR253" s="12"/>
      <c r="DS253" s="574"/>
      <c r="DT253" s="574"/>
      <c r="DU253" s="574"/>
      <c r="DV253" s="574"/>
      <c r="DW253" s="574"/>
      <c r="DX253" s="574"/>
      <c r="DY253" s="574"/>
      <c r="DZ253" s="574"/>
      <c r="EA253" s="574"/>
      <c r="EB253" s="574"/>
      <c r="EC253" s="574"/>
      <c r="ED253" s="574"/>
      <c r="EE253" s="12"/>
      <c r="EF253" s="12"/>
      <c r="EG253" s="12"/>
      <c r="EH253" s="12"/>
      <c r="EI253" s="12"/>
      <c r="EJ253" s="574"/>
      <c r="EK253" s="574"/>
      <c r="EL253" s="574"/>
      <c r="EM253" s="574"/>
      <c r="EN253" s="574"/>
      <c r="EO253" s="574"/>
      <c r="EP253" s="574"/>
      <c r="EQ253" s="574"/>
      <c r="ER253" s="574"/>
      <c r="ES253" s="574"/>
      <c r="ET253" s="574"/>
      <c r="EU253" s="574"/>
    </row>
    <row r="254">
      <c r="A254" s="12"/>
      <c r="B254" s="572" t="s">
        <v>317</v>
      </c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  <c r="BL254" s="12"/>
      <c r="BM254" s="12"/>
      <c r="BN254" s="12"/>
      <c r="BO254" s="12"/>
      <c r="BP254" s="12"/>
      <c r="BQ254" s="12"/>
      <c r="BR254" s="12"/>
      <c r="BS254" s="12"/>
      <c r="BT254" s="569">
        <f t="shared" ref="BT254:CE254" si="373">BT253*BT74</f>
        <v>191496727.1</v>
      </c>
      <c r="BU254" s="569">
        <f t="shared" si="373"/>
        <v>194241943.4</v>
      </c>
      <c r="BV254" s="569">
        <f t="shared" si="373"/>
        <v>198434187.6</v>
      </c>
      <c r="BW254" s="569">
        <f t="shared" si="373"/>
        <v>196164236</v>
      </c>
      <c r="BX254" s="569">
        <f t="shared" si="373"/>
        <v>169996438.1</v>
      </c>
      <c r="BY254" s="569">
        <f t="shared" si="373"/>
        <v>172417333.3</v>
      </c>
      <c r="BZ254" s="569">
        <f t="shared" si="373"/>
        <v>184593761.1</v>
      </c>
      <c r="CA254" s="569">
        <f t="shared" si="373"/>
        <v>192443696.4</v>
      </c>
      <c r="CB254" s="569">
        <f t="shared" si="373"/>
        <v>207744877.8</v>
      </c>
      <c r="CC254" s="569">
        <f t="shared" si="373"/>
        <v>223226253.8</v>
      </c>
      <c r="CD254" s="569">
        <f t="shared" si="373"/>
        <v>210786830.7</v>
      </c>
      <c r="CE254" s="569">
        <f t="shared" si="373"/>
        <v>222870873.6</v>
      </c>
      <c r="CF254" s="12"/>
      <c r="CG254" s="12"/>
      <c r="CH254" s="12"/>
      <c r="CI254" s="12"/>
      <c r="CJ254" s="12"/>
      <c r="CK254" s="569">
        <f t="shared" ref="CK254:CV254" si="374">CK253*CK74</f>
        <v>233768974.1</v>
      </c>
      <c r="CL254" s="569">
        <f t="shared" si="374"/>
        <v>246034770.5</v>
      </c>
      <c r="CM254" s="569">
        <f t="shared" si="374"/>
        <v>263859089.5</v>
      </c>
      <c r="CN254" s="569">
        <f t="shared" si="374"/>
        <v>252407728.3</v>
      </c>
      <c r="CO254" s="569">
        <f t="shared" si="374"/>
        <v>234663449.6</v>
      </c>
      <c r="CP254" s="569">
        <f t="shared" si="374"/>
        <v>249615551</v>
      </c>
      <c r="CQ254" s="569">
        <f t="shared" si="374"/>
        <v>257417008.5</v>
      </c>
      <c r="CR254" s="569">
        <f t="shared" si="374"/>
        <v>265618082.8</v>
      </c>
      <c r="CS254" s="569">
        <f t="shared" si="374"/>
        <v>275664769.7</v>
      </c>
      <c r="CT254" s="569">
        <f t="shared" si="374"/>
        <v>278249896.7</v>
      </c>
      <c r="CU254" s="569">
        <f t="shared" si="374"/>
        <v>271670936.9</v>
      </c>
      <c r="CV254" s="569">
        <f t="shared" si="374"/>
        <v>285553753</v>
      </c>
      <c r="CW254" s="12"/>
      <c r="CX254" s="12"/>
      <c r="CY254" s="12"/>
      <c r="CZ254" s="12"/>
      <c r="DA254" s="12"/>
      <c r="DB254" s="569">
        <f t="shared" ref="DB254:DM254" si="375">DB253*DB74</f>
        <v>290872045.8</v>
      </c>
      <c r="DC254" s="569">
        <f t="shared" si="375"/>
        <v>304519674.9</v>
      </c>
      <c r="DD254" s="569">
        <f t="shared" si="375"/>
        <v>339413258.5</v>
      </c>
      <c r="DE254" s="569">
        <f t="shared" si="375"/>
        <v>519793103.9</v>
      </c>
      <c r="DF254" s="569">
        <f t="shared" si="375"/>
        <v>490578051.6</v>
      </c>
      <c r="DG254" s="569">
        <f t="shared" si="375"/>
        <v>443581019.7</v>
      </c>
      <c r="DH254" s="569">
        <f t="shared" si="375"/>
        <v>412842819.4</v>
      </c>
      <c r="DI254" s="569">
        <f t="shared" si="375"/>
        <v>335881226.9</v>
      </c>
      <c r="DJ254" s="569">
        <f t="shared" si="375"/>
        <v>331915597.2</v>
      </c>
      <c r="DK254" s="569">
        <f t="shared" si="375"/>
        <v>342139326.5</v>
      </c>
      <c r="DL254" s="569">
        <f t="shared" si="375"/>
        <v>352112233.4</v>
      </c>
      <c r="DM254" s="569">
        <f t="shared" si="375"/>
        <v>375185778.2</v>
      </c>
      <c r="DN254" s="12"/>
      <c r="DO254" s="12"/>
      <c r="DP254" s="12"/>
      <c r="DQ254" s="12"/>
      <c r="DR254" s="12"/>
      <c r="DS254" s="569">
        <f t="shared" ref="DS254:ED254" si="376">DS253*DS74</f>
        <v>0</v>
      </c>
      <c r="DT254" s="569">
        <f t="shared" si="376"/>
        <v>0</v>
      </c>
      <c r="DU254" s="569">
        <f t="shared" si="376"/>
        <v>0</v>
      </c>
      <c r="DV254" s="569">
        <f t="shared" si="376"/>
        <v>0</v>
      </c>
      <c r="DW254" s="569">
        <f t="shared" si="376"/>
        <v>0</v>
      </c>
      <c r="DX254" s="569">
        <f t="shared" si="376"/>
        <v>0</v>
      </c>
      <c r="DY254" s="569">
        <f t="shared" si="376"/>
        <v>0</v>
      </c>
      <c r="DZ254" s="569">
        <f t="shared" si="376"/>
        <v>0</v>
      </c>
      <c r="EA254" s="569">
        <f t="shared" si="376"/>
        <v>0</v>
      </c>
      <c r="EB254" s="569">
        <f t="shared" si="376"/>
        <v>0</v>
      </c>
      <c r="EC254" s="569">
        <f t="shared" si="376"/>
        <v>0</v>
      </c>
      <c r="ED254" s="569">
        <f t="shared" si="376"/>
        <v>0</v>
      </c>
      <c r="EE254" s="12"/>
      <c r="EF254" s="12"/>
      <c r="EG254" s="12"/>
      <c r="EH254" s="12"/>
      <c r="EI254" s="12"/>
      <c r="EJ254" s="574"/>
      <c r="EK254" s="574"/>
      <c r="EL254" s="574"/>
      <c r="EM254" s="574"/>
      <c r="EN254" s="574"/>
      <c r="EO254" s="574"/>
      <c r="EP254" s="574"/>
      <c r="EQ254" s="574"/>
      <c r="ER254" s="574"/>
      <c r="ES254" s="574"/>
      <c r="ET254" s="574"/>
      <c r="EU254" s="574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  <c r="BJ255" s="12"/>
      <c r="BK255" s="12"/>
      <c r="BL255" s="12"/>
      <c r="BM255" s="12"/>
      <c r="BN255" s="12"/>
      <c r="BO255" s="12"/>
      <c r="BP255" s="12"/>
      <c r="BQ255" s="12"/>
      <c r="BR255" s="12"/>
      <c r="BS255" s="12"/>
      <c r="BT255" s="12"/>
      <c r="BU255" s="12"/>
      <c r="BV255" s="12"/>
      <c r="BW255" s="12"/>
      <c r="BX255" s="12"/>
      <c r="BY255" s="12"/>
      <c r="BZ255" s="12"/>
      <c r="CA255" s="12"/>
      <c r="CB255" s="12"/>
      <c r="CC255" s="12"/>
      <c r="CD255" s="12"/>
      <c r="CE255" s="12"/>
      <c r="CF255" s="12"/>
      <c r="CG255" s="12"/>
      <c r="CH255" s="12"/>
      <c r="CI255" s="12"/>
      <c r="CJ255" s="12"/>
      <c r="CK255" s="12"/>
      <c r="CL255" s="12"/>
      <c r="CM255" s="12"/>
      <c r="CN255" s="12"/>
      <c r="CO255" s="12"/>
      <c r="CP255" s="12"/>
      <c r="CQ255" s="12"/>
      <c r="CR255" s="12"/>
      <c r="CS255" s="12"/>
      <c r="CT255" s="12"/>
      <c r="CU255" s="12"/>
      <c r="CV255" s="12"/>
      <c r="CW255" s="12"/>
      <c r="CX255" s="12"/>
      <c r="CY255" s="12"/>
      <c r="CZ255" s="12"/>
      <c r="DA255" s="12"/>
      <c r="DB255" s="12"/>
      <c r="DC255" s="12"/>
      <c r="DD255" s="12"/>
      <c r="DE255" s="12"/>
      <c r="DF255" s="12"/>
      <c r="DG255" s="12"/>
      <c r="DH255" s="12"/>
      <c r="DI255" s="12"/>
      <c r="DJ255" s="12"/>
      <c r="DK255" s="12"/>
      <c r="DL255" s="12"/>
      <c r="DM255" s="12"/>
      <c r="DN255" s="12"/>
      <c r="DO255" s="12"/>
      <c r="DP255" s="12"/>
      <c r="DQ255" s="12"/>
      <c r="DR255" s="12"/>
      <c r="DS255" s="12"/>
      <c r="DT255" s="12"/>
      <c r="DU255" s="12"/>
      <c r="DV255" s="12"/>
      <c r="DW255" s="12"/>
      <c r="DX255" s="12"/>
      <c r="DY255" s="12"/>
      <c r="DZ255" s="12"/>
      <c r="EA255" s="12"/>
      <c r="EB255" s="12"/>
      <c r="EC255" s="12"/>
      <c r="ED255" s="12"/>
      <c r="EE255" s="12"/>
      <c r="EF255" s="12"/>
      <c r="EG255" s="12"/>
      <c r="EH255" s="12"/>
      <c r="EI255" s="12"/>
      <c r="EJ255" s="574"/>
      <c r="EK255" s="574"/>
      <c r="EL255" s="574"/>
      <c r="EM255" s="574"/>
      <c r="EN255" s="574"/>
      <c r="EO255" s="574"/>
      <c r="EP255" s="574"/>
      <c r="EQ255" s="574"/>
      <c r="ER255" s="574"/>
      <c r="ES255" s="574"/>
      <c r="ET255" s="574"/>
      <c r="EU255" s="574"/>
    </row>
    <row r="256">
      <c r="A256" s="12"/>
      <c r="B256" s="572" t="s">
        <v>318</v>
      </c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  <c r="BJ256" s="12"/>
      <c r="BK256" s="12"/>
      <c r="BL256" s="12"/>
      <c r="BM256" s="12"/>
      <c r="BN256" s="12"/>
      <c r="BO256" s="12"/>
      <c r="BP256" s="12"/>
      <c r="BQ256" s="12"/>
      <c r="BR256" s="12"/>
      <c r="BS256" s="12"/>
      <c r="BT256" s="569">
        <f t="shared" ref="BT256:CE256" si="377">BT234*BT254/1000000</f>
        <v>176089.2585</v>
      </c>
      <c r="BU256" s="569">
        <f t="shared" si="377"/>
        <v>191445.8908</v>
      </c>
      <c r="BV256" s="569">
        <f t="shared" si="377"/>
        <v>217369.385</v>
      </c>
      <c r="BW256" s="569">
        <f t="shared" si="377"/>
        <v>410376.8665</v>
      </c>
      <c r="BX256" s="569">
        <f t="shared" si="377"/>
        <v>171367.4967</v>
      </c>
      <c r="BY256" s="569">
        <f t="shared" si="377"/>
        <v>186286.7008</v>
      </c>
      <c r="BZ256" s="569">
        <f t="shared" si="377"/>
        <v>303447.9485</v>
      </c>
      <c r="CA256" s="569">
        <f t="shared" si="377"/>
        <v>327554.1106</v>
      </c>
      <c r="CB256" s="569">
        <f t="shared" si="377"/>
        <v>349257.6057</v>
      </c>
      <c r="CC256" s="569">
        <f t="shared" si="377"/>
        <v>544713.6686</v>
      </c>
      <c r="CD256" s="569">
        <f t="shared" si="377"/>
        <v>568323.3601</v>
      </c>
      <c r="CE256" s="569">
        <f t="shared" si="377"/>
        <v>630727.3316</v>
      </c>
      <c r="CF256" s="646">
        <f>SUM(BT256:BV256)</f>
        <v>584904.5344</v>
      </c>
      <c r="CG256" s="646">
        <f>SUM(BW256:BY256)</f>
        <v>768031.0641</v>
      </c>
      <c r="CH256" s="646">
        <f>SUM(BZ256:CB256)</f>
        <v>980259.6648</v>
      </c>
      <c r="CI256" s="646">
        <f>SUM(CC256:CE256)</f>
        <v>1743764.36</v>
      </c>
      <c r="CJ256" s="646">
        <f>SUM(CF256:CI256)</f>
        <v>4076959.624</v>
      </c>
      <c r="CK256" s="569">
        <f t="shared" ref="CK256:CV256" si="378">CK234*CK254/1000000</f>
        <v>577801.3965</v>
      </c>
      <c r="CL256" s="569">
        <f t="shared" si="378"/>
        <v>538112.4879</v>
      </c>
      <c r="CM256" s="569">
        <f t="shared" si="378"/>
        <v>554928.9115</v>
      </c>
      <c r="CN256" s="569">
        <f t="shared" si="378"/>
        <v>595434.122</v>
      </c>
      <c r="CO256" s="569">
        <f t="shared" si="378"/>
        <v>379179.2923</v>
      </c>
      <c r="CP256" s="569">
        <f t="shared" si="378"/>
        <v>533725.475</v>
      </c>
      <c r="CQ256" s="569">
        <f t="shared" si="378"/>
        <v>435929.7833</v>
      </c>
      <c r="CR256" s="569">
        <f t="shared" si="378"/>
        <v>405276.352</v>
      </c>
      <c r="CS256" s="569">
        <f t="shared" si="378"/>
        <v>506265.5169</v>
      </c>
      <c r="CT256" s="569">
        <f t="shared" si="378"/>
        <v>683437.6744</v>
      </c>
      <c r="CU256" s="569">
        <f t="shared" si="378"/>
        <v>492141.954</v>
      </c>
      <c r="CV256" s="569">
        <f t="shared" si="378"/>
        <v>216540.5508</v>
      </c>
      <c r="CW256" s="646">
        <f>SUM(CK256:CM256)</f>
        <v>1670842.796</v>
      </c>
      <c r="CX256" s="646">
        <f>SUM(CN256:CP256)</f>
        <v>1508338.889</v>
      </c>
      <c r="CY256" s="646">
        <f>SUM(CQ256:CS256)</f>
        <v>1347471.652</v>
      </c>
      <c r="CZ256" s="646">
        <f>SUM(CT256:CV256)</f>
        <v>1392120.179</v>
      </c>
      <c r="DA256" s="646">
        <f>SUM(CW256:CZ256)</f>
        <v>5918773.517</v>
      </c>
      <c r="DB256" s="569">
        <f t="shared" ref="DB256:DM256" si="379">DB246*DB254/1000000</f>
        <v>531975.7654</v>
      </c>
      <c r="DC256" s="569">
        <f t="shared" si="379"/>
        <v>1082280.517</v>
      </c>
      <c r="DD256" s="569">
        <f t="shared" si="379"/>
        <v>1560562.348</v>
      </c>
      <c r="DE256" s="569">
        <f t="shared" si="379"/>
        <v>2292185.886</v>
      </c>
      <c r="DF256" s="569">
        <f t="shared" si="379"/>
        <v>1908456.916</v>
      </c>
      <c r="DG256" s="569">
        <f t="shared" si="379"/>
        <v>1826839.831</v>
      </c>
      <c r="DH256" s="569">
        <f t="shared" si="379"/>
        <v>1658352.346</v>
      </c>
      <c r="DI256" s="569">
        <f t="shared" si="379"/>
        <v>1482046.067</v>
      </c>
      <c r="DJ256" s="569">
        <f t="shared" si="379"/>
        <v>1662656.822</v>
      </c>
      <c r="DK256" s="569">
        <f t="shared" si="379"/>
        <v>0</v>
      </c>
      <c r="DL256" s="569">
        <f t="shared" si="379"/>
        <v>0</v>
      </c>
      <c r="DM256" s="569">
        <f t="shared" si="379"/>
        <v>0</v>
      </c>
      <c r="DN256" s="646">
        <f>SUM(DB256:DD256)</f>
        <v>3174818.63</v>
      </c>
      <c r="DO256" s="646">
        <f>SUM(DE256:DG256)</f>
        <v>6027482.632</v>
      </c>
      <c r="DP256" s="646">
        <f>SUM(DH256:DJ256)</f>
        <v>4803055.235</v>
      </c>
      <c r="DQ256" s="646">
        <f>SUM(DK256:DM256)</f>
        <v>0</v>
      </c>
      <c r="DR256" s="646">
        <f>SUM(DN256:DQ256)</f>
        <v>14005356.5</v>
      </c>
      <c r="DS256" s="569">
        <f t="shared" ref="DS256:ED256" si="380">DS246*DS254/1000000</f>
        <v>0</v>
      </c>
      <c r="DT256" s="569">
        <f t="shared" si="380"/>
        <v>0</v>
      </c>
      <c r="DU256" s="569">
        <f t="shared" si="380"/>
        <v>0</v>
      </c>
      <c r="DV256" s="569">
        <f t="shared" si="380"/>
        <v>0</v>
      </c>
      <c r="DW256" s="569">
        <f t="shared" si="380"/>
        <v>0</v>
      </c>
      <c r="DX256" s="569">
        <f t="shared" si="380"/>
        <v>0</v>
      </c>
      <c r="DY256" s="569">
        <f t="shared" si="380"/>
        <v>0</v>
      </c>
      <c r="DZ256" s="569">
        <f t="shared" si="380"/>
        <v>0</v>
      </c>
      <c r="EA256" s="569">
        <f t="shared" si="380"/>
        <v>0</v>
      </c>
      <c r="EB256" s="569">
        <f t="shared" si="380"/>
        <v>0</v>
      </c>
      <c r="EC256" s="569">
        <f t="shared" si="380"/>
        <v>0</v>
      </c>
      <c r="ED256" s="569">
        <f t="shared" si="380"/>
        <v>0</v>
      </c>
      <c r="EE256" s="646">
        <f>SUM(DS256:DU256)</f>
        <v>0</v>
      </c>
      <c r="EF256" s="646">
        <f>SUM(DV256:DX256)</f>
        <v>0</v>
      </c>
      <c r="EG256" s="646">
        <f>SUM(DY256:EA256)</f>
        <v>0</v>
      </c>
      <c r="EH256" s="646">
        <f>SUM(EB256:ED256)</f>
        <v>0</v>
      </c>
      <c r="EI256" s="646">
        <f>SUM(EE256:EH256)</f>
        <v>0</v>
      </c>
      <c r="EJ256" s="574"/>
      <c r="EK256" s="574"/>
      <c r="EL256" s="574"/>
      <c r="EM256" s="574"/>
      <c r="EN256" s="574"/>
      <c r="EO256" s="574"/>
      <c r="EP256" s="574"/>
      <c r="EQ256" s="574"/>
      <c r="ER256" s="574"/>
      <c r="ES256" s="574"/>
      <c r="ET256" s="574"/>
      <c r="EU256" s="574"/>
    </row>
    <row r="257">
      <c r="A257" s="12"/>
      <c r="B257" s="552" t="s">
        <v>319</v>
      </c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  <c r="BL257" s="12"/>
      <c r="BM257" s="12"/>
      <c r="BN257" s="12"/>
      <c r="BO257" s="12"/>
      <c r="BP257" s="12"/>
      <c r="BQ257" s="12"/>
      <c r="BR257" s="12"/>
      <c r="BS257" s="12"/>
      <c r="BT257" s="569">
        <v>0.460447126896337</v>
      </c>
      <c r="BU257" s="569">
        <v>0.460447126896337</v>
      </c>
      <c r="BV257" s="569">
        <v>0.460447126896337</v>
      </c>
      <c r="BW257" s="569">
        <v>0.460447126896337</v>
      </c>
      <c r="BX257" s="569">
        <v>0.460447126896337</v>
      </c>
      <c r="BY257" s="569">
        <v>0.460447126896337</v>
      </c>
      <c r="BZ257" s="569">
        <v>0.460447126896337</v>
      </c>
      <c r="CA257" s="569">
        <v>0.460447126896337</v>
      </c>
      <c r="CB257" s="569">
        <v>0.460447126896337</v>
      </c>
      <c r="CC257" s="569">
        <v>0.460447126896337</v>
      </c>
      <c r="CD257" s="569">
        <v>0.460447126896337</v>
      </c>
      <c r="CE257" s="569">
        <v>0.460447126896337</v>
      </c>
      <c r="CF257" s="574"/>
      <c r="CG257" s="574"/>
      <c r="CH257" s="574"/>
      <c r="CI257" s="12"/>
      <c r="CJ257" s="12"/>
      <c r="CK257" s="569">
        <v>0.460447126896337</v>
      </c>
      <c r="CL257" s="569">
        <v>0.460447126896337</v>
      </c>
      <c r="CM257" s="569">
        <v>0.460447126896337</v>
      </c>
      <c r="CN257" s="569">
        <v>0.460447126896337</v>
      </c>
      <c r="CO257" s="569">
        <v>0.460447126896337</v>
      </c>
      <c r="CP257" s="569">
        <v>0.460447126896337</v>
      </c>
      <c r="CQ257" s="569">
        <v>0.460447126896337</v>
      </c>
      <c r="CR257" s="569">
        <v>0.460447126896337</v>
      </c>
      <c r="CS257" s="569">
        <v>0.460447126896337</v>
      </c>
      <c r="CT257" s="569">
        <v>0.460447126896337</v>
      </c>
      <c r="CU257" s="569">
        <v>0.460447126896337</v>
      </c>
      <c r="CV257" s="569">
        <v>0.460447126896337</v>
      </c>
      <c r="CW257" s="574"/>
      <c r="CX257" s="574"/>
      <c r="CY257" s="574"/>
      <c r="CZ257" s="12"/>
      <c r="DA257" s="12"/>
      <c r="DB257" s="569">
        <v>0.460447126896337</v>
      </c>
      <c r="DC257" s="569">
        <v>0.460447126896337</v>
      </c>
      <c r="DD257" s="569">
        <v>0.460447126896337</v>
      </c>
      <c r="DE257" s="569">
        <v>0.460447126896337</v>
      </c>
      <c r="DF257" s="569">
        <v>0.460447126896337</v>
      </c>
      <c r="DG257" s="569">
        <v>0.460447126896337</v>
      </c>
      <c r="DH257" s="569">
        <v>0.460447126896337</v>
      </c>
      <c r="DI257" s="569">
        <v>0.460447126896337</v>
      </c>
      <c r="DJ257" s="569">
        <v>0.460447126896337</v>
      </c>
      <c r="DK257" s="569">
        <v>0.460447126896337</v>
      </c>
      <c r="DL257" s="569">
        <v>0.460447126896337</v>
      </c>
      <c r="DM257" s="569">
        <v>0.460447126896337</v>
      </c>
      <c r="DN257" s="574"/>
      <c r="DO257" s="574"/>
      <c r="DP257" s="574"/>
      <c r="DQ257" s="12"/>
      <c r="DR257" s="12"/>
      <c r="DS257" s="569">
        <v>0.460447126896337</v>
      </c>
      <c r="DT257" s="569">
        <v>0.460447126896337</v>
      </c>
      <c r="DU257" s="569">
        <v>0.460447126896337</v>
      </c>
      <c r="DV257" s="569">
        <v>0.460447126896337</v>
      </c>
      <c r="DW257" s="569">
        <v>0.460447126896337</v>
      </c>
      <c r="DX257" s="569">
        <v>0.460447126896337</v>
      </c>
      <c r="DY257" s="569">
        <v>0.460447126896337</v>
      </c>
      <c r="DZ257" s="569">
        <v>0.460447126896337</v>
      </c>
      <c r="EA257" s="569">
        <v>0.460447126896337</v>
      </c>
      <c r="EB257" s="569">
        <v>0.460447126896337</v>
      </c>
      <c r="EC257" s="569">
        <v>0.460447126896337</v>
      </c>
      <c r="ED257" s="569">
        <v>0.460447126896337</v>
      </c>
      <c r="EE257" s="574"/>
      <c r="EF257" s="574"/>
      <c r="EG257" s="574"/>
      <c r="EH257" s="12"/>
      <c r="EI257" s="12"/>
      <c r="EJ257" s="574"/>
      <c r="EK257" s="574"/>
      <c r="EL257" s="574"/>
      <c r="EM257" s="574"/>
      <c r="EN257" s="574"/>
      <c r="EO257" s="574"/>
      <c r="EP257" s="574"/>
      <c r="EQ257" s="574"/>
      <c r="ER257" s="574"/>
      <c r="ES257" s="574"/>
      <c r="ET257" s="574"/>
      <c r="EU257" s="574"/>
    </row>
    <row r="258">
      <c r="A258" s="12"/>
      <c r="B258" s="552" t="s">
        <v>320</v>
      </c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  <c r="BJ258" s="12"/>
      <c r="BK258" s="12"/>
      <c r="BL258" s="12"/>
      <c r="BM258" s="12"/>
      <c r="BN258" s="12"/>
      <c r="BO258" s="12"/>
      <c r="BP258" s="12"/>
      <c r="BQ258" s="12"/>
      <c r="BR258" s="12"/>
      <c r="BS258" s="12"/>
      <c r="BT258" s="569">
        <f t="shared" ref="BT258:CE258" si="381">BT256-(BT257*BT256)</f>
        <v>95009.46537</v>
      </c>
      <c r="BU258" s="569">
        <f t="shared" si="381"/>
        <v>103295.1804</v>
      </c>
      <c r="BV258" s="569">
        <f t="shared" si="381"/>
        <v>117282.2762</v>
      </c>
      <c r="BW258" s="569">
        <f t="shared" si="381"/>
        <v>221420.0174</v>
      </c>
      <c r="BX258" s="569">
        <f t="shared" si="381"/>
        <v>92461.82522</v>
      </c>
      <c r="BY258" s="569">
        <f t="shared" si="381"/>
        <v>100511.5246</v>
      </c>
      <c r="BZ258" s="569">
        <f t="shared" si="381"/>
        <v>163726.2124</v>
      </c>
      <c r="CA258" s="569">
        <f t="shared" si="381"/>
        <v>176732.7615</v>
      </c>
      <c r="CB258" s="569">
        <f t="shared" si="381"/>
        <v>188442.9446</v>
      </c>
      <c r="CC258" s="569">
        <f t="shared" si="381"/>
        <v>293901.8249</v>
      </c>
      <c r="CD258" s="569">
        <f t="shared" si="381"/>
        <v>306640.5018</v>
      </c>
      <c r="CE258" s="569">
        <f t="shared" si="381"/>
        <v>340310.7439</v>
      </c>
      <c r="CF258" s="646">
        <f>SUM(BT258:BV258)</f>
        <v>315586.922</v>
      </c>
      <c r="CG258" s="646">
        <f>SUM(BW258:BY258)</f>
        <v>414393.3672</v>
      </c>
      <c r="CH258" s="646">
        <f>SUM(BZ258:CB258)</f>
        <v>528901.9185</v>
      </c>
      <c r="CI258" s="646">
        <f>SUM(CC258:CE258)</f>
        <v>940853.0706</v>
      </c>
      <c r="CJ258" s="646">
        <f>SUM(CF258:CI258)</f>
        <v>2199735.278</v>
      </c>
      <c r="CK258" s="569">
        <f t="shared" ref="CK258:CV258" si="382">CK256-(CK257*CK256)</f>
        <v>311754.4036</v>
      </c>
      <c r="CL258" s="569">
        <f t="shared" si="382"/>
        <v>290340.1389</v>
      </c>
      <c r="CM258" s="569">
        <f t="shared" si="382"/>
        <v>299413.4886</v>
      </c>
      <c r="CN258" s="569">
        <f t="shared" si="382"/>
        <v>321268.1913</v>
      </c>
      <c r="CO258" s="569">
        <f t="shared" si="382"/>
        <v>204587.2766</v>
      </c>
      <c r="CP258" s="569">
        <f t="shared" si="382"/>
        <v>287973.1135</v>
      </c>
      <c r="CQ258" s="569">
        <f t="shared" si="382"/>
        <v>235207.1671</v>
      </c>
      <c r="CR258" s="569">
        <f t="shared" si="382"/>
        <v>218668.0201</v>
      </c>
      <c r="CS258" s="569">
        <f t="shared" si="382"/>
        <v>273157.0142</v>
      </c>
      <c r="CT258" s="569">
        <f t="shared" si="382"/>
        <v>368750.7608</v>
      </c>
      <c r="CU258" s="569">
        <f t="shared" si="382"/>
        <v>265536.6053</v>
      </c>
      <c r="CV258" s="569">
        <f t="shared" si="382"/>
        <v>116835.0763</v>
      </c>
      <c r="CW258" s="646">
        <f>SUM(CK258:CM258)</f>
        <v>901508.031</v>
      </c>
      <c r="CX258" s="646">
        <f>SUM(CN258:CP258)</f>
        <v>813828.5814</v>
      </c>
      <c r="CY258" s="646">
        <f>SUM(CQ258:CS258)</f>
        <v>727032.2014</v>
      </c>
      <c r="CZ258" s="646">
        <f>SUM(CT258:CV258)</f>
        <v>751122.4424</v>
      </c>
      <c r="DA258" s="646">
        <f>SUM(CW258:CZ258)</f>
        <v>3193491.256</v>
      </c>
      <c r="DB258" s="569">
        <f t="shared" ref="DB258:DM258" si="383">DB256-(DB257*DB256)</f>
        <v>287029.0526</v>
      </c>
      <c r="DC258" s="569">
        <f t="shared" si="383"/>
        <v>583947.5624</v>
      </c>
      <c r="DD258" s="569">
        <f t="shared" si="383"/>
        <v>842005.8984</v>
      </c>
      <c r="DE258" s="569">
        <f t="shared" si="383"/>
        <v>1236755.48</v>
      </c>
      <c r="DF258" s="569">
        <f t="shared" si="383"/>
        <v>1029713.412</v>
      </c>
      <c r="DG258" s="569">
        <f t="shared" si="383"/>
        <v>985676.6795</v>
      </c>
      <c r="DH258" s="569">
        <f t="shared" si="383"/>
        <v>894768.7731</v>
      </c>
      <c r="DI258" s="569">
        <f t="shared" si="383"/>
        <v>799642.2136</v>
      </c>
      <c r="DJ258" s="569">
        <f t="shared" si="383"/>
        <v>897091.2653</v>
      </c>
      <c r="DK258" s="569">
        <f t="shared" si="383"/>
        <v>0</v>
      </c>
      <c r="DL258" s="569">
        <f t="shared" si="383"/>
        <v>0</v>
      </c>
      <c r="DM258" s="569">
        <f t="shared" si="383"/>
        <v>0</v>
      </c>
      <c r="DN258" s="646">
        <f>SUM(DB258:DD258)</f>
        <v>1712982.513</v>
      </c>
      <c r="DO258" s="646">
        <f>SUM(DE258:DG258)</f>
        <v>3252145.572</v>
      </c>
      <c r="DP258" s="646">
        <f>SUM(DH258:DJ258)</f>
        <v>2591502.252</v>
      </c>
      <c r="DQ258" s="646">
        <f>SUM(DK258:DM258)</f>
        <v>0</v>
      </c>
      <c r="DR258" s="646">
        <f>SUM(DN258:DQ258)</f>
        <v>7556630.337</v>
      </c>
      <c r="DS258" s="569">
        <f t="shared" ref="DS258:ED258" si="384">DS256-(DS257*DS256)</f>
        <v>0</v>
      </c>
      <c r="DT258" s="569">
        <f t="shared" si="384"/>
        <v>0</v>
      </c>
      <c r="DU258" s="569">
        <f t="shared" si="384"/>
        <v>0</v>
      </c>
      <c r="DV258" s="569">
        <f t="shared" si="384"/>
        <v>0</v>
      </c>
      <c r="DW258" s="569">
        <f t="shared" si="384"/>
        <v>0</v>
      </c>
      <c r="DX258" s="569">
        <f t="shared" si="384"/>
        <v>0</v>
      </c>
      <c r="DY258" s="569">
        <f t="shared" si="384"/>
        <v>0</v>
      </c>
      <c r="DZ258" s="569">
        <f t="shared" si="384"/>
        <v>0</v>
      </c>
      <c r="EA258" s="569">
        <f t="shared" si="384"/>
        <v>0</v>
      </c>
      <c r="EB258" s="569">
        <f t="shared" si="384"/>
        <v>0</v>
      </c>
      <c r="EC258" s="569">
        <f t="shared" si="384"/>
        <v>0</v>
      </c>
      <c r="ED258" s="569">
        <f t="shared" si="384"/>
        <v>0</v>
      </c>
      <c r="EE258" s="646">
        <f>SUM(DS258:DU258)</f>
        <v>0</v>
      </c>
      <c r="EF258" s="646">
        <f>SUM(DV258:DX258)</f>
        <v>0</v>
      </c>
      <c r="EG258" s="646">
        <f>SUM(DY258:EA258)</f>
        <v>0</v>
      </c>
      <c r="EH258" s="646">
        <f>SUM(EB258:ED258)</f>
        <v>0</v>
      </c>
      <c r="EI258" s="646">
        <f>SUM(EE258:EH258)</f>
        <v>0</v>
      </c>
      <c r="EJ258" s="574"/>
      <c r="EK258" s="574"/>
      <c r="EL258" s="574"/>
      <c r="EM258" s="574"/>
      <c r="EN258" s="574"/>
      <c r="EO258" s="574"/>
      <c r="EP258" s="574"/>
      <c r="EQ258" s="574"/>
      <c r="ER258" s="574"/>
      <c r="ES258" s="574"/>
      <c r="ET258" s="574"/>
      <c r="EU258" s="574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  <c r="BJ259" s="12"/>
      <c r="BK259" s="12"/>
      <c r="BL259" s="12"/>
      <c r="BM259" s="12"/>
      <c r="BN259" s="12"/>
      <c r="BO259" s="12"/>
      <c r="BP259" s="12"/>
      <c r="BQ259" s="12"/>
      <c r="BR259" s="12"/>
      <c r="BS259" s="12"/>
      <c r="BT259" s="12"/>
      <c r="BU259" s="12"/>
      <c r="BV259" s="12"/>
      <c r="BW259" s="12"/>
      <c r="BX259" s="12"/>
      <c r="BY259" s="12"/>
      <c r="BZ259" s="12"/>
      <c r="CA259" s="12"/>
      <c r="CB259" s="12"/>
      <c r="CC259" s="12"/>
      <c r="CD259" s="12"/>
      <c r="CE259" s="12"/>
      <c r="CF259" s="12"/>
      <c r="CG259" s="578">
        <f>CF258+CG258</f>
        <v>729980.2893</v>
      </c>
      <c r="CH259" s="578">
        <f t="shared" ref="CH259:CI259" si="385">CG259+CH258</f>
        <v>1258882.208</v>
      </c>
      <c r="CI259" s="578">
        <f t="shared" si="385"/>
        <v>2199735.278</v>
      </c>
      <c r="CJ259" s="12"/>
      <c r="CK259" s="12"/>
      <c r="CL259" s="12"/>
      <c r="CM259" s="12"/>
      <c r="CN259" s="12"/>
      <c r="CO259" s="12"/>
      <c r="CP259" s="12"/>
      <c r="CQ259" s="12"/>
      <c r="CR259" s="12"/>
      <c r="CS259" s="12"/>
      <c r="CT259" s="12"/>
      <c r="CU259" s="12"/>
      <c r="CV259" s="12"/>
      <c r="CW259" s="12"/>
      <c r="CX259" s="578">
        <f>CX258+CW258</f>
        <v>1715336.612</v>
      </c>
      <c r="CY259" s="578">
        <f t="shared" ref="CY259:CZ259" si="386">CY258+CX259</f>
        <v>2442368.814</v>
      </c>
      <c r="CZ259" s="578">
        <f t="shared" si="386"/>
        <v>3193491.256</v>
      </c>
      <c r="DA259" s="12"/>
      <c r="DB259" s="12"/>
      <c r="DC259" s="12"/>
      <c r="DD259" s="12"/>
      <c r="DE259" s="12"/>
      <c r="DF259" s="12"/>
      <c r="DG259" s="12"/>
      <c r="DH259" s="12"/>
      <c r="DI259" s="12"/>
      <c r="DJ259" s="12"/>
      <c r="DK259" s="12"/>
      <c r="DL259" s="12"/>
      <c r="DM259" s="12"/>
      <c r="DN259" s="12"/>
      <c r="DO259" s="578">
        <f>DO258+DN258</f>
        <v>4965128.085</v>
      </c>
      <c r="DP259" s="578">
        <f>DP258+DO259</f>
        <v>7556630.337</v>
      </c>
      <c r="DQ259" s="12"/>
      <c r="DR259" s="12"/>
      <c r="DS259" s="12"/>
      <c r="DT259" s="12"/>
      <c r="DU259" s="12"/>
      <c r="DV259" s="12"/>
      <c r="DW259" s="12"/>
      <c r="DX259" s="12"/>
      <c r="DY259" s="12"/>
      <c r="DZ259" s="12"/>
      <c r="EA259" s="12"/>
      <c r="EB259" s="12"/>
      <c r="EC259" s="12"/>
      <c r="ED259" s="12"/>
      <c r="EE259" s="12"/>
      <c r="EF259" s="578">
        <f>EF258+EE258</f>
        <v>0</v>
      </c>
      <c r="EG259" s="578">
        <f>EG258+EF259</f>
        <v>0</v>
      </c>
      <c r="EH259" s="12"/>
      <c r="EI259" s="12"/>
      <c r="EJ259" s="574"/>
      <c r="EK259" s="574"/>
      <c r="EL259" s="574"/>
      <c r="EM259" s="574"/>
      <c r="EN259" s="574"/>
      <c r="EO259" s="574"/>
      <c r="EP259" s="574"/>
      <c r="EQ259" s="574"/>
      <c r="ER259" s="574"/>
      <c r="ES259" s="574"/>
      <c r="ET259" s="574"/>
      <c r="EU259" s="574"/>
    </row>
    <row r="260">
      <c r="A260" s="12"/>
      <c r="B260" s="552" t="s">
        <v>321</v>
      </c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  <c r="BK260" s="12"/>
      <c r="BL260" s="12"/>
      <c r="BM260" s="12"/>
      <c r="BN260" s="12"/>
      <c r="BO260" s="12"/>
      <c r="BP260" s="12"/>
      <c r="BQ260" s="12"/>
      <c r="BR260" s="12"/>
      <c r="BS260" s="12"/>
      <c r="BT260" s="12"/>
      <c r="BU260" s="12"/>
      <c r="BV260" s="12"/>
      <c r="BW260" s="12"/>
      <c r="BX260" s="12"/>
      <c r="BY260" s="12"/>
      <c r="BZ260" s="12"/>
      <c r="CA260" s="12"/>
      <c r="CB260" s="12"/>
      <c r="CC260" s="12"/>
      <c r="CD260" s="12"/>
      <c r="CE260" s="12"/>
      <c r="CF260" s="12"/>
      <c r="CG260" s="12"/>
      <c r="CH260" s="12"/>
      <c r="CI260" s="12"/>
      <c r="CJ260" s="12"/>
      <c r="CK260" s="12"/>
      <c r="CL260" s="12"/>
      <c r="CM260" s="12"/>
      <c r="CN260" s="12"/>
      <c r="CO260" s="12"/>
      <c r="CP260" s="12"/>
      <c r="CQ260" s="12"/>
      <c r="CR260" s="12"/>
      <c r="CS260" s="12"/>
      <c r="CT260" s="12"/>
      <c r="CU260" s="12"/>
      <c r="CV260" s="12"/>
      <c r="CW260" s="12"/>
      <c r="CX260" s="12"/>
      <c r="CY260" s="12"/>
      <c r="CZ260" s="12"/>
      <c r="DA260" s="12"/>
      <c r="DB260" s="12"/>
      <c r="DC260" s="12"/>
      <c r="DD260" s="12"/>
      <c r="DE260" s="12"/>
      <c r="DF260" s="12"/>
      <c r="DG260" s="12"/>
      <c r="DH260" s="12"/>
      <c r="DI260" s="12"/>
      <c r="DJ260" s="12"/>
      <c r="DK260" s="12"/>
      <c r="DL260" s="12"/>
      <c r="DM260" s="12"/>
      <c r="DN260" s="12"/>
      <c r="DO260" s="12"/>
      <c r="DP260" s="12"/>
      <c r="DQ260" s="12"/>
      <c r="DR260" s="12"/>
      <c r="DS260" s="12"/>
      <c r="DT260" s="12"/>
      <c r="DU260" s="12"/>
      <c r="DV260" s="12"/>
      <c r="DW260" s="12"/>
      <c r="DX260" s="12"/>
      <c r="DY260" s="12"/>
      <c r="DZ260" s="12"/>
      <c r="EA260" s="12"/>
      <c r="EB260" s="12"/>
      <c r="EC260" s="12"/>
      <c r="ED260" s="12"/>
      <c r="EE260" s="12"/>
      <c r="EF260" s="12"/>
      <c r="EG260" s="12"/>
      <c r="EH260" s="12"/>
      <c r="EI260" s="12"/>
      <c r="EJ260" s="574"/>
      <c r="EK260" s="574"/>
      <c r="EL260" s="574"/>
      <c r="EM260" s="574"/>
      <c r="EN260" s="574"/>
      <c r="EO260" s="574"/>
      <c r="EP260" s="574"/>
      <c r="EQ260" s="574"/>
      <c r="ER260" s="574"/>
      <c r="ES260" s="574"/>
      <c r="ET260" s="574"/>
      <c r="EU260" s="574"/>
    </row>
    <row r="261">
      <c r="A261" s="12"/>
      <c r="B261" s="552" t="s">
        <v>322</v>
      </c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  <c r="BL261" s="12"/>
      <c r="BM261" s="12"/>
      <c r="BN261" s="12"/>
      <c r="BO261" s="12"/>
      <c r="BP261" s="12"/>
      <c r="BQ261" s="12"/>
      <c r="BR261" s="12"/>
      <c r="BS261" s="12"/>
      <c r="BT261" s="12"/>
      <c r="BU261" s="12"/>
      <c r="BV261" s="12"/>
      <c r="BW261" s="12"/>
      <c r="BX261" s="12"/>
      <c r="BY261" s="12"/>
      <c r="BZ261" s="12"/>
      <c r="CA261" s="12"/>
      <c r="CB261" s="12"/>
      <c r="CC261" s="12"/>
      <c r="CD261" s="12"/>
      <c r="CE261" s="12"/>
      <c r="CF261" s="12"/>
      <c r="CG261" s="12"/>
      <c r="CH261" s="12"/>
      <c r="CI261" s="12"/>
      <c r="CJ261" s="12"/>
      <c r="CK261" s="12"/>
      <c r="CL261" s="12"/>
      <c r="CM261" s="12"/>
      <c r="CN261" s="12"/>
      <c r="CO261" s="12"/>
      <c r="CP261" s="12"/>
      <c r="CQ261" s="12"/>
      <c r="CR261" s="12"/>
      <c r="CS261" s="12"/>
      <c r="CT261" s="12"/>
      <c r="CU261" s="12"/>
      <c r="CV261" s="12"/>
      <c r="CW261" s="12"/>
      <c r="CX261" s="12"/>
      <c r="CY261" s="12"/>
      <c r="CZ261" s="12"/>
      <c r="DA261" s="12"/>
      <c r="DB261" s="12"/>
      <c r="DC261" s="12"/>
      <c r="DD261" s="12"/>
      <c r="DE261" s="12"/>
      <c r="DF261" s="12"/>
      <c r="DG261" s="12"/>
      <c r="DH261" s="12"/>
      <c r="DI261" s="12"/>
      <c r="DJ261" s="12"/>
      <c r="DK261" s="12"/>
      <c r="DL261" s="12"/>
      <c r="DM261" s="12"/>
      <c r="DN261" s="12"/>
      <c r="DO261" s="12"/>
      <c r="DP261" s="12"/>
      <c r="DQ261" s="12"/>
      <c r="DR261" s="12"/>
      <c r="DS261" s="12"/>
      <c r="DT261" s="12"/>
      <c r="DU261" s="12"/>
      <c r="DV261" s="12"/>
      <c r="DW261" s="12"/>
      <c r="DX261" s="12"/>
      <c r="DY261" s="12"/>
      <c r="DZ261" s="12"/>
      <c r="EA261" s="12"/>
      <c r="EB261" s="12"/>
      <c r="EC261" s="12"/>
      <c r="ED261" s="12"/>
      <c r="EE261" s="12"/>
      <c r="EF261" s="12"/>
      <c r="EG261" s="12"/>
      <c r="EH261" s="12"/>
      <c r="EI261" s="12"/>
      <c r="EJ261" s="574"/>
      <c r="EK261" s="574"/>
      <c r="EL261" s="574"/>
      <c r="EM261" s="574"/>
      <c r="EN261" s="574"/>
      <c r="EO261" s="574"/>
      <c r="EP261" s="574"/>
      <c r="EQ261" s="574"/>
      <c r="ER261" s="574"/>
      <c r="ES261" s="574"/>
      <c r="ET261" s="574"/>
      <c r="EU261" s="574"/>
    </row>
    <row r="262">
      <c r="A262" s="12"/>
      <c r="B262" s="552" t="s">
        <v>323</v>
      </c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2"/>
      <c r="BL262" s="12"/>
      <c r="BM262" s="12"/>
      <c r="BN262" s="12"/>
      <c r="BO262" s="12"/>
      <c r="BP262" s="12"/>
      <c r="BQ262" s="12"/>
      <c r="BR262" s="12"/>
      <c r="BS262" s="12"/>
      <c r="BT262" s="12"/>
      <c r="BU262" s="12"/>
      <c r="BV262" s="12"/>
      <c r="BW262" s="12"/>
      <c r="BX262" s="12"/>
      <c r="BY262" s="12"/>
      <c r="BZ262" s="12"/>
      <c r="CA262" s="12"/>
      <c r="CB262" s="12"/>
      <c r="CC262" s="12"/>
      <c r="CD262" s="12"/>
      <c r="CE262" s="12"/>
      <c r="CF262" s="12"/>
      <c r="CG262" s="12"/>
      <c r="CH262" s="12"/>
      <c r="CI262" s="12"/>
      <c r="CJ262" s="12"/>
      <c r="CK262" s="12"/>
      <c r="CL262" s="12"/>
      <c r="CM262" s="12"/>
      <c r="CN262" s="12"/>
      <c r="CO262" s="12"/>
      <c r="CP262" s="12"/>
      <c r="CQ262" s="12"/>
      <c r="CR262" s="12"/>
      <c r="CS262" s="12"/>
      <c r="CT262" s="12"/>
      <c r="CU262" s="12"/>
      <c r="CV262" s="12"/>
      <c r="CW262" s="12"/>
      <c r="CX262" s="12"/>
      <c r="CY262" s="12"/>
      <c r="CZ262" s="12"/>
      <c r="DA262" s="12"/>
      <c r="DB262" s="12"/>
      <c r="DC262" s="12"/>
      <c r="DD262" s="12"/>
      <c r="DE262" s="12"/>
      <c r="DF262" s="12"/>
      <c r="DG262" s="12"/>
      <c r="DH262" s="12"/>
      <c r="DI262" s="12"/>
      <c r="DJ262" s="12"/>
      <c r="DK262" s="12"/>
      <c r="DL262" s="12"/>
      <c r="DM262" s="12"/>
      <c r="DN262" s="12"/>
      <c r="DO262" s="12"/>
      <c r="DP262" s="670">
        <f>DP259/CY259*100-100</f>
        <v>209.3975936</v>
      </c>
      <c r="DQ262" s="12"/>
      <c r="DR262" s="12"/>
      <c r="DS262" s="12"/>
      <c r="DT262" s="12"/>
      <c r="DU262" s="12"/>
      <c r="DV262" s="12"/>
      <c r="DW262" s="12"/>
      <c r="DX262" s="12"/>
      <c r="DY262" s="12"/>
      <c r="DZ262" s="12"/>
      <c r="EA262" s="12"/>
      <c r="EB262" s="12"/>
      <c r="EC262" s="12"/>
      <c r="ED262" s="12"/>
      <c r="EE262" s="12"/>
      <c r="EF262" s="12"/>
      <c r="EG262" s="670">
        <f>EG259/DP259*100-100</f>
        <v>-100</v>
      </c>
      <c r="EH262" s="12"/>
      <c r="EI262" s="12"/>
      <c r="EJ262" s="574"/>
      <c r="EK262" s="574"/>
      <c r="EL262" s="574"/>
      <c r="EM262" s="574"/>
      <c r="EN262" s="574"/>
      <c r="EO262" s="574"/>
      <c r="EP262" s="574"/>
      <c r="EQ262" s="574"/>
      <c r="ER262" s="574"/>
      <c r="ES262" s="574"/>
      <c r="ET262" s="574"/>
      <c r="EU262" s="574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  <c r="BL263" s="12"/>
      <c r="BM263" s="12"/>
      <c r="BN263" s="12"/>
      <c r="BO263" s="12"/>
      <c r="BP263" s="12"/>
      <c r="BQ263" s="12"/>
      <c r="BR263" s="12"/>
      <c r="BS263" s="12"/>
      <c r="BT263" s="12"/>
      <c r="BU263" s="12"/>
      <c r="BV263" s="12"/>
      <c r="BW263" s="12"/>
      <c r="BX263" s="12"/>
      <c r="BY263" s="12"/>
      <c r="BZ263" s="12"/>
      <c r="CA263" s="12"/>
      <c r="CB263" s="12"/>
      <c r="CC263" s="12"/>
      <c r="CD263" s="12"/>
      <c r="CE263" s="12"/>
      <c r="CF263" s="12"/>
      <c r="CG263" s="12"/>
      <c r="CH263" s="12"/>
      <c r="CI263" s="12"/>
      <c r="CJ263" s="12"/>
      <c r="CK263" s="12"/>
      <c r="CL263" s="12"/>
      <c r="CM263" s="12"/>
      <c r="CN263" s="12"/>
      <c r="CO263" s="12"/>
      <c r="CP263" s="12"/>
      <c r="CQ263" s="12"/>
      <c r="CR263" s="12"/>
      <c r="CS263" s="12"/>
      <c r="CT263" s="12"/>
      <c r="CU263" s="12"/>
      <c r="CV263" s="12"/>
      <c r="CW263" s="12"/>
      <c r="CX263" s="12"/>
      <c r="CY263" s="12"/>
      <c r="CZ263" s="12"/>
      <c r="DA263" s="12"/>
      <c r="DB263" s="12"/>
      <c r="DC263" s="12"/>
      <c r="DD263" s="12"/>
      <c r="DE263" s="12"/>
      <c r="DF263" s="12"/>
      <c r="DG263" s="12"/>
      <c r="DH263" s="12"/>
      <c r="DI263" s="12"/>
      <c r="DJ263" s="12"/>
      <c r="DK263" s="12"/>
      <c r="DL263" s="12"/>
      <c r="DM263" s="12"/>
      <c r="DN263" s="12"/>
      <c r="DO263" s="12"/>
      <c r="DP263" s="12"/>
      <c r="DQ263" s="12"/>
      <c r="DR263" s="12"/>
      <c r="DS263" s="12"/>
      <c r="DT263" s="12"/>
      <c r="DU263" s="12"/>
      <c r="DV263" s="12"/>
      <c r="DW263" s="12"/>
      <c r="DX263" s="12"/>
      <c r="DY263" s="12"/>
      <c r="DZ263" s="12"/>
      <c r="EA263" s="12"/>
      <c r="EB263" s="12"/>
      <c r="EC263" s="12"/>
      <c r="ED263" s="12"/>
      <c r="EE263" s="12"/>
      <c r="EF263" s="12"/>
      <c r="EG263" s="12"/>
      <c r="EH263" s="12"/>
      <c r="EI263" s="12"/>
      <c r="EJ263" s="574"/>
      <c r="EK263" s="574"/>
      <c r="EL263" s="574"/>
      <c r="EM263" s="574"/>
      <c r="EN263" s="574"/>
      <c r="EO263" s="574"/>
      <c r="EP263" s="574"/>
      <c r="EQ263" s="574"/>
      <c r="ER263" s="574"/>
      <c r="ES263" s="574"/>
      <c r="ET263" s="574"/>
      <c r="EU263" s="574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2"/>
      <c r="BL264" s="12"/>
      <c r="BM264" s="12"/>
      <c r="BN264" s="12"/>
      <c r="BO264" s="12"/>
      <c r="BP264" s="12"/>
      <c r="BQ264" s="12"/>
      <c r="BR264" s="12"/>
      <c r="BS264" s="12"/>
      <c r="BT264" s="12"/>
      <c r="BU264" s="12"/>
      <c r="BV264" s="12"/>
      <c r="BW264" s="12"/>
      <c r="BX264" s="12"/>
      <c r="BY264" s="12"/>
      <c r="BZ264" s="12"/>
      <c r="CA264" s="12"/>
      <c r="CB264" s="12"/>
      <c r="CC264" s="12"/>
      <c r="CD264" s="12"/>
      <c r="CE264" s="12"/>
      <c r="CF264" s="12"/>
      <c r="CG264" s="12"/>
      <c r="CH264" s="12"/>
      <c r="CI264" s="12"/>
      <c r="CJ264" s="12"/>
      <c r="CK264" s="12"/>
      <c r="CL264" s="12"/>
      <c r="CM264" s="12"/>
      <c r="CN264" s="12"/>
      <c r="CO264" s="12"/>
      <c r="CP264" s="12"/>
      <c r="CQ264" s="12"/>
      <c r="CR264" s="12"/>
      <c r="CS264" s="12"/>
      <c r="CT264" s="12"/>
      <c r="CU264" s="12"/>
      <c r="CV264" s="12"/>
      <c r="CW264" s="12"/>
      <c r="CX264" s="12"/>
      <c r="CY264" s="12"/>
      <c r="CZ264" s="12"/>
      <c r="DA264" s="12"/>
      <c r="DB264" s="12"/>
      <c r="DC264" s="12"/>
      <c r="DD264" s="12"/>
      <c r="DE264" s="12"/>
      <c r="DF264" s="12"/>
      <c r="DG264" s="12"/>
      <c r="DH264" s="12"/>
      <c r="DI264" s="12"/>
      <c r="DJ264" s="12"/>
      <c r="DK264" s="12"/>
      <c r="DL264" s="12"/>
      <c r="DM264" s="12"/>
      <c r="DN264" s="12"/>
      <c r="DO264" s="12"/>
      <c r="DP264" s="12"/>
      <c r="DQ264" s="12"/>
      <c r="DR264" s="12"/>
      <c r="DS264" s="12"/>
      <c r="DT264" s="12"/>
      <c r="DU264" s="12"/>
      <c r="DV264" s="12"/>
      <c r="DW264" s="12"/>
      <c r="DX264" s="12"/>
      <c r="DY264" s="12"/>
      <c r="DZ264" s="12"/>
      <c r="EA264" s="12"/>
      <c r="EB264" s="12"/>
      <c r="EC264" s="12"/>
      <c r="ED264" s="12"/>
      <c r="EE264" s="12"/>
      <c r="EF264" s="12"/>
      <c r="EG264" s="12"/>
      <c r="EH264" s="12"/>
      <c r="EI264" s="12"/>
      <c r="EJ264" s="574"/>
      <c r="EK264" s="574"/>
      <c r="EL264" s="574"/>
      <c r="EM264" s="574"/>
      <c r="EN264" s="574"/>
      <c r="EO264" s="574"/>
      <c r="EP264" s="574"/>
      <c r="EQ264" s="574"/>
      <c r="ER264" s="574"/>
      <c r="ES264" s="574"/>
      <c r="ET264" s="574"/>
      <c r="EU264" s="574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  <c r="BJ265" s="12"/>
      <c r="BK265" s="12"/>
      <c r="BL265" s="12"/>
      <c r="BM265" s="12"/>
      <c r="BN265" s="12"/>
      <c r="BO265" s="12"/>
      <c r="BP265" s="12"/>
      <c r="BQ265" s="12"/>
      <c r="BR265" s="12"/>
      <c r="BS265" s="12"/>
      <c r="BT265" s="12"/>
      <c r="BU265" s="12"/>
      <c r="BV265" s="12"/>
      <c r="BW265" s="12"/>
      <c r="BX265" s="12"/>
      <c r="BY265" s="12"/>
      <c r="BZ265" s="12"/>
      <c r="CA265" s="12"/>
      <c r="CB265" s="12"/>
      <c r="CC265" s="12"/>
      <c r="CD265" s="12"/>
      <c r="CE265" s="12"/>
      <c r="CF265" s="12"/>
      <c r="CG265" s="12"/>
      <c r="CH265" s="12"/>
      <c r="CI265" s="12"/>
      <c r="CJ265" s="12"/>
      <c r="CK265" s="12"/>
      <c r="CL265" s="12"/>
      <c r="CM265" s="12"/>
      <c r="CN265" s="12"/>
      <c r="CO265" s="12"/>
      <c r="CP265" s="12"/>
      <c r="CQ265" s="12"/>
      <c r="CR265" s="12"/>
      <c r="CS265" s="12"/>
      <c r="CT265" s="12"/>
      <c r="CU265" s="12"/>
      <c r="CV265" s="12"/>
      <c r="CW265" s="12"/>
      <c r="CX265" s="12"/>
      <c r="CY265" s="12"/>
      <c r="CZ265" s="12"/>
      <c r="DA265" s="12"/>
      <c r="DB265" s="12"/>
      <c r="DC265" s="12"/>
      <c r="DD265" s="12"/>
      <c r="DE265" s="12"/>
      <c r="DF265" s="12"/>
      <c r="DG265" s="12"/>
      <c r="DH265" s="12"/>
      <c r="DI265" s="12"/>
      <c r="DJ265" s="12"/>
      <c r="DK265" s="12"/>
      <c r="DL265" s="12"/>
      <c r="DM265" s="12"/>
      <c r="DN265" s="12"/>
      <c r="DO265" s="12"/>
      <c r="DP265" s="12"/>
      <c r="DQ265" s="12"/>
      <c r="DR265" s="12"/>
      <c r="DS265" s="12"/>
      <c r="DT265" s="12"/>
      <c r="DU265" s="12"/>
      <c r="DV265" s="12"/>
      <c r="DW265" s="12"/>
      <c r="DX265" s="12"/>
      <c r="DY265" s="12"/>
      <c r="DZ265" s="12"/>
      <c r="EA265" s="12"/>
      <c r="EB265" s="12"/>
      <c r="EC265" s="12"/>
      <c r="ED265" s="12"/>
      <c r="EE265" s="12"/>
      <c r="EF265" s="12"/>
      <c r="EG265" s="12"/>
      <c r="EH265" s="12"/>
      <c r="EI265" s="12"/>
      <c r="EJ265" s="574"/>
      <c r="EK265" s="574"/>
      <c r="EL265" s="574"/>
      <c r="EM265" s="574"/>
      <c r="EN265" s="574"/>
      <c r="EO265" s="574"/>
      <c r="EP265" s="574"/>
      <c r="EQ265" s="574"/>
      <c r="ER265" s="574"/>
      <c r="ES265" s="574"/>
      <c r="ET265" s="574"/>
      <c r="EU265" s="574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  <c r="BK266" s="12"/>
      <c r="BL266" s="12"/>
      <c r="BM266" s="12"/>
      <c r="BN266" s="12"/>
      <c r="BO266" s="12"/>
      <c r="BP266" s="12"/>
      <c r="BQ266" s="12"/>
      <c r="BR266" s="12"/>
      <c r="BS266" s="12"/>
      <c r="BT266" s="12"/>
      <c r="BU266" s="12"/>
      <c r="BV266" s="12"/>
      <c r="BW266" s="12"/>
      <c r="BX266" s="12"/>
      <c r="BY266" s="12"/>
      <c r="BZ266" s="12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574"/>
      <c r="EK266" s="574"/>
      <c r="EL266" s="574"/>
      <c r="EM266" s="574"/>
      <c r="EN266" s="574"/>
      <c r="EO266" s="574"/>
      <c r="EP266" s="574"/>
      <c r="EQ266" s="574"/>
      <c r="ER266" s="574"/>
      <c r="ES266" s="574"/>
      <c r="ET266" s="574"/>
      <c r="EU266" s="574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  <c r="BJ267" s="12"/>
      <c r="BK267" s="12"/>
      <c r="BL267" s="12"/>
      <c r="BM267" s="12"/>
      <c r="BN267" s="12"/>
      <c r="BO267" s="12"/>
      <c r="BP267" s="12"/>
      <c r="BQ267" s="12"/>
      <c r="BR267" s="12"/>
      <c r="BS267" s="12"/>
      <c r="BT267" s="12"/>
      <c r="BU267" s="12"/>
      <c r="BV267" s="12"/>
      <c r="BW267" s="12"/>
      <c r="BX267" s="12"/>
      <c r="BY267" s="12"/>
      <c r="BZ267" s="12"/>
      <c r="CA267" s="12"/>
      <c r="CB267" s="12"/>
      <c r="CC267" s="12"/>
      <c r="CD267" s="12"/>
      <c r="CE267" s="12"/>
      <c r="CF267" s="670">
        <f t="shared" ref="CF267:CI267" si="387">CF268*1000000</f>
        <v>273859.09</v>
      </c>
      <c r="CG267" s="670">
        <f t="shared" si="387"/>
        <v>269589.8733</v>
      </c>
      <c r="CH267" s="670">
        <f t="shared" si="387"/>
        <v>289065.5925</v>
      </c>
      <c r="CI267" s="670">
        <f t="shared" si="387"/>
        <v>272913.1966</v>
      </c>
      <c r="CJ267" s="12"/>
      <c r="CK267" s="12"/>
      <c r="CL267" s="12"/>
      <c r="CM267" s="12"/>
      <c r="CN267" s="12"/>
      <c r="CO267" s="12"/>
      <c r="CP267" s="12"/>
      <c r="CQ267" s="12"/>
      <c r="CR267" s="12"/>
      <c r="CS267" s="12"/>
      <c r="CT267" s="12"/>
      <c r="CU267" s="12"/>
      <c r="CV267" s="12"/>
      <c r="CW267" s="670">
        <f t="shared" ref="CW267:CZ267" si="388">CW268*1000000</f>
        <v>185976.6477</v>
      </c>
      <c r="CX267" s="670">
        <f t="shared" si="388"/>
        <v>198681.8841</v>
      </c>
      <c r="CY267" s="670">
        <f t="shared" si="388"/>
        <v>174945.2242</v>
      </c>
      <c r="CZ267" s="670">
        <f t="shared" si="388"/>
        <v>374156.8967</v>
      </c>
      <c r="DA267" s="12"/>
      <c r="DB267" s="12"/>
      <c r="DC267" s="12"/>
      <c r="DD267" s="12"/>
      <c r="DE267" s="12"/>
      <c r="DF267" s="12"/>
      <c r="DG267" s="12"/>
      <c r="DH267" s="12"/>
      <c r="DI267" s="12"/>
      <c r="DJ267" s="12"/>
      <c r="DK267" s="12"/>
      <c r="DL267" s="12"/>
      <c r="DM267" s="12"/>
      <c r="DN267" s="670">
        <f t="shared" ref="DN267:DQ267" si="389">DN268*1000000</f>
        <v>192557.4116</v>
      </c>
      <c r="DO267" s="670">
        <f t="shared" si="389"/>
        <v>216433.1203</v>
      </c>
      <c r="DP267" s="670">
        <f t="shared" si="389"/>
        <v>138937.4356</v>
      </c>
      <c r="DQ267" s="670">
        <f t="shared" si="389"/>
        <v>259358.1485</v>
      </c>
      <c r="DR267" s="12"/>
      <c r="DS267" s="12"/>
      <c r="DT267" s="12"/>
      <c r="DU267" s="12"/>
      <c r="DV267" s="12"/>
      <c r="DW267" s="12"/>
      <c r="DX267" s="12"/>
      <c r="DY267" s="12"/>
      <c r="DZ267" s="12"/>
      <c r="EA267" s="12"/>
      <c r="EB267" s="12"/>
      <c r="EC267" s="12"/>
      <c r="ED267" s="12"/>
      <c r="EE267" s="670">
        <f t="shared" ref="EE267:EH267" si="390">EE268*1000000</f>
        <v>258078.957</v>
      </c>
      <c r="EF267" s="670">
        <f t="shared" si="390"/>
        <v>186850.1176</v>
      </c>
      <c r="EG267" s="671">
        <f t="shared" si="390"/>
        <v>145037.4299</v>
      </c>
      <c r="EH267" s="670">
        <f t="shared" si="390"/>
        <v>146755.4718</v>
      </c>
      <c r="EI267" s="12"/>
      <c r="EJ267" s="574"/>
      <c r="EK267" s="574"/>
      <c r="EL267" s="574"/>
      <c r="EM267" s="574"/>
      <c r="EN267" s="574"/>
      <c r="EO267" s="574"/>
      <c r="EP267" s="574"/>
      <c r="EQ267" s="574"/>
      <c r="ER267" s="574"/>
      <c r="ES267" s="574"/>
      <c r="ET267" s="574"/>
      <c r="EU267" s="574"/>
    </row>
    <row r="268">
      <c r="A268" s="12"/>
      <c r="B268" s="572" t="s">
        <v>324</v>
      </c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  <c r="BK268" s="12"/>
      <c r="BL268" s="12"/>
      <c r="BM268" s="12"/>
      <c r="BN268" s="12"/>
      <c r="BO268" s="12"/>
      <c r="BP268" s="12"/>
      <c r="BQ268" s="12"/>
      <c r="BR268" s="12"/>
      <c r="BS268" s="12"/>
      <c r="BT268" s="569">
        <f t="shared" ref="BT268:CE268" si="391">BT58</f>
        <v>0.28288295</v>
      </c>
      <c r="BU268" s="569">
        <f t="shared" si="391"/>
        <v>0.2644358</v>
      </c>
      <c r="BV268" s="569">
        <f t="shared" si="391"/>
        <v>0.27425852</v>
      </c>
      <c r="BW268" s="569">
        <f t="shared" si="391"/>
        <v>0.14074794</v>
      </c>
      <c r="BX268" s="569">
        <f t="shared" si="391"/>
        <v>0.27908183</v>
      </c>
      <c r="BY268" s="569">
        <f t="shared" si="391"/>
        <v>0.38893985</v>
      </c>
      <c r="BZ268" s="569">
        <f t="shared" si="391"/>
        <v>0.3085318833</v>
      </c>
      <c r="CA268" s="569">
        <f t="shared" si="391"/>
        <v>0.3176922087</v>
      </c>
      <c r="CB268" s="569">
        <f t="shared" si="391"/>
        <v>0.2409726856</v>
      </c>
      <c r="CC268" s="569">
        <f t="shared" si="391"/>
        <v>0.21236845</v>
      </c>
      <c r="CD268" s="569">
        <f t="shared" si="391"/>
        <v>0.29477168</v>
      </c>
      <c r="CE268" s="569">
        <f t="shared" si="391"/>
        <v>0.31159946</v>
      </c>
      <c r="CF268" s="578">
        <f>AVERAGE(BT268:BV268)</f>
        <v>0.27385909</v>
      </c>
      <c r="CG268" s="578">
        <f>AVERAGE(BW268:BY268)</f>
        <v>0.2695898733</v>
      </c>
      <c r="CH268" s="578">
        <f>AVERAGE(BZ268:CB268)</f>
        <v>0.2890655925</v>
      </c>
      <c r="CI268" s="578">
        <f>AVERAGE(CC268:CE268)</f>
        <v>0.2729131966</v>
      </c>
      <c r="CJ268" s="12"/>
      <c r="CK268" s="569">
        <f t="shared" ref="CK268:CV268" si="392">CK58</f>
        <v>0.2102394139</v>
      </c>
      <c r="CL268" s="569">
        <f t="shared" si="392"/>
        <v>0.1990092797</v>
      </c>
      <c r="CM268" s="569">
        <f t="shared" si="392"/>
        <v>0.1486812495</v>
      </c>
      <c r="CN268" s="569">
        <f t="shared" si="392"/>
        <v>0.2049318682</v>
      </c>
      <c r="CO268" s="569">
        <f t="shared" si="392"/>
        <v>0.2175315947</v>
      </c>
      <c r="CP268" s="569">
        <f t="shared" si="392"/>
        <v>0.1735821893</v>
      </c>
      <c r="CQ268" s="569">
        <f t="shared" si="392"/>
        <v>0.1948675628</v>
      </c>
      <c r="CR268" s="569">
        <f t="shared" si="392"/>
        <v>0.1795934048</v>
      </c>
      <c r="CS268" s="569">
        <f t="shared" si="392"/>
        <v>0.1503747051</v>
      </c>
      <c r="CT268" s="569">
        <f t="shared" si="392"/>
        <v>0.1936795692</v>
      </c>
      <c r="CU268" s="569">
        <f t="shared" si="392"/>
        <v>0.26590971</v>
      </c>
      <c r="CV268" s="569">
        <f t="shared" si="392"/>
        <v>0.6628814108</v>
      </c>
      <c r="CW268" s="578">
        <f>AVERAGE(CK268:CM268)</f>
        <v>0.1859766477</v>
      </c>
      <c r="CX268" s="578">
        <f>AVERAGE(CN268:CP268)</f>
        <v>0.1986818841</v>
      </c>
      <c r="CY268" s="578">
        <f>AVERAGE(CQ268:CS268)</f>
        <v>0.1749452242</v>
      </c>
      <c r="CZ268" s="578">
        <f>AVERAGE(CT268:CV268)</f>
        <v>0.3741568967</v>
      </c>
      <c r="DA268" s="12"/>
      <c r="DB268" s="569">
        <f t="shared" ref="DB268:DJ268" si="393">DB58</f>
        <v>0.2192707451</v>
      </c>
      <c r="DC268" s="569">
        <f t="shared" si="393"/>
        <v>0.1818938471</v>
      </c>
      <c r="DD268" s="569">
        <f t="shared" si="393"/>
        <v>0.1765076427</v>
      </c>
      <c r="DE268" s="569">
        <f t="shared" si="393"/>
        <v>0.197</v>
      </c>
      <c r="DF268" s="569">
        <f t="shared" si="393"/>
        <v>0.2462715052</v>
      </c>
      <c r="DG268" s="569">
        <f t="shared" si="393"/>
        <v>0.2060278558</v>
      </c>
      <c r="DH268" s="569">
        <f t="shared" si="393"/>
        <v>0.06725826139</v>
      </c>
      <c r="DI268" s="569">
        <f t="shared" si="393"/>
        <v>0.218269549</v>
      </c>
      <c r="DJ268" s="569">
        <f t="shared" si="393"/>
        <v>0.1312844963</v>
      </c>
      <c r="DK268" s="577">
        <f t="shared" ref="DK268:DM268" si="394">iferror(DK58,0)</f>
        <v>0.297125852</v>
      </c>
      <c r="DL268" s="577">
        <f t="shared" si="394"/>
        <v>0.2553634829</v>
      </c>
      <c r="DM268" s="577">
        <f t="shared" si="394"/>
        <v>0.2255851106</v>
      </c>
      <c r="DN268" s="578">
        <f>AVERAGE(DB268:DD268)</f>
        <v>0.1925574116</v>
      </c>
      <c r="DO268" s="578">
        <f>AVERAGE(DE268:DG268)</f>
        <v>0.2164331203</v>
      </c>
      <c r="DP268" s="578">
        <f>AVERAGE(DH268:DJ268)</f>
        <v>0.1389374356</v>
      </c>
      <c r="DQ268" s="666">
        <f>AVERAGE(DK268:DM268)</f>
        <v>0.2593581485</v>
      </c>
      <c r="DR268" s="12"/>
      <c r="DS268" s="569">
        <f t="shared" ref="DS268:EA268" si="395">DS58</f>
        <v>0.2263282852</v>
      </c>
      <c r="DT268" s="569">
        <f t="shared" si="395"/>
        <v>0.2689389051</v>
      </c>
      <c r="DU268" s="569">
        <f t="shared" si="395"/>
        <v>0.2789696807</v>
      </c>
      <c r="DV268" s="569">
        <f t="shared" si="395"/>
        <v>0.2605820855</v>
      </c>
      <c r="DW268" s="569">
        <f t="shared" si="395"/>
        <v>0.1523843267</v>
      </c>
      <c r="DX268" s="569">
        <f t="shared" si="395"/>
        <v>0.1475839407</v>
      </c>
      <c r="DY268" s="571">
        <f t="shared" si="395"/>
        <v>0.145374578</v>
      </c>
      <c r="DZ268" s="571">
        <f t="shared" si="395"/>
        <v>0.144185986</v>
      </c>
      <c r="EA268" s="571">
        <f t="shared" si="395"/>
        <v>0.1455517256</v>
      </c>
      <c r="EB268" s="577">
        <f t="shared" ref="EB268:ED268" si="396">iferror(EB58,0)</f>
        <v>0.1473807923</v>
      </c>
      <c r="EC268" s="577">
        <f t="shared" si="396"/>
        <v>0.1467767362</v>
      </c>
      <c r="ED268" s="577">
        <f t="shared" si="396"/>
        <v>0.1461088869</v>
      </c>
      <c r="EE268" s="578">
        <f>AVERAGE(DS268:DU268)</f>
        <v>0.258078957</v>
      </c>
      <c r="EF268" s="578">
        <f>AVERAGE(DV268:DX268)</f>
        <v>0.1868501176</v>
      </c>
      <c r="EG268" s="596">
        <f>AVERAGE(DY268:EA268)</f>
        <v>0.1450374299</v>
      </c>
      <c r="EH268" s="670">
        <f>AVERAGE(EB268:ED268)</f>
        <v>0.1467554718</v>
      </c>
      <c r="EI268" s="12"/>
      <c r="EJ268" s="574"/>
      <c r="EK268" s="574"/>
      <c r="EL268" s="574"/>
      <c r="EM268" s="574"/>
      <c r="EN268" s="574"/>
      <c r="EO268" s="574"/>
      <c r="EP268" s="574"/>
      <c r="EQ268" s="574"/>
      <c r="ER268" s="574"/>
      <c r="ES268" s="574"/>
      <c r="ET268" s="574"/>
      <c r="EU268" s="574"/>
    </row>
    <row r="269">
      <c r="A269" s="12"/>
      <c r="B269" s="572" t="s">
        <v>318</v>
      </c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  <c r="BJ269" s="12"/>
      <c r="BK269" s="12"/>
      <c r="BL269" s="12"/>
      <c r="BM269" s="12"/>
      <c r="BN269" s="12"/>
      <c r="BO269" s="12"/>
      <c r="BP269" s="12"/>
      <c r="BQ269" s="12"/>
      <c r="BR269" s="12"/>
      <c r="BS269" s="12"/>
      <c r="BT269" s="569">
        <f t="shared" ref="BT269:CE269" si="397">BT234*1000*BT268</f>
        <v>260122.7168</v>
      </c>
      <c r="BU269" s="569">
        <f t="shared" si="397"/>
        <v>260629.3286</v>
      </c>
      <c r="BV269" s="569">
        <f t="shared" si="397"/>
        <v>300429.1072</v>
      </c>
      <c r="BW269" s="569">
        <f t="shared" si="397"/>
        <v>294445.6124</v>
      </c>
      <c r="BX269" s="569">
        <f t="shared" si="397"/>
        <v>281332.6864</v>
      </c>
      <c r="BY269" s="569">
        <f t="shared" si="397"/>
        <v>420226.436</v>
      </c>
      <c r="BZ269" s="569">
        <f t="shared" si="397"/>
        <v>507185.9768</v>
      </c>
      <c r="CA269" s="569">
        <f t="shared" si="397"/>
        <v>540736.8016</v>
      </c>
      <c r="CB269" s="569">
        <f t="shared" si="397"/>
        <v>405119.703</v>
      </c>
      <c r="CC269" s="569">
        <f t="shared" si="397"/>
        <v>518218.6034</v>
      </c>
      <c r="CD269" s="569">
        <f t="shared" si="397"/>
        <v>794763.2738</v>
      </c>
      <c r="CE269" s="569">
        <f t="shared" si="397"/>
        <v>881830.3295</v>
      </c>
      <c r="CF269" s="672">
        <f>SUM(BT269:BV269)</f>
        <v>821181.1527</v>
      </c>
      <c r="CG269" s="672">
        <f>SUM(BW269:BY269)</f>
        <v>996004.7347</v>
      </c>
      <c r="CH269" s="672">
        <f>SUM(BZ269:CB269)</f>
        <v>1453042.481</v>
      </c>
      <c r="CI269" s="672">
        <f>SUM(CC269:CE269)</f>
        <v>2194812.207</v>
      </c>
      <c r="CJ269" s="672">
        <f>SUM(CF269:CI269)</f>
        <v>5465040.576</v>
      </c>
      <c r="CK269" s="569">
        <f t="shared" ref="CK269:CV269" si="398">(CK234+CK235)*1000*CK268</f>
        <v>554740.4507</v>
      </c>
      <c r="CL269" s="569">
        <f t="shared" si="398"/>
        <v>485813.8913</v>
      </c>
      <c r="CM269" s="569">
        <f t="shared" si="398"/>
        <v>344881.6211</v>
      </c>
      <c r="CN269" s="569">
        <f t="shared" si="398"/>
        <v>516519.9124</v>
      </c>
      <c r="CO269" s="569">
        <f t="shared" si="398"/>
        <v>384761.1835</v>
      </c>
      <c r="CP269" s="569">
        <f t="shared" si="398"/>
        <v>407251.242</v>
      </c>
      <c r="CQ269" s="569">
        <f t="shared" si="398"/>
        <v>376667.3069</v>
      </c>
      <c r="CR269" s="569">
        <f t="shared" si="398"/>
        <v>305463.2386</v>
      </c>
      <c r="CS269" s="569">
        <f t="shared" si="398"/>
        <v>307970.2531</v>
      </c>
      <c r="CT269" s="569">
        <f t="shared" si="398"/>
        <v>517137.4263</v>
      </c>
      <c r="CU269" s="569">
        <f t="shared" si="398"/>
        <v>491007.0658</v>
      </c>
      <c r="CV269" s="569">
        <f t="shared" si="398"/>
        <v>502674.9057</v>
      </c>
      <c r="CW269" s="672">
        <f>SUM(CK269:CM269)</f>
        <v>1385435.963</v>
      </c>
      <c r="CX269" s="672">
        <f>SUM(CN269:CP269)</f>
        <v>1308532.338</v>
      </c>
      <c r="CY269" s="672">
        <f>SUM(CQ269:CS269)</f>
        <v>990100.7986</v>
      </c>
      <c r="CZ269" s="672">
        <f>SUM(CT269:CV269)</f>
        <v>1510819.398</v>
      </c>
      <c r="DA269" s="672">
        <f>SUM(CW269:CZ269)</f>
        <v>5194888.497</v>
      </c>
      <c r="DB269" s="569">
        <f t="shared" ref="DB269:DM269" si="399">DB246*1000*DB268</f>
        <v>401024.1758</v>
      </c>
      <c r="DC269" s="569">
        <f t="shared" si="399"/>
        <v>646461.2405</v>
      </c>
      <c r="DD269" s="569">
        <f t="shared" si="399"/>
        <v>811551.0352</v>
      </c>
      <c r="DE269" s="569">
        <f t="shared" si="399"/>
        <v>868731.455</v>
      </c>
      <c r="DF269" s="569">
        <f t="shared" si="399"/>
        <v>958050.5196</v>
      </c>
      <c r="DG269" s="569">
        <f t="shared" si="399"/>
        <v>848503.1516</v>
      </c>
      <c r="DH269" s="569">
        <f t="shared" si="399"/>
        <v>270170.3659</v>
      </c>
      <c r="DI269" s="569">
        <f t="shared" si="399"/>
        <v>963094.9896</v>
      </c>
      <c r="DJ269" s="569">
        <f t="shared" si="399"/>
        <v>657640.271</v>
      </c>
      <c r="DK269" s="569">
        <f t="shared" si="399"/>
        <v>0</v>
      </c>
      <c r="DL269" s="569">
        <f t="shared" si="399"/>
        <v>0</v>
      </c>
      <c r="DM269" s="569">
        <f t="shared" si="399"/>
        <v>0</v>
      </c>
      <c r="DN269" s="672">
        <f>SUM(DB269:DD269)</f>
        <v>1859036.452</v>
      </c>
      <c r="DO269" s="672">
        <f>SUM(DE269:DG269)</f>
        <v>2675285.126</v>
      </c>
      <c r="DP269" s="672">
        <f>SUM(DH269:DJ269)</f>
        <v>1890905.627</v>
      </c>
      <c r="DQ269" s="672">
        <f>SUM(DK269:DM269)</f>
        <v>0</v>
      </c>
      <c r="DR269" s="672">
        <f>SUM(DN269:DQ269)</f>
        <v>6425227.204</v>
      </c>
      <c r="DS269" s="569">
        <f t="shared" ref="DS269:ED269" si="400">DS246*1000*DS268</f>
        <v>0</v>
      </c>
      <c r="DT269" s="569">
        <f t="shared" si="400"/>
        <v>0</v>
      </c>
      <c r="DU269" s="569">
        <f t="shared" si="400"/>
        <v>0</v>
      </c>
      <c r="DV269" s="569">
        <f t="shared" si="400"/>
        <v>0</v>
      </c>
      <c r="DW269" s="569">
        <f t="shared" si="400"/>
        <v>0</v>
      </c>
      <c r="DX269" s="569">
        <f t="shared" si="400"/>
        <v>0</v>
      </c>
      <c r="DY269" s="571">
        <f t="shared" si="400"/>
        <v>0</v>
      </c>
      <c r="DZ269" s="571">
        <f t="shared" si="400"/>
        <v>0</v>
      </c>
      <c r="EA269" s="571">
        <f t="shared" si="400"/>
        <v>0</v>
      </c>
      <c r="EB269" s="569">
        <f t="shared" si="400"/>
        <v>0</v>
      </c>
      <c r="EC269" s="569">
        <f t="shared" si="400"/>
        <v>0</v>
      </c>
      <c r="ED269" s="569">
        <f t="shared" si="400"/>
        <v>0</v>
      </c>
      <c r="EE269" s="672">
        <f>SUM(DS269:DU269)</f>
        <v>0</v>
      </c>
      <c r="EF269" s="672">
        <f>SUM(DV269:DX269)</f>
        <v>0</v>
      </c>
      <c r="EG269" s="673">
        <f>SUM(DY269:EA269)</f>
        <v>0</v>
      </c>
      <c r="EH269" s="672">
        <f>SUM(EB269:ED269)</f>
        <v>0</v>
      </c>
      <c r="EI269" s="673">
        <f>SUM(EE269:EH269)</f>
        <v>0</v>
      </c>
      <c r="EJ269" s="574"/>
      <c r="EK269" s="574"/>
      <c r="EL269" s="574"/>
      <c r="EM269" s="574"/>
      <c r="EN269" s="574"/>
      <c r="EO269" s="574"/>
      <c r="EP269" s="574"/>
      <c r="EQ269" s="574"/>
      <c r="ER269" s="574"/>
      <c r="ES269" s="574"/>
      <c r="ET269" s="574"/>
      <c r="EU269" s="574"/>
    </row>
    <row r="270">
      <c r="A270" s="12"/>
      <c r="B270" s="552" t="s">
        <v>319</v>
      </c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2"/>
      <c r="BL270" s="12"/>
      <c r="BM270" s="12"/>
      <c r="BN270" s="12"/>
      <c r="BO270" s="12"/>
      <c r="BP270" s="12"/>
      <c r="BQ270" s="12"/>
      <c r="BR270" s="12"/>
      <c r="BS270" s="12"/>
      <c r="BT270" s="569">
        <v>0.460447126896337</v>
      </c>
      <c r="BU270" s="569">
        <v>0.460447126896337</v>
      </c>
      <c r="BV270" s="569">
        <v>0.460447126896337</v>
      </c>
      <c r="BW270" s="569">
        <v>0.460447126896337</v>
      </c>
      <c r="BX270" s="569">
        <v>0.460447126896337</v>
      </c>
      <c r="BY270" s="569">
        <v>0.460447126896337</v>
      </c>
      <c r="BZ270" s="569">
        <v>0.460447126896337</v>
      </c>
      <c r="CA270" s="569">
        <v>0.460447126896337</v>
      </c>
      <c r="CB270" s="569">
        <v>0.460447126896337</v>
      </c>
      <c r="CC270" s="569">
        <v>0.460447126896337</v>
      </c>
      <c r="CD270" s="569">
        <v>0.460447126896337</v>
      </c>
      <c r="CE270" s="569">
        <v>0.460447126896337</v>
      </c>
      <c r="CF270" s="569">
        <v>0.460447126896337</v>
      </c>
      <c r="CG270" s="569">
        <v>0.460447126896337</v>
      </c>
      <c r="CH270" s="569">
        <v>0.460447126896337</v>
      </c>
      <c r="CI270" s="569">
        <v>0.460447126896337</v>
      </c>
      <c r="CJ270" s="569">
        <v>0.460447126896337</v>
      </c>
      <c r="CK270" s="569">
        <v>0.460447126896337</v>
      </c>
      <c r="CL270" s="569">
        <v>0.460447126896337</v>
      </c>
      <c r="CM270" s="569">
        <v>0.460447126896337</v>
      </c>
      <c r="CN270" s="569">
        <v>0.460447126896337</v>
      </c>
      <c r="CO270" s="569">
        <v>0.460447126896337</v>
      </c>
      <c r="CP270" s="569">
        <v>0.460447126896337</v>
      </c>
      <c r="CQ270" s="569">
        <v>0.460447126896337</v>
      </c>
      <c r="CR270" s="569">
        <v>0.460447126896337</v>
      </c>
      <c r="CS270" s="569">
        <v>0.460447126896337</v>
      </c>
      <c r="CT270" s="569">
        <v>0.460447126896337</v>
      </c>
      <c r="CU270" s="569">
        <v>0.460447126896337</v>
      </c>
      <c r="CV270" s="569">
        <v>0.460447126896337</v>
      </c>
      <c r="CW270" s="569">
        <v>0.460447126896337</v>
      </c>
      <c r="CX270" s="569">
        <v>0.460447126896337</v>
      </c>
      <c r="CY270" s="569">
        <v>0.460447126896337</v>
      </c>
      <c r="CZ270" s="569">
        <v>0.460447126896337</v>
      </c>
      <c r="DA270" s="569">
        <v>0.460447126896337</v>
      </c>
      <c r="DB270" s="569">
        <v>0.460447126896337</v>
      </c>
      <c r="DC270" s="569">
        <v>0.460447126896337</v>
      </c>
      <c r="DD270" s="569">
        <v>0.460447126896337</v>
      </c>
      <c r="DE270" s="569">
        <v>0.460447126896337</v>
      </c>
      <c r="DF270" s="569">
        <v>0.460447126896337</v>
      </c>
      <c r="DG270" s="569">
        <v>0.460447126896337</v>
      </c>
      <c r="DH270" s="569">
        <v>0.460447126896337</v>
      </c>
      <c r="DI270" s="569">
        <v>0.460447126896337</v>
      </c>
      <c r="DJ270" s="569">
        <v>0.460447126896337</v>
      </c>
      <c r="DK270" s="569">
        <v>0.460447126896337</v>
      </c>
      <c r="DL270" s="569">
        <v>0.460447126896337</v>
      </c>
      <c r="DM270" s="569">
        <v>0.460447126896337</v>
      </c>
      <c r="DN270" s="569">
        <v>0.460447126896337</v>
      </c>
      <c r="DO270" s="569">
        <v>0.460447126896337</v>
      </c>
      <c r="DP270" s="569">
        <v>0.460447126896337</v>
      </c>
      <c r="DQ270" s="569">
        <v>0.460447126896337</v>
      </c>
      <c r="DR270" s="569">
        <v>0.460447126896337</v>
      </c>
      <c r="DS270" s="569">
        <v>0.460447126896337</v>
      </c>
      <c r="DT270" s="569">
        <v>0.460447126896337</v>
      </c>
      <c r="DU270" s="569">
        <v>0.460447126896337</v>
      </c>
      <c r="DV270" s="569">
        <v>0.460447126896337</v>
      </c>
      <c r="DW270" s="569">
        <v>0.460447126896337</v>
      </c>
      <c r="DX270" s="569">
        <v>0.460447126896337</v>
      </c>
      <c r="DY270" s="569">
        <v>0.460447126896337</v>
      </c>
      <c r="DZ270" s="569">
        <v>0.460447126896337</v>
      </c>
      <c r="EA270" s="569">
        <v>0.460447126896337</v>
      </c>
      <c r="EB270" s="569">
        <v>0.460447126896337</v>
      </c>
      <c r="EC270" s="569">
        <v>0.460447126896337</v>
      </c>
      <c r="ED270" s="569">
        <v>0.460447126896337</v>
      </c>
      <c r="EE270" s="569">
        <v>0.460447126896337</v>
      </c>
      <c r="EF270" s="569">
        <v>0.460447126896337</v>
      </c>
      <c r="EG270" s="569">
        <v>0.460447126896337</v>
      </c>
      <c r="EH270" s="569">
        <v>0.460447126896337</v>
      </c>
      <c r="EI270" s="569">
        <v>0.460447126896337</v>
      </c>
      <c r="EJ270" s="574"/>
      <c r="EK270" s="574"/>
      <c r="EL270" s="574"/>
      <c r="EM270" s="574"/>
      <c r="EN270" s="574"/>
      <c r="EO270" s="574"/>
      <c r="EP270" s="574"/>
      <c r="EQ270" s="574"/>
      <c r="ER270" s="574"/>
      <c r="ES270" s="574"/>
      <c r="ET270" s="574"/>
      <c r="EU270" s="574"/>
    </row>
    <row r="271">
      <c r="A271" s="493"/>
      <c r="B271" s="614" t="s">
        <v>320</v>
      </c>
      <c r="C271" s="493"/>
      <c r="D271" s="493"/>
      <c r="E271" s="493"/>
      <c r="F271" s="493"/>
      <c r="G271" s="493"/>
      <c r="H271" s="493"/>
      <c r="I271" s="493"/>
      <c r="J271" s="493"/>
      <c r="K271" s="493"/>
      <c r="L271" s="493"/>
      <c r="M271" s="493"/>
      <c r="N271" s="493"/>
      <c r="O271" s="493"/>
      <c r="P271" s="493"/>
      <c r="Q271" s="493"/>
      <c r="R271" s="493"/>
      <c r="S271" s="493"/>
      <c r="T271" s="493"/>
      <c r="U271" s="493"/>
      <c r="V271" s="493"/>
      <c r="W271" s="493"/>
      <c r="X271" s="493"/>
      <c r="Y271" s="493"/>
      <c r="Z271" s="493"/>
      <c r="AA271" s="493"/>
      <c r="AB271" s="493"/>
      <c r="AC271" s="493"/>
      <c r="AD271" s="493"/>
      <c r="AE271" s="493"/>
      <c r="AF271" s="493"/>
      <c r="AG271" s="493"/>
      <c r="AH271" s="493"/>
      <c r="AI271" s="493"/>
      <c r="AJ271" s="493"/>
      <c r="AK271" s="493"/>
      <c r="AL271" s="493"/>
      <c r="AM271" s="493"/>
      <c r="AN271" s="493"/>
      <c r="AO271" s="493"/>
      <c r="AP271" s="493"/>
      <c r="AQ271" s="493"/>
      <c r="AR271" s="493"/>
      <c r="AS271" s="493"/>
      <c r="AT271" s="493"/>
      <c r="AU271" s="493"/>
      <c r="AV271" s="493"/>
      <c r="AW271" s="493"/>
      <c r="AX271" s="493"/>
      <c r="AY271" s="493"/>
      <c r="AZ271" s="493"/>
      <c r="BA271" s="493"/>
      <c r="BB271" s="493"/>
      <c r="BC271" s="493"/>
      <c r="BD271" s="493"/>
      <c r="BE271" s="493"/>
      <c r="BF271" s="493"/>
      <c r="BG271" s="493"/>
      <c r="BH271" s="493"/>
      <c r="BI271" s="493"/>
      <c r="BJ271" s="493"/>
      <c r="BK271" s="493"/>
      <c r="BL271" s="493"/>
      <c r="BM271" s="493"/>
      <c r="BN271" s="493"/>
      <c r="BO271" s="493"/>
      <c r="BP271" s="493"/>
      <c r="BQ271" s="493"/>
      <c r="BR271" s="493"/>
      <c r="BS271" s="493"/>
      <c r="BT271" s="584">
        <f t="shared" ref="BT271:CE271" si="401">BT269-(BT270*BT269)</f>
        <v>140349.9592</v>
      </c>
      <c r="BU271" s="584">
        <f t="shared" si="401"/>
        <v>140623.3031</v>
      </c>
      <c r="BV271" s="584">
        <f t="shared" si="401"/>
        <v>162097.388</v>
      </c>
      <c r="BW271" s="584">
        <f t="shared" si="401"/>
        <v>158868.9761</v>
      </c>
      <c r="BX271" s="584">
        <f t="shared" si="401"/>
        <v>151793.8592</v>
      </c>
      <c r="BY271" s="584">
        <f t="shared" si="401"/>
        <v>226734.3809</v>
      </c>
      <c r="BZ271" s="584">
        <f t="shared" si="401"/>
        <v>273653.651</v>
      </c>
      <c r="CA271" s="584">
        <f t="shared" si="401"/>
        <v>291756.0949</v>
      </c>
      <c r="CB271" s="584">
        <f t="shared" si="401"/>
        <v>218583.4997</v>
      </c>
      <c r="CC271" s="584">
        <f t="shared" si="401"/>
        <v>279606.3363</v>
      </c>
      <c r="CD271" s="584">
        <f t="shared" si="401"/>
        <v>428816.8078</v>
      </c>
      <c r="CE271" s="584">
        <f t="shared" si="401"/>
        <v>475794.0879</v>
      </c>
      <c r="CF271" s="657">
        <f>SUM(BT271:BV271)</f>
        <v>443070.6503</v>
      </c>
      <c r="CG271" s="657">
        <f>SUM(BW271:BY271)</f>
        <v>537397.2163</v>
      </c>
      <c r="CH271" s="657">
        <f>SUM(BZ271:CB271)</f>
        <v>783993.2456</v>
      </c>
      <c r="CI271" s="657">
        <f>SUM(CC271:CE271)</f>
        <v>1184217.232</v>
      </c>
      <c r="CJ271" s="657">
        <f>SUM(CF271:CI271)</f>
        <v>2948678.344</v>
      </c>
      <c r="CK271" s="584">
        <f t="shared" ref="CK271:CV271" si="402">CK269-(CK270*CK269)</f>
        <v>299311.804</v>
      </c>
      <c r="CL271" s="584">
        <f t="shared" si="402"/>
        <v>262122.2809</v>
      </c>
      <c r="CM271" s="584">
        <f t="shared" si="402"/>
        <v>186081.8695</v>
      </c>
      <c r="CN271" s="584">
        <f t="shared" si="402"/>
        <v>278689.8027</v>
      </c>
      <c r="CO271" s="584">
        <f t="shared" si="402"/>
        <v>207599.002</v>
      </c>
      <c r="CP271" s="584">
        <f t="shared" si="402"/>
        <v>219733.5777</v>
      </c>
      <c r="CQ271" s="584">
        <f t="shared" si="402"/>
        <v>203231.9276</v>
      </c>
      <c r="CR271" s="584">
        <f t="shared" si="402"/>
        <v>164813.568</v>
      </c>
      <c r="CS271" s="584">
        <f t="shared" si="402"/>
        <v>166166.2349</v>
      </c>
      <c r="CT271" s="584">
        <f t="shared" si="402"/>
        <v>279022.9842</v>
      </c>
      <c r="CU271" s="584">
        <f t="shared" si="402"/>
        <v>264924.2731</v>
      </c>
      <c r="CV271" s="584">
        <f t="shared" si="402"/>
        <v>271219.6896</v>
      </c>
      <c r="CW271" s="657">
        <f>SUM(CK271:CM271)</f>
        <v>747515.9544</v>
      </c>
      <c r="CX271" s="657">
        <f>SUM(CN271:CP271)</f>
        <v>706022.3825</v>
      </c>
      <c r="CY271" s="657">
        <f>SUM(CQ271:CS271)</f>
        <v>534211.7305</v>
      </c>
      <c r="CZ271" s="657">
        <f>SUM(CT271:CV271)</f>
        <v>815166.9469</v>
      </c>
      <c r="DA271" s="657">
        <f>SUM(CW271:CZ271)</f>
        <v>2802917.014</v>
      </c>
      <c r="DB271" s="584">
        <f t="shared" ref="DB271:DM271" si="403">DB269-(DB270*DB269)</f>
        <v>216373.7462</v>
      </c>
      <c r="DC271" s="584">
        <f t="shared" si="403"/>
        <v>348800.0197</v>
      </c>
      <c r="DD271" s="584">
        <f t="shared" si="403"/>
        <v>437874.6927</v>
      </c>
      <c r="DE271" s="584">
        <f t="shared" si="403"/>
        <v>468726.5525</v>
      </c>
      <c r="DF271" s="584">
        <f t="shared" si="403"/>
        <v>516918.9104</v>
      </c>
      <c r="DG271" s="584">
        <f t="shared" si="403"/>
        <v>457812.3133</v>
      </c>
      <c r="DH271" s="584">
        <f t="shared" si="403"/>
        <v>145771.1972</v>
      </c>
      <c r="DI271" s="584">
        <f t="shared" si="403"/>
        <v>519640.6687</v>
      </c>
      <c r="DJ271" s="584">
        <f t="shared" si="403"/>
        <v>354831.6977</v>
      </c>
      <c r="DK271" s="584">
        <f t="shared" si="403"/>
        <v>0</v>
      </c>
      <c r="DL271" s="584">
        <f t="shared" si="403"/>
        <v>0</v>
      </c>
      <c r="DM271" s="584">
        <f t="shared" si="403"/>
        <v>0</v>
      </c>
      <c r="DN271" s="657">
        <f>SUM(DB271:DD271)</f>
        <v>1003048.459</v>
      </c>
      <c r="DO271" s="657">
        <f>SUM(DE271:DG271)</f>
        <v>1443457.776</v>
      </c>
      <c r="DP271" s="657">
        <f>SUM(DH271:DJ271)</f>
        <v>1020243.564</v>
      </c>
      <c r="DQ271" s="657">
        <f>SUM(DK271:DM271)</f>
        <v>0</v>
      </c>
      <c r="DR271" s="657">
        <f>SUM(DN271:DQ271)</f>
        <v>3466749.798</v>
      </c>
      <c r="DS271" s="584">
        <f t="shared" ref="DS271:ED271" si="404">DS269-(DS270*DS269)</f>
        <v>0</v>
      </c>
      <c r="DT271" s="584">
        <f t="shared" si="404"/>
        <v>0</v>
      </c>
      <c r="DU271" s="584">
        <f t="shared" si="404"/>
        <v>0</v>
      </c>
      <c r="DV271" s="584">
        <f t="shared" si="404"/>
        <v>0</v>
      </c>
      <c r="DW271" s="584">
        <f t="shared" si="404"/>
        <v>0</v>
      </c>
      <c r="DX271" s="584">
        <f t="shared" si="404"/>
        <v>0</v>
      </c>
      <c r="DY271" s="615">
        <f t="shared" si="404"/>
        <v>0</v>
      </c>
      <c r="DZ271" s="615">
        <f t="shared" si="404"/>
        <v>0</v>
      </c>
      <c r="EA271" s="615">
        <f t="shared" si="404"/>
        <v>0</v>
      </c>
      <c r="EB271" s="584">
        <f t="shared" si="404"/>
        <v>0</v>
      </c>
      <c r="EC271" s="584">
        <f t="shared" si="404"/>
        <v>0</v>
      </c>
      <c r="ED271" s="584">
        <f t="shared" si="404"/>
        <v>0</v>
      </c>
      <c r="EE271" s="657">
        <f>SUM(DS271:DU271)</f>
        <v>0</v>
      </c>
      <c r="EF271" s="657">
        <f>SUM(DV271:DX271)</f>
        <v>0</v>
      </c>
      <c r="EG271" s="674">
        <f>SUM(DY271:EA271)</f>
        <v>0</v>
      </c>
      <c r="EH271" s="657">
        <f>SUM(EB271:ED271)</f>
        <v>0</v>
      </c>
      <c r="EI271" s="674">
        <f>SUM(EE271:EH271)</f>
        <v>0</v>
      </c>
      <c r="EJ271" s="583"/>
      <c r="EK271" s="583"/>
      <c r="EL271" s="583"/>
      <c r="EM271" s="583"/>
      <c r="EN271" s="583"/>
      <c r="EO271" s="583"/>
      <c r="EP271" s="583"/>
      <c r="EQ271" s="583"/>
      <c r="ER271" s="583"/>
      <c r="ES271" s="583"/>
      <c r="ET271" s="583"/>
      <c r="EU271" s="583"/>
    </row>
    <row r="272">
      <c r="A272" s="12"/>
      <c r="B272" s="552" t="s">
        <v>325</v>
      </c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  <c r="BJ272" s="12"/>
      <c r="BK272" s="12"/>
      <c r="BL272" s="12"/>
      <c r="BM272" s="12"/>
      <c r="BN272" s="12"/>
      <c r="BO272" s="12"/>
      <c r="BP272" s="12"/>
      <c r="BQ272" s="12"/>
      <c r="BR272" s="12"/>
      <c r="BS272" s="12"/>
      <c r="BT272" s="12"/>
      <c r="BU272" s="12"/>
      <c r="BV272" s="12"/>
      <c r="BW272" s="12"/>
      <c r="BX272" s="12"/>
      <c r="BY272" s="12"/>
      <c r="BZ272" s="12"/>
      <c r="CA272" s="12"/>
      <c r="CB272" s="12"/>
      <c r="CC272" s="12"/>
      <c r="CD272" s="12"/>
      <c r="CE272" s="12"/>
      <c r="CF272" s="578">
        <v>90.6819026551903</v>
      </c>
      <c r="CG272" s="578">
        <v>76.4382324366283</v>
      </c>
      <c r="CH272" s="578">
        <v>82.1800075553747</v>
      </c>
      <c r="CI272" s="578">
        <v>86.0598929993587</v>
      </c>
      <c r="CJ272" s="574"/>
      <c r="CK272" s="12"/>
      <c r="CL272" s="12"/>
      <c r="CM272" s="12"/>
      <c r="CN272" s="12"/>
      <c r="CO272" s="12"/>
      <c r="CP272" s="12"/>
      <c r="CQ272" s="12"/>
      <c r="CR272" s="12"/>
      <c r="CS272" s="12"/>
      <c r="CT272" s="12"/>
      <c r="CU272" s="12"/>
      <c r="CV272" s="12"/>
      <c r="CW272" s="578">
        <v>105.970848089775</v>
      </c>
      <c r="CX272" s="578">
        <v>115.386607079042</v>
      </c>
      <c r="CY272" s="578">
        <v>133.404286794079</v>
      </c>
      <c r="CZ272" s="578">
        <v>152.491791594801</v>
      </c>
      <c r="DA272" s="12"/>
      <c r="DB272" s="12"/>
      <c r="DC272" s="12"/>
      <c r="DD272" s="12"/>
      <c r="DE272" s="12"/>
      <c r="DF272" s="12"/>
      <c r="DG272" s="12"/>
      <c r="DH272" s="12"/>
      <c r="DI272" s="12"/>
      <c r="DJ272" s="12"/>
      <c r="DK272" s="12"/>
      <c r="DL272" s="12"/>
      <c r="DM272" s="12"/>
      <c r="DN272" s="578">
        <v>165.275914738911</v>
      </c>
      <c r="DO272" s="578">
        <v>211.116551902651</v>
      </c>
      <c r="DP272" s="578">
        <v>217.274309102743</v>
      </c>
      <c r="DQ272" s="574"/>
      <c r="DR272" s="574"/>
      <c r="DS272" s="12"/>
      <c r="DT272" s="12"/>
      <c r="DU272" s="12"/>
      <c r="DV272" s="12"/>
      <c r="DW272" s="12"/>
      <c r="DX272" s="12"/>
      <c r="DY272" s="12"/>
      <c r="DZ272" s="12"/>
      <c r="EA272" s="12"/>
      <c r="EB272" s="12"/>
      <c r="EC272" s="12"/>
      <c r="ED272" s="12"/>
      <c r="EE272" s="578">
        <v>165.275914738911</v>
      </c>
      <c r="EF272" s="578">
        <v>211.116551902651</v>
      </c>
      <c r="EG272" s="578">
        <v>217.274309102743</v>
      </c>
      <c r="EH272" s="574"/>
      <c r="EI272" s="574"/>
      <c r="EJ272" s="574"/>
      <c r="EK272" s="574"/>
      <c r="EL272" s="574"/>
      <c r="EM272" s="574"/>
      <c r="EN272" s="574"/>
      <c r="EO272" s="574"/>
      <c r="EP272" s="574"/>
      <c r="EQ272" s="574"/>
      <c r="ER272" s="574"/>
      <c r="ES272" s="574"/>
      <c r="ET272" s="574"/>
      <c r="EU272" s="574"/>
    </row>
    <row r="273">
      <c r="A273" s="611"/>
      <c r="B273" s="675" t="s">
        <v>326</v>
      </c>
      <c r="C273" s="611"/>
      <c r="D273" s="611"/>
      <c r="E273" s="611"/>
      <c r="F273" s="611"/>
      <c r="G273" s="611"/>
      <c r="H273" s="611"/>
      <c r="I273" s="611"/>
      <c r="J273" s="611"/>
      <c r="K273" s="611"/>
      <c r="L273" s="611"/>
      <c r="M273" s="611"/>
      <c r="N273" s="611"/>
      <c r="O273" s="611"/>
      <c r="P273" s="611"/>
      <c r="Q273" s="611"/>
      <c r="R273" s="611"/>
      <c r="S273" s="611"/>
      <c r="T273" s="611"/>
      <c r="U273" s="611"/>
      <c r="V273" s="611"/>
      <c r="W273" s="611"/>
      <c r="X273" s="611"/>
      <c r="Y273" s="611"/>
      <c r="Z273" s="611"/>
      <c r="AA273" s="611"/>
      <c r="AB273" s="611"/>
      <c r="AC273" s="611"/>
      <c r="AD273" s="611"/>
      <c r="AE273" s="611"/>
      <c r="AF273" s="611"/>
      <c r="AG273" s="611"/>
      <c r="AH273" s="611"/>
      <c r="AI273" s="611"/>
      <c r="AJ273" s="611"/>
      <c r="AK273" s="611"/>
      <c r="AL273" s="611"/>
      <c r="AM273" s="611"/>
      <c r="AN273" s="611"/>
      <c r="AO273" s="611"/>
      <c r="AP273" s="611"/>
      <c r="AQ273" s="611"/>
      <c r="AR273" s="611"/>
      <c r="AS273" s="611"/>
      <c r="AT273" s="611"/>
      <c r="AU273" s="611"/>
      <c r="AV273" s="611"/>
      <c r="AW273" s="611"/>
      <c r="AX273" s="611"/>
      <c r="AY273" s="611"/>
      <c r="AZ273" s="611"/>
      <c r="BA273" s="611"/>
      <c r="BB273" s="611"/>
      <c r="BC273" s="611"/>
      <c r="BD273" s="611"/>
      <c r="BE273" s="611"/>
      <c r="BF273" s="611"/>
      <c r="BG273" s="611"/>
      <c r="BH273" s="611"/>
      <c r="BI273" s="611"/>
      <c r="BJ273" s="611"/>
      <c r="BK273" s="611"/>
      <c r="BL273" s="611"/>
      <c r="BM273" s="611"/>
      <c r="BN273" s="611"/>
      <c r="BO273" s="611"/>
      <c r="BP273" s="611"/>
      <c r="BQ273" s="611"/>
      <c r="BR273" s="611"/>
      <c r="BS273" s="611"/>
      <c r="BT273" s="676"/>
      <c r="BU273" s="676"/>
      <c r="BV273" s="676"/>
      <c r="BW273" s="676"/>
      <c r="BX273" s="676"/>
      <c r="BY273" s="676"/>
      <c r="BZ273" s="676"/>
      <c r="CA273" s="676"/>
      <c r="CB273" s="676"/>
      <c r="CC273" s="676"/>
      <c r="CD273" s="676"/>
      <c r="CE273" s="676"/>
      <c r="CF273" s="672">
        <f t="shared" ref="CF273:CI273" si="405">CF269/CF272*100</f>
        <v>905562.3323</v>
      </c>
      <c r="CG273" s="672">
        <f t="shared" si="405"/>
        <v>1303019.056</v>
      </c>
      <c r="CH273" s="672">
        <f t="shared" si="405"/>
        <v>1768121.621</v>
      </c>
      <c r="CI273" s="672">
        <f t="shared" si="405"/>
        <v>2550331.089</v>
      </c>
      <c r="CJ273" s="672">
        <f t="shared" ref="CJ273:CJ274" si="410">SUM(CF273:CI273)</f>
        <v>6527034.098</v>
      </c>
      <c r="CK273" s="676"/>
      <c r="CL273" s="676"/>
      <c r="CM273" s="676"/>
      <c r="CN273" s="676"/>
      <c r="CO273" s="676"/>
      <c r="CP273" s="676"/>
      <c r="CQ273" s="676"/>
      <c r="CR273" s="676"/>
      <c r="CS273" s="676"/>
      <c r="CT273" s="676"/>
      <c r="CU273" s="676"/>
      <c r="CV273" s="676"/>
      <c r="CW273" s="672">
        <f t="shared" ref="CW273:CZ273" si="406">CW269/CW272*100</f>
        <v>1307374.611</v>
      </c>
      <c r="CX273" s="672">
        <f t="shared" si="406"/>
        <v>1134041.784</v>
      </c>
      <c r="CY273" s="672">
        <f t="shared" si="406"/>
        <v>742180.6468</v>
      </c>
      <c r="CZ273" s="672">
        <f t="shared" si="406"/>
        <v>990754.5725</v>
      </c>
      <c r="DA273" s="672">
        <f t="shared" ref="DA273:DA274" si="412">SUM(CW273:CZ273)</f>
        <v>4174351.615</v>
      </c>
      <c r="DB273" s="676"/>
      <c r="DC273" s="676"/>
      <c r="DD273" s="676"/>
      <c r="DE273" s="676"/>
      <c r="DF273" s="676"/>
      <c r="DG273" s="676"/>
      <c r="DH273" s="676"/>
      <c r="DI273" s="676"/>
      <c r="DJ273" s="676"/>
      <c r="DK273" s="676"/>
      <c r="DL273" s="676"/>
      <c r="DM273" s="676"/>
      <c r="DN273" s="672">
        <f t="shared" ref="DN273:DQ273" si="407">DN269/DN272*100</f>
        <v>1124807.843</v>
      </c>
      <c r="DO273" s="672">
        <f t="shared" si="407"/>
        <v>1267207.664</v>
      </c>
      <c r="DP273" s="672">
        <f t="shared" si="407"/>
        <v>870284.9565</v>
      </c>
      <c r="DQ273" s="673" t="str">
        <f t="shared" si="407"/>
        <v>#DIV/0!</v>
      </c>
      <c r="DR273" s="673" t="str">
        <f t="shared" ref="DR273:DR274" si="414">SUM(DN273:DQ273)</f>
        <v>#DIV/0!</v>
      </c>
      <c r="DS273" s="676"/>
      <c r="DT273" s="676"/>
      <c r="DU273" s="676"/>
      <c r="DV273" s="676"/>
      <c r="DW273" s="676"/>
      <c r="DX273" s="676"/>
      <c r="DY273" s="676"/>
      <c r="DZ273" s="676"/>
      <c r="EA273" s="676"/>
      <c r="EB273" s="676"/>
      <c r="EC273" s="676"/>
      <c r="ED273" s="676"/>
      <c r="EE273" s="672">
        <f t="shared" ref="EE273:EH273" si="408">EE269/EE272*100</f>
        <v>0</v>
      </c>
      <c r="EF273" s="672">
        <f t="shared" si="408"/>
        <v>0</v>
      </c>
      <c r="EG273" s="673">
        <f t="shared" si="408"/>
        <v>0</v>
      </c>
      <c r="EH273" s="673" t="str">
        <f t="shared" si="408"/>
        <v>#DIV/0!</v>
      </c>
      <c r="EI273" s="673" t="str">
        <f t="shared" ref="EI273:EI274" si="416">SUM(EE273:EH273)</f>
        <v>#DIV/0!</v>
      </c>
      <c r="EJ273" s="676"/>
      <c r="EK273" s="676"/>
      <c r="EL273" s="676"/>
      <c r="EM273" s="676"/>
      <c r="EN273" s="676"/>
      <c r="EO273" s="676"/>
      <c r="EP273" s="676"/>
      <c r="EQ273" s="676"/>
      <c r="ER273" s="676"/>
      <c r="ES273" s="676"/>
      <c r="ET273" s="676"/>
      <c r="EU273" s="676"/>
    </row>
    <row r="274">
      <c r="A274" s="493"/>
      <c r="B274" s="614" t="s">
        <v>327</v>
      </c>
      <c r="C274" s="493"/>
      <c r="D274" s="493"/>
      <c r="E274" s="493"/>
      <c r="F274" s="493"/>
      <c r="G274" s="493"/>
      <c r="H274" s="493"/>
      <c r="I274" s="493"/>
      <c r="J274" s="493"/>
      <c r="K274" s="493"/>
      <c r="L274" s="493"/>
      <c r="M274" s="493"/>
      <c r="N274" s="493"/>
      <c r="O274" s="493"/>
      <c r="P274" s="493"/>
      <c r="Q274" s="493"/>
      <c r="R274" s="493"/>
      <c r="S274" s="493"/>
      <c r="T274" s="493"/>
      <c r="U274" s="493"/>
      <c r="V274" s="493"/>
      <c r="W274" s="493"/>
      <c r="X274" s="493"/>
      <c r="Y274" s="493"/>
      <c r="Z274" s="493"/>
      <c r="AA274" s="493"/>
      <c r="AB274" s="493"/>
      <c r="AC274" s="493"/>
      <c r="AD274" s="493"/>
      <c r="AE274" s="493"/>
      <c r="AF274" s="493"/>
      <c r="AG274" s="493"/>
      <c r="AH274" s="493"/>
      <c r="AI274" s="493"/>
      <c r="AJ274" s="493"/>
      <c r="AK274" s="493"/>
      <c r="AL274" s="493"/>
      <c r="AM274" s="493"/>
      <c r="AN274" s="493"/>
      <c r="AO274" s="493"/>
      <c r="AP274" s="493"/>
      <c r="AQ274" s="493"/>
      <c r="AR274" s="493"/>
      <c r="AS274" s="493"/>
      <c r="AT274" s="493"/>
      <c r="AU274" s="493"/>
      <c r="AV274" s="493"/>
      <c r="AW274" s="493"/>
      <c r="AX274" s="493"/>
      <c r="AY274" s="493"/>
      <c r="AZ274" s="493"/>
      <c r="BA274" s="493"/>
      <c r="BB274" s="493"/>
      <c r="BC274" s="493"/>
      <c r="BD274" s="493"/>
      <c r="BE274" s="493"/>
      <c r="BF274" s="493"/>
      <c r="BG274" s="493"/>
      <c r="BH274" s="493"/>
      <c r="BI274" s="493"/>
      <c r="BJ274" s="493"/>
      <c r="BK274" s="493"/>
      <c r="BL274" s="493"/>
      <c r="BM274" s="493"/>
      <c r="BN274" s="493"/>
      <c r="BO274" s="493"/>
      <c r="BP274" s="493"/>
      <c r="BQ274" s="493"/>
      <c r="BR274" s="493"/>
      <c r="BS274" s="493"/>
      <c r="BT274" s="583"/>
      <c r="BU274" s="583"/>
      <c r="BV274" s="583"/>
      <c r="BW274" s="583"/>
      <c r="BX274" s="583"/>
      <c r="BY274" s="583"/>
      <c r="BZ274" s="583"/>
      <c r="CA274" s="583"/>
      <c r="CB274" s="583"/>
      <c r="CC274" s="583"/>
      <c r="CD274" s="583"/>
      <c r="CE274" s="583"/>
      <c r="CF274" s="657">
        <f t="shared" ref="CF274:CI274" si="409">CF273-(CF270*CF273)</f>
        <v>488598.7582</v>
      </c>
      <c r="CG274" s="657">
        <f t="shared" si="409"/>
        <v>703047.6754</v>
      </c>
      <c r="CH274" s="657">
        <f t="shared" si="409"/>
        <v>953995.1004</v>
      </c>
      <c r="CI274" s="657">
        <f t="shared" si="409"/>
        <v>1376038.467</v>
      </c>
      <c r="CJ274" s="657">
        <f t="shared" si="410"/>
        <v>3521680.001</v>
      </c>
      <c r="CK274" s="583"/>
      <c r="CL274" s="583"/>
      <c r="CM274" s="583"/>
      <c r="CN274" s="583"/>
      <c r="CO274" s="583"/>
      <c r="CP274" s="583"/>
      <c r="CQ274" s="583"/>
      <c r="CR274" s="583"/>
      <c r="CS274" s="583"/>
      <c r="CT274" s="583"/>
      <c r="CU274" s="583"/>
      <c r="CV274" s="583"/>
      <c r="CW274" s="657">
        <f t="shared" ref="CW274:CZ274" si="411">CW273-(CW270*CW273)</f>
        <v>705397.7277</v>
      </c>
      <c r="CX274" s="657">
        <f t="shared" si="411"/>
        <v>611875.503</v>
      </c>
      <c r="CY274" s="657">
        <f t="shared" si="411"/>
        <v>400445.7003</v>
      </c>
      <c r="CZ274" s="657">
        <f t="shared" si="411"/>
        <v>534564.4761</v>
      </c>
      <c r="DA274" s="657">
        <f t="shared" si="412"/>
        <v>2252283.407</v>
      </c>
      <c r="DB274" s="583"/>
      <c r="DC274" s="583"/>
      <c r="DD274" s="583"/>
      <c r="DE274" s="583"/>
      <c r="DF274" s="583"/>
      <c r="DG274" s="583"/>
      <c r="DH274" s="583"/>
      <c r="DI274" s="583"/>
      <c r="DJ274" s="583"/>
      <c r="DK274" s="583"/>
      <c r="DL274" s="583"/>
      <c r="DM274" s="583"/>
      <c r="DN274" s="657">
        <f t="shared" ref="DN274:DQ274" si="413">DN273-(DN270*DN273)</f>
        <v>606893.3034</v>
      </c>
      <c r="DO274" s="657">
        <f t="shared" si="413"/>
        <v>683725.5361</v>
      </c>
      <c r="DP274" s="657">
        <f t="shared" si="413"/>
        <v>469564.7487</v>
      </c>
      <c r="DQ274" s="674" t="str">
        <f t="shared" si="413"/>
        <v>#DIV/0!</v>
      </c>
      <c r="DR274" s="674" t="str">
        <f t="shared" si="414"/>
        <v>#DIV/0!</v>
      </c>
      <c r="DS274" s="583"/>
      <c r="DT274" s="583"/>
      <c r="DU274" s="583"/>
      <c r="DV274" s="583"/>
      <c r="DW274" s="583"/>
      <c r="DX274" s="583"/>
      <c r="DY274" s="583"/>
      <c r="DZ274" s="583"/>
      <c r="EA274" s="583"/>
      <c r="EB274" s="583"/>
      <c r="EC274" s="583"/>
      <c r="ED274" s="583"/>
      <c r="EE274" s="657">
        <f t="shared" ref="EE274:EH274" si="415">EE273-(EE270*EE273)</f>
        <v>0</v>
      </c>
      <c r="EF274" s="657">
        <f t="shared" si="415"/>
        <v>0</v>
      </c>
      <c r="EG274" s="674">
        <f t="shared" si="415"/>
        <v>0</v>
      </c>
      <c r="EH274" s="674" t="str">
        <f t="shared" si="415"/>
        <v>#DIV/0!</v>
      </c>
      <c r="EI274" s="674" t="str">
        <f t="shared" si="416"/>
        <v>#DIV/0!</v>
      </c>
      <c r="EJ274" s="583"/>
      <c r="EK274" s="583"/>
      <c r="EL274" s="583"/>
      <c r="EM274" s="583"/>
      <c r="EN274" s="583"/>
      <c r="EO274" s="583"/>
      <c r="EP274" s="583"/>
      <c r="EQ274" s="583"/>
      <c r="ER274" s="583"/>
      <c r="ES274" s="583"/>
      <c r="ET274" s="583"/>
      <c r="EU274" s="583"/>
    </row>
    <row r="275">
      <c r="A275" s="12"/>
      <c r="B275" s="55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  <c r="BJ275" s="12"/>
      <c r="BK275" s="12"/>
      <c r="BL275" s="12"/>
      <c r="BM275" s="12"/>
      <c r="BN275" s="12"/>
      <c r="BO275" s="12"/>
      <c r="BP275" s="12"/>
      <c r="BQ275" s="12"/>
      <c r="BR275" s="12"/>
      <c r="BS275" s="12"/>
      <c r="BT275" s="12"/>
      <c r="BU275" s="12"/>
      <c r="BV275" s="12"/>
      <c r="BW275" s="12"/>
      <c r="BX275" s="12"/>
      <c r="BY275" s="12"/>
      <c r="BZ275" s="12"/>
      <c r="CA275" s="12"/>
      <c r="CB275" s="12"/>
      <c r="CC275" s="12"/>
      <c r="CD275" s="12"/>
      <c r="CE275" s="12"/>
      <c r="CF275" s="12"/>
      <c r="CG275" s="574"/>
      <c r="CH275" s="574"/>
      <c r="CI275" s="574"/>
      <c r="CJ275" s="12"/>
      <c r="CK275" s="12"/>
      <c r="CL275" s="12"/>
      <c r="CM275" s="12"/>
      <c r="CN275" s="12"/>
      <c r="CO275" s="12"/>
      <c r="CP275" s="12"/>
      <c r="CQ275" s="12"/>
      <c r="CR275" s="12"/>
      <c r="CS275" s="12"/>
      <c r="CT275" s="12"/>
      <c r="CU275" s="12"/>
      <c r="CV275" s="12"/>
      <c r="CW275" s="574"/>
      <c r="CX275" s="574"/>
      <c r="CY275" s="574"/>
      <c r="CZ275" s="574"/>
      <c r="DA275" s="12"/>
      <c r="DB275" s="12"/>
      <c r="DC275" s="12"/>
      <c r="DD275" s="12"/>
      <c r="DE275" s="12"/>
      <c r="DF275" s="12"/>
      <c r="DG275" s="12"/>
      <c r="DH275" s="12"/>
      <c r="DI275" s="12"/>
      <c r="DJ275" s="12"/>
      <c r="DK275" s="12"/>
      <c r="DL275" s="12"/>
      <c r="DM275" s="12"/>
      <c r="DN275" s="574"/>
      <c r="DO275" s="574"/>
      <c r="DP275" s="574"/>
      <c r="DQ275" s="574"/>
      <c r="DR275" s="574"/>
      <c r="DS275" s="12"/>
      <c r="DT275" s="12"/>
      <c r="DU275" s="12"/>
      <c r="DV275" s="12"/>
      <c r="DW275" s="12"/>
      <c r="DX275" s="12"/>
      <c r="DY275" s="12"/>
      <c r="DZ275" s="12"/>
      <c r="EA275" s="12"/>
      <c r="EB275" s="12"/>
      <c r="EC275" s="12"/>
      <c r="ED275" s="12"/>
      <c r="EE275" s="574"/>
      <c r="EF275" s="574"/>
      <c r="EG275" s="574"/>
      <c r="EH275" s="574"/>
      <c r="EI275" s="574"/>
      <c r="EJ275" s="574"/>
      <c r="EK275" s="574"/>
      <c r="EL275" s="574"/>
      <c r="EM275" s="574"/>
      <c r="EN275" s="574"/>
      <c r="EO275" s="574"/>
      <c r="EP275" s="574"/>
      <c r="EQ275" s="574"/>
      <c r="ER275" s="574"/>
      <c r="ES275" s="574"/>
      <c r="ET275" s="574"/>
      <c r="EU275" s="574"/>
    </row>
    <row r="276">
      <c r="A276" s="12"/>
      <c r="B276" s="552" t="s">
        <v>321</v>
      </c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  <c r="BM276" s="12"/>
      <c r="BN276" s="12"/>
      <c r="BO276" s="12"/>
      <c r="BP276" s="12"/>
      <c r="BQ276" s="12"/>
      <c r="BR276" s="12"/>
      <c r="BS276" s="12"/>
      <c r="BT276" s="12"/>
      <c r="BU276" s="12"/>
      <c r="BV276" s="12"/>
      <c r="BW276" s="12"/>
      <c r="BX276" s="12"/>
      <c r="BY276" s="12"/>
      <c r="BZ276" s="12"/>
      <c r="CA276" s="12"/>
      <c r="CB276" s="12"/>
      <c r="CC276" s="12"/>
      <c r="CD276" s="12"/>
      <c r="CE276" s="12"/>
      <c r="CF276" s="12"/>
      <c r="CG276" s="578">
        <f t="shared" ref="CG276:CI276" si="417">CG274/CF274*100-100</f>
        <v>43.89059809</v>
      </c>
      <c r="CH276" s="578">
        <f t="shared" si="417"/>
        <v>35.69422584</v>
      </c>
      <c r="CI276" s="578">
        <f t="shared" si="417"/>
        <v>44.23957377</v>
      </c>
      <c r="CJ276" s="12"/>
      <c r="CK276" s="12"/>
      <c r="CL276" s="12"/>
      <c r="CM276" s="12"/>
      <c r="CN276" s="12"/>
      <c r="CO276" s="12"/>
      <c r="CP276" s="12"/>
      <c r="CQ276" s="12"/>
      <c r="CR276" s="12"/>
      <c r="CS276" s="12"/>
      <c r="CT276" s="12"/>
      <c r="CU276" s="12"/>
      <c r="CV276" s="12"/>
      <c r="CW276" s="578">
        <f>CW274/CI274*100-100</f>
        <v>-48.73706333</v>
      </c>
      <c r="CX276" s="578">
        <f t="shared" ref="CX276:CZ276" si="418">CX274/CW274*100-100</f>
        <v>-13.2580842</v>
      </c>
      <c r="CY276" s="578">
        <f t="shared" si="418"/>
        <v>-34.55438265</v>
      </c>
      <c r="CZ276" s="578">
        <f t="shared" si="418"/>
        <v>33.49237504</v>
      </c>
      <c r="DA276" s="12"/>
      <c r="DB276" s="12"/>
      <c r="DC276" s="12"/>
      <c r="DD276" s="12"/>
      <c r="DE276" s="12"/>
      <c r="DF276" s="12"/>
      <c r="DG276" s="12"/>
      <c r="DH276" s="12"/>
      <c r="DI276" s="12"/>
      <c r="DJ276" s="12"/>
      <c r="DK276" s="12"/>
      <c r="DL276" s="12"/>
      <c r="DM276" s="12"/>
      <c r="DN276" s="578">
        <f>DN274/CZ274*100-100</f>
        <v>13.53042158</v>
      </c>
      <c r="DO276" s="578">
        <f t="shared" ref="DO276:DQ276" si="419">DO274/DN274*100-100</f>
        <v>12.65992428</v>
      </c>
      <c r="DP276" s="578">
        <f t="shared" si="419"/>
        <v>-31.32262524</v>
      </c>
      <c r="DQ276" s="596" t="str">
        <f t="shared" si="419"/>
        <v>#DIV/0!</v>
      </c>
      <c r="DR276" s="12"/>
      <c r="DS276" s="12"/>
      <c r="DT276" s="12"/>
      <c r="DU276" s="12"/>
      <c r="DV276" s="12"/>
      <c r="DW276" s="12"/>
      <c r="DX276" s="12"/>
      <c r="DY276" s="12"/>
      <c r="DZ276" s="12"/>
      <c r="EA276" s="12"/>
      <c r="EB276" s="12"/>
      <c r="EC276" s="12"/>
      <c r="ED276" s="12"/>
      <c r="EE276" s="596" t="str">
        <f>EE274/DQ274*100-100</f>
        <v>#DIV/0!</v>
      </c>
      <c r="EF276" s="596" t="str">
        <f t="shared" ref="EF276:EH276" si="420">EF274/EE274*100-100</f>
        <v>#DIV/0!</v>
      </c>
      <c r="EG276" s="596" t="str">
        <f t="shared" si="420"/>
        <v>#DIV/0!</v>
      </c>
      <c r="EH276" s="596" t="str">
        <f t="shared" si="420"/>
        <v>#DIV/0!</v>
      </c>
      <c r="EI276" s="12"/>
      <c r="EJ276" s="574"/>
      <c r="EK276" s="574"/>
      <c r="EL276" s="574"/>
      <c r="EM276" s="574"/>
      <c r="EN276" s="574"/>
      <c r="EO276" s="574"/>
      <c r="EP276" s="574"/>
      <c r="EQ276" s="574"/>
      <c r="ER276" s="574"/>
      <c r="ES276" s="574"/>
      <c r="ET276" s="574"/>
      <c r="EU276" s="574"/>
    </row>
    <row r="277">
      <c r="A277" s="12"/>
      <c r="B277" s="552" t="s">
        <v>322</v>
      </c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  <c r="BM277" s="12"/>
      <c r="BN277" s="12"/>
      <c r="BO277" s="12"/>
      <c r="BP277" s="12"/>
      <c r="BQ277" s="12"/>
      <c r="BR277" s="12"/>
      <c r="BS277" s="12"/>
      <c r="BT277" s="12"/>
      <c r="BU277" s="12"/>
      <c r="BV277" s="12"/>
      <c r="BW277" s="12"/>
      <c r="BX277" s="12"/>
      <c r="BY277" s="12"/>
      <c r="BZ277" s="12"/>
      <c r="CA277" s="12"/>
      <c r="CB277" s="12"/>
      <c r="CC277" s="12"/>
      <c r="CD277" s="12"/>
      <c r="CE277" s="12"/>
      <c r="CF277" s="12"/>
      <c r="CG277" s="12"/>
      <c r="CH277" s="12"/>
      <c r="CI277" s="12"/>
      <c r="CJ277" s="12"/>
      <c r="CK277" s="12"/>
      <c r="CL277" s="12"/>
      <c r="CM277" s="12"/>
      <c r="CN277" s="12"/>
      <c r="CO277" s="12"/>
      <c r="CP277" s="12"/>
      <c r="CQ277" s="12"/>
      <c r="CR277" s="12"/>
      <c r="CS277" s="12"/>
      <c r="CT277" s="12"/>
      <c r="CU277" s="12"/>
      <c r="CV277" s="12"/>
      <c r="CW277" s="578">
        <f t="shared" ref="CW277:DA277" si="421">CW274/CF274*100-100</f>
        <v>44.37157604</v>
      </c>
      <c r="CX277" s="578">
        <f t="shared" si="421"/>
        <v>-12.9681351</v>
      </c>
      <c r="CY277" s="578">
        <f t="shared" si="421"/>
        <v>-58.02434413</v>
      </c>
      <c r="CZ277" s="578">
        <f t="shared" si="421"/>
        <v>-61.15192351</v>
      </c>
      <c r="DA277" s="578">
        <f t="shared" si="421"/>
        <v>-36.04519983</v>
      </c>
      <c r="DB277" s="12"/>
      <c r="DC277" s="12"/>
      <c r="DD277" s="12"/>
      <c r="DE277" s="12"/>
      <c r="DF277" s="12"/>
      <c r="DG277" s="12"/>
      <c r="DH277" s="12"/>
      <c r="DI277" s="12"/>
      <c r="DJ277" s="12"/>
      <c r="DK277" s="12"/>
      <c r="DL277" s="12"/>
      <c r="DM277" s="12"/>
      <c r="DN277" s="578">
        <f t="shared" ref="DN277:DR277" si="422">DN274/CW274*100-100</f>
        <v>-13.96438072</v>
      </c>
      <c r="DO277" s="578">
        <f t="shared" si="422"/>
        <v>11.74259023</v>
      </c>
      <c r="DP277" s="578">
        <f t="shared" si="422"/>
        <v>17.26052954</v>
      </c>
      <c r="DQ277" s="596" t="str">
        <f t="shared" si="422"/>
        <v>#DIV/0!</v>
      </c>
      <c r="DR277" s="596" t="str">
        <f t="shared" si="422"/>
        <v>#DIV/0!</v>
      </c>
      <c r="DS277" s="12"/>
      <c r="DT277" s="12"/>
      <c r="DU277" s="12"/>
      <c r="DV277" s="12"/>
      <c r="DW277" s="12"/>
      <c r="DX277" s="12"/>
      <c r="DY277" s="12"/>
      <c r="DZ277" s="12"/>
      <c r="EA277" s="12"/>
      <c r="EB277" s="12"/>
      <c r="EC277" s="12"/>
      <c r="ED277" s="12"/>
      <c r="EE277" s="578">
        <f t="shared" ref="EE277:EI277" si="423">EE274/DN274*100-100</f>
        <v>-100</v>
      </c>
      <c r="EF277" s="578">
        <f t="shared" si="423"/>
        <v>-100</v>
      </c>
      <c r="EG277" s="596">
        <f t="shared" si="423"/>
        <v>-100</v>
      </c>
      <c r="EH277" s="596" t="str">
        <f t="shared" si="423"/>
        <v>#DIV/0!</v>
      </c>
      <c r="EI277" s="596" t="str">
        <f t="shared" si="423"/>
        <v>#DIV/0!</v>
      </c>
      <c r="EJ277" s="574"/>
      <c r="EK277" s="574"/>
      <c r="EL277" s="574"/>
      <c r="EM277" s="574"/>
      <c r="EN277" s="574"/>
      <c r="EO277" s="574"/>
      <c r="EP277" s="574"/>
      <c r="EQ277" s="574"/>
      <c r="ER277" s="574"/>
      <c r="ES277" s="574"/>
      <c r="ET277" s="574"/>
      <c r="EU277" s="574"/>
    </row>
    <row r="278">
      <c r="A278" s="12"/>
      <c r="B278" s="552" t="s">
        <v>323</v>
      </c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2"/>
      <c r="BL278" s="12"/>
      <c r="BM278" s="12"/>
      <c r="BN278" s="12"/>
      <c r="BO278" s="12"/>
      <c r="BP278" s="12"/>
      <c r="BQ278" s="12"/>
      <c r="BR278" s="12"/>
      <c r="BS278" s="12"/>
      <c r="BT278" s="12"/>
      <c r="BU278" s="12"/>
      <c r="BV278" s="12"/>
      <c r="BW278" s="12"/>
      <c r="BX278" s="12"/>
      <c r="BY278" s="12"/>
      <c r="BZ278" s="12"/>
      <c r="CA278" s="12"/>
      <c r="CB278" s="12"/>
      <c r="CC278" s="12"/>
      <c r="CD278" s="12"/>
      <c r="CE278" s="12"/>
      <c r="CF278" s="12"/>
      <c r="CG278" s="12"/>
      <c r="CH278" s="12"/>
      <c r="CI278" s="12"/>
      <c r="CJ278" s="12"/>
      <c r="CK278" s="12"/>
      <c r="CL278" s="12"/>
      <c r="CM278" s="12"/>
      <c r="CN278" s="12"/>
      <c r="CO278" s="12"/>
      <c r="CP278" s="12"/>
      <c r="CQ278" s="12"/>
      <c r="CR278" s="12"/>
      <c r="CS278" s="12"/>
      <c r="CT278" s="12"/>
      <c r="CU278" s="12"/>
      <c r="CV278" s="12"/>
      <c r="CW278" s="12"/>
      <c r="CX278" s="12"/>
      <c r="CY278" s="12"/>
      <c r="CZ278" s="12"/>
      <c r="DA278" s="12"/>
      <c r="DB278" s="12"/>
      <c r="DC278" s="12"/>
      <c r="DD278" s="12"/>
      <c r="DE278" s="12"/>
      <c r="DF278" s="12"/>
      <c r="DG278" s="12"/>
      <c r="DH278" s="12"/>
      <c r="DI278" s="12"/>
      <c r="DJ278" s="12"/>
      <c r="DK278" s="12"/>
      <c r="DL278" s="12"/>
      <c r="DM278" s="12"/>
      <c r="DN278" s="12"/>
      <c r="DO278" s="12"/>
      <c r="DP278" s="670">
        <f>(DP274+DO274+DN274)/(CY274+CX274+CW274)*100-100</f>
        <v>2.472153993</v>
      </c>
      <c r="DQ278" s="12"/>
      <c r="DR278" s="12"/>
      <c r="DS278" s="12"/>
      <c r="DT278" s="12"/>
      <c r="DU278" s="12"/>
      <c r="DV278" s="12"/>
      <c r="DW278" s="12"/>
      <c r="DX278" s="12"/>
      <c r="DY278" s="12"/>
      <c r="DZ278" s="12"/>
      <c r="EA278" s="12"/>
      <c r="EB278" s="12"/>
      <c r="EC278" s="12"/>
      <c r="ED278" s="12"/>
      <c r="EE278" s="12"/>
      <c r="EF278" s="12"/>
      <c r="EG278" s="671">
        <f>(EG274+EF274+EE274)/(DP274+DO274+DN274)*100-100</f>
        <v>-100</v>
      </c>
      <c r="EH278" s="12"/>
      <c r="EI278" s="12"/>
      <c r="EJ278" s="574"/>
      <c r="EK278" s="574"/>
      <c r="EL278" s="574"/>
      <c r="EM278" s="574"/>
      <c r="EN278" s="574"/>
      <c r="EO278" s="574"/>
      <c r="EP278" s="574"/>
      <c r="EQ278" s="574"/>
      <c r="ER278" s="574"/>
      <c r="ES278" s="574"/>
      <c r="ET278" s="574"/>
      <c r="EU278" s="574"/>
    </row>
    <row r="279">
      <c r="A279" s="12"/>
      <c r="B279" s="55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  <c r="BJ279" s="12"/>
      <c r="BK279" s="12"/>
      <c r="BL279" s="12"/>
      <c r="BM279" s="12"/>
      <c r="BN279" s="12"/>
      <c r="BO279" s="12"/>
      <c r="BP279" s="12"/>
      <c r="BQ279" s="12"/>
      <c r="BR279" s="12"/>
      <c r="BS279" s="12"/>
      <c r="BT279" s="12"/>
      <c r="BU279" s="12"/>
      <c r="BV279" s="12"/>
      <c r="BW279" s="12"/>
      <c r="BX279" s="12"/>
      <c r="BY279" s="12"/>
      <c r="BZ279" s="12"/>
      <c r="CA279" s="12"/>
      <c r="CB279" s="12"/>
      <c r="CC279" s="12"/>
      <c r="CD279" s="12"/>
      <c r="CE279" s="12"/>
      <c r="CF279" s="12"/>
      <c r="CG279" s="12"/>
      <c r="CH279" s="12"/>
      <c r="CI279" s="12"/>
      <c r="CJ279" s="12"/>
      <c r="CK279" s="12"/>
      <c r="CL279" s="12"/>
      <c r="CM279" s="12"/>
      <c r="CN279" s="12"/>
      <c r="CO279" s="12"/>
      <c r="CP279" s="12"/>
      <c r="CQ279" s="12"/>
      <c r="CR279" s="12"/>
      <c r="CS279" s="12"/>
      <c r="CT279" s="12"/>
      <c r="CU279" s="12"/>
      <c r="CV279" s="12"/>
      <c r="CW279" s="12"/>
      <c r="CX279" s="12"/>
      <c r="CY279" s="12"/>
      <c r="CZ279" s="12"/>
      <c r="DA279" s="12"/>
      <c r="DB279" s="12"/>
      <c r="DC279" s="12"/>
      <c r="DD279" s="12"/>
      <c r="DE279" s="12"/>
      <c r="DF279" s="12"/>
      <c r="DG279" s="12"/>
      <c r="DH279" s="12"/>
      <c r="DI279" s="12"/>
      <c r="DJ279" s="12"/>
      <c r="DK279" s="12"/>
      <c r="DL279" s="12"/>
      <c r="DM279" s="12"/>
      <c r="DN279" s="12"/>
      <c r="DO279" s="12"/>
      <c r="DP279" s="12"/>
      <c r="DQ279" s="12"/>
      <c r="DR279" s="12"/>
      <c r="DS279" s="12"/>
      <c r="DT279" s="12"/>
      <c r="DU279" s="12"/>
      <c r="DV279" s="12"/>
      <c r="DW279" s="12"/>
      <c r="DX279" s="12"/>
      <c r="DY279" s="12"/>
      <c r="DZ279" s="12"/>
      <c r="EA279" s="12"/>
      <c r="EB279" s="12"/>
      <c r="EC279" s="12"/>
      <c r="ED279" s="12"/>
      <c r="EE279" s="12"/>
      <c r="EF279" s="12"/>
      <c r="EG279" s="12"/>
      <c r="EH279" s="12"/>
      <c r="EI279" s="12"/>
      <c r="EJ279" s="574"/>
      <c r="EK279" s="574"/>
      <c r="EL279" s="574"/>
      <c r="EM279" s="574"/>
      <c r="EN279" s="574"/>
      <c r="EO279" s="574"/>
      <c r="EP279" s="574"/>
      <c r="EQ279" s="574"/>
      <c r="ER279" s="574"/>
      <c r="ES279" s="574"/>
      <c r="ET279" s="574"/>
      <c r="EU279" s="574"/>
    </row>
    <row r="280">
      <c r="A280" s="12"/>
      <c r="B280" s="55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  <c r="BJ280" s="12"/>
      <c r="BK280" s="12"/>
      <c r="BL280" s="12"/>
      <c r="BM280" s="12"/>
      <c r="BN280" s="12"/>
      <c r="BO280" s="12"/>
      <c r="BP280" s="12"/>
      <c r="BQ280" s="12"/>
      <c r="BR280" s="12"/>
      <c r="BS280" s="12"/>
      <c r="BT280" s="12"/>
      <c r="BU280" s="12"/>
      <c r="BV280" s="12"/>
      <c r="BW280" s="12"/>
      <c r="BX280" s="12"/>
      <c r="BY280" s="12"/>
      <c r="BZ280" s="12"/>
      <c r="CA280" s="12"/>
      <c r="CB280" s="12"/>
      <c r="CC280" s="12"/>
      <c r="CD280" s="12"/>
      <c r="CE280" s="12"/>
      <c r="CF280" s="12"/>
      <c r="CG280" s="12"/>
      <c r="CH280" s="12"/>
      <c r="CI280" s="12"/>
      <c r="CJ280" s="12"/>
      <c r="CK280" s="12"/>
      <c r="CL280" s="12"/>
      <c r="CM280" s="12"/>
      <c r="CN280" s="12"/>
      <c r="CO280" s="12"/>
      <c r="CP280" s="12"/>
      <c r="CQ280" s="12"/>
      <c r="CR280" s="12"/>
      <c r="CS280" s="12"/>
      <c r="CT280" s="12"/>
      <c r="CU280" s="12"/>
      <c r="CV280" s="12"/>
      <c r="CW280" s="12"/>
      <c r="CX280" s="12"/>
      <c r="CY280" s="12"/>
      <c r="CZ280" s="12"/>
      <c r="DA280" s="12"/>
      <c r="DB280" s="12"/>
      <c r="DC280" s="12"/>
      <c r="DD280" s="12"/>
      <c r="DE280" s="12"/>
      <c r="DF280" s="12"/>
      <c r="DG280" s="12"/>
      <c r="DH280" s="12"/>
      <c r="DI280" s="12"/>
      <c r="DJ280" s="12"/>
      <c r="DK280" s="12"/>
      <c r="DL280" s="12"/>
      <c r="DM280" s="12"/>
      <c r="DN280" s="12"/>
      <c r="DO280" s="12"/>
      <c r="DP280" s="12"/>
      <c r="DQ280" s="12"/>
      <c r="DR280" s="12"/>
      <c r="DS280" s="12"/>
      <c r="DT280" s="12"/>
      <c r="DU280" s="12"/>
      <c r="DV280" s="12"/>
      <c r="DW280" s="12"/>
      <c r="DX280" s="12"/>
      <c r="DY280" s="12"/>
      <c r="DZ280" s="12"/>
      <c r="EA280" s="12"/>
      <c r="EB280" s="12"/>
      <c r="EC280" s="12"/>
      <c r="ED280" s="12"/>
      <c r="EE280" s="12"/>
      <c r="EF280" s="12"/>
      <c r="EG280" s="12"/>
      <c r="EH280" s="12"/>
      <c r="EI280" s="12"/>
      <c r="EJ280" s="574"/>
      <c r="EK280" s="574"/>
      <c r="EL280" s="574"/>
      <c r="EM280" s="574"/>
      <c r="EN280" s="574"/>
      <c r="EO280" s="574"/>
      <c r="EP280" s="574"/>
      <c r="EQ280" s="574"/>
      <c r="ER280" s="574"/>
      <c r="ES280" s="574"/>
      <c r="ET280" s="574"/>
      <c r="EU280" s="574"/>
    </row>
    <row r="281">
      <c r="A281" s="12"/>
      <c r="B281" s="55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  <c r="BJ281" s="12"/>
      <c r="BK281" s="12"/>
      <c r="BL281" s="12"/>
      <c r="BM281" s="12"/>
      <c r="BN281" s="12"/>
      <c r="BO281" s="12"/>
      <c r="BP281" s="12"/>
      <c r="BQ281" s="12"/>
      <c r="BR281" s="12"/>
      <c r="BS281" s="12"/>
      <c r="BT281" s="12"/>
      <c r="BU281" s="12"/>
      <c r="BV281" s="12"/>
      <c r="BW281" s="12"/>
      <c r="BX281" s="12"/>
      <c r="BY281" s="12"/>
      <c r="BZ281" s="12"/>
      <c r="CA281" s="12"/>
      <c r="CB281" s="12"/>
      <c r="CC281" s="12"/>
      <c r="CD281" s="12"/>
      <c r="CE281" s="12"/>
      <c r="CF281" s="12"/>
      <c r="CG281" s="12"/>
      <c r="CH281" s="12"/>
      <c r="CI281" s="12"/>
      <c r="CJ281" s="12"/>
      <c r="CK281" s="12"/>
      <c r="CL281" s="12"/>
      <c r="CM281" s="12"/>
      <c r="CN281" s="12"/>
      <c r="CO281" s="12"/>
      <c r="CP281" s="12"/>
      <c r="CQ281" s="12"/>
      <c r="CR281" s="12"/>
      <c r="CS281" s="12"/>
      <c r="CT281" s="12"/>
      <c r="CU281" s="12"/>
      <c r="CV281" s="12"/>
      <c r="CW281" s="12"/>
      <c r="CX281" s="12"/>
      <c r="CY281" s="12"/>
      <c r="CZ281" s="12"/>
      <c r="DA281" s="12"/>
      <c r="DB281" s="12"/>
      <c r="DC281" s="12"/>
      <c r="DD281" s="12"/>
      <c r="DE281" s="12"/>
      <c r="DF281" s="12"/>
      <c r="DG281" s="12"/>
      <c r="DH281" s="12"/>
      <c r="DI281" s="12"/>
      <c r="DJ281" s="12"/>
      <c r="DK281" s="12"/>
      <c r="DL281" s="12"/>
      <c r="DM281" s="12"/>
      <c r="DN281" s="12"/>
      <c r="DO281" s="12"/>
      <c r="DP281" s="12"/>
      <c r="DQ281" s="12"/>
      <c r="DR281" s="12"/>
      <c r="DS281" s="12"/>
      <c r="DT281" s="12"/>
      <c r="DU281" s="12"/>
      <c r="DV281" s="12"/>
      <c r="DW281" s="12"/>
      <c r="DX281" s="12"/>
      <c r="DY281" s="12"/>
      <c r="DZ281" s="12"/>
      <c r="EA281" s="12"/>
      <c r="EB281" s="12"/>
      <c r="EC281" s="12"/>
      <c r="ED281" s="12"/>
      <c r="EE281" s="12"/>
      <c r="EF281" s="12"/>
      <c r="EG281" s="12"/>
      <c r="EH281" s="12"/>
      <c r="EI281" s="12"/>
      <c r="EJ281" s="574"/>
      <c r="EK281" s="574"/>
      <c r="EL281" s="574"/>
      <c r="EM281" s="574"/>
      <c r="EN281" s="574"/>
      <c r="EO281" s="574"/>
      <c r="EP281" s="574"/>
      <c r="EQ281" s="574"/>
      <c r="ER281" s="574"/>
      <c r="ES281" s="574"/>
      <c r="ET281" s="574"/>
      <c r="EU281" s="574"/>
    </row>
    <row r="282">
      <c r="A282" s="12"/>
      <c r="B282" s="55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  <c r="BJ282" s="12"/>
      <c r="BK282" s="12"/>
      <c r="BL282" s="12"/>
      <c r="BM282" s="12"/>
      <c r="BN282" s="12"/>
      <c r="BO282" s="12"/>
      <c r="BP282" s="12"/>
      <c r="BQ282" s="12"/>
      <c r="BR282" s="12"/>
      <c r="BS282" s="12"/>
      <c r="BT282" s="12"/>
      <c r="BU282" s="12"/>
      <c r="BV282" s="12"/>
      <c r="BW282" s="12"/>
      <c r="BX282" s="12"/>
      <c r="BY282" s="12"/>
      <c r="BZ282" s="12"/>
      <c r="CA282" s="12"/>
      <c r="CB282" s="12"/>
      <c r="CC282" s="12"/>
      <c r="CD282" s="12"/>
      <c r="CE282" s="12"/>
      <c r="CF282" s="12"/>
      <c r="CG282" s="12"/>
      <c r="CH282" s="12"/>
      <c r="CI282" s="12"/>
      <c r="CJ282" s="12"/>
      <c r="CK282" s="12"/>
      <c r="CL282" s="12"/>
      <c r="CM282" s="12"/>
      <c r="CN282" s="12"/>
      <c r="CO282" s="12"/>
      <c r="CP282" s="12"/>
      <c r="CQ282" s="12"/>
      <c r="CR282" s="12"/>
      <c r="CS282" s="12"/>
      <c r="CT282" s="12"/>
      <c r="CU282" s="12"/>
      <c r="CV282" s="12"/>
      <c r="CW282" s="12"/>
      <c r="CX282" s="12"/>
      <c r="CY282" s="12"/>
      <c r="CZ282" s="12"/>
      <c r="DA282" s="12"/>
      <c r="DB282" s="12"/>
      <c r="DC282" s="12"/>
      <c r="DD282" s="12"/>
      <c r="DE282" s="12"/>
      <c r="DF282" s="12"/>
      <c r="DG282" s="12"/>
      <c r="DH282" s="12"/>
      <c r="DI282" s="12"/>
      <c r="DJ282" s="12"/>
      <c r="DK282" s="12"/>
      <c r="DL282" s="12"/>
      <c r="DM282" s="12"/>
      <c r="DN282" s="12"/>
      <c r="DO282" s="12"/>
      <c r="DP282" s="12"/>
      <c r="DQ282" s="12"/>
      <c r="DR282" s="12"/>
      <c r="DS282" s="12"/>
      <c r="DT282" s="12"/>
      <c r="DU282" s="12"/>
      <c r="DV282" s="12"/>
      <c r="DW282" s="12"/>
      <c r="DX282" s="12"/>
      <c r="DY282" s="12"/>
      <c r="DZ282" s="12"/>
      <c r="EA282" s="12"/>
      <c r="EB282" s="12"/>
      <c r="EC282" s="12"/>
      <c r="ED282" s="12"/>
      <c r="EE282" s="12"/>
      <c r="EF282" s="12"/>
      <c r="EG282" s="12"/>
      <c r="EH282" s="12"/>
      <c r="EI282" s="12"/>
      <c r="EJ282" s="574"/>
      <c r="EK282" s="574"/>
      <c r="EL282" s="574"/>
      <c r="EM282" s="574"/>
      <c r="EN282" s="574"/>
      <c r="EO282" s="574"/>
      <c r="EP282" s="574"/>
      <c r="EQ282" s="574"/>
      <c r="ER282" s="574"/>
      <c r="ES282" s="574"/>
      <c r="ET282" s="574"/>
      <c r="EU282" s="574"/>
    </row>
    <row r="283">
      <c r="A283" s="12"/>
      <c r="B283" s="55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  <c r="BJ283" s="12"/>
      <c r="BK283" s="12"/>
      <c r="BL283" s="12"/>
      <c r="BM283" s="12"/>
      <c r="BN283" s="12"/>
      <c r="BO283" s="12"/>
      <c r="BP283" s="12"/>
      <c r="BQ283" s="12"/>
      <c r="BR283" s="12"/>
      <c r="BS283" s="12"/>
      <c r="BT283" s="12"/>
      <c r="BU283" s="12"/>
      <c r="BV283" s="12"/>
      <c r="BW283" s="12"/>
      <c r="BX283" s="12"/>
      <c r="BY283" s="12"/>
      <c r="BZ283" s="12"/>
      <c r="CA283" s="12"/>
      <c r="CB283" s="12"/>
      <c r="CC283" s="12"/>
      <c r="CD283" s="12"/>
      <c r="CE283" s="12"/>
      <c r="CF283" s="12"/>
      <c r="CG283" s="12"/>
      <c r="CH283" s="12"/>
      <c r="CI283" s="12"/>
      <c r="CJ283" s="12"/>
      <c r="CK283" s="12"/>
      <c r="CL283" s="12"/>
      <c r="CM283" s="12"/>
      <c r="CN283" s="12"/>
      <c r="CO283" s="12"/>
      <c r="CP283" s="12"/>
      <c r="CQ283" s="12"/>
      <c r="CR283" s="12"/>
      <c r="CS283" s="12"/>
      <c r="CT283" s="12"/>
      <c r="CU283" s="12"/>
      <c r="CV283" s="12"/>
      <c r="CW283" s="12"/>
      <c r="CX283" s="12"/>
      <c r="CY283" s="12"/>
      <c r="CZ283" s="12"/>
      <c r="DA283" s="12"/>
      <c r="DB283" s="12"/>
      <c r="DC283" s="12"/>
      <c r="DD283" s="12"/>
      <c r="DE283" s="12"/>
      <c r="DF283" s="12"/>
      <c r="DG283" s="12"/>
      <c r="DH283" s="12"/>
      <c r="DI283" s="12"/>
      <c r="DJ283" s="12"/>
      <c r="DK283" s="12"/>
      <c r="DL283" s="12"/>
      <c r="DM283" s="12"/>
      <c r="DN283" s="12"/>
      <c r="DO283" s="12"/>
      <c r="DP283" s="12"/>
      <c r="DQ283" s="12"/>
      <c r="DR283" s="12"/>
      <c r="DS283" s="12"/>
      <c r="DT283" s="12"/>
      <c r="DU283" s="12"/>
      <c r="DV283" s="12"/>
      <c r="DW283" s="12"/>
      <c r="DX283" s="12"/>
      <c r="DY283" s="12"/>
      <c r="DZ283" s="12"/>
      <c r="EA283" s="12"/>
      <c r="EB283" s="12"/>
      <c r="EC283" s="12"/>
      <c r="ED283" s="12"/>
      <c r="EE283" s="12"/>
      <c r="EF283" s="12"/>
      <c r="EG283" s="12"/>
      <c r="EH283" s="12"/>
      <c r="EI283" s="12"/>
      <c r="EJ283" s="574"/>
      <c r="EK283" s="574"/>
      <c r="EL283" s="574"/>
      <c r="EM283" s="574"/>
      <c r="EN283" s="574"/>
      <c r="EO283" s="574"/>
      <c r="EP283" s="574"/>
      <c r="EQ283" s="574"/>
      <c r="ER283" s="574"/>
      <c r="ES283" s="574"/>
      <c r="ET283" s="574"/>
      <c r="EU283" s="574"/>
    </row>
    <row r="284">
      <c r="A284" s="12"/>
      <c r="B284" s="55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  <c r="BJ284" s="12"/>
      <c r="BK284" s="12"/>
      <c r="BL284" s="12"/>
      <c r="BM284" s="12"/>
      <c r="BN284" s="12"/>
      <c r="BO284" s="12"/>
      <c r="BP284" s="12"/>
      <c r="BQ284" s="12"/>
      <c r="BR284" s="12"/>
      <c r="BS284" s="12"/>
      <c r="BT284" s="12"/>
      <c r="BU284" s="12"/>
      <c r="BV284" s="12"/>
      <c r="BW284" s="12"/>
      <c r="BX284" s="12"/>
      <c r="BY284" s="12"/>
      <c r="BZ284" s="12"/>
      <c r="CA284" s="12"/>
      <c r="CB284" s="12"/>
      <c r="CC284" s="12"/>
      <c r="CD284" s="12"/>
      <c r="CE284" s="12"/>
      <c r="CF284" s="12"/>
      <c r="CG284" s="12"/>
      <c r="CH284" s="12"/>
      <c r="CI284" s="12"/>
      <c r="CJ284" s="12"/>
      <c r="CK284" s="12"/>
      <c r="CL284" s="12"/>
      <c r="CM284" s="12"/>
      <c r="CN284" s="12"/>
      <c r="CO284" s="12"/>
      <c r="CP284" s="12"/>
      <c r="CQ284" s="12"/>
      <c r="CR284" s="12"/>
      <c r="CS284" s="12"/>
      <c r="CT284" s="12"/>
      <c r="CU284" s="12"/>
      <c r="CV284" s="12"/>
      <c r="CW284" s="12"/>
      <c r="CX284" s="12"/>
      <c r="CY284" s="12"/>
      <c r="CZ284" s="12"/>
      <c r="DA284" s="12"/>
      <c r="DB284" s="12"/>
      <c r="DC284" s="12"/>
      <c r="DD284" s="12"/>
      <c r="DE284" s="12"/>
      <c r="DF284" s="12"/>
      <c r="DG284" s="12"/>
      <c r="DH284" s="12"/>
      <c r="DI284" s="12"/>
      <c r="DJ284" s="12"/>
      <c r="DK284" s="12"/>
      <c r="DL284" s="12"/>
      <c r="DM284" s="12"/>
      <c r="DN284" s="12"/>
      <c r="DO284" s="12"/>
      <c r="DP284" s="12"/>
      <c r="DQ284" s="12"/>
      <c r="DR284" s="12"/>
      <c r="DS284" s="12"/>
      <c r="DT284" s="12"/>
      <c r="DU284" s="12"/>
      <c r="DV284" s="12"/>
      <c r="DW284" s="12"/>
      <c r="DX284" s="12"/>
      <c r="DY284" s="12"/>
      <c r="DZ284" s="12"/>
      <c r="EA284" s="12"/>
      <c r="EB284" s="12"/>
      <c r="EC284" s="12"/>
      <c r="ED284" s="12"/>
      <c r="EE284" s="12"/>
      <c r="EF284" s="12"/>
      <c r="EG284" s="12"/>
      <c r="EH284" s="12"/>
      <c r="EI284" s="12"/>
      <c r="EJ284" s="574"/>
      <c r="EK284" s="574"/>
      <c r="EL284" s="574"/>
      <c r="EM284" s="574"/>
      <c r="EN284" s="574"/>
      <c r="EO284" s="574"/>
      <c r="EP284" s="574"/>
      <c r="EQ284" s="574"/>
      <c r="ER284" s="574"/>
      <c r="ES284" s="574"/>
      <c r="ET284" s="574"/>
      <c r="EU284" s="574"/>
    </row>
    <row r="285">
      <c r="A285" s="12"/>
      <c r="B285" s="55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  <c r="BJ285" s="12"/>
      <c r="BK285" s="12"/>
      <c r="BL285" s="12"/>
      <c r="BM285" s="12"/>
      <c r="BN285" s="12"/>
      <c r="BO285" s="12"/>
      <c r="BP285" s="12"/>
      <c r="BQ285" s="12"/>
      <c r="BR285" s="12"/>
      <c r="BS285" s="12"/>
      <c r="BT285" s="12"/>
      <c r="BU285" s="12"/>
      <c r="BV285" s="12"/>
      <c r="BW285" s="12"/>
      <c r="BX285" s="12"/>
      <c r="BY285" s="12"/>
      <c r="BZ285" s="12"/>
      <c r="CA285" s="12"/>
      <c r="CB285" s="12"/>
      <c r="CC285" s="12"/>
      <c r="CD285" s="12"/>
      <c r="CE285" s="12"/>
      <c r="CF285" s="12"/>
      <c r="CG285" s="12"/>
      <c r="CH285" s="12"/>
      <c r="CI285" s="12"/>
      <c r="CJ285" s="12"/>
      <c r="CK285" s="12"/>
      <c r="CL285" s="12"/>
      <c r="CM285" s="12"/>
      <c r="CN285" s="12"/>
      <c r="CO285" s="12"/>
      <c r="CP285" s="12"/>
      <c r="CQ285" s="12"/>
      <c r="CR285" s="12"/>
      <c r="CS285" s="12"/>
      <c r="CT285" s="12"/>
      <c r="CU285" s="12"/>
      <c r="CV285" s="12"/>
      <c r="CW285" s="12"/>
      <c r="CX285" s="12"/>
      <c r="CY285" s="12"/>
      <c r="CZ285" s="12"/>
      <c r="DA285" s="12"/>
      <c r="DB285" s="12"/>
      <c r="DC285" s="12"/>
      <c r="DD285" s="12"/>
      <c r="DE285" s="12"/>
      <c r="DF285" s="12"/>
      <c r="DG285" s="12"/>
      <c r="DH285" s="12"/>
      <c r="DI285" s="12"/>
      <c r="DJ285" s="12"/>
      <c r="DK285" s="12"/>
      <c r="DL285" s="12"/>
      <c r="DM285" s="12"/>
      <c r="DN285" s="12"/>
      <c r="DO285" s="12"/>
      <c r="DP285" s="12"/>
      <c r="DQ285" s="12"/>
      <c r="DR285" s="12"/>
      <c r="DS285" s="12"/>
      <c r="DT285" s="12"/>
      <c r="DU285" s="12"/>
      <c r="DV285" s="12"/>
      <c r="DW285" s="12"/>
      <c r="DX285" s="12"/>
      <c r="DY285" s="12"/>
      <c r="DZ285" s="12"/>
      <c r="EA285" s="12"/>
      <c r="EB285" s="12"/>
      <c r="EC285" s="12"/>
      <c r="ED285" s="12"/>
      <c r="EE285" s="12"/>
      <c r="EF285" s="12"/>
      <c r="EG285" s="12"/>
      <c r="EH285" s="12"/>
      <c r="EI285" s="12"/>
      <c r="EJ285" s="574"/>
      <c r="EK285" s="574"/>
      <c r="EL285" s="574"/>
      <c r="EM285" s="574"/>
      <c r="EN285" s="574"/>
      <c r="EO285" s="574"/>
      <c r="EP285" s="574"/>
      <c r="EQ285" s="574"/>
      <c r="ER285" s="574"/>
      <c r="ES285" s="574"/>
      <c r="ET285" s="574"/>
      <c r="EU285" s="574"/>
    </row>
    <row r="286">
      <c r="A286" s="12"/>
      <c r="B286" s="55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  <c r="BJ286" s="12"/>
      <c r="BK286" s="12"/>
      <c r="BL286" s="12"/>
      <c r="BM286" s="12"/>
      <c r="BN286" s="12"/>
      <c r="BO286" s="12"/>
      <c r="BP286" s="12"/>
      <c r="BQ286" s="12"/>
      <c r="BR286" s="12"/>
      <c r="BS286" s="12"/>
      <c r="BT286" s="12"/>
      <c r="BU286" s="12"/>
      <c r="BV286" s="12"/>
      <c r="BW286" s="12"/>
      <c r="BX286" s="12"/>
      <c r="BY286" s="12"/>
      <c r="BZ286" s="12"/>
      <c r="CA286" s="12"/>
      <c r="CB286" s="12"/>
      <c r="CC286" s="12"/>
      <c r="CD286" s="12"/>
      <c r="CE286" s="12"/>
      <c r="CF286" s="12"/>
      <c r="CG286" s="12"/>
      <c r="CH286" s="12"/>
      <c r="CI286" s="12"/>
      <c r="CJ286" s="12"/>
      <c r="CK286" s="12"/>
      <c r="CL286" s="12"/>
      <c r="CM286" s="12"/>
      <c r="CN286" s="12"/>
      <c r="CO286" s="12"/>
      <c r="CP286" s="12"/>
      <c r="CQ286" s="12"/>
      <c r="CR286" s="12"/>
      <c r="CS286" s="12"/>
      <c r="CT286" s="12"/>
      <c r="CU286" s="12"/>
      <c r="CV286" s="12"/>
      <c r="CW286" s="12"/>
      <c r="CX286" s="12"/>
      <c r="CY286" s="12"/>
      <c r="CZ286" s="12"/>
      <c r="DA286" s="12"/>
      <c r="DB286" s="12"/>
      <c r="DC286" s="12"/>
      <c r="DD286" s="12"/>
      <c r="DE286" s="12"/>
      <c r="DF286" s="12"/>
      <c r="DG286" s="12"/>
      <c r="DH286" s="12"/>
      <c r="DI286" s="12"/>
      <c r="DJ286" s="12"/>
      <c r="DK286" s="12"/>
      <c r="DL286" s="12"/>
      <c r="DM286" s="12"/>
      <c r="DN286" s="12"/>
      <c r="DO286" s="12"/>
      <c r="DP286" s="12"/>
      <c r="DQ286" s="12"/>
      <c r="DR286" s="12"/>
      <c r="DS286" s="12"/>
      <c r="DT286" s="12"/>
      <c r="DU286" s="12"/>
      <c r="DV286" s="12"/>
      <c r="DW286" s="12"/>
      <c r="DX286" s="12"/>
      <c r="DY286" s="12"/>
      <c r="DZ286" s="12"/>
      <c r="EA286" s="12"/>
      <c r="EB286" s="12"/>
      <c r="EC286" s="12"/>
      <c r="ED286" s="12"/>
      <c r="EE286" s="12"/>
      <c r="EF286" s="12"/>
      <c r="EG286" s="12"/>
      <c r="EH286" s="12"/>
      <c r="EI286" s="12"/>
      <c r="EJ286" s="574"/>
      <c r="EK286" s="574"/>
      <c r="EL286" s="574"/>
      <c r="EM286" s="574"/>
      <c r="EN286" s="574"/>
      <c r="EO286" s="574"/>
      <c r="EP286" s="574"/>
      <c r="EQ286" s="574"/>
      <c r="ER286" s="574"/>
      <c r="ES286" s="574"/>
      <c r="ET286" s="574"/>
      <c r="EU286" s="574"/>
    </row>
    <row r="287">
      <c r="A287" s="12"/>
      <c r="B287" s="55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  <c r="BJ287" s="12"/>
      <c r="BK287" s="12"/>
      <c r="BL287" s="12"/>
      <c r="BM287" s="12"/>
      <c r="BN287" s="12"/>
      <c r="BO287" s="12"/>
      <c r="BP287" s="12"/>
      <c r="BQ287" s="12"/>
      <c r="BR287" s="12"/>
      <c r="BS287" s="12"/>
      <c r="BT287" s="12"/>
      <c r="BU287" s="12"/>
      <c r="BV287" s="12"/>
      <c r="BW287" s="12"/>
      <c r="BX287" s="12"/>
      <c r="BY287" s="12"/>
      <c r="BZ287" s="12"/>
      <c r="CA287" s="12"/>
      <c r="CB287" s="12"/>
      <c r="CC287" s="12"/>
      <c r="CD287" s="12"/>
      <c r="CE287" s="12"/>
      <c r="CF287" s="12"/>
      <c r="CG287" s="12"/>
      <c r="CH287" s="12"/>
      <c r="CI287" s="12"/>
      <c r="CJ287" s="12"/>
      <c r="CK287" s="12"/>
      <c r="CL287" s="12"/>
      <c r="CM287" s="12"/>
      <c r="CN287" s="12"/>
      <c r="CO287" s="12"/>
      <c r="CP287" s="12"/>
      <c r="CQ287" s="12"/>
      <c r="CR287" s="12"/>
      <c r="CS287" s="12"/>
      <c r="CT287" s="12"/>
      <c r="CU287" s="12"/>
      <c r="CV287" s="12"/>
      <c r="CW287" s="12"/>
      <c r="CX287" s="12"/>
      <c r="CY287" s="12"/>
      <c r="CZ287" s="12"/>
      <c r="DA287" s="12"/>
      <c r="DB287" s="12"/>
      <c r="DC287" s="12"/>
      <c r="DD287" s="12"/>
      <c r="DE287" s="12"/>
      <c r="DF287" s="12"/>
      <c r="DG287" s="12"/>
      <c r="DH287" s="12"/>
      <c r="DI287" s="12"/>
      <c r="DJ287" s="12"/>
      <c r="DK287" s="12"/>
      <c r="DL287" s="12"/>
      <c r="DM287" s="12"/>
      <c r="DN287" s="12"/>
      <c r="DO287" s="12"/>
      <c r="DP287" s="12"/>
      <c r="DQ287" s="12"/>
      <c r="DR287" s="12"/>
      <c r="DS287" s="12"/>
      <c r="DT287" s="12"/>
      <c r="DU287" s="12"/>
      <c r="DV287" s="12"/>
      <c r="DW287" s="12"/>
      <c r="DX287" s="12"/>
      <c r="DY287" s="12"/>
      <c r="DZ287" s="12"/>
      <c r="EA287" s="12"/>
      <c r="EB287" s="12"/>
      <c r="EC287" s="12"/>
      <c r="ED287" s="12"/>
      <c r="EE287" s="12"/>
      <c r="EF287" s="12"/>
      <c r="EG287" s="12"/>
      <c r="EH287" s="12"/>
      <c r="EI287" s="12"/>
      <c r="EJ287" s="574"/>
      <c r="EK287" s="574"/>
      <c r="EL287" s="574"/>
      <c r="EM287" s="574"/>
      <c r="EN287" s="574"/>
      <c r="EO287" s="574"/>
      <c r="EP287" s="574"/>
      <c r="EQ287" s="574"/>
      <c r="ER287" s="574"/>
      <c r="ES287" s="574"/>
      <c r="ET287" s="574"/>
      <c r="EU287" s="574"/>
    </row>
    <row r="288">
      <c r="A288" s="12"/>
      <c r="B288" s="55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  <c r="BJ288" s="12"/>
      <c r="BK288" s="12"/>
      <c r="BL288" s="12"/>
      <c r="BM288" s="12"/>
      <c r="BN288" s="12"/>
      <c r="BO288" s="12"/>
      <c r="BP288" s="12"/>
      <c r="BQ288" s="12"/>
      <c r="BR288" s="12"/>
      <c r="BS288" s="12"/>
      <c r="BT288" s="12"/>
      <c r="BU288" s="12"/>
      <c r="BV288" s="12"/>
      <c r="BW288" s="12"/>
      <c r="BX288" s="12"/>
      <c r="BY288" s="12"/>
      <c r="BZ288" s="12"/>
      <c r="CA288" s="12"/>
      <c r="CB288" s="12"/>
      <c r="CC288" s="12"/>
      <c r="CD288" s="12"/>
      <c r="CE288" s="12"/>
      <c r="CF288" s="12"/>
      <c r="CG288" s="12"/>
      <c r="CH288" s="12"/>
      <c r="CI288" s="12"/>
      <c r="CJ288" s="12"/>
      <c r="CK288" s="12"/>
      <c r="CL288" s="12"/>
      <c r="CM288" s="12"/>
      <c r="CN288" s="12"/>
      <c r="CO288" s="12"/>
      <c r="CP288" s="12"/>
      <c r="CQ288" s="12"/>
      <c r="CR288" s="12"/>
      <c r="CS288" s="12"/>
      <c r="CT288" s="12"/>
      <c r="CU288" s="12"/>
      <c r="CV288" s="12"/>
      <c r="CW288" s="12"/>
      <c r="CX288" s="12"/>
      <c r="CY288" s="12"/>
      <c r="CZ288" s="12"/>
      <c r="DA288" s="12"/>
      <c r="DB288" s="12"/>
      <c r="DC288" s="12"/>
      <c r="DD288" s="12"/>
      <c r="DE288" s="12"/>
      <c r="DF288" s="12"/>
      <c r="DG288" s="12"/>
      <c r="DH288" s="12"/>
      <c r="DI288" s="12"/>
      <c r="DJ288" s="12"/>
      <c r="DK288" s="12"/>
      <c r="DL288" s="12"/>
      <c r="DM288" s="12"/>
      <c r="DN288" s="12"/>
      <c r="DO288" s="12"/>
      <c r="DP288" s="12"/>
      <c r="DQ288" s="12"/>
      <c r="DR288" s="12"/>
      <c r="DS288" s="12"/>
      <c r="DT288" s="12"/>
      <c r="DU288" s="12"/>
      <c r="DV288" s="12"/>
      <c r="DW288" s="12"/>
      <c r="DX288" s="12"/>
      <c r="DY288" s="12"/>
      <c r="DZ288" s="12"/>
      <c r="EA288" s="12"/>
      <c r="EB288" s="12"/>
      <c r="EC288" s="12"/>
      <c r="ED288" s="12"/>
      <c r="EE288" s="12"/>
      <c r="EF288" s="12"/>
      <c r="EG288" s="12"/>
      <c r="EH288" s="12"/>
      <c r="EI288" s="12"/>
      <c r="EJ288" s="574"/>
      <c r="EK288" s="574"/>
      <c r="EL288" s="574"/>
      <c r="EM288" s="574"/>
      <c r="EN288" s="574"/>
      <c r="EO288" s="574"/>
      <c r="EP288" s="574"/>
      <c r="EQ288" s="574"/>
      <c r="ER288" s="574"/>
      <c r="ES288" s="574"/>
      <c r="ET288" s="574"/>
      <c r="EU288" s="574"/>
    </row>
    <row r="289">
      <c r="A289" s="12"/>
      <c r="B289" s="55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  <c r="BJ289" s="12"/>
      <c r="BK289" s="12"/>
      <c r="BL289" s="12"/>
      <c r="BM289" s="12"/>
      <c r="BN289" s="12"/>
      <c r="BO289" s="12"/>
      <c r="BP289" s="12"/>
      <c r="BQ289" s="12"/>
      <c r="BR289" s="12"/>
      <c r="BS289" s="12"/>
      <c r="BT289" s="12"/>
      <c r="BU289" s="12"/>
      <c r="BV289" s="12"/>
      <c r="BW289" s="12"/>
      <c r="BX289" s="12"/>
      <c r="BY289" s="12"/>
      <c r="BZ289" s="12"/>
      <c r="CA289" s="12"/>
      <c r="CB289" s="12"/>
      <c r="CC289" s="12"/>
      <c r="CD289" s="12"/>
      <c r="CE289" s="12"/>
      <c r="CF289" s="12"/>
      <c r="CG289" s="12"/>
      <c r="CH289" s="12"/>
      <c r="CI289" s="12"/>
      <c r="CJ289" s="12"/>
      <c r="CK289" s="12"/>
      <c r="CL289" s="12"/>
      <c r="CM289" s="12"/>
      <c r="CN289" s="12"/>
      <c r="CO289" s="12"/>
      <c r="CP289" s="12"/>
      <c r="CQ289" s="12"/>
      <c r="CR289" s="12"/>
      <c r="CS289" s="12"/>
      <c r="CT289" s="12"/>
      <c r="CU289" s="12"/>
      <c r="CV289" s="12"/>
      <c r="CW289" s="12"/>
      <c r="CX289" s="12"/>
      <c r="CY289" s="12"/>
      <c r="CZ289" s="12"/>
      <c r="DA289" s="12"/>
      <c r="DB289" s="12"/>
      <c r="DC289" s="12"/>
      <c r="DD289" s="12"/>
      <c r="DE289" s="12"/>
      <c r="DF289" s="12"/>
      <c r="DG289" s="12"/>
      <c r="DH289" s="12"/>
      <c r="DI289" s="12"/>
      <c r="DJ289" s="12"/>
      <c r="DK289" s="12"/>
      <c r="DL289" s="12"/>
      <c r="DM289" s="12"/>
      <c r="DN289" s="12"/>
      <c r="DO289" s="12"/>
      <c r="DP289" s="12"/>
      <c r="DQ289" s="12"/>
      <c r="DR289" s="12"/>
      <c r="DS289" s="12"/>
      <c r="DT289" s="12"/>
      <c r="DU289" s="12"/>
      <c r="DV289" s="12"/>
      <c r="DW289" s="12"/>
      <c r="DX289" s="12"/>
      <c r="DY289" s="12"/>
      <c r="DZ289" s="12"/>
      <c r="EA289" s="12"/>
      <c r="EB289" s="12"/>
      <c r="EC289" s="12"/>
      <c r="ED289" s="12"/>
      <c r="EE289" s="12"/>
      <c r="EF289" s="12"/>
      <c r="EG289" s="12"/>
      <c r="EH289" s="12"/>
      <c r="EI289" s="12"/>
      <c r="EJ289" s="574"/>
      <c r="EK289" s="574"/>
      <c r="EL289" s="574"/>
      <c r="EM289" s="574"/>
      <c r="EN289" s="574"/>
      <c r="EO289" s="574"/>
      <c r="EP289" s="574"/>
      <c r="EQ289" s="574"/>
      <c r="ER289" s="574"/>
      <c r="ES289" s="574"/>
      <c r="ET289" s="574"/>
      <c r="EU289" s="574"/>
    </row>
    <row r="290">
      <c r="A290" s="12"/>
      <c r="B290" s="55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  <c r="BP290" s="12"/>
      <c r="BQ290" s="12"/>
      <c r="BR290" s="12"/>
      <c r="BS290" s="12"/>
      <c r="BT290" s="12"/>
      <c r="BU290" s="12"/>
      <c r="BV290" s="12"/>
      <c r="BW290" s="12"/>
      <c r="BX290" s="12"/>
      <c r="BY290" s="12"/>
      <c r="BZ290" s="12"/>
      <c r="CA290" s="12"/>
      <c r="CB290" s="12"/>
      <c r="CC290" s="12"/>
      <c r="CD290" s="12"/>
      <c r="CE290" s="12"/>
      <c r="CF290" s="12"/>
      <c r="CG290" s="12"/>
      <c r="CH290" s="12"/>
      <c r="CI290" s="12"/>
      <c r="CJ290" s="12"/>
      <c r="CK290" s="12"/>
      <c r="CL290" s="12"/>
      <c r="CM290" s="12"/>
      <c r="CN290" s="12"/>
      <c r="CO290" s="12"/>
      <c r="CP290" s="12"/>
      <c r="CQ290" s="12"/>
      <c r="CR290" s="12"/>
      <c r="CS290" s="12"/>
      <c r="CT290" s="12"/>
      <c r="CU290" s="12"/>
      <c r="CV290" s="12"/>
      <c r="CW290" s="12"/>
      <c r="CX290" s="12"/>
      <c r="CY290" s="12"/>
      <c r="CZ290" s="12"/>
      <c r="DA290" s="12"/>
      <c r="DB290" s="12"/>
      <c r="DC290" s="12"/>
      <c r="DD290" s="12"/>
      <c r="DE290" s="12"/>
      <c r="DF290" s="12"/>
      <c r="DG290" s="12"/>
      <c r="DH290" s="12"/>
      <c r="DI290" s="12"/>
      <c r="DJ290" s="12"/>
      <c r="DK290" s="12"/>
      <c r="DL290" s="12"/>
      <c r="DM290" s="12"/>
      <c r="DN290" s="12"/>
      <c r="DO290" s="12"/>
      <c r="DP290" s="12"/>
      <c r="DQ290" s="12"/>
      <c r="DR290" s="12"/>
      <c r="DS290" s="12"/>
      <c r="DT290" s="12"/>
      <c r="DU290" s="12"/>
      <c r="DV290" s="12"/>
      <c r="DW290" s="12"/>
      <c r="DX290" s="12"/>
      <c r="DY290" s="12"/>
      <c r="DZ290" s="12"/>
      <c r="EA290" s="12"/>
      <c r="EB290" s="12"/>
      <c r="EC290" s="12"/>
      <c r="ED290" s="12"/>
      <c r="EE290" s="12"/>
      <c r="EF290" s="12"/>
      <c r="EG290" s="12"/>
      <c r="EH290" s="12"/>
      <c r="EI290" s="12"/>
      <c r="EJ290" s="574"/>
      <c r="EK290" s="574"/>
      <c r="EL290" s="574"/>
      <c r="EM290" s="574"/>
      <c r="EN290" s="574"/>
      <c r="EO290" s="574"/>
      <c r="EP290" s="574"/>
      <c r="EQ290" s="574"/>
      <c r="ER290" s="574"/>
      <c r="ES290" s="574"/>
      <c r="ET290" s="574"/>
      <c r="EU290" s="574"/>
    </row>
    <row r="291">
      <c r="A291" s="12"/>
      <c r="B291" s="55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2"/>
      <c r="BY291" s="12"/>
      <c r="BZ291" s="12"/>
      <c r="CA291" s="12"/>
      <c r="CB291" s="12"/>
      <c r="CC291" s="12"/>
      <c r="CD291" s="12"/>
      <c r="CE291" s="12"/>
      <c r="CF291" s="12"/>
      <c r="CG291" s="12"/>
      <c r="CH291" s="12"/>
      <c r="CI291" s="12"/>
      <c r="CJ291" s="12"/>
      <c r="CK291" s="12"/>
      <c r="CL291" s="12"/>
      <c r="CM291" s="12"/>
      <c r="CN291" s="12"/>
      <c r="CO291" s="12"/>
      <c r="CP291" s="12"/>
      <c r="CQ291" s="12"/>
      <c r="CR291" s="12"/>
      <c r="CS291" s="12"/>
      <c r="CT291" s="12"/>
      <c r="CU291" s="12"/>
      <c r="CV291" s="12"/>
      <c r="CW291" s="12"/>
      <c r="CX291" s="12"/>
      <c r="CY291" s="12"/>
      <c r="CZ291" s="12"/>
      <c r="DA291" s="12"/>
      <c r="DB291" s="12"/>
      <c r="DC291" s="12"/>
      <c r="DD291" s="12"/>
      <c r="DE291" s="12"/>
      <c r="DF291" s="12"/>
      <c r="DG291" s="12"/>
      <c r="DH291" s="12"/>
      <c r="DI291" s="12"/>
      <c r="DJ291" s="12"/>
      <c r="DK291" s="12"/>
      <c r="DL291" s="12"/>
      <c r="DM291" s="12"/>
      <c r="DN291" s="12"/>
      <c r="DO291" s="12"/>
      <c r="DP291" s="12"/>
      <c r="DQ291" s="12"/>
      <c r="DR291" s="12"/>
      <c r="DS291" s="12"/>
      <c r="DT291" s="12"/>
      <c r="DU291" s="12"/>
      <c r="DV291" s="12"/>
      <c r="DW291" s="12"/>
      <c r="DX291" s="12"/>
      <c r="DY291" s="12"/>
      <c r="DZ291" s="12"/>
      <c r="EA291" s="12"/>
      <c r="EB291" s="12"/>
      <c r="EC291" s="12"/>
      <c r="ED291" s="12"/>
      <c r="EE291" s="12"/>
      <c r="EF291" s="12"/>
      <c r="EG291" s="12"/>
      <c r="EH291" s="12"/>
      <c r="EI291" s="12"/>
      <c r="EJ291" s="574"/>
      <c r="EK291" s="574"/>
      <c r="EL291" s="574"/>
      <c r="EM291" s="574"/>
      <c r="EN291" s="574"/>
      <c r="EO291" s="574"/>
      <c r="EP291" s="574"/>
      <c r="EQ291" s="574"/>
      <c r="ER291" s="574"/>
      <c r="ES291" s="574"/>
      <c r="ET291" s="574"/>
      <c r="EU291" s="574"/>
    </row>
    <row r="292">
      <c r="A292" s="12"/>
      <c r="B292" s="55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2"/>
      <c r="BU292" s="12"/>
      <c r="BV292" s="12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574"/>
      <c r="EK292" s="574"/>
      <c r="EL292" s="574"/>
      <c r="EM292" s="574"/>
      <c r="EN292" s="574"/>
      <c r="EO292" s="574"/>
      <c r="EP292" s="574"/>
      <c r="EQ292" s="574"/>
      <c r="ER292" s="574"/>
      <c r="ES292" s="574"/>
      <c r="ET292" s="574"/>
      <c r="EU292" s="574"/>
    </row>
    <row r="293">
      <c r="A293" s="12"/>
      <c r="B293" s="55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  <c r="BZ293" s="12"/>
      <c r="CA293" s="12"/>
      <c r="CB293" s="12"/>
      <c r="CC293" s="12"/>
      <c r="CD293" s="12"/>
      <c r="CE293" s="12"/>
      <c r="CF293" s="12"/>
      <c r="CG293" s="12"/>
      <c r="CH293" s="12"/>
      <c r="CI293" s="12"/>
      <c r="CJ293" s="12"/>
      <c r="CK293" s="12"/>
      <c r="CL293" s="12"/>
      <c r="CM293" s="12"/>
      <c r="CN293" s="12"/>
      <c r="CO293" s="12"/>
      <c r="CP293" s="12"/>
      <c r="CQ293" s="12"/>
      <c r="CR293" s="12"/>
      <c r="CS293" s="12"/>
      <c r="CT293" s="12"/>
      <c r="CU293" s="12"/>
      <c r="CV293" s="12"/>
      <c r="CW293" s="12"/>
      <c r="CX293" s="12"/>
      <c r="CY293" s="12"/>
      <c r="CZ293" s="12"/>
      <c r="DA293" s="12"/>
      <c r="DB293" s="12"/>
      <c r="DC293" s="12"/>
      <c r="DD293" s="12"/>
      <c r="DE293" s="12"/>
      <c r="DF293" s="12"/>
      <c r="DG293" s="12"/>
      <c r="DH293" s="12"/>
      <c r="DI293" s="12"/>
      <c r="DJ293" s="12"/>
      <c r="DK293" s="12"/>
      <c r="DL293" s="12"/>
      <c r="DM293" s="12"/>
      <c r="DN293" s="12"/>
      <c r="DO293" s="12"/>
      <c r="DP293" s="12"/>
      <c r="DQ293" s="12"/>
      <c r="DR293" s="12"/>
      <c r="DS293" s="12"/>
      <c r="DT293" s="12"/>
      <c r="DU293" s="12"/>
      <c r="DV293" s="12"/>
      <c r="DW293" s="12"/>
      <c r="DX293" s="12"/>
      <c r="DY293" s="12"/>
      <c r="DZ293" s="12"/>
      <c r="EA293" s="12"/>
      <c r="EB293" s="12"/>
      <c r="EC293" s="12"/>
      <c r="ED293" s="12"/>
      <c r="EE293" s="12"/>
      <c r="EF293" s="12"/>
      <c r="EG293" s="12"/>
      <c r="EH293" s="12"/>
      <c r="EI293" s="12"/>
      <c r="EJ293" s="574"/>
      <c r="EK293" s="574"/>
      <c r="EL293" s="574"/>
      <c r="EM293" s="574"/>
      <c r="EN293" s="574"/>
      <c r="EO293" s="574"/>
      <c r="EP293" s="574"/>
      <c r="EQ293" s="574"/>
      <c r="ER293" s="574"/>
      <c r="ES293" s="574"/>
      <c r="ET293" s="574"/>
      <c r="EU293" s="574"/>
    </row>
    <row r="294">
      <c r="A294" s="12"/>
      <c r="B294" s="55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2"/>
      <c r="BY294" s="12"/>
      <c r="BZ294" s="12"/>
      <c r="CA294" s="12"/>
      <c r="CB294" s="12"/>
      <c r="CC294" s="12"/>
      <c r="CD294" s="12"/>
      <c r="CE294" s="12"/>
      <c r="CF294" s="12"/>
      <c r="CG294" s="12"/>
      <c r="CH294" s="12"/>
      <c r="CI294" s="12"/>
      <c r="CJ294" s="12"/>
      <c r="CK294" s="12"/>
      <c r="CL294" s="12"/>
      <c r="CM294" s="12"/>
      <c r="CN294" s="12"/>
      <c r="CO294" s="12"/>
      <c r="CP294" s="12"/>
      <c r="CQ294" s="12"/>
      <c r="CR294" s="12"/>
      <c r="CS294" s="12"/>
      <c r="CT294" s="12"/>
      <c r="CU294" s="12"/>
      <c r="CV294" s="12"/>
      <c r="CW294" s="12"/>
      <c r="CX294" s="12"/>
      <c r="CY294" s="12"/>
      <c r="CZ294" s="12"/>
      <c r="DA294" s="12"/>
      <c r="DB294" s="12"/>
      <c r="DC294" s="12"/>
      <c r="DD294" s="12"/>
      <c r="DE294" s="12"/>
      <c r="DF294" s="12"/>
      <c r="DG294" s="12"/>
      <c r="DH294" s="12"/>
      <c r="DI294" s="12"/>
      <c r="DJ294" s="12"/>
      <c r="DK294" s="12"/>
      <c r="DL294" s="12"/>
      <c r="DM294" s="12"/>
      <c r="DN294" s="12"/>
      <c r="DO294" s="12"/>
      <c r="DP294" s="12"/>
      <c r="DQ294" s="12"/>
      <c r="DR294" s="12"/>
      <c r="DS294" s="12"/>
      <c r="DT294" s="12"/>
      <c r="DU294" s="12"/>
      <c r="DV294" s="12"/>
      <c r="DW294" s="12"/>
      <c r="DX294" s="12"/>
      <c r="DY294" s="12"/>
      <c r="DZ294" s="12"/>
      <c r="EA294" s="12"/>
      <c r="EB294" s="12"/>
      <c r="EC294" s="12"/>
      <c r="ED294" s="12"/>
      <c r="EE294" s="12"/>
      <c r="EF294" s="12"/>
      <c r="EG294" s="12"/>
      <c r="EH294" s="12"/>
      <c r="EI294" s="12"/>
      <c r="EJ294" s="574"/>
      <c r="EK294" s="574"/>
      <c r="EL294" s="574"/>
      <c r="EM294" s="574"/>
      <c r="EN294" s="574"/>
      <c r="EO294" s="574"/>
      <c r="EP294" s="574"/>
      <c r="EQ294" s="574"/>
      <c r="ER294" s="574"/>
      <c r="ES294" s="574"/>
      <c r="ET294" s="574"/>
      <c r="EU294" s="574"/>
    </row>
    <row r="295">
      <c r="A295" s="12"/>
      <c r="B295" s="55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2"/>
      <c r="BY295" s="12"/>
      <c r="BZ295" s="12"/>
      <c r="CA295" s="12"/>
      <c r="CB295" s="12"/>
      <c r="CC295" s="12"/>
      <c r="CD295" s="12"/>
      <c r="CE295" s="12"/>
      <c r="CF295" s="12"/>
      <c r="CG295" s="12"/>
      <c r="CH295" s="12"/>
      <c r="CI295" s="12"/>
      <c r="CJ295" s="12"/>
      <c r="CK295" s="12"/>
      <c r="CL295" s="12"/>
      <c r="CM295" s="12"/>
      <c r="CN295" s="12"/>
      <c r="CO295" s="12"/>
      <c r="CP295" s="12"/>
      <c r="CQ295" s="12"/>
      <c r="CR295" s="12"/>
      <c r="CS295" s="12"/>
      <c r="CT295" s="12"/>
      <c r="CU295" s="12"/>
      <c r="CV295" s="12"/>
      <c r="CW295" s="12"/>
      <c r="CX295" s="12"/>
      <c r="CY295" s="12"/>
      <c r="CZ295" s="12"/>
      <c r="DA295" s="12"/>
      <c r="DB295" s="12"/>
      <c r="DC295" s="12"/>
      <c r="DD295" s="12"/>
      <c r="DE295" s="12"/>
      <c r="DF295" s="12"/>
      <c r="DG295" s="12"/>
      <c r="DH295" s="12"/>
      <c r="DI295" s="12"/>
      <c r="DJ295" s="12"/>
      <c r="DK295" s="12"/>
      <c r="DL295" s="12"/>
      <c r="DM295" s="12"/>
      <c r="DN295" s="12"/>
      <c r="DO295" s="12"/>
      <c r="DP295" s="12"/>
      <c r="DQ295" s="12"/>
      <c r="DR295" s="12"/>
      <c r="DS295" s="12"/>
      <c r="DT295" s="12"/>
      <c r="DU295" s="12"/>
      <c r="DV295" s="12"/>
      <c r="DW295" s="12"/>
      <c r="DX295" s="12"/>
      <c r="DY295" s="12"/>
      <c r="DZ295" s="12"/>
      <c r="EA295" s="12"/>
      <c r="EB295" s="12"/>
      <c r="EC295" s="12"/>
      <c r="ED295" s="12"/>
      <c r="EE295" s="12"/>
      <c r="EF295" s="12"/>
      <c r="EG295" s="12"/>
      <c r="EH295" s="12"/>
      <c r="EI295" s="12"/>
      <c r="EJ295" s="574"/>
      <c r="EK295" s="574"/>
      <c r="EL295" s="574"/>
      <c r="EM295" s="574"/>
      <c r="EN295" s="574"/>
      <c r="EO295" s="574"/>
      <c r="EP295" s="574"/>
      <c r="EQ295" s="574"/>
      <c r="ER295" s="574"/>
      <c r="ES295" s="574"/>
      <c r="ET295" s="574"/>
      <c r="EU295" s="574"/>
    </row>
    <row r="296">
      <c r="A296" s="12"/>
      <c r="B296" s="55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  <c r="BZ296" s="12"/>
      <c r="CA296" s="12"/>
      <c r="CB296" s="12"/>
      <c r="CC296" s="12"/>
      <c r="CD296" s="12"/>
      <c r="CE296" s="12"/>
      <c r="CF296" s="12"/>
      <c r="CG296" s="12"/>
      <c r="CH296" s="12"/>
      <c r="CI296" s="12"/>
      <c r="CJ296" s="12"/>
      <c r="CK296" s="12"/>
      <c r="CL296" s="12"/>
      <c r="CM296" s="12"/>
      <c r="CN296" s="12"/>
      <c r="CO296" s="12"/>
      <c r="CP296" s="12"/>
      <c r="CQ296" s="12"/>
      <c r="CR296" s="12"/>
      <c r="CS296" s="12"/>
      <c r="CT296" s="12"/>
      <c r="CU296" s="12"/>
      <c r="CV296" s="12"/>
      <c r="CW296" s="12"/>
      <c r="CX296" s="12"/>
      <c r="CY296" s="12"/>
      <c r="CZ296" s="12"/>
      <c r="DA296" s="12"/>
      <c r="DB296" s="12"/>
      <c r="DC296" s="12"/>
      <c r="DD296" s="12"/>
      <c r="DE296" s="12"/>
      <c r="DF296" s="12"/>
      <c r="DG296" s="12"/>
      <c r="DH296" s="12"/>
      <c r="DI296" s="12"/>
      <c r="DJ296" s="12"/>
      <c r="DK296" s="12"/>
      <c r="DL296" s="12"/>
      <c r="DM296" s="12"/>
      <c r="DN296" s="12"/>
      <c r="DO296" s="12"/>
      <c r="DP296" s="12"/>
      <c r="DQ296" s="12"/>
      <c r="DR296" s="12"/>
      <c r="DS296" s="12"/>
      <c r="DT296" s="12"/>
      <c r="DU296" s="12"/>
      <c r="DV296" s="12"/>
      <c r="DW296" s="12"/>
      <c r="DX296" s="12"/>
      <c r="DY296" s="12"/>
      <c r="DZ296" s="12"/>
      <c r="EA296" s="12"/>
      <c r="EB296" s="12"/>
      <c r="EC296" s="12"/>
      <c r="ED296" s="12"/>
      <c r="EE296" s="12"/>
      <c r="EF296" s="12"/>
      <c r="EG296" s="12"/>
      <c r="EH296" s="12"/>
      <c r="EI296" s="12"/>
      <c r="EJ296" s="574"/>
      <c r="EK296" s="574"/>
      <c r="EL296" s="574"/>
      <c r="EM296" s="574"/>
      <c r="EN296" s="574"/>
      <c r="EO296" s="574"/>
      <c r="EP296" s="574"/>
      <c r="EQ296" s="574"/>
      <c r="ER296" s="574"/>
      <c r="ES296" s="574"/>
      <c r="ET296" s="574"/>
      <c r="EU296" s="574"/>
    </row>
    <row r="297">
      <c r="A297" s="12"/>
      <c r="B297" s="55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  <c r="BZ297" s="12"/>
      <c r="CA297" s="12"/>
      <c r="CB297" s="12"/>
      <c r="CC297" s="12"/>
      <c r="CD297" s="12"/>
      <c r="CE297" s="12"/>
      <c r="CF297" s="12"/>
      <c r="CG297" s="12"/>
      <c r="CH297" s="12"/>
      <c r="CI297" s="12"/>
      <c r="CJ297" s="12"/>
      <c r="CK297" s="12"/>
      <c r="CL297" s="12"/>
      <c r="CM297" s="12"/>
      <c r="CN297" s="12"/>
      <c r="CO297" s="12"/>
      <c r="CP297" s="12"/>
      <c r="CQ297" s="12"/>
      <c r="CR297" s="12"/>
      <c r="CS297" s="12"/>
      <c r="CT297" s="12"/>
      <c r="CU297" s="12"/>
      <c r="CV297" s="12"/>
      <c r="CW297" s="12"/>
      <c r="CX297" s="12"/>
      <c r="CY297" s="12"/>
      <c r="CZ297" s="12"/>
      <c r="DA297" s="12"/>
      <c r="DB297" s="12"/>
      <c r="DC297" s="12"/>
      <c r="DD297" s="12"/>
      <c r="DE297" s="12"/>
      <c r="DF297" s="12"/>
      <c r="DG297" s="12"/>
      <c r="DH297" s="12"/>
      <c r="DI297" s="12"/>
      <c r="DJ297" s="12"/>
      <c r="DK297" s="12"/>
      <c r="DL297" s="12"/>
      <c r="DM297" s="12"/>
      <c r="DN297" s="12"/>
      <c r="DO297" s="12"/>
      <c r="DP297" s="12"/>
      <c r="DQ297" s="12"/>
      <c r="DR297" s="12"/>
      <c r="DS297" s="12"/>
      <c r="DT297" s="12"/>
      <c r="DU297" s="12"/>
      <c r="DV297" s="12"/>
      <c r="DW297" s="12"/>
      <c r="DX297" s="12"/>
      <c r="DY297" s="12"/>
      <c r="DZ297" s="12"/>
      <c r="EA297" s="12"/>
      <c r="EB297" s="12"/>
      <c r="EC297" s="12"/>
      <c r="ED297" s="12"/>
      <c r="EE297" s="12"/>
      <c r="EF297" s="12"/>
      <c r="EG297" s="12"/>
      <c r="EH297" s="12"/>
      <c r="EI297" s="12"/>
      <c r="EJ297" s="574"/>
      <c r="EK297" s="574"/>
      <c r="EL297" s="574"/>
      <c r="EM297" s="574"/>
      <c r="EN297" s="574"/>
      <c r="EO297" s="574"/>
      <c r="EP297" s="574"/>
      <c r="EQ297" s="574"/>
      <c r="ER297" s="574"/>
      <c r="ES297" s="574"/>
      <c r="ET297" s="574"/>
      <c r="EU297" s="574"/>
    </row>
    <row r="298">
      <c r="A298" s="12"/>
      <c r="B298" s="55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2"/>
      <c r="BY298" s="12"/>
      <c r="BZ298" s="12"/>
      <c r="CA298" s="12"/>
      <c r="CB298" s="12"/>
      <c r="CC298" s="12"/>
      <c r="CD298" s="12"/>
      <c r="CE298" s="12"/>
      <c r="CF298" s="12"/>
      <c r="CG298" s="12"/>
      <c r="CH298" s="12"/>
      <c r="CI298" s="12"/>
      <c r="CJ298" s="12"/>
      <c r="CK298" s="12"/>
      <c r="CL298" s="12"/>
      <c r="CM298" s="12"/>
      <c r="CN298" s="12"/>
      <c r="CO298" s="12"/>
      <c r="CP298" s="12"/>
      <c r="CQ298" s="12"/>
      <c r="CR298" s="12"/>
      <c r="CS298" s="12"/>
      <c r="CT298" s="12"/>
      <c r="CU298" s="12"/>
      <c r="CV298" s="12"/>
      <c r="CW298" s="12"/>
      <c r="CX298" s="12"/>
      <c r="CY298" s="12"/>
      <c r="CZ298" s="12"/>
      <c r="DA298" s="12"/>
      <c r="DB298" s="12"/>
      <c r="DC298" s="12"/>
      <c r="DD298" s="12"/>
      <c r="DE298" s="12"/>
      <c r="DF298" s="12"/>
      <c r="DG298" s="12"/>
      <c r="DH298" s="12"/>
      <c r="DI298" s="12"/>
      <c r="DJ298" s="12"/>
      <c r="DK298" s="12"/>
      <c r="DL298" s="12"/>
      <c r="DM298" s="12"/>
      <c r="DN298" s="12"/>
      <c r="DO298" s="12"/>
      <c r="DP298" s="12"/>
      <c r="DQ298" s="12"/>
      <c r="DR298" s="12"/>
      <c r="DS298" s="12"/>
      <c r="DT298" s="12"/>
      <c r="DU298" s="12"/>
      <c r="DV298" s="12"/>
      <c r="DW298" s="12"/>
      <c r="DX298" s="12"/>
      <c r="DY298" s="12"/>
      <c r="DZ298" s="12"/>
      <c r="EA298" s="12"/>
      <c r="EB298" s="12"/>
      <c r="EC298" s="12"/>
      <c r="ED298" s="12"/>
      <c r="EE298" s="12"/>
      <c r="EF298" s="12"/>
      <c r="EG298" s="12"/>
      <c r="EH298" s="12"/>
      <c r="EI298" s="12"/>
      <c r="EJ298" s="574"/>
      <c r="EK298" s="574"/>
      <c r="EL298" s="574"/>
      <c r="EM298" s="574"/>
      <c r="EN298" s="574"/>
      <c r="EO298" s="574"/>
      <c r="EP298" s="574"/>
      <c r="EQ298" s="574"/>
      <c r="ER298" s="574"/>
      <c r="ES298" s="574"/>
      <c r="ET298" s="574"/>
      <c r="EU298" s="574"/>
    </row>
    <row r="299">
      <c r="A299" s="12"/>
      <c r="B299" s="55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  <c r="BQ299" s="12"/>
      <c r="BR299" s="12"/>
      <c r="BS299" s="12"/>
      <c r="BT299" s="12"/>
      <c r="BU299" s="12"/>
      <c r="BV299" s="12"/>
      <c r="BW299" s="12"/>
      <c r="BX299" s="12"/>
      <c r="BY299" s="12"/>
      <c r="BZ299" s="12"/>
      <c r="CA299" s="12"/>
      <c r="CB299" s="12"/>
      <c r="CC299" s="12"/>
      <c r="CD299" s="12"/>
      <c r="CE299" s="12"/>
      <c r="CF299" s="12"/>
      <c r="CG299" s="12"/>
      <c r="CH299" s="12"/>
      <c r="CI299" s="12"/>
      <c r="CJ299" s="12"/>
      <c r="CK299" s="12"/>
      <c r="CL299" s="12"/>
      <c r="CM299" s="12"/>
      <c r="CN299" s="12"/>
      <c r="CO299" s="12"/>
      <c r="CP299" s="12"/>
      <c r="CQ299" s="12"/>
      <c r="CR299" s="12"/>
      <c r="CS299" s="12"/>
      <c r="CT299" s="12"/>
      <c r="CU299" s="12"/>
      <c r="CV299" s="12"/>
      <c r="CW299" s="12"/>
      <c r="CX299" s="12"/>
      <c r="CY299" s="12"/>
      <c r="CZ299" s="12"/>
      <c r="DA299" s="12"/>
      <c r="DB299" s="12"/>
      <c r="DC299" s="12"/>
      <c r="DD299" s="12"/>
      <c r="DE299" s="12"/>
      <c r="DF299" s="12"/>
      <c r="DG299" s="12"/>
      <c r="DH299" s="12"/>
      <c r="DI299" s="12"/>
      <c r="DJ299" s="12"/>
      <c r="DK299" s="12"/>
      <c r="DL299" s="12"/>
      <c r="DM299" s="12"/>
      <c r="DN299" s="12"/>
      <c r="DO299" s="12"/>
      <c r="DP299" s="12"/>
      <c r="DQ299" s="12"/>
      <c r="DR299" s="12"/>
      <c r="DS299" s="12"/>
      <c r="DT299" s="12"/>
      <c r="DU299" s="12"/>
      <c r="DV299" s="12"/>
      <c r="DW299" s="12"/>
      <c r="DX299" s="12"/>
      <c r="DY299" s="12"/>
      <c r="DZ299" s="12"/>
      <c r="EA299" s="12"/>
      <c r="EB299" s="12"/>
      <c r="EC299" s="12"/>
      <c r="ED299" s="12"/>
      <c r="EE299" s="12"/>
      <c r="EF299" s="12"/>
      <c r="EG299" s="12"/>
      <c r="EH299" s="12"/>
      <c r="EI299" s="12"/>
      <c r="EJ299" s="574"/>
      <c r="EK299" s="574"/>
      <c r="EL299" s="574"/>
      <c r="EM299" s="574"/>
      <c r="EN299" s="574"/>
      <c r="EO299" s="574"/>
      <c r="EP299" s="574"/>
      <c r="EQ299" s="574"/>
      <c r="ER299" s="574"/>
      <c r="ES299" s="574"/>
      <c r="ET299" s="574"/>
      <c r="EU299" s="574"/>
    </row>
    <row r="300">
      <c r="A300" s="12"/>
      <c r="B300" s="55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2"/>
      <c r="BY300" s="12"/>
      <c r="BZ300" s="12"/>
      <c r="CA300" s="12"/>
      <c r="CB300" s="12"/>
      <c r="CC300" s="12"/>
      <c r="CD300" s="12"/>
      <c r="CE300" s="12"/>
      <c r="CF300" s="12"/>
      <c r="CG300" s="12"/>
      <c r="CH300" s="12"/>
      <c r="CI300" s="12"/>
      <c r="CJ300" s="12"/>
      <c r="CK300" s="12"/>
      <c r="CL300" s="12"/>
      <c r="CM300" s="12"/>
      <c r="CN300" s="12"/>
      <c r="CO300" s="12"/>
      <c r="CP300" s="12"/>
      <c r="CQ300" s="12"/>
      <c r="CR300" s="12"/>
      <c r="CS300" s="12"/>
      <c r="CT300" s="12"/>
      <c r="CU300" s="12"/>
      <c r="CV300" s="12"/>
      <c r="CW300" s="12"/>
      <c r="CX300" s="12"/>
      <c r="CY300" s="12"/>
      <c r="CZ300" s="12"/>
      <c r="DA300" s="12"/>
      <c r="DB300" s="12"/>
      <c r="DC300" s="12"/>
      <c r="DD300" s="12"/>
      <c r="DE300" s="12"/>
      <c r="DF300" s="12"/>
      <c r="DG300" s="12"/>
      <c r="DH300" s="12"/>
      <c r="DI300" s="12"/>
      <c r="DJ300" s="12"/>
      <c r="DK300" s="12"/>
      <c r="DL300" s="12"/>
      <c r="DM300" s="12"/>
      <c r="DN300" s="12"/>
      <c r="DO300" s="12"/>
      <c r="DP300" s="12"/>
      <c r="DQ300" s="12"/>
      <c r="DR300" s="12"/>
      <c r="DS300" s="12"/>
      <c r="DT300" s="12"/>
      <c r="DU300" s="12"/>
      <c r="DV300" s="12"/>
      <c r="DW300" s="12"/>
      <c r="DX300" s="12"/>
      <c r="DY300" s="12"/>
      <c r="DZ300" s="12"/>
      <c r="EA300" s="12"/>
      <c r="EB300" s="12"/>
      <c r="EC300" s="12"/>
      <c r="ED300" s="12"/>
      <c r="EE300" s="12"/>
      <c r="EF300" s="12"/>
      <c r="EG300" s="12"/>
      <c r="EH300" s="12"/>
      <c r="EI300" s="12"/>
      <c r="EJ300" s="574"/>
      <c r="EK300" s="574"/>
      <c r="EL300" s="574"/>
      <c r="EM300" s="574"/>
      <c r="EN300" s="574"/>
      <c r="EO300" s="574"/>
      <c r="EP300" s="574"/>
      <c r="EQ300" s="574"/>
      <c r="ER300" s="574"/>
      <c r="ES300" s="574"/>
      <c r="ET300" s="574"/>
      <c r="EU300" s="574"/>
    </row>
    <row r="301">
      <c r="A301" s="12"/>
      <c r="B301" s="55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2"/>
      <c r="BY301" s="12"/>
      <c r="BZ301" s="12"/>
      <c r="CA301" s="12"/>
      <c r="CB301" s="12"/>
      <c r="CC301" s="12"/>
      <c r="CD301" s="12"/>
      <c r="CE301" s="12"/>
      <c r="CF301" s="12"/>
      <c r="CG301" s="12"/>
      <c r="CH301" s="12"/>
      <c r="CI301" s="12"/>
      <c r="CJ301" s="12"/>
      <c r="CK301" s="12"/>
      <c r="CL301" s="12"/>
      <c r="CM301" s="12"/>
      <c r="CN301" s="12"/>
      <c r="CO301" s="12"/>
      <c r="CP301" s="12"/>
      <c r="CQ301" s="12"/>
      <c r="CR301" s="12"/>
      <c r="CS301" s="12"/>
      <c r="CT301" s="12"/>
      <c r="CU301" s="12"/>
      <c r="CV301" s="12"/>
      <c r="CW301" s="12"/>
      <c r="CX301" s="12"/>
      <c r="CY301" s="12"/>
      <c r="CZ301" s="12"/>
      <c r="DA301" s="12"/>
      <c r="DB301" s="12"/>
      <c r="DC301" s="12"/>
      <c r="DD301" s="12"/>
      <c r="DE301" s="12"/>
      <c r="DF301" s="12"/>
      <c r="DG301" s="12"/>
      <c r="DH301" s="12"/>
      <c r="DI301" s="12"/>
      <c r="DJ301" s="12"/>
      <c r="DK301" s="12"/>
      <c r="DL301" s="12"/>
      <c r="DM301" s="12"/>
      <c r="DN301" s="12"/>
      <c r="DO301" s="12"/>
      <c r="DP301" s="12"/>
      <c r="DQ301" s="12"/>
      <c r="DR301" s="12"/>
      <c r="DS301" s="12"/>
      <c r="DT301" s="12"/>
      <c r="DU301" s="12"/>
      <c r="DV301" s="12"/>
      <c r="DW301" s="12"/>
      <c r="DX301" s="12"/>
      <c r="DY301" s="12"/>
      <c r="DZ301" s="12"/>
      <c r="EA301" s="12"/>
      <c r="EB301" s="12"/>
      <c r="EC301" s="12"/>
      <c r="ED301" s="12"/>
      <c r="EE301" s="12"/>
      <c r="EF301" s="12"/>
      <c r="EG301" s="12"/>
      <c r="EH301" s="12"/>
      <c r="EI301" s="12"/>
      <c r="EJ301" s="574"/>
      <c r="EK301" s="574"/>
      <c r="EL301" s="574"/>
      <c r="EM301" s="574"/>
      <c r="EN301" s="574"/>
      <c r="EO301" s="574"/>
      <c r="EP301" s="574"/>
      <c r="EQ301" s="574"/>
      <c r="ER301" s="574"/>
      <c r="ES301" s="574"/>
      <c r="ET301" s="574"/>
      <c r="EU301" s="574"/>
    </row>
    <row r="302">
      <c r="A302" s="12"/>
      <c r="B302" s="55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  <c r="BF302" s="12"/>
      <c r="BG302" s="12"/>
      <c r="BH302" s="12"/>
      <c r="BI302" s="12"/>
      <c r="BJ302" s="12"/>
      <c r="BK302" s="12"/>
      <c r="BL302" s="12"/>
      <c r="BM302" s="12"/>
      <c r="BN302" s="12"/>
      <c r="BO302" s="12"/>
      <c r="BP302" s="12"/>
      <c r="BQ302" s="12"/>
      <c r="BR302" s="12"/>
      <c r="BS302" s="12"/>
      <c r="BT302" s="12"/>
      <c r="BU302" s="12"/>
      <c r="BV302" s="12"/>
      <c r="BW302" s="12"/>
      <c r="BX302" s="12"/>
      <c r="BY302" s="12"/>
      <c r="BZ302" s="12"/>
      <c r="CA302" s="12"/>
      <c r="CB302" s="12"/>
      <c r="CC302" s="12"/>
      <c r="CD302" s="12"/>
      <c r="CE302" s="12"/>
      <c r="CF302" s="12"/>
      <c r="CG302" s="12"/>
      <c r="CH302" s="12"/>
      <c r="CI302" s="12"/>
      <c r="CJ302" s="12"/>
      <c r="CK302" s="12"/>
      <c r="CL302" s="12"/>
      <c r="CM302" s="12"/>
      <c r="CN302" s="12"/>
      <c r="CO302" s="12"/>
      <c r="CP302" s="12"/>
      <c r="CQ302" s="12"/>
      <c r="CR302" s="12"/>
      <c r="CS302" s="12"/>
      <c r="CT302" s="12"/>
      <c r="CU302" s="12"/>
      <c r="CV302" s="12"/>
      <c r="CW302" s="12"/>
      <c r="CX302" s="12"/>
      <c r="CY302" s="12"/>
      <c r="CZ302" s="12"/>
      <c r="DA302" s="12"/>
      <c r="DB302" s="12"/>
      <c r="DC302" s="12"/>
      <c r="DD302" s="12"/>
      <c r="DE302" s="12"/>
      <c r="DF302" s="12"/>
      <c r="DG302" s="12"/>
      <c r="DH302" s="12"/>
      <c r="DI302" s="12"/>
      <c r="DJ302" s="12"/>
      <c r="DK302" s="12"/>
      <c r="DL302" s="12"/>
      <c r="DM302" s="12"/>
      <c r="DN302" s="12"/>
      <c r="DO302" s="12"/>
      <c r="DP302" s="12"/>
      <c r="DQ302" s="12"/>
      <c r="DR302" s="12"/>
      <c r="DS302" s="12"/>
      <c r="DT302" s="12"/>
      <c r="DU302" s="12"/>
      <c r="DV302" s="12"/>
      <c r="DW302" s="12"/>
      <c r="DX302" s="12"/>
      <c r="DY302" s="12"/>
      <c r="DZ302" s="12"/>
      <c r="EA302" s="12"/>
      <c r="EB302" s="12"/>
      <c r="EC302" s="12"/>
      <c r="ED302" s="12"/>
      <c r="EE302" s="12"/>
      <c r="EF302" s="12"/>
      <c r="EG302" s="12"/>
      <c r="EH302" s="12"/>
      <c r="EI302" s="12"/>
      <c r="EJ302" s="574"/>
      <c r="EK302" s="574"/>
      <c r="EL302" s="574"/>
      <c r="EM302" s="574"/>
      <c r="EN302" s="574"/>
      <c r="EO302" s="574"/>
      <c r="EP302" s="574"/>
      <c r="EQ302" s="574"/>
      <c r="ER302" s="574"/>
      <c r="ES302" s="574"/>
      <c r="ET302" s="574"/>
      <c r="EU302" s="574"/>
    </row>
    <row r="303">
      <c r="A303" s="12"/>
      <c r="B303" s="55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  <c r="BF303" s="12"/>
      <c r="BG303" s="12"/>
      <c r="BH303" s="12"/>
      <c r="BI303" s="12"/>
      <c r="BJ303" s="12"/>
      <c r="BK303" s="12"/>
      <c r="BL303" s="12"/>
      <c r="BM303" s="12"/>
      <c r="BN303" s="12"/>
      <c r="BO303" s="12"/>
      <c r="BP303" s="12"/>
      <c r="BQ303" s="12"/>
      <c r="BR303" s="12"/>
      <c r="BS303" s="12"/>
      <c r="BT303" s="12"/>
      <c r="BU303" s="12"/>
      <c r="BV303" s="12"/>
      <c r="BW303" s="12"/>
      <c r="BX303" s="12"/>
      <c r="BY303" s="12"/>
      <c r="BZ303" s="12"/>
      <c r="CA303" s="12"/>
      <c r="CB303" s="12"/>
      <c r="CC303" s="12"/>
      <c r="CD303" s="12"/>
      <c r="CE303" s="12"/>
      <c r="CF303" s="12"/>
      <c r="CG303" s="12"/>
      <c r="CH303" s="12"/>
      <c r="CI303" s="12"/>
      <c r="CJ303" s="12"/>
      <c r="CK303" s="12"/>
      <c r="CL303" s="12"/>
      <c r="CM303" s="12"/>
      <c r="CN303" s="12"/>
      <c r="CO303" s="12"/>
      <c r="CP303" s="12"/>
      <c r="CQ303" s="12"/>
      <c r="CR303" s="12"/>
      <c r="CS303" s="12"/>
      <c r="CT303" s="12"/>
      <c r="CU303" s="12"/>
      <c r="CV303" s="12"/>
      <c r="CW303" s="12"/>
      <c r="CX303" s="12"/>
      <c r="CY303" s="12"/>
      <c r="CZ303" s="12"/>
      <c r="DA303" s="12"/>
      <c r="DB303" s="12"/>
      <c r="DC303" s="12"/>
      <c r="DD303" s="12"/>
      <c r="DE303" s="12"/>
      <c r="DF303" s="12"/>
      <c r="DG303" s="12"/>
      <c r="DH303" s="12"/>
      <c r="DI303" s="12"/>
      <c r="DJ303" s="12"/>
      <c r="DK303" s="12"/>
      <c r="DL303" s="12"/>
      <c r="DM303" s="12"/>
      <c r="DN303" s="12"/>
      <c r="DO303" s="12"/>
      <c r="DP303" s="12"/>
      <c r="DQ303" s="12"/>
      <c r="DR303" s="12"/>
      <c r="DS303" s="12"/>
      <c r="DT303" s="12"/>
      <c r="DU303" s="12"/>
      <c r="DV303" s="12"/>
      <c r="DW303" s="12"/>
      <c r="DX303" s="12"/>
      <c r="DY303" s="12"/>
      <c r="DZ303" s="12"/>
      <c r="EA303" s="12"/>
      <c r="EB303" s="12"/>
      <c r="EC303" s="12"/>
      <c r="ED303" s="12"/>
      <c r="EE303" s="12"/>
      <c r="EF303" s="12"/>
      <c r="EG303" s="12"/>
      <c r="EH303" s="12"/>
      <c r="EI303" s="12"/>
      <c r="EJ303" s="574"/>
      <c r="EK303" s="574"/>
      <c r="EL303" s="574"/>
      <c r="EM303" s="574"/>
      <c r="EN303" s="574"/>
      <c r="EO303" s="574"/>
      <c r="EP303" s="574"/>
      <c r="EQ303" s="574"/>
      <c r="ER303" s="574"/>
      <c r="ES303" s="574"/>
      <c r="ET303" s="574"/>
      <c r="EU303" s="574"/>
    </row>
    <row r="304">
      <c r="A304" s="12"/>
      <c r="B304" s="55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  <c r="BD304" s="12"/>
      <c r="BE304" s="12"/>
      <c r="BF304" s="12"/>
      <c r="BG304" s="12"/>
      <c r="BH304" s="12"/>
      <c r="BI304" s="12"/>
      <c r="BJ304" s="12"/>
      <c r="BK304" s="12"/>
      <c r="BL304" s="12"/>
      <c r="BM304" s="12"/>
      <c r="BN304" s="12"/>
      <c r="BO304" s="12"/>
      <c r="BP304" s="12"/>
      <c r="BQ304" s="12"/>
      <c r="BR304" s="12"/>
      <c r="BS304" s="12"/>
      <c r="BT304" s="12"/>
      <c r="BU304" s="12"/>
      <c r="BV304" s="12"/>
      <c r="BW304" s="12"/>
      <c r="BX304" s="12"/>
      <c r="BY304" s="12"/>
      <c r="BZ304" s="12"/>
      <c r="CA304" s="12"/>
      <c r="CB304" s="12"/>
      <c r="CC304" s="12"/>
      <c r="CD304" s="12"/>
      <c r="CE304" s="12"/>
      <c r="CF304" s="12"/>
      <c r="CG304" s="12"/>
      <c r="CH304" s="12"/>
      <c r="CI304" s="12"/>
      <c r="CJ304" s="12"/>
      <c r="CK304" s="12"/>
      <c r="CL304" s="12"/>
      <c r="CM304" s="12"/>
      <c r="CN304" s="12"/>
      <c r="CO304" s="12"/>
      <c r="CP304" s="12"/>
      <c r="CQ304" s="12"/>
      <c r="CR304" s="12"/>
      <c r="CS304" s="12"/>
      <c r="CT304" s="12"/>
      <c r="CU304" s="12"/>
      <c r="CV304" s="12"/>
      <c r="CW304" s="12"/>
      <c r="CX304" s="12"/>
      <c r="CY304" s="12"/>
      <c r="CZ304" s="12"/>
      <c r="DA304" s="12"/>
      <c r="DB304" s="12"/>
      <c r="DC304" s="12"/>
      <c r="DD304" s="12"/>
      <c r="DE304" s="12"/>
      <c r="DF304" s="12"/>
      <c r="DG304" s="12"/>
      <c r="DH304" s="12"/>
      <c r="DI304" s="12"/>
      <c r="DJ304" s="12"/>
      <c r="DK304" s="12"/>
      <c r="DL304" s="12"/>
      <c r="DM304" s="12"/>
      <c r="DN304" s="12"/>
      <c r="DO304" s="12"/>
      <c r="DP304" s="12"/>
      <c r="DQ304" s="12"/>
      <c r="DR304" s="12"/>
      <c r="DS304" s="12"/>
      <c r="DT304" s="12"/>
      <c r="DU304" s="12"/>
      <c r="DV304" s="12"/>
      <c r="DW304" s="12"/>
      <c r="DX304" s="12"/>
      <c r="DY304" s="12"/>
      <c r="DZ304" s="12"/>
      <c r="EA304" s="12"/>
      <c r="EB304" s="12"/>
      <c r="EC304" s="12"/>
      <c r="ED304" s="12"/>
      <c r="EE304" s="12"/>
      <c r="EF304" s="12"/>
      <c r="EG304" s="12"/>
      <c r="EH304" s="12"/>
      <c r="EI304" s="12"/>
      <c r="EJ304" s="574"/>
      <c r="EK304" s="574"/>
      <c r="EL304" s="574"/>
      <c r="EM304" s="574"/>
      <c r="EN304" s="574"/>
      <c r="EO304" s="574"/>
      <c r="EP304" s="574"/>
      <c r="EQ304" s="574"/>
      <c r="ER304" s="574"/>
      <c r="ES304" s="574"/>
      <c r="ET304" s="574"/>
      <c r="EU304" s="574"/>
    </row>
    <row r="305">
      <c r="A305" s="12"/>
      <c r="B305" s="55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2"/>
      <c r="BF305" s="12"/>
      <c r="BG305" s="12"/>
      <c r="BH305" s="12"/>
      <c r="BI305" s="12"/>
      <c r="BJ305" s="12"/>
      <c r="BK305" s="12"/>
      <c r="BL305" s="12"/>
      <c r="BM305" s="12"/>
      <c r="BN305" s="12"/>
      <c r="BO305" s="12"/>
      <c r="BP305" s="12"/>
      <c r="BQ305" s="12"/>
      <c r="BR305" s="12"/>
      <c r="BS305" s="12"/>
      <c r="BT305" s="12"/>
      <c r="BU305" s="12"/>
      <c r="BV305" s="12"/>
      <c r="BW305" s="12"/>
      <c r="BX305" s="12"/>
      <c r="BY305" s="12"/>
      <c r="BZ305" s="12"/>
      <c r="CA305" s="12"/>
      <c r="CB305" s="12"/>
      <c r="CC305" s="12"/>
      <c r="CD305" s="12"/>
      <c r="CE305" s="12"/>
      <c r="CF305" s="12"/>
      <c r="CG305" s="12"/>
      <c r="CH305" s="12"/>
      <c r="CI305" s="12"/>
      <c r="CJ305" s="12"/>
      <c r="CK305" s="12"/>
      <c r="CL305" s="12"/>
      <c r="CM305" s="12"/>
      <c r="CN305" s="12"/>
      <c r="CO305" s="12"/>
      <c r="CP305" s="12"/>
      <c r="CQ305" s="12"/>
      <c r="CR305" s="12"/>
      <c r="CS305" s="12"/>
      <c r="CT305" s="12"/>
      <c r="CU305" s="12"/>
      <c r="CV305" s="12"/>
      <c r="CW305" s="12"/>
      <c r="CX305" s="12"/>
      <c r="CY305" s="12"/>
      <c r="CZ305" s="12"/>
      <c r="DA305" s="12"/>
      <c r="DB305" s="12"/>
      <c r="DC305" s="12"/>
      <c r="DD305" s="12"/>
      <c r="DE305" s="12"/>
      <c r="DF305" s="12"/>
      <c r="DG305" s="12"/>
      <c r="DH305" s="12"/>
      <c r="DI305" s="12"/>
      <c r="DJ305" s="12"/>
      <c r="DK305" s="12"/>
      <c r="DL305" s="12"/>
      <c r="DM305" s="12"/>
      <c r="DN305" s="12"/>
      <c r="DO305" s="12"/>
      <c r="DP305" s="12"/>
      <c r="DQ305" s="12"/>
      <c r="DR305" s="12"/>
      <c r="DS305" s="12"/>
      <c r="DT305" s="12"/>
      <c r="DU305" s="12"/>
      <c r="DV305" s="12"/>
      <c r="DW305" s="12"/>
      <c r="DX305" s="12"/>
      <c r="DY305" s="12"/>
      <c r="DZ305" s="12"/>
      <c r="EA305" s="12"/>
      <c r="EB305" s="12"/>
      <c r="EC305" s="12"/>
      <c r="ED305" s="12"/>
      <c r="EE305" s="12"/>
      <c r="EF305" s="12"/>
      <c r="EG305" s="12"/>
      <c r="EH305" s="12"/>
      <c r="EI305" s="12"/>
      <c r="EJ305" s="574"/>
      <c r="EK305" s="574"/>
      <c r="EL305" s="574"/>
      <c r="EM305" s="574"/>
      <c r="EN305" s="574"/>
      <c r="EO305" s="574"/>
      <c r="EP305" s="574"/>
      <c r="EQ305" s="574"/>
      <c r="ER305" s="574"/>
      <c r="ES305" s="574"/>
      <c r="ET305" s="574"/>
      <c r="EU305" s="574"/>
    </row>
    <row r="306">
      <c r="A306" s="12"/>
      <c r="B306" s="55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  <c r="BE306" s="12"/>
      <c r="BF306" s="12"/>
      <c r="BG306" s="12"/>
      <c r="BH306" s="12"/>
      <c r="BI306" s="12"/>
      <c r="BJ306" s="12"/>
      <c r="BK306" s="12"/>
      <c r="BL306" s="12"/>
      <c r="BM306" s="12"/>
      <c r="BN306" s="12"/>
      <c r="BO306" s="12"/>
      <c r="BP306" s="12"/>
      <c r="BQ306" s="12"/>
      <c r="BR306" s="12"/>
      <c r="BS306" s="12"/>
      <c r="BT306" s="12"/>
      <c r="BU306" s="12"/>
      <c r="BV306" s="12"/>
      <c r="BW306" s="12"/>
      <c r="BX306" s="12"/>
      <c r="BY306" s="12"/>
      <c r="BZ306" s="12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574"/>
      <c r="EK306" s="574"/>
      <c r="EL306" s="574"/>
      <c r="EM306" s="574"/>
      <c r="EN306" s="574"/>
      <c r="EO306" s="574"/>
      <c r="EP306" s="574"/>
      <c r="EQ306" s="574"/>
      <c r="ER306" s="574"/>
      <c r="ES306" s="574"/>
      <c r="ET306" s="574"/>
      <c r="EU306" s="574"/>
    </row>
    <row r="307">
      <c r="A307" s="12"/>
      <c r="B307" s="55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  <c r="BF307" s="12"/>
      <c r="BG307" s="12"/>
      <c r="BH307" s="12"/>
      <c r="BI307" s="12"/>
      <c r="BJ307" s="12"/>
      <c r="BK307" s="12"/>
      <c r="BL307" s="12"/>
      <c r="BM307" s="12"/>
      <c r="BN307" s="12"/>
      <c r="BO307" s="12"/>
      <c r="BP307" s="12"/>
      <c r="BQ307" s="12"/>
      <c r="BR307" s="12"/>
      <c r="BS307" s="12"/>
      <c r="BT307" s="12"/>
      <c r="BU307" s="12"/>
      <c r="BV307" s="12"/>
      <c r="BW307" s="12"/>
      <c r="BX307" s="12"/>
      <c r="BY307" s="12"/>
      <c r="BZ307" s="12"/>
      <c r="CA307" s="12"/>
      <c r="CB307" s="12"/>
      <c r="CC307" s="12"/>
      <c r="CD307" s="12"/>
      <c r="CE307" s="12"/>
      <c r="CF307" s="12"/>
      <c r="CG307" s="12"/>
      <c r="CH307" s="12"/>
      <c r="CI307" s="12"/>
      <c r="CJ307" s="12"/>
      <c r="CK307" s="12"/>
      <c r="CL307" s="12"/>
      <c r="CM307" s="12"/>
      <c r="CN307" s="12"/>
      <c r="CO307" s="12"/>
      <c r="CP307" s="12"/>
      <c r="CQ307" s="12"/>
      <c r="CR307" s="12"/>
      <c r="CS307" s="12"/>
      <c r="CT307" s="12"/>
      <c r="CU307" s="12"/>
      <c r="CV307" s="12"/>
      <c r="CW307" s="12"/>
      <c r="CX307" s="12"/>
      <c r="CY307" s="12"/>
      <c r="CZ307" s="12"/>
      <c r="DA307" s="12"/>
      <c r="DB307" s="12"/>
      <c r="DC307" s="12"/>
      <c r="DD307" s="12"/>
      <c r="DE307" s="12"/>
      <c r="DF307" s="12"/>
      <c r="DG307" s="12"/>
      <c r="DH307" s="12"/>
      <c r="DI307" s="12"/>
      <c r="DJ307" s="12"/>
      <c r="DK307" s="12"/>
      <c r="DL307" s="12"/>
      <c r="DM307" s="12"/>
      <c r="DN307" s="12"/>
      <c r="DO307" s="12"/>
      <c r="DP307" s="12"/>
      <c r="DQ307" s="12"/>
      <c r="DR307" s="12"/>
      <c r="DS307" s="12"/>
      <c r="DT307" s="12"/>
      <c r="DU307" s="12"/>
      <c r="DV307" s="12"/>
      <c r="DW307" s="12"/>
      <c r="DX307" s="12"/>
      <c r="DY307" s="12"/>
      <c r="DZ307" s="12"/>
      <c r="EA307" s="12"/>
      <c r="EB307" s="12"/>
      <c r="EC307" s="12"/>
      <c r="ED307" s="12"/>
      <c r="EE307" s="12"/>
      <c r="EF307" s="12"/>
      <c r="EG307" s="12"/>
      <c r="EH307" s="12"/>
      <c r="EI307" s="12"/>
      <c r="EJ307" s="574"/>
      <c r="EK307" s="574"/>
      <c r="EL307" s="574"/>
      <c r="EM307" s="574"/>
      <c r="EN307" s="574"/>
      <c r="EO307" s="574"/>
      <c r="EP307" s="574"/>
      <c r="EQ307" s="574"/>
      <c r="ER307" s="574"/>
      <c r="ES307" s="574"/>
      <c r="ET307" s="574"/>
      <c r="EU307" s="574"/>
    </row>
    <row r="308">
      <c r="A308" s="12"/>
      <c r="B308" s="55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  <c r="BD308" s="12"/>
      <c r="BE308" s="12"/>
      <c r="BF308" s="12"/>
      <c r="BG308" s="12"/>
      <c r="BH308" s="12"/>
      <c r="BI308" s="12"/>
      <c r="BJ308" s="12"/>
      <c r="BK308" s="12"/>
      <c r="BL308" s="12"/>
      <c r="BM308" s="12"/>
      <c r="BN308" s="12"/>
      <c r="BO308" s="12"/>
      <c r="BP308" s="12"/>
      <c r="BQ308" s="12"/>
      <c r="BR308" s="12"/>
      <c r="BS308" s="12"/>
      <c r="BT308" s="12"/>
      <c r="BU308" s="12"/>
      <c r="BV308" s="12"/>
      <c r="BW308" s="12"/>
      <c r="BX308" s="12"/>
      <c r="BY308" s="12"/>
      <c r="BZ308" s="12"/>
      <c r="CA308" s="12"/>
      <c r="CB308" s="12"/>
      <c r="CC308" s="12"/>
      <c r="CD308" s="12"/>
      <c r="CE308" s="12"/>
      <c r="CF308" s="12"/>
      <c r="CG308" s="12"/>
      <c r="CH308" s="12"/>
      <c r="CI308" s="12"/>
      <c r="CJ308" s="12"/>
      <c r="CK308" s="12"/>
      <c r="CL308" s="12"/>
      <c r="CM308" s="12"/>
      <c r="CN308" s="12"/>
      <c r="CO308" s="12"/>
      <c r="CP308" s="12"/>
      <c r="CQ308" s="12"/>
      <c r="CR308" s="12"/>
      <c r="CS308" s="12"/>
      <c r="CT308" s="12"/>
      <c r="CU308" s="12"/>
      <c r="CV308" s="12"/>
      <c r="CW308" s="12"/>
      <c r="CX308" s="12"/>
      <c r="CY308" s="12"/>
      <c r="CZ308" s="12"/>
      <c r="DA308" s="12"/>
      <c r="DB308" s="12"/>
      <c r="DC308" s="12"/>
      <c r="DD308" s="12"/>
      <c r="DE308" s="12"/>
      <c r="DF308" s="12"/>
      <c r="DG308" s="12"/>
      <c r="DH308" s="12"/>
      <c r="DI308" s="12"/>
      <c r="DJ308" s="12"/>
      <c r="DK308" s="12"/>
      <c r="DL308" s="12"/>
      <c r="DM308" s="12"/>
      <c r="DN308" s="12"/>
      <c r="DO308" s="12"/>
      <c r="DP308" s="12"/>
      <c r="DQ308" s="12"/>
      <c r="DR308" s="12"/>
      <c r="DS308" s="12"/>
      <c r="DT308" s="12"/>
      <c r="DU308" s="12"/>
      <c r="DV308" s="12"/>
      <c r="DW308" s="12"/>
      <c r="DX308" s="12"/>
      <c r="DY308" s="12"/>
      <c r="DZ308" s="12"/>
      <c r="EA308" s="12"/>
      <c r="EB308" s="12"/>
      <c r="EC308" s="12"/>
      <c r="ED308" s="12"/>
      <c r="EE308" s="12"/>
      <c r="EF308" s="12"/>
      <c r="EG308" s="12"/>
      <c r="EH308" s="12"/>
      <c r="EI308" s="12"/>
      <c r="EJ308" s="574"/>
      <c r="EK308" s="574"/>
      <c r="EL308" s="574"/>
      <c r="EM308" s="574"/>
      <c r="EN308" s="574"/>
      <c r="EO308" s="574"/>
      <c r="EP308" s="574"/>
      <c r="EQ308" s="574"/>
      <c r="ER308" s="574"/>
      <c r="ES308" s="574"/>
      <c r="ET308" s="574"/>
      <c r="EU308" s="574"/>
    </row>
    <row r="309">
      <c r="A309" s="12"/>
      <c r="B309" s="55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  <c r="BD309" s="12"/>
      <c r="BE309" s="12"/>
      <c r="BF309" s="12"/>
      <c r="BG309" s="12"/>
      <c r="BH309" s="12"/>
      <c r="BI309" s="12"/>
      <c r="BJ309" s="12"/>
      <c r="BK309" s="12"/>
      <c r="BL309" s="12"/>
      <c r="BM309" s="12"/>
      <c r="BN309" s="12"/>
      <c r="BO309" s="12"/>
      <c r="BP309" s="12"/>
      <c r="BQ309" s="12"/>
      <c r="BR309" s="12"/>
      <c r="BS309" s="12"/>
      <c r="BT309" s="12"/>
      <c r="BU309" s="12"/>
      <c r="BV309" s="12"/>
      <c r="BW309" s="12"/>
      <c r="BX309" s="12"/>
      <c r="BY309" s="12"/>
      <c r="BZ309" s="12"/>
      <c r="CA309" s="12"/>
      <c r="CB309" s="12"/>
      <c r="CC309" s="12"/>
      <c r="CD309" s="12"/>
      <c r="CE309" s="12"/>
      <c r="CF309" s="12"/>
      <c r="CG309" s="12"/>
      <c r="CH309" s="12"/>
      <c r="CI309" s="12"/>
      <c r="CJ309" s="12"/>
      <c r="CK309" s="12"/>
      <c r="CL309" s="12"/>
      <c r="CM309" s="12"/>
      <c r="CN309" s="12"/>
      <c r="CO309" s="12"/>
      <c r="CP309" s="12"/>
      <c r="CQ309" s="12"/>
      <c r="CR309" s="12"/>
      <c r="CS309" s="12"/>
      <c r="CT309" s="12"/>
      <c r="CU309" s="12"/>
      <c r="CV309" s="12"/>
      <c r="CW309" s="12"/>
      <c r="CX309" s="12"/>
      <c r="CY309" s="12"/>
      <c r="CZ309" s="12"/>
      <c r="DA309" s="12"/>
      <c r="DB309" s="12"/>
      <c r="DC309" s="12"/>
      <c r="DD309" s="12"/>
      <c r="DE309" s="12"/>
      <c r="DF309" s="12"/>
      <c r="DG309" s="12"/>
      <c r="DH309" s="12"/>
      <c r="DI309" s="12"/>
      <c r="DJ309" s="12"/>
      <c r="DK309" s="12"/>
      <c r="DL309" s="12"/>
      <c r="DM309" s="12"/>
      <c r="DN309" s="12"/>
      <c r="DO309" s="12"/>
      <c r="DP309" s="12"/>
      <c r="DQ309" s="12"/>
      <c r="DR309" s="12"/>
      <c r="DS309" s="12"/>
      <c r="DT309" s="12"/>
      <c r="DU309" s="12"/>
      <c r="DV309" s="12"/>
      <c r="DW309" s="12"/>
      <c r="DX309" s="12"/>
      <c r="DY309" s="12"/>
      <c r="DZ309" s="12"/>
      <c r="EA309" s="12"/>
      <c r="EB309" s="12"/>
      <c r="EC309" s="12"/>
      <c r="ED309" s="12"/>
      <c r="EE309" s="12"/>
      <c r="EF309" s="12"/>
      <c r="EG309" s="12"/>
      <c r="EH309" s="12"/>
      <c r="EI309" s="12"/>
      <c r="EJ309" s="574"/>
      <c r="EK309" s="574"/>
      <c r="EL309" s="574"/>
      <c r="EM309" s="574"/>
      <c r="EN309" s="574"/>
      <c r="EO309" s="574"/>
      <c r="EP309" s="574"/>
      <c r="EQ309" s="574"/>
      <c r="ER309" s="574"/>
      <c r="ES309" s="574"/>
      <c r="ET309" s="574"/>
      <c r="EU309" s="574"/>
    </row>
    <row r="310">
      <c r="A310" s="12"/>
      <c r="B310" s="55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  <c r="BD310" s="12"/>
      <c r="BE310" s="12"/>
      <c r="BF310" s="12"/>
      <c r="BG310" s="12"/>
      <c r="BH310" s="12"/>
      <c r="BI310" s="12"/>
      <c r="BJ310" s="12"/>
      <c r="BK310" s="12"/>
      <c r="BL310" s="12"/>
      <c r="BM310" s="12"/>
      <c r="BN310" s="12"/>
      <c r="BO310" s="12"/>
      <c r="BP310" s="12"/>
      <c r="BQ310" s="12"/>
      <c r="BR310" s="12"/>
      <c r="BS310" s="12"/>
      <c r="BT310" s="12"/>
      <c r="BU310" s="12"/>
      <c r="BV310" s="12"/>
      <c r="BW310" s="12"/>
      <c r="BX310" s="12"/>
      <c r="BY310" s="12"/>
      <c r="BZ310" s="12"/>
      <c r="CA310" s="12"/>
      <c r="CB310" s="12"/>
      <c r="CC310" s="12"/>
      <c r="CD310" s="12"/>
      <c r="CE310" s="12"/>
      <c r="CF310" s="12"/>
      <c r="CG310" s="12"/>
      <c r="CH310" s="12"/>
      <c r="CI310" s="12"/>
      <c r="CJ310" s="12"/>
      <c r="CK310" s="12"/>
      <c r="CL310" s="12"/>
      <c r="CM310" s="12"/>
      <c r="CN310" s="12"/>
      <c r="CO310" s="12"/>
      <c r="CP310" s="12"/>
      <c r="CQ310" s="12"/>
      <c r="CR310" s="12"/>
      <c r="CS310" s="12"/>
      <c r="CT310" s="12"/>
      <c r="CU310" s="12"/>
      <c r="CV310" s="12"/>
      <c r="CW310" s="12"/>
      <c r="CX310" s="12"/>
      <c r="CY310" s="12"/>
      <c r="CZ310" s="12"/>
      <c r="DA310" s="12"/>
      <c r="DB310" s="12"/>
      <c r="DC310" s="12"/>
      <c r="DD310" s="12"/>
      <c r="DE310" s="12"/>
      <c r="DF310" s="12"/>
      <c r="DG310" s="12"/>
      <c r="DH310" s="12"/>
      <c r="DI310" s="12"/>
      <c r="DJ310" s="12"/>
      <c r="DK310" s="12"/>
      <c r="DL310" s="12"/>
      <c r="DM310" s="12"/>
      <c r="DN310" s="12"/>
      <c r="DO310" s="12"/>
      <c r="DP310" s="12"/>
      <c r="DQ310" s="12"/>
      <c r="DR310" s="12"/>
      <c r="DS310" s="12"/>
      <c r="DT310" s="12"/>
      <c r="DU310" s="12"/>
      <c r="DV310" s="12"/>
      <c r="DW310" s="12"/>
      <c r="DX310" s="12"/>
      <c r="DY310" s="12"/>
      <c r="DZ310" s="12"/>
      <c r="EA310" s="12"/>
      <c r="EB310" s="12"/>
      <c r="EC310" s="12"/>
      <c r="ED310" s="12"/>
      <c r="EE310" s="12"/>
      <c r="EF310" s="12"/>
      <c r="EG310" s="12"/>
      <c r="EH310" s="12"/>
      <c r="EI310" s="12"/>
      <c r="EJ310" s="574"/>
      <c r="EK310" s="574"/>
      <c r="EL310" s="574"/>
      <c r="EM310" s="574"/>
      <c r="EN310" s="574"/>
      <c r="EO310" s="574"/>
      <c r="EP310" s="574"/>
      <c r="EQ310" s="574"/>
      <c r="ER310" s="574"/>
      <c r="ES310" s="574"/>
      <c r="ET310" s="574"/>
      <c r="EU310" s="574"/>
    </row>
    <row r="311">
      <c r="A311" s="12"/>
      <c r="B311" s="55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  <c r="BE311" s="12"/>
      <c r="BF311" s="12"/>
      <c r="BG311" s="12"/>
      <c r="BH311" s="12"/>
      <c r="BI311" s="12"/>
      <c r="BJ311" s="12"/>
      <c r="BK311" s="12"/>
      <c r="BL311" s="12"/>
      <c r="BM311" s="12"/>
      <c r="BN311" s="12"/>
      <c r="BO311" s="12"/>
      <c r="BP311" s="12"/>
      <c r="BQ311" s="12"/>
      <c r="BR311" s="12"/>
      <c r="BS311" s="12"/>
      <c r="BT311" s="12"/>
      <c r="BU311" s="12"/>
      <c r="BV311" s="12"/>
      <c r="BW311" s="12"/>
      <c r="BX311" s="12"/>
      <c r="BY311" s="12"/>
      <c r="BZ311" s="12"/>
      <c r="CA311" s="12"/>
      <c r="CB311" s="12"/>
      <c r="CC311" s="12"/>
      <c r="CD311" s="12"/>
      <c r="CE311" s="12"/>
      <c r="CF311" s="12"/>
      <c r="CG311" s="12"/>
      <c r="CH311" s="12"/>
      <c r="CI311" s="12"/>
      <c r="CJ311" s="12"/>
      <c r="CK311" s="12"/>
      <c r="CL311" s="12"/>
      <c r="CM311" s="12"/>
      <c r="CN311" s="12"/>
      <c r="CO311" s="12"/>
      <c r="CP311" s="12"/>
      <c r="CQ311" s="12"/>
      <c r="CR311" s="12"/>
      <c r="CS311" s="12"/>
      <c r="CT311" s="12"/>
      <c r="CU311" s="12"/>
      <c r="CV311" s="12"/>
      <c r="CW311" s="12"/>
      <c r="CX311" s="12"/>
      <c r="CY311" s="12"/>
      <c r="CZ311" s="12"/>
      <c r="DA311" s="12"/>
      <c r="DB311" s="12"/>
      <c r="DC311" s="12"/>
      <c r="DD311" s="12"/>
      <c r="DE311" s="12"/>
      <c r="DF311" s="12"/>
      <c r="DG311" s="12"/>
      <c r="DH311" s="12"/>
      <c r="DI311" s="12"/>
      <c r="DJ311" s="12"/>
      <c r="DK311" s="12"/>
      <c r="DL311" s="12"/>
      <c r="DM311" s="12"/>
      <c r="DN311" s="12"/>
      <c r="DO311" s="12"/>
      <c r="DP311" s="12"/>
      <c r="DQ311" s="12"/>
      <c r="DR311" s="12"/>
      <c r="DS311" s="12"/>
      <c r="DT311" s="12"/>
      <c r="DU311" s="12"/>
      <c r="DV311" s="12"/>
      <c r="DW311" s="12"/>
      <c r="DX311" s="12"/>
      <c r="DY311" s="12"/>
      <c r="DZ311" s="12"/>
      <c r="EA311" s="12"/>
      <c r="EB311" s="12"/>
      <c r="EC311" s="12"/>
      <c r="ED311" s="12"/>
      <c r="EE311" s="12"/>
      <c r="EF311" s="12"/>
      <c r="EG311" s="12"/>
      <c r="EH311" s="12"/>
      <c r="EI311" s="12"/>
      <c r="EJ311" s="574"/>
      <c r="EK311" s="574"/>
      <c r="EL311" s="574"/>
      <c r="EM311" s="574"/>
      <c r="EN311" s="574"/>
      <c r="EO311" s="574"/>
      <c r="EP311" s="574"/>
      <c r="EQ311" s="574"/>
      <c r="ER311" s="574"/>
      <c r="ES311" s="574"/>
      <c r="ET311" s="574"/>
      <c r="EU311" s="574"/>
    </row>
    <row r="312">
      <c r="A312" s="12"/>
      <c r="B312" s="55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2"/>
      <c r="BE312" s="12"/>
      <c r="BF312" s="12"/>
      <c r="BG312" s="12"/>
      <c r="BH312" s="12"/>
      <c r="BI312" s="12"/>
      <c r="BJ312" s="12"/>
      <c r="BK312" s="12"/>
      <c r="BL312" s="12"/>
      <c r="BM312" s="12"/>
      <c r="BN312" s="12"/>
      <c r="BO312" s="12"/>
      <c r="BP312" s="12"/>
      <c r="BQ312" s="12"/>
      <c r="BR312" s="12"/>
      <c r="BS312" s="12"/>
      <c r="BT312" s="12"/>
      <c r="BU312" s="12"/>
      <c r="BV312" s="12"/>
      <c r="BW312" s="12"/>
      <c r="BX312" s="12"/>
      <c r="BY312" s="12"/>
      <c r="BZ312" s="12"/>
      <c r="CA312" s="12"/>
      <c r="CB312" s="12"/>
      <c r="CC312" s="12"/>
      <c r="CD312" s="12"/>
      <c r="CE312" s="12"/>
      <c r="CF312" s="12"/>
      <c r="CG312" s="12"/>
      <c r="CH312" s="12"/>
      <c r="CI312" s="12"/>
      <c r="CJ312" s="12"/>
      <c r="CK312" s="12"/>
      <c r="CL312" s="12"/>
      <c r="CM312" s="12"/>
      <c r="CN312" s="12"/>
      <c r="CO312" s="12"/>
      <c r="CP312" s="12"/>
      <c r="CQ312" s="12"/>
      <c r="CR312" s="12"/>
      <c r="CS312" s="12"/>
      <c r="CT312" s="12"/>
      <c r="CU312" s="12"/>
      <c r="CV312" s="12"/>
      <c r="CW312" s="12"/>
      <c r="CX312" s="12"/>
      <c r="CY312" s="12"/>
      <c r="CZ312" s="12"/>
      <c r="DA312" s="12"/>
      <c r="DB312" s="12"/>
      <c r="DC312" s="12"/>
      <c r="DD312" s="12"/>
      <c r="DE312" s="12"/>
      <c r="DF312" s="12"/>
      <c r="DG312" s="12"/>
      <c r="DH312" s="12"/>
      <c r="DI312" s="12"/>
      <c r="DJ312" s="12"/>
      <c r="DK312" s="12"/>
      <c r="DL312" s="12"/>
      <c r="DM312" s="12"/>
      <c r="DN312" s="12"/>
      <c r="DO312" s="12"/>
      <c r="DP312" s="12"/>
      <c r="DQ312" s="12"/>
      <c r="DR312" s="12"/>
      <c r="DS312" s="12"/>
      <c r="DT312" s="12"/>
      <c r="DU312" s="12"/>
      <c r="DV312" s="12"/>
      <c r="DW312" s="12"/>
      <c r="DX312" s="12"/>
      <c r="DY312" s="12"/>
      <c r="DZ312" s="12"/>
      <c r="EA312" s="12"/>
      <c r="EB312" s="12"/>
      <c r="EC312" s="12"/>
      <c r="ED312" s="12"/>
      <c r="EE312" s="12"/>
      <c r="EF312" s="12"/>
      <c r="EG312" s="12"/>
      <c r="EH312" s="12"/>
      <c r="EI312" s="12"/>
      <c r="EJ312" s="574"/>
      <c r="EK312" s="574"/>
      <c r="EL312" s="574"/>
      <c r="EM312" s="574"/>
      <c r="EN312" s="574"/>
      <c r="EO312" s="574"/>
      <c r="EP312" s="574"/>
      <c r="EQ312" s="574"/>
      <c r="ER312" s="574"/>
      <c r="ES312" s="574"/>
      <c r="ET312" s="574"/>
      <c r="EU312" s="574"/>
    </row>
    <row r="313">
      <c r="A313" s="12"/>
      <c r="B313" s="55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  <c r="BF313" s="12"/>
      <c r="BG313" s="12"/>
      <c r="BH313" s="12"/>
      <c r="BI313" s="12"/>
      <c r="BJ313" s="12"/>
      <c r="BK313" s="12"/>
      <c r="BL313" s="12"/>
      <c r="BM313" s="12"/>
      <c r="BN313" s="12"/>
      <c r="BO313" s="12"/>
      <c r="BP313" s="12"/>
      <c r="BQ313" s="12"/>
      <c r="BR313" s="12"/>
      <c r="BS313" s="12"/>
      <c r="BT313" s="12"/>
      <c r="BU313" s="12"/>
      <c r="BV313" s="12"/>
      <c r="BW313" s="12"/>
      <c r="BX313" s="12"/>
      <c r="BY313" s="12"/>
      <c r="BZ313" s="12"/>
      <c r="CA313" s="12"/>
      <c r="CB313" s="12"/>
      <c r="CC313" s="12"/>
      <c r="CD313" s="12"/>
      <c r="CE313" s="12"/>
      <c r="CF313" s="12"/>
      <c r="CG313" s="12"/>
      <c r="CH313" s="12"/>
      <c r="CI313" s="12"/>
      <c r="CJ313" s="12"/>
      <c r="CK313" s="12"/>
      <c r="CL313" s="12"/>
      <c r="CM313" s="12"/>
      <c r="CN313" s="12"/>
      <c r="CO313" s="12"/>
      <c r="CP313" s="12"/>
      <c r="CQ313" s="12"/>
      <c r="CR313" s="12"/>
      <c r="CS313" s="12"/>
      <c r="CT313" s="12"/>
      <c r="CU313" s="12"/>
      <c r="CV313" s="12"/>
      <c r="CW313" s="12"/>
      <c r="CX313" s="12"/>
      <c r="CY313" s="12"/>
      <c r="CZ313" s="12"/>
      <c r="DA313" s="12"/>
      <c r="DB313" s="12"/>
      <c r="DC313" s="12"/>
      <c r="DD313" s="12"/>
      <c r="DE313" s="12"/>
      <c r="DF313" s="12"/>
      <c r="DG313" s="12"/>
      <c r="DH313" s="12"/>
      <c r="DI313" s="12"/>
      <c r="DJ313" s="12"/>
      <c r="DK313" s="12"/>
      <c r="DL313" s="12"/>
      <c r="DM313" s="12"/>
      <c r="DN313" s="12"/>
      <c r="DO313" s="12"/>
      <c r="DP313" s="12"/>
      <c r="DQ313" s="12"/>
      <c r="DR313" s="12"/>
      <c r="DS313" s="12"/>
      <c r="DT313" s="12"/>
      <c r="DU313" s="12"/>
      <c r="DV313" s="12"/>
      <c r="DW313" s="12"/>
      <c r="DX313" s="12"/>
      <c r="DY313" s="12"/>
      <c r="DZ313" s="12"/>
      <c r="EA313" s="12"/>
      <c r="EB313" s="12"/>
      <c r="EC313" s="12"/>
      <c r="ED313" s="12"/>
      <c r="EE313" s="12"/>
      <c r="EF313" s="12"/>
      <c r="EG313" s="12"/>
      <c r="EH313" s="12"/>
      <c r="EI313" s="12"/>
      <c r="EJ313" s="574"/>
      <c r="EK313" s="574"/>
      <c r="EL313" s="574"/>
      <c r="EM313" s="574"/>
      <c r="EN313" s="574"/>
      <c r="EO313" s="574"/>
      <c r="EP313" s="574"/>
      <c r="EQ313" s="574"/>
      <c r="ER313" s="574"/>
      <c r="ES313" s="574"/>
      <c r="ET313" s="574"/>
      <c r="EU313" s="574"/>
    </row>
    <row r="314">
      <c r="A314" s="12"/>
      <c r="B314" s="55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  <c r="BE314" s="12"/>
      <c r="BF314" s="12"/>
      <c r="BG314" s="12"/>
      <c r="BH314" s="12"/>
      <c r="BI314" s="12"/>
      <c r="BJ314" s="12"/>
      <c r="BK314" s="12"/>
      <c r="BL314" s="12"/>
      <c r="BM314" s="12"/>
      <c r="BN314" s="12"/>
      <c r="BO314" s="12"/>
      <c r="BP314" s="12"/>
      <c r="BQ314" s="12"/>
      <c r="BR314" s="12"/>
      <c r="BS314" s="12"/>
      <c r="BT314" s="12"/>
      <c r="BU314" s="12"/>
      <c r="BV314" s="12"/>
      <c r="BW314" s="12"/>
      <c r="BX314" s="12"/>
      <c r="BY314" s="12"/>
      <c r="BZ314" s="12"/>
      <c r="CA314" s="12"/>
      <c r="CB314" s="12"/>
      <c r="CC314" s="12"/>
      <c r="CD314" s="12"/>
      <c r="CE314" s="12"/>
      <c r="CF314" s="12"/>
      <c r="CG314" s="12"/>
      <c r="CH314" s="12"/>
      <c r="CI314" s="12"/>
      <c r="CJ314" s="12"/>
      <c r="CK314" s="12"/>
      <c r="CL314" s="12"/>
      <c r="CM314" s="12"/>
      <c r="CN314" s="12"/>
      <c r="CO314" s="12"/>
      <c r="CP314" s="12"/>
      <c r="CQ314" s="12"/>
      <c r="CR314" s="12"/>
      <c r="CS314" s="12"/>
      <c r="CT314" s="12"/>
      <c r="CU314" s="12"/>
      <c r="CV314" s="12"/>
      <c r="CW314" s="12"/>
      <c r="CX314" s="12"/>
      <c r="CY314" s="12"/>
      <c r="CZ314" s="12"/>
      <c r="DA314" s="12"/>
      <c r="DB314" s="12"/>
      <c r="DC314" s="12"/>
      <c r="DD314" s="12"/>
      <c r="DE314" s="12"/>
      <c r="DF314" s="12"/>
      <c r="DG314" s="12"/>
      <c r="DH314" s="12"/>
      <c r="DI314" s="12"/>
      <c r="DJ314" s="12"/>
      <c r="DK314" s="12"/>
      <c r="DL314" s="12"/>
      <c r="DM314" s="12"/>
      <c r="DN314" s="12"/>
      <c r="DO314" s="12"/>
      <c r="DP314" s="12"/>
      <c r="DQ314" s="12"/>
      <c r="DR314" s="12"/>
      <c r="DS314" s="12"/>
      <c r="DT314" s="12"/>
      <c r="DU314" s="12"/>
      <c r="DV314" s="12"/>
      <c r="DW314" s="12"/>
      <c r="DX314" s="12"/>
      <c r="DY314" s="12"/>
      <c r="DZ314" s="12"/>
      <c r="EA314" s="12"/>
      <c r="EB314" s="12"/>
      <c r="EC314" s="12"/>
      <c r="ED314" s="12"/>
      <c r="EE314" s="12"/>
      <c r="EF314" s="12"/>
      <c r="EG314" s="12"/>
      <c r="EH314" s="12"/>
      <c r="EI314" s="12"/>
      <c r="EJ314" s="574"/>
      <c r="EK314" s="574"/>
      <c r="EL314" s="574"/>
      <c r="EM314" s="574"/>
      <c r="EN314" s="574"/>
      <c r="EO314" s="574"/>
      <c r="EP314" s="574"/>
      <c r="EQ314" s="574"/>
      <c r="ER314" s="574"/>
      <c r="ES314" s="574"/>
      <c r="ET314" s="574"/>
      <c r="EU314" s="574"/>
    </row>
    <row r="315">
      <c r="A315" s="12"/>
      <c r="B315" s="55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  <c r="BD315" s="12"/>
      <c r="BE315" s="12"/>
      <c r="BF315" s="12"/>
      <c r="BG315" s="12"/>
      <c r="BH315" s="12"/>
      <c r="BI315" s="12"/>
      <c r="BJ315" s="12"/>
      <c r="BK315" s="12"/>
      <c r="BL315" s="12"/>
      <c r="BM315" s="12"/>
      <c r="BN315" s="12"/>
      <c r="BO315" s="12"/>
      <c r="BP315" s="12"/>
      <c r="BQ315" s="12"/>
      <c r="BR315" s="12"/>
      <c r="BS315" s="12"/>
      <c r="BT315" s="12"/>
      <c r="BU315" s="12"/>
      <c r="BV315" s="12"/>
      <c r="BW315" s="12"/>
      <c r="BX315" s="12"/>
      <c r="BY315" s="12"/>
      <c r="BZ315" s="12"/>
      <c r="CA315" s="12"/>
      <c r="CB315" s="12"/>
      <c r="CC315" s="12"/>
      <c r="CD315" s="12"/>
      <c r="CE315" s="12"/>
      <c r="CF315" s="12"/>
      <c r="CG315" s="12"/>
      <c r="CH315" s="12"/>
      <c r="CI315" s="12"/>
      <c r="CJ315" s="12"/>
      <c r="CK315" s="12"/>
      <c r="CL315" s="12"/>
      <c r="CM315" s="12"/>
      <c r="CN315" s="12"/>
      <c r="CO315" s="12"/>
      <c r="CP315" s="12"/>
      <c r="CQ315" s="12"/>
      <c r="CR315" s="12"/>
      <c r="CS315" s="12"/>
      <c r="CT315" s="12"/>
      <c r="CU315" s="12"/>
      <c r="CV315" s="12"/>
      <c r="CW315" s="12"/>
      <c r="CX315" s="12"/>
      <c r="CY315" s="12"/>
      <c r="CZ315" s="12"/>
      <c r="DA315" s="12"/>
      <c r="DB315" s="12"/>
      <c r="DC315" s="12"/>
      <c r="DD315" s="12"/>
      <c r="DE315" s="12"/>
      <c r="DF315" s="12"/>
      <c r="DG315" s="12"/>
      <c r="DH315" s="12"/>
      <c r="DI315" s="12"/>
      <c r="DJ315" s="12"/>
      <c r="DK315" s="12"/>
      <c r="DL315" s="12"/>
      <c r="DM315" s="12"/>
      <c r="DN315" s="12"/>
      <c r="DO315" s="12"/>
      <c r="DP315" s="12"/>
      <c r="DQ315" s="12"/>
      <c r="DR315" s="12"/>
      <c r="DS315" s="12"/>
      <c r="DT315" s="12"/>
      <c r="DU315" s="12"/>
      <c r="DV315" s="12"/>
      <c r="DW315" s="12"/>
      <c r="DX315" s="12"/>
      <c r="DY315" s="12"/>
      <c r="DZ315" s="12"/>
      <c r="EA315" s="12"/>
      <c r="EB315" s="12"/>
      <c r="EC315" s="12"/>
      <c r="ED315" s="12"/>
      <c r="EE315" s="12"/>
      <c r="EF315" s="12"/>
      <c r="EG315" s="12"/>
      <c r="EH315" s="12"/>
      <c r="EI315" s="12"/>
      <c r="EJ315" s="574"/>
      <c r="EK315" s="574"/>
      <c r="EL315" s="574"/>
      <c r="EM315" s="574"/>
      <c r="EN315" s="574"/>
      <c r="EO315" s="574"/>
      <c r="EP315" s="574"/>
      <c r="EQ315" s="574"/>
      <c r="ER315" s="574"/>
      <c r="ES315" s="574"/>
      <c r="ET315" s="574"/>
      <c r="EU315" s="574"/>
    </row>
    <row r="316">
      <c r="A316" s="12"/>
      <c r="B316" s="55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/>
      <c r="BD316" s="12"/>
      <c r="BE316" s="12"/>
      <c r="BF316" s="12"/>
      <c r="BG316" s="12"/>
      <c r="BH316" s="12"/>
      <c r="BI316" s="12"/>
      <c r="BJ316" s="12"/>
      <c r="BK316" s="12"/>
      <c r="BL316" s="12"/>
      <c r="BM316" s="12"/>
      <c r="BN316" s="12"/>
      <c r="BO316" s="12"/>
      <c r="BP316" s="12"/>
      <c r="BQ316" s="12"/>
      <c r="BR316" s="12"/>
      <c r="BS316" s="12"/>
      <c r="BT316" s="12"/>
      <c r="BU316" s="12"/>
      <c r="BV316" s="12"/>
      <c r="BW316" s="12"/>
      <c r="BX316" s="12"/>
      <c r="BY316" s="12"/>
      <c r="BZ316" s="12"/>
      <c r="CA316" s="12"/>
      <c r="CB316" s="12"/>
      <c r="CC316" s="12"/>
      <c r="CD316" s="12"/>
      <c r="CE316" s="12"/>
      <c r="CF316" s="12"/>
      <c r="CG316" s="12"/>
      <c r="CH316" s="12"/>
      <c r="CI316" s="12"/>
      <c r="CJ316" s="12"/>
      <c r="CK316" s="12"/>
      <c r="CL316" s="12"/>
      <c r="CM316" s="12"/>
      <c r="CN316" s="12"/>
      <c r="CO316" s="12"/>
      <c r="CP316" s="12"/>
      <c r="CQ316" s="12"/>
      <c r="CR316" s="12"/>
      <c r="CS316" s="12"/>
      <c r="CT316" s="12"/>
      <c r="CU316" s="12"/>
      <c r="CV316" s="12"/>
      <c r="CW316" s="12"/>
      <c r="CX316" s="12"/>
      <c r="CY316" s="12"/>
      <c r="CZ316" s="12"/>
      <c r="DA316" s="12"/>
      <c r="DB316" s="12"/>
      <c r="DC316" s="12"/>
      <c r="DD316" s="12"/>
      <c r="DE316" s="12"/>
      <c r="DF316" s="12"/>
      <c r="DG316" s="12"/>
      <c r="DH316" s="12"/>
      <c r="DI316" s="12"/>
      <c r="DJ316" s="12"/>
      <c r="DK316" s="12"/>
      <c r="DL316" s="12"/>
      <c r="DM316" s="12"/>
      <c r="DN316" s="12"/>
      <c r="DO316" s="12"/>
      <c r="DP316" s="12"/>
      <c r="DQ316" s="12"/>
      <c r="DR316" s="12"/>
      <c r="DS316" s="12"/>
      <c r="DT316" s="12"/>
      <c r="DU316" s="12"/>
      <c r="DV316" s="12"/>
      <c r="DW316" s="12"/>
      <c r="DX316" s="12"/>
      <c r="DY316" s="12"/>
      <c r="DZ316" s="12"/>
      <c r="EA316" s="12"/>
      <c r="EB316" s="12"/>
      <c r="EC316" s="12"/>
      <c r="ED316" s="12"/>
      <c r="EE316" s="12"/>
      <c r="EF316" s="12"/>
      <c r="EG316" s="12"/>
      <c r="EH316" s="12"/>
      <c r="EI316" s="12"/>
      <c r="EJ316" s="574"/>
      <c r="EK316" s="574"/>
      <c r="EL316" s="574"/>
      <c r="EM316" s="574"/>
      <c r="EN316" s="574"/>
      <c r="EO316" s="574"/>
      <c r="EP316" s="574"/>
      <c r="EQ316" s="574"/>
      <c r="ER316" s="574"/>
      <c r="ES316" s="574"/>
      <c r="ET316" s="574"/>
      <c r="EU316" s="574"/>
    </row>
    <row r="317">
      <c r="A317" s="12"/>
      <c r="B317" s="55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  <c r="BD317" s="12"/>
      <c r="BE317" s="12"/>
      <c r="BF317" s="12"/>
      <c r="BG317" s="12"/>
      <c r="BH317" s="12"/>
      <c r="BI317" s="12"/>
      <c r="BJ317" s="12"/>
      <c r="BK317" s="12"/>
      <c r="BL317" s="12"/>
      <c r="BM317" s="12"/>
      <c r="BN317" s="12"/>
      <c r="BO317" s="12"/>
      <c r="BP317" s="12"/>
      <c r="BQ317" s="12"/>
      <c r="BR317" s="12"/>
      <c r="BS317" s="12"/>
      <c r="BT317" s="12"/>
      <c r="BU317" s="12"/>
      <c r="BV317" s="12"/>
      <c r="BW317" s="12"/>
      <c r="BX317" s="12"/>
      <c r="BY317" s="12"/>
      <c r="BZ317" s="12"/>
      <c r="CA317" s="12"/>
      <c r="CB317" s="12"/>
      <c r="CC317" s="12"/>
      <c r="CD317" s="12"/>
      <c r="CE317" s="12"/>
      <c r="CF317" s="12"/>
      <c r="CG317" s="12"/>
      <c r="CH317" s="12"/>
      <c r="CI317" s="12"/>
      <c r="CJ317" s="12"/>
      <c r="CK317" s="12"/>
      <c r="CL317" s="12"/>
      <c r="CM317" s="12"/>
      <c r="CN317" s="12"/>
      <c r="CO317" s="12"/>
      <c r="CP317" s="12"/>
      <c r="CQ317" s="12"/>
      <c r="CR317" s="12"/>
      <c r="CS317" s="12"/>
      <c r="CT317" s="12"/>
      <c r="CU317" s="12"/>
      <c r="CV317" s="12"/>
      <c r="CW317" s="12"/>
      <c r="CX317" s="12"/>
      <c r="CY317" s="12"/>
      <c r="CZ317" s="12"/>
      <c r="DA317" s="12"/>
      <c r="DB317" s="12"/>
      <c r="DC317" s="12"/>
      <c r="DD317" s="12"/>
      <c r="DE317" s="12"/>
      <c r="DF317" s="12"/>
      <c r="DG317" s="12"/>
      <c r="DH317" s="12"/>
      <c r="DI317" s="12"/>
      <c r="DJ317" s="12"/>
      <c r="DK317" s="12"/>
      <c r="DL317" s="12"/>
      <c r="DM317" s="12"/>
      <c r="DN317" s="12"/>
      <c r="DO317" s="12"/>
      <c r="DP317" s="12"/>
      <c r="DQ317" s="12"/>
      <c r="DR317" s="12"/>
      <c r="DS317" s="12"/>
      <c r="DT317" s="12"/>
      <c r="DU317" s="12"/>
      <c r="DV317" s="12"/>
      <c r="DW317" s="12"/>
      <c r="DX317" s="12"/>
      <c r="DY317" s="12"/>
      <c r="DZ317" s="12"/>
      <c r="EA317" s="12"/>
      <c r="EB317" s="12"/>
      <c r="EC317" s="12"/>
      <c r="ED317" s="12"/>
      <c r="EE317" s="12"/>
      <c r="EF317" s="12"/>
      <c r="EG317" s="12"/>
      <c r="EH317" s="12"/>
      <c r="EI317" s="12"/>
      <c r="EJ317" s="574"/>
      <c r="EK317" s="574"/>
      <c r="EL317" s="574"/>
      <c r="EM317" s="574"/>
      <c r="EN317" s="574"/>
      <c r="EO317" s="574"/>
      <c r="EP317" s="574"/>
      <c r="EQ317" s="574"/>
      <c r="ER317" s="574"/>
      <c r="ES317" s="574"/>
      <c r="ET317" s="574"/>
      <c r="EU317" s="574"/>
    </row>
    <row r="318">
      <c r="A318" s="12"/>
      <c r="B318" s="55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  <c r="BD318" s="12"/>
      <c r="BE318" s="12"/>
      <c r="BF318" s="12"/>
      <c r="BG318" s="12"/>
      <c r="BH318" s="12"/>
      <c r="BI318" s="12"/>
      <c r="BJ318" s="12"/>
      <c r="BK318" s="12"/>
      <c r="BL318" s="12"/>
      <c r="BM318" s="12"/>
      <c r="BN318" s="12"/>
      <c r="BO318" s="12"/>
      <c r="BP318" s="12"/>
      <c r="BQ318" s="12"/>
      <c r="BR318" s="12"/>
      <c r="BS318" s="12"/>
      <c r="BT318" s="12"/>
      <c r="BU318" s="12"/>
      <c r="BV318" s="12"/>
      <c r="BW318" s="12"/>
      <c r="BX318" s="12"/>
      <c r="BY318" s="12"/>
      <c r="BZ318" s="12"/>
      <c r="CA318" s="12"/>
      <c r="CB318" s="12"/>
      <c r="CC318" s="12"/>
      <c r="CD318" s="12"/>
      <c r="CE318" s="12"/>
      <c r="CF318" s="12"/>
      <c r="CG318" s="12"/>
      <c r="CH318" s="12"/>
      <c r="CI318" s="12"/>
      <c r="CJ318" s="12"/>
      <c r="CK318" s="12"/>
      <c r="CL318" s="12"/>
      <c r="CM318" s="12"/>
      <c r="CN318" s="12"/>
      <c r="CO318" s="12"/>
      <c r="CP318" s="12"/>
      <c r="CQ318" s="12"/>
      <c r="CR318" s="12"/>
      <c r="CS318" s="12"/>
      <c r="CT318" s="12"/>
      <c r="CU318" s="12"/>
      <c r="CV318" s="12"/>
      <c r="CW318" s="12"/>
      <c r="CX318" s="12"/>
      <c r="CY318" s="12"/>
      <c r="CZ318" s="12"/>
      <c r="DA318" s="12"/>
      <c r="DB318" s="12"/>
      <c r="DC318" s="12"/>
      <c r="DD318" s="12"/>
      <c r="DE318" s="12"/>
      <c r="DF318" s="12"/>
      <c r="DG318" s="12"/>
      <c r="DH318" s="12"/>
      <c r="DI318" s="12"/>
      <c r="DJ318" s="12"/>
      <c r="DK318" s="12"/>
      <c r="DL318" s="12"/>
      <c r="DM318" s="12"/>
      <c r="DN318" s="12"/>
      <c r="DO318" s="12"/>
      <c r="DP318" s="12"/>
      <c r="DQ318" s="12"/>
      <c r="DR318" s="12"/>
      <c r="DS318" s="12"/>
      <c r="DT318" s="12"/>
      <c r="DU318" s="12"/>
      <c r="DV318" s="12"/>
      <c r="DW318" s="12"/>
      <c r="DX318" s="12"/>
      <c r="DY318" s="12"/>
      <c r="DZ318" s="12"/>
      <c r="EA318" s="12"/>
      <c r="EB318" s="12"/>
      <c r="EC318" s="12"/>
      <c r="ED318" s="12"/>
      <c r="EE318" s="12"/>
      <c r="EF318" s="12"/>
      <c r="EG318" s="12"/>
      <c r="EH318" s="12"/>
      <c r="EI318" s="12"/>
      <c r="EJ318" s="574"/>
      <c r="EK318" s="574"/>
      <c r="EL318" s="574"/>
      <c r="EM318" s="574"/>
      <c r="EN318" s="574"/>
      <c r="EO318" s="574"/>
      <c r="EP318" s="574"/>
      <c r="EQ318" s="574"/>
      <c r="ER318" s="574"/>
      <c r="ES318" s="574"/>
      <c r="ET318" s="574"/>
      <c r="EU318" s="574"/>
    </row>
    <row r="319">
      <c r="A319" s="12"/>
      <c r="B319" s="55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  <c r="BA319" s="12"/>
      <c r="BB319" s="12"/>
      <c r="BC319" s="12"/>
      <c r="BD319" s="12"/>
      <c r="BE319" s="12"/>
      <c r="BF319" s="12"/>
      <c r="BG319" s="12"/>
      <c r="BH319" s="12"/>
      <c r="BI319" s="12"/>
      <c r="BJ319" s="12"/>
      <c r="BK319" s="12"/>
      <c r="BL319" s="12"/>
      <c r="BM319" s="12"/>
      <c r="BN319" s="12"/>
      <c r="BO319" s="12"/>
      <c r="BP319" s="12"/>
      <c r="BQ319" s="12"/>
      <c r="BR319" s="12"/>
      <c r="BS319" s="12"/>
      <c r="BT319" s="12"/>
      <c r="BU319" s="12"/>
      <c r="BV319" s="12"/>
      <c r="BW319" s="12"/>
      <c r="BX319" s="12"/>
      <c r="BY319" s="12"/>
      <c r="BZ319" s="12"/>
      <c r="CA319" s="12"/>
      <c r="CB319" s="12"/>
      <c r="CC319" s="12"/>
      <c r="CD319" s="12"/>
      <c r="CE319" s="12"/>
      <c r="CF319" s="12"/>
      <c r="CG319" s="12"/>
      <c r="CH319" s="12"/>
      <c r="CI319" s="12"/>
      <c r="CJ319" s="12"/>
      <c r="CK319" s="12"/>
      <c r="CL319" s="12"/>
      <c r="CM319" s="12"/>
      <c r="CN319" s="12"/>
      <c r="CO319" s="12"/>
      <c r="CP319" s="12"/>
      <c r="CQ319" s="12"/>
      <c r="CR319" s="12"/>
      <c r="CS319" s="12"/>
      <c r="CT319" s="12"/>
      <c r="CU319" s="12"/>
      <c r="CV319" s="12"/>
      <c r="CW319" s="12"/>
      <c r="CX319" s="12"/>
      <c r="CY319" s="12"/>
      <c r="CZ319" s="12"/>
      <c r="DA319" s="12"/>
      <c r="DB319" s="12"/>
      <c r="DC319" s="12"/>
      <c r="DD319" s="12"/>
      <c r="DE319" s="12"/>
      <c r="DF319" s="12"/>
      <c r="DG319" s="12"/>
      <c r="DH319" s="12"/>
      <c r="DI319" s="12"/>
      <c r="DJ319" s="12"/>
      <c r="DK319" s="12"/>
      <c r="DL319" s="12"/>
      <c r="DM319" s="12"/>
      <c r="DN319" s="12"/>
      <c r="DO319" s="12"/>
      <c r="DP319" s="12"/>
      <c r="DQ319" s="12"/>
      <c r="DR319" s="12"/>
      <c r="DS319" s="12"/>
      <c r="DT319" s="12"/>
      <c r="DU319" s="12"/>
      <c r="DV319" s="12"/>
      <c r="DW319" s="12"/>
      <c r="DX319" s="12"/>
      <c r="DY319" s="12"/>
      <c r="DZ319" s="12"/>
      <c r="EA319" s="12"/>
      <c r="EB319" s="12"/>
      <c r="EC319" s="12"/>
      <c r="ED319" s="12"/>
      <c r="EE319" s="12"/>
      <c r="EF319" s="12"/>
      <c r="EG319" s="12"/>
      <c r="EH319" s="12"/>
      <c r="EI319" s="12"/>
      <c r="EJ319" s="574"/>
      <c r="EK319" s="574"/>
      <c r="EL319" s="574"/>
      <c r="EM319" s="574"/>
      <c r="EN319" s="574"/>
      <c r="EO319" s="574"/>
      <c r="EP319" s="574"/>
      <c r="EQ319" s="574"/>
      <c r="ER319" s="574"/>
      <c r="ES319" s="574"/>
      <c r="ET319" s="574"/>
      <c r="EU319" s="574"/>
    </row>
    <row r="320">
      <c r="A320" s="12"/>
      <c r="B320" s="55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  <c r="BD320" s="12"/>
      <c r="BE320" s="12"/>
      <c r="BF320" s="12"/>
      <c r="BG320" s="12"/>
      <c r="BH320" s="12"/>
      <c r="BI320" s="12"/>
      <c r="BJ320" s="12"/>
      <c r="BK320" s="12"/>
      <c r="BL320" s="12"/>
      <c r="BM320" s="12"/>
      <c r="BN320" s="12"/>
      <c r="BO320" s="12"/>
      <c r="BP320" s="12"/>
      <c r="BQ320" s="12"/>
      <c r="BR320" s="12"/>
      <c r="BS320" s="12"/>
      <c r="BT320" s="12"/>
      <c r="BU320" s="12"/>
      <c r="BV320" s="12"/>
      <c r="BW320" s="12"/>
      <c r="BX320" s="12"/>
      <c r="BY320" s="12"/>
      <c r="BZ320" s="12"/>
      <c r="CA320" s="12"/>
      <c r="CB320" s="12"/>
      <c r="CC320" s="12"/>
      <c r="CD320" s="12"/>
      <c r="CE320" s="12"/>
      <c r="CF320" s="12"/>
      <c r="CG320" s="12"/>
      <c r="CH320" s="12"/>
      <c r="CI320" s="12"/>
      <c r="CJ320" s="12"/>
      <c r="CK320" s="12"/>
      <c r="CL320" s="12"/>
      <c r="CM320" s="12"/>
      <c r="CN320" s="12"/>
      <c r="CO320" s="12"/>
      <c r="CP320" s="12"/>
      <c r="CQ320" s="12"/>
      <c r="CR320" s="12"/>
      <c r="CS320" s="12"/>
      <c r="CT320" s="12"/>
      <c r="CU320" s="12"/>
      <c r="CV320" s="12"/>
      <c r="CW320" s="12"/>
      <c r="CX320" s="12"/>
      <c r="CY320" s="12"/>
      <c r="CZ320" s="12"/>
      <c r="DA320" s="12"/>
      <c r="DB320" s="12"/>
      <c r="DC320" s="12"/>
      <c r="DD320" s="12"/>
      <c r="DE320" s="12"/>
      <c r="DF320" s="12"/>
      <c r="DG320" s="12"/>
      <c r="DH320" s="12"/>
      <c r="DI320" s="12"/>
      <c r="DJ320" s="12"/>
      <c r="DK320" s="12"/>
      <c r="DL320" s="12"/>
      <c r="DM320" s="12"/>
      <c r="DN320" s="12"/>
      <c r="DO320" s="12"/>
      <c r="DP320" s="12"/>
      <c r="DQ320" s="12"/>
      <c r="DR320" s="12"/>
      <c r="DS320" s="12"/>
      <c r="DT320" s="12"/>
      <c r="DU320" s="12"/>
      <c r="DV320" s="12"/>
      <c r="DW320" s="12"/>
      <c r="DX320" s="12"/>
      <c r="DY320" s="12"/>
      <c r="DZ320" s="12"/>
      <c r="EA320" s="12"/>
      <c r="EB320" s="12"/>
      <c r="EC320" s="12"/>
      <c r="ED320" s="12"/>
      <c r="EE320" s="12"/>
      <c r="EF320" s="12"/>
      <c r="EG320" s="12"/>
      <c r="EH320" s="12"/>
      <c r="EI320" s="12"/>
      <c r="EJ320" s="574"/>
      <c r="EK320" s="574"/>
      <c r="EL320" s="574"/>
      <c r="EM320" s="574"/>
      <c r="EN320" s="574"/>
      <c r="EO320" s="574"/>
      <c r="EP320" s="574"/>
      <c r="EQ320" s="574"/>
      <c r="ER320" s="574"/>
      <c r="ES320" s="574"/>
      <c r="ET320" s="574"/>
      <c r="EU320" s="574"/>
    </row>
    <row r="321">
      <c r="A321" s="12"/>
      <c r="B321" s="55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  <c r="BD321" s="12"/>
      <c r="BE321" s="12"/>
      <c r="BF321" s="12"/>
      <c r="BG321" s="12"/>
      <c r="BH321" s="12"/>
      <c r="BI321" s="12"/>
      <c r="BJ321" s="12"/>
      <c r="BK321" s="12"/>
      <c r="BL321" s="12"/>
      <c r="BM321" s="12"/>
      <c r="BN321" s="12"/>
      <c r="BO321" s="12"/>
      <c r="BP321" s="12"/>
      <c r="BQ321" s="12"/>
      <c r="BR321" s="12"/>
      <c r="BS321" s="12"/>
      <c r="BT321" s="12"/>
      <c r="BU321" s="12"/>
      <c r="BV321" s="12"/>
      <c r="BW321" s="12"/>
      <c r="BX321" s="12"/>
      <c r="BY321" s="12"/>
      <c r="BZ321" s="12"/>
      <c r="CA321" s="12"/>
      <c r="CB321" s="12"/>
      <c r="CC321" s="12"/>
      <c r="CD321" s="12"/>
      <c r="CE321" s="12"/>
      <c r="CF321" s="12"/>
      <c r="CG321" s="12"/>
      <c r="CH321" s="12"/>
      <c r="CI321" s="12"/>
      <c r="CJ321" s="12"/>
      <c r="CK321" s="12"/>
      <c r="CL321" s="12"/>
      <c r="CM321" s="12"/>
      <c r="CN321" s="12"/>
      <c r="CO321" s="12"/>
      <c r="CP321" s="12"/>
      <c r="CQ321" s="12"/>
      <c r="CR321" s="12"/>
      <c r="CS321" s="12"/>
      <c r="CT321" s="12"/>
      <c r="CU321" s="12"/>
      <c r="CV321" s="12"/>
      <c r="CW321" s="12"/>
      <c r="CX321" s="12"/>
      <c r="CY321" s="12"/>
      <c r="CZ321" s="12"/>
      <c r="DA321" s="12"/>
      <c r="DB321" s="12"/>
      <c r="DC321" s="12"/>
      <c r="DD321" s="12"/>
      <c r="DE321" s="12"/>
      <c r="DF321" s="12"/>
      <c r="DG321" s="12"/>
      <c r="DH321" s="12"/>
      <c r="DI321" s="12"/>
      <c r="DJ321" s="12"/>
      <c r="DK321" s="12"/>
      <c r="DL321" s="12"/>
      <c r="DM321" s="12"/>
      <c r="DN321" s="12"/>
      <c r="DO321" s="12"/>
      <c r="DP321" s="12"/>
      <c r="DQ321" s="12"/>
      <c r="DR321" s="12"/>
      <c r="DS321" s="12"/>
      <c r="DT321" s="12"/>
      <c r="DU321" s="12"/>
      <c r="DV321" s="12"/>
      <c r="DW321" s="12"/>
      <c r="DX321" s="12"/>
      <c r="DY321" s="12"/>
      <c r="DZ321" s="12"/>
      <c r="EA321" s="12"/>
      <c r="EB321" s="12"/>
      <c r="EC321" s="12"/>
      <c r="ED321" s="12"/>
      <c r="EE321" s="12"/>
      <c r="EF321" s="12"/>
      <c r="EG321" s="12"/>
      <c r="EH321" s="12"/>
      <c r="EI321" s="12"/>
      <c r="EJ321" s="574"/>
      <c r="EK321" s="574"/>
      <c r="EL321" s="574"/>
      <c r="EM321" s="574"/>
      <c r="EN321" s="574"/>
      <c r="EO321" s="574"/>
      <c r="EP321" s="574"/>
      <c r="EQ321" s="574"/>
      <c r="ER321" s="574"/>
      <c r="ES321" s="574"/>
      <c r="ET321" s="574"/>
      <c r="EU321" s="574"/>
    </row>
    <row r="322">
      <c r="A322" s="12"/>
      <c r="B322" s="55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2"/>
      <c r="BC322" s="12"/>
      <c r="BD322" s="12"/>
      <c r="BE322" s="12"/>
      <c r="BF322" s="12"/>
      <c r="BG322" s="12"/>
      <c r="BH322" s="12"/>
      <c r="BI322" s="12"/>
      <c r="BJ322" s="12"/>
      <c r="BK322" s="12"/>
      <c r="BL322" s="12"/>
      <c r="BM322" s="12"/>
      <c r="BN322" s="12"/>
      <c r="BO322" s="12"/>
      <c r="BP322" s="12"/>
      <c r="BQ322" s="12"/>
      <c r="BR322" s="12"/>
      <c r="BS322" s="12"/>
      <c r="BT322" s="12"/>
      <c r="BU322" s="12"/>
      <c r="BV322" s="12"/>
      <c r="BW322" s="12"/>
      <c r="BX322" s="12"/>
      <c r="BY322" s="12"/>
      <c r="BZ322" s="12"/>
      <c r="CA322" s="12"/>
      <c r="CB322" s="12"/>
      <c r="CC322" s="12"/>
      <c r="CD322" s="12"/>
      <c r="CE322" s="12"/>
      <c r="CF322" s="12"/>
      <c r="CG322" s="12"/>
      <c r="CH322" s="12"/>
      <c r="CI322" s="12"/>
      <c r="CJ322" s="12"/>
      <c r="CK322" s="12"/>
      <c r="CL322" s="12"/>
      <c r="CM322" s="12"/>
      <c r="CN322" s="12"/>
      <c r="CO322" s="12"/>
      <c r="CP322" s="12"/>
      <c r="CQ322" s="12"/>
      <c r="CR322" s="12"/>
      <c r="CS322" s="12"/>
      <c r="CT322" s="12"/>
      <c r="CU322" s="12"/>
      <c r="CV322" s="12"/>
      <c r="CW322" s="12"/>
      <c r="CX322" s="12"/>
      <c r="CY322" s="12"/>
      <c r="CZ322" s="12"/>
      <c r="DA322" s="12"/>
      <c r="DB322" s="12"/>
      <c r="DC322" s="12"/>
      <c r="DD322" s="12"/>
      <c r="DE322" s="12"/>
      <c r="DF322" s="12"/>
      <c r="DG322" s="12"/>
      <c r="DH322" s="12"/>
      <c r="DI322" s="12"/>
      <c r="DJ322" s="12"/>
      <c r="DK322" s="12"/>
      <c r="DL322" s="12"/>
      <c r="DM322" s="12"/>
      <c r="DN322" s="12"/>
      <c r="DO322" s="12"/>
      <c r="DP322" s="12"/>
      <c r="DQ322" s="12"/>
      <c r="DR322" s="12"/>
      <c r="DS322" s="12"/>
      <c r="DT322" s="12"/>
      <c r="DU322" s="12"/>
      <c r="DV322" s="12"/>
      <c r="DW322" s="12"/>
      <c r="DX322" s="12"/>
      <c r="DY322" s="12"/>
      <c r="DZ322" s="12"/>
      <c r="EA322" s="12"/>
      <c r="EB322" s="12"/>
      <c r="EC322" s="12"/>
      <c r="ED322" s="12"/>
      <c r="EE322" s="12"/>
      <c r="EF322" s="12"/>
      <c r="EG322" s="12"/>
      <c r="EH322" s="12"/>
      <c r="EI322" s="12"/>
      <c r="EJ322" s="574"/>
      <c r="EK322" s="574"/>
      <c r="EL322" s="574"/>
      <c r="EM322" s="574"/>
      <c r="EN322" s="574"/>
      <c r="EO322" s="574"/>
      <c r="EP322" s="574"/>
      <c r="EQ322" s="574"/>
      <c r="ER322" s="574"/>
      <c r="ES322" s="574"/>
      <c r="ET322" s="574"/>
      <c r="EU322" s="574"/>
    </row>
    <row r="323">
      <c r="A323" s="12"/>
      <c r="B323" s="55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  <c r="BA323" s="12"/>
      <c r="BB323" s="12"/>
      <c r="BC323" s="12"/>
      <c r="BD323" s="12"/>
      <c r="BE323" s="12"/>
      <c r="BF323" s="12"/>
      <c r="BG323" s="12"/>
      <c r="BH323" s="12"/>
      <c r="BI323" s="12"/>
      <c r="BJ323" s="12"/>
      <c r="BK323" s="12"/>
      <c r="BL323" s="12"/>
      <c r="BM323" s="12"/>
      <c r="BN323" s="12"/>
      <c r="BO323" s="12"/>
      <c r="BP323" s="12"/>
      <c r="BQ323" s="12"/>
      <c r="BR323" s="12"/>
      <c r="BS323" s="12"/>
      <c r="BT323" s="12"/>
      <c r="BU323" s="12"/>
      <c r="BV323" s="12"/>
      <c r="BW323" s="12"/>
      <c r="BX323" s="12"/>
      <c r="BY323" s="12"/>
      <c r="BZ323" s="12"/>
      <c r="CA323" s="12"/>
      <c r="CB323" s="12"/>
      <c r="CC323" s="12"/>
      <c r="CD323" s="12"/>
      <c r="CE323" s="12"/>
      <c r="CF323" s="12"/>
      <c r="CG323" s="12"/>
      <c r="CH323" s="12"/>
      <c r="CI323" s="12"/>
      <c r="CJ323" s="12"/>
      <c r="CK323" s="12"/>
      <c r="CL323" s="12"/>
      <c r="CM323" s="12"/>
      <c r="CN323" s="12"/>
      <c r="CO323" s="12"/>
      <c r="CP323" s="12"/>
      <c r="CQ323" s="12"/>
      <c r="CR323" s="12"/>
      <c r="CS323" s="12"/>
      <c r="CT323" s="12"/>
      <c r="CU323" s="12"/>
      <c r="CV323" s="12"/>
      <c r="CW323" s="12"/>
      <c r="CX323" s="12"/>
      <c r="CY323" s="12"/>
      <c r="CZ323" s="12"/>
      <c r="DA323" s="12"/>
      <c r="DB323" s="12"/>
      <c r="DC323" s="12"/>
      <c r="DD323" s="12"/>
      <c r="DE323" s="12"/>
      <c r="DF323" s="12"/>
      <c r="DG323" s="12"/>
      <c r="DH323" s="12"/>
      <c r="DI323" s="12"/>
      <c r="DJ323" s="12"/>
      <c r="DK323" s="12"/>
      <c r="DL323" s="12"/>
      <c r="DM323" s="12"/>
      <c r="DN323" s="12"/>
      <c r="DO323" s="12"/>
      <c r="DP323" s="12"/>
      <c r="DQ323" s="12"/>
      <c r="DR323" s="12"/>
      <c r="DS323" s="12"/>
      <c r="DT323" s="12"/>
      <c r="DU323" s="12"/>
      <c r="DV323" s="12"/>
      <c r="DW323" s="12"/>
      <c r="DX323" s="12"/>
      <c r="DY323" s="12"/>
      <c r="DZ323" s="12"/>
      <c r="EA323" s="12"/>
      <c r="EB323" s="12"/>
      <c r="EC323" s="12"/>
      <c r="ED323" s="12"/>
      <c r="EE323" s="12"/>
      <c r="EF323" s="12"/>
      <c r="EG323" s="12"/>
      <c r="EH323" s="12"/>
      <c r="EI323" s="12"/>
      <c r="EJ323" s="574"/>
      <c r="EK323" s="574"/>
      <c r="EL323" s="574"/>
      <c r="EM323" s="574"/>
      <c r="EN323" s="574"/>
      <c r="EO323" s="574"/>
      <c r="EP323" s="574"/>
      <c r="EQ323" s="574"/>
      <c r="ER323" s="574"/>
      <c r="ES323" s="574"/>
      <c r="ET323" s="574"/>
      <c r="EU323" s="574"/>
    </row>
    <row r="324">
      <c r="A324" s="12"/>
      <c r="B324" s="55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  <c r="BD324" s="12"/>
      <c r="BE324" s="12"/>
      <c r="BF324" s="12"/>
      <c r="BG324" s="12"/>
      <c r="BH324" s="12"/>
      <c r="BI324" s="12"/>
      <c r="BJ324" s="12"/>
      <c r="BK324" s="12"/>
      <c r="BL324" s="12"/>
      <c r="BM324" s="12"/>
      <c r="BN324" s="12"/>
      <c r="BO324" s="12"/>
      <c r="BP324" s="12"/>
      <c r="BQ324" s="12"/>
      <c r="BR324" s="12"/>
      <c r="BS324" s="12"/>
      <c r="BT324" s="12"/>
      <c r="BU324" s="12"/>
      <c r="BV324" s="12"/>
      <c r="BW324" s="12"/>
      <c r="BX324" s="12"/>
      <c r="BY324" s="12"/>
      <c r="BZ324" s="12"/>
      <c r="CA324" s="12"/>
      <c r="CB324" s="12"/>
      <c r="CC324" s="12"/>
      <c r="CD324" s="12"/>
      <c r="CE324" s="12"/>
      <c r="CF324" s="12"/>
      <c r="CG324" s="12"/>
      <c r="CH324" s="12"/>
      <c r="CI324" s="12"/>
      <c r="CJ324" s="12"/>
      <c r="CK324" s="12"/>
      <c r="CL324" s="12"/>
      <c r="CM324" s="12"/>
      <c r="CN324" s="12"/>
      <c r="CO324" s="12"/>
      <c r="CP324" s="12"/>
      <c r="CQ324" s="12"/>
      <c r="CR324" s="12"/>
      <c r="CS324" s="12"/>
      <c r="CT324" s="12"/>
      <c r="CU324" s="12"/>
      <c r="CV324" s="12"/>
      <c r="CW324" s="12"/>
      <c r="CX324" s="12"/>
      <c r="CY324" s="12"/>
      <c r="CZ324" s="12"/>
      <c r="DA324" s="12"/>
      <c r="DB324" s="12"/>
      <c r="DC324" s="12"/>
      <c r="DD324" s="12"/>
      <c r="DE324" s="12"/>
      <c r="DF324" s="12"/>
      <c r="DG324" s="12"/>
      <c r="DH324" s="12"/>
      <c r="DI324" s="12"/>
      <c r="DJ324" s="12"/>
      <c r="DK324" s="12"/>
      <c r="DL324" s="12"/>
      <c r="DM324" s="12"/>
      <c r="DN324" s="12"/>
      <c r="DO324" s="12"/>
      <c r="DP324" s="12"/>
      <c r="DQ324" s="12"/>
      <c r="DR324" s="12"/>
      <c r="DS324" s="12"/>
      <c r="DT324" s="12"/>
      <c r="DU324" s="12"/>
      <c r="DV324" s="12"/>
      <c r="DW324" s="12"/>
      <c r="DX324" s="12"/>
      <c r="DY324" s="12"/>
      <c r="DZ324" s="12"/>
      <c r="EA324" s="12"/>
      <c r="EB324" s="12"/>
      <c r="EC324" s="12"/>
      <c r="ED324" s="12"/>
      <c r="EE324" s="12"/>
      <c r="EF324" s="12"/>
      <c r="EG324" s="12"/>
      <c r="EH324" s="12"/>
      <c r="EI324" s="12"/>
      <c r="EJ324" s="574"/>
      <c r="EK324" s="574"/>
      <c r="EL324" s="574"/>
      <c r="EM324" s="574"/>
      <c r="EN324" s="574"/>
      <c r="EO324" s="574"/>
      <c r="EP324" s="574"/>
      <c r="EQ324" s="574"/>
      <c r="ER324" s="574"/>
      <c r="ES324" s="574"/>
      <c r="ET324" s="574"/>
      <c r="EU324" s="574"/>
    </row>
    <row r="325">
      <c r="A325" s="12"/>
      <c r="B325" s="55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  <c r="BD325" s="12"/>
      <c r="BE325" s="12"/>
      <c r="BF325" s="12"/>
      <c r="BG325" s="12"/>
      <c r="BH325" s="12"/>
      <c r="BI325" s="12"/>
      <c r="BJ325" s="12"/>
      <c r="BK325" s="12"/>
      <c r="BL325" s="12"/>
      <c r="BM325" s="12"/>
      <c r="BN325" s="12"/>
      <c r="BO325" s="12"/>
      <c r="BP325" s="12"/>
      <c r="BQ325" s="12"/>
      <c r="BR325" s="12"/>
      <c r="BS325" s="12"/>
      <c r="BT325" s="12"/>
      <c r="BU325" s="12"/>
      <c r="BV325" s="12"/>
      <c r="BW325" s="12"/>
      <c r="BX325" s="12"/>
      <c r="BY325" s="12"/>
      <c r="BZ325" s="12"/>
      <c r="CA325" s="12"/>
      <c r="CB325" s="12"/>
      <c r="CC325" s="12"/>
      <c r="CD325" s="12"/>
      <c r="CE325" s="12"/>
      <c r="CF325" s="12"/>
      <c r="CG325" s="12"/>
      <c r="CH325" s="12"/>
      <c r="CI325" s="12"/>
      <c r="CJ325" s="12"/>
      <c r="CK325" s="12"/>
      <c r="CL325" s="12"/>
      <c r="CM325" s="12"/>
      <c r="CN325" s="12"/>
      <c r="CO325" s="12"/>
      <c r="CP325" s="12"/>
      <c r="CQ325" s="12"/>
      <c r="CR325" s="12"/>
      <c r="CS325" s="12"/>
      <c r="CT325" s="12"/>
      <c r="CU325" s="12"/>
      <c r="CV325" s="12"/>
      <c r="CW325" s="12"/>
      <c r="CX325" s="12"/>
      <c r="CY325" s="12"/>
      <c r="CZ325" s="12"/>
      <c r="DA325" s="12"/>
      <c r="DB325" s="12"/>
      <c r="DC325" s="12"/>
      <c r="DD325" s="12"/>
      <c r="DE325" s="12"/>
      <c r="DF325" s="12"/>
      <c r="DG325" s="12"/>
      <c r="DH325" s="12"/>
      <c r="DI325" s="12"/>
      <c r="DJ325" s="12"/>
      <c r="DK325" s="12"/>
      <c r="DL325" s="12"/>
      <c r="DM325" s="12"/>
      <c r="DN325" s="12"/>
      <c r="DO325" s="12"/>
      <c r="DP325" s="12"/>
      <c r="DQ325" s="12"/>
      <c r="DR325" s="12"/>
      <c r="DS325" s="12"/>
      <c r="DT325" s="12"/>
      <c r="DU325" s="12"/>
      <c r="DV325" s="12"/>
      <c r="DW325" s="12"/>
      <c r="DX325" s="12"/>
      <c r="DY325" s="12"/>
      <c r="DZ325" s="12"/>
      <c r="EA325" s="12"/>
      <c r="EB325" s="12"/>
      <c r="EC325" s="12"/>
      <c r="ED325" s="12"/>
      <c r="EE325" s="12"/>
      <c r="EF325" s="12"/>
      <c r="EG325" s="12"/>
      <c r="EH325" s="12"/>
      <c r="EI325" s="12"/>
      <c r="EJ325" s="574"/>
      <c r="EK325" s="574"/>
      <c r="EL325" s="574"/>
      <c r="EM325" s="574"/>
      <c r="EN325" s="574"/>
      <c r="EO325" s="574"/>
      <c r="EP325" s="574"/>
      <c r="EQ325" s="574"/>
      <c r="ER325" s="574"/>
      <c r="ES325" s="574"/>
      <c r="ET325" s="574"/>
      <c r="EU325" s="574"/>
    </row>
    <row r="326">
      <c r="A326" s="12"/>
      <c r="B326" s="55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2"/>
      <c r="BE326" s="12"/>
      <c r="BF326" s="12"/>
      <c r="BG326" s="12"/>
      <c r="BH326" s="12"/>
      <c r="BI326" s="12"/>
      <c r="BJ326" s="12"/>
      <c r="BK326" s="12"/>
      <c r="BL326" s="12"/>
      <c r="BM326" s="12"/>
      <c r="BN326" s="12"/>
      <c r="BO326" s="12"/>
      <c r="BP326" s="12"/>
      <c r="BQ326" s="12"/>
      <c r="BR326" s="12"/>
      <c r="BS326" s="12"/>
      <c r="BT326" s="12"/>
      <c r="BU326" s="12"/>
      <c r="BV326" s="12"/>
      <c r="BW326" s="12"/>
      <c r="BX326" s="12"/>
      <c r="BY326" s="12"/>
      <c r="BZ326" s="12"/>
      <c r="CA326" s="12"/>
      <c r="CB326" s="12"/>
      <c r="CC326" s="12"/>
      <c r="CD326" s="12"/>
      <c r="CE326" s="12"/>
      <c r="CF326" s="12"/>
      <c r="CG326" s="12"/>
      <c r="CH326" s="12"/>
      <c r="CI326" s="12"/>
      <c r="CJ326" s="12"/>
      <c r="CK326" s="12"/>
      <c r="CL326" s="12"/>
      <c r="CM326" s="12"/>
      <c r="CN326" s="12"/>
      <c r="CO326" s="12"/>
      <c r="CP326" s="12"/>
      <c r="CQ326" s="12"/>
      <c r="CR326" s="12"/>
      <c r="CS326" s="12"/>
      <c r="CT326" s="12"/>
      <c r="CU326" s="12"/>
      <c r="CV326" s="12"/>
      <c r="CW326" s="12"/>
      <c r="CX326" s="12"/>
      <c r="CY326" s="12"/>
      <c r="CZ326" s="12"/>
      <c r="DA326" s="12"/>
      <c r="DB326" s="12"/>
      <c r="DC326" s="12"/>
      <c r="DD326" s="12"/>
      <c r="DE326" s="12"/>
      <c r="DF326" s="12"/>
      <c r="DG326" s="12"/>
      <c r="DH326" s="12"/>
      <c r="DI326" s="12"/>
      <c r="DJ326" s="12"/>
      <c r="DK326" s="12"/>
      <c r="DL326" s="12"/>
      <c r="DM326" s="12"/>
      <c r="DN326" s="12"/>
      <c r="DO326" s="12"/>
      <c r="DP326" s="12"/>
      <c r="DQ326" s="12"/>
      <c r="DR326" s="12"/>
      <c r="DS326" s="12"/>
      <c r="DT326" s="12"/>
      <c r="DU326" s="12"/>
      <c r="DV326" s="12"/>
      <c r="DW326" s="12"/>
      <c r="DX326" s="12"/>
      <c r="DY326" s="12"/>
      <c r="DZ326" s="12"/>
      <c r="EA326" s="12"/>
      <c r="EB326" s="12"/>
      <c r="EC326" s="12"/>
      <c r="ED326" s="12"/>
      <c r="EE326" s="12"/>
      <c r="EF326" s="12"/>
      <c r="EG326" s="12"/>
      <c r="EH326" s="12"/>
      <c r="EI326" s="12"/>
      <c r="EJ326" s="574"/>
      <c r="EK326" s="574"/>
      <c r="EL326" s="574"/>
      <c r="EM326" s="574"/>
      <c r="EN326" s="574"/>
      <c r="EO326" s="574"/>
      <c r="EP326" s="574"/>
      <c r="EQ326" s="574"/>
      <c r="ER326" s="574"/>
      <c r="ES326" s="574"/>
      <c r="ET326" s="574"/>
      <c r="EU326" s="574"/>
    </row>
    <row r="327">
      <c r="A327" s="12"/>
      <c r="B327" s="55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  <c r="BA327" s="12"/>
      <c r="BB327" s="12"/>
      <c r="BC327" s="12"/>
      <c r="BD327" s="12"/>
      <c r="BE327" s="12"/>
      <c r="BF327" s="12"/>
      <c r="BG327" s="12"/>
      <c r="BH327" s="12"/>
      <c r="BI327" s="12"/>
      <c r="BJ327" s="12"/>
      <c r="BK327" s="12"/>
      <c r="BL327" s="12"/>
      <c r="BM327" s="12"/>
      <c r="BN327" s="12"/>
      <c r="BO327" s="12"/>
      <c r="BP327" s="12"/>
      <c r="BQ327" s="12"/>
      <c r="BR327" s="12"/>
      <c r="BS327" s="12"/>
      <c r="BT327" s="12"/>
      <c r="BU327" s="12"/>
      <c r="BV327" s="12"/>
      <c r="BW327" s="12"/>
      <c r="BX327" s="12"/>
      <c r="BY327" s="12"/>
      <c r="BZ327" s="12"/>
      <c r="CA327" s="12"/>
      <c r="CB327" s="12"/>
      <c r="CC327" s="12"/>
      <c r="CD327" s="12"/>
      <c r="CE327" s="12"/>
      <c r="CF327" s="12"/>
      <c r="CG327" s="12"/>
      <c r="CH327" s="12"/>
      <c r="CI327" s="12"/>
      <c r="CJ327" s="12"/>
      <c r="CK327" s="12"/>
      <c r="CL327" s="12"/>
      <c r="CM327" s="12"/>
      <c r="CN327" s="12"/>
      <c r="CO327" s="12"/>
      <c r="CP327" s="12"/>
      <c r="CQ327" s="12"/>
      <c r="CR327" s="12"/>
      <c r="CS327" s="12"/>
      <c r="CT327" s="12"/>
      <c r="CU327" s="12"/>
      <c r="CV327" s="12"/>
      <c r="CW327" s="12"/>
      <c r="CX327" s="12"/>
      <c r="CY327" s="12"/>
      <c r="CZ327" s="12"/>
      <c r="DA327" s="12"/>
      <c r="DB327" s="12"/>
      <c r="DC327" s="12"/>
      <c r="DD327" s="12"/>
      <c r="DE327" s="12"/>
      <c r="DF327" s="12"/>
      <c r="DG327" s="12"/>
      <c r="DH327" s="12"/>
      <c r="DI327" s="12"/>
      <c r="DJ327" s="12"/>
      <c r="DK327" s="12"/>
      <c r="DL327" s="12"/>
      <c r="DM327" s="12"/>
      <c r="DN327" s="12"/>
      <c r="DO327" s="12"/>
      <c r="DP327" s="12"/>
      <c r="DQ327" s="12"/>
      <c r="DR327" s="12"/>
      <c r="DS327" s="12"/>
      <c r="DT327" s="12"/>
      <c r="DU327" s="12"/>
      <c r="DV327" s="12"/>
      <c r="DW327" s="12"/>
      <c r="DX327" s="12"/>
      <c r="DY327" s="12"/>
      <c r="DZ327" s="12"/>
      <c r="EA327" s="12"/>
      <c r="EB327" s="12"/>
      <c r="EC327" s="12"/>
      <c r="ED327" s="12"/>
      <c r="EE327" s="12"/>
      <c r="EF327" s="12"/>
      <c r="EG327" s="12"/>
      <c r="EH327" s="12"/>
      <c r="EI327" s="12"/>
      <c r="EJ327" s="574"/>
      <c r="EK327" s="574"/>
      <c r="EL327" s="574"/>
      <c r="EM327" s="574"/>
      <c r="EN327" s="574"/>
      <c r="EO327" s="574"/>
      <c r="EP327" s="574"/>
      <c r="EQ327" s="574"/>
      <c r="ER327" s="574"/>
      <c r="ES327" s="574"/>
      <c r="ET327" s="574"/>
      <c r="EU327" s="574"/>
    </row>
    <row r="328">
      <c r="A328" s="12"/>
      <c r="B328" s="55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12"/>
      <c r="BE328" s="12"/>
      <c r="BF328" s="12"/>
      <c r="BG328" s="12"/>
      <c r="BH328" s="12"/>
      <c r="BI328" s="12"/>
      <c r="BJ328" s="12"/>
      <c r="BK328" s="12"/>
      <c r="BL328" s="12"/>
      <c r="BM328" s="12"/>
      <c r="BN328" s="12"/>
      <c r="BO328" s="12"/>
      <c r="BP328" s="12"/>
      <c r="BQ328" s="12"/>
      <c r="BR328" s="12"/>
      <c r="BS328" s="12"/>
      <c r="BT328" s="12"/>
      <c r="BU328" s="12"/>
      <c r="BV328" s="12"/>
      <c r="BW328" s="12"/>
      <c r="BX328" s="12"/>
      <c r="BY328" s="12"/>
      <c r="BZ328" s="12"/>
      <c r="CA328" s="12"/>
      <c r="CB328" s="12"/>
      <c r="CC328" s="12"/>
      <c r="CD328" s="12"/>
      <c r="CE328" s="12"/>
      <c r="CF328" s="12"/>
      <c r="CG328" s="12"/>
      <c r="CH328" s="12"/>
      <c r="CI328" s="12"/>
      <c r="CJ328" s="12"/>
      <c r="CK328" s="12"/>
      <c r="CL328" s="12"/>
      <c r="CM328" s="12"/>
      <c r="CN328" s="12"/>
      <c r="CO328" s="12"/>
      <c r="CP328" s="12"/>
      <c r="CQ328" s="12"/>
      <c r="CR328" s="12"/>
      <c r="CS328" s="12"/>
      <c r="CT328" s="12"/>
      <c r="CU328" s="12"/>
      <c r="CV328" s="12"/>
      <c r="CW328" s="12"/>
      <c r="CX328" s="12"/>
      <c r="CY328" s="12"/>
      <c r="CZ328" s="12"/>
      <c r="DA328" s="12"/>
      <c r="DB328" s="12"/>
      <c r="DC328" s="12"/>
      <c r="DD328" s="12"/>
      <c r="DE328" s="12"/>
      <c r="DF328" s="12"/>
      <c r="DG328" s="12"/>
      <c r="DH328" s="12"/>
      <c r="DI328" s="12"/>
      <c r="DJ328" s="12"/>
      <c r="DK328" s="12"/>
      <c r="DL328" s="12"/>
      <c r="DM328" s="12"/>
      <c r="DN328" s="12"/>
      <c r="DO328" s="12"/>
      <c r="DP328" s="12"/>
      <c r="DQ328" s="12"/>
      <c r="DR328" s="12"/>
      <c r="DS328" s="12"/>
      <c r="DT328" s="12"/>
      <c r="DU328" s="12"/>
      <c r="DV328" s="12"/>
      <c r="DW328" s="12"/>
      <c r="DX328" s="12"/>
      <c r="DY328" s="12"/>
      <c r="DZ328" s="12"/>
      <c r="EA328" s="12"/>
      <c r="EB328" s="12"/>
      <c r="EC328" s="12"/>
      <c r="ED328" s="12"/>
      <c r="EE328" s="12"/>
      <c r="EF328" s="12"/>
      <c r="EG328" s="12"/>
      <c r="EH328" s="12"/>
      <c r="EI328" s="12"/>
      <c r="EJ328" s="574"/>
      <c r="EK328" s="574"/>
      <c r="EL328" s="574"/>
      <c r="EM328" s="574"/>
      <c r="EN328" s="574"/>
      <c r="EO328" s="574"/>
      <c r="EP328" s="574"/>
      <c r="EQ328" s="574"/>
      <c r="ER328" s="574"/>
      <c r="ES328" s="574"/>
      <c r="ET328" s="574"/>
      <c r="EU328" s="574"/>
    </row>
    <row r="329">
      <c r="A329" s="12"/>
      <c r="B329" s="55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  <c r="BA329" s="12"/>
      <c r="BB329" s="12"/>
      <c r="BC329" s="12"/>
      <c r="BD329" s="12"/>
      <c r="BE329" s="12"/>
      <c r="BF329" s="12"/>
      <c r="BG329" s="12"/>
      <c r="BH329" s="12"/>
      <c r="BI329" s="12"/>
      <c r="BJ329" s="12"/>
      <c r="BK329" s="12"/>
      <c r="BL329" s="12"/>
      <c r="BM329" s="12"/>
      <c r="BN329" s="12"/>
      <c r="BO329" s="12"/>
      <c r="BP329" s="12"/>
      <c r="BQ329" s="12"/>
      <c r="BR329" s="12"/>
      <c r="BS329" s="12"/>
      <c r="BT329" s="12"/>
      <c r="BU329" s="12"/>
      <c r="BV329" s="12"/>
      <c r="BW329" s="12"/>
      <c r="BX329" s="12"/>
      <c r="BY329" s="12"/>
      <c r="BZ329" s="12"/>
      <c r="CA329" s="12"/>
      <c r="CB329" s="12"/>
      <c r="CC329" s="12"/>
      <c r="CD329" s="12"/>
      <c r="CE329" s="12"/>
      <c r="CF329" s="12"/>
      <c r="CG329" s="12"/>
      <c r="CH329" s="12"/>
      <c r="CI329" s="12"/>
      <c r="CJ329" s="12"/>
      <c r="CK329" s="12"/>
      <c r="CL329" s="12"/>
      <c r="CM329" s="12"/>
      <c r="CN329" s="12"/>
      <c r="CO329" s="12"/>
      <c r="CP329" s="12"/>
      <c r="CQ329" s="12"/>
      <c r="CR329" s="12"/>
      <c r="CS329" s="12"/>
      <c r="CT329" s="12"/>
      <c r="CU329" s="12"/>
      <c r="CV329" s="12"/>
      <c r="CW329" s="12"/>
      <c r="CX329" s="12"/>
      <c r="CY329" s="12"/>
      <c r="CZ329" s="12"/>
      <c r="DA329" s="12"/>
      <c r="DB329" s="12"/>
      <c r="DC329" s="12"/>
      <c r="DD329" s="12"/>
      <c r="DE329" s="12"/>
      <c r="DF329" s="12"/>
      <c r="DG329" s="12"/>
      <c r="DH329" s="12"/>
      <c r="DI329" s="12"/>
      <c r="DJ329" s="12"/>
      <c r="DK329" s="12"/>
      <c r="DL329" s="12"/>
      <c r="DM329" s="12"/>
      <c r="DN329" s="12"/>
      <c r="DO329" s="12"/>
      <c r="DP329" s="12"/>
      <c r="DQ329" s="12"/>
      <c r="DR329" s="12"/>
      <c r="DS329" s="12"/>
      <c r="DT329" s="12"/>
      <c r="DU329" s="12"/>
      <c r="DV329" s="12"/>
      <c r="DW329" s="12"/>
      <c r="DX329" s="12"/>
      <c r="DY329" s="12"/>
      <c r="DZ329" s="12"/>
      <c r="EA329" s="12"/>
      <c r="EB329" s="12"/>
      <c r="EC329" s="12"/>
      <c r="ED329" s="12"/>
      <c r="EE329" s="12"/>
      <c r="EF329" s="12"/>
      <c r="EG329" s="12"/>
      <c r="EH329" s="12"/>
      <c r="EI329" s="12"/>
      <c r="EJ329" s="574"/>
      <c r="EK329" s="574"/>
      <c r="EL329" s="574"/>
      <c r="EM329" s="574"/>
      <c r="EN329" s="574"/>
      <c r="EO329" s="574"/>
      <c r="EP329" s="574"/>
      <c r="EQ329" s="574"/>
      <c r="ER329" s="574"/>
      <c r="ES329" s="574"/>
      <c r="ET329" s="574"/>
      <c r="EU329" s="574"/>
    </row>
    <row r="330">
      <c r="A330" s="12"/>
      <c r="B330" s="55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/>
      <c r="BC330" s="12"/>
      <c r="BD330" s="12"/>
      <c r="BE330" s="12"/>
      <c r="BF330" s="12"/>
      <c r="BG330" s="12"/>
      <c r="BH330" s="12"/>
      <c r="BI330" s="12"/>
      <c r="BJ330" s="12"/>
      <c r="BK330" s="12"/>
      <c r="BL330" s="12"/>
      <c r="BM330" s="12"/>
      <c r="BN330" s="12"/>
      <c r="BO330" s="12"/>
      <c r="BP330" s="12"/>
      <c r="BQ330" s="12"/>
      <c r="BR330" s="12"/>
      <c r="BS330" s="12"/>
      <c r="BT330" s="12"/>
      <c r="BU330" s="12"/>
      <c r="BV330" s="12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574"/>
      <c r="EK330" s="574"/>
      <c r="EL330" s="574"/>
      <c r="EM330" s="574"/>
      <c r="EN330" s="574"/>
      <c r="EO330" s="574"/>
      <c r="EP330" s="574"/>
      <c r="EQ330" s="574"/>
      <c r="ER330" s="574"/>
      <c r="ES330" s="574"/>
      <c r="ET330" s="574"/>
      <c r="EU330" s="574"/>
    </row>
    <row r="331">
      <c r="A331" s="12"/>
      <c r="B331" s="55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  <c r="BD331" s="12"/>
      <c r="BE331" s="12"/>
      <c r="BF331" s="12"/>
      <c r="BG331" s="12"/>
      <c r="BH331" s="12"/>
      <c r="BI331" s="12"/>
      <c r="BJ331" s="12"/>
      <c r="BK331" s="12"/>
      <c r="BL331" s="12"/>
      <c r="BM331" s="12"/>
      <c r="BN331" s="12"/>
      <c r="BO331" s="12"/>
      <c r="BP331" s="12"/>
      <c r="BQ331" s="12"/>
      <c r="BR331" s="12"/>
      <c r="BS331" s="12"/>
      <c r="BT331" s="12"/>
      <c r="BU331" s="12"/>
      <c r="BV331" s="12"/>
      <c r="BW331" s="12"/>
      <c r="BX331" s="12"/>
      <c r="BY331" s="12"/>
      <c r="BZ331" s="12"/>
      <c r="CA331" s="12"/>
      <c r="CB331" s="12"/>
      <c r="CC331" s="12"/>
      <c r="CD331" s="12"/>
      <c r="CE331" s="12"/>
      <c r="CF331" s="12"/>
      <c r="CG331" s="12"/>
      <c r="CH331" s="12"/>
      <c r="CI331" s="12"/>
      <c r="CJ331" s="12"/>
      <c r="CK331" s="12"/>
      <c r="CL331" s="12"/>
      <c r="CM331" s="12"/>
      <c r="CN331" s="12"/>
      <c r="CO331" s="12"/>
      <c r="CP331" s="12"/>
      <c r="CQ331" s="12"/>
      <c r="CR331" s="12"/>
      <c r="CS331" s="12"/>
      <c r="CT331" s="12"/>
      <c r="CU331" s="12"/>
      <c r="CV331" s="12"/>
      <c r="CW331" s="12"/>
      <c r="CX331" s="12"/>
      <c r="CY331" s="12"/>
      <c r="CZ331" s="12"/>
      <c r="DA331" s="12"/>
      <c r="DB331" s="12"/>
      <c r="DC331" s="12"/>
      <c r="DD331" s="12"/>
      <c r="DE331" s="12"/>
      <c r="DF331" s="12"/>
      <c r="DG331" s="12"/>
      <c r="DH331" s="12"/>
      <c r="DI331" s="12"/>
      <c r="DJ331" s="12"/>
      <c r="DK331" s="12"/>
      <c r="DL331" s="12"/>
      <c r="DM331" s="12"/>
      <c r="DN331" s="12"/>
      <c r="DO331" s="12"/>
      <c r="DP331" s="12"/>
      <c r="DQ331" s="12"/>
      <c r="DR331" s="12"/>
      <c r="DS331" s="12"/>
      <c r="DT331" s="12"/>
      <c r="DU331" s="12"/>
      <c r="DV331" s="12"/>
      <c r="DW331" s="12"/>
      <c r="DX331" s="12"/>
      <c r="DY331" s="12"/>
      <c r="DZ331" s="12"/>
      <c r="EA331" s="12"/>
      <c r="EB331" s="12"/>
      <c r="EC331" s="12"/>
      <c r="ED331" s="12"/>
      <c r="EE331" s="12"/>
      <c r="EF331" s="12"/>
      <c r="EG331" s="12"/>
      <c r="EH331" s="12"/>
      <c r="EI331" s="12"/>
      <c r="EJ331" s="574"/>
      <c r="EK331" s="574"/>
      <c r="EL331" s="574"/>
      <c r="EM331" s="574"/>
      <c r="EN331" s="574"/>
      <c r="EO331" s="574"/>
      <c r="EP331" s="574"/>
      <c r="EQ331" s="574"/>
      <c r="ER331" s="574"/>
      <c r="ES331" s="574"/>
      <c r="ET331" s="574"/>
      <c r="EU331" s="574"/>
    </row>
    <row r="332">
      <c r="A332" s="12"/>
      <c r="B332" s="55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  <c r="BB332" s="12"/>
      <c r="BC332" s="12"/>
      <c r="BD332" s="12"/>
      <c r="BE332" s="12"/>
      <c r="BF332" s="12"/>
      <c r="BG332" s="12"/>
      <c r="BH332" s="12"/>
      <c r="BI332" s="12"/>
      <c r="BJ332" s="12"/>
      <c r="BK332" s="12"/>
      <c r="BL332" s="12"/>
      <c r="BM332" s="12"/>
      <c r="BN332" s="12"/>
      <c r="BO332" s="12"/>
      <c r="BP332" s="12"/>
      <c r="BQ332" s="12"/>
      <c r="BR332" s="12"/>
      <c r="BS332" s="12"/>
      <c r="BT332" s="12"/>
      <c r="BU332" s="12"/>
      <c r="BV332" s="12"/>
      <c r="BW332" s="12"/>
      <c r="BX332" s="12"/>
      <c r="BY332" s="12"/>
      <c r="BZ332" s="12"/>
      <c r="CA332" s="12"/>
      <c r="CB332" s="12"/>
      <c r="CC332" s="12"/>
      <c r="CD332" s="12"/>
      <c r="CE332" s="12"/>
      <c r="CF332" s="12"/>
      <c r="CG332" s="12"/>
      <c r="CH332" s="12"/>
      <c r="CI332" s="12"/>
      <c r="CJ332" s="12"/>
      <c r="CK332" s="12"/>
      <c r="CL332" s="12"/>
      <c r="CM332" s="12"/>
      <c r="CN332" s="12"/>
      <c r="CO332" s="12"/>
      <c r="CP332" s="12"/>
      <c r="CQ332" s="12"/>
      <c r="CR332" s="12"/>
      <c r="CS332" s="12"/>
      <c r="CT332" s="12"/>
      <c r="CU332" s="12"/>
      <c r="CV332" s="12"/>
      <c r="CW332" s="12"/>
      <c r="CX332" s="12"/>
      <c r="CY332" s="12"/>
      <c r="CZ332" s="12"/>
      <c r="DA332" s="12"/>
      <c r="DB332" s="12"/>
      <c r="DC332" s="12"/>
      <c r="DD332" s="12"/>
      <c r="DE332" s="12"/>
      <c r="DF332" s="12"/>
      <c r="DG332" s="12"/>
      <c r="DH332" s="12"/>
      <c r="DI332" s="12"/>
      <c r="DJ332" s="12"/>
      <c r="DK332" s="12"/>
      <c r="DL332" s="12"/>
      <c r="DM332" s="12"/>
      <c r="DN332" s="12"/>
      <c r="DO332" s="12"/>
      <c r="DP332" s="12"/>
      <c r="DQ332" s="12"/>
      <c r="DR332" s="12"/>
      <c r="DS332" s="12"/>
      <c r="DT332" s="12"/>
      <c r="DU332" s="12"/>
      <c r="DV332" s="12"/>
      <c r="DW332" s="12"/>
      <c r="DX332" s="12"/>
      <c r="DY332" s="12"/>
      <c r="DZ332" s="12"/>
      <c r="EA332" s="12"/>
      <c r="EB332" s="12"/>
      <c r="EC332" s="12"/>
      <c r="ED332" s="12"/>
      <c r="EE332" s="12"/>
      <c r="EF332" s="12"/>
      <c r="EG332" s="12"/>
      <c r="EH332" s="12"/>
      <c r="EI332" s="12"/>
      <c r="EJ332" s="574"/>
      <c r="EK332" s="574"/>
      <c r="EL332" s="574"/>
      <c r="EM332" s="574"/>
      <c r="EN332" s="574"/>
      <c r="EO332" s="574"/>
      <c r="EP332" s="574"/>
      <c r="EQ332" s="574"/>
      <c r="ER332" s="574"/>
      <c r="ES332" s="574"/>
      <c r="ET332" s="574"/>
      <c r="EU332" s="574"/>
    </row>
    <row r="333">
      <c r="A333" s="12"/>
      <c r="B333" s="55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  <c r="BF333" s="12"/>
      <c r="BG333" s="12"/>
      <c r="BH333" s="12"/>
      <c r="BI333" s="12"/>
      <c r="BJ333" s="12"/>
      <c r="BK333" s="12"/>
      <c r="BL333" s="12"/>
      <c r="BM333" s="12"/>
      <c r="BN333" s="12"/>
      <c r="BO333" s="12"/>
      <c r="BP333" s="12"/>
      <c r="BQ333" s="12"/>
      <c r="BR333" s="12"/>
      <c r="BS333" s="12"/>
      <c r="BT333" s="12"/>
      <c r="BU333" s="12"/>
      <c r="BV333" s="12"/>
      <c r="BW333" s="12"/>
      <c r="BX333" s="12"/>
      <c r="BY333" s="12"/>
      <c r="BZ333" s="12"/>
      <c r="CA333" s="12"/>
      <c r="CB333" s="12"/>
      <c r="CC333" s="12"/>
      <c r="CD333" s="12"/>
      <c r="CE333" s="12"/>
      <c r="CF333" s="12"/>
      <c r="CG333" s="12"/>
      <c r="CH333" s="12"/>
      <c r="CI333" s="12"/>
      <c r="CJ333" s="12"/>
      <c r="CK333" s="12"/>
      <c r="CL333" s="12"/>
      <c r="CM333" s="12"/>
      <c r="CN333" s="12"/>
      <c r="CO333" s="12"/>
      <c r="CP333" s="12"/>
      <c r="CQ333" s="12"/>
      <c r="CR333" s="12"/>
      <c r="CS333" s="12"/>
      <c r="CT333" s="12"/>
      <c r="CU333" s="12"/>
      <c r="CV333" s="12"/>
      <c r="CW333" s="12"/>
      <c r="CX333" s="12"/>
      <c r="CY333" s="12"/>
      <c r="CZ333" s="12"/>
      <c r="DA333" s="12"/>
      <c r="DB333" s="12"/>
      <c r="DC333" s="12"/>
      <c r="DD333" s="12"/>
      <c r="DE333" s="12"/>
      <c r="DF333" s="12"/>
      <c r="DG333" s="12"/>
      <c r="DH333" s="12"/>
      <c r="DI333" s="12"/>
      <c r="DJ333" s="12"/>
      <c r="DK333" s="12"/>
      <c r="DL333" s="12"/>
      <c r="DM333" s="12"/>
      <c r="DN333" s="12"/>
      <c r="DO333" s="12"/>
      <c r="DP333" s="12"/>
      <c r="DQ333" s="12"/>
      <c r="DR333" s="12"/>
      <c r="DS333" s="12"/>
      <c r="DT333" s="12"/>
      <c r="DU333" s="12"/>
      <c r="DV333" s="12"/>
      <c r="DW333" s="12"/>
      <c r="DX333" s="12"/>
      <c r="DY333" s="12"/>
      <c r="DZ333" s="12"/>
      <c r="EA333" s="12"/>
      <c r="EB333" s="12"/>
      <c r="EC333" s="12"/>
      <c r="ED333" s="12"/>
      <c r="EE333" s="12"/>
      <c r="EF333" s="12"/>
      <c r="EG333" s="12"/>
      <c r="EH333" s="12"/>
      <c r="EI333" s="12"/>
      <c r="EJ333" s="574"/>
      <c r="EK333" s="574"/>
      <c r="EL333" s="574"/>
      <c r="EM333" s="574"/>
      <c r="EN333" s="574"/>
      <c r="EO333" s="574"/>
      <c r="EP333" s="574"/>
      <c r="EQ333" s="574"/>
      <c r="ER333" s="574"/>
      <c r="ES333" s="574"/>
      <c r="ET333" s="574"/>
      <c r="EU333" s="574"/>
    </row>
    <row r="334">
      <c r="A334" s="552"/>
      <c r="B334" s="552"/>
      <c r="C334" s="552"/>
      <c r="D334" s="552"/>
      <c r="E334" s="552"/>
      <c r="F334" s="552"/>
      <c r="G334" s="552"/>
      <c r="H334" s="552"/>
      <c r="I334" s="552"/>
      <c r="J334" s="552"/>
      <c r="K334" s="552"/>
      <c r="L334" s="552"/>
      <c r="M334" s="552"/>
      <c r="N334" s="552"/>
      <c r="O334" s="552"/>
      <c r="P334" s="552"/>
      <c r="Q334" s="552"/>
      <c r="R334" s="552"/>
      <c r="S334" s="552"/>
      <c r="T334" s="552"/>
      <c r="U334" s="552"/>
      <c r="V334" s="552"/>
      <c r="W334" s="552"/>
      <c r="X334" s="552"/>
      <c r="Y334" s="552"/>
      <c r="Z334" s="552"/>
      <c r="AA334" s="552"/>
      <c r="AB334" s="552"/>
      <c r="AC334" s="552"/>
      <c r="AD334" s="552"/>
      <c r="AE334" s="552"/>
      <c r="AF334" s="552"/>
      <c r="AG334" s="552"/>
      <c r="AH334" s="552"/>
      <c r="AI334" s="552"/>
      <c r="AJ334" s="552"/>
      <c r="AK334" s="552"/>
      <c r="AL334" s="552"/>
      <c r="AM334" s="552"/>
      <c r="AN334" s="552"/>
      <c r="AO334" s="552"/>
      <c r="AP334" s="552"/>
      <c r="AQ334" s="552"/>
      <c r="AR334" s="552"/>
      <c r="AS334" s="552"/>
      <c r="AT334" s="552"/>
      <c r="AU334" s="552"/>
      <c r="AV334" s="552"/>
      <c r="AW334" s="552"/>
      <c r="AX334" s="552"/>
      <c r="AY334" s="552"/>
      <c r="AZ334" s="552"/>
      <c r="BA334" s="552"/>
      <c r="BB334" s="552"/>
      <c r="BC334" s="552"/>
      <c r="BD334" s="552"/>
      <c r="BE334" s="552"/>
      <c r="BF334" s="552"/>
      <c r="BG334" s="552"/>
      <c r="BH334" s="552"/>
      <c r="BI334" s="552"/>
      <c r="BJ334" s="552"/>
      <c r="BK334" s="552"/>
      <c r="BL334" s="552"/>
      <c r="BM334" s="552"/>
      <c r="BN334" s="552"/>
      <c r="BO334" s="552"/>
      <c r="BP334" s="552"/>
      <c r="BQ334" s="552"/>
      <c r="BR334" s="552"/>
      <c r="BS334" s="552"/>
      <c r="BT334" s="552"/>
      <c r="BU334" s="552"/>
      <c r="BV334" s="552"/>
      <c r="BW334" s="552"/>
      <c r="BX334" s="552"/>
      <c r="BY334" s="552"/>
      <c r="BZ334" s="552"/>
      <c r="CA334" s="552"/>
      <c r="CB334" s="552"/>
      <c r="CC334" s="552"/>
      <c r="CD334" s="552"/>
      <c r="CE334" s="552"/>
      <c r="CF334" s="12"/>
      <c r="CG334" s="12"/>
      <c r="CH334" s="12"/>
      <c r="CI334" s="12"/>
      <c r="CJ334" s="12"/>
      <c r="CK334" s="552"/>
      <c r="CL334" s="552"/>
      <c r="CM334" s="552"/>
      <c r="CN334" s="552"/>
      <c r="CO334" s="552"/>
      <c r="CP334" s="552"/>
      <c r="CQ334" s="552"/>
      <c r="CR334" s="552"/>
      <c r="CS334" s="552"/>
      <c r="CT334" s="552"/>
      <c r="CU334" s="552"/>
      <c r="CV334" s="552"/>
      <c r="CW334" s="12"/>
      <c r="CX334" s="12"/>
      <c r="CY334" s="12"/>
      <c r="CZ334" s="12"/>
      <c r="DA334" s="12"/>
      <c r="DB334" s="552"/>
      <c r="DC334" s="552"/>
      <c r="DD334" s="552"/>
      <c r="DE334" s="552"/>
      <c r="DF334" s="552"/>
      <c r="DG334" s="12"/>
      <c r="DH334" s="12"/>
      <c r="DI334" s="12"/>
      <c r="DJ334" s="12"/>
      <c r="DK334" s="12"/>
      <c r="DL334" s="12"/>
      <c r="DM334" s="12"/>
      <c r="DN334" s="12"/>
      <c r="DO334" s="12"/>
      <c r="DP334" s="12"/>
      <c r="DQ334" s="12"/>
      <c r="DR334" s="12"/>
      <c r="DS334" s="552"/>
      <c r="DT334" s="552"/>
      <c r="DU334" s="552"/>
      <c r="DV334" s="552"/>
      <c r="DW334" s="552"/>
      <c r="DX334" s="12"/>
      <c r="DY334" s="12"/>
      <c r="DZ334" s="12"/>
      <c r="EA334" s="12"/>
      <c r="EB334" s="12"/>
      <c r="EC334" s="12"/>
      <c r="ED334" s="12"/>
      <c r="EE334" s="12"/>
      <c r="EF334" s="12"/>
      <c r="EG334" s="12"/>
      <c r="EH334" s="12"/>
      <c r="EI334" s="12"/>
      <c r="EJ334" s="574"/>
      <c r="EK334" s="574"/>
      <c r="EL334" s="574"/>
      <c r="EM334" s="574"/>
      <c r="EN334" s="574"/>
      <c r="EO334" s="574"/>
      <c r="EP334" s="574"/>
      <c r="EQ334" s="574"/>
      <c r="ER334" s="574"/>
      <c r="ES334" s="574"/>
      <c r="ET334" s="574"/>
      <c r="EU334" s="574"/>
    </row>
    <row r="335">
      <c r="A335" s="12"/>
      <c r="B335" s="55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  <c r="BA335" s="12"/>
      <c r="BB335" s="12"/>
      <c r="BC335" s="12"/>
      <c r="BD335" s="12"/>
      <c r="BE335" s="12"/>
      <c r="BF335" s="12"/>
      <c r="BG335" s="12"/>
      <c r="BH335" s="12"/>
      <c r="BI335" s="12"/>
      <c r="BJ335" s="12"/>
      <c r="BK335" s="12"/>
      <c r="BL335" s="12"/>
      <c r="BM335" s="12"/>
      <c r="BN335" s="12"/>
      <c r="BO335" s="12"/>
      <c r="BP335" s="12"/>
      <c r="BQ335" s="12"/>
      <c r="BR335" s="12"/>
      <c r="BS335" s="12"/>
      <c r="BT335" s="12"/>
      <c r="BU335" s="12"/>
      <c r="BV335" s="12"/>
      <c r="BW335" s="12"/>
      <c r="BX335" s="12"/>
      <c r="BY335" s="12"/>
      <c r="BZ335" s="12"/>
      <c r="CA335" s="12"/>
      <c r="CB335" s="12"/>
      <c r="CC335" s="12"/>
      <c r="CD335" s="12"/>
      <c r="CE335" s="12"/>
      <c r="CF335" s="12"/>
      <c r="CG335" s="12"/>
      <c r="CH335" s="12"/>
      <c r="CI335" s="12"/>
      <c r="CJ335" s="12"/>
      <c r="CK335" s="12"/>
      <c r="CL335" s="12"/>
      <c r="CM335" s="12"/>
      <c r="CN335" s="12"/>
      <c r="CO335" s="12"/>
      <c r="CP335" s="12"/>
      <c r="CQ335" s="12"/>
      <c r="CR335" s="12"/>
      <c r="CS335" s="12"/>
      <c r="CT335" s="12"/>
      <c r="CU335" s="12"/>
      <c r="CV335" s="12"/>
      <c r="CW335" s="12"/>
      <c r="CX335" s="12"/>
      <c r="CY335" s="12"/>
      <c r="CZ335" s="12"/>
      <c r="DA335" s="12"/>
      <c r="DB335" s="12"/>
      <c r="DC335" s="12"/>
      <c r="DD335" s="12"/>
      <c r="DE335" s="12"/>
      <c r="DF335" s="12"/>
      <c r="DG335" s="12"/>
      <c r="DH335" s="12"/>
      <c r="DI335" s="12"/>
      <c r="DJ335" s="12"/>
      <c r="DK335" s="12"/>
      <c r="DL335" s="12"/>
      <c r="DM335" s="12"/>
      <c r="DN335" s="12"/>
      <c r="DO335" s="12"/>
      <c r="DP335" s="12"/>
      <c r="DQ335" s="12"/>
      <c r="DR335" s="12"/>
      <c r="DS335" s="12"/>
      <c r="DT335" s="12"/>
      <c r="DU335" s="12"/>
      <c r="DV335" s="12"/>
      <c r="DW335" s="12"/>
      <c r="DX335" s="12"/>
      <c r="DY335" s="12"/>
      <c r="DZ335" s="12"/>
      <c r="EA335" s="12"/>
      <c r="EB335" s="12"/>
      <c r="EC335" s="12"/>
      <c r="ED335" s="12"/>
      <c r="EE335" s="12"/>
      <c r="EF335" s="12"/>
      <c r="EG335" s="12"/>
      <c r="EH335" s="12"/>
      <c r="EI335" s="12"/>
      <c r="EJ335" s="574"/>
      <c r="EK335" s="574"/>
      <c r="EL335" s="574"/>
      <c r="EM335" s="574"/>
      <c r="EN335" s="574"/>
      <c r="EO335" s="574"/>
      <c r="EP335" s="574"/>
      <c r="EQ335" s="574"/>
      <c r="ER335" s="574"/>
      <c r="ES335" s="574"/>
      <c r="ET335" s="574"/>
      <c r="EU335" s="574"/>
    </row>
    <row r="336">
      <c r="A336" s="12"/>
      <c r="B336" s="55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/>
      <c r="BD336" s="12"/>
      <c r="BE336" s="12"/>
      <c r="BF336" s="12"/>
      <c r="BG336" s="12"/>
      <c r="BH336" s="12"/>
      <c r="BI336" s="12"/>
      <c r="BJ336" s="12"/>
      <c r="BK336" s="12"/>
      <c r="BL336" s="12"/>
      <c r="BM336" s="12"/>
      <c r="BN336" s="12"/>
      <c r="BO336" s="12"/>
      <c r="BP336" s="12"/>
      <c r="BQ336" s="12"/>
      <c r="BR336" s="12"/>
      <c r="BS336" s="12"/>
      <c r="BT336" s="12"/>
      <c r="BU336" s="12"/>
      <c r="BV336" s="12"/>
      <c r="BW336" s="12"/>
      <c r="BX336" s="12"/>
      <c r="BY336" s="12"/>
      <c r="BZ336" s="12"/>
      <c r="CA336" s="12"/>
      <c r="CB336" s="12"/>
      <c r="CC336" s="12"/>
      <c r="CD336" s="12"/>
      <c r="CE336" s="12"/>
      <c r="CF336" s="12"/>
      <c r="CG336" s="12"/>
      <c r="CH336" s="12"/>
      <c r="CI336" s="12"/>
      <c r="CJ336" s="12"/>
      <c r="CK336" s="12"/>
      <c r="CL336" s="12"/>
      <c r="CM336" s="12"/>
      <c r="CN336" s="12"/>
      <c r="CO336" s="12"/>
      <c r="CP336" s="12"/>
      <c r="CQ336" s="12"/>
      <c r="CR336" s="12"/>
      <c r="CS336" s="12"/>
      <c r="CT336" s="12"/>
      <c r="CU336" s="12"/>
      <c r="CV336" s="12"/>
      <c r="CW336" s="12"/>
      <c r="CX336" s="12"/>
      <c r="CY336" s="12"/>
      <c r="CZ336" s="12"/>
      <c r="DA336" s="12"/>
      <c r="DB336" s="12"/>
      <c r="DC336" s="12"/>
      <c r="DD336" s="12"/>
      <c r="DE336" s="12"/>
      <c r="DF336" s="12"/>
      <c r="DG336" s="12"/>
      <c r="DH336" s="12"/>
      <c r="DI336" s="12"/>
      <c r="DJ336" s="12"/>
      <c r="DK336" s="12"/>
      <c r="DL336" s="12"/>
      <c r="DM336" s="12"/>
      <c r="DN336" s="12"/>
      <c r="DO336" s="12"/>
      <c r="DP336" s="12"/>
      <c r="DQ336" s="12"/>
      <c r="DR336" s="12"/>
      <c r="DS336" s="12"/>
      <c r="DT336" s="12"/>
      <c r="DU336" s="12"/>
      <c r="DV336" s="12"/>
      <c r="DW336" s="12"/>
      <c r="DX336" s="12"/>
      <c r="DY336" s="12"/>
      <c r="DZ336" s="12"/>
      <c r="EA336" s="12"/>
      <c r="EB336" s="12"/>
      <c r="EC336" s="12"/>
      <c r="ED336" s="12"/>
      <c r="EE336" s="12"/>
      <c r="EF336" s="12"/>
      <c r="EG336" s="12"/>
      <c r="EH336" s="12"/>
      <c r="EI336" s="12"/>
      <c r="EJ336" s="574"/>
      <c r="EK336" s="574"/>
      <c r="EL336" s="574"/>
      <c r="EM336" s="574"/>
      <c r="EN336" s="574"/>
      <c r="EO336" s="574"/>
      <c r="EP336" s="574"/>
      <c r="EQ336" s="574"/>
      <c r="ER336" s="574"/>
      <c r="ES336" s="574"/>
      <c r="ET336" s="574"/>
      <c r="EU336" s="574"/>
    </row>
    <row r="337">
      <c r="A337" s="12"/>
      <c r="B337" s="55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  <c r="BD337" s="12"/>
      <c r="BE337" s="12"/>
      <c r="BF337" s="12"/>
      <c r="BG337" s="12"/>
      <c r="BH337" s="12"/>
      <c r="BI337" s="12"/>
      <c r="BJ337" s="12"/>
      <c r="BK337" s="12"/>
      <c r="BL337" s="12"/>
      <c r="BM337" s="12"/>
      <c r="BN337" s="12"/>
      <c r="BO337" s="12"/>
      <c r="BP337" s="12"/>
      <c r="BQ337" s="12"/>
      <c r="BR337" s="12"/>
      <c r="BS337" s="12"/>
      <c r="BT337" s="12"/>
      <c r="BU337" s="12"/>
      <c r="BV337" s="12"/>
      <c r="BW337" s="12"/>
      <c r="BX337" s="12"/>
      <c r="BY337" s="12"/>
      <c r="BZ337" s="12"/>
      <c r="CA337" s="12"/>
      <c r="CB337" s="12"/>
      <c r="CC337" s="12"/>
      <c r="CD337" s="12"/>
      <c r="CE337" s="12"/>
      <c r="CF337" s="12"/>
      <c r="CG337" s="12"/>
      <c r="CH337" s="12"/>
      <c r="CI337" s="12"/>
      <c r="CJ337" s="12"/>
      <c r="CK337" s="12"/>
      <c r="CL337" s="12"/>
      <c r="CM337" s="12"/>
      <c r="CN337" s="12"/>
      <c r="CO337" s="12"/>
      <c r="CP337" s="12"/>
      <c r="CQ337" s="12"/>
      <c r="CR337" s="12"/>
      <c r="CS337" s="12"/>
      <c r="CT337" s="12"/>
      <c r="CU337" s="12"/>
      <c r="CV337" s="12"/>
      <c r="CW337" s="12"/>
      <c r="CX337" s="12"/>
      <c r="CY337" s="12"/>
      <c r="CZ337" s="12"/>
      <c r="DA337" s="12"/>
      <c r="DB337" s="12"/>
      <c r="DC337" s="12"/>
      <c r="DD337" s="12"/>
      <c r="DE337" s="12"/>
      <c r="DF337" s="12"/>
      <c r="DG337" s="12"/>
      <c r="DH337" s="12"/>
      <c r="DI337" s="12"/>
      <c r="DJ337" s="12"/>
      <c r="DK337" s="12"/>
      <c r="DL337" s="12"/>
      <c r="DM337" s="12"/>
      <c r="DN337" s="12"/>
      <c r="DO337" s="12"/>
      <c r="DP337" s="12"/>
      <c r="DQ337" s="12"/>
      <c r="DR337" s="12"/>
      <c r="DS337" s="12"/>
      <c r="DT337" s="12"/>
      <c r="DU337" s="12"/>
      <c r="DV337" s="12"/>
      <c r="DW337" s="12"/>
      <c r="DX337" s="12"/>
      <c r="DY337" s="12"/>
      <c r="DZ337" s="12"/>
      <c r="EA337" s="12"/>
      <c r="EB337" s="12"/>
      <c r="EC337" s="12"/>
      <c r="ED337" s="12"/>
      <c r="EE337" s="12"/>
      <c r="EF337" s="12"/>
      <c r="EG337" s="12"/>
      <c r="EH337" s="12"/>
      <c r="EI337" s="12"/>
      <c r="EJ337" s="574"/>
      <c r="EK337" s="574"/>
      <c r="EL337" s="574"/>
      <c r="EM337" s="574"/>
      <c r="EN337" s="574"/>
      <c r="EO337" s="574"/>
      <c r="EP337" s="574"/>
      <c r="EQ337" s="574"/>
      <c r="ER337" s="574"/>
      <c r="ES337" s="574"/>
      <c r="ET337" s="574"/>
      <c r="EU337" s="574"/>
    </row>
    <row r="338">
      <c r="A338" s="12"/>
      <c r="B338" s="55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2"/>
      <c r="BE338" s="12"/>
      <c r="BF338" s="12"/>
      <c r="BG338" s="12"/>
      <c r="BH338" s="12"/>
      <c r="BI338" s="12"/>
      <c r="BJ338" s="12"/>
      <c r="BK338" s="12"/>
      <c r="BL338" s="12"/>
      <c r="BM338" s="12"/>
      <c r="BN338" s="12"/>
      <c r="BO338" s="12"/>
      <c r="BP338" s="12"/>
      <c r="BQ338" s="12"/>
      <c r="BR338" s="12"/>
      <c r="BS338" s="12"/>
      <c r="BT338" s="12"/>
      <c r="BU338" s="12"/>
      <c r="BV338" s="12"/>
      <c r="BW338" s="12"/>
      <c r="BX338" s="12"/>
      <c r="BY338" s="12"/>
      <c r="BZ338" s="12"/>
      <c r="CA338" s="12"/>
      <c r="CB338" s="12"/>
      <c r="CC338" s="12"/>
      <c r="CD338" s="12"/>
      <c r="CE338" s="12"/>
      <c r="CF338" s="12"/>
      <c r="CG338" s="12"/>
      <c r="CH338" s="12"/>
      <c r="CI338" s="12"/>
      <c r="CJ338" s="12"/>
      <c r="CK338" s="12"/>
      <c r="CL338" s="12"/>
      <c r="CM338" s="12"/>
      <c r="CN338" s="12"/>
      <c r="CO338" s="12"/>
      <c r="CP338" s="12"/>
      <c r="CQ338" s="12"/>
      <c r="CR338" s="12"/>
      <c r="CS338" s="12"/>
      <c r="CT338" s="12"/>
      <c r="CU338" s="12"/>
      <c r="CV338" s="12"/>
      <c r="CW338" s="12"/>
      <c r="CX338" s="12"/>
      <c r="CY338" s="12"/>
      <c r="CZ338" s="12"/>
      <c r="DA338" s="12"/>
      <c r="DB338" s="12"/>
      <c r="DC338" s="12"/>
      <c r="DD338" s="12"/>
      <c r="DE338" s="12"/>
      <c r="DF338" s="12"/>
      <c r="DG338" s="12"/>
      <c r="DH338" s="12"/>
      <c r="DI338" s="12"/>
      <c r="DJ338" s="12"/>
      <c r="DK338" s="12"/>
      <c r="DL338" s="12"/>
      <c r="DM338" s="12"/>
      <c r="DN338" s="12"/>
      <c r="DO338" s="12"/>
      <c r="DP338" s="12"/>
      <c r="DQ338" s="12"/>
      <c r="DR338" s="12"/>
      <c r="DS338" s="12"/>
      <c r="DT338" s="12"/>
      <c r="DU338" s="12"/>
      <c r="DV338" s="12"/>
      <c r="DW338" s="12"/>
      <c r="DX338" s="12"/>
      <c r="DY338" s="12"/>
      <c r="DZ338" s="12"/>
      <c r="EA338" s="12"/>
      <c r="EB338" s="12"/>
      <c r="EC338" s="12"/>
      <c r="ED338" s="12"/>
      <c r="EE338" s="12"/>
      <c r="EF338" s="12"/>
      <c r="EG338" s="12"/>
      <c r="EH338" s="12"/>
      <c r="EI338" s="12"/>
      <c r="EJ338" s="574"/>
      <c r="EK338" s="574"/>
      <c r="EL338" s="574"/>
      <c r="EM338" s="574"/>
      <c r="EN338" s="574"/>
      <c r="EO338" s="574"/>
      <c r="EP338" s="574"/>
      <c r="EQ338" s="574"/>
      <c r="ER338" s="574"/>
      <c r="ES338" s="574"/>
      <c r="ET338" s="574"/>
      <c r="EU338" s="574"/>
    </row>
    <row r="339">
      <c r="A339" s="12"/>
      <c r="B339" s="55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  <c r="BE339" s="12"/>
      <c r="BF339" s="12"/>
      <c r="BG339" s="12"/>
      <c r="BH339" s="12"/>
      <c r="BI339" s="12"/>
      <c r="BJ339" s="12"/>
      <c r="BK339" s="12"/>
      <c r="BL339" s="12"/>
      <c r="BM339" s="12"/>
      <c r="BN339" s="12"/>
      <c r="BO339" s="12"/>
      <c r="BP339" s="12"/>
      <c r="BQ339" s="12"/>
      <c r="BR339" s="12"/>
      <c r="BS339" s="12"/>
      <c r="BT339" s="12"/>
      <c r="BU339" s="12"/>
      <c r="BV339" s="12"/>
      <c r="BW339" s="12"/>
      <c r="BX339" s="12"/>
      <c r="BY339" s="12"/>
      <c r="BZ339" s="12"/>
      <c r="CA339" s="12"/>
      <c r="CB339" s="12"/>
      <c r="CC339" s="12"/>
      <c r="CD339" s="12"/>
      <c r="CE339" s="12"/>
      <c r="CF339" s="12"/>
      <c r="CG339" s="12"/>
      <c r="CH339" s="12"/>
      <c r="CI339" s="12"/>
      <c r="CJ339" s="12"/>
      <c r="CK339" s="12"/>
      <c r="CL339" s="12"/>
      <c r="CM339" s="12"/>
      <c r="CN339" s="12"/>
      <c r="CO339" s="12"/>
      <c r="CP339" s="12"/>
      <c r="CQ339" s="12"/>
      <c r="CR339" s="12"/>
      <c r="CS339" s="12"/>
      <c r="CT339" s="12"/>
      <c r="CU339" s="12"/>
      <c r="CV339" s="12"/>
      <c r="CW339" s="12"/>
      <c r="CX339" s="12"/>
      <c r="CY339" s="12"/>
      <c r="CZ339" s="12"/>
      <c r="DA339" s="12"/>
      <c r="DB339" s="12"/>
      <c r="DC339" s="12"/>
      <c r="DD339" s="12"/>
      <c r="DE339" s="12"/>
      <c r="DF339" s="12"/>
      <c r="DG339" s="12"/>
      <c r="DH339" s="12"/>
      <c r="DI339" s="12"/>
      <c r="DJ339" s="12"/>
      <c r="DK339" s="12"/>
      <c r="DL339" s="12"/>
      <c r="DM339" s="12"/>
      <c r="DN339" s="12"/>
      <c r="DO339" s="12"/>
      <c r="DP339" s="12"/>
      <c r="DQ339" s="12"/>
      <c r="DR339" s="12"/>
      <c r="DS339" s="12"/>
      <c r="DT339" s="12"/>
      <c r="DU339" s="12"/>
      <c r="DV339" s="12"/>
      <c r="DW339" s="12"/>
      <c r="DX339" s="12"/>
      <c r="DY339" s="12"/>
      <c r="DZ339" s="12"/>
      <c r="EA339" s="12"/>
      <c r="EB339" s="12"/>
      <c r="EC339" s="12"/>
      <c r="ED339" s="12"/>
      <c r="EE339" s="12"/>
      <c r="EF339" s="12"/>
      <c r="EG339" s="12"/>
      <c r="EH339" s="12"/>
      <c r="EI339" s="12"/>
      <c r="EJ339" s="574"/>
      <c r="EK339" s="574"/>
      <c r="EL339" s="574"/>
      <c r="EM339" s="574"/>
      <c r="EN339" s="574"/>
      <c r="EO339" s="574"/>
      <c r="EP339" s="574"/>
      <c r="EQ339" s="574"/>
      <c r="ER339" s="574"/>
      <c r="ES339" s="574"/>
      <c r="ET339" s="574"/>
      <c r="EU339" s="574"/>
    </row>
    <row r="340">
      <c r="A340" s="12"/>
      <c r="B340" s="55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  <c r="BD340" s="12"/>
      <c r="BE340" s="12"/>
      <c r="BF340" s="12"/>
      <c r="BG340" s="12"/>
      <c r="BH340" s="12"/>
      <c r="BI340" s="12"/>
      <c r="BJ340" s="12"/>
      <c r="BK340" s="12"/>
      <c r="BL340" s="12"/>
      <c r="BM340" s="12"/>
      <c r="BN340" s="12"/>
      <c r="BO340" s="12"/>
      <c r="BP340" s="12"/>
      <c r="BQ340" s="12"/>
      <c r="BR340" s="12"/>
      <c r="BS340" s="12"/>
      <c r="BT340" s="12"/>
      <c r="BU340" s="12"/>
      <c r="BV340" s="12"/>
      <c r="BW340" s="12"/>
      <c r="BX340" s="12"/>
      <c r="BY340" s="12"/>
      <c r="BZ340" s="12"/>
      <c r="CA340" s="12"/>
      <c r="CB340" s="12"/>
      <c r="CC340" s="12"/>
      <c r="CD340" s="12"/>
      <c r="CE340" s="12"/>
      <c r="CF340" s="12"/>
      <c r="CG340" s="12"/>
      <c r="CH340" s="12"/>
      <c r="CI340" s="12"/>
      <c r="CJ340" s="12"/>
      <c r="CK340" s="12"/>
      <c r="CL340" s="12"/>
      <c r="CM340" s="12"/>
      <c r="CN340" s="12"/>
      <c r="CO340" s="12"/>
      <c r="CP340" s="12"/>
      <c r="CQ340" s="12"/>
      <c r="CR340" s="12"/>
      <c r="CS340" s="12"/>
      <c r="CT340" s="12"/>
      <c r="CU340" s="12"/>
      <c r="CV340" s="12"/>
      <c r="CW340" s="12"/>
      <c r="CX340" s="12"/>
      <c r="CY340" s="12"/>
      <c r="CZ340" s="12"/>
      <c r="DA340" s="12"/>
      <c r="DB340" s="12"/>
      <c r="DC340" s="12"/>
      <c r="DD340" s="12"/>
      <c r="DE340" s="12"/>
      <c r="DF340" s="12"/>
      <c r="DG340" s="12"/>
      <c r="DH340" s="12"/>
      <c r="DI340" s="12"/>
      <c r="DJ340" s="12"/>
      <c r="DK340" s="12"/>
      <c r="DL340" s="12"/>
      <c r="DM340" s="12"/>
      <c r="DN340" s="12"/>
      <c r="DO340" s="12"/>
      <c r="DP340" s="12"/>
      <c r="DQ340" s="12"/>
      <c r="DR340" s="12"/>
      <c r="DS340" s="12"/>
      <c r="DT340" s="12"/>
      <c r="DU340" s="12"/>
      <c r="DV340" s="12"/>
      <c r="DW340" s="12"/>
      <c r="DX340" s="12"/>
      <c r="DY340" s="12"/>
      <c r="DZ340" s="12"/>
      <c r="EA340" s="12"/>
      <c r="EB340" s="12"/>
      <c r="EC340" s="12"/>
      <c r="ED340" s="12"/>
      <c r="EE340" s="12"/>
      <c r="EF340" s="12"/>
      <c r="EG340" s="12"/>
      <c r="EH340" s="12"/>
      <c r="EI340" s="12"/>
      <c r="EJ340" s="574"/>
      <c r="EK340" s="574"/>
      <c r="EL340" s="574"/>
      <c r="EM340" s="574"/>
      <c r="EN340" s="574"/>
      <c r="EO340" s="574"/>
      <c r="EP340" s="574"/>
      <c r="EQ340" s="574"/>
      <c r="ER340" s="574"/>
      <c r="ES340" s="574"/>
      <c r="ET340" s="574"/>
      <c r="EU340" s="574"/>
    </row>
    <row r="341">
      <c r="A341" s="12"/>
      <c r="B341" s="55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  <c r="BE341" s="12"/>
      <c r="BF341" s="12"/>
      <c r="BG341" s="12"/>
      <c r="BH341" s="12"/>
      <c r="BI341" s="12"/>
      <c r="BJ341" s="12"/>
      <c r="BK341" s="12"/>
      <c r="BL341" s="12"/>
      <c r="BM341" s="12"/>
      <c r="BN341" s="12"/>
      <c r="BO341" s="12"/>
      <c r="BP341" s="12"/>
      <c r="BQ341" s="12"/>
      <c r="BR341" s="12"/>
      <c r="BS341" s="12"/>
      <c r="BT341" s="12"/>
      <c r="BU341" s="12"/>
      <c r="BV341" s="12"/>
      <c r="BW341" s="12"/>
      <c r="BX341" s="12"/>
      <c r="BY341" s="12"/>
      <c r="BZ341" s="12"/>
      <c r="CA341" s="12"/>
      <c r="CB341" s="12"/>
      <c r="CC341" s="12"/>
      <c r="CD341" s="12"/>
      <c r="CE341" s="12"/>
      <c r="CF341" s="12"/>
      <c r="CG341" s="12"/>
      <c r="CH341" s="12"/>
      <c r="CI341" s="12"/>
      <c r="CJ341" s="12"/>
      <c r="CK341" s="12"/>
      <c r="CL341" s="12"/>
      <c r="CM341" s="12"/>
      <c r="CN341" s="12"/>
      <c r="CO341" s="12"/>
      <c r="CP341" s="12"/>
      <c r="CQ341" s="12"/>
      <c r="CR341" s="12"/>
      <c r="CS341" s="12"/>
      <c r="CT341" s="12"/>
      <c r="CU341" s="12"/>
      <c r="CV341" s="12"/>
      <c r="CW341" s="12"/>
      <c r="CX341" s="12"/>
      <c r="CY341" s="12"/>
      <c r="CZ341" s="12"/>
      <c r="DA341" s="12"/>
      <c r="DB341" s="12"/>
      <c r="DC341" s="12"/>
      <c r="DD341" s="12"/>
      <c r="DE341" s="12"/>
      <c r="DF341" s="12"/>
      <c r="DG341" s="12"/>
      <c r="DH341" s="12"/>
      <c r="DI341" s="12"/>
      <c r="DJ341" s="12"/>
      <c r="DK341" s="12"/>
      <c r="DL341" s="12"/>
      <c r="DM341" s="12"/>
      <c r="DN341" s="12"/>
      <c r="DO341" s="12"/>
      <c r="DP341" s="12"/>
      <c r="DQ341" s="12"/>
      <c r="DR341" s="12"/>
      <c r="DS341" s="12"/>
      <c r="DT341" s="12"/>
      <c r="DU341" s="12"/>
      <c r="DV341" s="12"/>
      <c r="DW341" s="12"/>
      <c r="DX341" s="12"/>
      <c r="DY341" s="12"/>
      <c r="DZ341" s="12"/>
      <c r="EA341" s="12"/>
      <c r="EB341" s="12"/>
      <c r="EC341" s="12"/>
      <c r="ED341" s="12"/>
      <c r="EE341" s="12"/>
      <c r="EF341" s="12"/>
      <c r="EG341" s="12"/>
      <c r="EH341" s="12"/>
      <c r="EI341" s="12"/>
      <c r="EJ341" s="574"/>
      <c r="EK341" s="574"/>
      <c r="EL341" s="574"/>
      <c r="EM341" s="574"/>
      <c r="EN341" s="574"/>
      <c r="EO341" s="574"/>
      <c r="EP341" s="574"/>
      <c r="EQ341" s="574"/>
      <c r="ER341" s="574"/>
      <c r="ES341" s="574"/>
      <c r="ET341" s="574"/>
      <c r="EU341" s="574"/>
    </row>
    <row r="342">
      <c r="A342" s="12"/>
      <c r="B342" s="55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/>
      <c r="BD342" s="12"/>
      <c r="BE342" s="12"/>
      <c r="BF342" s="12"/>
      <c r="BG342" s="12"/>
      <c r="BH342" s="12"/>
      <c r="BI342" s="12"/>
      <c r="BJ342" s="12"/>
      <c r="BK342" s="12"/>
      <c r="BL342" s="12"/>
      <c r="BM342" s="12"/>
      <c r="BN342" s="12"/>
      <c r="BO342" s="12"/>
      <c r="BP342" s="12"/>
      <c r="BQ342" s="12"/>
      <c r="BR342" s="12"/>
      <c r="BS342" s="12"/>
      <c r="BT342" s="12"/>
      <c r="BU342" s="12"/>
      <c r="BV342" s="12"/>
      <c r="BW342" s="12"/>
      <c r="BX342" s="12"/>
      <c r="BY342" s="12"/>
      <c r="BZ342" s="12"/>
      <c r="CA342" s="12"/>
      <c r="CB342" s="12"/>
      <c r="CC342" s="12"/>
      <c r="CD342" s="12"/>
      <c r="CE342" s="12"/>
      <c r="CF342" s="12"/>
      <c r="CG342" s="12"/>
      <c r="CH342" s="12"/>
      <c r="CI342" s="12"/>
      <c r="CJ342" s="12"/>
      <c r="CK342" s="12"/>
      <c r="CL342" s="12"/>
      <c r="CM342" s="12"/>
      <c r="CN342" s="12"/>
      <c r="CO342" s="12"/>
      <c r="CP342" s="12"/>
      <c r="CQ342" s="12"/>
      <c r="CR342" s="12"/>
      <c r="CS342" s="12"/>
      <c r="CT342" s="12"/>
      <c r="CU342" s="12"/>
      <c r="CV342" s="12"/>
      <c r="CW342" s="12"/>
      <c r="CX342" s="12"/>
      <c r="CY342" s="12"/>
      <c r="CZ342" s="12"/>
      <c r="DA342" s="12"/>
      <c r="DB342" s="12"/>
      <c r="DC342" s="12"/>
      <c r="DD342" s="12"/>
      <c r="DE342" s="12"/>
      <c r="DF342" s="12"/>
      <c r="DG342" s="12"/>
      <c r="DH342" s="12"/>
      <c r="DI342" s="12"/>
      <c r="DJ342" s="12"/>
      <c r="DK342" s="12"/>
      <c r="DL342" s="12"/>
      <c r="DM342" s="12"/>
      <c r="DN342" s="12"/>
      <c r="DO342" s="12"/>
      <c r="DP342" s="12"/>
      <c r="DQ342" s="12"/>
      <c r="DR342" s="12"/>
      <c r="DS342" s="12"/>
      <c r="DT342" s="12"/>
      <c r="DU342" s="12"/>
      <c r="DV342" s="12"/>
      <c r="DW342" s="12"/>
      <c r="DX342" s="12"/>
      <c r="DY342" s="12"/>
      <c r="DZ342" s="12"/>
      <c r="EA342" s="12"/>
      <c r="EB342" s="12"/>
      <c r="EC342" s="12"/>
      <c r="ED342" s="12"/>
      <c r="EE342" s="12"/>
      <c r="EF342" s="12"/>
      <c r="EG342" s="12"/>
      <c r="EH342" s="12"/>
      <c r="EI342" s="12"/>
      <c r="EJ342" s="574"/>
      <c r="EK342" s="574"/>
      <c r="EL342" s="574"/>
      <c r="EM342" s="574"/>
      <c r="EN342" s="574"/>
      <c r="EO342" s="574"/>
      <c r="EP342" s="574"/>
      <c r="EQ342" s="574"/>
      <c r="ER342" s="574"/>
      <c r="ES342" s="574"/>
      <c r="ET342" s="574"/>
      <c r="EU342" s="574"/>
    </row>
    <row r="343">
      <c r="A343" s="12"/>
      <c r="B343" s="55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  <c r="BF343" s="12"/>
      <c r="BG343" s="12"/>
      <c r="BH343" s="12"/>
      <c r="BI343" s="12"/>
      <c r="BJ343" s="12"/>
      <c r="BK343" s="12"/>
      <c r="BL343" s="12"/>
      <c r="BM343" s="12"/>
      <c r="BN343" s="12"/>
      <c r="BO343" s="12"/>
      <c r="BP343" s="12"/>
      <c r="BQ343" s="12"/>
      <c r="BR343" s="12"/>
      <c r="BS343" s="12"/>
      <c r="BT343" s="12"/>
      <c r="BU343" s="12"/>
      <c r="BV343" s="12"/>
      <c r="BW343" s="12"/>
      <c r="BX343" s="12"/>
      <c r="BY343" s="12"/>
      <c r="BZ343" s="12"/>
      <c r="CA343" s="12"/>
      <c r="CB343" s="12"/>
      <c r="CC343" s="12"/>
      <c r="CD343" s="12"/>
      <c r="CE343" s="12"/>
      <c r="CF343" s="12"/>
      <c r="CG343" s="12"/>
      <c r="CH343" s="12"/>
      <c r="CI343" s="12"/>
      <c r="CJ343" s="12"/>
      <c r="CK343" s="12"/>
      <c r="CL343" s="12"/>
      <c r="CM343" s="12"/>
      <c r="CN343" s="12"/>
      <c r="CO343" s="12"/>
      <c r="CP343" s="12"/>
      <c r="CQ343" s="12"/>
      <c r="CR343" s="12"/>
      <c r="CS343" s="12"/>
      <c r="CT343" s="12"/>
      <c r="CU343" s="12"/>
      <c r="CV343" s="12"/>
      <c r="CW343" s="12"/>
      <c r="CX343" s="12"/>
      <c r="CY343" s="12"/>
      <c r="CZ343" s="12"/>
      <c r="DA343" s="12"/>
      <c r="DB343" s="12"/>
      <c r="DC343" s="12"/>
      <c r="DD343" s="12"/>
      <c r="DE343" s="12"/>
      <c r="DF343" s="12"/>
      <c r="DG343" s="12"/>
      <c r="DH343" s="12"/>
      <c r="DI343" s="12"/>
      <c r="DJ343" s="12"/>
      <c r="DK343" s="12"/>
      <c r="DL343" s="12"/>
      <c r="DM343" s="12"/>
      <c r="DN343" s="12"/>
      <c r="DO343" s="12"/>
      <c r="DP343" s="12"/>
      <c r="DQ343" s="12"/>
      <c r="DR343" s="12"/>
      <c r="DS343" s="12"/>
      <c r="DT343" s="12"/>
      <c r="DU343" s="12"/>
      <c r="DV343" s="12"/>
      <c r="DW343" s="12"/>
      <c r="DX343" s="12"/>
      <c r="DY343" s="12"/>
      <c r="DZ343" s="12"/>
      <c r="EA343" s="12"/>
      <c r="EB343" s="12"/>
      <c r="EC343" s="12"/>
      <c r="ED343" s="12"/>
      <c r="EE343" s="12"/>
      <c r="EF343" s="12"/>
      <c r="EG343" s="12"/>
      <c r="EH343" s="12"/>
      <c r="EI343" s="12"/>
      <c r="EJ343" s="574"/>
      <c r="EK343" s="574"/>
      <c r="EL343" s="574"/>
      <c r="EM343" s="574"/>
      <c r="EN343" s="574"/>
      <c r="EO343" s="574"/>
      <c r="EP343" s="574"/>
      <c r="EQ343" s="574"/>
      <c r="ER343" s="574"/>
      <c r="ES343" s="574"/>
      <c r="ET343" s="574"/>
      <c r="EU343" s="574"/>
    </row>
    <row r="344">
      <c r="A344" s="12"/>
      <c r="B344" s="55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/>
      <c r="BE344" s="12"/>
      <c r="BF344" s="12"/>
      <c r="BG344" s="12"/>
      <c r="BH344" s="12"/>
      <c r="BI344" s="12"/>
      <c r="BJ344" s="12"/>
      <c r="BK344" s="12"/>
      <c r="BL344" s="12"/>
      <c r="BM344" s="12"/>
      <c r="BN344" s="12"/>
      <c r="BO344" s="12"/>
      <c r="BP344" s="12"/>
      <c r="BQ344" s="12"/>
      <c r="BR344" s="12"/>
      <c r="BS344" s="12"/>
      <c r="BT344" s="12"/>
      <c r="BU344" s="12"/>
      <c r="BV344" s="12"/>
      <c r="BW344" s="12"/>
      <c r="BX344" s="12"/>
      <c r="BY344" s="12"/>
      <c r="BZ344" s="12"/>
      <c r="CA344" s="12"/>
      <c r="CB344" s="12"/>
      <c r="CC344" s="12"/>
      <c r="CD344" s="12"/>
      <c r="CE344" s="12"/>
      <c r="CF344" s="12"/>
      <c r="CG344" s="12"/>
      <c r="CH344" s="12"/>
      <c r="CI344" s="12"/>
      <c r="CJ344" s="12"/>
      <c r="CK344" s="12"/>
      <c r="CL344" s="12"/>
      <c r="CM344" s="12"/>
      <c r="CN344" s="12"/>
      <c r="CO344" s="12"/>
      <c r="CP344" s="12"/>
      <c r="CQ344" s="12"/>
      <c r="CR344" s="12"/>
      <c r="CS344" s="12"/>
      <c r="CT344" s="12"/>
      <c r="CU344" s="12"/>
      <c r="CV344" s="12"/>
      <c r="CW344" s="12"/>
      <c r="CX344" s="12"/>
      <c r="CY344" s="12"/>
      <c r="CZ344" s="12"/>
      <c r="DA344" s="12"/>
      <c r="DB344" s="12"/>
      <c r="DC344" s="12"/>
      <c r="DD344" s="12"/>
      <c r="DE344" s="12"/>
      <c r="DF344" s="12"/>
      <c r="DG344" s="12"/>
      <c r="DH344" s="12"/>
      <c r="DI344" s="12"/>
      <c r="DJ344" s="12"/>
      <c r="DK344" s="12"/>
      <c r="DL344" s="12"/>
      <c r="DM344" s="12"/>
      <c r="DN344" s="12"/>
      <c r="DO344" s="12"/>
      <c r="DP344" s="12"/>
      <c r="DQ344" s="12"/>
      <c r="DR344" s="12"/>
      <c r="DS344" s="12"/>
      <c r="DT344" s="12"/>
      <c r="DU344" s="12"/>
      <c r="DV344" s="12"/>
      <c r="DW344" s="12"/>
      <c r="DX344" s="12"/>
      <c r="DY344" s="12"/>
      <c r="DZ344" s="12"/>
      <c r="EA344" s="12"/>
      <c r="EB344" s="12"/>
      <c r="EC344" s="12"/>
      <c r="ED344" s="12"/>
      <c r="EE344" s="12"/>
      <c r="EF344" s="12"/>
      <c r="EG344" s="12"/>
      <c r="EH344" s="12"/>
      <c r="EI344" s="12"/>
      <c r="EJ344" s="574"/>
      <c r="EK344" s="574"/>
      <c r="EL344" s="574"/>
      <c r="EM344" s="574"/>
      <c r="EN344" s="574"/>
      <c r="EO344" s="574"/>
      <c r="EP344" s="574"/>
      <c r="EQ344" s="574"/>
      <c r="ER344" s="574"/>
      <c r="ES344" s="574"/>
      <c r="ET344" s="574"/>
      <c r="EU344" s="574"/>
    </row>
    <row r="345">
      <c r="A345" s="12"/>
      <c r="B345" s="55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  <c r="BD345" s="12"/>
      <c r="BE345" s="12"/>
      <c r="BF345" s="12"/>
      <c r="BG345" s="12"/>
      <c r="BH345" s="12"/>
      <c r="BI345" s="12"/>
      <c r="BJ345" s="12"/>
      <c r="BK345" s="12"/>
      <c r="BL345" s="12"/>
      <c r="BM345" s="12"/>
      <c r="BN345" s="12"/>
      <c r="BO345" s="12"/>
      <c r="BP345" s="12"/>
      <c r="BQ345" s="12"/>
      <c r="BR345" s="12"/>
      <c r="BS345" s="12"/>
      <c r="BT345" s="12"/>
      <c r="BU345" s="12"/>
      <c r="BV345" s="12"/>
      <c r="BW345" s="12"/>
      <c r="BX345" s="12"/>
      <c r="BY345" s="12"/>
      <c r="BZ345" s="12"/>
      <c r="CA345" s="12"/>
      <c r="CB345" s="12"/>
      <c r="CC345" s="12"/>
      <c r="CD345" s="12"/>
      <c r="CE345" s="12"/>
      <c r="CF345" s="12"/>
      <c r="CG345" s="12"/>
      <c r="CH345" s="12"/>
      <c r="CI345" s="12"/>
      <c r="CJ345" s="12"/>
      <c r="CK345" s="12"/>
      <c r="CL345" s="12"/>
      <c r="CM345" s="12"/>
      <c r="CN345" s="12"/>
      <c r="CO345" s="12"/>
      <c r="CP345" s="12"/>
      <c r="CQ345" s="12"/>
      <c r="CR345" s="12"/>
      <c r="CS345" s="12"/>
      <c r="CT345" s="12"/>
      <c r="CU345" s="12"/>
      <c r="CV345" s="12"/>
      <c r="CW345" s="12"/>
      <c r="CX345" s="12"/>
      <c r="CY345" s="12"/>
      <c r="CZ345" s="12"/>
      <c r="DA345" s="12"/>
      <c r="DB345" s="12"/>
      <c r="DC345" s="12"/>
      <c r="DD345" s="12"/>
      <c r="DE345" s="12"/>
      <c r="DF345" s="12"/>
      <c r="DG345" s="12"/>
      <c r="DH345" s="12"/>
      <c r="DI345" s="12"/>
      <c r="DJ345" s="12"/>
      <c r="DK345" s="12"/>
      <c r="DL345" s="12"/>
      <c r="DM345" s="12"/>
      <c r="DN345" s="12"/>
      <c r="DO345" s="12"/>
      <c r="DP345" s="12"/>
      <c r="DQ345" s="12"/>
      <c r="DR345" s="12"/>
      <c r="DS345" s="12"/>
      <c r="DT345" s="12"/>
      <c r="DU345" s="12"/>
      <c r="DV345" s="12"/>
      <c r="DW345" s="12"/>
      <c r="DX345" s="12"/>
      <c r="DY345" s="12"/>
      <c r="DZ345" s="12"/>
      <c r="EA345" s="12"/>
      <c r="EB345" s="12"/>
      <c r="EC345" s="12"/>
      <c r="ED345" s="12"/>
      <c r="EE345" s="12"/>
      <c r="EF345" s="12"/>
      <c r="EG345" s="12"/>
      <c r="EH345" s="12"/>
      <c r="EI345" s="12"/>
      <c r="EJ345" s="574"/>
      <c r="EK345" s="574"/>
      <c r="EL345" s="574"/>
      <c r="EM345" s="574"/>
      <c r="EN345" s="574"/>
      <c r="EO345" s="574"/>
      <c r="EP345" s="574"/>
      <c r="EQ345" s="574"/>
      <c r="ER345" s="574"/>
      <c r="ES345" s="574"/>
      <c r="ET345" s="574"/>
      <c r="EU345" s="574"/>
    </row>
    <row r="346">
      <c r="A346" s="12"/>
      <c r="B346" s="55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  <c r="BA346" s="12"/>
      <c r="BB346" s="12"/>
      <c r="BC346" s="12"/>
      <c r="BD346" s="12"/>
      <c r="BE346" s="12"/>
      <c r="BF346" s="12"/>
      <c r="BG346" s="12"/>
      <c r="BH346" s="12"/>
      <c r="BI346" s="12"/>
      <c r="BJ346" s="12"/>
      <c r="BK346" s="12"/>
      <c r="BL346" s="12"/>
      <c r="BM346" s="12"/>
      <c r="BN346" s="12"/>
      <c r="BO346" s="12"/>
      <c r="BP346" s="12"/>
      <c r="BQ346" s="12"/>
      <c r="BR346" s="12"/>
      <c r="BS346" s="12"/>
      <c r="BT346" s="12"/>
      <c r="BU346" s="12"/>
      <c r="BV346" s="12"/>
      <c r="BW346" s="12"/>
      <c r="BX346" s="12"/>
      <c r="BY346" s="12"/>
      <c r="BZ346" s="12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574"/>
      <c r="EK346" s="574"/>
      <c r="EL346" s="574"/>
      <c r="EM346" s="574"/>
      <c r="EN346" s="574"/>
      <c r="EO346" s="574"/>
      <c r="EP346" s="574"/>
      <c r="EQ346" s="574"/>
      <c r="ER346" s="574"/>
      <c r="ES346" s="574"/>
      <c r="ET346" s="574"/>
      <c r="EU346" s="574"/>
    </row>
    <row r="347">
      <c r="A347" s="12"/>
      <c r="B347" s="55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  <c r="BD347" s="12"/>
      <c r="BE347" s="12"/>
      <c r="BF347" s="12"/>
      <c r="BG347" s="12"/>
      <c r="BH347" s="12"/>
      <c r="BI347" s="12"/>
      <c r="BJ347" s="12"/>
      <c r="BK347" s="12"/>
      <c r="BL347" s="12"/>
      <c r="BM347" s="12"/>
      <c r="BN347" s="12"/>
      <c r="BO347" s="12"/>
      <c r="BP347" s="12"/>
      <c r="BQ347" s="12"/>
      <c r="BR347" s="12"/>
      <c r="BS347" s="12"/>
      <c r="BT347" s="12"/>
      <c r="BU347" s="12"/>
      <c r="BV347" s="12"/>
      <c r="BW347" s="12"/>
      <c r="BX347" s="12"/>
      <c r="BY347" s="12"/>
      <c r="BZ347" s="12"/>
      <c r="CA347" s="12"/>
      <c r="CB347" s="12"/>
      <c r="CC347" s="12"/>
      <c r="CD347" s="12"/>
      <c r="CE347" s="12"/>
      <c r="CF347" s="12"/>
      <c r="CG347" s="12"/>
      <c r="CH347" s="12"/>
      <c r="CI347" s="12"/>
      <c r="CJ347" s="12"/>
      <c r="CK347" s="12"/>
      <c r="CL347" s="12"/>
      <c r="CM347" s="12"/>
      <c r="CN347" s="12"/>
      <c r="CO347" s="12"/>
      <c r="CP347" s="12"/>
      <c r="CQ347" s="12"/>
      <c r="CR347" s="12"/>
      <c r="CS347" s="12"/>
      <c r="CT347" s="12"/>
      <c r="CU347" s="12"/>
      <c r="CV347" s="12"/>
      <c r="CW347" s="12"/>
      <c r="CX347" s="12"/>
      <c r="CY347" s="12"/>
      <c r="CZ347" s="12"/>
      <c r="DA347" s="12"/>
      <c r="DB347" s="12"/>
      <c r="DC347" s="12"/>
      <c r="DD347" s="12"/>
      <c r="DE347" s="12"/>
      <c r="DF347" s="12"/>
      <c r="DG347" s="12"/>
      <c r="DH347" s="12"/>
      <c r="DI347" s="12"/>
      <c r="DJ347" s="12"/>
      <c r="DK347" s="12"/>
      <c r="DL347" s="12"/>
      <c r="DM347" s="12"/>
      <c r="DN347" s="12"/>
      <c r="DO347" s="12"/>
      <c r="DP347" s="12"/>
      <c r="DQ347" s="12"/>
      <c r="DR347" s="12"/>
      <c r="DS347" s="12"/>
      <c r="DT347" s="12"/>
      <c r="DU347" s="12"/>
      <c r="DV347" s="12"/>
      <c r="DW347" s="12"/>
      <c r="DX347" s="12"/>
      <c r="DY347" s="12"/>
      <c r="DZ347" s="12"/>
      <c r="EA347" s="12"/>
      <c r="EB347" s="12"/>
      <c r="EC347" s="12"/>
      <c r="ED347" s="12"/>
      <c r="EE347" s="12"/>
      <c r="EF347" s="12"/>
      <c r="EG347" s="12"/>
      <c r="EH347" s="12"/>
      <c r="EI347" s="12"/>
      <c r="EJ347" s="574"/>
      <c r="EK347" s="574"/>
      <c r="EL347" s="574"/>
      <c r="EM347" s="574"/>
      <c r="EN347" s="574"/>
      <c r="EO347" s="574"/>
      <c r="EP347" s="574"/>
      <c r="EQ347" s="574"/>
      <c r="ER347" s="574"/>
      <c r="ES347" s="574"/>
      <c r="ET347" s="574"/>
      <c r="EU347" s="574"/>
    </row>
    <row r="348">
      <c r="A348" s="12"/>
      <c r="B348" s="55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  <c r="BD348" s="12"/>
      <c r="BE348" s="12"/>
      <c r="BF348" s="12"/>
      <c r="BG348" s="12"/>
      <c r="BH348" s="12"/>
      <c r="BI348" s="12"/>
      <c r="BJ348" s="12"/>
      <c r="BK348" s="12"/>
      <c r="BL348" s="12"/>
      <c r="BM348" s="12"/>
      <c r="BN348" s="12"/>
      <c r="BO348" s="12"/>
      <c r="BP348" s="12"/>
      <c r="BQ348" s="12"/>
      <c r="BR348" s="12"/>
      <c r="BS348" s="12"/>
      <c r="BT348" s="12"/>
      <c r="BU348" s="12"/>
      <c r="BV348" s="12"/>
      <c r="BW348" s="12"/>
      <c r="BX348" s="12"/>
      <c r="BY348" s="12"/>
      <c r="BZ348" s="12"/>
      <c r="CA348" s="12"/>
      <c r="CB348" s="12"/>
      <c r="CC348" s="12"/>
      <c r="CD348" s="12"/>
      <c r="CE348" s="12"/>
      <c r="CF348" s="12"/>
      <c r="CG348" s="12"/>
      <c r="CH348" s="12"/>
      <c r="CI348" s="12"/>
      <c r="CJ348" s="12"/>
      <c r="CK348" s="12"/>
      <c r="CL348" s="12"/>
      <c r="CM348" s="12"/>
      <c r="CN348" s="12"/>
      <c r="CO348" s="12"/>
      <c r="CP348" s="12"/>
      <c r="CQ348" s="12"/>
      <c r="CR348" s="12"/>
      <c r="CS348" s="12"/>
      <c r="CT348" s="12"/>
      <c r="CU348" s="12"/>
      <c r="CV348" s="12"/>
      <c r="CW348" s="12"/>
      <c r="CX348" s="12"/>
      <c r="CY348" s="12"/>
      <c r="CZ348" s="12"/>
      <c r="DA348" s="12"/>
      <c r="DB348" s="12"/>
      <c r="DC348" s="12"/>
      <c r="DD348" s="12"/>
      <c r="DE348" s="12"/>
      <c r="DF348" s="12"/>
      <c r="DG348" s="12"/>
      <c r="DH348" s="12"/>
      <c r="DI348" s="12"/>
      <c r="DJ348" s="12"/>
      <c r="DK348" s="12"/>
      <c r="DL348" s="12"/>
      <c r="DM348" s="12"/>
      <c r="DN348" s="12"/>
      <c r="DO348" s="12"/>
      <c r="DP348" s="12"/>
      <c r="DQ348" s="12"/>
      <c r="DR348" s="12"/>
      <c r="DS348" s="12"/>
      <c r="DT348" s="12"/>
      <c r="DU348" s="12"/>
      <c r="DV348" s="12"/>
      <c r="DW348" s="12"/>
      <c r="DX348" s="12"/>
      <c r="DY348" s="12"/>
      <c r="DZ348" s="12"/>
      <c r="EA348" s="12"/>
      <c r="EB348" s="12"/>
      <c r="EC348" s="12"/>
      <c r="ED348" s="12"/>
      <c r="EE348" s="12"/>
      <c r="EF348" s="12"/>
      <c r="EG348" s="12"/>
      <c r="EH348" s="12"/>
      <c r="EI348" s="12"/>
      <c r="EJ348" s="574"/>
      <c r="EK348" s="574"/>
      <c r="EL348" s="574"/>
      <c r="EM348" s="574"/>
      <c r="EN348" s="574"/>
      <c r="EO348" s="574"/>
      <c r="EP348" s="574"/>
      <c r="EQ348" s="574"/>
      <c r="ER348" s="574"/>
      <c r="ES348" s="574"/>
      <c r="ET348" s="574"/>
      <c r="EU348" s="574"/>
    </row>
    <row r="349">
      <c r="A349" s="12"/>
      <c r="B349" s="55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  <c r="BD349" s="12"/>
      <c r="BE349" s="12"/>
      <c r="BF349" s="12"/>
      <c r="BG349" s="12"/>
      <c r="BH349" s="12"/>
      <c r="BI349" s="12"/>
      <c r="BJ349" s="12"/>
      <c r="BK349" s="12"/>
      <c r="BL349" s="12"/>
      <c r="BM349" s="12"/>
      <c r="BN349" s="12"/>
      <c r="BO349" s="12"/>
      <c r="BP349" s="12"/>
      <c r="BQ349" s="12"/>
      <c r="BR349" s="12"/>
      <c r="BS349" s="12"/>
      <c r="BT349" s="12"/>
      <c r="BU349" s="12"/>
      <c r="BV349" s="12"/>
      <c r="BW349" s="12"/>
      <c r="BX349" s="12"/>
      <c r="BY349" s="12"/>
      <c r="BZ349" s="12"/>
      <c r="CA349" s="12"/>
      <c r="CB349" s="12"/>
      <c r="CC349" s="12"/>
      <c r="CD349" s="12"/>
      <c r="CE349" s="12"/>
      <c r="CF349" s="12"/>
      <c r="CG349" s="12"/>
      <c r="CH349" s="12"/>
      <c r="CI349" s="12"/>
      <c r="CJ349" s="12"/>
      <c r="CK349" s="12"/>
      <c r="CL349" s="12"/>
      <c r="CM349" s="12"/>
      <c r="CN349" s="12"/>
      <c r="CO349" s="12"/>
      <c r="CP349" s="12"/>
      <c r="CQ349" s="12"/>
      <c r="CR349" s="12"/>
      <c r="CS349" s="12"/>
      <c r="CT349" s="12"/>
      <c r="CU349" s="12"/>
      <c r="CV349" s="12"/>
      <c r="CW349" s="12"/>
      <c r="CX349" s="12"/>
      <c r="CY349" s="12"/>
      <c r="CZ349" s="12"/>
      <c r="DA349" s="12"/>
      <c r="DB349" s="12"/>
      <c r="DC349" s="12"/>
      <c r="DD349" s="12"/>
      <c r="DE349" s="12"/>
      <c r="DF349" s="12"/>
      <c r="DG349" s="12"/>
      <c r="DH349" s="12"/>
      <c r="DI349" s="12"/>
      <c r="DJ349" s="12"/>
      <c r="DK349" s="12"/>
      <c r="DL349" s="12"/>
      <c r="DM349" s="12"/>
      <c r="DN349" s="12"/>
      <c r="DO349" s="12"/>
      <c r="DP349" s="12"/>
      <c r="DQ349" s="12"/>
      <c r="DR349" s="12"/>
      <c r="DS349" s="12"/>
      <c r="DT349" s="12"/>
      <c r="DU349" s="12"/>
      <c r="DV349" s="12"/>
      <c r="DW349" s="12"/>
      <c r="DX349" s="12"/>
      <c r="DY349" s="12"/>
      <c r="DZ349" s="12"/>
      <c r="EA349" s="12"/>
      <c r="EB349" s="12"/>
      <c r="EC349" s="12"/>
      <c r="ED349" s="12"/>
      <c r="EE349" s="12"/>
      <c r="EF349" s="12"/>
      <c r="EG349" s="12"/>
      <c r="EH349" s="12"/>
      <c r="EI349" s="12"/>
      <c r="EJ349" s="574"/>
      <c r="EK349" s="574"/>
      <c r="EL349" s="574"/>
      <c r="EM349" s="574"/>
      <c r="EN349" s="574"/>
      <c r="EO349" s="574"/>
      <c r="EP349" s="574"/>
      <c r="EQ349" s="574"/>
      <c r="ER349" s="574"/>
      <c r="ES349" s="574"/>
      <c r="ET349" s="574"/>
      <c r="EU349" s="574"/>
    </row>
    <row r="350">
      <c r="A350" s="12"/>
      <c r="B350" s="55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2"/>
      <c r="BE350" s="12"/>
      <c r="BF350" s="12"/>
      <c r="BG350" s="12"/>
      <c r="BH350" s="12"/>
      <c r="BI350" s="12"/>
      <c r="BJ350" s="12"/>
      <c r="BK350" s="12"/>
      <c r="BL350" s="12"/>
      <c r="BM350" s="12"/>
      <c r="BN350" s="12"/>
      <c r="BO350" s="12"/>
      <c r="BP350" s="12"/>
      <c r="BQ350" s="12"/>
      <c r="BR350" s="12"/>
      <c r="BS350" s="12"/>
      <c r="BT350" s="12"/>
      <c r="BU350" s="12"/>
      <c r="BV350" s="12"/>
      <c r="BW350" s="12"/>
      <c r="BX350" s="12"/>
      <c r="BY350" s="12"/>
      <c r="BZ350" s="12"/>
      <c r="CA350" s="12"/>
      <c r="CB350" s="12"/>
      <c r="CC350" s="12"/>
      <c r="CD350" s="12"/>
      <c r="CE350" s="12"/>
      <c r="CF350" s="12"/>
      <c r="CG350" s="12"/>
      <c r="CH350" s="12"/>
      <c r="CI350" s="12"/>
      <c r="CJ350" s="12"/>
      <c r="CK350" s="12"/>
      <c r="CL350" s="12"/>
      <c r="CM350" s="12"/>
      <c r="CN350" s="12"/>
      <c r="CO350" s="12"/>
      <c r="CP350" s="12"/>
      <c r="CQ350" s="12"/>
      <c r="CR350" s="12"/>
      <c r="CS350" s="12"/>
      <c r="CT350" s="12"/>
      <c r="CU350" s="12"/>
      <c r="CV350" s="12"/>
      <c r="CW350" s="12"/>
      <c r="CX350" s="12"/>
      <c r="CY350" s="12"/>
      <c r="CZ350" s="12"/>
      <c r="DA350" s="12"/>
      <c r="DB350" s="12"/>
      <c r="DC350" s="12"/>
      <c r="DD350" s="12"/>
      <c r="DE350" s="12"/>
      <c r="DF350" s="12"/>
      <c r="DG350" s="12"/>
      <c r="DH350" s="12"/>
      <c r="DI350" s="12"/>
      <c r="DJ350" s="12"/>
      <c r="DK350" s="12"/>
      <c r="DL350" s="12"/>
      <c r="DM350" s="12"/>
      <c r="DN350" s="12"/>
      <c r="DO350" s="12"/>
      <c r="DP350" s="12"/>
      <c r="DQ350" s="12"/>
      <c r="DR350" s="12"/>
      <c r="DS350" s="12"/>
      <c r="DT350" s="12"/>
      <c r="DU350" s="12"/>
      <c r="DV350" s="12"/>
      <c r="DW350" s="12"/>
      <c r="DX350" s="12"/>
      <c r="DY350" s="12"/>
      <c r="DZ350" s="12"/>
      <c r="EA350" s="12"/>
      <c r="EB350" s="12"/>
      <c r="EC350" s="12"/>
      <c r="ED350" s="12"/>
      <c r="EE350" s="12"/>
      <c r="EF350" s="12"/>
      <c r="EG350" s="12"/>
      <c r="EH350" s="12"/>
      <c r="EI350" s="12"/>
      <c r="EJ350" s="574"/>
      <c r="EK350" s="574"/>
      <c r="EL350" s="574"/>
      <c r="EM350" s="574"/>
      <c r="EN350" s="574"/>
      <c r="EO350" s="574"/>
      <c r="EP350" s="574"/>
      <c r="EQ350" s="574"/>
      <c r="ER350" s="574"/>
      <c r="ES350" s="574"/>
      <c r="ET350" s="574"/>
      <c r="EU350" s="574"/>
    </row>
    <row r="351">
      <c r="A351" s="12"/>
      <c r="B351" s="55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  <c r="BD351" s="12"/>
      <c r="BE351" s="12"/>
      <c r="BF351" s="12"/>
      <c r="BG351" s="12"/>
      <c r="BH351" s="12"/>
      <c r="BI351" s="12"/>
      <c r="BJ351" s="12"/>
      <c r="BK351" s="12"/>
      <c r="BL351" s="12"/>
      <c r="BM351" s="12"/>
      <c r="BN351" s="12"/>
      <c r="BO351" s="12"/>
      <c r="BP351" s="12"/>
      <c r="BQ351" s="12"/>
      <c r="BR351" s="12"/>
      <c r="BS351" s="12"/>
      <c r="BT351" s="12"/>
      <c r="BU351" s="12"/>
      <c r="BV351" s="12"/>
      <c r="BW351" s="12"/>
      <c r="BX351" s="12"/>
      <c r="BY351" s="12"/>
      <c r="BZ351" s="12"/>
      <c r="CA351" s="12"/>
      <c r="CB351" s="12"/>
      <c r="CC351" s="12"/>
      <c r="CD351" s="12"/>
      <c r="CE351" s="12"/>
      <c r="CF351" s="12"/>
      <c r="CG351" s="12"/>
      <c r="CH351" s="12"/>
      <c r="CI351" s="12"/>
      <c r="CJ351" s="12"/>
      <c r="CK351" s="12"/>
      <c r="CL351" s="12"/>
      <c r="CM351" s="12"/>
      <c r="CN351" s="12"/>
      <c r="CO351" s="12"/>
      <c r="CP351" s="12"/>
      <c r="CQ351" s="12"/>
      <c r="CR351" s="12"/>
      <c r="CS351" s="12"/>
      <c r="CT351" s="12"/>
      <c r="CU351" s="12"/>
      <c r="CV351" s="12"/>
      <c r="CW351" s="12"/>
      <c r="CX351" s="12"/>
      <c r="CY351" s="12"/>
      <c r="CZ351" s="12"/>
      <c r="DA351" s="12"/>
      <c r="DB351" s="12"/>
      <c r="DC351" s="12"/>
      <c r="DD351" s="12"/>
      <c r="DE351" s="12"/>
      <c r="DF351" s="12"/>
      <c r="DG351" s="12"/>
      <c r="DH351" s="12"/>
      <c r="DI351" s="12"/>
      <c r="DJ351" s="12"/>
      <c r="DK351" s="12"/>
      <c r="DL351" s="12"/>
      <c r="DM351" s="12"/>
      <c r="DN351" s="12"/>
      <c r="DO351" s="12"/>
      <c r="DP351" s="12"/>
      <c r="DQ351" s="12"/>
      <c r="DR351" s="12"/>
      <c r="DS351" s="12"/>
      <c r="DT351" s="12"/>
      <c r="DU351" s="12"/>
      <c r="DV351" s="12"/>
      <c r="DW351" s="12"/>
      <c r="DX351" s="12"/>
      <c r="DY351" s="12"/>
      <c r="DZ351" s="12"/>
      <c r="EA351" s="12"/>
      <c r="EB351" s="12"/>
      <c r="EC351" s="12"/>
      <c r="ED351" s="12"/>
      <c r="EE351" s="12"/>
      <c r="EF351" s="12"/>
      <c r="EG351" s="12"/>
      <c r="EH351" s="12"/>
      <c r="EI351" s="12"/>
      <c r="EJ351" s="574"/>
      <c r="EK351" s="574"/>
      <c r="EL351" s="574"/>
      <c r="EM351" s="574"/>
      <c r="EN351" s="574"/>
      <c r="EO351" s="574"/>
      <c r="EP351" s="574"/>
      <c r="EQ351" s="574"/>
      <c r="ER351" s="574"/>
      <c r="ES351" s="574"/>
      <c r="ET351" s="574"/>
      <c r="EU351" s="574"/>
    </row>
    <row r="352">
      <c r="A352" s="12"/>
      <c r="B352" s="55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/>
      <c r="BD352" s="12"/>
      <c r="BE352" s="12"/>
      <c r="BF352" s="12"/>
      <c r="BG352" s="12"/>
      <c r="BH352" s="12"/>
      <c r="BI352" s="12"/>
      <c r="BJ352" s="12"/>
      <c r="BK352" s="12"/>
      <c r="BL352" s="12"/>
      <c r="BM352" s="12"/>
      <c r="BN352" s="12"/>
      <c r="BO352" s="12"/>
      <c r="BP352" s="12"/>
      <c r="BQ352" s="12"/>
      <c r="BR352" s="12"/>
      <c r="BS352" s="12"/>
      <c r="BT352" s="12"/>
      <c r="BU352" s="12"/>
      <c r="BV352" s="12"/>
      <c r="BW352" s="12"/>
      <c r="BX352" s="12"/>
      <c r="BY352" s="12"/>
      <c r="BZ352" s="12"/>
      <c r="CA352" s="12"/>
      <c r="CB352" s="12"/>
      <c r="CC352" s="12"/>
      <c r="CD352" s="12"/>
      <c r="CE352" s="12"/>
      <c r="CF352" s="12"/>
      <c r="CG352" s="12"/>
      <c r="CH352" s="12"/>
      <c r="CI352" s="12"/>
      <c r="CJ352" s="12"/>
      <c r="CK352" s="12"/>
      <c r="CL352" s="12"/>
      <c r="CM352" s="12"/>
      <c r="CN352" s="12"/>
      <c r="CO352" s="12"/>
      <c r="CP352" s="12"/>
      <c r="CQ352" s="12"/>
      <c r="CR352" s="12"/>
      <c r="CS352" s="12"/>
      <c r="CT352" s="12"/>
      <c r="CU352" s="12"/>
      <c r="CV352" s="12"/>
      <c r="CW352" s="12"/>
      <c r="CX352" s="12"/>
      <c r="CY352" s="12"/>
      <c r="CZ352" s="12"/>
      <c r="DA352" s="12"/>
      <c r="DB352" s="12"/>
      <c r="DC352" s="12"/>
      <c r="DD352" s="12"/>
      <c r="DE352" s="12"/>
      <c r="DF352" s="12"/>
      <c r="DG352" s="12"/>
      <c r="DH352" s="12"/>
      <c r="DI352" s="12"/>
      <c r="DJ352" s="12"/>
      <c r="DK352" s="12"/>
      <c r="DL352" s="12"/>
      <c r="DM352" s="12"/>
      <c r="DN352" s="12"/>
      <c r="DO352" s="12"/>
      <c r="DP352" s="12"/>
      <c r="DQ352" s="12"/>
      <c r="DR352" s="12"/>
      <c r="DS352" s="12"/>
      <c r="DT352" s="12"/>
      <c r="DU352" s="12"/>
      <c r="DV352" s="12"/>
      <c r="DW352" s="12"/>
      <c r="DX352" s="12"/>
      <c r="DY352" s="12"/>
      <c r="DZ352" s="12"/>
      <c r="EA352" s="12"/>
      <c r="EB352" s="12"/>
      <c r="EC352" s="12"/>
      <c r="ED352" s="12"/>
      <c r="EE352" s="12"/>
      <c r="EF352" s="12"/>
      <c r="EG352" s="12"/>
      <c r="EH352" s="12"/>
      <c r="EI352" s="12"/>
      <c r="EJ352" s="574"/>
      <c r="EK352" s="574"/>
      <c r="EL352" s="574"/>
      <c r="EM352" s="574"/>
      <c r="EN352" s="574"/>
      <c r="EO352" s="574"/>
      <c r="EP352" s="574"/>
      <c r="EQ352" s="574"/>
      <c r="ER352" s="574"/>
      <c r="ES352" s="574"/>
      <c r="ET352" s="574"/>
      <c r="EU352" s="574"/>
    </row>
    <row r="353">
      <c r="A353" s="12"/>
      <c r="B353" s="55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  <c r="BA353" s="12"/>
      <c r="BB353" s="12"/>
      <c r="BC353" s="12"/>
      <c r="BD353" s="12"/>
      <c r="BE353" s="12"/>
      <c r="BF353" s="12"/>
      <c r="BG353" s="12"/>
      <c r="BH353" s="12"/>
      <c r="BI353" s="12"/>
      <c r="BJ353" s="12"/>
      <c r="BK353" s="12"/>
      <c r="BL353" s="12"/>
      <c r="BM353" s="12"/>
      <c r="BN353" s="12"/>
      <c r="BO353" s="12"/>
      <c r="BP353" s="12"/>
      <c r="BQ353" s="12"/>
      <c r="BR353" s="12"/>
      <c r="BS353" s="12"/>
      <c r="BT353" s="12"/>
      <c r="BU353" s="12"/>
      <c r="BV353" s="12"/>
      <c r="BW353" s="12"/>
      <c r="BX353" s="12"/>
      <c r="BY353" s="12"/>
      <c r="BZ353" s="12"/>
      <c r="CA353" s="12"/>
      <c r="CB353" s="12"/>
      <c r="CC353" s="12"/>
      <c r="CD353" s="12"/>
      <c r="CE353" s="12"/>
      <c r="CF353" s="12"/>
      <c r="CG353" s="12"/>
      <c r="CH353" s="12"/>
      <c r="CI353" s="12"/>
      <c r="CJ353" s="12"/>
      <c r="CK353" s="12"/>
      <c r="CL353" s="12"/>
      <c r="CM353" s="12"/>
      <c r="CN353" s="12"/>
      <c r="CO353" s="12"/>
      <c r="CP353" s="12"/>
      <c r="CQ353" s="12"/>
      <c r="CR353" s="12"/>
      <c r="CS353" s="12"/>
      <c r="CT353" s="12"/>
      <c r="CU353" s="12"/>
      <c r="CV353" s="12"/>
      <c r="CW353" s="12"/>
      <c r="CX353" s="12"/>
      <c r="CY353" s="12"/>
      <c r="CZ353" s="12"/>
      <c r="DA353" s="12"/>
      <c r="DB353" s="12"/>
      <c r="DC353" s="12"/>
      <c r="DD353" s="12"/>
      <c r="DE353" s="12"/>
      <c r="DF353" s="12"/>
      <c r="DG353" s="12"/>
      <c r="DH353" s="12"/>
      <c r="DI353" s="12"/>
      <c r="DJ353" s="12"/>
      <c r="DK353" s="12"/>
      <c r="DL353" s="12"/>
      <c r="DM353" s="12"/>
      <c r="DN353" s="12"/>
      <c r="DO353" s="12"/>
      <c r="DP353" s="12"/>
      <c r="DQ353" s="12"/>
      <c r="DR353" s="12"/>
      <c r="DS353" s="12"/>
      <c r="DT353" s="12"/>
      <c r="DU353" s="12"/>
      <c r="DV353" s="12"/>
      <c r="DW353" s="12"/>
      <c r="DX353" s="12"/>
      <c r="DY353" s="12"/>
      <c r="DZ353" s="12"/>
      <c r="EA353" s="12"/>
      <c r="EB353" s="12"/>
      <c r="EC353" s="12"/>
      <c r="ED353" s="12"/>
      <c r="EE353" s="12"/>
      <c r="EF353" s="12"/>
      <c r="EG353" s="12"/>
      <c r="EH353" s="12"/>
      <c r="EI353" s="12"/>
      <c r="EJ353" s="574"/>
      <c r="EK353" s="574"/>
      <c r="EL353" s="574"/>
      <c r="EM353" s="574"/>
      <c r="EN353" s="574"/>
      <c r="EO353" s="574"/>
      <c r="EP353" s="574"/>
      <c r="EQ353" s="574"/>
      <c r="ER353" s="574"/>
      <c r="ES353" s="574"/>
      <c r="ET353" s="574"/>
      <c r="EU353" s="574"/>
    </row>
    <row r="354">
      <c r="A354" s="12"/>
      <c r="B354" s="55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  <c r="BC354" s="12"/>
      <c r="BD354" s="12"/>
      <c r="BE354" s="12"/>
      <c r="BF354" s="12"/>
      <c r="BG354" s="12"/>
      <c r="BH354" s="12"/>
      <c r="BI354" s="12"/>
      <c r="BJ354" s="12"/>
      <c r="BK354" s="12"/>
      <c r="BL354" s="12"/>
      <c r="BM354" s="12"/>
      <c r="BN354" s="12"/>
      <c r="BO354" s="12"/>
      <c r="BP354" s="12"/>
      <c r="BQ354" s="12"/>
      <c r="BR354" s="12"/>
      <c r="BS354" s="12"/>
      <c r="BT354" s="12"/>
      <c r="BU354" s="12"/>
      <c r="BV354" s="12"/>
      <c r="BW354" s="12"/>
      <c r="BX354" s="12"/>
      <c r="BY354" s="12"/>
      <c r="BZ354" s="12"/>
      <c r="CA354" s="12"/>
      <c r="CB354" s="12"/>
      <c r="CC354" s="12"/>
      <c r="CD354" s="12"/>
      <c r="CE354" s="12"/>
      <c r="CF354" s="12"/>
      <c r="CG354" s="12"/>
      <c r="CH354" s="12"/>
      <c r="CI354" s="12"/>
      <c r="CJ354" s="12"/>
      <c r="CK354" s="12"/>
      <c r="CL354" s="12"/>
      <c r="CM354" s="12"/>
      <c r="CN354" s="12"/>
      <c r="CO354" s="12"/>
      <c r="CP354" s="12"/>
      <c r="CQ354" s="12"/>
      <c r="CR354" s="12"/>
      <c r="CS354" s="12"/>
      <c r="CT354" s="12"/>
      <c r="CU354" s="12"/>
      <c r="CV354" s="12"/>
      <c r="CW354" s="12"/>
      <c r="CX354" s="12"/>
      <c r="CY354" s="12"/>
      <c r="CZ354" s="12"/>
      <c r="DA354" s="12"/>
      <c r="DB354" s="12"/>
      <c r="DC354" s="12"/>
      <c r="DD354" s="12"/>
      <c r="DE354" s="12"/>
      <c r="DF354" s="12"/>
      <c r="DG354" s="12"/>
      <c r="DH354" s="12"/>
      <c r="DI354" s="12"/>
      <c r="DJ354" s="12"/>
      <c r="DK354" s="12"/>
      <c r="DL354" s="12"/>
      <c r="DM354" s="12"/>
      <c r="DN354" s="12"/>
      <c r="DO354" s="12"/>
      <c r="DP354" s="12"/>
      <c r="DQ354" s="12"/>
      <c r="DR354" s="12"/>
      <c r="DS354" s="12"/>
      <c r="DT354" s="12"/>
      <c r="DU354" s="12"/>
      <c r="DV354" s="12"/>
      <c r="DW354" s="12"/>
      <c r="DX354" s="12"/>
      <c r="DY354" s="12"/>
      <c r="DZ354" s="12"/>
      <c r="EA354" s="12"/>
      <c r="EB354" s="12"/>
      <c r="EC354" s="12"/>
      <c r="ED354" s="12"/>
      <c r="EE354" s="12"/>
      <c r="EF354" s="12"/>
      <c r="EG354" s="12"/>
      <c r="EH354" s="12"/>
      <c r="EI354" s="12"/>
      <c r="EJ354" s="574"/>
      <c r="EK354" s="574"/>
      <c r="EL354" s="574"/>
      <c r="EM354" s="574"/>
      <c r="EN354" s="574"/>
      <c r="EO354" s="574"/>
      <c r="EP354" s="574"/>
      <c r="EQ354" s="574"/>
      <c r="ER354" s="574"/>
      <c r="ES354" s="574"/>
      <c r="ET354" s="574"/>
      <c r="EU354" s="574"/>
    </row>
    <row r="355">
      <c r="A355" s="12"/>
      <c r="B355" s="55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  <c r="BA355" s="12"/>
      <c r="BB355" s="12"/>
      <c r="BC355" s="12"/>
      <c r="BD355" s="12"/>
      <c r="BE355" s="12"/>
      <c r="BF355" s="12"/>
      <c r="BG355" s="12"/>
      <c r="BH355" s="12"/>
      <c r="BI355" s="12"/>
      <c r="BJ355" s="12"/>
      <c r="BK355" s="12"/>
      <c r="BL355" s="12"/>
      <c r="BM355" s="12"/>
      <c r="BN355" s="12"/>
      <c r="BO355" s="12"/>
      <c r="BP355" s="12"/>
      <c r="BQ355" s="12"/>
      <c r="BR355" s="12"/>
      <c r="BS355" s="12"/>
      <c r="BT355" s="12"/>
      <c r="BU355" s="12"/>
      <c r="BV355" s="12"/>
      <c r="BW355" s="12"/>
      <c r="BX355" s="12"/>
      <c r="BY355" s="12"/>
      <c r="BZ355" s="12"/>
      <c r="CA355" s="12"/>
      <c r="CB355" s="12"/>
      <c r="CC355" s="12"/>
      <c r="CD355" s="12"/>
      <c r="CE355" s="12"/>
      <c r="CF355" s="12"/>
      <c r="CG355" s="12"/>
      <c r="CH355" s="12"/>
      <c r="CI355" s="12"/>
      <c r="CJ355" s="12"/>
      <c r="CK355" s="12"/>
      <c r="CL355" s="12"/>
      <c r="CM355" s="12"/>
      <c r="CN355" s="12"/>
      <c r="CO355" s="12"/>
      <c r="CP355" s="12"/>
      <c r="CQ355" s="12"/>
      <c r="CR355" s="12"/>
      <c r="CS355" s="12"/>
      <c r="CT355" s="12"/>
      <c r="CU355" s="12"/>
      <c r="CV355" s="12"/>
      <c r="CW355" s="12"/>
      <c r="CX355" s="12"/>
      <c r="CY355" s="12"/>
      <c r="CZ355" s="12"/>
      <c r="DA355" s="12"/>
      <c r="DB355" s="12"/>
      <c r="DC355" s="12"/>
      <c r="DD355" s="12"/>
      <c r="DE355" s="12"/>
      <c r="DF355" s="12"/>
      <c r="DG355" s="12"/>
      <c r="DH355" s="12"/>
      <c r="DI355" s="12"/>
      <c r="DJ355" s="12"/>
      <c r="DK355" s="12"/>
      <c r="DL355" s="12"/>
      <c r="DM355" s="12"/>
      <c r="DN355" s="12"/>
      <c r="DO355" s="12"/>
      <c r="DP355" s="12"/>
      <c r="DQ355" s="12"/>
      <c r="DR355" s="12"/>
      <c r="DS355" s="12"/>
      <c r="DT355" s="12"/>
      <c r="DU355" s="12"/>
      <c r="DV355" s="12"/>
      <c r="DW355" s="12"/>
      <c r="DX355" s="12"/>
      <c r="DY355" s="12"/>
      <c r="DZ355" s="12"/>
      <c r="EA355" s="12"/>
      <c r="EB355" s="12"/>
      <c r="EC355" s="12"/>
      <c r="ED355" s="12"/>
      <c r="EE355" s="12"/>
      <c r="EF355" s="12"/>
      <c r="EG355" s="12"/>
      <c r="EH355" s="12"/>
      <c r="EI355" s="12"/>
      <c r="EJ355" s="574"/>
      <c r="EK355" s="574"/>
      <c r="EL355" s="574"/>
      <c r="EM355" s="574"/>
      <c r="EN355" s="574"/>
      <c r="EO355" s="574"/>
      <c r="EP355" s="574"/>
      <c r="EQ355" s="574"/>
      <c r="ER355" s="574"/>
      <c r="ES355" s="574"/>
      <c r="ET355" s="574"/>
      <c r="EU355" s="574"/>
    </row>
    <row r="356">
      <c r="A356" s="12"/>
      <c r="B356" s="55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  <c r="BD356" s="12"/>
      <c r="BE356" s="12"/>
      <c r="BF356" s="12"/>
      <c r="BG356" s="12"/>
      <c r="BH356" s="12"/>
      <c r="BI356" s="12"/>
      <c r="BJ356" s="12"/>
      <c r="BK356" s="12"/>
      <c r="BL356" s="12"/>
      <c r="BM356" s="12"/>
      <c r="BN356" s="12"/>
      <c r="BO356" s="12"/>
      <c r="BP356" s="12"/>
      <c r="BQ356" s="12"/>
      <c r="BR356" s="12"/>
      <c r="BS356" s="12"/>
      <c r="BT356" s="12"/>
      <c r="BU356" s="12"/>
      <c r="BV356" s="12"/>
      <c r="BW356" s="12"/>
      <c r="BX356" s="12"/>
      <c r="BY356" s="12"/>
      <c r="BZ356" s="12"/>
      <c r="CA356" s="12"/>
      <c r="CB356" s="12"/>
      <c r="CC356" s="12"/>
      <c r="CD356" s="12"/>
      <c r="CE356" s="12"/>
      <c r="CF356" s="12"/>
      <c r="CG356" s="12"/>
      <c r="CH356" s="12"/>
      <c r="CI356" s="12"/>
      <c r="CJ356" s="12"/>
      <c r="CK356" s="12"/>
      <c r="CL356" s="12"/>
      <c r="CM356" s="12"/>
      <c r="CN356" s="12"/>
      <c r="CO356" s="12"/>
      <c r="CP356" s="12"/>
      <c r="CQ356" s="12"/>
      <c r="CR356" s="12"/>
      <c r="CS356" s="12"/>
      <c r="CT356" s="12"/>
      <c r="CU356" s="12"/>
      <c r="CV356" s="12"/>
      <c r="CW356" s="12"/>
      <c r="CX356" s="12"/>
      <c r="CY356" s="12"/>
      <c r="CZ356" s="12"/>
      <c r="DA356" s="12"/>
      <c r="DB356" s="12"/>
      <c r="DC356" s="12"/>
      <c r="DD356" s="12"/>
      <c r="DE356" s="12"/>
      <c r="DF356" s="12"/>
      <c r="DG356" s="12"/>
      <c r="DH356" s="12"/>
      <c r="DI356" s="12"/>
      <c r="DJ356" s="12"/>
      <c r="DK356" s="12"/>
      <c r="DL356" s="12"/>
      <c r="DM356" s="12"/>
      <c r="DN356" s="12"/>
      <c r="DO356" s="12"/>
      <c r="DP356" s="12"/>
      <c r="DQ356" s="12"/>
      <c r="DR356" s="12"/>
      <c r="DS356" s="12"/>
      <c r="DT356" s="12"/>
      <c r="DU356" s="12"/>
      <c r="DV356" s="12"/>
      <c r="DW356" s="12"/>
      <c r="DX356" s="12"/>
      <c r="DY356" s="12"/>
      <c r="DZ356" s="12"/>
      <c r="EA356" s="12"/>
      <c r="EB356" s="12"/>
      <c r="EC356" s="12"/>
      <c r="ED356" s="12"/>
      <c r="EE356" s="12"/>
      <c r="EF356" s="12"/>
      <c r="EG356" s="12"/>
      <c r="EH356" s="12"/>
      <c r="EI356" s="12"/>
      <c r="EJ356" s="574"/>
      <c r="EK356" s="574"/>
      <c r="EL356" s="574"/>
      <c r="EM356" s="574"/>
      <c r="EN356" s="574"/>
      <c r="EO356" s="574"/>
      <c r="EP356" s="574"/>
      <c r="EQ356" s="574"/>
      <c r="ER356" s="574"/>
      <c r="ES356" s="574"/>
      <c r="ET356" s="574"/>
      <c r="EU356" s="574"/>
    </row>
    <row r="357">
      <c r="A357" s="12"/>
      <c r="B357" s="55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  <c r="BD357" s="12"/>
      <c r="BE357" s="12"/>
      <c r="BF357" s="12"/>
      <c r="BG357" s="12"/>
      <c r="BH357" s="12"/>
      <c r="BI357" s="12"/>
      <c r="BJ357" s="12"/>
      <c r="BK357" s="12"/>
      <c r="BL357" s="12"/>
      <c r="BM357" s="12"/>
      <c r="BN357" s="12"/>
      <c r="BO357" s="12"/>
      <c r="BP357" s="12"/>
      <c r="BQ357" s="12"/>
      <c r="BR357" s="12"/>
      <c r="BS357" s="12"/>
      <c r="BT357" s="12"/>
      <c r="BU357" s="12"/>
      <c r="BV357" s="12"/>
      <c r="BW357" s="12"/>
      <c r="BX357" s="12"/>
      <c r="BY357" s="12"/>
      <c r="BZ357" s="12"/>
      <c r="CA357" s="12"/>
      <c r="CB357" s="12"/>
      <c r="CC357" s="12"/>
      <c r="CD357" s="12"/>
      <c r="CE357" s="12"/>
      <c r="CF357" s="12"/>
      <c r="CG357" s="12"/>
      <c r="CH357" s="12"/>
      <c r="CI357" s="12"/>
      <c r="CJ357" s="12"/>
      <c r="CK357" s="12"/>
      <c r="CL357" s="12"/>
      <c r="CM357" s="12"/>
      <c r="CN357" s="12"/>
      <c r="CO357" s="12"/>
      <c r="CP357" s="12"/>
      <c r="CQ357" s="12"/>
      <c r="CR357" s="12"/>
      <c r="CS357" s="12"/>
      <c r="CT357" s="12"/>
      <c r="CU357" s="12"/>
      <c r="CV357" s="12"/>
      <c r="CW357" s="12"/>
      <c r="CX357" s="12"/>
      <c r="CY357" s="12"/>
      <c r="CZ357" s="12"/>
      <c r="DA357" s="12"/>
      <c r="DB357" s="12"/>
      <c r="DC357" s="12"/>
      <c r="DD357" s="12"/>
      <c r="DE357" s="12"/>
      <c r="DF357" s="12"/>
      <c r="DG357" s="12"/>
      <c r="DH357" s="12"/>
      <c r="DI357" s="12"/>
      <c r="DJ357" s="12"/>
      <c r="DK357" s="12"/>
      <c r="DL357" s="12"/>
      <c r="DM357" s="12"/>
      <c r="DN357" s="12"/>
      <c r="DO357" s="12"/>
      <c r="DP357" s="12"/>
      <c r="DQ357" s="12"/>
      <c r="DR357" s="12"/>
      <c r="DS357" s="12"/>
      <c r="DT357" s="12"/>
      <c r="DU357" s="12"/>
      <c r="DV357" s="12"/>
      <c r="DW357" s="12"/>
      <c r="DX357" s="12"/>
      <c r="DY357" s="12"/>
      <c r="DZ357" s="12"/>
      <c r="EA357" s="12"/>
      <c r="EB357" s="12"/>
      <c r="EC357" s="12"/>
      <c r="ED357" s="12"/>
      <c r="EE357" s="12"/>
      <c r="EF357" s="12"/>
      <c r="EG357" s="12"/>
      <c r="EH357" s="12"/>
      <c r="EI357" s="12"/>
      <c r="EJ357" s="574"/>
      <c r="EK357" s="574"/>
      <c r="EL357" s="574"/>
      <c r="EM357" s="574"/>
      <c r="EN357" s="574"/>
      <c r="EO357" s="574"/>
      <c r="EP357" s="574"/>
      <c r="EQ357" s="574"/>
      <c r="ER357" s="574"/>
      <c r="ES357" s="574"/>
      <c r="ET357" s="574"/>
      <c r="EU357" s="574"/>
    </row>
    <row r="358">
      <c r="A358" s="12"/>
      <c r="B358" s="55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  <c r="BD358" s="12"/>
      <c r="BE358" s="12"/>
      <c r="BF358" s="12"/>
      <c r="BG358" s="12"/>
      <c r="BH358" s="12"/>
      <c r="BI358" s="12"/>
      <c r="BJ358" s="12"/>
      <c r="BK358" s="12"/>
      <c r="BL358" s="12"/>
      <c r="BM358" s="12"/>
      <c r="BN358" s="12"/>
      <c r="BO358" s="12"/>
      <c r="BP358" s="12"/>
      <c r="BQ358" s="12"/>
      <c r="BR358" s="12"/>
      <c r="BS358" s="12"/>
      <c r="BT358" s="12"/>
      <c r="BU358" s="12"/>
      <c r="BV358" s="12"/>
      <c r="BW358" s="12"/>
      <c r="BX358" s="12"/>
      <c r="BY358" s="12"/>
      <c r="BZ358" s="12"/>
      <c r="CA358" s="12"/>
      <c r="CB358" s="12"/>
      <c r="CC358" s="12"/>
      <c r="CD358" s="12"/>
      <c r="CE358" s="12"/>
      <c r="CF358" s="12"/>
      <c r="CG358" s="12"/>
      <c r="CH358" s="12"/>
      <c r="CI358" s="12"/>
      <c r="CJ358" s="12"/>
      <c r="CK358" s="12"/>
      <c r="CL358" s="12"/>
      <c r="CM358" s="12"/>
      <c r="CN358" s="12"/>
      <c r="CO358" s="12"/>
      <c r="CP358" s="12"/>
      <c r="CQ358" s="12"/>
      <c r="CR358" s="12"/>
      <c r="CS358" s="12"/>
      <c r="CT358" s="12"/>
      <c r="CU358" s="12"/>
      <c r="CV358" s="12"/>
      <c r="CW358" s="12"/>
      <c r="CX358" s="12"/>
      <c r="CY358" s="12"/>
      <c r="CZ358" s="12"/>
      <c r="DA358" s="12"/>
      <c r="DB358" s="12"/>
      <c r="DC358" s="12"/>
      <c r="DD358" s="12"/>
      <c r="DE358" s="12"/>
      <c r="DF358" s="12"/>
      <c r="DG358" s="12"/>
      <c r="DH358" s="12"/>
      <c r="DI358" s="12"/>
      <c r="DJ358" s="12"/>
      <c r="DK358" s="12"/>
      <c r="DL358" s="12"/>
      <c r="DM358" s="12"/>
      <c r="DN358" s="12"/>
      <c r="DO358" s="12"/>
      <c r="DP358" s="12"/>
      <c r="DQ358" s="12"/>
      <c r="DR358" s="12"/>
      <c r="DS358" s="12"/>
      <c r="DT358" s="12"/>
      <c r="DU358" s="12"/>
      <c r="DV358" s="12"/>
      <c r="DW358" s="12"/>
      <c r="DX358" s="12"/>
      <c r="DY358" s="12"/>
      <c r="DZ358" s="12"/>
      <c r="EA358" s="12"/>
      <c r="EB358" s="12"/>
      <c r="EC358" s="12"/>
      <c r="ED358" s="12"/>
      <c r="EE358" s="12"/>
      <c r="EF358" s="12"/>
      <c r="EG358" s="12"/>
      <c r="EH358" s="12"/>
      <c r="EI358" s="12"/>
      <c r="EJ358" s="574"/>
      <c r="EK358" s="574"/>
      <c r="EL358" s="574"/>
      <c r="EM358" s="574"/>
      <c r="EN358" s="574"/>
      <c r="EO358" s="574"/>
      <c r="EP358" s="574"/>
      <c r="EQ358" s="574"/>
      <c r="ER358" s="574"/>
      <c r="ES358" s="574"/>
      <c r="ET358" s="574"/>
      <c r="EU358" s="574"/>
    </row>
    <row r="359">
      <c r="A359" s="12"/>
      <c r="B359" s="55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  <c r="BA359" s="12"/>
      <c r="BB359" s="12"/>
      <c r="BC359" s="12"/>
      <c r="BD359" s="12"/>
      <c r="BE359" s="12"/>
      <c r="BF359" s="12"/>
      <c r="BG359" s="12"/>
      <c r="BH359" s="12"/>
      <c r="BI359" s="12"/>
      <c r="BJ359" s="12"/>
      <c r="BK359" s="12"/>
      <c r="BL359" s="12"/>
      <c r="BM359" s="12"/>
      <c r="BN359" s="12"/>
      <c r="BO359" s="12"/>
      <c r="BP359" s="12"/>
      <c r="BQ359" s="12"/>
      <c r="BR359" s="12"/>
      <c r="BS359" s="12"/>
      <c r="BT359" s="12"/>
      <c r="BU359" s="12"/>
      <c r="BV359" s="12"/>
      <c r="BW359" s="12"/>
      <c r="BX359" s="12"/>
      <c r="BY359" s="12"/>
      <c r="BZ359" s="12"/>
      <c r="CA359" s="12"/>
      <c r="CB359" s="12"/>
      <c r="CC359" s="12"/>
      <c r="CD359" s="12"/>
      <c r="CE359" s="12"/>
      <c r="CF359" s="12"/>
      <c r="CG359" s="12"/>
      <c r="CH359" s="12"/>
      <c r="CI359" s="12"/>
      <c r="CJ359" s="12"/>
      <c r="CK359" s="12"/>
      <c r="CL359" s="12"/>
      <c r="CM359" s="12"/>
      <c r="CN359" s="12"/>
      <c r="CO359" s="12"/>
      <c r="CP359" s="12"/>
      <c r="CQ359" s="12"/>
      <c r="CR359" s="12"/>
      <c r="CS359" s="12"/>
      <c r="CT359" s="12"/>
      <c r="CU359" s="12"/>
      <c r="CV359" s="12"/>
      <c r="CW359" s="12"/>
      <c r="CX359" s="12"/>
      <c r="CY359" s="12"/>
      <c r="CZ359" s="12"/>
      <c r="DA359" s="12"/>
      <c r="DB359" s="12"/>
      <c r="DC359" s="12"/>
      <c r="DD359" s="12"/>
      <c r="DE359" s="12"/>
      <c r="DF359" s="12"/>
      <c r="DG359" s="12"/>
      <c r="DH359" s="12"/>
      <c r="DI359" s="12"/>
      <c r="DJ359" s="12"/>
      <c r="DK359" s="12"/>
      <c r="DL359" s="12"/>
      <c r="DM359" s="12"/>
      <c r="DN359" s="12"/>
      <c r="DO359" s="12"/>
      <c r="DP359" s="12"/>
      <c r="DQ359" s="12"/>
      <c r="DR359" s="12"/>
      <c r="DS359" s="12"/>
      <c r="DT359" s="12"/>
      <c r="DU359" s="12"/>
      <c r="DV359" s="12"/>
      <c r="DW359" s="12"/>
      <c r="DX359" s="12"/>
      <c r="DY359" s="12"/>
      <c r="DZ359" s="12"/>
      <c r="EA359" s="12"/>
      <c r="EB359" s="12"/>
      <c r="EC359" s="12"/>
      <c r="ED359" s="12"/>
      <c r="EE359" s="12"/>
      <c r="EF359" s="12"/>
      <c r="EG359" s="12"/>
      <c r="EH359" s="12"/>
      <c r="EI359" s="12"/>
      <c r="EJ359" s="574"/>
      <c r="EK359" s="574"/>
      <c r="EL359" s="574"/>
      <c r="EM359" s="574"/>
      <c r="EN359" s="574"/>
      <c r="EO359" s="574"/>
      <c r="EP359" s="574"/>
      <c r="EQ359" s="574"/>
      <c r="ER359" s="574"/>
      <c r="ES359" s="574"/>
      <c r="ET359" s="574"/>
      <c r="EU359" s="574"/>
    </row>
    <row r="360">
      <c r="A360" s="12"/>
      <c r="B360" s="55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  <c r="BA360" s="12"/>
      <c r="BB360" s="12"/>
      <c r="BC360" s="12"/>
      <c r="BD360" s="12"/>
      <c r="BE360" s="12"/>
      <c r="BF360" s="12"/>
      <c r="BG360" s="12"/>
      <c r="BH360" s="12"/>
      <c r="BI360" s="12"/>
      <c r="BJ360" s="12"/>
      <c r="BK360" s="12"/>
      <c r="BL360" s="12"/>
      <c r="BM360" s="12"/>
      <c r="BN360" s="12"/>
      <c r="BO360" s="12"/>
      <c r="BP360" s="12"/>
      <c r="BQ360" s="12"/>
      <c r="BR360" s="12"/>
      <c r="BS360" s="12"/>
      <c r="BT360" s="12"/>
      <c r="BU360" s="12"/>
      <c r="BV360" s="12"/>
      <c r="BW360" s="12"/>
      <c r="BX360" s="12"/>
      <c r="BY360" s="12"/>
      <c r="BZ360" s="12"/>
      <c r="CA360" s="12"/>
      <c r="CB360" s="12"/>
      <c r="CC360" s="12"/>
      <c r="CD360" s="12"/>
      <c r="CE360" s="12"/>
      <c r="CF360" s="12"/>
      <c r="CG360" s="12"/>
      <c r="CH360" s="12"/>
      <c r="CI360" s="12"/>
      <c r="CJ360" s="12"/>
      <c r="CK360" s="12"/>
      <c r="CL360" s="12"/>
      <c r="CM360" s="12"/>
      <c r="CN360" s="12"/>
      <c r="CO360" s="12"/>
      <c r="CP360" s="12"/>
      <c r="CQ360" s="12"/>
      <c r="CR360" s="12"/>
      <c r="CS360" s="12"/>
      <c r="CT360" s="12"/>
      <c r="CU360" s="12"/>
      <c r="CV360" s="12"/>
      <c r="CW360" s="12"/>
      <c r="CX360" s="12"/>
      <c r="CY360" s="12"/>
      <c r="CZ360" s="12"/>
      <c r="DA360" s="12"/>
      <c r="DB360" s="12"/>
      <c r="DC360" s="12"/>
      <c r="DD360" s="12"/>
      <c r="DE360" s="12"/>
      <c r="DF360" s="12"/>
      <c r="DG360" s="12"/>
      <c r="DH360" s="12"/>
      <c r="DI360" s="12"/>
      <c r="DJ360" s="12"/>
      <c r="DK360" s="12"/>
      <c r="DL360" s="12"/>
      <c r="DM360" s="12"/>
      <c r="DN360" s="12"/>
      <c r="DO360" s="12"/>
      <c r="DP360" s="12"/>
      <c r="DQ360" s="12"/>
      <c r="DR360" s="12"/>
      <c r="DS360" s="12"/>
      <c r="DT360" s="12"/>
      <c r="DU360" s="12"/>
      <c r="DV360" s="12"/>
      <c r="DW360" s="12"/>
      <c r="DX360" s="12"/>
      <c r="DY360" s="12"/>
      <c r="DZ360" s="12"/>
      <c r="EA360" s="12"/>
      <c r="EB360" s="12"/>
      <c r="EC360" s="12"/>
      <c r="ED360" s="12"/>
      <c r="EE360" s="12"/>
      <c r="EF360" s="12"/>
      <c r="EG360" s="12"/>
      <c r="EH360" s="12"/>
      <c r="EI360" s="12"/>
      <c r="EJ360" s="574"/>
      <c r="EK360" s="574"/>
      <c r="EL360" s="574"/>
      <c r="EM360" s="574"/>
      <c r="EN360" s="574"/>
      <c r="EO360" s="574"/>
      <c r="EP360" s="574"/>
      <c r="EQ360" s="574"/>
      <c r="ER360" s="574"/>
      <c r="ES360" s="574"/>
      <c r="ET360" s="574"/>
      <c r="EU360" s="574"/>
    </row>
    <row r="361">
      <c r="A361" s="12"/>
      <c r="B361" s="55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  <c r="BA361" s="12"/>
      <c r="BB361" s="12"/>
      <c r="BC361" s="12"/>
      <c r="BD361" s="12"/>
      <c r="BE361" s="12"/>
      <c r="BF361" s="12"/>
      <c r="BG361" s="12"/>
      <c r="BH361" s="12"/>
      <c r="BI361" s="12"/>
      <c r="BJ361" s="12"/>
      <c r="BK361" s="12"/>
      <c r="BL361" s="12"/>
      <c r="BM361" s="12"/>
      <c r="BN361" s="12"/>
      <c r="BO361" s="12"/>
      <c r="BP361" s="12"/>
      <c r="BQ361" s="12"/>
      <c r="BR361" s="12"/>
      <c r="BS361" s="12"/>
      <c r="BT361" s="12"/>
      <c r="BU361" s="12"/>
      <c r="BV361" s="12"/>
      <c r="BW361" s="12"/>
      <c r="BX361" s="12"/>
      <c r="BY361" s="12"/>
      <c r="BZ361" s="12"/>
      <c r="CA361" s="12"/>
      <c r="CB361" s="12"/>
      <c r="CC361" s="12"/>
      <c r="CD361" s="12"/>
      <c r="CE361" s="12"/>
      <c r="CF361" s="12"/>
      <c r="CG361" s="12"/>
      <c r="CH361" s="12"/>
      <c r="CI361" s="12"/>
      <c r="CJ361" s="12"/>
      <c r="CK361" s="12"/>
      <c r="CL361" s="12"/>
      <c r="CM361" s="12"/>
      <c r="CN361" s="12"/>
      <c r="CO361" s="12"/>
      <c r="CP361" s="12"/>
      <c r="CQ361" s="12"/>
      <c r="CR361" s="12"/>
      <c r="CS361" s="12"/>
      <c r="CT361" s="12"/>
      <c r="CU361" s="12"/>
      <c r="CV361" s="12"/>
      <c r="CW361" s="12"/>
      <c r="CX361" s="12"/>
      <c r="CY361" s="12"/>
      <c r="CZ361" s="12"/>
      <c r="DA361" s="12"/>
      <c r="DB361" s="12"/>
      <c r="DC361" s="12"/>
      <c r="DD361" s="12"/>
      <c r="DE361" s="12"/>
      <c r="DF361" s="12"/>
      <c r="DG361" s="12"/>
      <c r="DH361" s="12"/>
      <c r="DI361" s="12"/>
      <c r="DJ361" s="12"/>
      <c r="DK361" s="12"/>
      <c r="DL361" s="12"/>
      <c r="DM361" s="12"/>
      <c r="DN361" s="12"/>
      <c r="DO361" s="12"/>
      <c r="DP361" s="12"/>
      <c r="DQ361" s="12"/>
      <c r="DR361" s="12"/>
      <c r="DS361" s="12"/>
      <c r="DT361" s="12"/>
      <c r="DU361" s="12"/>
      <c r="DV361" s="12"/>
      <c r="DW361" s="12"/>
      <c r="DX361" s="12"/>
      <c r="DY361" s="12"/>
      <c r="DZ361" s="12"/>
      <c r="EA361" s="12"/>
      <c r="EB361" s="12"/>
      <c r="EC361" s="12"/>
      <c r="ED361" s="12"/>
      <c r="EE361" s="12"/>
      <c r="EF361" s="12"/>
      <c r="EG361" s="12"/>
      <c r="EH361" s="12"/>
      <c r="EI361" s="12"/>
      <c r="EJ361" s="574"/>
      <c r="EK361" s="574"/>
      <c r="EL361" s="574"/>
      <c r="EM361" s="574"/>
      <c r="EN361" s="574"/>
      <c r="EO361" s="574"/>
      <c r="EP361" s="574"/>
      <c r="EQ361" s="574"/>
      <c r="ER361" s="574"/>
      <c r="ES361" s="574"/>
      <c r="ET361" s="574"/>
      <c r="EU361" s="574"/>
    </row>
    <row r="362">
      <c r="A362" s="12"/>
      <c r="B362" s="55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  <c r="BA362" s="12"/>
      <c r="BB362" s="12"/>
      <c r="BC362" s="12"/>
      <c r="BD362" s="12"/>
      <c r="BE362" s="12"/>
      <c r="BF362" s="12"/>
      <c r="BG362" s="12"/>
      <c r="BH362" s="12"/>
      <c r="BI362" s="12"/>
      <c r="BJ362" s="12"/>
      <c r="BK362" s="12"/>
      <c r="BL362" s="12"/>
      <c r="BM362" s="12"/>
      <c r="BN362" s="12"/>
      <c r="BO362" s="12"/>
      <c r="BP362" s="12"/>
      <c r="BQ362" s="12"/>
      <c r="BR362" s="12"/>
      <c r="BS362" s="12"/>
      <c r="BT362" s="12"/>
      <c r="BU362" s="12"/>
      <c r="BV362" s="12"/>
      <c r="BW362" s="12"/>
      <c r="BX362" s="12"/>
      <c r="BY362" s="12"/>
      <c r="BZ362" s="12"/>
      <c r="CA362" s="12"/>
      <c r="CB362" s="12"/>
      <c r="CC362" s="12"/>
      <c r="CD362" s="12"/>
      <c r="CE362" s="12"/>
      <c r="CF362" s="12"/>
      <c r="CG362" s="12"/>
      <c r="CH362" s="12"/>
      <c r="CI362" s="12"/>
      <c r="CJ362" s="12"/>
      <c r="CK362" s="12"/>
      <c r="CL362" s="12"/>
      <c r="CM362" s="12"/>
      <c r="CN362" s="12"/>
      <c r="CO362" s="12"/>
      <c r="CP362" s="12"/>
      <c r="CQ362" s="12"/>
      <c r="CR362" s="12"/>
      <c r="CS362" s="12"/>
      <c r="CT362" s="12"/>
      <c r="CU362" s="12"/>
      <c r="CV362" s="12"/>
      <c r="CW362" s="12"/>
      <c r="CX362" s="12"/>
      <c r="CY362" s="12"/>
      <c r="CZ362" s="12"/>
      <c r="DA362" s="12"/>
      <c r="DB362" s="12"/>
      <c r="DC362" s="12"/>
      <c r="DD362" s="12"/>
      <c r="DE362" s="12"/>
      <c r="DF362" s="12"/>
      <c r="DG362" s="12"/>
      <c r="DH362" s="12"/>
      <c r="DI362" s="12"/>
      <c r="DJ362" s="12"/>
      <c r="DK362" s="12"/>
      <c r="DL362" s="12"/>
      <c r="DM362" s="12"/>
      <c r="DN362" s="12"/>
      <c r="DO362" s="12"/>
      <c r="DP362" s="12"/>
      <c r="DQ362" s="12"/>
      <c r="DR362" s="12"/>
      <c r="DS362" s="12"/>
      <c r="DT362" s="12"/>
      <c r="DU362" s="12"/>
      <c r="DV362" s="12"/>
      <c r="DW362" s="12"/>
      <c r="DX362" s="12"/>
      <c r="DY362" s="12"/>
      <c r="DZ362" s="12"/>
      <c r="EA362" s="12"/>
      <c r="EB362" s="12"/>
      <c r="EC362" s="12"/>
      <c r="ED362" s="12"/>
      <c r="EE362" s="12"/>
      <c r="EF362" s="12"/>
      <c r="EG362" s="12"/>
      <c r="EH362" s="12"/>
      <c r="EI362" s="12"/>
      <c r="EJ362" s="574"/>
      <c r="EK362" s="574"/>
      <c r="EL362" s="574"/>
      <c r="EM362" s="574"/>
      <c r="EN362" s="574"/>
      <c r="EO362" s="574"/>
      <c r="EP362" s="574"/>
      <c r="EQ362" s="574"/>
      <c r="ER362" s="574"/>
      <c r="ES362" s="574"/>
      <c r="ET362" s="574"/>
      <c r="EU362" s="574"/>
    </row>
    <row r="363">
      <c r="A363" s="12"/>
      <c r="B363" s="55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/>
      <c r="BA363" s="12"/>
      <c r="BB363" s="12"/>
      <c r="BC363" s="12"/>
      <c r="BD363" s="12"/>
      <c r="BE363" s="12"/>
      <c r="BF363" s="12"/>
      <c r="BG363" s="12"/>
      <c r="BH363" s="12"/>
      <c r="BI363" s="12"/>
      <c r="BJ363" s="12"/>
      <c r="BK363" s="12"/>
      <c r="BL363" s="12"/>
      <c r="BM363" s="12"/>
      <c r="BN363" s="12"/>
      <c r="BO363" s="12"/>
      <c r="BP363" s="12"/>
      <c r="BQ363" s="12"/>
      <c r="BR363" s="12"/>
      <c r="BS363" s="12"/>
      <c r="BT363" s="12"/>
      <c r="BU363" s="12"/>
      <c r="BV363" s="12"/>
      <c r="BW363" s="12"/>
      <c r="BX363" s="12"/>
      <c r="BY363" s="12"/>
      <c r="BZ363" s="12"/>
      <c r="CA363" s="12"/>
      <c r="CB363" s="12"/>
      <c r="CC363" s="12"/>
      <c r="CD363" s="12"/>
      <c r="CE363" s="12"/>
      <c r="CF363" s="12"/>
      <c r="CG363" s="12"/>
      <c r="CH363" s="12"/>
      <c r="CI363" s="12"/>
      <c r="CJ363" s="12"/>
      <c r="CK363" s="12"/>
      <c r="CL363" s="12"/>
      <c r="CM363" s="12"/>
      <c r="CN363" s="12"/>
      <c r="CO363" s="12"/>
      <c r="CP363" s="12"/>
      <c r="CQ363" s="12"/>
      <c r="CR363" s="12"/>
      <c r="CS363" s="12"/>
      <c r="CT363" s="12"/>
      <c r="CU363" s="12"/>
      <c r="CV363" s="12"/>
      <c r="CW363" s="12"/>
      <c r="CX363" s="12"/>
      <c r="CY363" s="12"/>
      <c r="CZ363" s="12"/>
      <c r="DA363" s="12"/>
      <c r="DB363" s="12"/>
      <c r="DC363" s="12"/>
      <c r="DD363" s="12"/>
      <c r="DE363" s="12"/>
      <c r="DF363" s="12"/>
      <c r="DG363" s="12"/>
      <c r="DH363" s="12"/>
      <c r="DI363" s="12"/>
      <c r="DJ363" s="12"/>
      <c r="DK363" s="12"/>
      <c r="DL363" s="12"/>
      <c r="DM363" s="12"/>
      <c r="DN363" s="12"/>
      <c r="DO363" s="12"/>
      <c r="DP363" s="12"/>
      <c r="DQ363" s="12"/>
      <c r="DR363" s="12"/>
      <c r="DS363" s="12"/>
      <c r="DT363" s="12"/>
      <c r="DU363" s="12"/>
      <c r="DV363" s="12"/>
      <c r="DW363" s="12"/>
      <c r="DX363" s="12"/>
      <c r="DY363" s="12"/>
      <c r="DZ363" s="12"/>
      <c r="EA363" s="12"/>
      <c r="EB363" s="12"/>
      <c r="EC363" s="12"/>
      <c r="ED363" s="12"/>
      <c r="EE363" s="12"/>
      <c r="EF363" s="12"/>
      <c r="EG363" s="12"/>
      <c r="EH363" s="12"/>
      <c r="EI363" s="12"/>
      <c r="EJ363" s="574"/>
      <c r="EK363" s="574"/>
      <c r="EL363" s="574"/>
      <c r="EM363" s="574"/>
      <c r="EN363" s="574"/>
      <c r="EO363" s="574"/>
      <c r="EP363" s="574"/>
      <c r="EQ363" s="574"/>
      <c r="ER363" s="574"/>
      <c r="ES363" s="574"/>
      <c r="ET363" s="574"/>
      <c r="EU363" s="574"/>
    </row>
    <row r="364">
      <c r="A364" s="12"/>
      <c r="B364" s="55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  <c r="BA364" s="12"/>
      <c r="BB364" s="12"/>
      <c r="BC364" s="12"/>
      <c r="BD364" s="12"/>
      <c r="BE364" s="12"/>
      <c r="BF364" s="12"/>
      <c r="BG364" s="12"/>
      <c r="BH364" s="12"/>
      <c r="BI364" s="12"/>
      <c r="BJ364" s="12"/>
      <c r="BK364" s="12"/>
      <c r="BL364" s="12"/>
      <c r="BM364" s="12"/>
      <c r="BN364" s="12"/>
      <c r="BO364" s="12"/>
      <c r="BP364" s="12"/>
      <c r="BQ364" s="12"/>
      <c r="BR364" s="12"/>
      <c r="BS364" s="12"/>
      <c r="BT364" s="12"/>
      <c r="BU364" s="12"/>
      <c r="BV364" s="12"/>
      <c r="BW364" s="12"/>
      <c r="BX364" s="12"/>
      <c r="BY364" s="12"/>
      <c r="BZ364" s="12"/>
      <c r="CA364" s="12"/>
      <c r="CB364" s="12"/>
      <c r="CC364" s="12"/>
      <c r="CD364" s="12"/>
      <c r="CE364" s="12"/>
      <c r="CF364" s="12"/>
      <c r="CG364" s="12"/>
      <c r="CH364" s="12"/>
      <c r="CI364" s="12"/>
      <c r="CJ364" s="12"/>
      <c r="CK364" s="12"/>
      <c r="CL364" s="12"/>
      <c r="CM364" s="12"/>
      <c r="CN364" s="12"/>
      <c r="CO364" s="12"/>
      <c r="CP364" s="12"/>
      <c r="CQ364" s="12"/>
      <c r="CR364" s="12"/>
      <c r="CS364" s="12"/>
      <c r="CT364" s="12"/>
      <c r="CU364" s="12"/>
      <c r="CV364" s="12"/>
      <c r="CW364" s="12"/>
      <c r="CX364" s="12"/>
      <c r="CY364" s="12"/>
      <c r="CZ364" s="12"/>
      <c r="DA364" s="12"/>
      <c r="DB364" s="12"/>
      <c r="DC364" s="12"/>
      <c r="DD364" s="12"/>
      <c r="DE364" s="12"/>
      <c r="DF364" s="12"/>
      <c r="DG364" s="12"/>
      <c r="DH364" s="12"/>
      <c r="DI364" s="12"/>
      <c r="DJ364" s="12"/>
      <c r="DK364" s="12"/>
      <c r="DL364" s="12"/>
      <c r="DM364" s="12"/>
      <c r="DN364" s="12"/>
      <c r="DO364" s="12"/>
      <c r="DP364" s="12"/>
      <c r="DQ364" s="12"/>
      <c r="DR364" s="12"/>
      <c r="DS364" s="12"/>
      <c r="DT364" s="12"/>
      <c r="DU364" s="12"/>
      <c r="DV364" s="12"/>
      <c r="DW364" s="12"/>
      <c r="DX364" s="12"/>
      <c r="DY364" s="12"/>
      <c r="DZ364" s="12"/>
      <c r="EA364" s="12"/>
      <c r="EB364" s="12"/>
      <c r="EC364" s="12"/>
      <c r="ED364" s="12"/>
      <c r="EE364" s="12"/>
      <c r="EF364" s="12"/>
      <c r="EG364" s="12"/>
      <c r="EH364" s="12"/>
      <c r="EI364" s="12"/>
      <c r="EJ364" s="574"/>
      <c r="EK364" s="574"/>
      <c r="EL364" s="574"/>
      <c r="EM364" s="574"/>
      <c r="EN364" s="574"/>
      <c r="EO364" s="574"/>
      <c r="EP364" s="574"/>
      <c r="EQ364" s="574"/>
      <c r="ER364" s="574"/>
      <c r="ES364" s="574"/>
      <c r="ET364" s="574"/>
      <c r="EU364" s="574"/>
    </row>
    <row r="365">
      <c r="A365" s="12"/>
      <c r="B365" s="55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  <c r="BA365" s="12"/>
      <c r="BB365" s="12"/>
      <c r="BC365" s="12"/>
      <c r="BD365" s="12"/>
      <c r="BE365" s="12"/>
      <c r="BF365" s="12"/>
      <c r="BG365" s="12"/>
      <c r="BH365" s="12"/>
      <c r="BI365" s="12"/>
      <c r="BJ365" s="12"/>
      <c r="BK365" s="12"/>
      <c r="BL365" s="12"/>
      <c r="BM365" s="12"/>
      <c r="BN365" s="12"/>
      <c r="BO365" s="12"/>
      <c r="BP365" s="12"/>
      <c r="BQ365" s="12"/>
      <c r="BR365" s="12"/>
      <c r="BS365" s="12"/>
      <c r="BT365" s="12"/>
      <c r="BU365" s="12"/>
      <c r="BV365" s="12"/>
      <c r="BW365" s="12"/>
      <c r="BX365" s="12"/>
      <c r="BY365" s="12"/>
      <c r="BZ365" s="12"/>
      <c r="CA365" s="12"/>
      <c r="CB365" s="12"/>
      <c r="CC365" s="12"/>
      <c r="CD365" s="12"/>
      <c r="CE365" s="12"/>
      <c r="CF365" s="12"/>
      <c r="CG365" s="12"/>
      <c r="CH365" s="12"/>
      <c r="CI365" s="12"/>
      <c r="CJ365" s="12"/>
      <c r="CK365" s="12"/>
      <c r="CL365" s="12"/>
      <c r="CM365" s="12"/>
      <c r="CN365" s="12"/>
      <c r="CO365" s="12"/>
      <c r="CP365" s="12"/>
      <c r="CQ365" s="12"/>
      <c r="CR365" s="12"/>
      <c r="CS365" s="12"/>
      <c r="CT365" s="12"/>
      <c r="CU365" s="12"/>
      <c r="CV365" s="12"/>
      <c r="CW365" s="12"/>
      <c r="CX365" s="12"/>
      <c r="CY365" s="12"/>
      <c r="CZ365" s="12"/>
      <c r="DA365" s="12"/>
      <c r="DB365" s="12"/>
      <c r="DC365" s="12"/>
      <c r="DD365" s="12"/>
      <c r="DE365" s="12"/>
      <c r="DF365" s="12"/>
      <c r="DG365" s="12"/>
      <c r="DH365" s="12"/>
      <c r="DI365" s="12"/>
      <c r="DJ365" s="12"/>
      <c r="DK365" s="12"/>
      <c r="DL365" s="12"/>
      <c r="DM365" s="12"/>
      <c r="DN365" s="12"/>
      <c r="DO365" s="12"/>
      <c r="DP365" s="12"/>
      <c r="DQ365" s="12"/>
      <c r="DR365" s="12"/>
      <c r="DS365" s="12"/>
      <c r="DT365" s="12"/>
      <c r="DU365" s="12"/>
      <c r="DV365" s="12"/>
      <c r="DW365" s="12"/>
      <c r="DX365" s="12"/>
      <c r="DY365" s="12"/>
      <c r="DZ365" s="12"/>
      <c r="EA365" s="12"/>
      <c r="EB365" s="12"/>
      <c r="EC365" s="12"/>
      <c r="ED365" s="12"/>
      <c r="EE365" s="12"/>
      <c r="EF365" s="12"/>
      <c r="EG365" s="12"/>
      <c r="EH365" s="12"/>
      <c r="EI365" s="12"/>
      <c r="EJ365" s="574"/>
      <c r="EK365" s="574"/>
      <c r="EL365" s="574"/>
      <c r="EM365" s="574"/>
      <c r="EN365" s="574"/>
      <c r="EO365" s="574"/>
      <c r="EP365" s="574"/>
      <c r="EQ365" s="574"/>
      <c r="ER365" s="574"/>
      <c r="ES365" s="574"/>
      <c r="ET365" s="574"/>
      <c r="EU365" s="574"/>
    </row>
    <row r="366">
      <c r="A366" s="12"/>
      <c r="B366" s="55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/>
      <c r="BD366" s="12"/>
      <c r="BE366" s="12"/>
      <c r="BF366" s="12"/>
      <c r="BG366" s="12"/>
      <c r="BH366" s="12"/>
      <c r="BI366" s="12"/>
      <c r="BJ366" s="12"/>
      <c r="BK366" s="12"/>
      <c r="BL366" s="12"/>
      <c r="BM366" s="12"/>
      <c r="BN366" s="12"/>
      <c r="BO366" s="12"/>
      <c r="BP366" s="12"/>
      <c r="BQ366" s="12"/>
      <c r="BR366" s="12"/>
      <c r="BS366" s="12"/>
      <c r="BT366" s="12"/>
      <c r="BU366" s="12"/>
      <c r="BV366" s="12"/>
      <c r="BW366" s="12"/>
      <c r="BX366" s="12"/>
      <c r="BY366" s="12"/>
      <c r="BZ366" s="12"/>
      <c r="CA366" s="12"/>
      <c r="CB366" s="12"/>
      <c r="CC366" s="12"/>
      <c r="CD366" s="12"/>
      <c r="CE366" s="12"/>
      <c r="CF366" s="12"/>
      <c r="CG366" s="12"/>
      <c r="CH366" s="12"/>
      <c r="CI366" s="12"/>
      <c r="CJ366" s="12"/>
      <c r="CK366" s="12"/>
      <c r="CL366" s="12"/>
      <c r="CM366" s="12"/>
      <c r="CN366" s="12"/>
      <c r="CO366" s="12"/>
      <c r="CP366" s="12"/>
      <c r="CQ366" s="12"/>
      <c r="CR366" s="12"/>
      <c r="CS366" s="12"/>
      <c r="CT366" s="12"/>
      <c r="CU366" s="12"/>
      <c r="CV366" s="12"/>
      <c r="CW366" s="12"/>
      <c r="CX366" s="12"/>
      <c r="CY366" s="12"/>
      <c r="CZ366" s="12"/>
      <c r="DA366" s="12"/>
      <c r="DB366" s="12"/>
      <c r="DC366" s="12"/>
      <c r="DD366" s="12"/>
      <c r="DE366" s="12"/>
      <c r="DF366" s="12"/>
      <c r="DG366" s="12"/>
      <c r="DH366" s="12"/>
      <c r="DI366" s="12"/>
      <c r="DJ366" s="12"/>
      <c r="DK366" s="12"/>
      <c r="DL366" s="12"/>
      <c r="DM366" s="12"/>
      <c r="DN366" s="12"/>
      <c r="DO366" s="12"/>
      <c r="DP366" s="12"/>
      <c r="DQ366" s="12"/>
      <c r="DR366" s="12"/>
      <c r="DS366" s="12"/>
      <c r="DT366" s="12"/>
      <c r="DU366" s="12"/>
      <c r="DV366" s="12"/>
      <c r="DW366" s="12"/>
      <c r="DX366" s="12"/>
      <c r="DY366" s="12"/>
      <c r="DZ366" s="12"/>
      <c r="EA366" s="12"/>
      <c r="EB366" s="12"/>
      <c r="EC366" s="12"/>
      <c r="ED366" s="12"/>
      <c r="EE366" s="12"/>
      <c r="EF366" s="12"/>
      <c r="EG366" s="12"/>
      <c r="EH366" s="12"/>
      <c r="EI366" s="12"/>
      <c r="EJ366" s="574"/>
      <c r="EK366" s="574"/>
      <c r="EL366" s="574"/>
      <c r="EM366" s="574"/>
      <c r="EN366" s="574"/>
      <c r="EO366" s="574"/>
      <c r="EP366" s="574"/>
      <c r="EQ366" s="574"/>
      <c r="ER366" s="574"/>
      <c r="ES366" s="574"/>
      <c r="ET366" s="574"/>
      <c r="EU366" s="574"/>
    </row>
    <row r="367">
      <c r="A367" s="12"/>
      <c r="B367" s="55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  <c r="BA367" s="12"/>
      <c r="BB367" s="12"/>
      <c r="BC367" s="12"/>
      <c r="BD367" s="12"/>
      <c r="BE367" s="12"/>
      <c r="BF367" s="12"/>
      <c r="BG367" s="12"/>
      <c r="BH367" s="12"/>
      <c r="BI367" s="12"/>
      <c r="BJ367" s="12"/>
      <c r="BK367" s="12"/>
      <c r="BL367" s="12"/>
      <c r="BM367" s="12"/>
      <c r="BN367" s="12"/>
      <c r="BO367" s="12"/>
      <c r="BP367" s="12"/>
      <c r="BQ367" s="12"/>
      <c r="BR367" s="12"/>
      <c r="BS367" s="12"/>
      <c r="BT367" s="12"/>
      <c r="BU367" s="12"/>
      <c r="BV367" s="12"/>
      <c r="BW367" s="12"/>
      <c r="BX367" s="12"/>
      <c r="BY367" s="12"/>
      <c r="BZ367" s="12"/>
      <c r="CA367" s="12"/>
      <c r="CB367" s="12"/>
      <c r="CC367" s="12"/>
      <c r="CD367" s="12"/>
      <c r="CE367" s="12"/>
      <c r="CF367" s="12"/>
      <c r="CG367" s="12"/>
      <c r="CH367" s="12"/>
      <c r="CI367" s="12"/>
      <c r="CJ367" s="12"/>
      <c r="CK367" s="12"/>
      <c r="CL367" s="12"/>
      <c r="CM367" s="12"/>
      <c r="CN367" s="12"/>
      <c r="CO367" s="12"/>
      <c r="CP367" s="12"/>
      <c r="CQ367" s="12"/>
      <c r="CR367" s="12"/>
      <c r="CS367" s="12"/>
      <c r="CT367" s="12"/>
      <c r="CU367" s="12"/>
      <c r="CV367" s="12"/>
      <c r="CW367" s="12"/>
      <c r="CX367" s="12"/>
      <c r="CY367" s="12"/>
      <c r="CZ367" s="12"/>
      <c r="DA367" s="12"/>
      <c r="DB367" s="12"/>
      <c r="DC367" s="12"/>
      <c r="DD367" s="12"/>
      <c r="DE367" s="12"/>
      <c r="DF367" s="12"/>
      <c r="DG367" s="12"/>
      <c r="DH367" s="12"/>
      <c r="DI367" s="12"/>
      <c r="DJ367" s="12"/>
      <c r="DK367" s="12"/>
      <c r="DL367" s="12"/>
      <c r="DM367" s="12"/>
      <c r="DN367" s="12"/>
      <c r="DO367" s="12"/>
      <c r="DP367" s="12"/>
      <c r="DQ367" s="12"/>
      <c r="DR367" s="12"/>
      <c r="DS367" s="12"/>
      <c r="DT367" s="12"/>
      <c r="DU367" s="12"/>
      <c r="DV367" s="12"/>
      <c r="DW367" s="12"/>
      <c r="DX367" s="12"/>
      <c r="DY367" s="12"/>
      <c r="DZ367" s="12"/>
      <c r="EA367" s="12"/>
      <c r="EB367" s="12"/>
      <c r="EC367" s="12"/>
      <c r="ED367" s="12"/>
      <c r="EE367" s="12"/>
      <c r="EF367" s="12"/>
      <c r="EG367" s="12"/>
      <c r="EH367" s="12"/>
      <c r="EI367" s="12"/>
      <c r="EJ367" s="574"/>
      <c r="EK367" s="574"/>
      <c r="EL367" s="574"/>
      <c r="EM367" s="574"/>
      <c r="EN367" s="574"/>
      <c r="EO367" s="574"/>
      <c r="EP367" s="574"/>
      <c r="EQ367" s="574"/>
      <c r="ER367" s="574"/>
      <c r="ES367" s="574"/>
      <c r="ET367" s="574"/>
      <c r="EU367" s="574"/>
    </row>
    <row r="368">
      <c r="A368" s="12"/>
      <c r="B368" s="55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/>
      <c r="BD368" s="12"/>
      <c r="BE368" s="12"/>
      <c r="BF368" s="12"/>
      <c r="BG368" s="12"/>
      <c r="BH368" s="12"/>
      <c r="BI368" s="12"/>
      <c r="BJ368" s="12"/>
      <c r="BK368" s="12"/>
      <c r="BL368" s="12"/>
      <c r="BM368" s="12"/>
      <c r="BN368" s="12"/>
      <c r="BO368" s="12"/>
      <c r="BP368" s="12"/>
      <c r="BQ368" s="12"/>
      <c r="BR368" s="12"/>
      <c r="BS368" s="12"/>
      <c r="BT368" s="12"/>
      <c r="BU368" s="12"/>
      <c r="BV368" s="12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574"/>
      <c r="EK368" s="574"/>
      <c r="EL368" s="574"/>
      <c r="EM368" s="574"/>
      <c r="EN368" s="574"/>
      <c r="EO368" s="574"/>
      <c r="EP368" s="574"/>
      <c r="EQ368" s="574"/>
      <c r="ER368" s="574"/>
      <c r="ES368" s="574"/>
      <c r="ET368" s="574"/>
      <c r="EU368" s="574"/>
    </row>
    <row r="369">
      <c r="A369" s="12"/>
      <c r="B369" s="55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  <c r="BA369" s="12"/>
      <c r="BB369" s="12"/>
      <c r="BC369" s="12"/>
      <c r="BD369" s="12"/>
      <c r="BE369" s="12"/>
      <c r="BF369" s="12"/>
      <c r="BG369" s="12"/>
      <c r="BH369" s="12"/>
      <c r="BI369" s="12"/>
      <c r="BJ369" s="12"/>
      <c r="BK369" s="12"/>
      <c r="BL369" s="12"/>
      <c r="BM369" s="12"/>
      <c r="BN369" s="12"/>
      <c r="BO369" s="12"/>
      <c r="BP369" s="12"/>
      <c r="BQ369" s="12"/>
      <c r="BR369" s="12"/>
      <c r="BS369" s="12"/>
      <c r="BT369" s="12"/>
      <c r="BU369" s="12"/>
      <c r="BV369" s="12"/>
      <c r="BW369" s="12"/>
      <c r="BX369" s="12"/>
      <c r="BY369" s="12"/>
      <c r="BZ369" s="12"/>
      <c r="CA369" s="12"/>
      <c r="CB369" s="12"/>
      <c r="CC369" s="12"/>
      <c r="CD369" s="12"/>
      <c r="CE369" s="12"/>
      <c r="CF369" s="12"/>
      <c r="CG369" s="12"/>
      <c r="CH369" s="12"/>
      <c r="CI369" s="12"/>
      <c r="CJ369" s="12"/>
      <c r="CK369" s="12"/>
      <c r="CL369" s="12"/>
      <c r="CM369" s="12"/>
      <c r="CN369" s="12"/>
      <c r="CO369" s="12"/>
      <c r="CP369" s="12"/>
      <c r="CQ369" s="12"/>
      <c r="CR369" s="12"/>
      <c r="CS369" s="12"/>
      <c r="CT369" s="12"/>
      <c r="CU369" s="12"/>
      <c r="CV369" s="12"/>
      <c r="CW369" s="12"/>
      <c r="CX369" s="12"/>
      <c r="CY369" s="12"/>
      <c r="CZ369" s="12"/>
      <c r="DA369" s="12"/>
      <c r="DB369" s="12"/>
      <c r="DC369" s="12"/>
      <c r="DD369" s="12"/>
      <c r="DE369" s="12"/>
      <c r="DF369" s="12"/>
      <c r="DG369" s="12"/>
      <c r="DH369" s="12"/>
      <c r="DI369" s="12"/>
      <c r="DJ369" s="12"/>
      <c r="DK369" s="12"/>
      <c r="DL369" s="12"/>
      <c r="DM369" s="12"/>
      <c r="DN369" s="12"/>
      <c r="DO369" s="12"/>
      <c r="DP369" s="12"/>
      <c r="DQ369" s="12"/>
      <c r="DR369" s="12"/>
      <c r="DS369" s="12"/>
      <c r="DT369" s="12"/>
      <c r="DU369" s="12"/>
      <c r="DV369" s="12"/>
      <c r="DW369" s="12"/>
      <c r="DX369" s="12"/>
      <c r="DY369" s="12"/>
      <c r="DZ369" s="12"/>
      <c r="EA369" s="12"/>
      <c r="EB369" s="12"/>
      <c r="EC369" s="12"/>
      <c r="ED369" s="12"/>
      <c r="EE369" s="12"/>
      <c r="EF369" s="12"/>
      <c r="EG369" s="12"/>
      <c r="EH369" s="12"/>
      <c r="EI369" s="12"/>
      <c r="EJ369" s="574"/>
      <c r="EK369" s="574"/>
      <c r="EL369" s="574"/>
      <c r="EM369" s="574"/>
      <c r="EN369" s="574"/>
      <c r="EO369" s="574"/>
      <c r="EP369" s="574"/>
      <c r="EQ369" s="574"/>
      <c r="ER369" s="574"/>
      <c r="ES369" s="574"/>
      <c r="ET369" s="574"/>
      <c r="EU369" s="574"/>
    </row>
    <row r="370">
      <c r="A370" s="12"/>
      <c r="B370" s="55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  <c r="BA370" s="12"/>
      <c r="BB370" s="12"/>
      <c r="BC370" s="12"/>
      <c r="BD370" s="12"/>
      <c r="BE370" s="12"/>
      <c r="BF370" s="12"/>
      <c r="BG370" s="12"/>
      <c r="BH370" s="12"/>
      <c r="BI370" s="12"/>
      <c r="BJ370" s="12"/>
      <c r="BK370" s="12"/>
      <c r="BL370" s="12"/>
      <c r="BM370" s="12"/>
      <c r="BN370" s="12"/>
      <c r="BO370" s="12"/>
      <c r="BP370" s="12"/>
      <c r="BQ370" s="12"/>
      <c r="BR370" s="12"/>
      <c r="BS370" s="12"/>
      <c r="BT370" s="12"/>
      <c r="BU370" s="12"/>
      <c r="BV370" s="12"/>
      <c r="BW370" s="12"/>
      <c r="BX370" s="12"/>
      <c r="BY370" s="12"/>
      <c r="BZ370" s="12"/>
      <c r="CA370" s="12"/>
      <c r="CB370" s="12"/>
      <c r="CC370" s="12"/>
      <c r="CD370" s="12"/>
      <c r="CE370" s="12"/>
      <c r="CF370" s="12"/>
      <c r="CG370" s="12"/>
      <c r="CH370" s="12"/>
      <c r="CI370" s="12"/>
      <c r="CJ370" s="12"/>
      <c r="CK370" s="12"/>
      <c r="CL370" s="12"/>
      <c r="CM370" s="12"/>
      <c r="CN370" s="12"/>
      <c r="CO370" s="12"/>
      <c r="CP370" s="12"/>
      <c r="CQ370" s="12"/>
      <c r="CR370" s="12"/>
      <c r="CS370" s="12"/>
      <c r="CT370" s="12"/>
      <c r="CU370" s="12"/>
      <c r="CV370" s="12"/>
      <c r="CW370" s="12"/>
      <c r="CX370" s="12"/>
      <c r="CY370" s="12"/>
      <c r="CZ370" s="12"/>
      <c r="DA370" s="12"/>
      <c r="DB370" s="12"/>
      <c r="DC370" s="12"/>
      <c r="DD370" s="12"/>
      <c r="DE370" s="12"/>
      <c r="DF370" s="12"/>
      <c r="DG370" s="12"/>
      <c r="DH370" s="12"/>
      <c r="DI370" s="12"/>
      <c r="DJ370" s="12"/>
      <c r="DK370" s="12"/>
      <c r="DL370" s="12"/>
      <c r="DM370" s="12"/>
      <c r="DN370" s="12"/>
      <c r="DO370" s="12"/>
      <c r="DP370" s="12"/>
      <c r="DQ370" s="12"/>
      <c r="DR370" s="12"/>
      <c r="DS370" s="12"/>
      <c r="DT370" s="12"/>
      <c r="DU370" s="12"/>
      <c r="DV370" s="12"/>
      <c r="DW370" s="12"/>
      <c r="DX370" s="12"/>
      <c r="DY370" s="12"/>
      <c r="DZ370" s="12"/>
      <c r="EA370" s="12"/>
      <c r="EB370" s="12"/>
      <c r="EC370" s="12"/>
      <c r="ED370" s="12"/>
      <c r="EE370" s="12"/>
      <c r="EF370" s="12"/>
      <c r="EG370" s="12"/>
      <c r="EH370" s="12"/>
      <c r="EI370" s="12"/>
      <c r="EJ370" s="574"/>
      <c r="EK370" s="574"/>
      <c r="EL370" s="574"/>
      <c r="EM370" s="574"/>
      <c r="EN370" s="574"/>
      <c r="EO370" s="574"/>
      <c r="EP370" s="574"/>
      <c r="EQ370" s="574"/>
      <c r="ER370" s="574"/>
      <c r="ES370" s="574"/>
      <c r="ET370" s="574"/>
      <c r="EU370" s="574"/>
    </row>
    <row r="371">
      <c r="A371" s="12"/>
      <c r="B371" s="55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  <c r="BA371" s="12"/>
      <c r="BB371" s="12"/>
      <c r="BC371" s="12"/>
      <c r="BD371" s="12"/>
      <c r="BE371" s="12"/>
      <c r="BF371" s="12"/>
      <c r="BG371" s="12"/>
      <c r="BH371" s="12"/>
      <c r="BI371" s="12"/>
      <c r="BJ371" s="12"/>
      <c r="BK371" s="12"/>
      <c r="BL371" s="12"/>
      <c r="BM371" s="12"/>
      <c r="BN371" s="12"/>
      <c r="BO371" s="12"/>
      <c r="BP371" s="12"/>
      <c r="BQ371" s="12"/>
      <c r="BR371" s="12"/>
      <c r="BS371" s="12"/>
      <c r="BT371" s="12"/>
      <c r="BU371" s="12"/>
      <c r="BV371" s="12"/>
      <c r="BW371" s="12"/>
      <c r="BX371" s="12"/>
      <c r="BY371" s="12"/>
      <c r="BZ371" s="12"/>
      <c r="CA371" s="12"/>
      <c r="CB371" s="12"/>
      <c r="CC371" s="12"/>
      <c r="CD371" s="12"/>
      <c r="CE371" s="12"/>
      <c r="CF371" s="12"/>
      <c r="CG371" s="12"/>
      <c r="CH371" s="12"/>
      <c r="CI371" s="12"/>
      <c r="CJ371" s="12"/>
      <c r="CK371" s="12"/>
      <c r="CL371" s="12"/>
      <c r="CM371" s="12"/>
      <c r="CN371" s="12"/>
      <c r="CO371" s="12"/>
      <c r="CP371" s="12"/>
      <c r="CQ371" s="12"/>
      <c r="CR371" s="12"/>
      <c r="CS371" s="12"/>
      <c r="CT371" s="12"/>
      <c r="CU371" s="12"/>
      <c r="CV371" s="12"/>
      <c r="CW371" s="12"/>
      <c r="CX371" s="12"/>
      <c r="CY371" s="12"/>
      <c r="CZ371" s="12"/>
      <c r="DA371" s="12"/>
      <c r="DB371" s="12"/>
      <c r="DC371" s="12"/>
      <c r="DD371" s="12"/>
      <c r="DE371" s="12"/>
      <c r="DF371" s="12"/>
      <c r="DG371" s="12"/>
      <c r="DH371" s="12"/>
      <c r="DI371" s="12"/>
      <c r="DJ371" s="12"/>
      <c r="DK371" s="12"/>
      <c r="DL371" s="12"/>
      <c r="DM371" s="12"/>
      <c r="DN371" s="12"/>
      <c r="DO371" s="12"/>
      <c r="DP371" s="12"/>
      <c r="DQ371" s="12"/>
      <c r="DR371" s="12"/>
      <c r="DS371" s="12"/>
      <c r="DT371" s="12"/>
      <c r="DU371" s="12"/>
      <c r="DV371" s="12"/>
      <c r="DW371" s="12"/>
      <c r="DX371" s="12"/>
      <c r="DY371" s="12"/>
      <c r="DZ371" s="12"/>
      <c r="EA371" s="12"/>
      <c r="EB371" s="12"/>
      <c r="EC371" s="12"/>
      <c r="ED371" s="12"/>
      <c r="EE371" s="12"/>
      <c r="EF371" s="12"/>
      <c r="EG371" s="12"/>
      <c r="EH371" s="12"/>
      <c r="EI371" s="12"/>
      <c r="EJ371" s="574"/>
      <c r="EK371" s="574"/>
      <c r="EL371" s="574"/>
      <c r="EM371" s="574"/>
      <c r="EN371" s="574"/>
      <c r="EO371" s="574"/>
      <c r="EP371" s="574"/>
      <c r="EQ371" s="574"/>
      <c r="ER371" s="574"/>
      <c r="ES371" s="574"/>
      <c r="ET371" s="574"/>
      <c r="EU371" s="574"/>
    </row>
    <row r="372">
      <c r="A372" s="12"/>
      <c r="B372" s="55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  <c r="BA372" s="12"/>
      <c r="BB372" s="12"/>
      <c r="BC372" s="12"/>
      <c r="BD372" s="12"/>
      <c r="BE372" s="12"/>
      <c r="BF372" s="12"/>
      <c r="BG372" s="12"/>
      <c r="BH372" s="12"/>
      <c r="BI372" s="12"/>
      <c r="BJ372" s="12"/>
      <c r="BK372" s="12"/>
      <c r="BL372" s="12"/>
      <c r="BM372" s="12"/>
      <c r="BN372" s="12"/>
      <c r="BO372" s="12"/>
      <c r="BP372" s="12"/>
      <c r="BQ372" s="12"/>
      <c r="BR372" s="12"/>
      <c r="BS372" s="12"/>
      <c r="BT372" s="12"/>
      <c r="BU372" s="12"/>
      <c r="BV372" s="12"/>
      <c r="BW372" s="12"/>
      <c r="BX372" s="12"/>
      <c r="BY372" s="12"/>
      <c r="BZ372" s="12"/>
      <c r="CA372" s="12"/>
      <c r="CB372" s="12"/>
      <c r="CC372" s="12"/>
      <c r="CD372" s="12"/>
      <c r="CE372" s="12"/>
      <c r="CF372" s="12"/>
      <c r="CG372" s="12"/>
      <c r="CH372" s="12"/>
      <c r="CI372" s="12"/>
      <c r="CJ372" s="12"/>
      <c r="CK372" s="12"/>
      <c r="CL372" s="12"/>
      <c r="CM372" s="12"/>
      <c r="CN372" s="12"/>
      <c r="CO372" s="12"/>
      <c r="CP372" s="12"/>
      <c r="CQ372" s="12"/>
      <c r="CR372" s="12"/>
      <c r="CS372" s="12"/>
      <c r="CT372" s="12"/>
      <c r="CU372" s="12"/>
      <c r="CV372" s="12"/>
      <c r="CW372" s="12"/>
      <c r="CX372" s="12"/>
      <c r="CY372" s="12"/>
      <c r="CZ372" s="12"/>
      <c r="DA372" s="12"/>
      <c r="DB372" s="12"/>
      <c r="DC372" s="12"/>
      <c r="DD372" s="12"/>
      <c r="DE372" s="12"/>
      <c r="DF372" s="12"/>
      <c r="DG372" s="12"/>
      <c r="DH372" s="12"/>
      <c r="DI372" s="12"/>
      <c r="DJ372" s="12"/>
      <c r="DK372" s="12"/>
      <c r="DL372" s="12"/>
      <c r="DM372" s="12"/>
      <c r="DN372" s="12"/>
      <c r="DO372" s="12"/>
      <c r="DP372" s="12"/>
      <c r="DQ372" s="12"/>
      <c r="DR372" s="12"/>
      <c r="DS372" s="12"/>
      <c r="DT372" s="12"/>
      <c r="DU372" s="12"/>
      <c r="DV372" s="12"/>
      <c r="DW372" s="12"/>
      <c r="DX372" s="12"/>
      <c r="DY372" s="12"/>
      <c r="DZ372" s="12"/>
      <c r="EA372" s="12"/>
      <c r="EB372" s="12"/>
      <c r="EC372" s="12"/>
      <c r="ED372" s="12"/>
      <c r="EE372" s="12"/>
      <c r="EF372" s="12"/>
      <c r="EG372" s="12"/>
      <c r="EH372" s="12"/>
      <c r="EI372" s="12"/>
      <c r="EJ372" s="574"/>
      <c r="EK372" s="574"/>
      <c r="EL372" s="574"/>
      <c r="EM372" s="574"/>
      <c r="EN372" s="574"/>
      <c r="EO372" s="574"/>
      <c r="EP372" s="574"/>
      <c r="EQ372" s="574"/>
      <c r="ER372" s="574"/>
      <c r="ES372" s="574"/>
      <c r="ET372" s="574"/>
      <c r="EU372" s="574"/>
    </row>
    <row r="373">
      <c r="A373" s="12"/>
      <c r="B373" s="55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  <c r="BA373" s="12"/>
      <c r="BB373" s="12"/>
      <c r="BC373" s="12"/>
      <c r="BD373" s="12"/>
      <c r="BE373" s="12"/>
      <c r="BF373" s="12"/>
      <c r="BG373" s="12"/>
      <c r="BH373" s="12"/>
      <c r="BI373" s="12"/>
      <c r="BJ373" s="12"/>
      <c r="BK373" s="12"/>
      <c r="BL373" s="12"/>
      <c r="BM373" s="12"/>
      <c r="BN373" s="12"/>
      <c r="BO373" s="12"/>
      <c r="BP373" s="12"/>
      <c r="BQ373" s="12"/>
      <c r="BR373" s="12"/>
      <c r="BS373" s="12"/>
      <c r="BT373" s="12"/>
      <c r="BU373" s="12"/>
      <c r="BV373" s="12"/>
      <c r="BW373" s="12"/>
      <c r="BX373" s="12"/>
      <c r="BY373" s="12"/>
      <c r="BZ373" s="12"/>
      <c r="CA373" s="12"/>
      <c r="CB373" s="12"/>
      <c r="CC373" s="12"/>
      <c r="CD373" s="12"/>
      <c r="CE373" s="12"/>
      <c r="CF373" s="12"/>
      <c r="CG373" s="12"/>
      <c r="CH373" s="12"/>
      <c r="CI373" s="12"/>
      <c r="CJ373" s="12"/>
      <c r="CK373" s="12"/>
      <c r="CL373" s="12"/>
      <c r="CM373" s="12"/>
      <c r="CN373" s="12"/>
      <c r="CO373" s="12"/>
      <c r="CP373" s="12"/>
      <c r="CQ373" s="12"/>
      <c r="CR373" s="12"/>
      <c r="CS373" s="12"/>
      <c r="CT373" s="12"/>
      <c r="CU373" s="12"/>
      <c r="CV373" s="12"/>
      <c r="CW373" s="12"/>
      <c r="CX373" s="12"/>
      <c r="CY373" s="12"/>
      <c r="CZ373" s="12"/>
      <c r="DA373" s="12"/>
      <c r="DB373" s="12"/>
      <c r="DC373" s="12"/>
      <c r="DD373" s="12"/>
      <c r="DE373" s="12"/>
      <c r="DF373" s="12"/>
      <c r="DG373" s="12"/>
      <c r="DH373" s="12"/>
      <c r="DI373" s="12"/>
      <c r="DJ373" s="12"/>
      <c r="DK373" s="12"/>
      <c r="DL373" s="12"/>
      <c r="DM373" s="12"/>
      <c r="DN373" s="12"/>
      <c r="DO373" s="12"/>
      <c r="DP373" s="12"/>
      <c r="DQ373" s="12"/>
      <c r="DR373" s="12"/>
      <c r="DS373" s="12"/>
      <c r="DT373" s="12"/>
      <c r="DU373" s="12"/>
      <c r="DV373" s="12"/>
      <c r="DW373" s="12"/>
      <c r="DX373" s="12"/>
      <c r="DY373" s="12"/>
      <c r="DZ373" s="12"/>
      <c r="EA373" s="12"/>
      <c r="EB373" s="12"/>
      <c r="EC373" s="12"/>
      <c r="ED373" s="12"/>
      <c r="EE373" s="12"/>
      <c r="EF373" s="12"/>
      <c r="EG373" s="12"/>
      <c r="EH373" s="12"/>
      <c r="EI373" s="12"/>
      <c r="EJ373" s="574"/>
      <c r="EK373" s="574"/>
      <c r="EL373" s="574"/>
      <c r="EM373" s="574"/>
      <c r="EN373" s="574"/>
      <c r="EO373" s="574"/>
      <c r="EP373" s="574"/>
      <c r="EQ373" s="574"/>
      <c r="ER373" s="574"/>
      <c r="ES373" s="574"/>
      <c r="ET373" s="574"/>
      <c r="EU373" s="574"/>
    </row>
    <row r="374">
      <c r="A374" s="12"/>
      <c r="B374" s="55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  <c r="BD374" s="12"/>
      <c r="BE374" s="12"/>
      <c r="BF374" s="12"/>
      <c r="BG374" s="12"/>
      <c r="BH374" s="12"/>
      <c r="BI374" s="12"/>
      <c r="BJ374" s="12"/>
      <c r="BK374" s="12"/>
      <c r="BL374" s="12"/>
      <c r="BM374" s="12"/>
      <c r="BN374" s="12"/>
      <c r="BO374" s="12"/>
      <c r="BP374" s="12"/>
      <c r="BQ374" s="12"/>
      <c r="BR374" s="12"/>
      <c r="BS374" s="12"/>
      <c r="BT374" s="12"/>
      <c r="BU374" s="12"/>
      <c r="BV374" s="12"/>
      <c r="BW374" s="12"/>
      <c r="BX374" s="12"/>
      <c r="BY374" s="12"/>
      <c r="BZ374" s="12"/>
      <c r="CA374" s="12"/>
      <c r="CB374" s="12"/>
      <c r="CC374" s="12"/>
      <c r="CD374" s="12"/>
      <c r="CE374" s="12"/>
      <c r="CF374" s="12"/>
      <c r="CG374" s="12"/>
      <c r="CH374" s="12"/>
      <c r="CI374" s="12"/>
      <c r="CJ374" s="12"/>
      <c r="CK374" s="12"/>
      <c r="CL374" s="12"/>
      <c r="CM374" s="12"/>
      <c r="CN374" s="12"/>
      <c r="CO374" s="12"/>
      <c r="CP374" s="12"/>
      <c r="CQ374" s="12"/>
      <c r="CR374" s="12"/>
      <c r="CS374" s="12"/>
      <c r="CT374" s="12"/>
      <c r="CU374" s="12"/>
      <c r="CV374" s="12"/>
      <c r="CW374" s="12"/>
      <c r="CX374" s="12"/>
      <c r="CY374" s="12"/>
      <c r="CZ374" s="12"/>
      <c r="DA374" s="12"/>
      <c r="DB374" s="12"/>
      <c r="DC374" s="12"/>
      <c r="DD374" s="12"/>
      <c r="DE374" s="12"/>
      <c r="DF374" s="12"/>
      <c r="DG374" s="12"/>
      <c r="DH374" s="12"/>
      <c r="DI374" s="12"/>
      <c r="DJ374" s="12"/>
      <c r="DK374" s="12"/>
      <c r="DL374" s="12"/>
      <c r="DM374" s="12"/>
      <c r="DN374" s="12"/>
      <c r="DO374" s="12"/>
      <c r="DP374" s="12"/>
      <c r="DQ374" s="12"/>
      <c r="DR374" s="12"/>
      <c r="DS374" s="12"/>
      <c r="DT374" s="12"/>
      <c r="DU374" s="12"/>
      <c r="DV374" s="12"/>
      <c r="DW374" s="12"/>
      <c r="DX374" s="12"/>
      <c r="DY374" s="12"/>
      <c r="DZ374" s="12"/>
      <c r="EA374" s="12"/>
      <c r="EB374" s="12"/>
      <c r="EC374" s="12"/>
      <c r="ED374" s="12"/>
      <c r="EE374" s="12"/>
      <c r="EF374" s="12"/>
      <c r="EG374" s="12"/>
      <c r="EH374" s="12"/>
      <c r="EI374" s="12"/>
      <c r="EJ374" s="574"/>
      <c r="EK374" s="574"/>
      <c r="EL374" s="574"/>
      <c r="EM374" s="574"/>
      <c r="EN374" s="574"/>
      <c r="EO374" s="574"/>
      <c r="EP374" s="574"/>
      <c r="EQ374" s="574"/>
      <c r="ER374" s="574"/>
      <c r="ES374" s="574"/>
      <c r="ET374" s="574"/>
      <c r="EU374" s="574"/>
    </row>
    <row r="375">
      <c r="A375" s="12"/>
      <c r="B375" s="55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  <c r="BA375" s="12"/>
      <c r="BB375" s="12"/>
      <c r="BC375" s="12"/>
      <c r="BD375" s="12"/>
      <c r="BE375" s="12"/>
      <c r="BF375" s="12"/>
      <c r="BG375" s="12"/>
      <c r="BH375" s="12"/>
      <c r="BI375" s="12"/>
      <c r="BJ375" s="12"/>
      <c r="BK375" s="12"/>
      <c r="BL375" s="12"/>
      <c r="BM375" s="12"/>
      <c r="BN375" s="12"/>
      <c r="BO375" s="12"/>
      <c r="BP375" s="12"/>
      <c r="BQ375" s="12"/>
      <c r="BR375" s="12"/>
      <c r="BS375" s="12"/>
      <c r="BT375" s="12"/>
      <c r="BU375" s="12"/>
      <c r="BV375" s="12"/>
      <c r="BW375" s="12"/>
      <c r="BX375" s="12"/>
      <c r="BY375" s="12"/>
      <c r="BZ375" s="12"/>
      <c r="CA375" s="12"/>
      <c r="CB375" s="12"/>
      <c r="CC375" s="12"/>
      <c r="CD375" s="12"/>
      <c r="CE375" s="12"/>
      <c r="CF375" s="12"/>
      <c r="CG375" s="12"/>
      <c r="CH375" s="12"/>
      <c r="CI375" s="12"/>
      <c r="CJ375" s="12"/>
      <c r="CK375" s="12"/>
      <c r="CL375" s="12"/>
      <c r="CM375" s="12"/>
      <c r="CN375" s="12"/>
      <c r="CO375" s="12"/>
      <c r="CP375" s="12"/>
      <c r="CQ375" s="12"/>
      <c r="CR375" s="12"/>
      <c r="CS375" s="12"/>
      <c r="CT375" s="12"/>
      <c r="CU375" s="12"/>
      <c r="CV375" s="12"/>
      <c r="CW375" s="12"/>
      <c r="CX375" s="12"/>
      <c r="CY375" s="12"/>
      <c r="CZ375" s="12"/>
      <c r="DA375" s="12"/>
      <c r="DB375" s="12"/>
      <c r="DC375" s="12"/>
      <c r="DD375" s="12"/>
      <c r="DE375" s="12"/>
      <c r="DF375" s="12"/>
      <c r="DG375" s="12"/>
      <c r="DH375" s="12"/>
      <c r="DI375" s="12"/>
      <c r="DJ375" s="12"/>
      <c r="DK375" s="12"/>
      <c r="DL375" s="12"/>
      <c r="DM375" s="12"/>
      <c r="DN375" s="12"/>
      <c r="DO375" s="12"/>
      <c r="DP375" s="12"/>
      <c r="DQ375" s="12"/>
      <c r="DR375" s="12"/>
      <c r="DS375" s="12"/>
      <c r="DT375" s="12"/>
      <c r="DU375" s="12"/>
      <c r="DV375" s="12"/>
      <c r="DW375" s="12"/>
      <c r="DX375" s="12"/>
      <c r="DY375" s="12"/>
      <c r="DZ375" s="12"/>
      <c r="EA375" s="12"/>
      <c r="EB375" s="12"/>
      <c r="EC375" s="12"/>
      <c r="ED375" s="12"/>
      <c r="EE375" s="12"/>
      <c r="EF375" s="12"/>
      <c r="EG375" s="12"/>
      <c r="EH375" s="12"/>
      <c r="EI375" s="12"/>
      <c r="EJ375" s="574"/>
      <c r="EK375" s="574"/>
      <c r="EL375" s="574"/>
      <c r="EM375" s="574"/>
      <c r="EN375" s="574"/>
      <c r="EO375" s="574"/>
      <c r="EP375" s="574"/>
      <c r="EQ375" s="574"/>
      <c r="ER375" s="574"/>
      <c r="ES375" s="574"/>
      <c r="ET375" s="574"/>
      <c r="EU375" s="574"/>
    </row>
    <row r="376">
      <c r="A376" s="12"/>
      <c r="B376" s="55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2"/>
      <c r="BE376" s="12"/>
      <c r="BF376" s="12"/>
      <c r="BG376" s="12"/>
      <c r="BH376" s="12"/>
      <c r="BI376" s="12"/>
      <c r="BJ376" s="12"/>
      <c r="BK376" s="12"/>
      <c r="BL376" s="12"/>
      <c r="BM376" s="12"/>
      <c r="BN376" s="12"/>
      <c r="BO376" s="12"/>
      <c r="BP376" s="12"/>
      <c r="BQ376" s="12"/>
      <c r="BR376" s="12"/>
      <c r="BS376" s="12"/>
      <c r="BT376" s="12"/>
      <c r="BU376" s="12"/>
      <c r="BV376" s="12"/>
      <c r="BW376" s="12"/>
      <c r="BX376" s="12"/>
      <c r="BY376" s="12"/>
      <c r="BZ376" s="12"/>
      <c r="CA376" s="12"/>
      <c r="CB376" s="12"/>
      <c r="CC376" s="12"/>
      <c r="CD376" s="12"/>
      <c r="CE376" s="12"/>
      <c r="CF376" s="12"/>
      <c r="CG376" s="12"/>
      <c r="CH376" s="12"/>
      <c r="CI376" s="12"/>
      <c r="CJ376" s="12"/>
      <c r="CK376" s="12"/>
      <c r="CL376" s="12"/>
      <c r="CM376" s="12"/>
      <c r="CN376" s="12"/>
      <c r="CO376" s="12"/>
      <c r="CP376" s="12"/>
      <c r="CQ376" s="12"/>
      <c r="CR376" s="12"/>
      <c r="CS376" s="12"/>
      <c r="CT376" s="12"/>
      <c r="CU376" s="12"/>
      <c r="CV376" s="12"/>
      <c r="CW376" s="12"/>
      <c r="CX376" s="12"/>
      <c r="CY376" s="12"/>
      <c r="CZ376" s="12"/>
      <c r="DA376" s="12"/>
      <c r="DB376" s="12"/>
      <c r="DC376" s="12"/>
      <c r="DD376" s="12"/>
      <c r="DE376" s="12"/>
      <c r="DF376" s="12"/>
      <c r="DG376" s="12"/>
      <c r="DH376" s="12"/>
      <c r="DI376" s="12"/>
      <c r="DJ376" s="12"/>
      <c r="DK376" s="12"/>
      <c r="DL376" s="12"/>
      <c r="DM376" s="12"/>
      <c r="DN376" s="12"/>
      <c r="DO376" s="12"/>
      <c r="DP376" s="12"/>
      <c r="DQ376" s="12"/>
      <c r="DR376" s="12"/>
      <c r="DS376" s="12"/>
      <c r="DT376" s="12"/>
      <c r="DU376" s="12"/>
      <c r="DV376" s="12"/>
      <c r="DW376" s="12"/>
      <c r="DX376" s="12"/>
      <c r="DY376" s="12"/>
      <c r="DZ376" s="12"/>
      <c r="EA376" s="12"/>
      <c r="EB376" s="12"/>
      <c r="EC376" s="12"/>
      <c r="ED376" s="12"/>
      <c r="EE376" s="12"/>
      <c r="EF376" s="12"/>
      <c r="EG376" s="12"/>
      <c r="EH376" s="12"/>
      <c r="EI376" s="12"/>
      <c r="EJ376" s="574"/>
      <c r="EK376" s="574"/>
      <c r="EL376" s="574"/>
      <c r="EM376" s="574"/>
      <c r="EN376" s="574"/>
      <c r="EO376" s="574"/>
      <c r="EP376" s="574"/>
      <c r="EQ376" s="574"/>
      <c r="ER376" s="574"/>
      <c r="ES376" s="574"/>
      <c r="ET376" s="574"/>
      <c r="EU376" s="574"/>
    </row>
    <row r="377">
      <c r="A377" s="12"/>
      <c r="B377" s="55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  <c r="BE377" s="12"/>
      <c r="BF377" s="12"/>
      <c r="BG377" s="12"/>
      <c r="BH377" s="12"/>
      <c r="BI377" s="12"/>
      <c r="BJ377" s="12"/>
      <c r="BK377" s="12"/>
      <c r="BL377" s="12"/>
      <c r="BM377" s="12"/>
      <c r="BN377" s="12"/>
      <c r="BO377" s="12"/>
      <c r="BP377" s="12"/>
      <c r="BQ377" s="12"/>
      <c r="BR377" s="12"/>
      <c r="BS377" s="12"/>
      <c r="BT377" s="12"/>
      <c r="BU377" s="12"/>
      <c r="BV377" s="12"/>
      <c r="BW377" s="12"/>
      <c r="BX377" s="12"/>
      <c r="BY377" s="12"/>
      <c r="BZ377" s="12"/>
      <c r="CA377" s="12"/>
      <c r="CB377" s="12"/>
      <c r="CC377" s="12"/>
      <c r="CD377" s="12"/>
      <c r="CE377" s="12"/>
      <c r="CF377" s="12"/>
      <c r="CG377" s="12"/>
      <c r="CH377" s="12"/>
      <c r="CI377" s="12"/>
      <c r="CJ377" s="12"/>
      <c r="CK377" s="12"/>
      <c r="CL377" s="12"/>
      <c r="CM377" s="12"/>
      <c r="CN377" s="12"/>
      <c r="CO377" s="12"/>
      <c r="CP377" s="12"/>
      <c r="CQ377" s="12"/>
      <c r="CR377" s="12"/>
      <c r="CS377" s="12"/>
      <c r="CT377" s="12"/>
      <c r="CU377" s="12"/>
      <c r="CV377" s="12"/>
      <c r="CW377" s="12"/>
      <c r="CX377" s="12"/>
      <c r="CY377" s="12"/>
      <c r="CZ377" s="12"/>
      <c r="DA377" s="12"/>
      <c r="DB377" s="12"/>
      <c r="DC377" s="12"/>
      <c r="DD377" s="12"/>
      <c r="DE377" s="12"/>
      <c r="DF377" s="12"/>
      <c r="DG377" s="12"/>
      <c r="DH377" s="12"/>
      <c r="DI377" s="12"/>
      <c r="DJ377" s="12"/>
      <c r="DK377" s="12"/>
      <c r="DL377" s="12"/>
      <c r="DM377" s="12"/>
      <c r="DN377" s="12"/>
      <c r="DO377" s="12"/>
      <c r="DP377" s="12"/>
      <c r="DQ377" s="12"/>
      <c r="DR377" s="12"/>
      <c r="DS377" s="12"/>
      <c r="DT377" s="12"/>
      <c r="DU377" s="12"/>
      <c r="DV377" s="12"/>
      <c r="DW377" s="12"/>
      <c r="DX377" s="12"/>
      <c r="DY377" s="12"/>
      <c r="DZ377" s="12"/>
      <c r="EA377" s="12"/>
      <c r="EB377" s="12"/>
      <c r="EC377" s="12"/>
      <c r="ED377" s="12"/>
      <c r="EE377" s="12"/>
      <c r="EF377" s="12"/>
      <c r="EG377" s="12"/>
      <c r="EH377" s="12"/>
      <c r="EI377" s="12"/>
      <c r="EJ377" s="574"/>
      <c r="EK377" s="574"/>
      <c r="EL377" s="574"/>
      <c r="EM377" s="574"/>
      <c r="EN377" s="574"/>
      <c r="EO377" s="574"/>
      <c r="EP377" s="574"/>
      <c r="EQ377" s="574"/>
      <c r="ER377" s="574"/>
      <c r="ES377" s="574"/>
      <c r="ET377" s="574"/>
      <c r="EU377" s="574"/>
    </row>
    <row r="378">
      <c r="A378" s="12"/>
      <c r="B378" s="55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2"/>
      <c r="BE378" s="12"/>
      <c r="BF378" s="12"/>
      <c r="BG378" s="12"/>
      <c r="BH378" s="12"/>
      <c r="BI378" s="12"/>
      <c r="BJ378" s="12"/>
      <c r="BK378" s="12"/>
      <c r="BL378" s="12"/>
      <c r="BM378" s="12"/>
      <c r="BN378" s="12"/>
      <c r="BO378" s="12"/>
      <c r="BP378" s="12"/>
      <c r="BQ378" s="12"/>
      <c r="BR378" s="12"/>
      <c r="BS378" s="12"/>
      <c r="BT378" s="12"/>
      <c r="BU378" s="12"/>
      <c r="BV378" s="12"/>
      <c r="BW378" s="12"/>
      <c r="BX378" s="12"/>
      <c r="BY378" s="12"/>
      <c r="BZ378" s="12"/>
      <c r="CA378" s="12"/>
      <c r="CB378" s="12"/>
      <c r="CC378" s="12"/>
      <c r="CD378" s="12"/>
      <c r="CE378" s="12"/>
      <c r="CF378" s="12"/>
      <c r="CG378" s="12"/>
      <c r="CH378" s="12"/>
      <c r="CI378" s="12"/>
      <c r="CJ378" s="12"/>
      <c r="CK378" s="12"/>
      <c r="CL378" s="12"/>
      <c r="CM378" s="12"/>
      <c r="CN378" s="12"/>
      <c r="CO378" s="12"/>
      <c r="CP378" s="12"/>
      <c r="CQ378" s="12"/>
      <c r="CR378" s="12"/>
      <c r="CS378" s="12"/>
      <c r="CT378" s="12"/>
      <c r="CU378" s="12"/>
      <c r="CV378" s="12"/>
      <c r="CW378" s="12"/>
      <c r="CX378" s="12"/>
      <c r="CY378" s="12"/>
      <c r="CZ378" s="12"/>
      <c r="DA378" s="12"/>
      <c r="DB378" s="12"/>
      <c r="DC378" s="12"/>
      <c r="DD378" s="12"/>
      <c r="DE378" s="12"/>
      <c r="DF378" s="12"/>
      <c r="DG378" s="12"/>
      <c r="DH378" s="12"/>
      <c r="DI378" s="12"/>
      <c r="DJ378" s="12"/>
      <c r="DK378" s="12"/>
      <c r="DL378" s="12"/>
      <c r="DM378" s="12"/>
      <c r="DN378" s="12"/>
      <c r="DO378" s="12"/>
      <c r="DP378" s="12"/>
      <c r="DQ378" s="12"/>
      <c r="DR378" s="12"/>
      <c r="DS378" s="12"/>
      <c r="DT378" s="12"/>
      <c r="DU378" s="12"/>
      <c r="DV378" s="12"/>
      <c r="DW378" s="12"/>
      <c r="DX378" s="12"/>
      <c r="DY378" s="12"/>
      <c r="DZ378" s="12"/>
      <c r="EA378" s="12"/>
      <c r="EB378" s="12"/>
      <c r="EC378" s="12"/>
      <c r="ED378" s="12"/>
      <c r="EE378" s="12"/>
      <c r="EF378" s="12"/>
      <c r="EG378" s="12"/>
      <c r="EH378" s="12"/>
      <c r="EI378" s="12"/>
      <c r="EJ378" s="574"/>
      <c r="EK378" s="574"/>
      <c r="EL378" s="574"/>
      <c r="EM378" s="574"/>
      <c r="EN378" s="574"/>
      <c r="EO378" s="574"/>
      <c r="EP378" s="574"/>
      <c r="EQ378" s="574"/>
      <c r="ER378" s="574"/>
      <c r="ES378" s="574"/>
      <c r="ET378" s="574"/>
      <c r="EU378" s="574"/>
    </row>
    <row r="379">
      <c r="A379" s="12"/>
      <c r="B379" s="55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  <c r="BD379" s="12"/>
      <c r="BE379" s="12"/>
      <c r="BF379" s="12"/>
      <c r="BG379" s="12"/>
      <c r="BH379" s="12"/>
      <c r="BI379" s="12"/>
      <c r="BJ379" s="12"/>
      <c r="BK379" s="12"/>
      <c r="BL379" s="12"/>
      <c r="BM379" s="12"/>
      <c r="BN379" s="12"/>
      <c r="BO379" s="12"/>
      <c r="BP379" s="12"/>
      <c r="BQ379" s="12"/>
      <c r="BR379" s="12"/>
      <c r="BS379" s="12"/>
      <c r="BT379" s="12"/>
      <c r="BU379" s="12"/>
      <c r="BV379" s="12"/>
      <c r="BW379" s="12"/>
      <c r="BX379" s="12"/>
      <c r="BY379" s="12"/>
      <c r="BZ379" s="12"/>
      <c r="CA379" s="12"/>
      <c r="CB379" s="12"/>
      <c r="CC379" s="12"/>
      <c r="CD379" s="12"/>
      <c r="CE379" s="12"/>
      <c r="CF379" s="12"/>
      <c r="CG379" s="12"/>
      <c r="CH379" s="12"/>
      <c r="CI379" s="12"/>
      <c r="CJ379" s="12"/>
      <c r="CK379" s="12"/>
      <c r="CL379" s="12"/>
      <c r="CM379" s="12"/>
      <c r="CN379" s="12"/>
      <c r="CO379" s="12"/>
      <c r="CP379" s="12"/>
      <c r="CQ379" s="12"/>
      <c r="CR379" s="12"/>
      <c r="CS379" s="12"/>
      <c r="CT379" s="12"/>
      <c r="CU379" s="12"/>
      <c r="CV379" s="12"/>
      <c r="CW379" s="12"/>
      <c r="CX379" s="12"/>
      <c r="CY379" s="12"/>
      <c r="CZ379" s="12"/>
      <c r="DA379" s="12"/>
      <c r="DB379" s="12"/>
      <c r="DC379" s="12"/>
      <c r="DD379" s="12"/>
      <c r="DE379" s="12"/>
      <c r="DF379" s="12"/>
      <c r="DG379" s="12"/>
      <c r="DH379" s="12"/>
      <c r="DI379" s="12"/>
      <c r="DJ379" s="12"/>
      <c r="DK379" s="12"/>
      <c r="DL379" s="12"/>
      <c r="DM379" s="12"/>
      <c r="DN379" s="12"/>
      <c r="DO379" s="12"/>
      <c r="DP379" s="12"/>
      <c r="DQ379" s="12"/>
      <c r="DR379" s="12"/>
      <c r="DS379" s="12"/>
      <c r="DT379" s="12"/>
      <c r="DU379" s="12"/>
      <c r="DV379" s="12"/>
      <c r="DW379" s="12"/>
      <c r="DX379" s="12"/>
      <c r="DY379" s="12"/>
      <c r="DZ379" s="12"/>
      <c r="EA379" s="12"/>
      <c r="EB379" s="12"/>
      <c r="EC379" s="12"/>
      <c r="ED379" s="12"/>
      <c r="EE379" s="12"/>
      <c r="EF379" s="12"/>
      <c r="EG379" s="12"/>
      <c r="EH379" s="12"/>
      <c r="EI379" s="12"/>
      <c r="EJ379" s="574"/>
      <c r="EK379" s="574"/>
      <c r="EL379" s="574"/>
      <c r="EM379" s="574"/>
      <c r="EN379" s="574"/>
      <c r="EO379" s="574"/>
      <c r="EP379" s="574"/>
      <c r="EQ379" s="574"/>
      <c r="ER379" s="574"/>
      <c r="ES379" s="574"/>
      <c r="ET379" s="574"/>
      <c r="EU379" s="574"/>
    </row>
    <row r="380">
      <c r="A380" s="12"/>
      <c r="B380" s="55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  <c r="BE380" s="12"/>
      <c r="BF380" s="12"/>
      <c r="BG380" s="12"/>
      <c r="BH380" s="12"/>
      <c r="BI380" s="12"/>
      <c r="BJ380" s="12"/>
      <c r="BK380" s="12"/>
      <c r="BL380" s="12"/>
      <c r="BM380" s="12"/>
      <c r="BN380" s="12"/>
      <c r="BO380" s="12"/>
      <c r="BP380" s="12"/>
      <c r="BQ380" s="12"/>
      <c r="BR380" s="12"/>
      <c r="BS380" s="12"/>
      <c r="BT380" s="12"/>
      <c r="BU380" s="12"/>
      <c r="BV380" s="12"/>
      <c r="BW380" s="12"/>
      <c r="BX380" s="12"/>
      <c r="BY380" s="12"/>
      <c r="BZ380" s="12"/>
      <c r="CA380" s="12"/>
      <c r="CB380" s="12"/>
      <c r="CC380" s="12"/>
      <c r="CD380" s="12"/>
      <c r="CE380" s="12"/>
      <c r="CF380" s="12"/>
      <c r="CG380" s="12"/>
      <c r="CH380" s="12"/>
      <c r="CI380" s="12"/>
      <c r="CJ380" s="12"/>
      <c r="CK380" s="12"/>
      <c r="CL380" s="12"/>
      <c r="CM380" s="12"/>
      <c r="CN380" s="12"/>
      <c r="CO380" s="12"/>
      <c r="CP380" s="12"/>
      <c r="CQ380" s="12"/>
      <c r="CR380" s="12"/>
      <c r="CS380" s="12"/>
      <c r="CT380" s="12"/>
      <c r="CU380" s="12"/>
      <c r="CV380" s="12"/>
      <c r="CW380" s="12"/>
      <c r="CX380" s="12"/>
      <c r="CY380" s="12"/>
      <c r="CZ380" s="12"/>
      <c r="DA380" s="12"/>
      <c r="DB380" s="12"/>
      <c r="DC380" s="12"/>
      <c r="DD380" s="12"/>
      <c r="DE380" s="12"/>
      <c r="DF380" s="12"/>
      <c r="DG380" s="12"/>
      <c r="DH380" s="12"/>
      <c r="DI380" s="12"/>
      <c r="DJ380" s="12"/>
      <c r="DK380" s="12"/>
      <c r="DL380" s="12"/>
      <c r="DM380" s="12"/>
      <c r="DN380" s="12"/>
      <c r="DO380" s="12"/>
      <c r="DP380" s="12"/>
      <c r="DQ380" s="12"/>
      <c r="DR380" s="12"/>
      <c r="DS380" s="12"/>
      <c r="DT380" s="12"/>
      <c r="DU380" s="12"/>
      <c r="DV380" s="12"/>
      <c r="DW380" s="12"/>
      <c r="DX380" s="12"/>
      <c r="DY380" s="12"/>
      <c r="DZ380" s="12"/>
      <c r="EA380" s="12"/>
      <c r="EB380" s="12"/>
      <c r="EC380" s="12"/>
      <c r="ED380" s="12"/>
      <c r="EE380" s="12"/>
      <c r="EF380" s="12"/>
      <c r="EG380" s="12"/>
      <c r="EH380" s="12"/>
      <c r="EI380" s="12"/>
      <c r="EJ380" s="574"/>
      <c r="EK380" s="574"/>
      <c r="EL380" s="574"/>
      <c r="EM380" s="574"/>
      <c r="EN380" s="574"/>
      <c r="EO380" s="574"/>
      <c r="EP380" s="574"/>
      <c r="EQ380" s="574"/>
      <c r="ER380" s="574"/>
      <c r="ES380" s="574"/>
      <c r="ET380" s="574"/>
      <c r="EU380" s="574"/>
    </row>
    <row r="381">
      <c r="A381" s="12"/>
      <c r="B381" s="55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  <c r="BD381" s="12"/>
      <c r="BE381" s="12"/>
      <c r="BF381" s="12"/>
      <c r="BG381" s="12"/>
      <c r="BH381" s="12"/>
      <c r="BI381" s="12"/>
      <c r="BJ381" s="12"/>
      <c r="BK381" s="12"/>
      <c r="BL381" s="12"/>
      <c r="BM381" s="12"/>
      <c r="BN381" s="12"/>
      <c r="BO381" s="12"/>
      <c r="BP381" s="12"/>
      <c r="BQ381" s="12"/>
      <c r="BR381" s="12"/>
      <c r="BS381" s="12"/>
      <c r="BT381" s="12"/>
      <c r="BU381" s="12"/>
      <c r="BV381" s="12"/>
      <c r="BW381" s="12"/>
      <c r="BX381" s="12"/>
      <c r="BY381" s="12"/>
      <c r="BZ381" s="12"/>
      <c r="CA381" s="12"/>
      <c r="CB381" s="12"/>
      <c r="CC381" s="12"/>
      <c r="CD381" s="12"/>
      <c r="CE381" s="12"/>
      <c r="CF381" s="12"/>
      <c r="CG381" s="12"/>
      <c r="CH381" s="12"/>
      <c r="CI381" s="12"/>
      <c r="CJ381" s="12"/>
      <c r="CK381" s="12"/>
      <c r="CL381" s="12"/>
      <c r="CM381" s="12"/>
      <c r="CN381" s="12"/>
      <c r="CO381" s="12"/>
      <c r="CP381" s="12"/>
      <c r="CQ381" s="12"/>
      <c r="CR381" s="12"/>
      <c r="CS381" s="12"/>
      <c r="CT381" s="12"/>
      <c r="CU381" s="12"/>
      <c r="CV381" s="12"/>
      <c r="CW381" s="12"/>
      <c r="CX381" s="12"/>
      <c r="CY381" s="12"/>
      <c r="CZ381" s="12"/>
      <c r="DA381" s="12"/>
      <c r="DB381" s="12"/>
      <c r="DC381" s="12"/>
      <c r="DD381" s="12"/>
      <c r="DE381" s="12"/>
      <c r="DF381" s="12"/>
      <c r="DG381" s="12"/>
      <c r="DH381" s="12"/>
      <c r="DI381" s="12"/>
      <c r="DJ381" s="12"/>
      <c r="DK381" s="12"/>
      <c r="DL381" s="12"/>
      <c r="DM381" s="12"/>
      <c r="DN381" s="12"/>
      <c r="DO381" s="12"/>
      <c r="DP381" s="12"/>
      <c r="DQ381" s="12"/>
      <c r="DR381" s="12"/>
      <c r="DS381" s="12"/>
      <c r="DT381" s="12"/>
      <c r="DU381" s="12"/>
      <c r="DV381" s="12"/>
      <c r="DW381" s="12"/>
      <c r="DX381" s="12"/>
      <c r="DY381" s="12"/>
      <c r="DZ381" s="12"/>
      <c r="EA381" s="12"/>
      <c r="EB381" s="12"/>
      <c r="EC381" s="12"/>
      <c r="ED381" s="12"/>
      <c r="EE381" s="12"/>
      <c r="EF381" s="12"/>
      <c r="EG381" s="12"/>
      <c r="EH381" s="12"/>
      <c r="EI381" s="12"/>
      <c r="EJ381" s="574"/>
      <c r="EK381" s="574"/>
      <c r="EL381" s="574"/>
      <c r="EM381" s="574"/>
      <c r="EN381" s="574"/>
      <c r="EO381" s="574"/>
      <c r="EP381" s="574"/>
      <c r="EQ381" s="574"/>
      <c r="ER381" s="574"/>
      <c r="ES381" s="574"/>
      <c r="ET381" s="574"/>
      <c r="EU381" s="574"/>
    </row>
    <row r="382">
      <c r="A382" s="12"/>
      <c r="B382" s="55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2"/>
      <c r="BE382" s="12"/>
      <c r="BF382" s="12"/>
      <c r="BG382" s="12"/>
      <c r="BH382" s="12"/>
      <c r="BI382" s="12"/>
      <c r="BJ382" s="12"/>
      <c r="BK382" s="12"/>
      <c r="BL382" s="12"/>
      <c r="BM382" s="12"/>
      <c r="BN382" s="12"/>
      <c r="BO382" s="12"/>
      <c r="BP382" s="12"/>
      <c r="BQ382" s="12"/>
      <c r="BR382" s="12"/>
      <c r="BS382" s="12"/>
      <c r="BT382" s="12"/>
      <c r="BU382" s="12"/>
      <c r="BV382" s="12"/>
      <c r="BW382" s="12"/>
      <c r="BX382" s="12"/>
      <c r="BY382" s="12"/>
      <c r="BZ382" s="12"/>
      <c r="CA382" s="12"/>
      <c r="CB382" s="12"/>
      <c r="CC382" s="12"/>
      <c r="CD382" s="12"/>
      <c r="CE382" s="12"/>
      <c r="CF382" s="12"/>
      <c r="CG382" s="12"/>
      <c r="CH382" s="12"/>
      <c r="CI382" s="12"/>
      <c r="CJ382" s="12"/>
      <c r="CK382" s="12"/>
      <c r="CL382" s="12"/>
      <c r="CM382" s="12"/>
      <c r="CN382" s="12"/>
      <c r="CO382" s="12"/>
      <c r="CP382" s="12"/>
      <c r="CQ382" s="12"/>
      <c r="CR382" s="12"/>
      <c r="CS382" s="12"/>
      <c r="CT382" s="12"/>
      <c r="CU382" s="12"/>
      <c r="CV382" s="12"/>
      <c r="CW382" s="12"/>
      <c r="CX382" s="12"/>
      <c r="CY382" s="12"/>
      <c r="CZ382" s="12"/>
      <c r="DA382" s="12"/>
      <c r="DB382" s="12"/>
      <c r="DC382" s="12"/>
      <c r="DD382" s="12"/>
      <c r="DE382" s="12"/>
      <c r="DF382" s="12"/>
      <c r="DG382" s="12"/>
      <c r="DH382" s="12"/>
      <c r="DI382" s="12"/>
      <c r="DJ382" s="12"/>
      <c r="DK382" s="12"/>
      <c r="DL382" s="12"/>
      <c r="DM382" s="12"/>
      <c r="DN382" s="12"/>
      <c r="DO382" s="12"/>
      <c r="DP382" s="12"/>
      <c r="DQ382" s="12"/>
      <c r="DR382" s="12"/>
      <c r="DS382" s="12"/>
      <c r="DT382" s="12"/>
      <c r="DU382" s="12"/>
      <c r="DV382" s="12"/>
      <c r="DW382" s="12"/>
      <c r="DX382" s="12"/>
      <c r="DY382" s="12"/>
      <c r="DZ382" s="12"/>
      <c r="EA382" s="12"/>
      <c r="EB382" s="12"/>
      <c r="EC382" s="12"/>
      <c r="ED382" s="12"/>
      <c r="EE382" s="12"/>
      <c r="EF382" s="12"/>
      <c r="EG382" s="12"/>
      <c r="EH382" s="12"/>
      <c r="EI382" s="12"/>
      <c r="EJ382" s="574"/>
      <c r="EK382" s="574"/>
      <c r="EL382" s="574"/>
      <c r="EM382" s="574"/>
      <c r="EN382" s="574"/>
      <c r="EO382" s="574"/>
      <c r="EP382" s="574"/>
      <c r="EQ382" s="574"/>
      <c r="ER382" s="574"/>
      <c r="ES382" s="574"/>
      <c r="ET382" s="574"/>
      <c r="EU382" s="574"/>
    </row>
    <row r="383">
      <c r="A383" s="12"/>
      <c r="B383" s="55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  <c r="BD383" s="12"/>
      <c r="BE383" s="12"/>
      <c r="BF383" s="12"/>
      <c r="BG383" s="12"/>
      <c r="BH383" s="12"/>
      <c r="BI383" s="12"/>
      <c r="BJ383" s="12"/>
      <c r="BK383" s="12"/>
      <c r="BL383" s="12"/>
      <c r="BM383" s="12"/>
      <c r="BN383" s="12"/>
      <c r="BO383" s="12"/>
      <c r="BP383" s="12"/>
      <c r="BQ383" s="12"/>
      <c r="BR383" s="12"/>
      <c r="BS383" s="12"/>
      <c r="BT383" s="12"/>
      <c r="BU383" s="12"/>
      <c r="BV383" s="12"/>
      <c r="BW383" s="12"/>
      <c r="BX383" s="12"/>
      <c r="BY383" s="12"/>
      <c r="BZ383" s="12"/>
      <c r="CA383" s="12"/>
      <c r="CB383" s="12"/>
      <c r="CC383" s="12"/>
      <c r="CD383" s="12"/>
      <c r="CE383" s="12"/>
      <c r="CF383" s="12"/>
      <c r="CG383" s="12"/>
      <c r="CH383" s="12"/>
      <c r="CI383" s="12"/>
      <c r="CJ383" s="12"/>
      <c r="CK383" s="12"/>
      <c r="CL383" s="12"/>
      <c r="CM383" s="12"/>
      <c r="CN383" s="12"/>
      <c r="CO383" s="12"/>
      <c r="CP383" s="12"/>
      <c r="CQ383" s="12"/>
      <c r="CR383" s="12"/>
      <c r="CS383" s="12"/>
      <c r="CT383" s="12"/>
      <c r="CU383" s="12"/>
      <c r="CV383" s="12"/>
      <c r="CW383" s="12"/>
      <c r="CX383" s="12"/>
      <c r="CY383" s="12"/>
      <c r="CZ383" s="12"/>
      <c r="DA383" s="12"/>
      <c r="DB383" s="12"/>
      <c r="DC383" s="12"/>
      <c r="DD383" s="12"/>
      <c r="DE383" s="12"/>
      <c r="DF383" s="12"/>
      <c r="DG383" s="12"/>
      <c r="DH383" s="12"/>
      <c r="DI383" s="12"/>
      <c r="DJ383" s="12"/>
      <c r="DK383" s="12"/>
      <c r="DL383" s="12"/>
      <c r="DM383" s="12"/>
      <c r="DN383" s="12"/>
      <c r="DO383" s="12"/>
      <c r="DP383" s="12"/>
      <c r="DQ383" s="12"/>
      <c r="DR383" s="12"/>
      <c r="DS383" s="12"/>
      <c r="DT383" s="12"/>
      <c r="DU383" s="12"/>
      <c r="DV383" s="12"/>
      <c r="DW383" s="12"/>
      <c r="DX383" s="12"/>
      <c r="DY383" s="12"/>
      <c r="DZ383" s="12"/>
      <c r="EA383" s="12"/>
      <c r="EB383" s="12"/>
      <c r="EC383" s="12"/>
      <c r="ED383" s="12"/>
      <c r="EE383" s="12"/>
      <c r="EF383" s="12"/>
      <c r="EG383" s="12"/>
      <c r="EH383" s="12"/>
      <c r="EI383" s="12"/>
      <c r="EJ383" s="574"/>
      <c r="EK383" s="574"/>
      <c r="EL383" s="574"/>
      <c r="EM383" s="574"/>
      <c r="EN383" s="574"/>
      <c r="EO383" s="574"/>
      <c r="EP383" s="574"/>
      <c r="EQ383" s="574"/>
      <c r="ER383" s="574"/>
      <c r="ES383" s="574"/>
      <c r="ET383" s="574"/>
      <c r="EU383" s="574"/>
    </row>
    <row r="384">
      <c r="A384" s="12"/>
      <c r="B384" s="55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  <c r="BA384" s="12"/>
      <c r="BB384" s="12"/>
      <c r="BC384" s="12"/>
      <c r="BD384" s="12"/>
      <c r="BE384" s="12"/>
      <c r="BF384" s="12"/>
      <c r="BG384" s="12"/>
      <c r="BH384" s="12"/>
      <c r="BI384" s="12"/>
      <c r="BJ384" s="12"/>
      <c r="BK384" s="12"/>
      <c r="BL384" s="12"/>
      <c r="BM384" s="12"/>
      <c r="BN384" s="12"/>
      <c r="BO384" s="12"/>
      <c r="BP384" s="12"/>
      <c r="BQ384" s="12"/>
      <c r="BR384" s="12"/>
      <c r="BS384" s="12"/>
      <c r="BT384" s="12"/>
      <c r="BU384" s="12"/>
      <c r="BV384" s="12"/>
      <c r="BW384" s="12"/>
      <c r="BX384" s="12"/>
      <c r="BY384" s="12"/>
      <c r="BZ384" s="12"/>
      <c r="CA384" s="12"/>
      <c r="CB384" s="12"/>
      <c r="CC384" s="12"/>
      <c r="CD384" s="12"/>
      <c r="CE384" s="12"/>
      <c r="CF384" s="12"/>
      <c r="CG384" s="12"/>
      <c r="CH384" s="12"/>
      <c r="CI384" s="12"/>
      <c r="CJ384" s="12"/>
      <c r="CK384" s="12"/>
      <c r="CL384" s="12"/>
      <c r="CM384" s="12"/>
      <c r="CN384" s="12"/>
      <c r="CO384" s="12"/>
      <c r="CP384" s="12"/>
      <c r="CQ384" s="12"/>
      <c r="CR384" s="12"/>
      <c r="CS384" s="12"/>
      <c r="CT384" s="12"/>
      <c r="CU384" s="12"/>
      <c r="CV384" s="12"/>
      <c r="CW384" s="12"/>
      <c r="CX384" s="12"/>
      <c r="CY384" s="12"/>
      <c r="CZ384" s="12"/>
      <c r="DA384" s="12"/>
      <c r="DB384" s="12"/>
      <c r="DC384" s="12"/>
      <c r="DD384" s="12"/>
      <c r="DE384" s="12"/>
      <c r="DF384" s="12"/>
      <c r="DG384" s="12"/>
      <c r="DH384" s="12"/>
      <c r="DI384" s="12"/>
      <c r="DJ384" s="12"/>
      <c r="DK384" s="12"/>
      <c r="DL384" s="12"/>
      <c r="DM384" s="12"/>
      <c r="DN384" s="12"/>
      <c r="DO384" s="12"/>
      <c r="DP384" s="12"/>
      <c r="DQ384" s="12"/>
      <c r="DR384" s="12"/>
      <c r="DS384" s="12"/>
      <c r="DT384" s="12"/>
      <c r="DU384" s="12"/>
      <c r="DV384" s="12"/>
      <c r="DW384" s="12"/>
      <c r="DX384" s="12"/>
      <c r="DY384" s="12"/>
      <c r="DZ384" s="12"/>
      <c r="EA384" s="12"/>
      <c r="EB384" s="12"/>
      <c r="EC384" s="12"/>
      <c r="ED384" s="12"/>
      <c r="EE384" s="12"/>
      <c r="EF384" s="12"/>
      <c r="EG384" s="12"/>
      <c r="EH384" s="12"/>
      <c r="EI384" s="12"/>
      <c r="EJ384" s="574"/>
      <c r="EK384" s="574"/>
      <c r="EL384" s="574"/>
      <c r="EM384" s="574"/>
      <c r="EN384" s="574"/>
      <c r="EO384" s="574"/>
      <c r="EP384" s="574"/>
      <c r="EQ384" s="574"/>
      <c r="ER384" s="574"/>
      <c r="ES384" s="574"/>
      <c r="ET384" s="574"/>
      <c r="EU384" s="574"/>
    </row>
    <row r="385">
      <c r="A385" s="12"/>
      <c r="B385" s="55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12"/>
      <c r="BE385" s="12"/>
      <c r="BF385" s="12"/>
      <c r="BG385" s="12"/>
      <c r="BH385" s="12"/>
      <c r="BI385" s="12"/>
      <c r="BJ385" s="12"/>
      <c r="BK385" s="12"/>
      <c r="BL385" s="12"/>
      <c r="BM385" s="12"/>
      <c r="BN385" s="12"/>
      <c r="BO385" s="12"/>
      <c r="BP385" s="12"/>
      <c r="BQ385" s="12"/>
      <c r="BR385" s="12"/>
      <c r="BS385" s="12"/>
      <c r="BT385" s="12"/>
      <c r="BU385" s="12"/>
      <c r="BV385" s="12"/>
      <c r="BW385" s="12"/>
      <c r="BX385" s="12"/>
      <c r="BY385" s="12"/>
      <c r="BZ385" s="12"/>
      <c r="CA385" s="12"/>
      <c r="CB385" s="12"/>
      <c r="CC385" s="12"/>
      <c r="CD385" s="12"/>
      <c r="CE385" s="12"/>
      <c r="CF385" s="12"/>
      <c r="CG385" s="12"/>
      <c r="CH385" s="12"/>
      <c r="CI385" s="12"/>
      <c r="CJ385" s="12"/>
      <c r="CK385" s="12"/>
      <c r="CL385" s="12"/>
      <c r="CM385" s="12"/>
      <c r="CN385" s="12"/>
      <c r="CO385" s="12"/>
      <c r="CP385" s="12"/>
      <c r="CQ385" s="12"/>
      <c r="CR385" s="12"/>
      <c r="CS385" s="12"/>
      <c r="CT385" s="12"/>
      <c r="CU385" s="12"/>
      <c r="CV385" s="12"/>
      <c r="CW385" s="12"/>
      <c r="CX385" s="12"/>
      <c r="CY385" s="12"/>
      <c r="CZ385" s="12"/>
      <c r="DA385" s="12"/>
      <c r="DB385" s="12"/>
      <c r="DC385" s="12"/>
      <c r="DD385" s="12"/>
      <c r="DE385" s="12"/>
      <c r="DF385" s="12"/>
      <c r="DG385" s="12"/>
      <c r="DH385" s="12"/>
      <c r="DI385" s="12"/>
      <c r="DJ385" s="12"/>
      <c r="DK385" s="12"/>
      <c r="DL385" s="12"/>
      <c r="DM385" s="12"/>
      <c r="DN385" s="12"/>
      <c r="DO385" s="12"/>
      <c r="DP385" s="12"/>
      <c r="DQ385" s="12"/>
      <c r="DR385" s="12"/>
      <c r="DS385" s="12"/>
      <c r="DT385" s="12"/>
      <c r="DU385" s="12"/>
      <c r="DV385" s="12"/>
      <c r="DW385" s="12"/>
      <c r="DX385" s="12"/>
      <c r="DY385" s="12"/>
      <c r="DZ385" s="12"/>
      <c r="EA385" s="12"/>
      <c r="EB385" s="12"/>
      <c r="EC385" s="12"/>
      <c r="ED385" s="12"/>
      <c r="EE385" s="12"/>
      <c r="EF385" s="12"/>
      <c r="EG385" s="12"/>
      <c r="EH385" s="12"/>
      <c r="EI385" s="12"/>
      <c r="EJ385" s="574"/>
      <c r="EK385" s="574"/>
      <c r="EL385" s="574"/>
      <c r="EM385" s="574"/>
      <c r="EN385" s="574"/>
      <c r="EO385" s="574"/>
      <c r="EP385" s="574"/>
      <c r="EQ385" s="574"/>
      <c r="ER385" s="574"/>
      <c r="ES385" s="574"/>
      <c r="ET385" s="574"/>
      <c r="EU385" s="574"/>
    </row>
    <row r="386">
      <c r="A386" s="12"/>
      <c r="B386" s="55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12"/>
      <c r="BE386" s="12"/>
      <c r="BF386" s="12"/>
      <c r="BG386" s="12"/>
      <c r="BH386" s="12"/>
      <c r="BI386" s="12"/>
      <c r="BJ386" s="12"/>
      <c r="BK386" s="12"/>
      <c r="BL386" s="12"/>
      <c r="BM386" s="12"/>
      <c r="BN386" s="12"/>
      <c r="BO386" s="12"/>
      <c r="BP386" s="12"/>
      <c r="BQ386" s="12"/>
      <c r="BR386" s="12"/>
      <c r="BS386" s="12"/>
      <c r="BT386" s="12"/>
      <c r="BU386" s="12"/>
      <c r="BV386" s="12"/>
      <c r="BW386" s="12"/>
      <c r="BX386" s="12"/>
      <c r="BY386" s="12"/>
      <c r="BZ386" s="12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574"/>
      <c r="EK386" s="574"/>
      <c r="EL386" s="574"/>
      <c r="EM386" s="574"/>
      <c r="EN386" s="574"/>
      <c r="EO386" s="574"/>
      <c r="EP386" s="574"/>
      <c r="EQ386" s="574"/>
      <c r="ER386" s="574"/>
      <c r="ES386" s="574"/>
      <c r="ET386" s="574"/>
      <c r="EU386" s="574"/>
    </row>
    <row r="387">
      <c r="A387" s="12"/>
      <c r="B387" s="55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  <c r="BA387" s="12"/>
      <c r="BB387" s="12"/>
      <c r="BC387" s="12"/>
      <c r="BD387" s="12"/>
      <c r="BE387" s="12"/>
      <c r="BF387" s="12"/>
      <c r="BG387" s="12"/>
      <c r="BH387" s="12"/>
      <c r="BI387" s="12"/>
      <c r="BJ387" s="12"/>
      <c r="BK387" s="12"/>
      <c r="BL387" s="12"/>
      <c r="BM387" s="12"/>
      <c r="BN387" s="12"/>
      <c r="BO387" s="12"/>
      <c r="BP387" s="12"/>
      <c r="BQ387" s="12"/>
      <c r="BR387" s="12"/>
      <c r="BS387" s="12"/>
      <c r="BT387" s="12"/>
      <c r="BU387" s="12"/>
      <c r="BV387" s="12"/>
      <c r="BW387" s="12"/>
      <c r="BX387" s="12"/>
      <c r="BY387" s="12"/>
      <c r="BZ387" s="12"/>
      <c r="CA387" s="12"/>
      <c r="CB387" s="12"/>
      <c r="CC387" s="12"/>
      <c r="CD387" s="12"/>
      <c r="CE387" s="12"/>
      <c r="CF387" s="12"/>
      <c r="CG387" s="12"/>
      <c r="CH387" s="12"/>
      <c r="CI387" s="12"/>
      <c r="CJ387" s="12"/>
      <c r="CK387" s="12"/>
      <c r="CL387" s="12"/>
      <c r="CM387" s="12"/>
      <c r="CN387" s="12"/>
      <c r="CO387" s="12"/>
      <c r="CP387" s="12"/>
      <c r="CQ387" s="12"/>
      <c r="CR387" s="12"/>
      <c r="CS387" s="12"/>
      <c r="CT387" s="12"/>
      <c r="CU387" s="12"/>
      <c r="CV387" s="12"/>
      <c r="CW387" s="12"/>
      <c r="CX387" s="12"/>
      <c r="CY387" s="12"/>
      <c r="CZ387" s="12"/>
      <c r="DA387" s="12"/>
      <c r="DB387" s="12"/>
      <c r="DC387" s="12"/>
      <c r="DD387" s="12"/>
      <c r="DE387" s="12"/>
      <c r="DF387" s="12"/>
      <c r="DG387" s="12"/>
      <c r="DH387" s="12"/>
      <c r="DI387" s="12"/>
      <c r="DJ387" s="12"/>
      <c r="DK387" s="12"/>
      <c r="DL387" s="12"/>
      <c r="DM387" s="12"/>
      <c r="DN387" s="12"/>
      <c r="DO387" s="12"/>
      <c r="DP387" s="12"/>
      <c r="DQ387" s="12"/>
      <c r="DR387" s="12"/>
      <c r="DS387" s="12"/>
      <c r="DT387" s="12"/>
      <c r="DU387" s="12"/>
      <c r="DV387" s="12"/>
      <c r="DW387" s="12"/>
      <c r="DX387" s="12"/>
      <c r="DY387" s="12"/>
      <c r="DZ387" s="12"/>
      <c r="EA387" s="12"/>
      <c r="EB387" s="12"/>
      <c r="EC387" s="12"/>
      <c r="ED387" s="12"/>
      <c r="EE387" s="12"/>
      <c r="EF387" s="12"/>
      <c r="EG387" s="12"/>
      <c r="EH387" s="12"/>
      <c r="EI387" s="12"/>
      <c r="EJ387" s="574"/>
      <c r="EK387" s="574"/>
      <c r="EL387" s="574"/>
      <c r="EM387" s="574"/>
      <c r="EN387" s="574"/>
      <c r="EO387" s="574"/>
      <c r="EP387" s="574"/>
      <c r="EQ387" s="574"/>
      <c r="ER387" s="574"/>
      <c r="ES387" s="574"/>
      <c r="ET387" s="574"/>
      <c r="EU387" s="574"/>
    </row>
    <row r="388">
      <c r="A388" s="12"/>
      <c r="B388" s="55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  <c r="BA388" s="12"/>
      <c r="BB388" s="12"/>
      <c r="BC388" s="12"/>
      <c r="BD388" s="12"/>
      <c r="BE388" s="12"/>
      <c r="BF388" s="12"/>
      <c r="BG388" s="12"/>
      <c r="BH388" s="12"/>
      <c r="BI388" s="12"/>
      <c r="BJ388" s="12"/>
      <c r="BK388" s="12"/>
      <c r="BL388" s="12"/>
      <c r="BM388" s="12"/>
      <c r="BN388" s="12"/>
      <c r="BO388" s="12"/>
      <c r="BP388" s="12"/>
      <c r="BQ388" s="12"/>
      <c r="BR388" s="12"/>
      <c r="BS388" s="12"/>
      <c r="BT388" s="12"/>
      <c r="BU388" s="12"/>
      <c r="BV388" s="12"/>
      <c r="BW388" s="12"/>
      <c r="BX388" s="12"/>
      <c r="BY388" s="12"/>
      <c r="BZ388" s="12"/>
      <c r="CA388" s="12"/>
      <c r="CB388" s="12"/>
      <c r="CC388" s="12"/>
      <c r="CD388" s="12"/>
      <c r="CE388" s="12"/>
      <c r="CF388" s="12"/>
      <c r="CG388" s="12"/>
      <c r="CH388" s="12"/>
      <c r="CI388" s="12"/>
      <c r="CJ388" s="12"/>
      <c r="CK388" s="12"/>
      <c r="CL388" s="12"/>
      <c r="CM388" s="12"/>
      <c r="CN388" s="12"/>
      <c r="CO388" s="12"/>
      <c r="CP388" s="12"/>
      <c r="CQ388" s="12"/>
      <c r="CR388" s="12"/>
      <c r="CS388" s="12"/>
      <c r="CT388" s="12"/>
      <c r="CU388" s="12"/>
      <c r="CV388" s="12"/>
      <c r="CW388" s="12"/>
      <c r="CX388" s="12"/>
      <c r="CY388" s="12"/>
      <c r="CZ388" s="12"/>
      <c r="DA388" s="12"/>
      <c r="DB388" s="12"/>
      <c r="DC388" s="12"/>
      <c r="DD388" s="12"/>
      <c r="DE388" s="12"/>
      <c r="DF388" s="12"/>
      <c r="DG388" s="12"/>
      <c r="DH388" s="12"/>
      <c r="DI388" s="12"/>
      <c r="DJ388" s="12"/>
      <c r="DK388" s="12"/>
      <c r="DL388" s="12"/>
      <c r="DM388" s="12"/>
      <c r="DN388" s="12"/>
      <c r="DO388" s="12"/>
      <c r="DP388" s="12"/>
      <c r="DQ388" s="12"/>
      <c r="DR388" s="12"/>
      <c r="DS388" s="12"/>
      <c r="DT388" s="12"/>
      <c r="DU388" s="12"/>
      <c r="DV388" s="12"/>
      <c r="DW388" s="12"/>
      <c r="DX388" s="12"/>
      <c r="DY388" s="12"/>
      <c r="DZ388" s="12"/>
      <c r="EA388" s="12"/>
      <c r="EB388" s="12"/>
      <c r="EC388" s="12"/>
      <c r="ED388" s="12"/>
      <c r="EE388" s="12"/>
      <c r="EF388" s="12"/>
      <c r="EG388" s="12"/>
      <c r="EH388" s="12"/>
      <c r="EI388" s="12"/>
      <c r="EJ388" s="574"/>
      <c r="EK388" s="574"/>
      <c r="EL388" s="574"/>
      <c r="EM388" s="574"/>
      <c r="EN388" s="574"/>
      <c r="EO388" s="574"/>
      <c r="EP388" s="574"/>
      <c r="EQ388" s="574"/>
      <c r="ER388" s="574"/>
      <c r="ES388" s="574"/>
      <c r="ET388" s="574"/>
      <c r="EU388" s="574"/>
    </row>
    <row r="389">
      <c r="A389" s="12"/>
      <c r="B389" s="55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  <c r="BD389" s="12"/>
      <c r="BE389" s="12"/>
      <c r="BF389" s="12"/>
      <c r="BG389" s="12"/>
      <c r="BH389" s="12"/>
      <c r="BI389" s="12"/>
      <c r="BJ389" s="12"/>
      <c r="BK389" s="12"/>
      <c r="BL389" s="12"/>
      <c r="BM389" s="12"/>
      <c r="BN389" s="12"/>
      <c r="BO389" s="12"/>
      <c r="BP389" s="12"/>
      <c r="BQ389" s="12"/>
      <c r="BR389" s="12"/>
      <c r="BS389" s="12"/>
      <c r="BT389" s="12"/>
      <c r="BU389" s="12"/>
      <c r="BV389" s="12"/>
      <c r="BW389" s="12"/>
      <c r="BX389" s="12"/>
      <c r="BY389" s="12"/>
      <c r="BZ389" s="12"/>
      <c r="CA389" s="12"/>
      <c r="CB389" s="12"/>
      <c r="CC389" s="12"/>
      <c r="CD389" s="12"/>
      <c r="CE389" s="12"/>
      <c r="CF389" s="12"/>
      <c r="CG389" s="12"/>
      <c r="CH389" s="12"/>
      <c r="CI389" s="12"/>
      <c r="CJ389" s="12"/>
      <c r="CK389" s="12"/>
      <c r="CL389" s="12"/>
      <c r="CM389" s="12"/>
      <c r="CN389" s="12"/>
      <c r="CO389" s="12"/>
      <c r="CP389" s="12"/>
      <c r="CQ389" s="12"/>
      <c r="CR389" s="12"/>
      <c r="CS389" s="12"/>
      <c r="CT389" s="12"/>
      <c r="CU389" s="12"/>
      <c r="CV389" s="12"/>
      <c r="CW389" s="12"/>
      <c r="CX389" s="12"/>
      <c r="CY389" s="12"/>
      <c r="CZ389" s="12"/>
      <c r="DA389" s="12"/>
      <c r="DB389" s="12"/>
      <c r="DC389" s="12"/>
      <c r="DD389" s="12"/>
      <c r="DE389" s="12"/>
      <c r="DF389" s="12"/>
      <c r="DG389" s="12"/>
      <c r="DH389" s="12"/>
      <c r="DI389" s="12"/>
      <c r="DJ389" s="12"/>
      <c r="DK389" s="12"/>
      <c r="DL389" s="12"/>
      <c r="DM389" s="12"/>
      <c r="DN389" s="12"/>
      <c r="DO389" s="12"/>
      <c r="DP389" s="12"/>
      <c r="DQ389" s="12"/>
      <c r="DR389" s="12"/>
      <c r="DS389" s="12"/>
      <c r="DT389" s="12"/>
      <c r="DU389" s="12"/>
      <c r="DV389" s="12"/>
      <c r="DW389" s="12"/>
      <c r="DX389" s="12"/>
      <c r="DY389" s="12"/>
      <c r="DZ389" s="12"/>
      <c r="EA389" s="12"/>
      <c r="EB389" s="12"/>
      <c r="EC389" s="12"/>
      <c r="ED389" s="12"/>
      <c r="EE389" s="12"/>
      <c r="EF389" s="12"/>
      <c r="EG389" s="12"/>
      <c r="EH389" s="12"/>
      <c r="EI389" s="12"/>
      <c r="EJ389" s="574"/>
      <c r="EK389" s="574"/>
      <c r="EL389" s="574"/>
      <c r="EM389" s="574"/>
      <c r="EN389" s="574"/>
      <c r="EO389" s="574"/>
      <c r="EP389" s="574"/>
      <c r="EQ389" s="574"/>
      <c r="ER389" s="574"/>
      <c r="ES389" s="574"/>
      <c r="ET389" s="574"/>
      <c r="EU389" s="574"/>
    </row>
    <row r="390">
      <c r="A390" s="12"/>
      <c r="B390" s="55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  <c r="BA390" s="12"/>
      <c r="BB390" s="12"/>
      <c r="BC390" s="12"/>
      <c r="BD390" s="12"/>
      <c r="BE390" s="12"/>
      <c r="BF390" s="12"/>
      <c r="BG390" s="12"/>
      <c r="BH390" s="12"/>
      <c r="BI390" s="12"/>
      <c r="BJ390" s="12"/>
      <c r="BK390" s="12"/>
      <c r="BL390" s="12"/>
      <c r="BM390" s="12"/>
      <c r="BN390" s="12"/>
      <c r="BO390" s="12"/>
      <c r="BP390" s="12"/>
      <c r="BQ390" s="12"/>
      <c r="BR390" s="12"/>
      <c r="BS390" s="12"/>
      <c r="BT390" s="12"/>
      <c r="BU390" s="12"/>
      <c r="BV390" s="12"/>
      <c r="BW390" s="12"/>
      <c r="BX390" s="12"/>
      <c r="BY390" s="12"/>
      <c r="BZ390" s="12"/>
      <c r="CA390" s="12"/>
      <c r="CB390" s="12"/>
      <c r="CC390" s="12"/>
      <c r="CD390" s="12"/>
      <c r="CE390" s="12"/>
      <c r="CF390" s="12"/>
      <c r="CG390" s="12"/>
      <c r="CH390" s="12"/>
      <c r="CI390" s="12"/>
      <c r="CJ390" s="12"/>
      <c r="CK390" s="12"/>
      <c r="CL390" s="12"/>
      <c r="CM390" s="12"/>
      <c r="CN390" s="12"/>
      <c r="CO390" s="12"/>
      <c r="CP390" s="12"/>
      <c r="CQ390" s="12"/>
      <c r="CR390" s="12"/>
      <c r="CS390" s="12"/>
      <c r="CT390" s="12"/>
      <c r="CU390" s="12"/>
      <c r="CV390" s="12"/>
      <c r="CW390" s="12"/>
      <c r="CX390" s="12"/>
      <c r="CY390" s="12"/>
      <c r="CZ390" s="12"/>
      <c r="DA390" s="12"/>
      <c r="DB390" s="12"/>
      <c r="DC390" s="12"/>
      <c r="DD390" s="12"/>
      <c r="DE390" s="12"/>
      <c r="DF390" s="12"/>
      <c r="DG390" s="12"/>
      <c r="DH390" s="12"/>
      <c r="DI390" s="12"/>
      <c r="DJ390" s="12"/>
      <c r="DK390" s="12"/>
      <c r="DL390" s="12"/>
      <c r="DM390" s="12"/>
      <c r="DN390" s="12"/>
      <c r="DO390" s="12"/>
      <c r="DP390" s="12"/>
      <c r="DQ390" s="12"/>
      <c r="DR390" s="12"/>
      <c r="DS390" s="12"/>
      <c r="DT390" s="12"/>
      <c r="DU390" s="12"/>
      <c r="DV390" s="12"/>
      <c r="DW390" s="12"/>
      <c r="DX390" s="12"/>
      <c r="DY390" s="12"/>
      <c r="DZ390" s="12"/>
      <c r="EA390" s="12"/>
      <c r="EB390" s="12"/>
      <c r="EC390" s="12"/>
      <c r="ED390" s="12"/>
      <c r="EE390" s="12"/>
      <c r="EF390" s="12"/>
      <c r="EG390" s="12"/>
      <c r="EH390" s="12"/>
      <c r="EI390" s="12"/>
      <c r="EJ390" s="574"/>
      <c r="EK390" s="574"/>
      <c r="EL390" s="574"/>
      <c r="EM390" s="574"/>
      <c r="EN390" s="574"/>
      <c r="EO390" s="574"/>
      <c r="EP390" s="574"/>
      <c r="EQ390" s="574"/>
      <c r="ER390" s="574"/>
      <c r="ES390" s="574"/>
      <c r="ET390" s="574"/>
      <c r="EU390" s="574"/>
    </row>
    <row r="391">
      <c r="A391" s="12"/>
      <c r="B391" s="55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  <c r="BA391" s="12"/>
      <c r="BB391" s="12"/>
      <c r="BC391" s="12"/>
      <c r="BD391" s="12"/>
      <c r="BE391" s="12"/>
      <c r="BF391" s="12"/>
      <c r="BG391" s="12"/>
      <c r="BH391" s="12"/>
      <c r="BI391" s="12"/>
      <c r="BJ391" s="12"/>
      <c r="BK391" s="12"/>
      <c r="BL391" s="12"/>
      <c r="BM391" s="12"/>
      <c r="BN391" s="12"/>
      <c r="BO391" s="12"/>
      <c r="BP391" s="12"/>
      <c r="BQ391" s="12"/>
      <c r="BR391" s="12"/>
      <c r="BS391" s="12"/>
      <c r="BT391" s="12"/>
      <c r="BU391" s="12"/>
      <c r="BV391" s="12"/>
      <c r="BW391" s="12"/>
      <c r="BX391" s="12"/>
      <c r="BY391" s="12"/>
      <c r="BZ391" s="12"/>
      <c r="CA391" s="12"/>
      <c r="CB391" s="12"/>
      <c r="CC391" s="12"/>
      <c r="CD391" s="12"/>
      <c r="CE391" s="12"/>
      <c r="CF391" s="12"/>
      <c r="CG391" s="12"/>
      <c r="CH391" s="12"/>
      <c r="CI391" s="12"/>
      <c r="CJ391" s="12"/>
      <c r="CK391" s="12"/>
      <c r="CL391" s="12"/>
      <c r="CM391" s="12"/>
      <c r="CN391" s="12"/>
      <c r="CO391" s="12"/>
      <c r="CP391" s="12"/>
      <c r="CQ391" s="12"/>
      <c r="CR391" s="12"/>
      <c r="CS391" s="12"/>
      <c r="CT391" s="12"/>
      <c r="CU391" s="12"/>
      <c r="CV391" s="12"/>
      <c r="CW391" s="12"/>
      <c r="CX391" s="12"/>
      <c r="CY391" s="12"/>
      <c r="CZ391" s="12"/>
      <c r="DA391" s="12"/>
      <c r="DB391" s="12"/>
      <c r="DC391" s="12"/>
      <c r="DD391" s="12"/>
      <c r="DE391" s="12"/>
      <c r="DF391" s="12"/>
      <c r="DG391" s="12"/>
      <c r="DH391" s="12"/>
      <c r="DI391" s="12"/>
      <c r="DJ391" s="12"/>
      <c r="DK391" s="12"/>
      <c r="DL391" s="12"/>
      <c r="DM391" s="12"/>
      <c r="DN391" s="12"/>
      <c r="DO391" s="12"/>
      <c r="DP391" s="12"/>
      <c r="DQ391" s="12"/>
      <c r="DR391" s="12"/>
      <c r="DS391" s="12"/>
      <c r="DT391" s="12"/>
      <c r="DU391" s="12"/>
      <c r="DV391" s="12"/>
      <c r="DW391" s="12"/>
      <c r="DX391" s="12"/>
      <c r="DY391" s="12"/>
      <c r="DZ391" s="12"/>
      <c r="EA391" s="12"/>
      <c r="EB391" s="12"/>
      <c r="EC391" s="12"/>
      <c r="ED391" s="12"/>
      <c r="EE391" s="12"/>
      <c r="EF391" s="12"/>
      <c r="EG391" s="12"/>
      <c r="EH391" s="12"/>
      <c r="EI391" s="12"/>
      <c r="EJ391" s="574"/>
      <c r="EK391" s="574"/>
      <c r="EL391" s="574"/>
      <c r="EM391" s="574"/>
      <c r="EN391" s="574"/>
      <c r="EO391" s="574"/>
      <c r="EP391" s="574"/>
      <c r="EQ391" s="574"/>
      <c r="ER391" s="574"/>
      <c r="ES391" s="574"/>
      <c r="ET391" s="574"/>
      <c r="EU391" s="574"/>
    </row>
    <row r="392">
      <c r="A392" s="12"/>
      <c r="B392" s="55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  <c r="BA392" s="12"/>
      <c r="BB392" s="12"/>
      <c r="BC392" s="12"/>
      <c r="BD392" s="12"/>
      <c r="BE392" s="12"/>
      <c r="BF392" s="12"/>
      <c r="BG392" s="12"/>
      <c r="BH392" s="12"/>
      <c r="BI392" s="12"/>
      <c r="BJ392" s="12"/>
      <c r="BK392" s="12"/>
      <c r="BL392" s="12"/>
      <c r="BM392" s="12"/>
      <c r="BN392" s="12"/>
      <c r="BO392" s="12"/>
      <c r="BP392" s="12"/>
      <c r="BQ392" s="12"/>
      <c r="BR392" s="12"/>
      <c r="BS392" s="12"/>
      <c r="BT392" s="12"/>
      <c r="BU392" s="12"/>
      <c r="BV392" s="12"/>
      <c r="BW392" s="12"/>
      <c r="BX392" s="12"/>
      <c r="BY392" s="12"/>
      <c r="BZ392" s="12"/>
      <c r="CA392" s="12"/>
      <c r="CB392" s="12"/>
      <c r="CC392" s="12"/>
      <c r="CD392" s="12"/>
      <c r="CE392" s="12"/>
      <c r="CF392" s="12"/>
      <c r="CG392" s="12"/>
      <c r="CH392" s="12"/>
      <c r="CI392" s="12"/>
      <c r="CJ392" s="12"/>
      <c r="CK392" s="12"/>
      <c r="CL392" s="12"/>
      <c r="CM392" s="12"/>
      <c r="CN392" s="12"/>
      <c r="CO392" s="12"/>
      <c r="CP392" s="12"/>
      <c r="CQ392" s="12"/>
      <c r="CR392" s="12"/>
      <c r="CS392" s="12"/>
      <c r="CT392" s="12"/>
      <c r="CU392" s="12"/>
      <c r="CV392" s="12"/>
      <c r="CW392" s="12"/>
      <c r="CX392" s="12"/>
      <c r="CY392" s="12"/>
      <c r="CZ392" s="12"/>
      <c r="DA392" s="12"/>
      <c r="DB392" s="12"/>
      <c r="DC392" s="12"/>
      <c r="DD392" s="12"/>
      <c r="DE392" s="12"/>
      <c r="DF392" s="12"/>
      <c r="DG392" s="12"/>
      <c r="DH392" s="12"/>
      <c r="DI392" s="12"/>
      <c r="DJ392" s="12"/>
      <c r="DK392" s="12"/>
      <c r="DL392" s="12"/>
      <c r="DM392" s="12"/>
      <c r="DN392" s="12"/>
      <c r="DO392" s="12"/>
      <c r="DP392" s="12"/>
      <c r="DQ392" s="12"/>
      <c r="DR392" s="12"/>
      <c r="DS392" s="12"/>
      <c r="DT392" s="12"/>
      <c r="DU392" s="12"/>
      <c r="DV392" s="12"/>
      <c r="DW392" s="12"/>
      <c r="DX392" s="12"/>
      <c r="DY392" s="12"/>
      <c r="DZ392" s="12"/>
      <c r="EA392" s="12"/>
      <c r="EB392" s="12"/>
      <c r="EC392" s="12"/>
      <c r="ED392" s="12"/>
      <c r="EE392" s="12"/>
      <c r="EF392" s="12"/>
      <c r="EG392" s="12"/>
      <c r="EH392" s="12"/>
      <c r="EI392" s="12"/>
      <c r="EJ392" s="574"/>
      <c r="EK392" s="574"/>
      <c r="EL392" s="574"/>
      <c r="EM392" s="574"/>
      <c r="EN392" s="574"/>
      <c r="EO392" s="574"/>
      <c r="EP392" s="574"/>
      <c r="EQ392" s="574"/>
      <c r="ER392" s="574"/>
      <c r="ES392" s="574"/>
      <c r="ET392" s="574"/>
      <c r="EU392" s="574"/>
    </row>
    <row r="393">
      <c r="A393" s="12"/>
      <c r="B393" s="55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/>
      <c r="BA393" s="12"/>
      <c r="BB393" s="12"/>
      <c r="BC393" s="12"/>
      <c r="BD393" s="12"/>
      <c r="BE393" s="12"/>
      <c r="BF393" s="12"/>
      <c r="BG393" s="12"/>
      <c r="BH393" s="12"/>
      <c r="BI393" s="12"/>
      <c r="BJ393" s="12"/>
      <c r="BK393" s="12"/>
      <c r="BL393" s="12"/>
      <c r="BM393" s="12"/>
      <c r="BN393" s="12"/>
      <c r="BO393" s="12"/>
      <c r="BP393" s="12"/>
      <c r="BQ393" s="12"/>
      <c r="BR393" s="12"/>
      <c r="BS393" s="12"/>
      <c r="BT393" s="12"/>
      <c r="BU393" s="12"/>
      <c r="BV393" s="12"/>
      <c r="BW393" s="12"/>
      <c r="BX393" s="12"/>
      <c r="BY393" s="12"/>
      <c r="BZ393" s="12"/>
      <c r="CA393" s="12"/>
      <c r="CB393" s="12"/>
      <c r="CC393" s="12"/>
      <c r="CD393" s="12"/>
      <c r="CE393" s="12"/>
      <c r="CF393" s="12"/>
      <c r="CG393" s="12"/>
      <c r="CH393" s="12"/>
      <c r="CI393" s="12"/>
      <c r="CJ393" s="12"/>
      <c r="CK393" s="12"/>
      <c r="CL393" s="12"/>
      <c r="CM393" s="12"/>
      <c r="CN393" s="12"/>
      <c r="CO393" s="12"/>
      <c r="CP393" s="12"/>
      <c r="CQ393" s="12"/>
      <c r="CR393" s="12"/>
      <c r="CS393" s="12"/>
      <c r="CT393" s="12"/>
      <c r="CU393" s="12"/>
      <c r="CV393" s="12"/>
      <c r="CW393" s="12"/>
      <c r="CX393" s="12"/>
      <c r="CY393" s="12"/>
      <c r="CZ393" s="12"/>
      <c r="DA393" s="12"/>
      <c r="DB393" s="12"/>
      <c r="DC393" s="12"/>
      <c r="DD393" s="12"/>
      <c r="DE393" s="12"/>
      <c r="DF393" s="12"/>
      <c r="DG393" s="12"/>
      <c r="DH393" s="12"/>
      <c r="DI393" s="12"/>
      <c r="DJ393" s="12"/>
      <c r="DK393" s="12"/>
      <c r="DL393" s="12"/>
      <c r="DM393" s="12"/>
      <c r="DN393" s="12"/>
      <c r="DO393" s="12"/>
      <c r="DP393" s="12"/>
      <c r="DQ393" s="12"/>
      <c r="DR393" s="12"/>
      <c r="DS393" s="12"/>
      <c r="DT393" s="12"/>
      <c r="DU393" s="12"/>
      <c r="DV393" s="12"/>
      <c r="DW393" s="12"/>
      <c r="DX393" s="12"/>
      <c r="DY393" s="12"/>
      <c r="DZ393" s="12"/>
      <c r="EA393" s="12"/>
      <c r="EB393" s="12"/>
      <c r="EC393" s="12"/>
      <c r="ED393" s="12"/>
      <c r="EE393" s="12"/>
      <c r="EF393" s="12"/>
      <c r="EG393" s="12"/>
      <c r="EH393" s="12"/>
      <c r="EI393" s="12"/>
      <c r="EJ393" s="574"/>
      <c r="EK393" s="574"/>
      <c r="EL393" s="574"/>
      <c r="EM393" s="574"/>
      <c r="EN393" s="574"/>
      <c r="EO393" s="574"/>
      <c r="EP393" s="574"/>
      <c r="EQ393" s="574"/>
      <c r="ER393" s="574"/>
      <c r="ES393" s="574"/>
      <c r="ET393" s="574"/>
      <c r="EU393" s="574"/>
    </row>
    <row r="394">
      <c r="A394" s="12"/>
      <c r="B394" s="55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  <c r="BA394" s="12"/>
      <c r="BB394" s="12"/>
      <c r="BC394" s="12"/>
      <c r="BD394" s="12"/>
      <c r="BE394" s="12"/>
      <c r="BF394" s="12"/>
      <c r="BG394" s="12"/>
      <c r="BH394" s="12"/>
      <c r="BI394" s="12"/>
      <c r="BJ394" s="12"/>
      <c r="BK394" s="12"/>
      <c r="BL394" s="12"/>
      <c r="BM394" s="12"/>
      <c r="BN394" s="12"/>
      <c r="BO394" s="12"/>
      <c r="BP394" s="12"/>
      <c r="BQ394" s="12"/>
      <c r="BR394" s="12"/>
      <c r="BS394" s="12"/>
      <c r="BT394" s="12"/>
      <c r="BU394" s="12"/>
      <c r="BV394" s="12"/>
      <c r="BW394" s="12"/>
      <c r="BX394" s="12"/>
      <c r="BY394" s="12"/>
      <c r="BZ394" s="12"/>
      <c r="CA394" s="12"/>
      <c r="CB394" s="12"/>
      <c r="CC394" s="12"/>
      <c r="CD394" s="12"/>
      <c r="CE394" s="12"/>
      <c r="CF394" s="12"/>
      <c r="CG394" s="12"/>
      <c r="CH394" s="12"/>
      <c r="CI394" s="12"/>
      <c r="CJ394" s="12"/>
      <c r="CK394" s="12"/>
      <c r="CL394" s="12"/>
      <c r="CM394" s="12"/>
      <c r="CN394" s="12"/>
      <c r="CO394" s="12"/>
      <c r="CP394" s="12"/>
      <c r="CQ394" s="12"/>
      <c r="CR394" s="12"/>
      <c r="CS394" s="12"/>
      <c r="CT394" s="12"/>
      <c r="CU394" s="12"/>
      <c r="CV394" s="12"/>
      <c r="CW394" s="12"/>
      <c r="CX394" s="12"/>
      <c r="CY394" s="12"/>
      <c r="CZ394" s="12"/>
      <c r="DA394" s="12"/>
      <c r="DB394" s="12"/>
      <c r="DC394" s="12"/>
      <c r="DD394" s="12"/>
      <c r="DE394" s="12"/>
      <c r="DF394" s="12"/>
      <c r="DG394" s="12"/>
      <c r="DH394" s="12"/>
      <c r="DI394" s="12"/>
      <c r="DJ394" s="12"/>
      <c r="DK394" s="12"/>
      <c r="DL394" s="12"/>
      <c r="DM394" s="12"/>
      <c r="DN394" s="12"/>
      <c r="DO394" s="12"/>
      <c r="DP394" s="12"/>
      <c r="DQ394" s="12"/>
      <c r="DR394" s="12"/>
      <c r="DS394" s="12"/>
      <c r="DT394" s="12"/>
      <c r="DU394" s="12"/>
      <c r="DV394" s="12"/>
      <c r="DW394" s="12"/>
      <c r="DX394" s="12"/>
      <c r="DY394" s="12"/>
      <c r="DZ394" s="12"/>
      <c r="EA394" s="12"/>
      <c r="EB394" s="12"/>
      <c r="EC394" s="12"/>
      <c r="ED394" s="12"/>
      <c r="EE394" s="12"/>
      <c r="EF394" s="12"/>
      <c r="EG394" s="12"/>
      <c r="EH394" s="12"/>
      <c r="EI394" s="12"/>
      <c r="EJ394" s="574"/>
      <c r="EK394" s="574"/>
      <c r="EL394" s="574"/>
      <c r="EM394" s="574"/>
      <c r="EN394" s="574"/>
      <c r="EO394" s="574"/>
      <c r="EP394" s="574"/>
      <c r="EQ394" s="574"/>
      <c r="ER394" s="574"/>
      <c r="ES394" s="574"/>
      <c r="ET394" s="574"/>
      <c r="EU394" s="574"/>
    </row>
    <row r="395">
      <c r="A395" s="12"/>
      <c r="B395" s="55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/>
      <c r="BA395" s="12"/>
      <c r="BB395" s="12"/>
      <c r="BC395" s="12"/>
      <c r="BD395" s="12"/>
      <c r="BE395" s="12"/>
      <c r="BF395" s="12"/>
      <c r="BG395" s="12"/>
      <c r="BH395" s="12"/>
      <c r="BI395" s="12"/>
      <c r="BJ395" s="12"/>
      <c r="BK395" s="12"/>
      <c r="BL395" s="12"/>
      <c r="BM395" s="12"/>
      <c r="BN395" s="12"/>
      <c r="BO395" s="12"/>
      <c r="BP395" s="12"/>
      <c r="BQ395" s="12"/>
      <c r="BR395" s="12"/>
      <c r="BS395" s="12"/>
      <c r="BT395" s="12"/>
      <c r="BU395" s="12"/>
      <c r="BV395" s="12"/>
      <c r="BW395" s="12"/>
      <c r="BX395" s="12"/>
      <c r="BY395" s="12"/>
      <c r="BZ395" s="12"/>
      <c r="CA395" s="12"/>
      <c r="CB395" s="12"/>
      <c r="CC395" s="12"/>
      <c r="CD395" s="12"/>
      <c r="CE395" s="12"/>
      <c r="CF395" s="12"/>
      <c r="CG395" s="12"/>
      <c r="CH395" s="12"/>
      <c r="CI395" s="12"/>
      <c r="CJ395" s="12"/>
      <c r="CK395" s="12"/>
      <c r="CL395" s="12"/>
      <c r="CM395" s="12"/>
      <c r="CN395" s="12"/>
      <c r="CO395" s="12"/>
      <c r="CP395" s="12"/>
      <c r="CQ395" s="12"/>
      <c r="CR395" s="12"/>
      <c r="CS395" s="12"/>
      <c r="CT395" s="12"/>
      <c r="CU395" s="12"/>
      <c r="CV395" s="12"/>
      <c r="CW395" s="12"/>
      <c r="CX395" s="12"/>
      <c r="CY395" s="12"/>
      <c r="CZ395" s="12"/>
      <c r="DA395" s="12"/>
      <c r="DB395" s="12"/>
      <c r="DC395" s="12"/>
      <c r="DD395" s="12"/>
      <c r="DE395" s="12"/>
      <c r="DF395" s="12"/>
      <c r="DG395" s="12"/>
      <c r="DH395" s="12"/>
      <c r="DI395" s="12"/>
      <c r="DJ395" s="12"/>
      <c r="DK395" s="12"/>
      <c r="DL395" s="12"/>
      <c r="DM395" s="12"/>
      <c r="DN395" s="12"/>
      <c r="DO395" s="12"/>
      <c r="DP395" s="12"/>
      <c r="DQ395" s="12"/>
      <c r="DR395" s="12"/>
      <c r="DS395" s="12"/>
      <c r="DT395" s="12"/>
      <c r="DU395" s="12"/>
      <c r="DV395" s="12"/>
      <c r="DW395" s="12"/>
      <c r="DX395" s="12"/>
      <c r="DY395" s="12"/>
      <c r="DZ395" s="12"/>
      <c r="EA395" s="12"/>
      <c r="EB395" s="12"/>
      <c r="EC395" s="12"/>
      <c r="ED395" s="12"/>
      <c r="EE395" s="12"/>
      <c r="EF395" s="12"/>
      <c r="EG395" s="12"/>
      <c r="EH395" s="12"/>
      <c r="EI395" s="12"/>
      <c r="EJ395" s="574"/>
      <c r="EK395" s="574"/>
      <c r="EL395" s="574"/>
      <c r="EM395" s="574"/>
      <c r="EN395" s="574"/>
      <c r="EO395" s="574"/>
      <c r="EP395" s="574"/>
      <c r="EQ395" s="574"/>
      <c r="ER395" s="574"/>
      <c r="ES395" s="574"/>
      <c r="ET395" s="574"/>
      <c r="EU395" s="574"/>
    </row>
    <row r="396">
      <c r="A396" s="12"/>
      <c r="B396" s="55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  <c r="AZ396" s="12"/>
      <c r="BA396" s="12"/>
      <c r="BB396" s="12"/>
      <c r="BC396" s="12"/>
      <c r="BD396" s="12"/>
      <c r="BE396" s="12"/>
      <c r="BF396" s="12"/>
      <c r="BG396" s="12"/>
      <c r="BH396" s="12"/>
      <c r="BI396" s="12"/>
      <c r="BJ396" s="12"/>
      <c r="BK396" s="12"/>
      <c r="BL396" s="12"/>
      <c r="BM396" s="12"/>
      <c r="BN396" s="12"/>
      <c r="BO396" s="12"/>
      <c r="BP396" s="12"/>
      <c r="BQ396" s="12"/>
      <c r="BR396" s="12"/>
      <c r="BS396" s="12"/>
      <c r="BT396" s="12"/>
      <c r="BU396" s="12"/>
      <c r="BV396" s="12"/>
      <c r="BW396" s="12"/>
      <c r="BX396" s="12"/>
      <c r="BY396" s="12"/>
      <c r="BZ396" s="12"/>
      <c r="CA396" s="12"/>
      <c r="CB396" s="12"/>
      <c r="CC396" s="12"/>
      <c r="CD396" s="12"/>
      <c r="CE396" s="12"/>
      <c r="CF396" s="12"/>
      <c r="CG396" s="12"/>
      <c r="CH396" s="12"/>
      <c r="CI396" s="12"/>
      <c r="CJ396" s="12"/>
      <c r="CK396" s="12"/>
      <c r="CL396" s="12"/>
      <c r="CM396" s="12"/>
      <c r="CN396" s="12"/>
      <c r="CO396" s="12"/>
      <c r="CP396" s="12"/>
      <c r="CQ396" s="12"/>
      <c r="CR396" s="12"/>
      <c r="CS396" s="12"/>
      <c r="CT396" s="12"/>
      <c r="CU396" s="12"/>
      <c r="CV396" s="12"/>
      <c r="CW396" s="12"/>
      <c r="CX396" s="12"/>
      <c r="CY396" s="12"/>
      <c r="CZ396" s="12"/>
      <c r="DA396" s="12"/>
      <c r="DB396" s="12"/>
      <c r="DC396" s="12"/>
      <c r="DD396" s="12"/>
      <c r="DE396" s="12"/>
      <c r="DF396" s="12"/>
      <c r="DG396" s="12"/>
      <c r="DH396" s="12"/>
      <c r="DI396" s="12"/>
      <c r="DJ396" s="12"/>
      <c r="DK396" s="12"/>
      <c r="DL396" s="12"/>
      <c r="DM396" s="12"/>
      <c r="DN396" s="12"/>
      <c r="DO396" s="12"/>
      <c r="DP396" s="12"/>
      <c r="DQ396" s="12"/>
      <c r="DR396" s="12"/>
      <c r="DS396" s="12"/>
      <c r="DT396" s="12"/>
      <c r="DU396" s="12"/>
      <c r="DV396" s="12"/>
      <c r="DW396" s="12"/>
      <c r="DX396" s="12"/>
      <c r="DY396" s="12"/>
      <c r="DZ396" s="12"/>
      <c r="EA396" s="12"/>
      <c r="EB396" s="12"/>
      <c r="EC396" s="12"/>
      <c r="ED396" s="12"/>
      <c r="EE396" s="12"/>
      <c r="EF396" s="12"/>
      <c r="EG396" s="12"/>
      <c r="EH396" s="12"/>
      <c r="EI396" s="12"/>
      <c r="EJ396" s="574"/>
      <c r="EK396" s="574"/>
      <c r="EL396" s="574"/>
      <c r="EM396" s="574"/>
      <c r="EN396" s="574"/>
      <c r="EO396" s="574"/>
      <c r="EP396" s="574"/>
      <c r="EQ396" s="574"/>
      <c r="ER396" s="574"/>
      <c r="ES396" s="574"/>
      <c r="ET396" s="574"/>
      <c r="EU396" s="574"/>
    </row>
    <row r="397">
      <c r="A397" s="12"/>
      <c r="B397" s="55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12"/>
      <c r="BA397" s="12"/>
      <c r="BB397" s="12"/>
      <c r="BC397" s="12"/>
      <c r="BD397" s="12"/>
      <c r="BE397" s="12"/>
      <c r="BF397" s="12"/>
      <c r="BG397" s="12"/>
      <c r="BH397" s="12"/>
      <c r="BI397" s="12"/>
      <c r="BJ397" s="12"/>
      <c r="BK397" s="12"/>
      <c r="BL397" s="12"/>
      <c r="BM397" s="12"/>
      <c r="BN397" s="12"/>
      <c r="BO397" s="12"/>
      <c r="BP397" s="12"/>
      <c r="BQ397" s="12"/>
      <c r="BR397" s="12"/>
      <c r="BS397" s="12"/>
      <c r="BT397" s="12"/>
      <c r="BU397" s="12"/>
      <c r="BV397" s="12"/>
      <c r="BW397" s="12"/>
      <c r="BX397" s="12"/>
      <c r="BY397" s="12"/>
      <c r="BZ397" s="12"/>
      <c r="CA397" s="12"/>
      <c r="CB397" s="12"/>
      <c r="CC397" s="12"/>
      <c r="CD397" s="12"/>
      <c r="CE397" s="12"/>
      <c r="CF397" s="12"/>
      <c r="CG397" s="12"/>
      <c r="CH397" s="12"/>
      <c r="CI397" s="12"/>
      <c r="CJ397" s="12"/>
      <c r="CK397" s="12"/>
      <c r="CL397" s="12"/>
      <c r="CM397" s="12"/>
      <c r="CN397" s="12"/>
      <c r="CO397" s="12"/>
      <c r="CP397" s="12"/>
      <c r="CQ397" s="12"/>
      <c r="CR397" s="12"/>
      <c r="CS397" s="12"/>
      <c r="CT397" s="12"/>
      <c r="CU397" s="12"/>
      <c r="CV397" s="12"/>
      <c r="CW397" s="12"/>
      <c r="CX397" s="12"/>
      <c r="CY397" s="12"/>
      <c r="CZ397" s="12"/>
      <c r="DA397" s="12"/>
      <c r="DB397" s="12"/>
      <c r="DC397" s="12"/>
      <c r="DD397" s="12"/>
      <c r="DE397" s="12"/>
      <c r="DF397" s="12"/>
      <c r="DG397" s="12"/>
      <c r="DH397" s="12"/>
      <c r="DI397" s="12"/>
      <c r="DJ397" s="12"/>
      <c r="DK397" s="12"/>
      <c r="DL397" s="12"/>
      <c r="DM397" s="12"/>
      <c r="DN397" s="12"/>
      <c r="DO397" s="12"/>
      <c r="DP397" s="12"/>
      <c r="DQ397" s="12"/>
      <c r="DR397" s="12"/>
      <c r="DS397" s="12"/>
      <c r="DT397" s="12"/>
      <c r="DU397" s="12"/>
      <c r="DV397" s="12"/>
      <c r="DW397" s="12"/>
      <c r="DX397" s="12"/>
      <c r="DY397" s="12"/>
      <c r="DZ397" s="12"/>
      <c r="EA397" s="12"/>
      <c r="EB397" s="12"/>
      <c r="EC397" s="12"/>
      <c r="ED397" s="12"/>
      <c r="EE397" s="12"/>
      <c r="EF397" s="12"/>
      <c r="EG397" s="12"/>
      <c r="EH397" s="12"/>
      <c r="EI397" s="12"/>
      <c r="EJ397" s="574"/>
      <c r="EK397" s="574"/>
      <c r="EL397" s="574"/>
      <c r="EM397" s="574"/>
      <c r="EN397" s="574"/>
      <c r="EO397" s="574"/>
      <c r="EP397" s="574"/>
      <c r="EQ397" s="574"/>
      <c r="ER397" s="574"/>
      <c r="ES397" s="574"/>
      <c r="ET397" s="574"/>
      <c r="EU397" s="574"/>
    </row>
    <row r="398">
      <c r="A398" s="12"/>
      <c r="B398" s="55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  <c r="BA398" s="12"/>
      <c r="BB398" s="12"/>
      <c r="BC398" s="12"/>
      <c r="BD398" s="12"/>
      <c r="BE398" s="12"/>
      <c r="BF398" s="12"/>
      <c r="BG398" s="12"/>
      <c r="BH398" s="12"/>
      <c r="BI398" s="12"/>
      <c r="BJ398" s="12"/>
      <c r="BK398" s="12"/>
      <c r="BL398" s="12"/>
      <c r="BM398" s="12"/>
      <c r="BN398" s="12"/>
      <c r="BO398" s="12"/>
      <c r="BP398" s="12"/>
      <c r="BQ398" s="12"/>
      <c r="BR398" s="12"/>
      <c r="BS398" s="12"/>
      <c r="BT398" s="12"/>
      <c r="BU398" s="12"/>
      <c r="BV398" s="12"/>
      <c r="BW398" s="12"/>
      <c r="BX398" s="12"/>
      <c r="BY398" s="12"/>
      <c r="BZ398" s="12"/>
      <c r="CA398" s="12"/>
      <c r="CB398" s="12"/>
      <c r="CC398" s="12"/>
      <c r="CD398" s="12"/>
      <c r="CE398" s="12"/>
      <c r="CF398" s="12"/>
      <c r="CG398" s="12"/>
      <c r="CH398" s="12"/>
      <c r="CI398" s="12"/>
      <c r="CJ398" s="12"/>
      <c r="CK398" s="12"/>
      <c r="CL398" s="12"/>
      <c r="CM398" s="12"/>
      <c r="CN398" s="12"/>
      <c r="CO398" s="12"/>
      <c r="CP398" s="12"/>
      <c r="CQ398" s="12"/>
      <c r="CR398" s="12"/>
      <c r="CS398" s="12"/>
      <c r="CT398" s="12"/>
      <c r="CU398" s="12"/>
      <c r="CV398" s="12"/>
      <c r="CW398" s="12"/>
      <c r="CX398" s="12"/>
      <c r="CY398" s="12"/>
      <c r="CZ398" s="12"/>
      <c r="DA398" s="12"/>
      <c r="DB398" s="12"/>
      <c r="DC398" s="12"/>
      <c r="DD398" s="12"/>
      <c r="DE398" s="12"/>
      <c r="DF398" s="12"/>
      <c r="DG398" s="12"/>
      <c r="DH398" s="12"/>
      <c r="DI398" s="12"/>
      <c r="DJ398" s="12"/>
      <c r="DK398" s="12"/>
      <c r="DL398" s="12"/>
      <c r="DM398" s="12"/>
      <c r="DN398" s="12"/>
      <c r="DO398" s="12"/>
      <c r="DP398" s="12"/>
      <c r="DQ398" s="12"/>
      <c r="DR398" s="12"/>
      <c r="DS398" s="12"/>
      <c r="DT398" s="12"/>
      <c r="DU398" s="12"/>
      <c r="DV398" s="12"/>
      <c r="DW398" s="12"/>
      <c r="DX398" s="12"/>
      <c r="DY398" s="12"/>
      <c r="DZ398" s="12"/>
      <c r="EA398" s="12"/>
      <c r="EB398" s="12"/>
      <c r="EC398" s="12"/>
      <c r="ED398" s="12"/>
      <c r="EE398" s="12"/>
      <c r="EF398" s="12"/>
      <c r="EG398" s="12"/>
      <c r="EH398" s="12"/>
      <c r="EI398" s="12"/>
      <c r="EJ398" s="574"/>
      <c r="EK398" s="574"/>
      <c r="EL398" s="574"/>
      <c r="EM398" s="574"/>
      <c r="EN398" s="574"/>
      <c r="EO398" s="574"/>
      <c r="EP398" s="574"/>
      <c r="EQ398" s="574"/>
      <c r="ER398" s="574"/>
      <c r="ES398" s="574"/>
      <c r="ET398" s="574"/>
      <c r="EU398" s="574"/>
    </row>
    <row r="399">
      <c r="A399" s="12"/>
      <c r="B399" s="55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  <c r="BA399" s="12"/>
      <c r="BB399" s="12"/>
      <c r="BC399" s="12"/>
      <c r="BD399" s="12"/>
      <c r="BE399" s="12"/>
      <c r="BF399" s="12"/>
      <c r="BG399" s="12"/>
      <c r="BH399" s="12"/>
      <c r="BI399" s="12"/>
      <c r="BJ399" s="12"/>
      <c r="BK399" s="12"/>
      <c r="BL399" s="12"/>
      <c r="BM399" s="12"/>
      <c r="BN399" s="12"/>
      <c r="BO399" s="12"/>
      <c r="BP399" s="12"/>
      <c r="BQ399" s="12"/>
      <c r="BR399" s="12"/>
      <c r="BS399" s="12"/>
      <c r="BT399" s="12"/>
      <c r="BU399" s="12"/>
      <c r="BV399" s="12"/>
      <c r="BW399" s="12"/>
      <c r="BX399" s="12"/>
      <c r="BY399" s="12"/>
      <c r="BZ399" s="12"/>
      <c r="CA399" s="12"/>
      <c r="CB399" s="12"/>
      <c r="CC399" s="12"/>
      <c r="CD399" s="12"/>
      <c r="CE399" s="12"/>
      <c r="CF399" s="12"/>
      <c r="CG399" s="12"/>
      <c r="CH399" s="12"/>
      <c r="CI399" s="12"/>
      <c r="CJ399" s="12"/>
      <c r="CK399" s="12"/>
      <c r="CL399" s="12"/>
      <c r="CM399" s="12"/>
      <c r="CN399" s="12"/>
      <c r="CO399" s="12"/>
      <c r="CP399" s="12"/>
      <c r="CQ399" s="12"/>
      <c r="CR399" s="12"/>
      <c r="CS399" s="12"/>
      <c r="CT399" s="12"/>
      <c r="CU399" s="12"/>
      <c r="CV399" s="12"/>
      <c r="CW399" s="12"/>
      <c r="CX399" s="12"/>
      <c r="CY399" s="12"/>
      <c r="CZ399" s="12"/>
      <c r="DA399" s="12"/>
      <c r="DB399" s="12"/>
      <c r="DC399" s="12"/>
      <c r="DD399" s="12"/>
      <c r="DE399" s="12"/>
      <c r="DF399" s="12"/>
      <c r="DG399" s="12"/>
      <c r="DH399" s="12"/>
      <c r="DI399" s="12"/>
      <c r="DJ399" s="12"/>
      <c r="DK399" s="12"/>
      <c r="DL399" s="12"/>
      <c r="DM399" s="12"/>
      <c r="DN399" s="12"/>
      <c r="DO399" s="12"/>
      <c r="DP399" s="12"/>
      <c r="DQ399" s="12"/>
      <c r="DR399" s="12"/>
      <c r="DS399" s="12"/>
      <c r="DT399" s="12"/>
      <c r="DU399" s="12"/>
      <c r="DV399" s="12"/>
      <c r="DW399" s="12"/>
      <c r="DX399" s="12"/>
      <c r="DY399" s="12"/>
      <c r="DZ399" s="12"/>
      <c r="EA399" s="12"/>
      <c r="EB399" s="12"/>
      <c r="EC399" s="12"/>
      <c r="ED399" s="12"/>
      <c r="EE399" s="12"/>
      <c r="EF399" s="12"/>
      <c r="EG399" s="12"/>
      <c r="EH399" s="12"/>
      <c r="EI399" s="12"/>
      <c r="EJ399" s="574"/>
      <c r="EK399" s="574"/>
      <c r="EL399" s="574"/>
      <c r="EM399" s="574"/>
      <c r="EN399" s="574"/>
      <c r="EO399" s="574"/>
      <c r="EP399" s="574"/>
      <c r="EQ399" s="574"/>
      <c r="ER399" s="574"/>
      <c r="ES399" s="574"/>
      <c r="ET399" s="574"/>
      <c r="EU399" s="574"/>
    </row>
    <row r="400">
      <c r="A400" s="12"/>
      <c r="B400" s="55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  <c r="BA400" s="12"/>
      <c r="BB400" s="12"/>
      <c r="BC400" s="12"/>
      <c r="BD400" s="12"/>
      <c r="BE400" s="12"/>
      <c r="BF400" s="12"/>
      <c r="BG400" s="12"/>
      <c r="BH400" s="12"/>
      <c r="BI400" s="12"/>
      <c r="BJ400" s="12"/>
      <c r="BK400" s="12"/>
      <c r="BL400" s="12"/>
      <c r="BM400" s="12"/>
      <c r="BN400" s="12"/>
      <c r="BO400" s="12"/>
      <c r="BP400" s="12"/>
      <c r="BQ400" s="12"/>
      <c r="BR400" s="12"/>
      <c r="BS400" s="12"/>
      <c r="BT400" s="12"/>
      <c r="BU400" s="12"/>
      <c r="BV400" s="12"/>
      <c r="BW400" s="12"/>
      <c r="BX400" s="12"/>
      <c r="BY400" s="12"/>
      <c r="BZ400" s="12"/>
      <c r="CA400" s="12"/>
      <c r="CB400" s="12"/>
      <c r="CC400" s="12"/>
      <c r="CD400" s="12"/>
      <c r="CE400" s="12"/>
      <c r="CF400" s="12"/>
      <c r="CG400" s="12"/>
      <c r="CH400" s="12"/>
      <c r="CI400" s="12"/>
      <c r="CJ400" s="12"/>
      <c r="CK400" s="12"/>
      <c r="CL400" s="12"/>
      <c r="CM400" s="12"/>
      <c r="CN400" s="12"/>
      <c r="CO400" s="12"/>
      <c r="CP400" s="12"/>
      <c r="CQ400" s="12"/>
      <c r="CR400" s="12"/>
      <c r="CS400" s="12"/>
      <c r="CT400" s="12"/>
      <c r="CU400" s="12"/>
      <c r="CV400" s="12"/>
      <c r="CW400" s="12"/>
      <c r="CX400" s="12"/>
      <c r="CY400" s="12"/>
      <c r="CZ400" s="12"/>
      <c r="DA400" s="12"/>
      <c r="DB400" s="12"/>
      <c r="DC400" s="12"/>
      <c r="DD400" s="12"/>
      <c r="DE400" s="12"/>
      <c r="DF400" s="12"/>
      <c r="DG400" s="12"/>
      <c r="DH400" s="12"/>
      <c r="DI400" s="12"/>
      <c r="DJ400" s="12"/>
      <c r="DK400" s="12"/>
      <c r="DL400" s="12"/>
      <c r="DM400" s="12"/>
      <c r="DN400" s="12"/>
      <c r="DO400" s="12"/>
      <c r="DP400" s="12"/>
      <c r="DQ400" s="12"/>
      <c r="DR400" s="12"/>
      <c r="DS400" s="12"/>
      <c r="DT400" s="12"/>
      <c r="DU400" s="12"/>
      <c r="DV400" s="12"/>
      <c r="DW400" s="12"/>
      <c r="DX400" s="12"/>
      <c r="DY400" s="12"/>
      <c r="DZ400" s="12"/>
      <c r="EA400" s="12"/>
      <c r="EB400" s="12"/>
      <c r="EC400" s="12"/>
      <c r="ED400" s="12"/>
      <c r="EE400" s="12"/>
      <c r="EF400" s="12"/>
      <c r="EG400" s="12"/>
      <c r="EH400" s="12"/>
      <c r="EI400" s="12"/>
      <c r="EJ400" s="574"/>
      <c r="EK400" s="574"/>
      <c r="EL400" s="574"/>
      <c r="EM400" s="574"/>
      <c r="EN400" s="574"/>
      <c r="EO400" s="574"/>
      <c r="EP400" s="574"/>
      <c r="EQ400" s="574"/>
      <c r="ER400" s="574"/>
      <c r="ES400" s="574"/>
      <c r="ET400" s="574"/>
      <c r="EU400" s="574"/>
    </row>
    <row r="401">
      <c r="A401" s="12"/>
      <c r="B401" s="55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/>
      <c r="BA401" s="12"/>
      <c r="BB401" s="12"/>
      <c r="BC401" s="12"/>
      <c r="BD401" s="12"/>
      <c r="BE401" s="12"/>
      <c r="BF401" s="12"/>
      <c r="BG401" s="12"/>
      <c r="BH401" s="12"/>
      <c r="BI401" s="12"/>
      <c r="BJ401" s="12"/>
      <c r="BK401" s="12"/>
      <c r="BL401" s="12"/>
      <c r="BM401" s="12"/>
      <c r="BN401" s="12"/>
      <c r="BO401" s="12"/>
      <c r="BP401" s="12"/>
      <c r="BQ401" s="12"/>
      <c r="BR401" s="12"/>
      <c r="BS401" s="12"/>
      <c r="BT401" s="12"/>
      <c r="BU401" s="12"/>
      <c r="BV401" s="12"/>
      <c r="BW401" s="12"/>
      <c r="BX401" s="12"/>
      <c r="BY401" s="12"/>
      <c r="BZ401" s="12"/>
      <c r="CA401" s="12"/>
      <c r="CB401" s="12"/>
      <c r="CC401" s="12"/>
      <c r="CD401" s="12"/>
      <c r="CE401" s="12"/>
      <c r="CF401" s="12"/>
      <c r="CG401" s="12"/>
      <c r="CH401" s="12"/>
      <c r="CI401" s="12"/>
      <c r="CJ401" s="12"/>
      <c r="CK401" s="12"/>
      <c r="CL401" s="12"/>
      <c r="CM401" s="12"/>
      <c r="CN401" s="12"/>
      <c r="CO401" s="12"/>
      <c r="CP401" s="12"/>
      <c r="CQ401" s="12"/>
      <c r="CR401" s="12"/>
      <c r="CS401" s="12"/>
      <c r="CT401" s="12"/>
      <c r="CU401" s="12"/>
      <c r="CV401" s="12"/>
      <c r="CW401" s="12"/>
      <c r="CX401" s="12"/>
      <c r="CY401" s="12"/>
      <c r="CZ401" s="12"/>
      <c r="DA401" s="12"/>
      <c r="DB401" s="12"/>
      <c r="DC401" s="12"/>
      <c r="DD401" s="12"/>
      <c r="DE401" s="12"/>
      <c r="DF401" s="12"/>
      <c r="DG401" s="12"/>
      <c r="DH401" s="12"/>
      <c r="DI401" s="12"/>
      <c r="DJ401" s="12"/>
      <c r="DK401" s="12"/>
      <c r="DL401" s="12"/>
      <c r="DM401" s="12"/>
      <c r="DN401" s="12"/>
      <c r="DO401" s="12"/>
      <c r="DP401" s="12"/>
      <c r="DQ401" s="12"/>
      <c r="DR401" s="12"/>
      <c r="DS401" s="12"/>
      <c r="DT401" s="12"/>
      <c r="DU401" s="12"/>
      <c r="DV401" s="12"/>
      <c r="DW401" s="12"/>
      <c r="DX401" s="12"/>
      <c r="DY401" s="12"/>
      <c r="DZ401" s="12"/>
      <c r="EA401" s="12"/>
      <c r="EB401" s="12"/>
      <c r="EC401" s="12"/>
      <c r="ED401" s="12"/>
      <c r="EE401" s="12"/>
      <c r="EF401" s="12"/>
      <c r="EG401" s="12"/>
      <c r="EH401" s="12"/>
      <c r="EI401" s="12"/>
      <c r="EJ401" s="574"/>
      <c r="EK401" s="574"/>
      <c r="EL401" s="574"/>
      <c r="EM401" s="574"/>
      <c r="EN401" s="574"/>
      <c r="EO401" s="574"/>
      <c r="EP401" s="574"/>
      <c r="EQ401" s="574"/>
      <c r="ER401" s="574"/>
      <c r="ES401" s="574"/>
      <c r="ET401" s="574"/>
      <c r="EU401" s="574"/>
    </row>
    <row r="402">
      <c r="A402" s="12"/>
      <c r="B402" s="55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  <c r="BA402" s="12"/>
      <c r="BB402" s="12"/>
      <c r="BC402" s="12"/>
      <c r="BD402" s="12"/>
      <c r="BE402" s="12"/>
      <c r="BF402" s="12"/>
      <c r="BG402" s="12"/>
      <c r="BH402" s="12"/>
      <c r="BI402" s="12"/>
      <c r="BJ402" s="12"/>
      <c r="BK402" s="12"/>
      <c r="BL402" s="12"/>
      <c r="BM402" s="12"/>
      <c r="BN402" s="12"/>
      <c r="BO402" s="12"/>
      <c r="BP402" s="12"/>
      <c r="BQ402" s="12"/>
      <c r="BR402" s="12"/>
      <c r="BS402" s="12"/>
      <c r="BT402" s="12"/>
      <c r="BU402" s="12"/>
      <c r="BV402" s="12"/>
      <c r="BW402" s="12"/>
      <c r="BX402" s="12"/>
      <c r="BY402" s="12"/>
      <c r="BZ402" s="12"/>
      <c r="CA402" s="12"/>
      <c r="CB402" s="12"/>
      <c r="CC402" s="12"/>
      <c r="CD402" s="12"/>
      <c r="CE402" s="12"/>
      <c r="CF402" s="12"/>
      <c r="CG402" s="12"/>
      <c r="CH402" s="12"/>
      <c r="CI402" s="12"/>
      <c r="CJ402" s="12"/>
      <c r="CK402" s="12"/>
      <c r="CL402" s="12"/>
      <c r="CM402" s="12"/>
      <c r="CN402" s="12"/>
      <c r="CO402" s="12"/>
      <c r="CP402" s="12"/>
      <c r="CQ402" s="12"/>
      <c r="CR402" s="12"/>
      <c r="CS402" s="12"/>
      <c r="CT402" s="12"/>
      <c r="CU402" s="12"/>
      <c r="CV402" s="12"/>
      <c r="CW402" s="12"/>
      <c r="CX402" s="12"/>
      <c r="CY402" s="12"/>
      <c r="CZ402" s="12"/>
      <c r="DA402" s="12"/>
      <c r="DB402" s="12"/>
      <c r="DC402" s="12"/>
      <c r="DD402" s="12"/>
      <c r="DE402" s="12"/>
      <c r="DF402" s="12"/>
      <c r="DG402" s="12"/>
      <c r="DH402" s="12"/>
      <c r="DI402" s="12"/>
      <c r="DJ402" s="12"/>
      <c r="DK402" s="12"/>
      <c r="DL402" s="12"/>
      <c r="DM402" s="12"/>
      <c r="DN402" s="12"/>
      <c r="DO402" s="12"/>
      <c r="DP402" s="12"/>
      <c r="DQ402" s="12"/>
      <c r="DR402" s="12"/>
      <c r="DS402" s="12"/>
      <c r="DT402" s="12"/>
      <c r="DU402" s="12"/>
      <c r="DV402" s="12"/>
      <c r="DW402" s="12"/>
      <c r="DX402" s="12"/>
      <c r="DY402" s="12"/>
      <c r="DZ402" s="12"/>
      <c r="EA402" s="12"/>
      <c r="EB402" s="12"/>
      <c r="EC402" s="12"/>
      <c r="ED402" s="12"/>
      <c r="EE402" s="12"/>
      <c r="EF402" s="12"/>
      <c r="EG402" s="12"/>
      <c r="EH402" s="12"/>
      <c r="EI402" s="12"/>
      <c r="EJ402" s="574"/>
      <c r="EK402" s="574"/>
      <c r="EL402" s="574"/>
      <c r="EM402" s="574"/>
      <c r="EN402" s="574"/>
      <c r="EO402" s="574"/>
      <c r="EP402" s="574"/>
      <c r="EQ402" s="574"/>
      <c r="ER402" s="574"/>
      <c r="ES402" s="574"/>
      <c r="ET402" s="574"/>
      <c r="EU402" s="574"/>
    </row>
    <row r="403">
      <c r="A403" s="12"/>
      <c r="B403" s="55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  <c r="AZ403" s="12"/>
      <c r="BA403" s="12"/>
      <c r="BB403" s="12"/>
      <c r="BC403" s="12"/>
      <c r="BD403" s="12"/>
      <c r="BE403" s="12"/>
      <c r="BF403" s="12"/>
      <c r="BG403" s="12"/>
      <c r="BH403" s="12"/>
      <c r="BI403" s="12"/>
      <c r="BJ403" s="12"/>
      <c r="BK403" s="12"/>
      <c r="BL403" s="12"/>
      <c r="BM403" s="12"/>
      <c r="BN403" s="12"/>
      <c r="BO403" s="12"/>
      <c r="BP403" s="12"/>
      <c r="BQ403" s="12"/>
      <c r="BR403" s="12"/>
      <c r="BS403" s="12"/>
      <c r="BT403" s="12"/>
      <c r="BU403" s="12"/>
      <c r="BV403" s="12"/>
      <c r="BW403" s="12"/>
      <c r="BX403" s="12"/>
      <c r="BY403" s="12"/>
      <c r="BZ403" s="12"/>
      <c r="CA403" s="12"/>
      <c r="CB403" s="12"/>
      <c r="CC403" s="12"/>
      <c r="CD403" s="12"/>
      <c r="CE403" s="12"/>
      <c r="CF403" s="12"/>
      <c r="CG403" s="12"/>
      <c r="CH403" s="12"/>
      <c r="CI403" s="12"/>
      <c r="CJ403" s="12"/>
      <c r="CK403" s="12"/>
      <c r="CL403" s="12"/>
      <c r="CM403" s="12"/>
      <c r="CN403" s="12"/>
      <c r="CO403" s="12"/>
      <c r="CP403" s="12"/>
      <c r="CQ403" s="12"/>
      <c r="CR403" s="12"/>
      <c r="CS403" s="12"/>
      <c r="CT403" s="12"/>
      <c r="CU403" s="12"/>
      <c r="CV403" s="12"/>
      <c r="CW403" s="12"/>
      <c r="CX403" s="12"/>
      <c r="CY403" s="12"/>
      <c r="CZ403" s="12"/>
      <c r="DA403" s="12"/>
      <c r="DB403" s="12"/>
      <c r="DC403" s="12"/>
      <c r="DD403" s="12"/>
      <c r="DE403" s="12"/>
      <c r="DF403" s="12"/>
      <c r="DG403" s="12"/>
      <c r="DH403" s="12"/>
      <c r="DI403" s="12"/>
      <c r="DJ403" s="12"/>
      <c r="DK403" s="12"/>
      <c r="DL403" s="12"/>
      <c r="DM403" s="12"/>
      <c r="DN403" s="12"/>
      <c r="DO403" s="12"/>
      <c r="DP403" s="12"/>
      <c r="DQ403" s="12"/>
      <c r="DR403" s="12"/>
      <c r="DS403" s="12"/>
      <c r="DT403" s="12"/>
      <c r="DU403" s="12"/>
      <c r="DV403" s="12"/>
      <c r="DW403" s="12"/>
      <c r="DX403" s="12"/>
      <c r="DY403" s="12"/>
      <c r="DZ403" s="12"/>
      <c r="EA403" s="12"/>
      <c r="EB403" s="12"/>
      <c r="EC403" s="12"/>
      <c r="ED403" s="12"/>
      <c r="EE403" s="12"/>
      <c r="EF403" s="12"/>
      <c r="EG403" s="12"/>
      <c r="EH403" s="12"/>
      <c r="EI403" s="12"/>
      <c r="EJ403" s="574"/>
      <c r="EK403" s="574"/>
      <c r="EL403" s="574"/>
      <c r="EM403" s="574"/>
      <c r="EN403" s="574"/>
      <c r="EO403" s="574"/>
      <c r="EP403" s="574"/>
      <c r="EQ403" s="574"/>
      <c r="ER403" s="574"/>
      <c r="ES403" s="574"/>
      <c r="ET403" s="574"/>
      <c r="EU403" s="574"/>
    </row>
    <row r="404">
      <c r="A404" s="12"/>
      <c r="B404" s="55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  <c r="BA404" s="12"/>
      <c r="BB404" s="12"/>
      <c r="BC404" s="12"/>
      <c r="BD404" s="12"/>
      <c r="BE404" s="12"/>
      <c r="BF404" s="12"/>
      <c r="BG404" s="12"/>
      <c r="BH404" s="12"/>
      <c r="BI404" s="12"/>
      <c r="BJ404" s="12"/>
      <c r="BK404" s="12"/>
      <c r="BL404" s="12"/>
      <c r="BM404" s="12"/>
      <c r="BN404" s="12"/>
      <c r="BO404" s="12"/>
      <c r="BP404" s="12"/>
      <c r="BQ404" s="12"/>
      <c r="BR404" s="12"/>
      <c r="BS404" s="12"/>
      <c r="BT404" s="12"/>
      <c r="BU404" s="12"/>
      <c r="BV404" s="12"/>
      <c r="BW404" s="12"/>
      <c r="BX404" s="12"/>
      <c r="BY404" s="12"/>
      <c r="BZ404" s="12"/>
      <c r="CA404" s="12"/>
      <c r="CB404" s="12"/>
      <c r="CC404" s="12"/>
      <c r="CD404" s="12"/>
      <c r="CE404" s="12"/>
      <c r="CF404" s="12"/>
      <c r="CG404" s="12"/>
      <c r="CH404" s="12"/>
      <c r="CI404" s="12"/>
      <c r="CJ404" s="12"/>
      <c r="CK404" s="12"/>
      <c r="CL404" s="12"/>
      <c r="CM404" s="12"/>
      <c r="CN404" s="12"/>
      <c r="CO404" s="12"/>
      <c r="CP404" s="12"/>
      <c r="CQ404" s="12"/>
      <c r="CR404" s="12"/>
      <c r="CS404" s="12"/>
      <c r="CT404" s="12"/>
      <c r="CU404" s="12"/>
      <c r="CV404" s="12"/>
      <c r="CW404" s="12"/>
      <c r="CX404" s="12"/>
      <c r="CY404" s="12"/>
      <c r="CZ404" s="12"/>
      <c r="DA404" s="12"/>
      <c r="DB404" s="12"/>
      <c r="DC404" s="12"/>
      <c r="DD404" s="12"/>
      <c r="DE404" s="12"/>
      <c r="DF404" s="12"/>
      <c r="DG404" s="12"/>
      <c r="DH404" s="12"/>
      <c r="DI404" s="12"/>
      <c r="DJ404" s="12"/>
      <c r="DK404" s="12"/>
      <c r="DL404" s="12"/>
      <c r="DM404" s="12"/>
      <c r="DN404" s="12"/>
      <c r="DO404" s="12"/>
      <c r="DP404" s="12"/>
      <c r="DQ404" s="12"/>
      <c r="DR404" s="12"/>
      <c r="DS404" s="12"/>
      <c r="DT404" s="12"/>
      <c r="DU404" s="12"/>
      <c r="DV404" s="12"/>
      <c r="DW404" s="12"/>
      <c r="DX404" s="12"/>
      <c r="DY404" s="12"/>
      <c r="DZ404" s="12"/>
      <c r="EA404" s="12"/>
      <c r="EB404" s="12"/>
      <c r="EC404" s="12"/>
      <c r="ED404" s="12"/>
      <c r="EE404" s="12"/>
      <c r="EF404" s="12"/>
      <c r="EG404" s="12"/>
      <c r="EH404" s="12"/>
      <c r="EI404" s="12"/>
      <c r="EJ404" s="574"/>
      <c r="EK404" s="574"/>
      <c r="EL404" s="574"/>
      <c r="EM404" s="574"/>
      <c r="EN404" s="574"/>
      <c r="EO404" s="574"/>
      <c r="EP404" s="574"/>
      <c r="EQ404" s="574"/>
      <c r="ER404" s="574"/>
      <c r="ES404" s="574"/>
      <c r="ET404" s="574"/>
      <c r="EU404" s="574"/>
    </row>
    <row r="405">
      <c r="A405" s="12"/>
      <c r="B405" s="55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  <c r="AZ405" s="12"/>
      <c r="BA405" s="12"/>
      <c r="BB405" s="12"/>
      <c r="BC405" s="12"/>
      <c r="BD405" s="12"/>
      <c r="BE405" s="12"/>
      <c r="BF405" s="12"/>
      <c r="BG405" s="12"/>
      <c r="BH405" s="12"/>
      <c r="BI405" s="12"/>
      <c r="BJ405" s="12"/>
      <c r="BK405" s="12"/>
      <c r="BL405" s="12"/>
      <c r="BM405" s="12"/>
      <c r="BN405" s="12"/>
      <c r="BO405" s="12"/>
      <c r="BP405" s="12"/>
      <c r="BQ405" s="12"/>
      <c r="BR405" s="12"/>
      <c r="BS405" s="12"/>
      <c r="BT405" s="12"/>
      <c r="BU405" s="12"/>
      <c r="BV405" s="12"/>
      <c r="BW405" s="12"/>
      <c r="BX405" s="12"/>
      <c r="BY405" s="12"/>
      <c r="BZ405" s="12"/>
      <c r="CA405" s="12"/>
      <c r="CB405" s="12"/>
      <c r="CC405" s="12"/>
      <c r="CD405" s="12"/>
      <c r="CE405" s="12"/>
      <c r="CF405" s="12"/>
      <c r="CG405" s="12"/>
      <c r="CH405" s="12"/>
      <c r="CI405" s="12"/>
      <c r="CJ405" s="12"/>
      <c r="CK405" s="12"/>
      <c r="CL405" s="12"/>
      <c r="CM405" s="12"/>
      <c r="CN405" s="12"/>
      <c r="CO405" s="12"/>
      <c r="CP405" s="12"/>
      <c r="CQ405" s="12"/>
      <c r="CR405" s="12"/>
      <c r="CS405" s="12"/>
      <c r="CT405" s="12"/>
      <c r="CU405" s="12"/>
      <c r="CV405" s="12"/>
      <c r="CW405" s="12"/>
      <c r="CX405" s="12"/>
      <c r="CY405" s="12"/>
      <c r="CZ405" s="12"/>
      <c r="DA405" s="12"/>
      <c r="DB405" s="12"/>
      <c r="DC405" s="12"/>
      <c r="DD405" s="12"/>
      <c r="DE405" s="12"/>
      <c r="DF405" s="12"/>
      <c r="DG405" s="12"/>
      <c r="DH405" s="12"/>
      <c r="DI405" s="12"/>
      <c r="DJ405" s="12"/>
      <c r="DK405" s="12"/>
      <c r="DL405" s="12"/>
      <c r="DM405" s="12"/>
      <c r="DN405" s="12"/>
      <c r="DO405" s="12"/>
      <c r="DP405" s="12"/>
      <c r="DQ405" s="12"/>
      <c r="DR405" s="12"/>
      <c r="DS405" s="12"/>
      <c r="DT405" s="12"/>
      <c r="DU405" s="12"/>
      <c r="DV405" s="12"/>
      <c r="DW405" s="12"/>
      <c r="DX405" s="12"/>
      <c r="DY405" s="12"/>
      <c r="DZ405" s="12"/>
      <c r="EA405" s="12"/>
      <c r="EB405" s="12"/>
      <c r="EC405" s="12"/>
      <c r="ED405" s="12"/>
      <c r="EE405" s="12"/>
      <c r="EF405" s="12"/>
      <c r="EG405" s="12"/>
      <c r="EH405" s="12"/>
      <c r="EI405" s="12"/>
      <c r="EJ405" s="574"/>
      <c r="EK405" s="574"/>
      <c r="EL405" s="574"/>
      <c r="EM405" s="574"/>
      <c r="EN405" s="574"/>
      <c r="EO405" s="574"/>
      <c r="EP405" s="574"/>
      <c r="EQ405" s="574"/>
      <c r="ER405" s="574"/>
      <c r="ES405" s="574"/>
      <c r="ET405" s="574"/>
      <c r="EU405" s="574"/>
    </row>
    <row r="406">
      <c r="A406" s="12"/>
      <c r="B406" s="55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  <c r="BA406" s="12"/>
      <c r="BB406" s="12"/>
      <c r="BC406" s="12"/>
      <c r="BD406" s="12"/>
      <c r="BE406" s="12"/>
      <c r="BF406" s="12"/>
      <c r="BG406" s="12"/>
      <c r="BH406" s="12"/>
      <c r="BI406" s="12"/>
      <c r="BJ406" s="12"/>
      <c r="BK406" s="12"/>
      <c r="BL406" s="12"/>
      <c r="BM406" s="12"/>
      <c r="BN406" s="12"/>
      <c r="BO406" s="12"/>
      <c r="BP406" s="12"/>
      <c r="BQ406" s="12"/>
      <c r="BR406" s="12"/>
      <c r="BS406" s="12"/>
      <c r="BT406" s="12"/>
      <c r="BU406" s="12"/>
      <c r="BV406" s="12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574"/>
      <c r="EK406" s="574"/>
      <c r="EL406" s="574"/>
      <c r="EM406" s="574"/>
      <c r="EN406" s="574"/>
      <c r="EO406" s="574"/>
      <c r="EP406" s="574"/>
      <c r="EQ406" s="574"/>
      <c r="ER406" s="574"/>
      <c r="ES406" s="574"/>
      <c r="ET406" s="574"/>
      <c r="EU406" s="574"/>
    </row>
    <row r="407">
      <c r="A407" s="12"/>
      <c r="B407" s="55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  <c r="AZ407" s="12"/>
      <c r="BA407" s="12"/>
      <c r="BB407" s="12"/>
      <c r="BC407" s="12"/>
      <c r="BD407" s="12"/>
      <c r="BE407" s="12"/>
      <c r="BF407" s="12"/>
      <c r="BG407" s="12"/>
      <c r="BH407" s="12"/>
      <c r="BI407" s="12"/>
      <c r="BJ407" s="12"/>
      <c r="BK407" s="12"/>
      <c r="BL407" s="12"/>
      <c r="BM407" s="12"/>
      <c r="BN407" s="12"/>
      <c r="BO407" s="12"/>
      <c r="BP407" s="12"/>
      <c r="BQ407" s="12"/>
      <c r="BR407" s="12"/>
      <c r="BS407" s="12"/>
      <c r="BT407" s="12"/>
      <c r="BU407" s="12"/>
      <c r="BV407" s="12"/>
      <c r="BW407" s="12"/>
      <c r="BX407" s="12"/>
      <c r="BY407" s="12"/>
      <c r="BZ407" s="12"/>
      <c r="CA407" s="12"/>
      <c r="CB407" s="12"/>
      <c r="CC407" s="12"/>
      <c r="CD407" s="12"/>
      <c r="CE407" s="12"/>
      <c r="CF407" s="12"/>
      <c r="CG407" s="12"/>
      <c r="CH407" s="12"/>
      <c r="CI407" s="12"/>
      <c r="CJ407" s="12"/>
      <c r="CK407" s="12"/>
      <c r="CL407" s="12"/>
      <c r="CM407" s="12"/>
      <c r="CN407" s="12"/>
      <c r="CO407" s="12"/>
      <c r="CP407" s="12"/>
      <c r="CQ407" s="12"/>
      <c r="CR407" s="12"/>
      <c r="CS407" s="12"/>
      <c r="CT407" s="12"/>
      <c r="CU407" s="12"/>
      <c r="CV407" s="12"/>
      <c r="CW407" s="12"/>
      <c r="CX407" s="12"/>
      <c r="CY407" s="12"/>
      <c r="CZ407" s="12"/>
      <c r="DA407" s="12"/>
      <c r="DB407" s="12"/>
      <c r="DC407" s="12"/>
      <c r="DD407" s="12"/>
      <c r="DE407" s="12"/>
      <c r="DF407" s="12"/>
      <c r="DG407" s="12"/>
      <c r="DH407" s="12"/>
      <c r="DI407" s="12"/>
      <c r="DJ407" s="12"/>
      <c r="DK407" s="12"/>
      <c r="DL407" s="12"/>
      <c r="DM407" s="12"/>
      <c r="DN407" s="12"/>
      <c r="DO407" s="12"/>
      <c r="DP407" s="12"/>
      <c r="DQ407" s="12"/>
      <c r="DR407" s="12"/>
      <c r="DS407" s="12"/>
      <c r="DT407" s="12"/>
      <c r="DU407" s="12"/>
      <c r="DV407" s="12"/>
      <c r="DW407" s="12"/>
      <c r="DX407" s="12"/>
      <c r="DY407" s="12"/>
      <c r="DZ407" s="12"/>
      <c r="EA407" s="12"/>
      <c r="EB407" s="12"/>
      <c r="EC407" s="12"/>
      <c r="ED407" s="12"/>
      <c r="EE407" s="12"/>
      <c r="EF407" s="12"/>
      <c r="EG407" s="12"/>
      <c r="EH407" s="12"/>
      <c r="EI407" s="12"/>
      <c r="EJ407" s="574"/>
      <c r="EK407" s="574"/>
      <c r="EL407" s="574"/>
      <c r="EM407" s="574"/>
      <c r="EN407" s="574"/>
      <c r="EO407" s="574"/>
      <c r="EP407" s="574"/>
      <c r="EQ407" s="574"/>
      <c r="ER407" s="574"/>
      <c r="ES407" s="574"/>
      <c r="ET407" s="574"/>
      <c r="EU407" s="574"/>
    </row>
    <row r="408">
      <c r="A408" s="12"/>
      <c r="B408" s="55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  <c r="BA408" s="12"/>
      <c r="BB408" s="12"/>
      <c r="BC408" s="12"/>
      <c r="BD408" s="12"/>
      <c r="BE408" s="12"/>
      <c r="BF408" s="12"/>
      <c r="BG408" s="12"/>
      <c r="BH408" s="12"/>
      <c r="BI408" s="12"/>
      <c r="BJ408" s="12"/>
      <c r="BK408" s="12"/>
      <c r="BL408" s="12"/>
      <c r="BM408" s="12"/>
      <c r="BN408" s="12"/>
      <c r="BO408" s="12"/>
      <c r="BP408" s="12"/>
      <c r="BQ408" s="12"/>
      <c r="BR408" s="12"/>
      <c r="BS408" s="12"/>
      <c r="BT408" s="12"/>
      <c r="BU408" s="12"/>
      <c r="BV408" s="12"/>
      <c r="BW408" s="12"/>
      <c r="BX408" s="12"/>
      <c r="BY408" s="12"/>
      <c r="BZ408" s="12"/>
      <c r="CA408" s="12"/>
      <c r="CB408" s="12"/>
      <c r="CC408" s="12"/>
      <c r="CD408" s="12"/>
      <c r="CE408" s="12"/>
      <c r="CF408" s="12"/>
      <c r="CG408" s="12"/>
      <c r="CH408" s="12"/>
      <c r="CI408" s="12"/>
      <c r="CJ408" s="12"/>
      <c r="CK408" s="12"/>
      <c r="CL408" s="12"/>
      <c r="CM408" s="12"/>
      <c r="CN408" s="12"/>
      <c r="CO408" s="12"/>
      <c r="CP408" s="12"/>
      <c r="CQ408" s="12"/>
      <c r="CR408" s="12"/>
      <c r="CS408" s="12"/>
      <c r="CT408" s="12"/>
      <c r="CU408" s="12"/>
      <c r="CV408" s="12"/>
      <c r="CW408" s="12"/>
      <c r="CX408" s="12"/>
      <c r="CY408" s="12"/>
      <c r="CZ408" s="12"/>
      <c r="DA408" s="12"/>
      <c r="DB408" s="12"/>
      <c r="DC408" s="12"/>
      <c r="DD408" s="12"/>
      <c r="DE408" s="12"/>
      <c r="DF408" s="12"/>
      <c r="DG408" s="12"/>
      <c r="DH408" s="12"/>
      <c r="DI408" s="12"/>
      <c r="DJ408" s="12"/>
      <c r="DK408" s="12"/>
      <c r="DL408" s="12"/>
      <c r="DM408" s="12"/>
      <c r="DN408" s="12"/>
      <c r="DO408" s="12"/>
      <c r="DP408" s="12"/>
      <c r="DQ408" s="12"/>
      <c r="DR408" s="12"/>
      <c r="DS408" s="12"/>
      <c r="DT408" s="12"/>
      <c r="DU408" s="12"/>
      <c r="DV408" s="12"/>
      <c r="DW408" s="12"/>
      <c r="DX408" s="12"/>
      <c r="DY408" s="12"/>
      <c r="DZ408" s="12"/>
      <c r="EA408" s="12"/>
      <c r="EB408" s="12"/>
      <c r="EC408" s="12"/>
      <c r="ED408" s="12"/>
      <c r="EE408" s="12"/>
      <c r="EF408" s="12"/>
      <c r="EG408" s="12"/>
      <c r="EH408" s="12"/>
      <c r="EI408" s="12"/>
      <c r="EJ408" s="574"/>
      <c r="EK408" s="574"/>
      <c r="EL408" s="574"/>
      <c r="EM408" s="574"/>
      <c r="EN408" s="574"/>
      <c r="EO408" s="574"/>
      <c r="EP408" s="574"/>
      <c r="EQ408" s="574"/>
      <c r="ER408" s="574"/>
      <c r="ES408" s="574"/>
      <c r="ET408" s="574"/>
      <c r="EU408" s="574"/>
    </row>
    <row r="409">
      <c r="A409" s="12"/>
      <c r="B409" s="55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/>
      <c r="BA409" s="12"/>
      <c r="BB409" s="12"/>
      <c r="BC409" s="12"/>
      <c r="BD409" s="12"/>
      <c r="BE409" s="12"/>
      <c r="BF409" s="12"/>
      <c r="BG409" s="12"/>
      <c r="BH409" s="12"/>
      <c r="BI409" s="12"/>
      <c r="BJ409" s="12"/>
      <c r="BK409" s="12"/>
      <c r="BL409" s="12"/>
      <c r="BM409" s="12"/>
      <c r="BN409" s="12"/>
      <c r="BO409" s="12"/>
      <c r="BP409" s="12"/>
      <c r="BQ409" s="12"/>
      <c r="BR409" s="12"/>
      <c r="BS409" s="12"/>
      <c r="BT409" s="12"/>
      <c r="BU409" s="12"/>
      <c r="BV409" s="12"/>
      <c r="BW409" s="12"/>
      <c r="BX409" s="12"/>
      <c r="BY409" s="12"/>
      <c r="BZ409" s="12"/>
      <c r="CA409" s="12"/>
      <c r="CB409" s="12"/>
      <c r="CC409" s="12"/>
      <c r="CD409" s="12"/>
      <c r="CE409" s="12"/>
      <c r="CF409" s="12"/>
      <c r="CG409" s="12"/>
      <c r="CH409" s="12"/>
      <c r="CI409" s="12"/>
      <c r="CJ409" s="12"/>
      <c r="CK409" s="12"/>
      <c r="CL409" s="12"/>
      <c r="CM409" s="12"/>
      <c r="CN409" s="12"/>
      <c r="CO409" s="12"/>
      <c r="CP409" s="12"/>
      <c r="CQ409" s="12"/>
      <c r="CR409" s="12"/>
      <c r="CS409" s="12"/>
      <c r="CT409" s="12"/>
      <c r="CU409" s="12"/>
      <c r="CV409" s="12"/>
      <c r="CW409" s="12"/>
      <c r="CX409" s="12"/>
      <c r="CY409" s="12"/>
      <c r="CZ409" s="12"/>
      <c r="DA409" s="12"/>
      <c r="DB409" s="12"/>
      <c r="DC409" s="12"/>
      <c r="DD409" s="12"/>
      <c r="DE409" s="12"/>
      <c r="DF409" s="12"/>
      <c r="DG409" s="12"/>
      <c r="DH409" s="12"/>
      <c r="DI409" s="12"/>
      <c r="DJ409" s="12"/>
      <c r="DK409" s="12"/>
      <c r="DL409" s="12"/>
      <c r="DM409" s="12"/>
      <c r="DN409" s="12"/>
      <c r="DO409" s="12"/>
      <c r="DP409" s="12"/>
      <c r="DQ409" s="12"/>
      <c r="DR409" s="12"/>
      <c r="DS409" s="12"/>
      <c r="DT409" s="12"/>
      <c r="DU409" s="12"/>
      <c r="DV409" s="12"/>
      <c r="DW409" s="12"/>
      <c r="DX409" s="12"/>
      <c r="DY409" s="12"/>
      <c r="DZ409" s="12"/>
      <c r="EA409" s="12"/>
      <c r="EB409" s="12"/>
      <c r="EC409" s="12"/>
      <c r="ED409" s="12"/>
      <c r="EE409" s="12"/>
      <c r="EF409" s="12"/>
      <c r="EG409" s="12"/>
      <c r="EH409" s="12"/>
      <c r="EI409" s="12"/>
      <c r="EJ409" s="574"/>
      <c r="EK409" s="574"/>
      <c r="EL409" s="574"/>
      <c r="EM409" s="574"/>
      <c r="EN409" s="574"/>
      <c r="EO409" s="574"/>
      <c r="EP409" s="574"/>
      <c r="EQ409" s="574"/>
      <c r="ER409" s="574"/>
      <c r="ES409" s="574"/>
      <c r="ET409" s="574"/>
      <c r="EU409" s="574"/>
    </row>
    <row r="410">
      <c r="A410" s="12"/>
      <c r="B410" s="55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  <c r="BA410" s="12"/>
      <c r="BB410" s="12"/>
      <c r="BC410" s="12"/>
      <c r="BD410" s="12"/>
      <c r="BE410" s="12"/>
      <c r="BF410" s="12"/>
      <c r="BG410" s="12"/>
      <c r="BH410" s="12"/>
      <c r="BI410" s="12"/>
      <c r="BJ410" s="12"/>
      <c r="BK410" s="12"/>
      <c r="BL410" s="12"/>
      <c r="BM410" s="12"/>
      <c r="BN410" s="12"/>
      <c r="BO410" s="12"/>
      <c r="BP410" s="12"/>
      <c r="BQ410" s="12"/>
      <c r="BR410" s="12"/>
      <c r="BS410" s="12"/>
      <c r="BT410" s="12"/>
      <c r="BU410" s="12"/>
      <c r="BV410" s="12"/>
      <c r="BW410" s="12"/>
      <c r="BX410" s="12"/>
      <c r="BY410" s="12"/>
      <c r="BZ410" s="12"/>
      <c r="CA410" s="12"/>
      <c r="CB410" s="12"/>
      <c r="CC410" s="12"/>
      <c r="CD410" s="12"/>
      <c r="CE410" s="12"/>
      <c r="CF410" s="12"/>
      <c r="CG410" s="12"/>
      <c r="CH410" s="12"/>
      <c r="CI410" s="12"/>
      <c r="CJ410" s="12"/>
      <c r="CK410" s="12"/>
      <c r="CL410" s="12"/>
      <c r="CM410" s="12"/>
      <c r="CN410" s="12"/>
      <c r="CO410" s="12"/>
      <c r="CP410" s="12"/>
      <c r="CQ410" s="12"/>
      <c r="CR410" s="12"/>
      <c r="CS410" s="12"/>
      <c r="CT410" s="12"/>
      <c r="CU410" s="12"/>
      <c r="CV410" s="12"/>
      <c r="CW410" s="12"/>
      <c r="CX410" s="12"/>
      <c r="CY410" s="12"/>
      <c r="CZ410" s="12"/>
      <c r="DA410" s="12"/>
      <c r="DB410" s="12"/>
      <c r="DC410" s="12"/>
      <c r="DD410" s="12"/>
      <c r="DE410" s="12"/>
      <c r="DF410" s="12"/>
      <c r="DG410" s="12"/>
      <c r="DH410" s="12"/>
      <c r="DI410" s="12"/>
      <c r="DJ410" s="12"/>
      <c r="DK410" s="12"/>
      <c r="DL410" s="12"/>
      <c r="DM410" s="12"/>
      <c r="DN410" s="12"/>
      <c r="DO410" s="12"/>
      <c r="DP410" s="12"/>
      <c r="DQ410" s="12"/>
      <c r="DR410" s="12"/>
      <c r="DS410" s="12"/>
      <c r="DT410" s="12"/>
      <c r="DU410" s="12"/>
      <c r="DV410" s="12"/>
      <c r="DW410" s="12"/>
      <c r="DX410" s="12"/>
      <c r="DY410" s="12"/>
      <c r="DZ410" s="12"/>
      <c r="EA410" s="12"/>
      <c r="EB410" s="12"/>
      <c r="EC410" s="12"/>
      <c r="ED410" s="12"/>
      <c r="EE410" s="12"/>
      <c r="EF410" s="12"/>
      <c r="EG410" s="12"/>
      <c r="EH410" s="12"/>
      <c r="EI410" s="12"/>
      <c r="EJ410" s="574"/>
      <c r="EK410" s="574"/>
      <c r="EL410" s="574"/>
      <c r="EM410" s="574"/>
      <c r="EN410" s="574"/>
      <c r="EO410" s="574"/>
      <c r="EP410" s="574"/>
      <c r="EQ410" s="574"/>
      <c r="ER410" s="574"/>
      <c r="ES410" s="574"/>
      <c r="ET410" s="574"/>
      <c r="EU410" s="574"/>
    </row>
    <row r="411">
      <c r="A411" s="12"/>
      <c r="B411" s="55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/>
      <c r="BA411" s="12"/>
      <c r="BB411" s="12"/>
      <c r="BC411" s="12"/>
      <c r="BD411" s="12"/>
      <c r="BE411" s="12"/>
      <c r="BF411" s="12"/>
      <c r="BG411" s="12"/>
      <c r="BH411" s="12"/>
      <c r="BI411" s="12"/>
      <c r="BJ411" s="12"/>
      <c r="BK411" s="12"/>
      <c r="BL411" s="12"/>
      <c r="BM411" s="12"/>
      <c r="BN411" s="12"/>
      <c r="BO411" s="12"/>
      <c r="BP411" s="12"/>
      <c r="BQ411" s="12"/>
      <c r="BR411" s="12"/>
      <c r="BS411" s="12"/>
      <c r="BT411" s="12"/>
      <c r="BU411" s="12"/>
      <c r="BV411" s="12"/>
      <c r="BW411" s="12"/>
      <c r="BX411" s="12"/>
      <c r="BY411" s="12"/>
      <c r="BZ411" s="12"/>
      <c r="CA411" s="12"/>
      <c r="CB411" s="12"/>
      <c r="CC411" s="12"/>
      <c r="CD411" s="12"/>
      <c r="CE411" s="12"/>
      <c r="CF411" s="12"/>
      <c r="CG411" s="12"/>
      <c r="CH411" s="12"/>
      <c r="CI411" s="12"/>
      <c r="CJ411" s="12"/>
      <c r="CK411" s="12"/>
      <c r="CL411" s="12"/>
      <c r="CM411" s="12"/>
      <c r="CN411" s="12"/>
      <c r="CO411" s="12"/>
      <c r="CP411" s="12"/>
      <c r="CQ411" s="12"/>
      <c r="CR411" s="12"/>
      <c r="CS411" s="12"/>
      <c r="CT411" s="12"/>
      <c r="CU411" s="12"/>
      <c r="CV411" s="12"/>
      <c r="CW411" s="12"/>
      <c r="CX411" s="12"/>
      <c r="CY411" s="12"/>
      <c r="CZ411" s="12"/>
      <c r="DA411" s="12"/>
      <c r="DB411" s="12"/>
      <c r="DC411" s="12"/>
      <c r="DD411" s="12"/>
      <c r="DE411" s="12"/>
      <c r="DF411" s="12"/>
      <c r="DG411" s="12"/>
      <c r="DH411" s="12"/>
      <c r="DI411" s="12"/>
      <c r="DJ411" s="12"/>
      <c r="DK411" s="12"/>
      <c r="DL411" s="12"/>
      <c r="DM411" s="12"/>
      <c r="DN411" s="12"/>
      <c r="DO411" s="12"/>
      <c r="DP411" s="12"/>
      <c r="DQ411" s="12"/>
      <c r="DR411" s="12"/>
      <c r="DS411" s="12"/>
      <c r="DT411" s="12"/>
      <c r="DU411" s="12"/>
      <c r="DV411" s="12"/>
      <c r="DW411" s="12"/>
      <c r="DX411" s="12"/>
      <c r="DY411" s="12"/>
      <c r="DZ411" s="12"/>
      <c r="EA411" s="12"/>
      <c r="EB411" s="12"/>
      <c r="EC411" s="12"/>
      <c r="ED411" s="12"/>
      <c r="EE411" s="12"/>
      <c r="EF411" s="12"/>
      <c r="EG411" s="12"/>
      <c r="EH411" s="12"/>
      <c r="EI411" s="12"/>
      <c r="EJ411" s="574"/>
      <c r="EK411" s="574"/>
      <c r="EL411" s="574"/>
      <c r="EM411" s="574"/>
      <c r="EN411" s="574"/>
      <c r="EO411" s="574"/>
      <c r="EP411" s="574"/>
      <c r="EQ411" s="574"/>
      <c r="ER411" s="574"/>
      <c r="ES411" s="574"/>
      <c r="ET411" s="574"/>
      <c r="EU411" s="574"/>
    </row>
    <row r="412">
      <c r="A412" s="12"/>
      <c r="B412" s="55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  <c r="BA412" s="12"/>
      <c r="BB412" s="12"/>
      <c r="BC412" s="12"/>
      <c r="BD412" s="12"/>
      <c r="BE412" s="12"/>
      <c r="BF412" s="12"/>
      <c r="BG412" s="12"/>
      <c r="BH412" s="12"/>
      <c r="BI412" s="12"/>
      <c r="BJ412" s="12"/>
      <c r="BK412" s="12"/>
      <c r="BL412" s="12"/>
      <c r="BM412" s="12"/>
      <c r="BN412" s="12"/>
      <c r="BO412" s="12"/>
      <c r="BP412" s="12"/>
      <c r="BQ412" s="12"/>
      <c r="BR412" s="12"/>
      <c r="BS412" s="12"/>
      <c r="BT412" s="12"/>
      <c r="BU412" s="12"/>
      <c r="BV412" s="12"/>
      <c r="BW412" s="12"/>
      <c r="BX412" s="12"/>
      <c r="BY412" s="12"/>
      <c r="BZ412" s="12"/>
      <c r="CA412" s="12"/>
      <c r="CB412" s="12"/>
      <c r="CC412" s="12"/>
      <c r="CD412" s="12"/>
      <c r="CE412" s="12"/>
      <c r="CF412" s="12"/>
      <c r="CG412" s="12"/>
      <c r="CH412" s="12"/>
      <c r="CI412" s="12"/>
      <c r="CJ412" s="12"/>
      <c r="CK412" s="12"/>
      <c r="CL412" s="12"/>
      <c r="CM412" s="12"/>
      <c r="CN412" s="12"/>
      <c r="CO412" s="12"/>
      <c r="CP412" s="12"/>
      <c r="CQ412" s="12"/>
      <c r="CR412" s="12"/>
      <c r="CS412" s="12"/>
      <c r="CT412" s="12"/>
      <c r="CU412" s="12"/>
      <c r="CV412" s="12"/>
      <c r="CW412" s="12"/>
      <c r="CX412" s="12"/>
      <c r="CY412" s="12"/>
      <c r="CZ412" s="12"/>
      <c r="DA412" s="12"/>
      <c r="DB412" s="12"/>
      <c r="DC412" s="12"/>
      <c r="DD412" s="12"/>
      <c r="DE412" s="12"/>
      <c r="DF412" s="12"/>
      <c r="DG412" s="12"/>
      <c r="DH412" s="12"/>
      <c r="DI412" s="12"/>
      <c r="DJ412" s="12"/>
      <c r="DK412" s="12"/>
      <c r="DL412" s="12"/>
      <c r="DM412" s="12"/>
      <c r="DN412" s="12"/>
      <c r="DO412" s="12"/>
      <c r="DP412" s="12"/>
      <c r="DQ412" s="12"/>
      <c r="DR412" s="12"/>
      <c r="DS412" s="12"/>
      <c r="DT412" s="12"/>
      <c r="DU412" s="12"/>
      <c r="DV412" s="12"/>
      <c r="DW412" s="12"/>
      <c r="DX412" s="12"/>
      <c r="DY412" s="12"/>
      <c r="DZ412" s="12"/>
      <c r="EA412" s="12"/>
      <c r="EB412" s="12"/>
      <c r="EC412" s="12"/>
      <c r="ED412" s="12"/>
      <c r="EE412" s="12"/>
      <c r="EF412" s="12"/>
      <c r="EG412" s="12"/>
      <c r="EH412" s="12"/>
      <c r="EI412" s="12"/>
      <c r="EJ412" s="574"/>
      <c r="EK412" s="574"/>
      <c r="EL412" s="574"/>
      <c r="EM412" s="574"/>
      <c r="EN412" s="574"/>
      <c r="EO412" s="574"/>
      <c r="EP412" s="574"/>
      <c r="EQ412" s="574"/>
      <c r="ER412" s="574"/>
      <c r="ES412" s="574"/>
      <c r="ET412" s="574"/>
      <c r="EU412" s="574"/>
    </row>
    <row r="413">
      <c r="A413" s="12"/>
      <c r="B413" s="55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/>
      <c r="BA413" s="12"/>
      <c r="BB413" s="12"/>
      <c r="BC413" s="12"/>
      <c r="BD413" s="12"/>
      <c r="BE413" s="12"/>
      <c r="BF413" s="12"/>
      <c r="BG413" s="12"/>
      <c r="BH413" s="12"/>
      <c r="BI413" s="12"/>
      <c r="BJ413" s="12"/>
      <c r="BK413" s="12"/>
      <c r="BL413" s="12"/>
      <c r="BM413" s="12"/>
      <c r="BN413" s="12"/>
      <c r="BO413" s="12"/>
      <c r="BP413" s="12"/>
      <c r="BQ413" s="12"/>
      <c r="BR413" s="12"/>
      <c r="BS413" s="12"/>
      <c r="BT413" s="12"/>
      <c r="BU413" s="12"/>
      <c r="BV413" s="12"/>
      <c r="BW413" s="12"/>
      <c r="BX413" s="12"/>
      <c r="BY413" s="12"/>
      <c r="BZ413" s="12"/>
      <c r="CA413" s="12"/>
      <c r="CB413" s="12"/>
      <c r="CC413" s="12"/>
      <c r="CD413" s="12"/>
      <c r="CE413" s="12"/>
      <c r="CF413" s="12"/>
      <c r="CG413" s="12"/>
      <c r="CH413" s="12"/>
      <c r="CI413" s="12"/>
      <c r="CJ413" s="12"/>
      <c r="CK413" s="12"/>
      <c r="CL413" s="12"/>
      <c r="CM413" s="12"/>
      <c r="CN413" s="12"/>
      <c r="CO413" s="12"/>
      <c r="CP413" s="12"/>
      <c r="CQ413" s="12"/>
      <c r="CR413" s="12"/>
      <c r="CS413" s="12"/>
      <c r="CT413" s="12"/>
      <c r="CU413" s="12"/>
      <c r="CV413" s="12"/>
      <c r="CW413" s="12"/>
      <c r="CX413" s="12"/>
      <c r="CY413" s="12"/>
      <c r="CZ413" s="12"/>
      <c r="DA413" s="12"/>
      <c r="DB413" s="12"/>
      <c r="DC413" s="12"/>
      <c r="DD413" s="12"/>
      <c r="DE413" s="12"/>
      <c r="DF413" s="12"/>
      <c r="DG413" s="12"/>
      <c r="DH413" s="12"/>
      <c r="DI413" s="12"/>
      <c r="DJ413" s="12"/>
      <c r="DK413" s="12"/>
      <c r="DL413" s="12"/>
      <c r="DM413" s="12"/>
      <c r="DN413" s="12"/>
      <c r="DO413" s="12"/>
      <c r="DP413" s="12"/>
      <c r="DQ413" s="12"/>
      <c r="DR413" s="12"/>
      <c r="DS413" s="12"/>
      <c r="DT413" s="12"/>
      <c r="DU413" s="12"/>
      <c r="DV413" s="12"/>
      <c r="DW413" s="12"/>
      <c r="DX413" s="12"/>
      <c r="DY413" s="12"/>
      <c r="DZ413" s="12"/>
      <c r="EA413" s="12"/>
      <c r="EB413" s="12"/>
      <c r="EC413" s="12"/>
      <c r="ED413" s="12"/>
      <c r="EE413" s="12"/>
      <c r="EF413" s="12"/>
      <c r="EG413" s="12"/>
      <c r="EH413" s="12"/>
      <c r="EI413" s="12"/>
      <c r="EJ413" s="574"/>
      <c r="EK413" s="574"/>
      <c r="EL413" s="574"/>
      <c r="EM413" s="574"/>
      <c r="EN413" s="574"/>
      <c r="EO413" s="574"/>
      <c r="EP413" s="574"/>
      <c r="EQ413" s="574"/>
      <c r="ER413" s="574"/>
      <c r="ES413" s="574"/>
      <c r="ET413" s="574"/>
      <c r="EU413" s="574"/>
    </row>
    <row r="414">
      <c r="A414" s="12"/>
      <c r="B414" s="55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  <c r="BA414" s="12"/>
      <c r="BB414" s="12"/>
      <c r="BC414" s="12"/>
      <c r="BD414" s="12"/>
      <c r="BE414" s="12"/>
      <c r="BF414" s="12"/>
      <c r="BG414" s="12"/>
      <c r="BH414" s="12"/>
      <c r="BI414" s="12"/>
      <c r="BJ414" s="12"/>
      <c r="BK414" s="12"/>
      <c r="BL414" s="12"/>
      <c r="BM414" s="12"/>
      <c r="BN414" s="12"/>
      <c r="BO414" s="12"/>
      <c r="BP414" s="12"/>
      <c r="BQ414" s="12"/>
      <c r="BR414" s="12"/>
      <c r="BS414" s="12"/>
      <c r="BT414" s="12"/>
      <c r="BU414" s="12"/>
      <c r="BV414" s="12"/>
      <c r="BW414" s="12"/>
      <c r="BX414" s="12"/>
      <c r="BY414" s="12"/>
      <c r="BZ414" s="12"/>
      <c r="CA414" s="12"/>
      <c r="CB414" s="12"/>
      <c r="CC414" s="12"/>
      <c r="CD414" s="12"/>
      <c r="CE414" s="12"/>
      <c r="CF414" s="12"/>
      <c r="CG414" s="12"/>
      <c r="CH414" s="12"/>
      <c r="CI414" s="12"/>
      <c r="CJ414" s="12"/>
      <c r="CK414" s="12"/>
      <c r="CL414" s="12"/>
      <c r="CM414" s="12"/>
      <c r="CN414" s="12"/>
      <c r="CO414" s="12"/>
      <c r="CP414" s="12"/>
      <c r="CQ414" s="12"/>
      <c r="CR414" s="12"/>
      <c r="CS414" s="12"/>
      <c r="CT414" s="12"/>
      <c r="CU414" s="12"/>
      <c r="CV414" s="12"/>
      <c r="CW414" s="12"/>
      <c r="CX414" s="12"/>
      <c r="CY414" s="12"/>
      <c r="CZ414" s="12"/>
      <c r="DA414" s="12"/>
      <c r="DB414" s="12"/>
      <c r="DC414" s="12"/>
      <c r="DD414" s="12"/>
      <c r="DE414" s="12"/>
      <c r="DF414" s="12"/>
      <c r="DG414" s="12"/>
      <c r="DH414" s="12"/>
      <c r="DI414" s="12"/>
      <c r="DJ414" s="12"/>
      <c r="DK414" s="12"/>
      <c r="DL414" s="12"/>
      <c r="DM414" s="12"/>
      <c r="DN414" s="12"/>
      <c r="DO414" s="12"/>
      <c r="DP414" s="12"/>
      <c r="DQ414" s="12"/>
      <c r="DR414" s="12"/>
      <c r="DS414" s="12"/>
      <c r="DT414" s="12"/>
      <c r="DU414" s="12"/>
      <c r="DV414" s="12"/>
      <c r="DW414" s="12"/>
      <c r="DX414" s="12"/>
      <c r="DY414" s="12"/>
      <c r="DZ414" s="12"/>
      <c r="EA414" s="12"/>
      <c r="EB414" s="12"/>
      <c r="EC414" s="12"/>
      <c r="ED414" s="12"/>
      <c r="EE414" s="12"/>
      <c r="EF414" s="12"/>
      <c r="EG414" s="12"/>
      <c r="EH414" s="12"/>
      <c r="EI414" s="12"/>
      <c r="EJ414" s="574"/>
      <c r="EK414" s="574"/>
      <c r="EL414" s="574"/>
      <c r="EM414" s="574"/>
      <c r="EN414" s="574"/>
      <c r="EO414" s="574"/>
      <c r="EP414" s="574"/>
      <c r="EQ414" s="574"/>
      <c r="ER414" s="574"/>
      <c r="ES414" s="574"/>
      <c r="ET414" s="574"/>
      <c r="EU414" s="574"/>
    </row>
    <row r="415">
      <c r="A415" s="12"/>
      <c r="B415" s="55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  <c r="AZ415" s="12"/>
      <c r="BA415" s="12"/>
      <c r="BB415" s="12"/>
      <c r="BC415" s="12"/>
      <c r="BD415" s="12"/>
      <c r="BE415" s="12"/>
      <c r="BF415" s="12"/>
      <c r="BG415" s="12"/>
      <c r="BH415" s="12"/>
      <c r="BI415" s="12"/>
      <c r="BJ415" s="12"/>
      <c r="BK415" s="12"/>
      <c r="BL415" s="12"/>
      <c r="BM415" s="12"/>
      <c r="BN415" s="12"/>
      <c r="BO415" s="12"/>
      <c r="BP415" s="12"/>
      <c r="BQ415" s="12"/>
      <c r="BR415" s="12"/>
      <c r="BS415" s="12"/>
      <c r="BT415" s="12"/>
      <c r="BU415" s="12"/>
      <c r="BV415" s="12"/>
      <c r="BW415" s="12"/>
      <c r="BX415" s="12"/>
      <c r="BY415" s="12"/>
      <c r="BZ415" s="12"/>
      <c r="CA415" s="12"/>
      <c r="CB415" s="12"/>
      <c r="CC415" s="12"/>
      <c r="CD415" s="12"/>
      <c r="CE415" s="12"/>
      <c r="CF415" s="12"/>
      <c r="CG415" s="12"/>
      <c r="CH415" s="12"/>
      <c r="CI415" s="12"/>
      <c r="CJ415" s="12"/>
      <c r="CK415" s="12"/>
      <c r="CL415" s="12"/>
      <c r="CM415" s="12"/>
      <c r="CN415" s="12"/>
      <c r="CO415" s="12"/>
      <c r="CP415" s="12"/>
      <c r="CQ415" s="12"/>
      <c r="CR415" s="12"/>
      <c r="CS415" s="12"/>
      <c r="CT415" s="12"/>
      <c r="CU415" s="12"/>
      <c r="CV415" s="12"/>
      <c r="CW415" s="12"/>
      <c r="CX415" s="12"/>
      <c r="CY415" s="12"/>
      <c r="CZ415" s="12"/>
      <c r="DA415" s="12"/>
      <c r="DB415" s="12"/>
      <c r="DC415" s="12"/>
      <c r="DD415" s="12"/>
      <c r="DE415" s="12"/>
      <c r="DF415" s="12"/>
      <c r="DG415" s="12"/>
      <c r="DH415" s="12"/>
      <c r="DI415" s="12"/>
      <c r="DJ415" s="12"/>
      <c r="DK415" s="12"/>
      <c r="DL415" s="12"/>
      <c r="DM415" s="12"/>
      <c r="DN415" s="12"/>
      <c r="DO415" s="12"/>
      <c r="DP415" s="12"/>
      <c r="DQ415" s="12"/>
      <c r="DR415" s="12"/>
      <c r="DS415" s="12"/>
      <c r="DT415" s="12"/>
      <c r="DU415" s="12"/>
      <c r="DV415" s="12"/>
      <c r="DW415" s="12"/>
      <c r="DX415" s="12"/>
      <c r="DY415" s="12"/>
      <c r="DZ415" s="12"/>
      <c r="EA415" s="12"/>
      <c r="EB415" s="12"/>
      <c r="EC415" s="12"/>
      <c r="ED415" s="12"/>
      <c r="EE415" s="12"/>
      <c r="EF415" s="12"/>
      <c r="EG415" s="12"/>
      <c r="EH415" s="12"/>
      <c r="EI415" s="12"/>
      <c r="EJ415" s="574"/>
      <c r="EK415" s="574"/>
      <c r="EL415" s="574"/>
      <c r="EM415" s="574"/>
      <c r="EN415" s="574"/>
      <c r="EO415" s="574"/>
      <c r="EP415" s="574"/>
      <c r="EQ415" s="574"/>
      <c r="ER415" s="574"/>
      <c r="ES415" s="574"/>
      <c r="ET415" s="574"/>
      <c r="EU415" s="574"/>
    </row>
    <row r="416">
      <c r="A416" s="12"/>
      <c r="B416" s="55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  <c r="BA416" s="12"/>
      <c r="BB416" s="12"/>
      <c r="BC416" s="12"/>
      <c r="BD416" s="12"/>
      <c r="BE416" s="12"/>
      <c r="BF416" s="12"/>
      <c r="BG416" s="12"/>
      <c r="BH416" s="12"/>
      <c r="BI416" s="12"/>
      <c r="BJ416" s="12"/>
      <c r="BK416" s="12"/>
      <c r="BL416" s="12"/>
      <c r="BM416" s="12"/>
      <c r="BN416" s="12"/>
      <c r="BO416" s="12"/>
      <c r="BP416" s="12"/>
      <c r="BQ416" s="12"/>
      <c r="BR416" s="12"/>
      <c r="BS416" s="12"/>
      <c r="BT416" s="12"/>
      <c r="BU416" s="12"/>
      <c r="BV416" s="12"/>
      <c r="BW416" s="12"/>
      <c r="BX416" s="12"/>
      <c r="BY416" s="12"/>
      <c r="BZ416" s="12"/>
      <c r="CA416" s="12"/>
      <c r="CB416" s="12"/>
      <c r="CC416" s="12"/>
      <c r="CD416" s="12"/>
      <c r="CE416" s="12"/>
      <c r="CF416" s="12"/>
      <c r="CG416" s="12"/>
      <c r="CH416" s="12"/>
      <c r="CI416" s="12"/>
      <c r="CJ416" s="12"/>
      <c r="CK416" s="12"/>
      <c r="CL416" s="12"/>
      <c r="CM416" s="12"/>
      <c r="CN416" s="12"/>
      <c r="CO416" s="12"/>
      <c r="CP416" s="12"/>
      <c r="CQ416" s="12"/>
      <c r="CR416" s="12"/>
      <c r="CS416" s="12"/>
      <c r="CT416" s="12"/>
      <c r="CU416" s="12"/>
      <c r="CV416" s="12"/>
      <c r="CW416" s="12"/>
      <c r="CX416" s="12"/>
      <c r="CY416" s="12"/>
      <c r="CZ416" s="12"/>
      <c r="DA416" s="12"/>
      <c r="DB416" s="12"/>
      <c r="DC416" s="12"/>
      <c r="DD416" s="12"/>
      <c r="DE416" s="12"/>
      <c r="DF416" s="12"/>
      <c r="DG416" s="12"/>
      <c r="DH416" s="12"/>
      <c r="DI416" s="12"/>
      <c r="DJ416" s="12"/>
      <c r="DK416" s="12"/>
      <c r="DL416" s="12"/>
      <c r="DM416" s="12"/>
      <c r="DN416" s="12"/>
      <c r="DO416" s="12"/>
      <c r="DP416" s="12"/>
      <c r="DQ416" s="12"/>
      <c r="DR416" s="12"/>
      <c r="DS416" s="12"/>
      <c r="DT416" s="12"/>
      <c r="DU416" s="12"/>
      <c r="DV416" s="12"/>
      <c r="DW416" s="12"/>
      <c r="DX416" s="12"/>
      <c r="DY416" s="12"/>
      <c r="DZ416" s="12"/>
      <c r="EA416" s="12"/>
      <c r="EB416" s="12"/>
      <c r="EC416" s="12"/>
      <c r="ED416" s="12"/>
      <c r="EE416" s="12"/>
      <c r="EF416" s="12"/>
      <c r="EG416" s="12"/>
      <c r="EH416" s="12"/>
      <c r="EI416" s="12"/>
      <c r="EJ416" s="574"/>
      <c r="EK416" s="574"/>
      <c r="EL416" s="574"/>
      <c r="EM416" s="574"/>
      <c r="EN416" s="574"/>
      <c r="EO416" s="574"/>
      <c r="EP416" s="574"/>
      <c r="EQ416" s="574"/>
      <c r="ER416" s="574"/>
      <c r="ES416" s="574"/>
      <c r="ET416" s="574"/>
      <c r="EU416" s="574"/>
    </row>
    <row r="417">
      <c r="A417" s="12"/>
      <c r="B417" s="55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/>
      <c r="BA417" s="12"/>
      <c r="BB417" s="12"/>
      <c r="BC417" s="12"/>
      <c r="BD417" s="12"/>
      <c r="BE417" s="12"/>
      <c r="BF417" s="12"/>
      <c r="BG417" s="12"/>
      <c r="BH417" s="12"/>
      <c r="BI417" s="12"/>
      <c r="BJ417" s="12"/>
      <c r="BK417" s="12"/>
      <c r="BL417" s="12"/>
      <c r="BM417" s="12"/>
      <c r="BN417" s="12"/>
      <c r="BO417" s="12"/>
      <c r="BP417" s="12"/>
      <c r="BQ417" s="12"/>
      <c r="BR417" s="12"/>
      <c r="BS417" s="12"/>
      <c r="BT417" s="12"/>
      <c r="BU417" s="12"/>
      <c r="BV417" s="12"/>
      <c r="BW417" s="12"/>
      <c r="BX417" s="12"/>
      <c r="BY417" s="12"/>
      <c r="BZ417" s="12"/>
      <c r="CA417" s="12"/>
      <c r="CB417" s="12"/>
      <c r="CC417" s="12"/>
      <c r="CD417" s="12"/>
      <c r="CE417" s="12"/>
      <c r="CF417" s="12"/>
      <c r="CG417" s="12"/>
      <c r="CH417" s="12"/>
      <c r="CI417" s="12"/>
      <c r="CJ417" s="12"/>
      <c r="CK417" s="12"/>
      <c r="CL417" s="12"/>
      <c r="CM417" s="12"/>
      <c r="CN417" s="12"/>
      <c r="CO417" s="12"/>
      <c r="CP417" s="12"/>
      <c r="CQ417" s="12"/>
      <c r="CR417" s="12"/>
      <c r="CS417" s="12"/>
      <c r="CT417" s="12"/>
      <c r="CU417" s="12"/>
      <c r="CV417" s="12"/>
      <c r="CW417" s="12"/>
      <c r="CX417" s="12"/>
      <c r="CY417" s="12"/>
      <c r="CZ417" s="12"/>
      <c r="DA417" s="12"/>
      <c r="DB417" s="12"/>
      <c r="DC417" s="12"/>
      <c r="DD417" s="12"/>
      <c r="DE417" s="12"/>
      <c r="DF417" s="12"/>
      <c r="DG417" s="12"/>
      <c r="DH417" s="12"/>
      <c r="DI417" s="12"/>
      <c r="DJ417" s="12"/>
      <c r="DK417" s="12"/>
      <c r="DL417" s="12"/>
      <c r="DM417" s="12"/>
      <c r="DN417" s="12"/>
      <c r="DO417" s="12"/>
      <c r="DP417" s="12"/>
      <c r="DQ417" s="12"/>
      <c r="DR417" s="12"/>
      <c r="DS417" s="12"/>
      <c r="DT417" s="12"/>
      <c r="DU417" s="12"/>
      <c r="DV417" s="12"/>
      <c r="DW417" s="12"/>
      <c r="DX417" s="12"/>
      <c r="DY417" s="12"/>
      <c r="DZ417" s="12"/>
      <c r="EA417" s="12"/>
      <c r="EB417" s="12"/>
      <c r="EC417" s="12"/>
      <c r="ED417" s="12"/>
      <c r="EE417" s="12"/>
      <c r="EF417" s="12"/>
      <c r="EG417" s="12"/>
      <c r="EH417" s="12"/>
      <c r="EI417" s="12"/>
      <c r="EJ417" s="574"/>
      <c r="EK417" s="574"/>
      <c r="EL417" s="574"/>
      <c r="EM417" s="574"/>
      <c r="EN417" s="574"/>
      <c r="EO417" s="574"/>
      <c r="EP417" s="574"/>
      <c r="EQ417" s="574"/>
      <c r="ER417" s="574"/>
      <c r="ES417" s="574"/>
      <c r="ET417" s="574"/>
      <c r="EU417" s="574"/>
    </row>
    <row r="418">
      <c r="A418" s="12"/>
      <c r="B418" s="55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  <c r="BA418" s="12"/>
      <c r="BB418" s="12"/>
      <c r="BC418" s="12"/>
      <c r="BD418" s="12"/>
      <c r="BE418" s="12"/>
      <c r="BF418" s="12"/>
      <c r="BG418" s="12"/>
      <c r="BH418" s="12"/>
      <c r="BI418" s="12"/>
      <c r="BJ418" s="12"/>
      <c r="BK418" s="12"/>
      <c r="BL418" s="12"/>
      <c r="BM418" s="12"/>
      <c r="BN418" s="12"/>
      <c r="BO418" s="12"/>
      <c r="BP418" s="12"/>
      <c r="BQ418" s="12"/>
      <c r="BR418" s="12"/>
      <c r="BS418" s="12"/>
      <c r="BT418" s="12"/>
      <c r="BU418" s="12"/>
      <c r="BV418" s="12"/>
      <c r="BW418" s="12"/>
      <c r="BX418" s="12"/>
      <c r="BY418" s="12"/>
      <c r="BZ418" s="12"/>
      <c r="CA418" s="12"/>
      <c r="CB418" s="12"/>
      <c r="CC418" s="12"/>
      <c r="CD418" s="12"/>
      <c r="CE418" s="12"/>
      <c r="CF418" s="12"/>
      <c r="CG418" s="12"/>
      <c r="CH418" s="12"/>
      <c r="CI418" s="12"/>
      <c r="CJ418" s="12"/>
      <c r="CK418" s="12"/>
      <c r="CL418" s="12"/>
      <c r="CM418" s="12"/>
      <c r="CN418" s="12"/>
      <c r="CO418" s="12"/>
      <c r="CP418" s="12"/>
      <c r="CQ418" s="12"/>
      <c r="CR418" s="12"/>
      <c r="CS418" s="12"/>
      <c r="CT418" s="12"/>
      <c r="CU418" s="12"/>
      <c r="CV418" s="12"/>
      <c r="CW418" s="12"/>
      <c r="CX418" s="12"/>
      <c r="CY418" s="12"/>
      <c r="CZ418" s="12"/>
      <c r="DA418" s="12"/>
      <c r="DB418" s="12"/>
      <c r="DC418" s="12"/>
      <c r="DD418" s="12"/>
      <c r="DE418" s="12"/>
      <c r="DF418" s="12"/>
      <c r="DG418" s="12"/>
      <c r="DH418" s="12"/>
      <c r="DI418" s="12"/>
      <c r="DJ418" s="12"/>
      <c r="DK418" s="12"/>
      <c r="DL418" s="12"/>
      <c r="DM418" s="12"/>
      <c r="DN418" s="12"/>
      <c r="DO418" s="12"/>
      <c r="DP418" s="12"/>
      <c r="DQ418" s="12"/>
      <c r="DR418" s="12"/>
      <c r="DS418" s="12"/>
      <c r="DT418" s="12"/>
      <c r="DU418" s="12"/>
      <c r="DV418" s="12"/>
      <c r="DW418" s="12"/>
      <c r="DX418" s="12"/>
      <c r="DY418" s="12"/>
      <c r="DZ418" s="12"/>
      <c r="EA418" s="12"/>
      <c r="EB418" s="12"/>
      <c r="EC418" s="12"/>
      <c r="ED418" s="12"/>
      <c r="EE418" s="12"/>
      <c r="EF418" s="12"/>
      <c r="EG418" s="12"/>
      <c r="EH418" s="12"/>
      <c r="EI418" s="12"/>
      <c r="EJ418" s="574"/>
      <c r="EK418" s="574"/>
      <c r="EL418" s="574"/>
      <c r="EM418" s="574"/>
      <c r="EN418" s="574"/>
      <c r="EO418" s="574"/>
      <c r="EP418" s="574"/>
      <c r="EQ418" s="574"/>
      <c r="ER418" s="574"/>
      <c r="ES418" s="574"/>
      <c r="ET418" s="574"/>
      <c r="EU418" s="574"/>
    </row>
    <row r="419">
      <c r="A419" s="12"/>
      <c r="B419" s="55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  <c r="BA419" s="12"/>
      <c r="BB419" s="12"/>
      <c r="BC419" s="12"/>
      <c r="BD419" s="12"/>
      <c r="BE419" s="12"/>
      <c r="BF419" s="12"/>
      <c r="BG419" s="12"/>
      <c r="BH419" s="12"/>
      <c r="BI419" s="12"/>
      <c r="BJ419" s="12"/>
      <c r="BK419" s="12"/>
      <c r="BL419" s="12"/>
      <c r="BM419" s="12"/>
      <c r="BN419" s="12"/>
      <c r="BO419" s="12"/>
      <c r="BP419" s="12"/>
      <c r="BQ419" s="12"/>
      <c r="BR419" s="12"/>
      <c r="BS419" s="12"/>
      <c r="BT419" s="12"/>
      <c r="BU419" s="12"/>
      <c r="BV419" s="12"/>
      <c r="BW419" s="12"/>
      <c r="BX419" s="12"/>
      <c r="BY419" s="12"/>
      <c r="BZ419" s="12"/>
      <c r="CA419" s="12"/>
      <c r="CB419" s="12"/>
      <c r="CC419" s="12"/>
      <c r="CD419" s="12"/>
      <c r="CE419" s="12"/>
      <c r="CF419" s="12"/>
      <c r="CG419" s="12"/>
      <c r="CH419" s="12"/>
      <c r="CI419" s="12"/>
      <c r="CJ419" s="12"/>
      <c r="CK419" s="12"/>
      <c r="CL419" s="12"/>
      <c r="CM419" s="12"/>
      <c r="CN419" s="12"/>
      <c r="CO419" s="12"/>
      <c r="CP419" s="12"/>
      <c r="CQ419" s="12"/>
      <c r="CR419" s="12"/>
      <c r="CS419" s="12"/>
      <c r="CT419" s="12"/>
      <c r="CU419" s="12"/>
      <c r="CV419" s="12"/>
      <c r="CW419" s="12"/>
      <c r="CX419" s="12"/>
      <c r="CY419" s="12"/>
      <c r="CZ419" s="12"/>
      <c r="DA419" s="12"/>
      <c r="DB419" s="12"/>
      <c r="DC419" s="12"/>
      <c r="DD419" s="12"/>
      <c r="DE419" s="12"/>
      <c r="DF419" s="12"/>
      <c r="DG419" s="12"/>
      <c r="DH419" s="12"/>
      <c r="DI419" s="12"/>
      <c r="DJ419" s="12"/>
      <c r="DK419" s="12"/>
      <c r="DL419" s="12"/>
      <c r="DM419" s="12"/>
      <c r="DN419" s="12"/>
      <c r="DO419" s="12"/>
      <c r="DP419" s="12"/>
      <c r="DQ419" s="12"/>
      <c r="DR419" s="12"/>
      <c r="DS419" s="12"/>
      <c r="DT419" s="12"/>
      <c r="DU419" s="12"/>
      <c r="DV419" s="12"/>
      <c r="DW419" s="12"/>
      <c r="DX419" s="12"/>
      <c r="DY419" s="12"/>
      <c r="DZ419" s="12"/>
      <c r="EA419" s="12"/>
      <c r="EB419" s="12"/>
      <c r="EC419" s="12"/>
      <c r="ED419" s="12"/>
      <c r="EE419" s="12"/>
      <c r="EF419" s="12"/>
      <c r="EG419" s="12"/>
      <c r="EH419" s="12"/>
      <c r="EI419" s="12"/>
      <c r="EJ419" s="574"/>
      <c r="EK419" s="574"/>
      <c r="EL419" s="574"/>
      <c r="EM419" s="574"/>
      <c r="EN419" s="574"/>
      <c r="EO419" s="574"/>
      <c r="EP419" s="574"/>
      <c r="EQ419" s="574"/>
      <c r="ER419" s="574"/>
      <c r="ES419" s="574"/>
      <c r="ET419" s="574"/>
      <c r="EU419" s="574"/>
    </row>
    <row r="420">
      <c r="A420" s="12"/>
      <c r="B420" s="55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  <c r="BA420" s="12"/>
      <c r="BB420" s="12"/>
      <c r="BC420" s="12"/>
      <c r="BD420" s="12"/>
      <c r="BE420" s="12"/>
      <c r="BF420" s="12"/>
      <c r="BG420" s="12"/>
      <c r="BH420" s="12"/>
      <c r="BI420" s="12"/>
      <c r="BJ420" s="12"/>
      <c r="BK420" s="12"/>
      <c r="BL420" s="12"/>
      <c r="BM420" s="12"/>
      <c r="BN420" s="12"/>
      <c r="BO420" s="12"/>
      <c r="BP420" s="12"/>
      <c r="BQ420" s="12"/>
      <c r="BR420" s="12"/>
      <c r="BS420" s="12"/>
      <c r="BT420" s="12"/>
      <c r="BU420" s="12"/>
      <c r="BV420" s="12"/>
      <c r="BW420" s="12"/>
      <c r="BX420" s="12"/>
      <c r="BY420" s="12"/>
      <c r="BZ420" s="12"/>
      <c r="CA420" s="12"/>
      <c r="CB420" s="12"/>
      <c r="CC420" s="12"/>
      <c r="CD420" s="12"/>
      <c r="CE420" s="12"/>
      <c r="CF420" s="12"/>
      <c r="CG420" s="12"/>
      <c r="CH420" s="12"/>
      <c r="CI420" s="12"/>
      <c r="CJ420" s="12"/>
      <c r="CK420" s="12"/>
      <c r="CL420" s="12"/>
      <c r="CM420" s="12"/>
      <c r="CN420" s="12"/>
      <c r="CO420" s="12"/>
      <c r="CP420" s="12"/>
      <c r="CQ420" s="12"/>
      <c r="CR420" s="12"/>
      <c r="CS420" s="12"/>
      <c r="CT420" s="12"/>
      <c r="CU420" s="12"/>
      <c r="CV420" s="12"/>
      <c r="CW420" s="12"/>
      <c r="CX420" s="12"/>
      <c r="CY420" s="12"/>
      <c r="CZ420" s="12"/>
      <c r="DA420" s="12"/>
      <c r="DB420" s="12"/>
      <c r="DC420" s="12"/>
      <c r="DD420" s="12"/>
      <c r="DE420" s="12"/>
      <c r="DF420" s="12"/>
      <c r="DG420" s="12"/>
      <c r="DH420" s="12"/>
      <c r="DI420" s="12"/>
      <c r="DJ420" s="12"/>
      <c r="DK420" s="12"/>
      <c r="DL420" s="12"/>
      <c r="DM420" s="12"/>
      <c r="DN420" s="12"/>
      <c r="DO420" s="12"/>
      <c r="DP420" s="12"/>
      <c r="DQ420" s="12"/>
      <c r="DR420" s="12"/>
      <c r="DS420" s="12"/>
      <c r="DT420" s="12"/>
      <c r="DU420" s="12"/>
      <c r="DV420" s="12"/>
      <c r="DW420" s="12"/>
      <c r="DX420" s="12"/>
      <c r="DY420" s="12"/>
      <c r="DZ420" s="12"/>
      <c r="EA420" s="12"/>
      <c r="EB420" s="12"/>
      <c r="EC420" s="12"/>
      <c r="ED420" s="12"/>
      <c r="EE420" s="12"/>
      <c r="EF420" s="12"/>
      <c r="EG420" s="12"/>
      <c r="EH420" s="12"/>
      <c r="EI420" s="12"/>
      <c r="EJ420" s="574"/>
      <c r="EK420" s="574"/>
      <c r="EL420" s="574"/>
      <c r="EM420" s="574"/>
      <c r="EN420" s="574"/>
      <c r="EO420" s="574"/>
      <c r="EP420" s="574"/>
      <c r="EQ420" s="574"/>
      <c r="ER420" s="574"/>
      <c r="ES420" s="574"/>
      <c r="ET420" s="574"/>
      <c r="EU420" s="574"/>
    </row>
    <row r="421">
      <c r="A421" s="12"/>
      <c r="B421" s="55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/>
      <c r="BA421" s="12"/>
      <c r="BB421" s="12"/>
      <c r="BC421" s="12"/>
      <c r="BD421" s="12"/>
      <c r="BE421" s="12"/>
      <c r="BF421" s="12"/>
      <c r="BG421" s="12"/>
      <c r="BH421" s="12"/>
      <c r="BI421" s="12"/>
      <c r="BJ421" s="12"/>
      <c r="BK421" s="12"/>
      <c r="BL421" s="12"/>
      <c r="BM421" s="12"/>
      <c r="BN421" s="12"/>
      <c r="BO421" s="12"/>
      <c r="BP421" s="12"/>
      <c r="BQ421" s="12"/>
      <c r="BR421" s="12"/>
      <c r="BS421" s="12"/>
      <c r="BT421" s="12"/>
      <c r="BU421" s="12"/>
      <c r="BV421" s="12"/>
      <c r="BW421" s="12"/>
      <c r="BX421" s="12"/>
      <c r="BY421" s="12"/>
      <c r="BZ421" s="12"/>
      <c r="CA421" s="12"/>
      <c r="CB421" s="12"/>
      <c r="CC421" s="12"/>
      <c r="CD421" s="12"/>
      <c r="CE421" s="12"/>
      <c r="CF421" s="12"/>
      <c r="CG421" s="12"/>
      <c r="CH421" s="12"/>
      <c r="CI421" s="12"/>
      <c r="CJ421" s="12"/>
      <c r="CK421" s="12"/>
      <c r="CL421" s="12"/>
      <c r="CM421" s="12"/>
      <c r="CN421" s="12"/>
      <c r="CO421" s="12"/>
      <c r="CP421" s="12"/>
      <c r="CQ421" s="12"/>
      <c r="CR421" s="12"/>
      <c r="CS421" s="12"/>
      <c r="CT421" s="12"/>
      <c r="CU421" s="12"/>
      <c r="CV421" s="12"/>
      <c r="CW421" s="12"/>
      <c r="CX421" s="12"/>
      <c r="CY421" s="12"/>
      <c r="CZ421" s="12"/>
      <c r="DA421" s="12"/>
      <c r="DB421" s="12"/>
      <c r="DC421" s="12"/>
      <c r="DD421" s="12"/>
      <c r="DE421" s="12"/>
      <c r="DF421" s="12"/>
      <c r="DG421" s="12"/>
      <c r="DH421" s="12"/>
      <c r="DI421" s="12"/>
      <c r="DJ421" s="12"/>
      <c r="DK421" s="12"/>
      <c r="DL421" s="12"/>
      <c r="DM421" s="12"/>
      <c r="DN421" s="12"/>
      <c r="DO421" s="12"/>
      <c r="DP421" s="12"/>
      <c r="DQ421" s="12"/>
      <c r="DR421" s="12"/>
      <c r="DS421" s="12"/>
      <c r="DT421" s="12"/>
      <c r="DU421" s="12"/>
      <c r="DV421" s="12"/>
      <c r="DW421" s="12"/>
      <c r="DX421" s="12"/>
      <c r="DY421" s="12"/>
      <c r="DZ421" s="12"/>
      <c r="EA421" s="12"/>
      <c r="EB421" s="12"/>
      <c r="EC421" s="12"/>
      <c r="ED421" s="12"/>
      <c r="EE421" s="12"/>
      <c r="EF421" s="12"/>
      <c r="EG421" s="12"/>
      <c r="EH421" s="12"/>
      <c r="EI421" s="12"/>
      <c r="EJ421" s="574"/>
      <c r="EK421" s="574"/>
      <c r="EL421" s="574"/>
      <c r="EM421" s="574"/>
      <c r="EN421" s="574"/>
      <c r="EO421" s="574"/>
      <c r="EP421" s="574"/>
      <c r="EQ421" s="574"/>
      <c r="ER421" s="574"/>
      <c r="ES421" s="574"/>
      <c r="ET421" s="574"/>
      <c r="EU421" s="574"/>
    </row>
    <row r="422">
      <c r="A422" s="12"/>
      <c r="B422" s="55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  <c r="BA422" s="12"/>
      <c r="BB422" s="12"/>
      <c r="BC422" s="12"/>
      <c r="BD422" s="12"/>
      <c r="BE422" s="12"/>
      <c r="BF422" s="12"/>
      <c r="BG422" s="12"/>
      <c r="BH422" s="12"/>
      <c r="BI422" s="12"/>
      <c r="BJ422" s="12"/>
      <c r="BK422" s="12"/>
      <c r="BL422" s="12"/>
      <c r="BM422" s="12"/>
      <c r="BN422" s="12"/>
      <c r="BO422" s="12"/>
      <c r="BP422" s="12"/>
      <c r="BQ422" s="12"/>
      <c r="BR422" s="12"/>
      <c r="BS422" s="12"/>
      <c r="BT422" s="12"/>
      <c r="BU422" s="12"/>
      <c r="BV422" s="12"/>
      <c r="BW422" s="12"/>
      <c r="BX422" s="12"/>
      <c r="BY422" s="12"/>
      <c r="BZ422" s="12"/>
      <c r="CA422" s="12"/>
      <c r="CB422" s="12"/>
      <c r="CC422" s="12"/>
      <c r="CD422" s="12"/>
      <c r="CE422" s="12"/>
      <c r="CF422" s="12"/>
      <c r="CG422" s="12"/>
      <c r="CH422" s="12"/>
      <c r="CI422" s="12"/>
      <c r="CJ422" s="12"/>
      <c r="CK422" s="12"/>
      <c r="CL422" s="12"/>
      <c r="CM422" s="12"/>
      <c r="CN422" s="12"/>
      <c r="CO422" s="12"/>
      <c r="CP422" s="12"/>
      <c r="CQ422" s="12"/>
      <c r="CR422" s="12"/>
      <c r="CS422" s="12"/>
      <c r="CT422" s="12"/>
      <c r="CU422" s="12"/>
      <c r="CV422" s="12"/>
      <c r="CW422" s="12"/>
      <c r="CX422" s="12"/>
      <c r="CY422" s="12"/>
      <c r="CZ422" s="12"/>
      <c r="DA422" s="12"/>
      <c r="DB422" s="12"/>
      <c r="DC422" s="12"/>
      <c r="DD422" s="12"/>
      <c r="DE422" s="12"/>
      <c r="DF422" s="12"/>
      <c r="DG422" s="12"/>
      <c r="DH422" s="12"/>
      <c r="DI422" s="12"/>
      <c r="DJ422" s="12"/>
      <c r="DK422" s="12"/>
      <c r="DL422" s="12"/>
      <c r="DM422" s="12"/>
      <c r="DN422" s="12"/>
      <c r="DO422" s="12"/>
      <c r="DP422" s="12"/>
      <c r="DQ422" s="12"/>
      <c r="DR422" s="12"/>
      <c r="DS422" s="12"/>
      <c r="DT422" s="12"/>
      <c r="DU422" s="12"/>
      <c r="DV422" s="12"/>
      <c r="DW422" s="12"/>
      <c r="DX422" s="12"/>
      <c r="DY422" s="12"/>
      <c r="DZ422" s="12"/>
      <c r="EA422" s="12"/>
      <c r="EB422" s="12"/>
      <c r="EC422" s="12"/>
      <c r="ED422" s="12"/>
      <c r="EE422" s="12"/>
      <c r="EF422" s="12"/>
      <c r="EG422" s="12"/>
      <c r="EH422" s="12"/>
      <c r="EI422" s="12"/>
      <c r="EJ422" s="574"/>
      <c r="EK422" s="574"/>
      <c r="EL422" s="574"/>
      <c r="EM422" s="574"/>
      <c r="EN422" s="574"/>
      <c r="EO422" s="574"/>
      <c r="EP422" s="574"/>
      <c r="EQ422" s="574"/>
      <c r="ER422" s="574"/>
      <c r="ES422" s="574"/>
      <c r="ET422" s="574"/>
      <c r="EU422" s="574"/>
    </row>
    <row r="423">
      <c r="A423" s="12"/>
      <c r="B423" s="55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  <c r="BA423" s="12"/>
      <c r="BB423" s="12"/>
      <c r="BC423" s="12"/>
      <c r="BD423" s="12"/>
      <c r="BE423" s="12"/>
      <c r="BF423" s="12"/>
      <c r="BG423" s="12"/>
      <c r="BH423" s="12"/>
      <c r="BI423" s="12"/>
      <c r="BJ423" s="12"/>
      <c r="BK423" s="12"/>
      <c r="BL423" s="12"/>
      <c r="BM423" s="12"/>
      <c r="BN423" s="12"/>
      <c r="BO423" s="12"/>
      <c r="BP423" s="12"/>
      <c r="BQ423" s="12"/>
      <c r="BR423" s="12"/>
      <c r="BS423" s="12"/>
      <c r="BT423" s="12"/>
      <c r="BU423" s="12"/>
      <c r="BV423" s="12"/>
      <c r="BW423" s="12"/>
      <c r="BX423" s="12"/>
      <c r="BY423" s="12"/>
      <c r="BZ423" s="12"/>
      <c r="CA423" s="12"/>
      <c r="CB423" s="12"/>
      <c r="CC423" s="12"/>
      <c r="CD423" s="12"/>
      <c r="CE423" s="12"/>
      <c r="CF423" s="12"/>
      <c r="CG423" s="12"/>
      <c r="CH423" s="12"/>
      <c r="CI423" s="12"/>
      <c r="CJ423" s="12"/>
      <c r="CK423" s="12"/>
      <c r="CL423" s="12"/>
      <c r="CM423" s="12"/>
      <c r="CN423" s="12"/>
      <c r="CO423" s="12"/>
      <c r="CP423" s="12"/>
      <c r="CQ423" s="12"/>
      <c r="CR423" s="12"/>
      <c r="CS423" s="12"/>
      <c r="CT423" s="12"/>
      <c r="CU423" s="12"/>
      <c r="CV423" s="12"/>
      <c r="CW423" s="12"/>
      <c r="CX423" s="12"/>
      <c r="CY423" s="12"/>
      <c r="CZ423" s="12"/>
      <c r="DA423" s="12"/>
      <c r="DB423" s="12"/>
      <c r="DC423" s="12"/>
      <c r="DD423" s="12"/>
      <c r="DE423" s="12"/>
      <c r="DF423" s="12"/>
      <c r="DG423" s="12"/>
      <c r="DH423" s="12"/>
      <c r="DI423" s="12"/>
      <c r="DJ423" s="12"/>
      <c r="DK423" s="12"/>
      <c r="DL423" s="12"/>
      <c r="DM423" s="12"/>
      <c r="DN423" s="12"/>
      <c r="DO423" s="12"/>
      <c r="DP423" s="12"/>
      <c r="DQ423" s="12"/>
      <c r="DR423" s="12"/>
      <c r="DS423" s="12"/>
      <c r="DT423" s="12"/>
      <c r="DU423" s="12"/>
      <c r="DV423" s="12"/>
      <c r="DW423" s="12"/>
      <c r="DX423" s="12"/>
      <c r="DY423" s="12"/>
      <c r="DZ423" s="12"/>
      <c r="EA423" s="12"/>
      <c r="EB423" s="12"/>
      <c r="EC423" s="12"/>
      <c r="ED423" s="12"/>
      <c r="EE423" s="12"/>
      <c r="EF423" s="12"/>
      <c r="EG423" s="12"/>
      <c r="EH423" s="12"/>
      <c r="EI423" s="12"/>
      <c r="EJ423" s="574"/>
      <c r="EK423" s="574"/>
      <c r="EL423" s="574"/>
      <c r="EM423" s="574"/>
      <c r="EN423" s="574"/>
      <c r="EO423" s="574"/>
      <c r="EP423" s="574"/>
      <c r="EQ423" s="574"/>
      <c r="ER423" s="574"/>
      <c r="ES423" s="574"/>
      <c r="ET423" s="574"/>
      <c r="EU423" s="574"/>
    </row>
    <row r="424">
      <c r="A424" s="12"/>
      <c r="B424" s="55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  <c r="BA424" s="12"/>
      <c r="BB424" s="12"/>
      <c r="BC424" s="12"/>
      <c r="BD424" s="12"/>
      <c r="BE424" s="12"/>
      <c r="BF424" s="12"/>
      <c r="BG424" s="12"/>
      <c r="BH424" s="12"/>
      <c r="BI424" s="12"/>
      <c r="BJ424" s="12"/>
      <c r="BK424" s="12"/>
      <c r="BL424" s="12"/>
      <c r="BM424" s="12"/>
      <c r="BN424" s="12"/>
      <c r="BO424" s="12"/>
      <c r="BP424" s="12"/>
      <c r="BQ424" s="12"/>
      <c r="BR424" s="12"/>
      <c r="BS424" s="12"/>
      <c r="BT424" s="12"/>
      <c r="BU424" s="12"/>
      <c r="BV424" s="12"/>
      <c r="BW424" s="12"/>
      <c r="BX424" s="12"/>
      <c r="BY424" s="12"/>
      <c r="BZ424" s="12"/>
      <c r="CA424" s="12"/>
      <c r="CB424" s="12"/>
      <c r="CC424" s="12"/>
      <c r="CD424" s="12"/>
      <c r="CE424" s="12"/>
      <c r="CF424" s="12"/>
      <c r="CG424" s="12"/>
      <c r="CH424" s="12"/>
      <c r="CI424" s="12"/>
      <c r="CJ424" s="12"/>
      <c r="CK424" s="12"/>
      <c r="CL424" s="12"/>
      <c r="CM424" s="12"/>
      <c r="CN424" s="12"/>
      <c r="CO424" s="12"/>
      <c r="CP424" s="12"/>
      <c r="CQ424" s="12"/>
      <c r="CR424" s="12"/>
      <c r="CS424" s="12"/>
      <c r="CT424" s="12"/>
      <c r="CU424" s="12"/>
      <c r="CV424" s="12"/>
      <c r="CW424" s="12"/>
      <c r="CX424" s="12"/>
      <c r="CY424" s="12"/>
      <c r="CZ424" s="12"/>
      <c r="DA424" s="12"/>
      <c r="DB424" s="12"/>
      <c r="DC424" s="12"/>
      <c r="DD424" s="12"/>
      <c r="DE424" s="12"/>
      <c r="DF424" s="12"/>
      <c r="DG424" s="12"/>
      <c r="DH424" s="12"/>
      <c r="DI424" s="12"/>
      <c r="DJ424" s="12"/>
      <c r="DK424" s="12"/>
      <c r="DL424" s="12"/>
      <c r="DM424" s="12"/>
      <c r="DN424" s="12"/>
      <c r="DO424" s="12"/>
      <c r="DP424" s="12"/>
      <c r="DQ424" s="12"/>
      <c r="DR424" s="12"/>
      <c r="DS424" s="12"/>
      <c r="DT424" s="12"/>
      <c r="DU424" s="12"/>
      <c r="DV424" s="12"/>
      <c r="DW424" s="12"/>
      <c r="DX424" s="12"/>
      <c r="DY424" s="12"/>
      <c r="DZ424" s="12"/>
      <c r="EA424" s="12"/>
      <c r="EB424" s="12"/>
      <c r="EC424" s="12"/>
      <c r="ED424" s="12"/>
      <c r="EE424" s="12"/>
      <c r="EF424" s="12"/>
      <c r="EG424" s="12"/>
      <c r="EH424" s="12"/>
      <c r="EI424" s="12"/>
      <c r="EJ424" s="574"/>
      <c r="EK424" s="574"/>
      <c r="EL424" s="574"/>
      <c r="EM424" s="574"/>
      <c r="EN424" s="574"/>
      <c r="EO424" s="574"/>
      <c r="EP424" s="574"/>
      <c r="EQ424" s="574"/>
      <c r="ER424" s="574"/>
      <c r="ES424" s="574"/>
      <c r="ET424" s="574"/>
      <c r="EU424" s="574"/>
    </row>
    <row r="425">
      <c r="A425" s="12"/>
      <c r="B425" s="55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/>
      <c r="BA425" s="12"/>
      <c r="BB425" s="12"/>
      <c r="BC425" s="12"/>
      <c r="BD425" s="12"/>
      <c r="BE425" s="12"/>
      <c r="BF425" s="12"/>
      <c r="BG425" s="12"/>
      <c r="BH425" s="12"/>
      <c r="BI425" s="12"/>
      <c r="BJ425" s="12"/>
      <c r="BK425" s="12"/>
      <c r="BL425" s="12"/>
      <c r="BM425" s="12"/>
      <c r="BN425" s="12"/>
      <c r="BO425" s="12"/>
      <c r="BP425" s="12"/>
      <c r="BQ425" s="12"/>
      <c r="BR425" s="12"/>
      <c r="BS425" s="12"/>
      <c r="BT425" s="12"/>
      <c r="BU425" s="12"/>
      <c r="BV425" s="12"/>
      <c r="BW425" s="12"/>
      <c r="BX425" s="12"/>
      <c r="BY425" s="12"/>
      <c r="BZ425" s="12"/>
      <c r="CA425" s="12"/>
      <c r="CB425" s="12"/>
      <c r="CC425" s="12"/>
      <c r="CD425" s="12"/>
      <c r="CE425" s="12"/>
      <c r="CF425" s="12"/>
      <c r="CG425" s="12"/>
      <c r="CH425" s="12"/>
      <c r="CI425" s="12"/>
      <c r="CJ425" s="12"/>
      <c r="CK425" s="12"/>
      <c r="CL425" s="12"/>
      <c r="CM425" s="12"/>
      <c r="CN425" s="12"/>
      <c r="CO425" s="12"/>
      <c r="CP425" s="12"/>
      <c r="CQ425" s="12"/>
      <c r="CR425" s="12"/>
      <c r="CS425" s="12"/>
      <c r="CT425" s="12"/>
      <c r="CU425" s="12"/>
      <c r="CV425" s="12"/>
      <c r="CW425" s="12"/>
      <c r="CX425" s="12"/>
      <c r="CY425" s="12"/>
      <c r="CZ425" s="12"/>
      <c r="DA425" s="12"/>
      <c r="DB425" s="12"/>
      <c r="DC425" s="12"/>
      <c r="DD425" s="12"/>
      <c r="DE425" s="12"/>
      <c r="DF425" s="12"/>
      <c r="DG425" s="12"/>
      <c r="DH425" s="12"/>
      <c r="DI425" s="12"/>
      <c r="DJ425" s="12"/>
      <c r="DK425" s="12"/>
      <c r="DL425" s="12"/>
      <c r="DM425" s="12"/>
      <c r="DN425" s="12"/>
      <c r="DO425" s="12"/>
      <c r="DP425" s="12"/>
      <c r="DQ425" s="12"/>
      <c r="DR425" s="12"/>
      <c r="DS425" s="12"/>
      <c r="DT425" s="12"/>
      <c r="DU425" s="12"/>
      <c r="DV425" s="12"/>
      <c r="DW425" s="12"/>
      <c r="DX425" s="12"/>
      <c r="DY425" s="12"/>
      <c r="DZ425" s="12"/>
      <c r="EA425" s="12"/>
      <c r="EB425" s="12"/>
      <c r="EC425" s="12"/>
      <c r="ED425" s="12"/>
      <c r="EE425" s="12"/>
      <c r="EF425" s="12"/>
      <c r="EG425" s="12"/>
      <c r="EH425" s="12"/>
      <c r="EI425" s="12"/>
      <c r="EJ425" s="574"/>
      <c r="EK425" s="574"/>
      <c r="EL425" s="574"/>
      <c r="EM425" s="574"/>
      <c r="EN425" s="574"/>
      <c r="EO425" s="574"/>
      <c r="EP425" s="574"/>
      <c r="EQ425" s="574"/>
      <c r="ER425" s="574"/>
      <c r="ES425" s="574"/>
      <c r="ET425" s="574"/>
      <c r="EU425" s="574"/>
    </row>
    <row r="426">
      <c r="A426" s="12"/>
      <c r="B426" s="55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  <c r="BA426" s="12"/>
      <c r="BB426" s="12"/>
      <c r="BC426" s="12"/>
      <c r="BD426" s="12"/>
      <c r="BE426" s="12"/>
      <c r="BF426" s="12"/>
      <c r="BG426" s="12"/>
      <c r="BH426" s="12"/>
      <c r="BI426" s="12"/>
      <c r="BJ426" s="12"/>
      <c r="BK426" s="12"/>
      <c r="BL426" s="12"/>
      <c r="BM426" s="12"/>
      <c r="BN426" s="12"/>
      <c r="BO426" s="12"/>
      <c r="BP426" s="12"/>
      <c r="BQ426" s="12"/>
      <c r="BR426" s="12"/>
      <c r="BS426" s="12"/>
      <c r="BT426" s="12"/>
      <c r="BU426" s="12"/>
      <c r="BV426" s="12"/>
      <c r="BW426" s="12"/>
      <c r="BX426" s="12"/>
      <c r="BY426" s="12"/>
      <c r="BZ426" s="12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574"/>
      <c r="EK426" s="574"/>
      <c r="EL426" s="574"/>
      <c r="EM426" s="574"/>
      <c r="EN426" s="574"/>
      <c r="EO426" s="574"/>
      <c r="EP426" s="574"/>
      <c r="EQ426" s="574"/>
      <c r="ER426" s="574"/>
      <c r="ES426" s="574"/>
      <c r="ET426" s="574"/>
      <c r="EU426" s="574"/>
    </row>
    <row r="427">
      <c r="A427" s="12"/>
      <c r="B427" s="55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  <c r="BA427" s="12"/>
      <c r="BB427" s="12"/>
      <c r="BC427" s="12"/>
      <c r="BD427" s="12"/>
      <c r="BE427" s="12"/>
      <c r="BF427" s="12"/>
      <c r="BG427" s="12"/>
      <c r="BH427" s="12"/>
      <c r="BI427" s="12"/>
      <c r="BJ427" s="12"/>
      <c r="BK427" s="12"/>
      <c r="BL427" s="12"/>
      <c r="BM427" s="12"/>
      <c r="BN427" s="12"/>
      <c r="BO427" s="12"/>
      <c r="BP427" s="12"/>
      <c r="BQ427" s="12"/>
      <c r="BR427" s="12"/>
      <c r="BS427" s="12"/>
      <c r="BT427" s="12"/>
      <c r="BU427" s="12"/>
      <c r="BV427" s="12"/>
      <c r="BW427" s="12"/>
      <c r="BX427" s="12"/>
      <c r="BY427" s="12"/>
      <c r="BZ427" s="12"/>
      <c r="CA427" s="12"/>
      <c r="CB427" s="12"/>
      <c r="CC427" s="12"/>
      <c r="CD427" s="12"/>
      <c r="CE427" s="12"/>
      <c r="CF427" s="12"/>
      <c r="CG427" s="12"/>
      <c r="CH427" s="12"/>
      <c r="CI427" s="12"/>
      <c r="CJ427" s="12"/>
      <c r="CK427" s="12"/>
      <c r="CL427" s="12"/>
      <c r="CM427" s="12"/>
      <c r="CN427" s="12"/>
      <c r="CO427" s="12"/>
      <c r="CP427" s="12"/>
      <c r="CQ427" s="12"/>
      <c r="CR427" s="12"/>
      <c r="CS427" s="12"/>
      <c r="CT427" s="12"/>
      <c r="CU427" s="12"/>
      <c r="CV427" s="12"/>
      <c r="CW427" s="12"/>
      <c r="CX427" s="12"/>
      <c r="CY427" s="12"/>
      <c r="CZ427" s="12"/>
      <c r="DA427" s="12"/>
      <c r="DB427" s="12"/>
      <c r="DC427" s="12"/>
      <c r="DD427" s="12"/>
      <c r="DE427" s="12"/>
      <c r="DF427" s="12"/>
      <c r="DG427" s="12"/>
      <c r="DH427" s="12"/>
      <c r="DI427" s="12"/>
      <c r="DJ427" s="12"/>
      <c r="DK427" s="12"/>
      <c r="DL427" s="12"/>
      <c r="DM427" s="12"/>
      <c r="DN427" s="12"/>
      <c r="DO427" s="12"/>
      <c r="DP427" s="12"/>
      <c r="DQ427" s="12"/>
      <c r="DR427" s="12"/>
      <c r="DS427" s="12"/>
      <c r="DT427" s="12"/>
      <c r="DU427" s="12"/>
      <c r="DV427" s="12"/>
      <c r="DW427" s="12"/>
      <c r="DX427" s="12"/>
      <c r="DY427" s="12"/>
      <c r="DZ427" s="12"/>
      <c r="EA427" s="12"/>
      <c r="EB427" s="12"/>
      <c r="EC427" s="12"/>
      <c r="ED427" s="12"/>
      <c r="EE427" s="12"/>
      <c r="EF427" s="12"/>
      <c r="EG427" s="12"/>
      <c r="EH427" s="12"/>
      <c r="EI427" s="12"/>
      <c r="EJ427" s="574"/>
      <c r="EK427" s="574"/>
      <c r="EL427" s="574"/>
      <c r="EM427" s="574"/>
      <c r="EN427" s="574"/>
      <c r="EO427" s="574"/>
      <c r="EP427" s="574"/>
      <c r="EQ427" s="574"/>
      <c r="ER427" s="574"/>
      <c r="ES427" s="574"/>
      <c r="ET427" s="574"/>
      <c r="EU427" s="574"/>
    </row>
    <row r="428">
      <c r="A428" s="12"/>
      <c r="B428" s="55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  <c r="BA428" s="12"/>
      <c r="BB428" s="12"/>
      <c r="BC428" s="12"/>
      <c r="BD428" s="12"/>
      <c r="BE428" s="12"/>
      <c r="BF428" s="12"/>
      <c r="BG428" s="12"/>
      <c r="BH428" s="12"/>
      <c r="BI428" s="12"/>
      <c r="BJ428" s="12"/>
      <c r="BK428" s="12"/>
      <c r="BL428" s="12"/>
      <c r="BM428" s="12"/>
      <c r="BN428" s="12"/>
      <c r="BO428" s="12"/>
      <c r="BP428" s="12"/>
      <c r="BQ428" s="12"/>
      <c r="BR428" s="12"/>
      <c r="BS428" s="12"/>
      <c r="BT428" s="12"/>
      <c r="BU428" s="12"/>
      <c r="BV428" s="12"/>
      <c r="BW428" s="12"/>
      <c r="BX428" s="12"/>
      <c r="BY428" s="12"/>
      <c r="BZ428" s="12"/>
      <c r="CA428" s="12"/>
      <c r="CB428" s="12"/>
      <c r="CC428" s="12"/>
      <c r="CD428" s="12"/>
      <c r="CE428" s="12"/>
      <c r="CF428" s="12"/>
      <c r="CG428" s="12"/>
      <c r="CH428" s="12"/>
      <c r="CI428" s="12"/>
      <c r="CJ428" s="12"/>
      <c r="CK428" s="12"/>
      <c r="CL428" s="12"/>
      <c r="CM428" s="12"/>
      <c r="CN428" s="12"/>
      <c r="CO428" s="12"/>
      <c r="CP428" s="12"/>
      <c r="CQ428" s="12"/>
      <c r="CR428" s="12"/>
      <c r="CS428" s="12"/>
      <c r="CT428" s="12"/>
      <c r="CU428" s="12"/>
      <c r="CV428" s="12"/>
      <c r="CW428" s="12"/>
      <c r="CX428" s="12"/>
      <c r="CY428" s="12"/>
      <c r="CZ428" s="12"/>
      <c r="DA428" s="12"/>
      <c r="DB428" s="12"/>
      <c r="DC428" s="12"/>
      <c r="DD428" s="12"/>
      <c r="DE428" s="12"/>
      <c r="DF428" s="12"/>
      <c r="DG428" s="12"/>
      <c r="DH428" s="12"/>
      <c r="DI428" s="12"/>
      <c r="DJ428" s="12"/>
      <c r="DK428" s="12"/>
      <c r="DL428" s="12"/>
      <c r="DM428" s="12"/>
      <c r="DN428" s="12"/>
      <c r="DO428" s="12"/>
      <c r="DP428" s="12"/>
      <c r="DQ428" s="12"/>
      <c r="DR428" s="12"/>
      <c r="DS428" s="12"/>
      <c r="DT428" s="12"/>
      <c r="DU428" s="12"/>
      <c r="DV428" s="12"/>
      <c r="DW428" s="12"/>
      <c r="DX428" s="12"/>
      <c r="DY428" s="12"/>
      <c r="DZ428" s="12"/>
      <c r="EA428" s="12"/>
      <c r="EB428" s="12"/>
      <c r="EC428" s="12"/>
      <c r="ED428" s="12"/>
      <c r="EE428" s="12"/>
      <c r="EF428" s="12"/>
      <c r="EG428" s="12"/>
      <c r="EH428" s="12"/>
      <c r="EI428" s="12"/>
      <c r="EJ428" s="574"/>
      <c r="EK428" s="574"/>
      <c r="EL428" s="574"/>
      <c r="EM428" s="574"/>
      <c r="EN428" s="574"/>
      <c r="EO428" s="574"/>
      <c r="EP428" s="574"/>
      <c r="EQ428" s="574"/>
      <c r="ER428" s="574"/>
      <c r="ES428" s="574"/>
      <c r="ET428" s="574"/>
      <c r="EU428" s="574"/>
    </row>
    <row r="429">
      <c r="A429" s="12"/>
      <c r="B429" s="55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/>
      <c r="BA429" s="12"/>
      <c r="BB429" s="12"/>
      <c r="BC429" s="12"/>
      <c r="BD429" s="12"/>
      <c r="BE429" s="12"/>
      <c r="BF429" s="12"/>
      <c r="BG429" s="12"/>
      <c r="BH429" s="12"/>
      <c r="BI429" s="12"/>
      <c r="BJ429" s="12"/>
      <c r="BK429" s="12"/>
      <c r="BL429" s="12"/>
      <c r="BM429" s="12"/>
      <c r="BN429" s="12"/>
      <c r="BO429" s="12"/>
      <c r="BP429" s="12"/>
      <c r="BQ429" s="12"/>
      <c r="BR429" s="12"/>
      <c r="BS429" s="12"/>
      <c r="BT429" s="12"/>
      <c r="BU429" s="12"/>
      <c r="BV429" s="12"/>
      <c r="BW429" s="12"/>
      <c r="BX429" s="12"/>
      <c r="BY429" s="12"/>
      <c r="BZ429" s="12"/>
      <c r="CA429" s="12"/>
      <c r="CB429" s="12"/>
      <c r="CC429" s="12"/>
      <c r="CD429" s="12"/>
      <c r="CE429" s="12"/>
      <c r="CF429" s="12"/>
      <c r="CG429" s="12"/>
      <c r="CH429" s="12"/>
      <c r="CI429" s="12"/>
      <c r="CJ429" s="12"/>
      <c r="CK429" s="12"/>
      <c r="CL429" s="12"/>
      <c r="CM429" s="12"/>
      <c r="CN429" s="12"/>
      <c r="CO429" s="12"/>
      <c r="CP429" s="12"/>
      <c r="CQ429" s="12"/>
      <c r="CR429" s="12"/>
      <c r="CS429" s="12"/>
      <c r="CT429" s="12"/>
      <c r="CU429" s="12"/>
      <c r="CV429" s="12"/>
      <c r="CW429" s="12"/>
      <c r="CX429" s="12"/>
      <c r="CY429" s="12"/>
      <c r="CZ429" s="12"/>
      <c r="DA429" s="12"/>
      <c r="DB429" s="12"/>
      <c r="DC429" s="12"/>
      <c r="DD429" s="12"/>
      <c r="DE429" s="12"/>
      <c r="DF429" s="12"/>
      <c r="DG429" s="12"/>
      <c r="DH429" s="12"/>
      <c r="DI429" s="12"/>
      <c r="DJ429" s="12"/>
      <c r="DK429" s="12"/>
      <c r="DL429" s="12"/>
      <c r="DM429" s="12"/>
      <c r="DN429" s="12"/>
      <c r="DO429" s="12"/>
      <c r="DP429" s="12"/>
      <c r="DQ429" s="12"/>
      <c r="DR429" s="12"/>
      <c r="DS429" s="12"/>
      <c r="DT429" s="12"/>
      <c r="DU429" s="12"/>
      <c r="DV429" s="12"/>
      <c r="DW429" s="12"/>
      <c r="DX429" s="12"/>
      <c r="DY429" s="12"/>
      <c r="DZ429" s="12"/>
      <c r="EA429" s="12"/>
      <c r="EB429" s="12"/>
      <c r="EC429" s="12"/>
      <c r="ED429" s="12"/>
      <c r="EE429" s="12"/>
      <c r="EF429" s="12"/>
      <c r="EG429" s="12"/>
      <c r="EH429" s="12"/>
      <c r="EI429" s="12"/>
      <c r="EJ429" s="574"/>
      <c r="EK429" s="574"/>
      <c r="EL429" s="574"/>
      <c r="EM429" s="574"/>
      <c r="EN429" s="574"/>
      <c r="EO429" s="574"/>
      <c r="EP429" s="574"/>
      <c r="EQ429" s="574"/>
      <c r="ER429" s="574"/>
      <c r="ES429" s="574"/>
      <c r="ET429" s="574"/>
      <c r="EU429" s="574"/>
    </row>
    <row r="430">
      <c r="A430" s="12"/>
      <c r="B430" s="55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  <c r="BA430" s="12"/>
      <c r="BB430" s="12"/>
      <c r="BC430" s="12"/>
      <c r="BD430" s="12"/>
      <c r="BE430" s="12"/>
      <c r="BF430" s="12"/>
      <c r="BG430" s="12"/>
      <c r="BH430" s="12"/>
      <c r="BI430" s="12"/>
      <c r="BJ430" s="12"/>
      <c r="BK430" s="12"/>
      <c r="BL430" s="12"/>
      <c r="BM430" s="12"/>
      <c r="BN430" s="12"/>
      <c r="BO430" s="12"/>
      <c r="BP430" s="12"/>
      <c r="BQ430" s="12"/>
      <c r="BR430" s="12"/>
      <c r="BS430" s="12"/>
      <c r="BT430" s="12"/>
      <c r="BU430" s="12"/>
      <c r="BV430" s="12"/>
      <c r="BW430" s="12"/>
      <c r="BX430" s="12"/>
      <c r="BY430" s="12"/>
      <c r="BZ430" s="12"/>
      <c r="CA430" s="12"/>
      <c r="CB430" s="12"/>
      <c r="CC430" s="12"/>
      <c r="CD430" s="12"/>
      <c r="CE430" s="12"/>
      <c r="CF430" s="12"/>
      <c r="CG430" s="12"/>
      <c r="CH430" s="12"/>
      <c r="CI430" s="12"/>
      <c r="CJ430" s="12"/>
      <c r="CK430" s="12"/>
      <c r="CL430" s="12"/>
      <c r="CM430" s="12"/>
      <c r="CN430" s="12"/>
      <c r="CO430" s="12"/>
      <c r="CP430" s="12"/>
      <c r="CQ430" s="12"/>
      <c r="CR430" s="12"/>
      <c r="CS430" s="12"/>
      <c r="CT430" s="12"/>
      <c r="CU430" s="12"/>
      <c r="CV430" s="12"/>
      <c r="CW430" s="12"/>
      <c r="CX430" s="12"/>
      <c r="CY430" s="12"/>
      <c r="CZ430" s="12"/>
      <c r="DA430" s="12"/>
      <c r="DB430" s="12"/>
      <c r="DC430" s="12"/>
      <c r="DD430" s="12"/>
      <c r="DE430" s="12"/>
      <c r="DF430" s="12"/>
      <c r="DG430" s="12"/>
      <c r="DH430" s="12"/>
      <c r="DI430" s="12"/>
      <c r="DJ430" s="12"/>
      <c r="DK430" s="12"/>
      <c r="DL430" s="12"/>
      <c r="DM430" s="12"/>
      <c r="DN430" s="12"/>
      <c r="DO430" s="12"/>
      <c r="DP430" s="12"/>
      <c r="DQ430" s="12"/>
      <c r="DR430" s="12"/>
      <c r="DS430" s="12"/>
      <c r="DT430" s="12"/>
      <c r="DU430" s="12"/>
      <c r="DV430" s="12"/>
      <c r="DW430" s="12"/>
      <c r="DX430" s="12"/>
      <c r="DY430" s="12"/>
      <c r="DZ430" s="12"/>
      <c r="EA430" s="12"/>
      <c r="EB430" s="12"/>
      <c r="EC430" s="12"/>
      <c r="ED430" s="12"/>
      <c r="EE430" s="12"/>
      <c r="EF430" s="12"/>
      <c r="EG430" s="12"/>
      <c r="EH430" s="12"/>
      <c r="EI430" s="12"/>
      <c r="EJ430" s="574"/>
      <c r="EK430" s="574"/>
      <c r="EL430" s="574"/>
      <c r="EM430" s="574"/>
      <c r="EN430" s="574"/>
      <c r="EO430" s="574"/>
      <c r="EP430" s="574"/>
      <c r="EQ430" s="574"/>
      <c r="ER430" s="574"/>
      <c r="ES430" s="574"/>
      <c r="ET430" s="574"/>
      <c r="EU430" s="574"/>
    </row>
    <row r="431">
      <c r="A431" s="12"/>
      <c r="B431" s="55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/>
      <c r="BA431" s="12"/>
      <c r="BB431" s="12"/>
      <c r="BC431" s="12"/>
      <c r="BD431" s="12"/>
      <c r="BE431" s="12"/>
      <c r="BF431" s="12"/>
      <c r="BG431" s="12"/>
      <c r="BH431" s="12"/>
      <c r="BI431" s="12"/>
      <c r="BJ431" s="12"/>
      <c r="BK431" s="12"/>
      <c r="BL431" s="12"/>
      <c r="BM431" s="12"/>
      <c r="BN431" s="12"/>
      <c r="BO431" s="12"/>
      <c r="BP431" s="12"/>
      <c r="BQ431" s="12"/>
      <c r="BR431" s="12"/>
      <c r="BS431" s="12"/>
      <c r="BT431" s="12"/>
      <c r="BU431" s="12"/>
      <c r="BV431" s="12"/>
      <c r="BW431" s="12"/>
      <c r="BX431" s="12"/>
      <c r="BY431" s="12"/>
      <c r="BZ431" s="12"/>
      <c r="CA431" s="12"/>
      <c r="CB431" s="12"/>
      <c r="CC431" s="12"/>
      <c r="CD431" s="12"/>
      <c r="CE431" s="12"/>
      <c r="CF431" s="12"/>
      <c r="CG431" s="12"/>
      <c r="CH431" s="12"/>
      <c r="CI431" s="12"/>
      <c r="CJ431" s="12"/>
      <c r="CK431" s="12"/>
      <c r="CL431" s="12"/>
      <c r="CM431" s="12"/>
      <c r="CN431" s="12"/>
      <c r="CO431" s="12"/>
      <c r="CP431" s="12"/>
      <c r="CQ431" s="12"/>
      <c r="CR431" s="12"/>
      <c r="CS431" s="12"/>
      <c r="CT431" s="12"/>
      <c r="CU431" s="12"/>
      <c r="CV431" s="12"/>
      <c r="CW431" s="12"/>
      <c r="CX431" s="12"/>
      <c r="CY431" s="12"/>
      <c r="CZ431" s="12"/>
      <c r="DA431" s="12"/>
      <c r="DB431" s="12"/>
      <c r="DC431" s="12"/>
      <c r="DD431" s="12"/>
      <c r="DE431" s="12"/>
      <c r="DF431" s="12"/>
      <c r="DG431" s="12"/>
      <c r="DH431" s="12"/>
      <c r="DI431" s="12"/>
      <c r="DJ431" s="12"/>
      <c r="DK431" s="12"/>
      <c r="DL431" s="12"/>
      <c r="DM431" s="12"/>
      <c r="DN431" s="12"/>
      <c r="DO431" s="12"/>
      <c r="DP431" s="12"/>
      <c r="DQ431" s="12"/>
      <c r="DR431" s="12"/>
      <c r="DS431" s="12"/>
      <c r="DT431" s="12"/>
      <c r="DU431" s="12"/>
      <c r="DV431" s="12"/>
      <c r="DW431" s="12"/>
      <c r="DX431" s="12"/>
      <c r="DY431" s="12"/>
      <c r="DZ431" s="12"/>
      <c r="EA431" s="12"/>
      <c r="EB431" s="12"/>
      <c r="EC431" s="12"/>
      <c r="ED431" s="12"/>
      <c r="EE431" s="12"/>
      <c r="EF431" s="12"/>
      <c r="EG431" s="12"/>
      <c r="EH431" s="12"/>
      <c r="EI431" s="12"/>
      <c r="EJ431" s="574"/>
      <c r="EK431" s="574"/>
      <c r="EL431" s="574"/>
      <c r="EM431" s="574"/>
      <c r="EN431" s="574"/>
      <c r="EO431" s="574"/>
      <c r="EP431" s="574"/>
      <c r="EQ431" s="574"/>
      <c r="ER431" s="574"/>
      <c r="ES431" s="574"/>
      <c r="ET431" s="574"/>
      <c r="EU431" s="574"/>
    </row>
    <row r="432">
      <c r="A432" s="12"/>
      <c r="B432" s="55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  <c r="BA432" s="12"/>
      <c r="BB432" s="12"/>
      <c r="BC432" s="12"/>
      <c r="BD432" s="12"/>
      <c r="BE432" s="12"/>
      <c r="BF432" s="12"/>
      <c r="BG432" s="12"/>
      <c r="BH432" s="12"/>
      <c r="BI432" s="12"/>
      <c r="BJ432" s="12"/>
      <c r="BK432" s="12"/>
      <c r="BL432" s="12"/>
      <c r="BM432" s="12"/>
      <c r="BN432" s="12"/>
      <c r="BO432" s="12"/>
      <c r="BP432" s="12"/>
      <c r="BQ432" s="12"/>
      <c r="BR432" s="12"/>
      <c r="BS432" s="12"/>
      <c r="BT432" s="12"/>
      <c r="BU432" s="12"/>
      <c r="BV432" s="12"/>
      <c r="BW432" s="12"/>
      <c r="BX432" s="12"/>
      <c r="BY432" s="12"/>
      <c r="BZ432" s="12"/>
      <c r="CA432" s="12"/>
      <c r="CB432" s="12"/>
      <c r="CC432" s="12"/>
      <c r="CD432" s="12"/>
      <c r="CE432" s="12"/>
      <c r="CF432" s="12"/>
      <c r="CG432" s="12"/>
      <c r="CH432" s="12"/>
      <c r="CI432" s="12"/>
      <c r="CJ432" s="12"/>
      <c r="CK432" s="12"/>
      <c r="CL432" s="12"/>
      <c r="CM432" s="12"/>
      <c r="CN432" s="12"/>
      <c r="CO432" s="12"/>
      <c r="CP432" s="12"/>
      <c r="CQ432" s="12"/>
      <c r="CR432" s="12"/>
      <c r="CS432" s="12"/>
      <c r="CT432" s="12"/>
      <c r="CU432" s="12"/>
      <c r="CV432" s="12"/>
      <c r="CW432" s="12"/>
      <c r="CX432" s="12"/>
      <c r="CY432" s="12"/>
      <c r="CZ432" s="12"/>
      <c r="DA432" s="12"/>
      <c r="DB432" s="12"/>
      <c r="DC432" s="12"/>
      <c r="DD432" s="12"/>
      <c r="DE432" s="12"/>
      <c r="DF432" s="12"/>
      <c r="DG432" s="12"/>
      <c r="DH432" s="12"/>
      <c r="DI432" s="12"/>
      <c r="DJ432" s="12"/>
      <c r="DK432" s="12"/>
      <c r="DL432" s="12"/>
      <c r="DM432" s="12"/>
      <c r="DN432" s="12"/>
      <c r="DO432" s="12"/>
      <c r="DP432" s="12"/>
      <c r="DQ432" s="12"/>
      <c r="DR432" s="12"/>
      <c r="DS432" s="12"/>
      <c r="DT432" s="12"/>
      <c r="DU432" s="12"/>
      <c r="DV432" s="12"/>
      <c r="DW432" s="12"/>
      <c r="DX432" s="12"/>
      <c r="DY432" s="12"/>
      <c r="DZ432" s="12"/>
      <c r="EA432" s="12"/>
      <c r="EB432" s="12"/>
      <c r="EC432" s="12"/>
      <c r="ED432" s="12"/>
      <c r="EE432" s="12"/>
      <c r="EF432" s="12"/>
      <c r="EG432" s="12"/>
      <c r="EH432" s="12"/>
      <c r="EI432" s="12"/>
      <c r="EJ432" s="574"/>
      <c r="EK432" s="574"/>
      <c r="EL432" s="574"/>
      <c r="EM432" s="574"/>
      <c r="EN432" s="574"/>
      <c r="EO432" s="574"/>
      <c r="EP432" s="574"/>
      <c r="EQ432" s="574"/>
      <c r="ER432" s="574"/>
      <c r="ES432" s="574"/>
      <c r="ET432" s="574"/>
      <c r="EU432" s="574"/>
    </row>
    <row r="433">
      <c r="A433" s="12"/>
      <c r="B433" s="55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/>
      <c r="BA433" s="12"/>
      <c r="BB433" s="12"/>
      <c r="BC433" s="12"/>
      <c r="BD433" s="12"/>
      <c r="BE433" s="12"/>
      <c r="BF433" s="12"/>
      <c r="BG433" s="12"/>
      <c r="BH433" s="12"/>
      <c r="BI433" s="12"/>
      <c r="BJ433" s="12"/>
      <c r="BK433" s="12"/>
      <c r="BL433" s="12"/>
      <c r="BM433" s="12"/>
      <c r="BN433" s="12"/>
      <c r="BO433" s="12"/>
      <c r="BP433" s="12"/>
      <c r="BQ433" s="12"/>
      <c r="BR433" s="12"/>
      <c r="BS433" s="12"/>
      <c r="BT433" s="12"/>
      <c r="BU433" s="12"/>
      <c r="BV433" s="12"/>
      <c r="BW433" s="12"/>
      <c r="BX433" s="12"/>
      <c r="BY433" s="12"/>
      <c r="BZ433" s="12"/>
      <c r="CA433" s="12"/>
      <c r="CB433" s="12"/>
      <c r="CC433" s="12"/>
      <c r="CD433" s="12"/>
      <c r="CE433" s="12"/>
      <c r="CF433" s="12"/>
      <c r="CG433" s="12"/>
      <c r="CH433" s="12"/>
      <c r="CI433" s="12"/>
      <c r="CJ433" s="12"/>
      <c r="CK433" s="12"/>
      <c r="CL433" s="12"/>
      <c r="CM433" s="12"/>
      <c r="CN433" s="12"/>
      <c r="CO433" s="12"/>
      <c r="CP433" s="12"/>
      <c r="CQ433" s="12"/>
      <c r="CR433" s="12"/>
      <c r="CS433" s="12"/>
      <c r="CT433" s="12"/>
      <c r="CU433" s="12"/>
      <c r="CV433" s="12"/>
      <c r="CW433" s="12"/>
      <c r="CX433" s="12"/>
      <c r="CY433" s="12"/>
      <c r="CZ433" s="12"/>
      <c r="DA433" s="12"/>
      <c r="DB433" s="12"/>
      <c r="DC433" s="12"/>
      <c r="DD433" s="12"/>
      <c r="DE433" s="12"/>
      <c r="DF433" s="12"/>
      <c r="DG433" s="12"/>
      <c r="DH433" s="12"/>
      <c r="DI433" s="12"/>
      <c r="DJ433" s="12"/>
      <c r="DK433" s="12"/>
      <c r="DL433" s="12"/>
      <c r="DM433" s="12"/>
      <c r="DN433" s="12"/>
      <c r="DO433" s="12"/>
      <c r="DP433" s="12"/>
      <c r="DQ433" s="12"/>
      <c r="DR433" s="12"/>
      <c r="DS433" s="12"/>
      <c r="DT433" s="12"/>
      <c r="DU433" s="12"/>
      <c r="DV433" s="12"/>
      <c r="DW433" s="12"/>
      <c r="DX433" s="12"/>
      <c r="DY433" s="12"/>
      <c r="DZ433" s="12"/>
      <c r="EA433" s="12"/>
      <c r="EB433" s="12"/>
      <c r="EC433" s="12"/>
      <c r="ED433" s="12"/>
      <c r="EE433" s="12"/>
      <c r="EF433" s="12"/>
      <c r="EG433" s="12"/>
      <c r="EH433" s="12"/>
      <c r="EI433" s="12"/>
      <c r="EJ433" s="574"/>
      <c r="EK433" s="574"/>
      <c r="EL433" s="574"/>
      <c r="EM433" s="574"/>
      <c r="EN433" s="574"/>
      <c r="EO433" s="574"/>
      <c r="EP433" s="574"/>
      <c r="EQ433" s="574"/>
      <c r="ER433" s="574"/>
      <c r="ES433" s="574"/>
      <c r="ET433" s="574"/>
      <c r="EU433" s="574"/>
    </row>
    <row r="434">
      <c r="A434" s="12"/>
      <c r="B434" s="55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  <c r="BA434" s="12"/>
      <c r="BB434" s="12"/>
      <c r="BC434" s="12"/>
      <c r="BD434" s="12"/>
      <c r="BE434" s="12"/>
      <c r="BF434" s="12"/>
      <c r="BG434" s="12"/>
      <c r="BH434" s="12"/>
      <c r="BI434" s="12"/>
      <c r="BJ434" s="12"/>
      <c r="BK434" s="12"/>
      <c r="BL434" s="12"/>
      <c r="BM434" s="12"/>
      <c r="BN434" s="12"/>
      <c r="BO434" s="12"/>
      <c r="BP434" s="12"/>
      <c r="BQ434" s="12"/>
      <c r="BR434" s="12"/>
      <c r="BS434" s="12"/>
      <c r="BT434" s="12"/>
      <c r="BU434" s="12"/>
      <c r="BV434" s="12"/>
      <c r="BW434" s="12"/>
      <c r="BX434" s="12"/>
      <c r="BY434" s="12"/>
      <c r="BZ434" s="12"/>
      <c r="CA434" s="12"/>
      <c r="CB434" s="12"/>
      <c r="CC434" s="12"/>
      <c r="CD434" s="12"/>
      <c r="CE434" s="12"/>
      <c r="CF434" s="12"/>
      <c r="CG434" s="12"/>
      <c r="CH434" s="12"/>
      <c r="CI434" s="12"/>
      <c r="CJ434" s="12"/>
      <c r="CK434" s="12"/>
      <c r="CL434" s="12"/>
      <c r="CM434" s="12"/>
      <c r="CN434" s="12"/>
      <c r="CO434" s="12"/>
      <c r="CP434" s="12"/>
      <c r="CQ434" s="12"/>
      <c r="CR434" s="12"/>
      <c r="CS434" s="12"/>
      <c r="CT434" s="12"/>
      <c r="CU434" s="12"/>
      <c r="CV434" s="12"/>
      <c r="CW434" s="12"/>
      <c r="CX434" s="12"/>
      <c r="CY434" s="12"/>
      <c r="CZ434" s="12"/>
      <c r="DA434" s="12"/>
      <c r="DB434" s="12"/>
      <c r="DC434" s="12"/>
      <c r="DD434" s="12"/>
      <c r="DE434" s="12"/>
      <c r="DF434" s="12"/>
      <c r="DG434" s="12"/>
      <c r="DH434" s="12"/>
      <c r="DI434" s="12"/>
      <c r="DJ434" s="12"/>
      <c r="DK434" s="12"/>
      <c r="DL434" s="12"/>
      <c r="DM434" s="12"/>
      <c r="DN434" s="12"/>
      <c r="DO434" s="12"/>
      <c r="DP434" s="12"/>
      <c r="DQ434" s="12"/>
      <c r="DR434" s="12"/>
      <c r="DS434" s="12"/>
      <c r="DT434" s="12"/>
      <c r="DU434" s="12"/>
      <c r="DV434" s="12"/>
      <c r="DW434" s="12"/>
      <c r="DX434" s="12"/>
      <c r="DY434" s="12"/>
      <c r="DZ434" s="12"/>
      <c r="EA434" s="12"/>
      <c r="EB434" s="12"/>
      <c r="EC434" s="12"/>
      <c r="ED434" s="12"/>
      <c r="EE434" s="12"/>
      <c r="EF434" s="12"/>
      <c r="EG434" s="12"/>
      <c r="EH434" s="12"/>
      <c r="EI434" s="12"/>
      <c r="EJ434" s="574"/>
      <c r="EK434" s="574"/>
      <c r="EL434" s="574"/>
      <c r="EM434" s="574"/>
      <c r="EN434" s="574"/>
      <c r="EO434" s="574"/>
      <c r="EP434" s="574"/>
      <c r="EQ434" s="574"/>
      <c r="ER434" s="574"/>
      <c r="ES434" s="574"/>
      <c r="ET434" s="574"/>
      <c r="EU434" s="574"/>
    </row>
    <row r="435">
      <c r="A435" s="12"/>
      <c r="B435" s="55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/>
      <c r="BA435" s="12"/>
      <c r="BB435" s="12"/>
      <c r="BC435" s="12"/>
      <c r="BD435" s="12"/>
      <c r="BE435" s="12"/>
      <c r="BF435" s="12"/>
      <c r="BG435" s="12"/>
      <c r="BH435" s="12"/>
      <c r="BI435" s="12"/>
      <c r="BJ435" s="12"/>
      <c r="BK435" s="12"/>
      <c r="BL435" s="12"/>
      <c r="BM435" s="12"/>
      <c r="BN435" s="12"/>
      <c r="BO435" s="12"/>
      <c r="BP435" s="12"/>
      <c r="BQ435" s="12"/>
      <c r="BR435" s="12"/>
      <c r="BS435" s="12"/>
      <c r="BT435" s="12"/>
      <c r="BU435" s="12"/>
      <c r="BV435" s="12"/>
      <c r="BW435" s="12"/>
      <c r="BX435" s="12"/>
      <c r="BY435" s="12"/>
      <c r="BZ435" s="12"/>
      <c r="CA435" s="12"/>
      <c r="CB435" s="12"/>
      <c r="CC435" s="12"/>
      <c r="CD435" s="12"/>
      <c r="CE435" s="12"/>
      <c r="CF435" s="12"/>
      <c r="CG435" s="12"/>
      <c r="CH435" s="12"/>
      <c r="CI435" s="12"/>
      <c r="CJ435" s="12"/>
      <c r="CK435" s="12"/>
      <c r="CL435" s="12"/>
      <c r="CM435" s="12"/>
      <c r="CN435" s="12"/>
      <c r="CO435" s="12"/>
      <c r="CP435" s="12"/>
      <c r="CQ435" s="12"/>
      <c r="CR435" s="12"/>
      <c r="CS435" s="12"/>
      <c r="CT435" s="12"/>
      <c r="CU435" s="12"/>
      <c r="CV435" s="12"/>
      <c r="CW435" s="12"/>
      <c r="CX435" s="12"/>
      <c r="CY435" s="12"/>
      <c r="CZ435" s="12"/>
      <c r="DA435" s="12"/>
      <c r="DB435" s="12"/>
      <c r="DC435" s="12"/>
      <c r="DD435" s="12"/>
      <c r="DE435" s="12"/>
      <c r="DF435" s="12"/>
      <c r="DG435" s="12"/>
      <c r="DH435" s="12"/>
      <c r="DI435" s="12"/>
      <c r="DJ435" s="12"/>
      <c r="DK435" s="12"/>
      <c r="DL435" s="12"/>
      <c r="DM435" s="12"/>
      <c r="DN435" s="12"/>
      <c r="DO435" s="12"/>
      <c r="DP435" s="12"/>
      <c r="DQ435" s="12"/>
      <c r="DR435" s="12"/>
      <c r="DS435" s="12"/>
      <c r="DT435" s="12"/>
      <c r="DU435" s="12"/>
      <c r="DV435" s="12"/>
      <c r="DW435" s="12"/>
      <c r="DX435" s="12"/>
      <c r="DY435" s="12"/>
      <c r="DZ435" s="12"/>
      <c r="EA435" s="12"/>
      <c r="EB435" s="12"/>
      <c r="EC435" s="12"/>
      <c r="ED435" s="12"/>
      <c r="EE435" s="12"/>
      <c r="EF435" s="12"/>
      <c r="EG435" s="12"/>
      <c r="EH435" s="12"/>
      <c r="EI435" s="12"/>
      <c r="EJ435" s="574"/>
      <c r="EK435" s="574"/>
      <c r="EL435" s="574"/>
      <c r="EM435" s="574"/>
      <c r="EN435" s="574"/>
      <c r="EO435" s="574"/>
      <c r="EP435" s="574"/>
      <c r="EQ435" s="574"/>
      <c r="ER435" s="574"/>
      <c r="ES435" s="574"/>
      <c r="ET435" s="574"/>
      <c r="EU435" s="574"/>
    </row>
    <row r="436">
      <c r="A436" s="12"/>
      <c r="B436" s="55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  <c r="BA436" s="12"/>
      <c r="BB436" s="12"/>
      <c r="BC436" s="12"/>
      <c r="BD436" s="12"/>
      <c r="BE436" s="12"/>
      <c r="BF436" s="12"/>
      <c r="BG436" s="12"/>
      <c r="BH436" s="12"/>
      <c r="BI436" s="12"/>
      <c r="BJ436" s="12"/>
      <c r="BK436" s="12"/>
      <c r="BL436" s="12"/>
      <c r="BM436" s="12"/>
      <c r="BN436" s="12"/>
      <c r="BO436" s="12"/>
      <c r="BP436" s="12"/>
      <c r="BQ436" s="12"/>
      <c r="BR436" s="12"/>
      <c r="BS436" s="12"/>
      <c r="BT436" s="12"/>
      <c r="BU436" s="12"/>
      <c r="BV436" s="12"/>
      <c r="BW436" s="12"/>
      <c r="BX436" s="12"/>
      <c r="BY436" s="12"/>
      <c r="BZ436" s="12"/>
      <c r="CA436" s="12"/>
      <c r="CB436" s="12"/>
      <c r="CC436" s="12"/>
      <c r="CD436" s="12"/>
      <c r="CE436" s="12"/>
      <c r="CF436" s="12"/>
      <c r="CG436" s="12"/>
      <c r="CH436" s="12"/>
      <c r="CI436" s="12"/>
      <c r="CJ436" s="12"/>
      <c r="CK436" s="12"/>
      <c r="CL436" s="12"/>
      <c r="CM436" s="12"/>
      <c r="CN436" s="12"/>
      <c r="CO436" s="12"/>
      <c r="CP436" s="12"/>
      <c r="CQ436" s="12"/>
      <c r="CR436" s="12"/>
      <c r="CS436" s="12"/>
      <c r="CT436" s="12"/>
      <c r="CU436" s="12"/>
      <c r="CV436" s="12"/>
      <c r="CW436" s="12"/>
      <c r="CX436" s="12"/>
      <c r="CY436" s="12"/>
      <c r="CZ436" s="12"/>
      <c r="DA436" s="12"/>
      <c r="DB436" s="12"/>
      <c r="DC436" s="12"/>
      <c r="DD436" s="12"/>
      <c r="DE436" s="12"/>
      <c r="DF436" s="12"/>
      <c r="DG436" s="12"/>
      <c r="DH436" s="12"/>
      <c r="DI436" s="12"/>
      <c r="DJ436" s="12"/>
      <c r="DK436" s="12"/>
      <c r="DL436" s="12"/>
      <c r="DM436" s="12"/>
      <c r="DN436" s="12"/>
      <c r="DO436" s="12"/>
      <c r="DP436" s="12"/>
      <c r="DQ436" s="12"/>
      <c r="DR436" s="12"/>
      <c r="DS436" s="12"/>
      <c r="DT436" s="12"/>
      <c r="DU436" s="12"/>
      <c r="DV436" s="12"/>
      <c r="DW436" s="12"/>
      <c r="DX436" s="12"/>
      <c r="DY436" s="12"/>
      <c r="DZ436" s="12"/>
      <c r="EA436" s="12"/>
      <c r="EB436" s="12"/>
      <c r="EC436" s="12"/>
      <c r="ED436" s="12"/>
      <c r="EE436" s="12"/>
      <c r="EF436" s="12"/>
      <c r="EG436" s="12"/>
      <c r="EH436" s="12"/>
      <c r="EI436" s="12"/>
      <c r="EJ436" s="574"/>
      <c r="EK436" s="574"/>
      <c r="EL436" s="574"/>
      <c r="EM436" s="574"/>
      <c r="EN436" s="574"/>
      <c r="EO436" s="574"/>
      <c r="EP436" s="574"/>
      <c r="EQ436" s="574"/>
      <c r="ER436" s="574"/>
      <c r="ES436" s="574"/>
      <c r="ET436" s="574"/>
      <c r="EU436" s="574"/>
    </row>
    <row r="437">
      <c r="A437" s="12"/>
      <c r="B437" s="55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/>
      <c r="BA437" s="12"/>
      <c r="BB437" s="12"/>
      <c r="BC437" s="12"/>
      <c r="BD437" s="12"/>
      <c r="BE437" s="12"/>
      <c r="BF437" s="12"/>
      <c r="BG437" s="12"/>
      <c r="BH437" s="12"/>
      <c r="BI437" s="12"/>
      <c r="BJ437" s="12"/>
      <c r="BK437" s="12"/>
      <c r="BL437" s="12"/>
      <c r="BM437" s="12"/>
      <c r="BN437" s="12"/>
      <c r="BO437" s="12"/>
      <c r="BP437" s="12"/>
      <c r="BQ437" s="12"/>
      <c r="BR437" s="12"/>
      <c r="BS437" s="12"/>
      <c r="BT437" s="12"/>
      <c r="BU437" s="12"/>
      <c r="BV437" s="12"/>
      <c r="BW437" s="12"/>
      <c r="BX437" s="12"/>
      <c r="BY437" s="12"/>
      <c r="BZ437" s="12"/>
      <c r="CA437" s="12"/>
      <c r="CB437" s="12"/>
      <c r="CC437" s="12"/>
      <c r="CD437" s="12"/>
      <c r="CE437" s="12"/>
      <c r="CF437" s="12"/>
      <c r="CG437" s="12"/>
      <c r="CH437" s="12"/>
      <c r="CI437" s="12"/>
      <c r="CJ437" s="12"/>
      <c r="CK437" s="12"/>
      <c r="CL437" s="12"/>
      <c r="CM437" s="12"/>
      <c r="CN437" s="12"/>
      <c r="CO437" s="12"/>
      <c r="CP437" s="12"/>
      <c r="CQ437" s="12"/>
      <c r="CR437" s="12"/>
      <c r="CS437" s="12"/>
      <c r="CT437" s="12"/>
      <c r="CU437" s="12"/>
      <c r="CV437" s="12"/>
      <c r="CW437" s="12"/>
      <c r="CX437" s="12"/>
      <c r="CY437" s="12"/>
      <c r="CZ437" s="12"/>
      <c r="DA437" s="12"/>
      <c r="DB437" s="12"/>
      <c r="DC437" s="12"/>
      <c r="DD437" s="12"/>
      <c r="DE437" s="12"/>
      <c r="DF437" s="12"/>
      <c r="DG437" s="12"/>
      <c r="DH437" s="12"/>
      <c r="DI437" s="12"/>
      <c r="DJ437" s="12"/>
      <c r="DK437" s="12"/>
      <c r="DL437" s="12"/>
      <c r="DM437" s="12"/>
      <c r="DN437" s="12"/>
      <c r="DO437" s="12"/>
      <c r="DP437" s="12"/>
      <c r="DQ437" s="12"/>
      <c r="DR437" s="12"/>
      <c r="DS437" s="12"/>
      <c r="DT437" s="12"/>
      <c r="DU437" s="12"/>
      <c r="DV437" s="12"/>
      <c r="DW437" s="12"/>
      <c r="DX437" s="12"/>
      <c r="DY437" s="12"/>
      <c r="DZ437" s="12"/>
      <c r="EA437" s="12"/>
      <c r="EB437" s="12"/>
      <c r="EC437" s="12"/>
      <c r="ED437" s="12"/>
      <c r="EE437" s="12"/>
      <c r="EF437" s="12"/>
      <c r="EG437" s="12"/>
      <c r="EH437" s="12"/>
      <c r="EI437" s="12"/>
      <c r="EJ437" s="574"/>
      <c r="EK437" s="574"/>
      <c r="EL437" s="574"/>
      <c r="EM437" s="574"/>
      <c r="EN437" s="574"/>
      <c r="EO437" s="574"/>
      <c r="EP437" s="574"/>
      <c r="EQ437" s="574"/>
      <c r="ER437" s="574"/>
      <c r="ES437" s="574"/>
      <c r="ET437" s="574"/>
      <c r="EU437" s="574"/>
    </row>
    <row r="438">
      <c r="A438" s="12"/>
      <c r="B438" s="55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  <c r="AZ438" s="12"/>
      <c r="BA438" s="12"/>
      <c r="BB438" s="12"/>
      <c r="BC438" s="12"/>
      <c r="BD438" s="12"/>
      <c r="BE438" s="12"/>
      <c r="BF438" s="12"/>
      <c r="BG438" s="12"/>
      <c r="BH438" s="12"/>
      <c r="BI438" s="12"/>
      <c r="BJ438" s="12"/>
      <c r="BK438" s="12"/>
      <c r="BL438" s="12"/>
      <c r="BM438" s="12"/>
      <c r="BN438" s="12"/>
      <c r="BO438" s="12"/>
      <c r="BP438" s="12"/>
      <c r="BQ438" s="12"/>
      <c r="BR438" s="12"/>
      <c r="BS438" s="12"/>
      <c r="BT438" s="12"/>
      <c r="BU438" s="12"/>
      <c r="BV438" s="12"/>
      <c r="BW438" s="12"/>
      <c r="BX438" s="12"/>
      <c r="BY438" s="12"/>
      <c r="BZ438" s="12"/>
      <c r="CA438" s="12"/>
      <c r="CB438" s="12"/>
      <c r="CC438" s="12"/>
      <c r="CD438" s="12"/>
      <c r="CE438" s="12"/>
      <c r="CF438" s="12"/>
      <c r="CG438" s="12"/>
      <c r="CH438" s="12"/>
      <c r="CI438" s="12"/>
      <c r="CJ438" s="12"/>
      <c r="CK438" s="12"/>
      <c r="CL438" s="12"/>
      <c r="CM438" s="12"/>
      <c r="CN438" s="12"/>
      <c r="CO438" s="12"/>
      <c r="CP438" s="12"/>
      <c r="CQ438" s="12"/>
      <c r="CR438" s="12"/>
      <c r="CS438" s="12"/>
      <c r="CT438" s="12"/>
      <c r="CU438" s="12"/>
      <c r="CV438" s="12"/>
      <c r="CW438" s="12"/>
      <c r="CX438" s="12"/>
      <c r="CY438" s="12"/>
      <c r="CZ438" s="12"/>
      <c r="DA438" s="12"/>
      <c r="DB438" s="12"/>
      <c r="DC438" s="12"/>
      <c r="DD438" s="12"/>
      <c r="DE438" s="12"/>
      <c r="DF438" s="12"/>
      <c r="DG438" s="12"/>
      <c r="DH438" s="12"/>
      <c r="DI438" s="12"/>
      <c r="DJ438" s="12"/>
      <c r="DK438" s="12"/>
      <c r="DL438" s="12"/>
      <c r="DM438" s="12"/>
      <c r="DN438" s="12"/>
      <c r="DO438" s="12"/>
      <c r="DP438" s="12"/>
      <c r="DQ438" s="12"/>
      <c r="DR438" s="12"/>
      <c r="DS438" s="12"/>
      <c r="DT438" s="12"/>
      <c r="DU438" s="12"/>
      <c r="DV438" s="12"/>
      <c r="DW438" s="12"/>
      <c r="DX438" s="12"/>
      <c r="DY438" s="12"/>
      <c r="DZ438" s="12"/>
      <c r="EA438" s="12"/>
      <c r="EB438" s="12"/>
      <c r="EC438" s="12"/>
      <c r="ED438" s="12"/>
      <c r="EE438" s="12"/>
      <c r="EF438" s="12"/>
      <c r="EG438" s="12"/>
      <c r="EH438" s="12"/>
      <c r="EI438" s="12"/>
      <c r="EJ438" s="574"/>
      <c r="EK438" s="574"/>
      <c r="EL438" s="574"/>
      <c r="EM438" s="574"/>
      <c r="EN438" s="574"/>
      <c r="EO438" s="574"/>
      <c r="EP438" s="574"/>
      <c r="EQ438" s="574"/>
      <c r="ER438" s="574"/>
      <c r="ES438" s="574"/>
      <c r="ET438" s="574"/>
      <c r="EU438" s="574"/>
    </row>
    <row r="439">
      <c r="A439" s="12"/>
      <c r="B439" s="55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  <c r="BA439" s="12"/>
      <c r="BB439" s="12"/>
      <c r="BC439" s="12"/>
      <c r="BD439" s="12"/>
      <c r="BE439" s="12"/>
      <c r="BF439" s="12"/>
      <c r="BG439" s="12"/>
      <c r="BH439" s="12"/>
      <c r="BI439" s="12"/>
      <c r="BJ439" s="12"/>
      <c r="BK439" s="12"/>
      <c r="BL439" s="12"/>
      <c r="BM439" s="12"/>
      <c r="BN439" s="12"/>
      <c r="BO439" s="12"/>
      <c r="BP439" s="12"/>
      <c r="BQ439" s="12"/>
      <c r="BR439" s="12"/>
      <c r="BS439" s="12"/>
      <c r="BT439" s="12"/>
      <c r="BU439" s="12"/>
      <c r="BV439" s="12"/>
      <c r="BW439" s="12"/>
      <c r="BX439" s="12"/>
      <c r="BY439" s="12"/>
      <c r="BZ439" s="12"/>
      <c r="CA439" s="12"/>
      <c r="CB439" s="12"/>
      <c r="CC439" s="12"/>
      <c r="CD439" s="12"/>
      <c r="CE439" s="12"/>
      <c r="CF439" s="12"/>
      <c r="CG439" s="12"/>
      <c r="CH439" s="12"/>
      <c r="CI439" s="12"/>
      <c r="CJ439" s="12"/>
      <c r="CK439" s="12"/>
      <c r="CL439" s="12"/>
      <c r="CM439" s="12"/>
      <c r="CN439" s="12"/>
      <c r="CO439" s="12"/>
      <c r="CP439" s="12"/>
      <c r="CQ439" s="12"/>
      <c r="CR439" s="12"/>
      <c r="CS439" s="12"/>
      <c r="CT439" s="12"/>
      <c r="CU439" s="12"/>
      <c r="CV439" s="12"/>
      <c r="CW439" s="12"/>
      <c r="CX439" s="12"/>
      <c r="CY439" s="12"/>
      <c r="CZ439" s="12"/>
      <c r="DA439" s="12"/>
      <c r="DB439" s="12"/>
      <c r="DC439" s="12"/>
      <c r="DD439" s="12"/>
      <c r="DE439" s="12"/>
      <c r="DF439" s="12"/>
      <c r="DG439" s="12"/>
      <c r="DH439" s="12"/>
      <c r="DI439" s="12"/>
      <c r="DJ439" s="12"/>
      <c r="DK439" s="12"/>
      <c r="DL439" s="12"/>
      <c r="DM439" s="12"/>
      <c r="DN439" s="12"/>
      <c r="DO439" s="12"/>
      <c r="DP439" s="12"/>
      <c r="DQ439" s="12"/>
      <c r="DR439" s="12"/>
      <c r="DS439" s="12"/>
      <c r="DT439" s="12"/>
      <c r="DU439" s="12"/>
      <c r="DV439" s="12"/>
      <c r="DW439" s="12"/>
      <c r="DX439" s="12"/>
      <c r="DY439" s="12"/>
      <c r="DZ439" s="12"/>
      <c r="EA439" s="12"/>
      <c r="EB439" s="12"/>
      <c r="EC439" s="12"/>
      <c r="ED439" s="12"/>
      <c r="EE439" s="12"/>
      <c r="EF439" s="12"/>
      <c r="EG439" s="12"/>
      <c r="EH439" s="12"/>
      <c r="EI439" s="12"/>
      <c r="EJ439" s="574"/>
      <c r="EK439" s="574"/>
      <c r="EL439" s="574"/>
      <c r="EM439" s="574"/>
      <c r="EN439" s="574"/>
      <c r="EO439" s="574"/>
      <c r="EP439" s="574"/>
      <c r="EQ439" s="574"/>
      <c r="ER439" s="574"/>
      <c r="ES439" s="574"/>
      <c r="ET439" s="574"/>
      <c r="EU439" s="574"/>
    </row>
    <row r="440">
      <c r="A440" s="12"/>
      <c r="B440" s="55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  <c r="AZ440" s="12"/>
      <c r="BA440" s="12"/>
      <c r="BB440" s="12"/>
      <c r="BC440" s="12"/>
      <c r="BD440" s="12"/>
      <c r="BE440" s="12"/>
      <c r="BF440" s="12"/>
      <c r="BG440" s="12"/>
      <c r="BH440" s="12"/>
      <c r="BI440" s="12"/>
      <c r="BJ440" s="12"/>
      <c r="BK440" s="12"/>
      <c r="BL440" s="12"/>
      <c r="BM440" s="12"/>
      <c r="BN440" s="12"/>
      <c r="BO440" s="12"/>
      <c r="BP440" s="12"/>
      <c r="BQ440" s="12"/>
      <c r="BR440" s="12"/>
      <c r="BS440" s="12"/>
      <c r="BT440" s="12"/>
      <c r="BU440" s="12"/>
      <c r="BV440" s="12"/>
      <c r="BW440" s="12"/>
      <c r="BX440" s="12"/>
      <c r="BY440" s="12"/>
      <c r="BZ440" s="12"/>
      <c r="CA440" s="12"/>
      <c r="CB440" s="12"/>
      <c r="CC440" s="12"/>
      <c r="CD440" s="12"/>
      <c r="CE440" s="12"/>
      <c r="CF440" s="12"/>
      <c r="CG440" s="12"/>
      <c r="CH440" s="12"/>
      <c r="CI440" s="12"/>
      <c r="CJ440" s="12"/>
      <c r="CK440" s="12"/>
      <c r="CL440" s="12"/>
      <c r="CM440" s="12"/>
      <c r="CN440" s="12"/>
      <c r="CO440" s="12"/>
      <c r="CP440" s="12"/>
      <c r="CQ440" s="12"/>
      <c r="CR440" s="12"/>
      <c r="CS440" s="12"/>
      <c r="CT440" s="12"/>
      <c r="CU440" s="12"/>
      <c r="CV440" s="12"/>
      <c r="CW440" s="12"/>
      <c r="CX440" s="12"/>
      <c r="CY440" s="12"/>
      <c r="CZ440" s="12"/>
      <c r="DA440" s="12"/>
      <c r="DB440" s="12"/>
      <c r="DC440" s="12"/>
      <c r="DD440" s="12"/>
      <c r="DE440" s="12"/>
      <c r="DF440" s="12"/>
      <c r="DG440" s="12"/>
      <c r="DH440" s="12"/>
      <c r="DI440" s="12"/>
      <c r="DJ440" s="12"/>
      <c r="DK440" s="12"/>
      <c r="DL440" s="12"/>
      <c r="DM440" s="12"/>
      <c r="DN440" s="12"/>
      <c r="DO440" s="12"/>
      <c r="DP440" s="12"/>
      <c r="DQ440" s="12"/>
      <c r="DR440" s="12"/>
      <c r="DS440" s="12"/>
      <c r="DT440" s="12"/>
      <c r="DU440" s="12"/>
      <c r="DV440" s="12"/>
      <c r="DW440" s="12"/>
      <c r="DX440" s="12"/>
      <c r="DY440" s="12"/>
      <c r="DZ440" s="12"/>
      <c r="EA440" s="12"/>
      <c r="EB440" s="12"/>
      <c r="EC440" s="12"/>
      <c r="ED440" s="12"/>
      <c r="EE440" s="12"/>
      <c r="EF440" s="12"/>
      <c r="EG440" s="12"/>
      <c r="EH440" s="12"/>
      <c r="EI440" s="12"/>
      <c r="EJ440" s="574"/>
      <c r="EK440" s="574"/>
      <c r="EL440" s="574"/>
      <c r="EM440" s="574"/>
      <c r="EN440" s="574"/>
      <c r="EO440" s="574"/>
      <c r="EP440" s="574"/>
      <c r="EQ440" s="574"/>
      <c r="ER440" s="574"/>
      <c r="ES440" s="574"/>
      <c r="ET440" s="574"/>
      <c r="EU440" s="574"/>
    </row>
    <row r="441">
      <c r="A441" s="12"/>
      <c r="B441" s="55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/>
      <c r="BA441" s="12"/>
      <c r="BB441" s="12"/>
      <c r="BC441" s="12"/>
      <c r="BD441" s="12"/>
      <c r="BE441" s="12"/>
      <c r="BF441" s="12"/>
      <c r="BG441" s="12"/>
      <c r="BH441" s="12"/>
      <c r="BI441" s="12"/>
      <c r="BJ441" s="12"/>
      <c r="BK441" s="12"/>
      <c r="BL441" s="12"/>
      <c r="BM441" s="12"/>
      <c r="BN441" s="12"/>
      <c r="BO441" s="12"/>
      <c r="BP441" s="12"/>
      <c r="BQ441" s="12"/>
      <c r="BR441" s="12"/>
      <c r="BS441" s="12"/>
      <c r="BT441" s="12"/>
      <c r="BU441" s="12"/>
      <c r="BV441" s="12"/>
      <c r="BW441" s="12"/>
      <c r="BX441" s="12"/>
      <c r="BY441" s="12"/>
      <c r="BZ441" s="12"/>
      <c r="CA441" s="12"/>
      <c r="CB441" s="12"/>
      <c r="CC441" s="12"/>
      <c r="CD441" s="12"/>
      <c r="CE441" s="12"/>
      <c r="CF441" s="12"/>
      <c r="CG441" s="12"/>
      <c r="CH441" s="12"/>
      <c r="CI441" s="12"/>
      <c r="CJ441" s="12"/>
      <c r="CK441" s="12"/>
      <c r="CL441" s="12"/>
      <c r="CM441" s="12"/>
      <c r="CN441" s="12"/>
      <c r="CO441" s="12"/>
      <c r="CP441" s="12"/>
      <c r="CQ441" s="12"/>
      <c r="CR441" s="12"/>
      <c r="CS441" s="12"/>
      <c r="CT441" s="12"/>
      <c r="CU441" s="12"/>
      <c r="CV441" s="12"/>
      <c r="CW441" s="12"/>
      <c r="CX441" s="12"/>
      <c r="CY441" s="12"/>
      <c r="CZ441" s="12"/>
      <c r="DA441" s="12"/>
      <c r="DB441" s="12"/>
      <c r="DC441" s="12"/>
      <c r="DD441" s="12"/>
      <c r="DE441" s="12"/>
      <c r="DF441" s="12"/>
      <c r="DG441" s="12"/>
      <c r="DH441" s="12"/>
      <c r="DI441" s="12"/>
      <c r="DJ441" s="12"/>
      <c r="DK441" s="12"/>
      <c r="DL441" s="12"/>
      <c r="DM441" s="12"/>
      <c r="DN441" s="12"/>
      <c r="DO441" s="12"/>
      <c r="DP441" s="12"/>
      <c r="DQ441" s="12"/>
      <c r="DR441" s="12"/>
      <c r="DS441" s="12"/>
      <c r="DT441" s="12"/>
      <c r="DU441" s="12"/>
      <c r="DV441" s="12"/>
      <c r="DW441" s="12"/>
      <c r="DX441" s="12"/>
      <c r="DY441" s="12"/>
      <c r="DZ441" s="12"/>
      <c r="EA441" s="12"/>
      <c r="EB441" s="12"/>
      <c r="EC441" s="12"/>
      <c r="ED441" s="12"/>
      <c r="EE441" s="12"/>
      <c r="EF441" s="12"/>
      <c r="EG441" s="12"/>
      <c r="EH441" s="12"/>
      <c r="EI441" s="12"/>
      <c r="EJ441" s="574"/>
      <c r="EK441" s="574"/>
      <c r="EL441" s="574"/>
      <c r="EM441" s="574"/>
      <c r="EN441" s="574"/>
      <c r="EO441" s="574"/>
      <c r="EP441" s="574"/>
      <c r="EQ441" s="574"/>
      <c r="ER441" s="574"/>
      <c r="ES441" s="574"/>
      <c r="ET441" s="574"/>
      <c r="EU441" s="574"/>
    </row>
    <row r="442">
      <c r="A442" s="12"/>
      <c r="B442" s="55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  <c r="BA442" s="12"/>
      <c r="BB442" s="12"/>
      <c r="BC442" s="12"/>
      <c r="BD442" s="12"/>
      <c r="BE442" s="12"/>
      <c r="BF442" s="12"/>
      <c r="BG442" s="12"/>
      <c r="BH442" s="12"/>
      <c r="BI442" s="12"/>
      <c r="BJ442" s="12"/>
      <c r="BK442" s="12"/>
      <c r="BL442" s="12"/>
      <c r="BM442" s="12"/>
      <c r="BN442" s="12"/>
      <c r="BO442" s="12"/>
      <c r="BP442" s="12"/>
      <c r="BQ442" s="12"/>
      <c r="BR442" s="12"/>
      <c r="BS442" s="12"/>
      <c r="BT442" s="12"/>
      <c r="BU442" s="12"/>
      <c r="BV442" s="12"/>
      <c r="BW442" s="12"/>
      <c r="BX442" s="12"/>
      <c r="BY442" s="12"/>
      <c r="BZ442" s="12"/>
      <c r="CA442" s="12"/>
      <c r="CB442" s="12"/>
      <c r="CC442" s="12"/>
      <c r="CD442" s="12"/>
      <c r="CE442" s="12"/>
      <c r="CF442" s="12"/>
      <c r="CG442" s="12"/>
      <c r="CH442" s="12"/>
      <c r="CI442" s="12"/>
      <c r="CJ442" s="12"/>
      <c r="CK442" s="12"/>
      <c r="CL442" s="12"/>
      <c r="CM442" s="12"/>
      <c r="CN442" s="12"/>
      <c r="CO442" s="12"/>
      <c r="CP442" s="12"/>
      <c r="CQ442" s="12"/>
      <c r="CR442" s="12"/>
      <c r="CS442" s="12"/>
      <c r="CT442" s="12"/>
      <c r="CU442" s="12"/>
      <c r="CV442" s="12"/>
      <c r="CW442" s="12"/>
      <c r="CX442" s="12"/>
      <c r="CY442" s="12"/>
      <c r="CZ442" s="12"/>
      <c r="DA442" s="12"/>
      <c r="DB442" s="12"/>
      <c r="DC442" s="12"/>
      <c r="DD442" s="12"/>
      <c r="DE442" s="12"/>
      <c r="DF442" s="12"/>
      <c r="DG442" s="12"/>
      <c r="DH442" s="12"/>
      <c r="DI442" s="12"/>
      <c r="DJ442" s="12"/>
      <c r="DK442" s="12"/>
      <c r="DL442" s="12"/>
      <c r="DM442" s="12"/>
      <c r="DN442" s="12"/>
      <c r="DO442" s="12"/>
      <c r="DP442" s="12"/>
      <c r="DQ442" s="12"/>
      <c r="DR442" s="12"/>
      <c r="DS442" s="12"/>
      <c r="DT442" s="12"/>
      <c r="DU442" s="12"/>
      <c r="DV442" s="12"/>
      <c r="DW442" s="12"/>
      <c r="DX442" s="12"/>
      <c r="DY442" s="12"/>
      <c r="DZ442" s="12"/>
      <c r="EA442" s="12"/>
      <c r="EB442" s="12"/>
      <c r="EC442" s="12"/>
      <c r="ED442" s="12"/>
      <c r="EE442" s="12"/>
      <c r="EF442" s="12"/>
      <c r="EG442" s="12"/>
      <c r="EH442" s="12"/>
      <c r="EI442" s="12"/>
      <c r="EJ442" s="574"/>
      <c r="EK442" s="574"/>
      <c r="EL442" s="574"/>
      <c r="EM442" s="574"/>
      <c r="EN442" s="574"/>
      <c r="EO442" s="574"/>
      <c r="EP442" s="574"/>
      <c r="EQ442" s="574"/>
      <c r="ER442" s="574"/>
      <c r="ES442" s="574"/>
      <c r="ET442" s="574"/>
      <c r="EU442" s="574"/>
    </row>
    <row r="443">
      <c r="A443" s="12"/>
      <c r="B443" s="55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/>
      <c r="BA443" s="12"/>
      <c r="BB443" s="12"/>
      <c r="BC443" s="12"/>
      <c r="BD443" s="12"/>
      <c r="BE443" s="12"/>
      <c r="BF443" s="12"/>
      <c r="BG443" s="12"/>
      <c r="BH443" s="12"/>
      <c r="BI443" s="12"/>
      <c r="BJ443" s="12"/>
      <c r="BK443" s="12"/>
      <c r="BL443" s="12"/>
      <c r="BM443" s="12"/>
      <c r="BN443" s="12"/>
      <c r="BO443" s="12"/>
      <c r="BP443" s="12"/>
      <c r="BQ443" s="12"/>
      <c r="BR443" s="12"/>
      <c r="BS443" s="12"/>
      <c r="BT443" s="12"/>
      <c r="BU443" s="12"/>
      <c r="BV443" s="12"/>
      <c r="BW443" s="12"/>
      <c r="BX443" s="12"/>
      <c r="BY443" s="12"/>
      <c r="BZ443" s="12"/>
      <c r="CA443" s="12"/>
      <c r="CB443" s="12"/>
      <c r="CC443" s="12"/>
      <c r="CD443" s="12"/>
      <c r="CE443" s="12"/>
      <c r="CF443" s="12"/>
      <c r="CG443" s="12"/>
      <c r="CH443" s="12"/>
      <c r="CI443" s="12"/>
      <c r="CJ443" s="12"/>
      <c r="CK443" s="12"/>
      <c r="CL443" s="12"/>
      <c r="CM443" s="12"/>
      <c r="CN443" s="12"/>
      <c r="CO443" s="12"/>
      <c r="CP443" s="12"/>
      <c r="CQ443" s="12"/>
      <c r="CR443" s="12"/>
      <c r="CS443" s="12"/>
      <c r="CT443" s="12"/>
      <c r="CU443" s="12"/>
      <c r="CV443" s="12"/>
      <c r="CW443" s="12"/>
      <c r="CX443" s="12"/>
      <c r="CY443" s="12"/>
      <c r="CZ443" s="12"/>
      <c r="DA443" s="12"/>
      <c r="DB443" s="12"/>
      <c r="DC443" s="12"/>
      <c r="DD443" s="12"/>
      <c r="DE443" s="12"/>
      <c r="DF443" s="12"/>
      <c r="DG443" s="12"/>
      <c r="DH443" s="12"/>
      <c r="DI443" s="12"/>
      <c r="DJ443" s="12"/>
      <c r="DK443" s="12"/>
      <c r="DL443" s="12"/>
      <c r="DM443" s="12"/>
      <c r="DN443" s="12"/>
      <c r="DO443" s="12"/>
      <c r="DP443" s="12"/>
      <c r="DQ443" s="12"/>
      <c r="DR443" s="12"/>
      <c r="DS443" s="12"/>
      <c r="DT443" s="12"/>
      <c r="DU443" s="12"/>
      <c r="DV443" s="12"/>
      <c r="DW443" s="12"/>
      <c r="DX443" s="12"/>
      <c r="DY443" s="12"/>
      <c r="DZ443" s="12"/>
      <c r="EA443" s="12"/>
      <c r="EB443" s="12"/>
      <c r="EC443" s="12"/>
      <c r="ED443" s="12"/>
      <c r="EE443" s="12"/>
      <c r="EF443" s="12"/>
      <c r="EG443" s="12"/>
      <c r="EH443" s="12"/>
      <c r="EI443" s="12"/>
      <c r="EJ443" s="574"/>
      <c r="EK443" s="574"/>
      <c r="EL443" s="574"/>
      <c r="EM443" s="574"/>
      <c r="EN443" s="574"/>
      <c r="EO443" s="574"/>
      <c r="EP443" s="574"/>
      <c r="EQ443" s="574"/>
      <c r="ER443" s="574"/>
      <c r="ES443" s="574"/>
      <c r="ET443" s="574"/>
      <c r="EU443" s="574"/>
    </row>
    <row r="444">
      <c r="A444" s="12"/>
      <c r="B444" s="55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  <c r="BA444" s="12"/>
      <c r="BB444" s="12"/>
      <c r="BC444" s="12"/>
      <c r="BD444" s="12"/>
      <c r="BE444" s="12"/>
      <c r="BF444" s="12"/>
      <c r="BG444" s="12"/>
      <c r="BH444" s="12"/>
      <c r="BI444" s="12"/>
      <c r="BJ444" s="12"/>
      <c r="BK444" s="12"/>
      <c r="BL444" s="12"/>
      <c r="BM444" s="12"/>
      <c r="BN444" s="12"/>
      <c r="BO444" s="12"/>
      <c r="BP444" s="12"/>
      <c r="BQ444" s="12"/>
      <c r="BR444" s="12"/>
      <c r="BS444" s="12"/>
      <c r="BT444" s="12"/>
      <c r="BU444" s="12"/>
      <c r="BV444" s="12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574"/>
      <c r="EK444" s="574"/>
      <c r="EL444" s="574"/>
      <c r="EM444" s="574"/>
      <c r="EN444" s="574"/>
      <c r="EO444" s="574"/>
      <c r="EP444" s="574"/>
      <c r="EQ444" s="574"/>
      <c r="ER444" s="574"/>
      <c r="ES444" s="574"/>
      <c r="ET444" s="574"/>
      <c r="EU444" s="574"/>
    </row>
    <row r="445">
      <c r="A445" s="12"/>
      <c r="B445" s="55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  <c r="BA445" s="12"/>
      <c r="BB445" s="12"/>
      <c r="BC445" s="12"/>
      <c r="BD445" s="12"/>
      <c r="BE445" s="12"/>
      <c r="BF445" s="12"/>
      <c r="BG445" s="12"/>
      <c r="BH445" s="12"/>
      <c r="BI445" s="12"/>
      <c r="BJ445" s="12"/>
      <c r="BK445" s="12"/>
      <c r="BL445" s="12"/>
      <c r="BM445" s="12"/>
      <c r="BN445" s="12"/>
      <c r="BO445" s="12"/>
      <c r="BP445" s="12"/>
      <c r="BQ445" s="12"/>
      <c r="BR445" s="12"/>
      <c r="BS445" s="12"/>
      <c r="BT445" s="12"/>
      <c r="BU445" s="12"/>
      <c r="BV445" s="12"/>
      <c r="BW445" s="12"/>
      <c r="BX445" s="12"/>
      <c r="BY445" s="12"/>
      <c r="BZ445" s="12"/>
      <c r="CA445" s="12"/>
      <c r="CB445" s="12"/>
      <c r="CC445" s="12"/>
      <c r="CD445" s="12"/>
      <c r="CE445" s="12"/>
      <c r="CF445" s="12"/>
      <c r="CG445" s="12"/>
      <c r="CH445" s="12"/>
      <c r="CI445" s="12"/>
      <c r="CJ445" s="12"/>
      <c r="CK445" s="12"/>
      <c r="CL445" s="12"/>
      <c r="CM445" s="12"/>
      <c r="CN445" s="12"/>
      <c r="CO445" s="12"/>
      <c r="CP445" s="12"/>
      <c r="CQ445" s="12"/>
      <c r="CR445" s="12"/>
      <c r="CS445" s="12"/>
      <c r="CT445" s="12"/>
      <c r="CU445" s="12"/>
      <c r="CV445" s="12"/>
      <c r="CW445" s="12"/>
      <c r="CX445" s="12"/>
      <c r="CY445" s="12"/>
      <c r="CZ445" s="12"/>
      <c r="DA445" s="12"/>
      <c r="DB445" s="12"/>
      <c r="DC445" s="12"/>
      <c r="DD445" s="12"/>
      <c r="DE445" s="12"/>
      <c r="DF445" s="12"/>
      <c r="DG445" s="12"/>
      <c r="DH445" s="12"/>
      <c r="DI445" s="12"/>
      <c r="DJ445" s="12"/>
      <c r="DK445" s="12"/>
      <c r="DL445" s="12"/>
      <c r="DM445" s="12"/>
      <c r="DN445" s="12"/>
      <c r="DO445" s="12"/>
      <c r="DP445" s="12"/>
      <c r="DQ445" s="12"/>
      <c r="DR445" s="12"/>
      <c r="DS445" s="12"/>
      <c r="DT445" s="12"/>
      <c r="DU445" s="12"/>
      <c r="DV445" s="12"/>
      <c r="DW445" s="12"/>
      <c r="DX445" s="12"/>
      <c r="DY445" s="12"/>
      <c r="DZ445" s="12"/>
      <c r="EA445" s="12"/>
      <c r="EB445" s="12"/>
      <c r="EC445" s="12"/>
      <c r="ED445" s="12"/>
      <c r="EE445" s="12"/>
      <c r="EF445" s="12"/>
      <c r="EG445" s="12"/>
      <c r="EH445" s="12"/>
      <c r="EI445" s="12"/>
      <c r="EJ445" s="574"/>
      <c r="EK445" s="574"/>
      <c r="EL445" s="574"/>
      <c r="EM445" s="574"/>
      <c r="EN445" s="574"/>
      <c r="EO445" s="574"/>
      <c r="EP445" s="574"/>
      <c r="EQ445" s="574"/>
      <c r="ER445" s="574"/>
      <c r="ES445" s="574"/>
      <c r="ET445" s="574"/>
      <c r="EU445" s="574"/>
    </row>
    <row r="446">
      <c r="A446" s="12"/>
      <c r="B446" s="55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  <c r="BD446" s="12"/>
      <c r="BE446" s="12"/>
      <c r="BF446" s="12"/>
      <c r="BG446" s="12"/>
      <c r="BH446" s="12"/>
      <c r="BI446" s="12"/>
      <c r="BJ446" s="12"/>
      <c r="BK446" s="12"/>
      <c r="BL446" s="12"/>
      <c r="BM446" s="12"/>
      <c r="BN446" s="12"/>
      <c r="BO446" s="12"/>
      <c r="BP446" s="12"/>
      <c r="BQ446" s="12"/>
      <c r="BR446" s="12"/>
      <c r="BS446" s="12"/>
      <c r="BT446" s="12"/>
      <c r="BU446" s="12"/>
      <c r="BV446" s="12"/>
      <c r="BW446" s="12"/>
      <c r="BX446" s="12"/>
      <c r="BY446" s="12"/>
      <c r="BZ446" s="12"/>
      <c r="CA446" s="12"/>
      <c r="CB446" s="12"/>
      <c r="CC446" s="12"/>
      <c r="CD446" s="12"/>
      <c r="CE446" s="12"/>
      <c r="CF446" s="12"/>
      <c r="CG446" s="12"/>
      <c r="CH446" s="12"/>
      <c r="CI446" s="12"/>
      <c r="CJ446" s="12"/>
      <c r="CK446" s="12"/>
      <c r="CL446" s="12"/>
      <c r="CM446" s="12"/>
      <c r="CN446" s="12"/>
      <c r="CO446" s="12"/>
      <c r="CP446" s="12"/>
      <c r="CQ446" s="12"/>
      <c r="CR446" s="12"/>
      <c r="CS446" s="12"/>
      <c r="CT446" s="12"/>
      <c r="CU446" s="12"/>
      <c r="CV446" s="12"/>
      <c r="CW446" s="12"/>
      <c r="CX446" s="12"/>
      <c r="CY446" s="12"/>
      <c r="CZ446" s="12"/>
      <c r="DA446" s="12"/>
      <c r="DB446" s="12"/>
      <c r="DC446" s="12"/>
      <c r="DD446" s="12"/>
      <c r="DE446" s="12"/>
      <c r="DF446" s="12"/>
      <c r="DG446" s="12"/>
      <c r="DH446" s="12"/>
      <c r="DI446" s="12"/>
      <c r="DJ446" s="12"/>
      <c r="DK446" s="12"/>
      <c r="DL446" s="12"/>
      <c r="DM446" s="12"/>
      <c r="DN446" s="12"/>
      <c r="DO446" s="12"/>
      <c r="DP446" s="12"/>
      <c r="DQ446" s="12"/>
      <c r="DR446" s="12"/>
      <c r="DS446" s="12"/>
      <c r="DT446" s="12"/>
      <c r="DU446" s="12"/>
      <c r="DV446" s="12"/>
      <c r="DW446" s="12"/>
      <c r="DX446" s="12"/>
      <c r="DY446" s="12"/>
      <c r="DZ446" s="12"/>
      <c r="EA446" s="12"/>
      <c r="EB446" s="12"/>
      <c r="EC446" s="12"/>
      <c r="ED446" s="12"/>
      <c r="EE446" s="12"/>
      <c r="EF446" s="12"/>
      <c r="EG446" s="12"/>
      <c r="EH446" s="12"/>
      <c r="EI446" s="12"/>
      <c r="EJ446" s="574"/>
      <c r="EK446" s="574"/>
      <c r="EL446" s="574"/>
      <c r="EM446" s="574"/>
      <c r="EN446" s="574"/>
      <c r="EO446" s="574"/>
      <c r="EP446" s="574"/>
      <c r="EQ446" s="574"/>
      <c r="ER446" s="574"/>
      <c r="ES446" s="574"/>
      <c r="ET446" s="574"/>
      <c r="EU446" s="574"/>
    </row>
    <row r="447">
      <c r="A447" s="12"/>
      <c r="B447" s="55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  <c r="BA447" s="12"/>
      <c r="BB447" s="12"/>
      <c r="BC447" s="12"/>
      <c r="BD447" s="12"/>
      <c r="BE447" s="12"/>
      <c r="BF447" s="12"/>
      <c r="BG447" s="12"/>
      <c r="BH447" s="12"/>
      <c r="BI447" s="12"/>
      <c r="BJ447" s="12"/>
      <c r="BK447" s="12"/>
      <c r="BL447" s="12"/>
      <c r="BM447" s="12"/>
      <c r="BN447" s="12"/>
      <c r="BO447" s="12"/>
      <c r="BP447" s="12"/>
      <c r="BQ447" s="12"/>
      <c r="BR447" s="12"/>
      <c r="BS447" s="12"/>
      <c r="BT447" s="12"/>
      <c r="BU447" s="12"/>
      <c r="BV447" s="12"/>
      <c r="BW447" s="12"/>
      <c r="BX447" s="12"/>
      <c r="BY447" s="12"/>
      <c r="BZ447" s="12"/>
      <c r="CA447" s="12"/>
      <c r="CB447" s="12"/>
      <c r="CC447" s="12"/>
      <c r="CD447" s="12"/>
      <c r="CE447" s="12"/>
      <c r="CF447" s="12"/>
      <c r="CG447" s="12"/>
      <c r="CH447" s="12"/>
      <c r="CI447" s="12"/>
      <c r="CJ447" s="12"/>
      <c r="CK447" s="12"/>
      <c r="CL447" s="12"/>
      <c r="CM447" s="12"/>
      <c r="CN447" s="12"/>
      <c r="CO447" s="12"/>
      <c r="CP447" s="12"/>
      <c r="CQ447" s="12"/>
      <c r="CR447" s="12"/>
      <c r="CS447" s="12"/>
      <c r="CT447" s="12"/>
      <c r="CU447" s="12"/>
      <c r="CV447" s="12"/>
      <c r="CW447" s="12"/>
      <c r="CX447" s="12"/>
      <c r="CY447" s="12"/>
      <c r="CZ447" s="12"/>
      <c r="DA447" s="12"/>
      <c r="DB447" s="12"/>
      <c r="DC447" s="12"/>
      <c r="DD447" s="12"/>
      <c r="DE447" s="12"/>
      <c r="DF447" s="12"/>
      <c r="DG447" s="12"/>
      <c r="DH447" s="12"/>
      <c r="DI447" s="12"/>
      <c r="DJ447" s="12"/>
      <c r="DK447" s="12"/>
      <c r="DL447" s="12"/>
      <c r="DM447" s="12"/>
      <c r="DN447" s="12"/>
      <c r="DO447" s="12"/>
      <c r="DP447" s="12"/>
      <c r="DQ447" s="12"/>
      <c r="DR447" s="12"/>
      <c r="DS447" s="12"/>
      <c r="DT447" s="12"/>
      <c r="DU447" s="12"/>
      <c r="DV447" s="12"/>
      <c r="DW447" s="12"/>
      <c r="DX447" s="12"/>
      <c r="DY447" s="12"/>
      <c r="DZ447" s="12"/>
      <c r="EA447" s="12"/>
      <c r="EB447" s="12"/>
      <c r="EC447" s="12"/>
      <c r="ED447" s="12"/>
      <c r="EE447" s="12"/>
      <c r="EF447" s="12"/>
      <c r="EG447" s="12"/>
      <c r="EH447" s="12"/>
      <c r="EI447" s="12"/>
      <c r="EJ447" s="574"/>
      <c r="EK447" s="574"/>
      <c r="EL447" s="574"/>
      <c r="EM447" s="574"/>
      <c r="EN447" s="574"/>
      <c r="EO447" s="574"/>
      <c r="EP447" s="574"/>
      <c r="EQ447" s="574"/>
      <c r="ER447" s="574"/>
      <c r="ES447" s="574"/>
      <c r="ET447" s="574"/>
      <c r="EU447" s="574"/>
    </row>
    <row r="448">
      <c r="A448" s="12"/>
      <c r="B448" s="55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  <c r="BA448" s="12"/>
      <c r="BB448" s="12"/>
      <c r="BC448" s="12"/>
      <c r="BD448" s="12"/>
      <c r="BE448" s="12"/>
      <c r="BF448" s="12"/>
      <c r="BG448" s="12"/>
      <c r="BH448" s="12"/>
      <c r="BI448" s="12"/>
      <c r="BJ448" s="12"/>
      <c r="BK448" s="12"/>
      <c r="BL448" s="12"/>
      <c r="BM448" s="12"/>
      <c r="BN448" s="12"/>
      <c r="BO448" s="12"/>
      <c r="BP448" s="12"/>
      <c r="BQ448" s="12"/>
      <c r="BR448" s="12"/>
      <c r="BS448" s="12"/>
      <c r="BT448" s="12"/>
      <c r="BU448" s="12"/>
      <c r="BV448" s="12"/>
      <c r="BW448" s="12"/>
      <c r="BX448" s="12"/>
      <c r="BY448" s="12"/>
      <c r="BZ448" s="12"/>
      <c r="CA448" s="12"/>
      <c r="CB448" s="12"/>
      <c r="CC448" s="12"/>
      <c r="CD448" s="12"/>
      <c r="CE448" s="12"/>
      <c r="CF448" s="12"/>
      <c r="CG448" s="12"/>
      <c r="CH448" s="12"/>
      <c r="CI448" s="12"/>
      <c r="CJ448" s="12"/>
      <c r="CK448" s="12"/>
      <c r="CL448" s="12"/>
      <c r="CM448" s="12"/>
      <c r="CN448" s="12"/>
      <c r="CO448" s="12"/>
      <c r="CP448" s="12"/>
      <c r="CQ448" s="12"/>
      <c r="CR448" s="12"/>
      <c r="CS448" s="12"/>
      <c r="CT448" s="12"/>
      <c r="CU448" s="12"/>
      <c r="CV448" s="12"/>
      <c r="CW448" s="12"/>
      <c r="CX448" s="12"/>
      <c r="CY448" s="12"/>
      <c r="CZ448" s="12"/>
      <c r="DA448" s="12"/>
      <c r="DB448" s="12"/>
      <c r="DC448" s="12"/>
      <c r="DD448" s="12"/>
      <c r="DE448" s="12"/>
      <c r="DF448" s="12"/>
      <c r="DG448" s="12"/>
      <c r="DH448" s="12"/>
      <c r="DI448" s="12"/>
      <c r="DJ448" s="12"/>
      <c r="DK448" s="12"/>
      <c r="DL448" s="12"/>
      <c r="DM448" s="12"/>
      <c r="DN448" s="12"/>
      <c r="DO448" s="12"/>
      <c r="DP448" s="12"/>
      <c r="DQ448" s="12"/>
      <c r="DR448" s="12"/>
      <c r="DS448" s="12"/>
      <c r="DT448" s="12"/>
      <c r="DU448" s="12"/>
      <c r="DV448" s="12"/>
      <c r="DW448" s="12"/>
      <c r="DX448" s="12"/>
      <c r="DY448" s="12"/>
      <c r="DZ448" s="12"/>
      <c r="EA448" s="12"/>
      <c r="EB448" s="12"/>
      <c r="EC448" s="12"/>
      <c r="ED448" s="12"/>
      <c r="EE448" s="12"/>
      <c r="EF448" s="12"/>
      <c r="EG448" s="12"/>
      <c r="EH448" s="12"/>
      <c r="EI448" s="12"/>
      <c r="EJ448" s="574"/>
      <c r="EK448" s="574"/>
      <c r="EL448" s="574"/>
      <c r="EM448" s="574"/>
      <c r="EN448" s="574"/>
      <c r="EO448" s="574"/>
      <c r="EP448" s="574"/>
      <c r="EQ448" s="574"/>
      <c r="ER448" s="574"/>
      <c r="ES448" s="574"/>
      <c r="ET448" s="574"/>
      <c r="EU448" s="574"/>
    </row>
    <row r="449">
      <c r="A449" s="12"/>
      <c r="B449" s="55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  <c r="BA449" s="12"/>
      <c r="BB449" s="12"/>
      <c r="BC449" s="12"/>
      <c r="BD449" s="12"/>
      <c r="BE449" s="12"/>
      <c r="BF449" s="12"/>
      <c r="BG449" s="12"/>
      <c r="BH449" s="12"/>
      <c r="BI449" s="12"/>
      <c r="BJ449" s="12"/>
      <c r="BK449" s="12"/>
      <c r="BL449" s="12"/>
      <c r="BM449" s="12"/>
      <c r="BN449" s="12"/>
      <c r="BO449" s="12"/>
      <c r="BP449" s="12"/>
      <c r="BQ449" s="12"/>
      <c r="BR449" s="12"/>
      <c r="BS449" s="12"/>
      <c r="BT449" s="12"/>
      <c r="BU449" s="12"/>
      <c r="BV449" s="12"/>
      <c r="BW449" s="12"/>
      <c r="BX449" s="12"/>
      <c r="BY449" s="12"/>
      <c r="BZ449" s="12"/>
      <c r="CA449" s="12"/>
      <c r="CB449" s="12"/>
      <c r="CC449" s="12"/>
      <c r="CD449" s="12"/>
      <c r="CE449" s="12"/>
      <c r="CF449" s="12"/>
      <c r="CG449" s="12"/>
      <c r="CH449" s="12"/>
      <c r="CI449" s="12"/>
      <c r="CJ449" s="12"/>
      <c r="CK449" s="12"/>
      <c r="CL449" s="12"/>
      <c r="CM449" s="12"/>
      <c r="CN449" s="12"/>
      <c r="CO449" s="12"/>
      <c r="CP449" s="12"/>
      <c r="CQ449" s="12"/>
      <c r="CR449" s="12"/>
      <c r="CS449" s="12"/>
      <c r="CT449" s="12"/>
      <c r="CU449" s="12"/>
      <c r="CV449" s="12"/>
      <c r="CW449" s="12"/>
      <c r="CX449" s="12"/>
      <c r="CY449" s="12"/>
      <c r="CZ449" s="12"/>
      <c r="DA449" s="12"/>
      <c r="DB449" s="12"/>
      <c r="DC449" s="12"/>
      <c r="DD449" s="12"/>
      <c r="DE449" s="12"/>
      <c r="DF449" s="12"/>
      <c r="DG449" s="12"/>
      <c r="DH449" s="12"/>
      <c r="DI449" s="12"/>
      <c r="DJ449" s="12"/>
      <c r="DK449" s="12"/>
      <c r="DL449" s="12"/>
      <c r="DM449" s="12"/>
      <c r="DN449" s="12"/>
      <c r="DO449" s="12"/>
      <c r="DP449" s="12"/>
      <c r="DQ449" s="12"/>
      <c r="DR449" s="12"/>
      <c r="DS449" s="12"/>
      <c r="DT449" s="12"/>
      <c r="DU449" s="12"/>
      <c r="DV449" s="12"/>
      <c r="DW449" s="12"/>
      <c r="DX449" s="12"/>
      <c r="DY449" s="12"/>
      <c r="DZ449" s="12"/>
      <c r="EA449" s="12"/>
      <c r="EB449" s="12"/>
      <c r="EC449" s="12"/>
      <c r="ED449" s="12"/>
      <c r="EE449" s="12"/>
      <c r="EF449" s="12"/>
      <c r="EG449" s="12"/>
      <c r="EH449" s="12"/>
      <c r="EI449" s="12"/>
      <c r="EJ449" s="574"/>
      <c r="EK449" s="574"/>
      <c r="EL449" s="574"/>
      <c r="EM449" s="574"/>
      <c r="EN449" s="574"/>
      <c r="EO449" s="574"/>
      <c r="EP449" s="574"/>
      <c r="EQ449" s="574"/>
      <c r="ER449" s="574"/>
      <c r="ES449" s="574"/>
      <c r="ET449" s="574"/>
      <c r="EU449" s="574"/>
    </row>
    <row r="450">
      <c r="A450" s="12"/>
      <c r="B450" s="55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  <c r="BA450" s="12"/>
      <c r="BB450" s="12"/>
      <c r="BC450" s="12"/>
      <c r="BD450" s="12"/>
      <c r="BE450" s="12"/>
      <c r="BF450" s="12"/>
      <c r="BG450" s="12"/>
      <c r="BH450" s="12"/>
      <c r="BI450" s="12"/>
      <c r="BJ450" s="12"/>
      <c r="BK450" s="12"/>
      <c r="BL450" s="12"/>
      <c r="BM450" s="12"/>
      <c r="BN450" s="12"/>
      <c r="BO450" s="12"/>
      <c r="BP450" s="12"/>
      <c r="BQ450" s="12"/>
      <c r="BR450" s="12"/>
      <c r="BS450" s="12"/>
      <c r="BT450" s="12"/>
      <c r="BU450" s="12"/>
      <c r="BV450" s="12"/>
      <c r="BW450" s="12"/>
      <c r="BX450" s="12"/>
      <c r="BY450" s="12"/>
      <c r="BZ450" s="12"/>
      <c r="CA450" s="12"/>
      <c r="CB450" s="12"/>
      <c r="CC450" s="12"/>
      <c r="CD450" s="12"/>
      <c r="CE450" s="12"/>
      <c r="CF450" s="12"/>
      <c r="CG450" s="12"/>
      <c r="CH450" s="12"/>
      <c r="CI450" s="12"/>
      <c r="CJ450" s="12"/>
      <c r="CK450" s="12"/>
      <c r="CL450" s="12"/>
      <c r="CM450" s="12"/>
      <c r="CN450" s="12"/>
      <c r="CO450" s="12"/>
      <c r="CP450" s="12"/>
      <c r="CQ450" s="12"/>
      <c r="CR450" s="12"/>
      <c r="CS450" s="12"/>
      <c r="CT450" s="12"/>
      <c r="CU450" s="12"/>
      <c r="CV450" s="12"/>
      <c r="CW450" s="12"/>
      <c r="CX450" s="12"/>
      <c r="CY450" s="12"/>
      <c r="CZ450" s="12"/>
      <c r="DA450" s="12"/>
      <c r="DB450" s="12"/>
      <c r="DC450" s="12"/>
      <c r="DD450" s="12"/>
      <c r="DE450" s="12"/>
      <c r="DF450" s="12"/>
      <c r="DG450" s="12"/>
      <c r="DH450" s="12"/>
      <c r="DI450" s="12"/>
      <c r="DJ450" s="12"/>
      <c r="DK450" s="12"/>
      <c r="DL450" s="12"/>
      <c r="DM450" s="12"/>
      <c r="DN450" s="12"/>
      <c r="DO450" s="12"/>
      <c r="DP450" s="12"/>
      <c r="DQ450" s="12"/>
      <c r="DR450" s="12"/>
      <c r="DS450" s="12"/>
      <c r="DT450" s="12"/>
      <c r="DU450" s="12"/>
      <c r="DV450" s="12"/>
      <c r="DW450" s="12"/>
      <c r="DX450" s="12"/>
      <c r="DY450" s="12"/>
      <c r="DZ450" s="12"/>
      <c r="EA450" s="12"/>
      <c r="EB450" s="12"/>
      <c r="EC450" s="12"/>
      <c r="ED450" s="12"/>
      <c r="EE450" s="12"/>
      <c r="EF450" s="12"/>
      <c r="EG450" s="12"/>
      <c r="EH450" s="12"/>
      <c r="EI450" s="12"/>
      <c r="EJ450" s="574"/>
      <c r="EK450" s="574"/>
      <c r="EL450" s="574"/>
      <c r="EM450" s="574"/>
      <c r="EN450" s="574"/>
      <c r="EO450" s="574"/>
      <c r="EP450" s="574"/>
      <c r="EQ450" s="574"/>
      <c r="ER450" s="574"/>
      <c r="ES450" s="574"/>
      <c r="ET450" s="574"/>
      <c r="EU450" s="574"/>
    </row>
    <row r="451">
      <c r="A451" s="12"/>
      <c r="B451" s="55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/>
      <c r="BA451" s="12"/>
      <c r="BB451" s="12"/>
      <c r="BC451" s="12"/>
      <c r="BD451" s="12"/>
      <c r="BE451" s="12"/>
      <c r="BF451" s="12"/>
      <c r="BG451" s="12"/>
      <c r="BH451" s="12"/>
      <c r="BI451" s="12"/>
      <c r="BJ451" s="12"/>
      <c r="BK451" s="12"/>
      <c r="BL451" s="12"/>
      <c r="BM451" s="12"/>
      <c r="BN451" s="12"/>
      <c r="BO451" s="12"/>
      <c r="BP451" s="12"/>
      <c r="BQ451" s="12"/>
      <c r="BR451" s="12"/>
      <c r="BS451" s="12"/>
      <c r="BT451" s="12"/>
      <c r="BU451" s="12"/>
      <c r="BV451" s="12"/>
      <c r="BW451" s="12"/>
      <c r="BX451" s="12"/>
      <c r="BY451" s="12"/>
      <c r="BZ451" s="12"/>
      <c r="CA451" s="12"/>
      <c r="CB451" s="12"/>
      <c r="CC451" s="12"/>
      <c r="CD451" s="12"/>
      <c r="CE451" s="12"/>
      <c r="CF451" s="12"/>
      <c r="CG451" s="12"/>
      <c r="CH451" s="12"/>
      <c r="CI451" s="12"/>
      <c r="CJ451" s="12"/>
      <c r="CK451" s="12"/>
      <c r="CL451" s="12"/>
      <c r="CM451" s="12"/>
      <c r="CN451" s="12"/>
      <c r="CO451" s="12"/>
      <c r="CP451" s="12"/>
      <c r="CQ451" s="12"/>
      <c r="CR451" s="12"/>
      <c r="CS451" s="12"/>
      <c r="CT451" s="12"/>
      <c r="CU451" s="12"/>
      <c r="CV451" s="12"/>
      <c r="CW451" s="12"/>
      <c r="CX451" s="12"/>
      <c r="CY451" s="12"/>
      <c r="CZ451" s="12"/>
      <c r="DA451" s="12"/>
      <c r="DB451" s="12"/>
      <c r="DC451" s="12"/>
      <c r="DD451" s="12"/>
      <c r="DE451" s="12"/>
      <c r="DF451" s="12"/>
      <c r="DG451" s="12"/>
      <c r="DH451" s="12"/>
      <c r="DI451" s="12"/>
      <c r="DJ451" s="12"/>
      <c r="DK451" s="12"/>
      <c r="DL451" s="12"/>
      <c r="DM451" s="12"/>
      <c r="DN451" s="12"/>
      <c r="DO451" s="12"/>
      <c r="DP451" s="12"/>
      <c r="DQ451" s="12"/>
      <c r="DR451" s="12"/>
      <c r="DS451" s="12"/>
      <c r="DT451" s="12"/>
      <c r="DU451" s="12"/>
      <c r="DV451" s="12"/>
      <c r="DW451" s="12"/>
      <c r="DX451" s="12"/>
      <c r="DY451" s="12"/>
      <c r="DZ451" s="12"/>
      <c r="EA451" s="12"/>
      <c r="EB451" s="12"/>
      <c r="EC451" s="12"/>
      <c r="ED451" s="12"/>
      <c r="EE451" s="12"/>
      <c r="EF451" s="12"/>
      <c r="EG451" s="12"/>
      <c r="EH451" s="12"/>
      <c r="EI451" s="12"/>
      <c r="EJ451" s="574"/>
      <c r="EK451" s="574"/>
      <c r="EL451" s="574"/>
      <c r="EM451" s="574"/>
      <c r="EN451" s="574"/>
      <c r="EO451" s="574"/>
      <c r="EP451" s="574"/>
      <c r="EQ451" s="574"/>
      <c r="ER451" s="574"/>
      <c r="ES451" s="574"/>
      <c r="ET451" s="574"/>
      <c r="EU451" s="574"/>
    </row>
    <row r="452">
      <c r="A452" s="12"/>
      <c r="B452" s="55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  <c r="AZ452" s="12"/>
      <c r="BA452" s="12"/>
      <c r="BB452" s="12"/>
      <c r="BC452" s="12"/>
      <c r="BD452" s="12"/>
      <c r="BE452" s="12"/>
      <c r="BF452" s="12"/>
      <c r="BG452" s="12"/>
      <c r="BH452" s="12"/>
      <c r="BI452" s="12"/>
      <c r="BJ452" s="12"/>
      <c r="BK452" s="12"/>
      <c r="BL452" s="12"/>
      <c r="BM452" s="12"/>
      <c r="BN452" s="12"/>
      <c r="BO452" s="12"/>
      <c r="BP452" s="12"/>
      <c r="BQ452" s="12"/>
      <c r="BR452" s="12"/>
      <c r="BS452" s="12"/>
      <c r="BT452" s="12"/>
      <c r="BU452" s="12"/>
      <c r="BV452" s="12"/>
      <c r="BW452" s="12"/>
      <c r="BX452" s="12"/>
      <c r="BY452" s="12"/>
      <c r="BZ452" s="12"/>
      <c r="CA452" s="12"/>
      <c r="CB452" s="12"/>
      <c r="CC452" s="12"/>
      <c r="CD452" s="12"/>
      <c r="CE452" s="12"/>
      <c r="CF452" s="12"/>
      <c r="CG452" s="12"/>
      <c r="CH452" s="12"/>
      <c r="CI452" s="12"/>
      <c r="CJ452" s="12"/>
      <c r="CK452" s="12"/>
      <c r="CL452" s="12"/>
      <c r="CM452" s="12"/>
      <c r="CN452" s="12"/>
      <c r="CO452" s="12"/>
      <c r="CP452" s="12"/>
      <c r="CQ452" s="12"/>
      <c r="CR452" s="12"/>
      <c r="CS452" s="12"/>
      <c r="CT452" s="12"/>
      <c r="CU452" s="12"/>
      <c r="CV452" s="12"/>
      <c r="CW452" s="12"/>
      <c r="CX452" s="12"/>
      <c r="CY452" s="12"/>
      <c r="CZ452" s="12"/>
      <c r="DA452" s="12"/>
      <c r="DB452" s="12"/>
      <c r="DC452" s="12"/>
      <c r="DD452" s="12"/>
      <c r="DE452" s="12"/>
      <c r="DF452" s="12"/>
      <c r="DG452" s="12"/>
      <c r="DH452" s="12"/>
      <c r="DI452" s="12"/>
      <c r="DJ452" s="12"/>
      <c r="DK452" s="12"/>
      <c r="DL452" s="12"/>
      <c r="DM452" s="12"/>
      <c r="DN452" s="12"/>
      <c r="DO452" s="12"/>
      <c r="DP452" s="12"/>
      <c r="DQ452" s="12"/>
      <c r="DR452" s="12"/>
      <c r="DS452" s="12"/>
      <c r="DT452" s="12"/>
      <c r="DU452" s="12"/>
      <c r="DV452" s="12"/>
      <c r="DW452" s="12"/>
      <c r="DX452" s="12"/>
      <c r="DY452" s="12"/>
      <c r="DZ452" s="12"/>
      <c r="EA452" s="12"/>
      <c r="EB452" s="12"/>
      <c r="EC452" s="12"/>
      <c r="ED452" s="12"/>
      <c r="EE452" s="12"/>
      <c r="EF452" s="12"/>
      <c r="EG452" s="12"/>
      <c r="EH452" s="12"/>
      <c r="EI452" s="12"/>
      <c r="EJ452" s="574"/>
      <c r="EK452" s="574"/>
      <c r="EL452" s="574"/>
      <c r="EM452" s="574"/>
      <c r="EN452" s="574"/>
      <c r="EO452" s="574"/>
      <c r="EP452" s="574"/>
      <c r="EQ452" s="574"/>
      <c r="ER452" s="574"/>
      <c r="ES452" s="574"/>
      <c r="ET452" s="574"/>
      <c r="EU452" s="574"/>
    </row>
    <row r="453">
      <c r="A453" s="12"/>
      <c r="B453" s="55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/>
      <c r="BA453" s="12"/>
      <c r="BB453" s="12"/>
      <c r="BC453" s="12"/>
      <c r="BD453" s="12"/>
      <c r="BE453" s="12"/>
      <c r="BF453" s="12"/>
      <c r="BG453" s="12"/>
      <c r="BH453" s="12"/>
      <c r="BI453" s="12"/>
      <c r="BJ453" s="12"/>
      <c r="BK453" s="12"/>
      <c r="BL453" s="12"/>
      <c r="BM453" s="12"/>
      <c r="BN453" s="12"/>
      <c r="BO453" s="12"/>
      <c r="BP453" s="12"/>
      <c r="BQ453" s="12"/>
      <c r="BR453" s="12"/>
      <c r="BS453" s="12"/>
      <c r="BT453" s="12"/>
      <c r="BU453" s="12"/>
      <c r="BV453" s="12"/>
      <c r="BW453" s="12"/>
      <c r="BX453" s="12"/>
      <c r="BY453" s="12"/>
      <c r="BZ453" s="12"/>
      <c r="CA453" s="12"/>
      <c r="CB453" s="12"/>
      <c r="CC453" s="12"/>
      <c r="CD453" s="12"/>
      <c r="CE453" s="12"/>
      <c r="CF453" s="12"/>
      <c r="CG453" s="12"/>
      <c r="CH453" s="12"/>
      <c r="CI453" s="12"/>
      <c r="CJ453" s="12"/>
      <c r="CK453" s="12"/>
      <c r="CL453" s="12"/>
      <c r="CM453" s="12"/>
      <c r="CN453" s="12"/>
      <c r="CO453" s="12"/>
      <c r="CP453" s="12"/>
      <c r="CQ453" s="12"/>
      <c r="CR453" s="12"/>
      <c r="CS453" s="12"/>
      <c r="CT453" s="12"/>
      <c r="CU453" s="12"/>
      <c r="CV453" s="12"/>
      <c r="CW453" s="12"/>
      <c r="CX453" s="12"/>
      <c r="CY453" s="12"/>
      <c r="CZ453" s="12"/>
      <c r="DA453" s="12"/>
      <c r="DB453" s="12"/>
      <c r="DC453" s="12"/>
      <c r="DD453" s="12"/>
      <c r="DE453" s="12"/>
      <c r="DF453" s="12"/>
      <c r="DG453" s="12"/>
      <c r="DH453" s="12"/>
      <c r="DI453" s="12"/>
      <c r="DJ453" s="12"/>
      <c r="DK453" s="12"/>
      <c r="DL453" s="12"/>
      <c r="DM453" s="12"/>
      <c r="DN453" s="12"/>
      <c r="DO453" s="12"/>
      <c r="DP453" s="12"/>
      <c r="DQ453" s="12"/>
      <c r="DR453" s="12"/>
      <c r="DS453" s="12"/>
      <c r="DT453" s="12"/>
      <c r="DU453" s="12"/>
      <c r="DV453" s="12"/>
      <c r="DW453" s="12"/>
      <c r="DX453" s="12"/>
      <c r="DY453" s="12"/>
      <c r="DZ453" s="12"/>
      <c r="EA453" s="12"/>
      <c r="EB453" s="12"/>
      <c r="EC453" s="12"/>
      <c r="ED453" s="12"/>
      <c r="EE453" s="12"/>
      <c r="EF453" s="12"/>
      <c r="EG453" s="12"/>
      <c r="EH453" s="12"/>
      <c r="EI453" s="12"/>
      <c r="EJ453" s="574"/>
      <c r="EK453" s="574"/>
      <c r="EL453" s="574"/>
      <c r="EM453" s="574"/>
      <c r="EN453" s="574"/>
      <c r="EO453" s="574"/>
      <c r="EP453" s="574"/>
      <c r="EQ453" s="574"/>
      <c r="ER453" s="574"/>
      <c r="ES453" s="574"/>
      <c r="ET453" s="574"/>
      <c r="EU453" s="574"/>
    </row>
    <row r="454">
      <c r="A454" s="12"/>
      <c r="B454" s="55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  <c r="AZ454" s="12"/>
      <c r="BA454" s="12"/>
      <c r="BB454" s="12"/>
      <c r="BC454" s="12"/>
      <c r="BD454" s="12"/>
      <c r="BE454" s="12"/>
      <c r="BF454" s="12"/>
      <c r="BG454" s="12"/>
      <c r="BH454" s="12"/>
      <c r="BI454" s="12"/>
      <c r="BJ454" s="12"/>
      <c r="BK454" s="12"/>
      <c r="BL454" s="12"/>
      <c r="BM454" s="12"/>
      <c r="BN454" s="12"/>
      <c r="BO454" s="12"/>
      <c r="BP454" s="12"/>
      <c r="BQ454" s="12"/>
      <c r="BR454" s="12"/>
      <c r="BS454" s="12"/>
      <c r="BT454" s="12"/>
      <c r="BU454" s="12"/>
      <c r="BV454" s="12"/>
      <c r="BW454" s="12"/>
      <c r="BX454" s="12"/>
      <c r="BY454" s="12"/>
      <c r="BZ454" s="12"/>
      <c r="CA454" s="12"/>
      <c r="CB454" s="12"/>
      <c r="CC454" s="12"/>
      <c r="CD454" s="12"/>
      <c r="CE454" s="12"/>
      <c r="CF454" s="12"/>
      <c r="CG454" s="12"/>
      <c r="CH454" s="12"/>
      <c r="CI454" s="12"/>
      <c r="CJ454" s="12"/>
      <c r="CK454" s="12"/>
      <c r="CL454" s="12"/>
      <c r="CM454" s="12"/>
      <c r="CN454" s="12"/>
      <c r="CO454" s="12"/>
      <c r="CP454" s="12"/>
      <c r="CQ454" s="12"/>
      <c r="CR454" s="12"/>
      <c r="CS454" s="12"/>
      <c r="CT454" s="12"/>
      <c r="CU454" s="12"/>
      <c r="CV454" s="12"/>
      <c r="CW454" s="12"/>
      <c r="CX454" s="12"/>
      <c r="CY454" s="12"/>
      <c r="CZ454" s="12"/>
      <c r="DA454" s="12"/>
      <c r="DB454" s="12"/>
      <c r="DC454" s="12"/>
      <c r="DD454" s="12"/>
      <c r="DE454" s="12"/>
      <c r="DF454" s="12"/>
      <c r="DG454" s="12"/>
      <c r="DH454" s="12"/>
      <c r="DI454" s="12"/>
      <c r="DJ454" s="12"/>
      <c r="DK454" s="12"/>
      <c r="DL454" s="12"/>
      <c r="DM454" s="12"/>
      <c r="DN454" s="12"/>
      <c r="DO454" s="12"/>
      <c r="DP454" s="12"/>
      <c r="DQ454" s="12"/>
      <c r="DR454" s="12"/>
      <c r="DS454" s="12"/>
      <c r="DT454" s="12"/>
      <c r="DU454" s="12"/>
      <c r="DV454" s="12"/>
      <c r="DW454" s="12"/>
      <c r="DX454" s="12"/>
      <c r="DY454" s="12"/>
      <c r="DZ454" s="12"/>
      <c r="EA454" s="12"/>
      <c r="EB454" s="12"/>
      <c r="EC454" s="12"/>
      <c r="ED454" s="12"/>
      <c r="EE454" s="12"/>
      <c r="EF454" s="12"/>
      <c r="EG454" s="12"/>
      <c r="EH454" s="12"/>
      <c r="EI454" s="12"/>
      <c r="EJ454" s="574"/>
      <c r="EK454" s="574"/>
      <c r="EL454" s="574"/>
      <c r="EM454" s="574"/>
      <c r="EN454" s="574"/>
      <c r="EO454" s="574"/>
      <c r="EP454" s="574"/>
      <c r="EQ454" s="574"/>
      <c r="ER454" s="574"/>
      <c r="ES454" s="574"/>
      <c r="ET454" s="574"/>
      <c r="EU454" s="574"/>
    </row>
    <row r="455">
      <c r="A455" s="12"/>
      <c r="B455" s="55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/>
      <c r="BA455" s="12"/>
      <c r="BB455" s="12"/>
      <c r="BC455" s="12"/>
      <c r="BD455" s="12"/>
      <c r="BE455" s="12"/>
      <c r="BF455" s="12"/>
      <c r="BG455" s="12"/>
      <c r="BH455" s="12"/>
      <c r="BI455" s="12"/>
      <c r="BJ455" s="12"/>
      <c r="BK455" s="12"/>
      <c r="BL455" s="12"/>
      <c r="BM455" s="12"/>
      <c r="BN455" s="12"/>
      <c r="BO455" s="12"/>
      <c r="BP455" s="12"/>
      <c r="BQ455" s="12"/>
      <c r="BR455" s="12"/>
      <c r="BS455" s="12"/>
      <c r="BT455" s="12"/>
      <c r="BU455" s="12"/>
      <c r="BV455" s="12"/>
      <c r="BW455" s="12"/>
      <c r="BX455" s="12"/>
      <c r="BY455" s="12"/>
      <c r="BZ455" s="12"/>
      <c r="CA455" s="12"/>
      <c r="CB455" s="12"/>
      <c r="CC455" s="12"/>
      <c r="CD455" s="12"/>
      <c r="CE455" s="12"/>
      <c r="CF455" s="12"/>
      <c r="CG455" s="12"/>
      <c r="CH455" s="12"/>
      <c r="CI455" s="12"/>
      <c r="CJ455" s="12"/>
      <c r="CK455" s="12"/>
      <c r="CL455" s="12"/>
      <c r="CM455" s="12"/>
      <c r="CN455" s="12"/>
      <c r="CO455" s="12"/>
      <c r="CP455" s="12"/>
      <c r="CQ455" s="12"/>
      <c r="CR455" s="12"/>
      <c r="CS455" s="12"/>
      <c r="CT455" s="12"/>
      <c r="CU455" s="12"/>
      <c r="CV455" s="12"/>
      <c r="CW455" s="12"/>
      <c r="CX455" s="12"/>
      <c r="CY455" s="12"/>
      <c r="CZ455" s="12"/>
      <c r="DA455" s="12"/>
      <c r="DB455" s="12"/>
      <c r="DC455" s="12"/>
      <c r="DD455" s="12"/>
      <c r="DE455" s="12"/>
      <c r="DF455" s="12"/>
      <c r="DG455" s="12"/>
      <c r="DH455" s="12"/>
      <c r="DI455" s="12"/>
      <c r="DJ455" s="12"/>
      <c r="DK455" s="12"/>
      <c r="DL455" s="12"/>
      <c r="DM455" s="12"/>
      <c r="DN455" s="12"/>
      <c r="DO455" s="12"/>
      <c r="DP455" s="12"/>
      <c r="DQ455" s="12"/>
      <c r="DR455" s="12"/>
      <c r="DS455" s="12"/>
      <c r="DT455" s="12"/>
      <c r="DU455" s="12"/>
      <c r="DV455" s="12"/>
      <c r="DW455" s="12"/>
      <c r="DX455" s="12"/>
      <c r="DY455" s="12"/>
      <c r="DZ455" s="12"/>
      <c r="EA455" s="12"/>
      <c r="EB455" s="12"/>
      <c r="EC455" s="12"/>
      <c r="ED455" s="12"/>
      <c r="EE455" s="12"/>
      <c r="EF455" s="12"/>
      <c r="EG455" s="12"/>
      <c r="EH455" s="12"/>
      <c r="EI455" s="12"/>
      <c r="EJ455" s="574"/>
      <c r="EK455" s="574"/>
      <c r="EL455" s="574"/>
      <c r="EM455" s="574"/>
      <c r="EN455" s="574"/>
      <c r="EO455" s="574"/>
      <c r="EP455" s="574"/>
      <c r="EQ455" s="574"/>
      <c r="ER455" s="574"/>
      <c r="ES455" s="574"/>
      <c r="ET455" s="574"/>
      <c r="EU455" s="574"/>
    </row>
    <row r="456">
      <c r="A456" s="12"/>
      <c r="B456" s="55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  <c r="AZ456" s="12"/>
      <c r="BA456" s="12"/>
      <c r="BB456" s="12"/>
      <c r="BC456" s="12"/>
      <c r="BD456" s="12"/>
      <c r="BE456" s="12"/>
      <c r="BF456" s="12"/>
      <c r="BG456" s="12"/>
      <c r="BH456" s="12"/>
      <c r="BI456" s="12"/>
      <c r="BJ456" s="12"/>
      <c r="BK456" s="12"/>
      <c r="BL456" s="12"/>
      <c r="BM456" s="12"/>
      <c r="BN456" s="12"/>
      <c r="BO456" s="12"/>
      <c r="BP456" s="12"/>
      <c r="BQ456" s="12"/>
      <c r="BR456" s="12"/>
      <c r="BS456" s="12"/>
      <c r="BT456" s="12"/>
      <c r="BU456" s="12"/>
      <c r="BV456" s="12"/>
      <c r="BW456" s="12"/>
      <c r="BX456" s="12"/>
      <c r="BY456" s="12"/>
      <c r="BZ456" s="12"/>
      <c r="CA456" s="12"/>
      <c r="CB456" s="12"/>
      <c r="CC456" s="12"/>
      <c r="CD456" s="12"/>
      <c r="CE456" s="12"/>
      <c r="CF456" s="12"/>
      <c r="CG456" s="12"/>
      <c r="CH456" s="12"/>
      <c r="CI456" s="12"/>
      <c r="CJ456" s="12"/>
      <c r="CK456" s="12"/>
      <c r="CL456" s="12"/>
      <c r="CM456" s="12"/>
      <c r="CN456" s="12"/>
      <c r="CO456" s="12"/>
      <c r="CP456" s="12"/>
      <c r="CQ456" s="12"/>
      <c r="CR456" s="12"/>
      <c r="CS456" s="12"/>
      <c r="CT456" s="12"/>
      <c r="CU456" s="12"/>
      <c r="CV456" s="12"/>
      <c r="CW456" s="12"/>
      <c r="CX456" s="12"/>
      <c r="CY456" s="12"/>
      <c r="CZ456" s="12"/>
      <c r="DA456" s="12"/>
      <c r="DB456" s="12"/>
      <c r="DC456" s="12"/>
      <c r="DD456" s="12"/>
      <c r="DE456" s="12"/>
      <c r="DF456" s="12"/>
      <c r="DG456" s="12"/>
      <c r="DH456" s="12"/>
      <c r="DI456" s="12"/>
      <c r="DJ456" s="12"/>
      <c r="DK456" s="12"/>
      <c r="DL456" s="12"/>
      <c r="DM456" s="12"/>
      <c r="DN456" s="12"/>
      <c r="DO456" s="12"/>
      <c r="DP456" s="12"/>
      <c r="DQ456" s="12"/>
      <c r="DR456" s="12"/>
      <c r="DS456" s="12"/>
      <c r="DT456" s="12"/>
      <c r="DU456" s="12"/>
      <c r="DV456" s="12"/>
      <c r="DW456" s="12"/>
      <c r="DX456" s="12"/>
      <c r="DY456" s="12"/>
      <c r="DZ456" s="12"/>
      <c r="EA456" s="12"/>
      <c r="EB456" s="12"/>
      <c r="EC456" s="12"/>
      <c r="ED456" s="12"/>
      <c r="EE456" s="12"/>
      <c r="EF456" s="12"/>
      <c r="EG456" s="12"/>
      <c r="EH456" s="12"/>
      <c r="EI456" s="12"/>
      <c r="EJ456" s="574"/>
      <c r="EK456" s="574"/>
      <c r="EL456" s="574"/>
      <c r="EM456" s="574"/>
      <c r="EN456" s="574"/>
      <c r="EO456" s="574"/>
      <c r="EP456" s="574"/>
      <c r="EQ456" s="574"/>
      <c r="ER456" s="574"/>
      <c r="ES456" s="574"/>
      <c r="ET456" s="574"/>
      <c r="EU456" s="574"/>
    </row>
    <row r="457">
      <c r="A457" s="12"/>
      <c r="B457" s="55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/>
      <c r="BA457" s="12"/>
      <c r="BB457" s="12"/>
      <c r="BC457" s="12"/>
      <c r="BD457" s="12"/>
      <c r="BE457" s="12"/>
      <c r="BF457" s="12"/>
      <c r="BG457" s="12"/>
      <c r="BH457" s="12"/>
      <c r="BI457" s="12"/>
      <c r="BJ457" s="12"/>
      <c r="BK457" s="12"/>
      <c r="BL457" s="12"/>
      <c r="BM457" s="12"/>
      <c r="BN457" s="12"/>
      <c r="BO457" s="12"/>
      <c r="BP457" s="12"/>
      <c r="BQ457" s="12"/>
      <c r="BR457" s="12"/>
      <c r="BS457" s="12"/>
      <c r="BT457" s="12"/>
      <c r="BU457" s="12"/>
      <c r="BV457" s="12"/>
      <c r="BW457" s="12"/>
      <c r="BX457" s="12"/>
      <c r="BY457" s="12"/>
      <c r="BZ457" s="12"/>
      <c r="CA457" s="12"/>
      <c r="CB457" s="12"/>
      <c r="CC457" s="12"/>
      <c r="CD457" s="12"/>
      <c r="CE457" s="12"/>
      <c r="CF457" s="12"/>
      <c r="CG457" s="12"/>
      <c r="CH457" s="12"/>
      <c r="CI457" s="12"/>
      <c r="CJ457" s="12"/>
      <c r="CK457" s="12"/>
      <c r="CL457" s="12"/>
      <c r="CM457" s="12"/>
      <c r="CN457" s="12"/>
      <c r="CO457" s="12"/>
      <c r="CP457" s="12"/>
      <c r="CQ457" s="12"/>
      <c r="CR457" s="12"/>
      <c r="CS457" s="12"/>
      <c r="CT457" s="12"/>
      <c r="CU457" s="12"/>
      <c r="CV457" s="12"/>
      <c r="CW457" s="12"/>
      <c r="CX457" s="12"/>
      <c r="CY457" s="12"/>
      <c r="CZ457" s="12"/>
      <c r="DA457" s="12"/>
      <c r="DB457" s="12"/>
      <c r="DC457" s="12"/>
      <c r="DD457" s="12"/>
      <c r="DE457" s="12"/>
      <c r="DF457" s="12"/>
      <c r="DG457" s="12"/>
      <c r="DH457" s="12"/>
      <c r="DI457" s="12"/>
      <c r="DJ457" s="12"/>
      <c r="DK457" s="12"/>
      <c r="DL457" s="12"/>
      <c r="DM457" s="12"/>
      <c r="DN457" s="12"/>
      <c r="DO457" s="12"/>
      <c r="DP457" s="12"/>
      <c r="DQ457" s="12"/>
      <c r="DR457" s="12"/>
      <c r="DS457" s="12"/>
      <c r="DT457" s="12"/>
      <c r="DU457" s="12"/>
      <c r="DV457" s="12"/>
      <c r="DW457" s="12"/>
      <c r="DX457" s="12"/>
      <c r="DY457" s="12"/>
      <c r="DZ457" s="12"/>
      <c r="EA457" s="12"/>
      <c r="EB457" s="12"/>
      <c r="EC457" s="12"/>
      <c r="ED457" s="12"/>
      <c r="EE457" s="12"/>
      <c r="EF457" s="12"/>
      <c r="EG457" s="12"/>
      <c r="EH457" s="12"/>
      <c r="EI457" s="12"/>
      <c r="EJ457" s="574"/>
      <c r="EK457" s="574"/>
      <c r="EL457" s="574"/>
      <c r="EM457" s="574"/>
      <c r="EN457" s="574"/>
      <c r="EO457" s="574"/>
      <c r="EP457" s="574"/>
      <c r="EQ457" s="574"/>
      <c r="ER457" s="574"/>
      <c r="ES457" s="574"/>
      <c r="ET457" s="574"/>
      <c r="EU457" s="574"/>
    </row>
    <row r="458">
      <c r="A458" s="12"/>
      <c r="B458" s="55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  <c r="AZ458" s="12"/>
      <c r="BA458" s="12"/>
      <c r="BB458" s="12"/>
      <c r="BC458" s="12"/>
      <c r="BD458" s="12"/>
      <c r="BE458" s="12"/>
      <c r="BF458" s="12"/>
      <c r="BG458" s="12"/>
      <c r="BH458" s="12"/>
      <c r="BI458" s="12"/>
      <c r="BJ458" s="12"/>
      <c r="BK458" s="12"/>
      <c r="BL458" s="12"/>
      <c r="BM458" s="12"/>
      <c r="BN458" s="12"/>
      <c r="BO458" s="12"/>
      <c r="BP458" s="12"/>
      <c r="BQ458" s="12"/>
      <c r="BR458" s="12"/>
      <c r="BS458" s="12"/>
      <c r="BT458" s="12"/>
      <c r="BU458" s="12"/>
      <c r="BV458" s="12"/>
      <c r="BW458" s="12"/>
      <c r="BX458" s="12"/>
      <c r="BY458" s="12"/>
      <c r="BZ458" s="12"/>
      <c r="CA458" s="12"/>
      <c r="CB458" s="12"/>
      <c r="CC458" s="12"/>
      <c r="CD458" s="12"/>
      <c r="CE458" s="12"/>
      <c r="CF458" s="12"/>
      <c r="CG458" s="12"/>
      <c r="CH458" s="12"/>
      <c r="CI458" s="12"/>
      <c r="CJ458" s="12"/>
      <c r="CK458" s="12"/>
      <c r="CL458" s="12"/>
      <c r="CM458" s="12"/>
      <c r="CN458" s="12"/>
      <c r="CO458" s="12"/>
      <c r="CP458" s="12"/>
      <c r="CQ458" s="12"/>
      <c r="CR458" s="12"/>
      <c r="CS458" s="12"/>
      <c r="CT458" s="12"/>
      <c r="CU458" s="12"/>
      <c r="CV458" s="12"/>
      <c r="CW458" s="12"/>
      <c r="CX458" s="12"/>
      <c r="CY458" s="12"/>
      <c r="CZ458" s="12"/>
      <c r="DA458" s="12"/>
      <c r="DB458" s="12"/>
      <c r="DC458" s="12"/>
      <c r="DD458" s="12"/>
      <c r="DE458" s="12"/>
      <c r="DF458" s="12"/>
      <c r="DG458" s="12"/>
      <c r="DH458" s="12"/>
      <c r="DI458" s="12"/>
      <c r="DJ458" s="12"/>
      <c r="DK458" s="12"/>
      <c r="DL458" s="12"/>
      <c r="DM458" s="12"/>
      <c r="DN458" s="12"/>
      <c r="DO458" s="12"/>
      <c r="DP458" s="12"/>
      <c r="DQ458" s="12"/>
      <c r="DR458" s="12"/>
      <c r="DS458" s="12"/>
      <c r="DT458" s="12"/>
      <c r="DU458" s="12"/>
      <c r="DV458" s="12"/>
      <c r="DW458" s="12"/>
      <c r="DX458" s="12"/>
      <c r="DY458" s="12"/>
      <c r="DZ458" s="12"/>
      <c r="EA458" s="12"/>
      <c r="EB458" s="12"/>
      <c r="EC458" s="12"/>
      <c r="ED458" s="12"/>
      <c r="EE458" s="12"/>
      <c r="EF458" s="12"/>
      <c r="EG458" s="12"/>
      <c r="EH458" s="12"/>
      <c r="EI458" s="12"/>
      <c r="EJ458" s="574"/>
      <c r="EK458" s="574"/>
      <c r="EL458" s="574"/>
      <c r="EM458" s="574"/>
      <c r="EN458" s="574"/>
      <c r="EO458" s="574"/>
      <c r="EP458" s="574"/>
      <c r="EQ458" s="574"/>
      <c r="ER458" s="574"/>
      <c r="ES458" s="574"/>
      <c r="ET458" s="574"/>
      <c r="EU458" s="574"/>
    </row>
    <row r="459">
      <c r="A459" s="12"/>
      <c r="B459" s="55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  <c r="AZ459" s="12"/>
      <c r="BA459" s="12"/>
      <c r="BB459" s="12"/>
      <c r="BC459" s="12"/>
      <c r="BD459" s="12"/>
      <c r="BE459" s="12"/>
      <c r="BF459" s="12"/>
      <c r="BG459" s="12"/>
      <c r="BH459" s="12"/>
      <c r="BI459" s="12"/>
      <c r="BJ459" s="12"/>
      <c r="BK459" s="12"/>
      <c r="BL459" s="12"/>
      <c r="BM459" s="12"/>
      <c r="BN459" s="12"/>
      <c r="BO459" s="12"/>
      <c r="BP459" s="12"/>
      <c r="BQ459" s="12"/>
      <c r="BR459" s="12"/>
      <c r="BS459" s="12"/>
      <c r="BT459" s="12"/>
      <c r="BU459" s="12"/>
      <c r="BV459" s="12"/>
      <c r="BW459" s="12"/>
      <c r="BX459" s="12"/>
      <c r="BY459" s="12"/>
      <c r="BZ459" s="12"/>
      <c r="CA459" s="12"/>
      <c r="CB459" s="12"/>
      <c r="CC459" s="12"/>
      <c r="CD459" s="12"/>
      <c r="CE459" s="12"/>
      <c r="CF459" s="12"/>
      <c r="CG459" s="12"/>
      <c r="CH459" s="12"/>
      <c r="CI459" s="12"/>
      <c r="CJ459" s="12"/>
      <c r="CK459" s="12"/>
      <c r="CL459" s="12"/>
      <c r="CM459" s="12"/>
      <c r="CN459" s="12"/>
      <c r="CO459" s="12"/>
      <c r="CP459" s="12"/>
      <c r="CQ459" s="12"/>
      <c r="CR459" s="12"/>
      <c r="CS459" s="12"/>
      <c r="CT459" s="12"/>
      <c r="CU459" s="12"/>
      <c r="CV459" s="12"/>
      <c r="CW459" s="12"/>
      <c r="CX459" s="12"/>
      <c r="CY459" s="12"/>
      <c r="CZ459" s="12"/>
      <c r="DA459" s="12"/>
      <c r="DB459" s="12"/>
      <c r="DC459" s="12"/>
      <c r="DD459" s="12"/>
      <c r="DE459" s="12"/>
      <c r="DF459" s="12"/>
      <c r="DG459" s="12"/>
      <c r="DH459" s="12"/>
      <c r="DI459" s="12"/>
      <c r="DJ459" s="12"/>
      <c r="DK459" s="12"/>
      <c r="DL459" s="12"/>
      <c r="DM459" s="12"/>
      <c r="DN459" s="12"/>
      <c r="DO459" s="12"/>
      <c r="DP459" s="12"/>
      <c r="DQ459" s="12"/>
      <c r="DR459" s="12"/>
      <c r="DS459" s="12"/>
      <c r="DT459" s="12"/>
      <c r="DU459" s="12"/>
      <c r="DV459" s="12"/>
      <c r="DW459" s="12"/>
      <c r="DX459" s="12"/>
      <c r="DY459" s="12"/>
      <c r="DZ459" s="12"/>
      <c r="EA459" s="12"/>
      <c r="EB459" s="12"/>
      <c r="EC459" s="12"/>
      <c r="ED459" s="12"/>
      <c r="EE459" s="12"/>
      <c r="EF459" s="12"/>
      <c r="EG459" s="12"/>
      <c r="EH459" s="12"/>
      <c r="EI459" s="12"/>
      <c r="EJ459" s="574"/>
      <c r="EK459" s="574"/>
      <c r="EL459" s="574"/>
      <c r="EM459" s="574"/>
      <c r="EN459" s="574"/>
      <c r="EO459" s="574"/>
      <c r="EP459" s="574"/>
      <c r="EQ459" s="574"/>
      <c r="ER459" s="574"/>
      <c r="ES459" s="574"/>
      <c r="ET459" s="574"/>
      <c r="EU459" s="574"/>
    </row>
    <row r="460">
      <c r="A460" s="12"/>
      <c r="B460" s="55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  <c r="AZ460" s="12"/>
      <c r="BA460" s="12"/>
      <c r="BB460" s="12"/>
      <c r="BC460" s="12"/>
      <c r="BD460" s="12"/>
      <c r="BE460" s="12"/>
      <c r="BF460" s="12"/>
      <c r="BG460" s="12"/>
      <c r="BH460" s="12"/>
      <c r="BI460" s="12"/>
      <c r="BJ460" s="12"/>
      <c r="BK460" s="12"/>
      <c r="BL460" s="12"/>
      <c r="BM460" s="12"/>
      <c r="BN460" s="12"/>
      <c r="BO460" s="12"/>
      <c r="BP460" s="12"/>
      <c r="BQ460" s="12"/>
      <c r="BR460" s="12"/>
      <c r="BS460" s="12"/>
      <c r="BT460" s="12"/>
      <c r="BU460" s="12"/>
      <c r="BV460" s="12"/>
      <c r="BW460" s="12"/>
      <c r="BX460" s="12"/>
      <c r="BY460" s="12"/>
      <c r="BZ460" s="12"/>
      <c r="CA460" s="12"/>
      <c r="CB460" s="12"/>
      <c r="CC460" s="12"/>
      <c r="CD460" s="12"/>
      <c r="CE460" s="12"/>
      <c r="CF460" s="12"/>
      <c r="CG460" s="12"/>
      <c r="CH460" s="12"/>
      <c r="CI460" s="12"/>
      <c r="CJ460" s="12"/>
      <c r="CK460" s="12"/>
      <c r="CL460" s="12"/>
      <c r="CM460" s="12"/>
      <c r="CN460" s="12"/>
      <c r="CO460" s="12"/>
      <c r="CP460" s="12"/>
      <c r="CQ460" s="12"/>
      <c r="CR460" s="12"/>
      <c r="CS460" s="12"/>
      <c r="CT460" s="12"/>
      <c r="CU460" s="12"/>
      <c r="CV460" s="12"/>
      <c r="CW460" s="12"/>
      <c r="CX460" s="12"/>
      <c r="CY460" s="12"/>
      <c r="CZ460" s="12"/>
      <c r="DA460" s="12"/>
      <c r="DB460" s="12"/>
      <c r="DC460" s="12"/>
      <c r="DD460" s="12"/>
      <c r="DE460" s="12"/>
      <c r="DF460" s="12"/>
      <c r="DG460" s="12"/>
      <c r="DH460" s="12"/>
      <c r="DI460" s="12"/>
      <c r="DJ460" s="12"/>
      <c r="DK460" s="12"/>
      <c r="DL460" s="12"/>
      <c r="DM460" s="12"/>
      <c r="DN460" s="12"/>
      <c r="DO460" s="12"/>
      <c r="DP460" s="12"/>
      <c r="DQ460" s="12"/>
      <c r="DR460" s="12"/>
      <c r="DS460" s="12"/>
      <c r="DT460" s="12"/>
      <c r="DU460" s="12"/>
      <c r="DV460" s="12"/>
      <c r="DW460" s="12"/>
      <c r="DX460" s="12"/>
      <c r="DY460" s="12"/>
      <c r="DZ460" s="12"/>
      <c r="EA460" s="12"/>
      <c r="EB460" s="12"/>
      <c r="EC460" s="12"/>
      <c r="ED460" s="12"/>
      <c r="EE460" s="12"/>
      <c r="EF460" s="12"/>
      <c r="EG460" s="12"/>
      <c r="EH460" s="12"/>
      <c r="EI460" s="12"/>
      <c r="EJ460" s="574"/>
      <c r="EK460" s="574"/>
      <c r="EL460" s="574"/>
      <c r="EM460" s="574"/>
      <c r="EN460" s="574"/>
      <c r="EO460" s="574"/>
      <c r="EP460" s="574"/>
      <c r="EQ460" s="574"/>
      <c r="ER460" s="574"/>
      <c r="ES460" s="574"/>
      <c r="ET460" s="574"/>
      <c r="EU460" s="574"/>
    </row>
    <row r="461">
      <c r="A461" s="12"/>
      <c r="B461" s="55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  <c r="AZ461" s="12"/>
      <c r="BA461" s="12"/>
      <c r="BB461" s="12"/>
      <c r="BC461" s="12"/>
      <c r="BD461" s="12"/>
      <c r="BE461" s="12"/>
      <c r="BF461" s="12"/>
      <c r="BG461" s="12"/>
      <c r="BH461" s="12"/>
      <c r="BI461" s="12"/>
      <c r="BJ461" s="12"/>
      <c r="BK461" s="12"/>
      <c r="BL461" s="12"/>
      <c r="BM461" s="12"/>
      <c r="BN461" s="12"/>
      <c r="BO461" s="12"/>
      <c r="BP461" s="12"/>
      <c r="BQ461" s="12"/>
      <c r="BR461" s="12"/>
      <c r="BS461" s="12"/>
      <c r="BT461" s="12"/>
      <c r="BU461" s="12"/>
      <c r="BV461" s="12"/>
      <c r="BW461" s="12"/>
      <c r="BX461" s="12"/>
      <c r="BY461" s="12"/>
      <c r="BZ461" s="12"/>
      <c r="CA461" s="12"/>
      <c r="CB461" s="12"/>
      <c r="CC461" s="12"/>
      <c r="CD461" s="12"/>
      <c r="CE461" s="12"/>
      <c r="CF461" s="12"/>
      <c r="CG461" s="12"/>
      <c r="CH461" s="12"/>
      <c r="CI461" s="12"/>
      <c r="CJ461" s="12"/>
      <c r="CK461" s="12"/>
      <c r="CL461" s="12"/>
      <c r="CM461" s="12"/>
      <c r="CN461" s="12"/>
      <c r="CO461" s="12"/>
      <c r="CP461" s="12"/>
      <c r="CQ461" s="12"/>
      <c r="CR461" s="12"/>
      <c r="CS461" s="12"/>
      <c r="CT461" s="12"/>
      <c r="CU461" s="12"/>
      <c r="CV461" s="12"/>
      <c r="CW461" s="12"/>
      <c r="CX461" s="12"/>
      <c r="CY461" s="12"/>
      <c r="CZ461" s="12"/>
      <c r="DA461" s="12"/>
      <c r="DB461" s="12"/>
      <c r="DC461" s="12"/>
      <c r="DD461" s="12"/>
      <c r="DE461" s="12"/>
      <c r="DF461" s="12"/>
      <c r="DG461" s="12"/>
      <c r="DH461" s="12"/>
      <c r="DI461" s="12"/>
      <c r="DJ461" s="12"/>
      <c r="DK461" s="12"/>
      <c r="DL461" s="12"/>
      <c r="DM461" s="12"/>
      <c r="DN461" s="12"/>
      <c r="DO461" s="12"/>
      <c r="DP461" s="12"/>
      <c r="DQ461" s="12"/>
      <c r="DR461" s="12"/>
      <c r="DS461" s="12"/>
      <c r="DT461" s="12"/>
      <c r="DU461" s="12"/>
      <c r="DV461" s="12"/>
      <c r="DW461" s="12"/>
      <c r="DX461" s="12"/>
      <c r="DY461" s="12"/>
      <c r="DZ461" s="12"/>
      <c r="EA461" s="12"/>
      <c r="EB461" s="12"/>
      <c r="EC461" s="12"/>
      <c r="ED461" s="12"/>
      <c r="EE461" s="12"/>
      <c r="EF461" s="12"/>
      <c r="EG461" s="12"/>
      <c r="EH461" s="12"/>
      <c r="EI461" s="12"/>
      <c r="EJ461" s="574"/>
      <c r="EK461" s="574"/>
      <c r="EL461" s="574"/>
      <c r="EM461" s="574"/>
      <c r="EN461" s="574"/>
      <c r="EO461" s="574"/>
      <c r="EP461" s="574"/>
      <c r="EQ461" s="574"/>
      <c r="ER461" s="574"/>
      <c r="ES461" s="574"/>
      <c r="ET461" s="574"/>
      <c r="EU461" s="574"/>
    </row>
    <row r="462">
      <c r="A462" s="12"/>
      <c r="B462" s="55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  <c r="AZ462" s="12"/>
      <c r="BA462" s="12"/>
      <c r="BB462" s="12"/>
      <c r="BC462" s="12"/>
      <c r="BD462" s="12"/>
      <c r="BE462" s="12"/>
      <c r="BF462" s="12"/>
      <c r="BG462" s="12"/>
      <c r="BH462" s="12"/>
      <c r="BI462" s="12"/>
      <c r="BJ462" s="12"/>
      <c r="BK462" s="12"/>
      <c r="BL462" s="12"/>
      <c r="BM462" s="12"/>
      <c r="BN462" s="12"/>
      <c r="BO462" s="12"/>
      <c r="BP462" s="12"/>
      <c r="BQ462" s="12"/>
      <c r="BR462" s="12"/>
      <c r="BS462" s="12"/>
      <c r="BT462" s="12"/>
      <c r="BU462" s="12"/>
      <c r="BV462" s="12"/>
      <c r="BW462" s="12"/>
      <c r="BX462" s="12"/>
      <c r="BY462" s="12"/>
      <c r="BZ462" s="12"/>
      <c r="CA462" s="12"/>
      <c r="CB462" s="12"/>
      <c r="CC462" s="12"/>
      <c r="CD462" s="12"/>
      <c r="CE462" s="12"/>
      <c r="CF462" s="12"/>
      <c r="CG462" s="12"/>
      <c r="CH462" s="12"/>
      <c r="CI462" s="12"/>
      <c r="CJ462" s="12"/>
      <c r="CK462" s="12"/>
      <c r="CL462" s="12"/>
      <c r="CM462" s="12"/>
      <c r="CN462" s="12"/>
      <c r="CO462" s="12"/>
      <c r="CP462" s="12"/>
      <c r="CQ462" s="12"/>
      <c r="CR462" s="12"/>
      <c r="CS462" s="12"/>
      <c r="CT462" s="12"/>
      <c r="CU462" s="12"/>
      <c r="CV462" s="12"/>
      <c r="CW462" s="12"/>
      <c r="CX462" s="12"/>
      <c r="CY462" s="12"/>
      <c r="CZ462" s="12"/>
      <c r="DA462" s="12"/>
      <c r="DB462" s="12"/>
      <c r="DC462" s="12"/>
      <c r="DD462" s="12"/>
      <c r="DE462" s="12"/>
      <c r="DF462" s="12"/>
      <c r="DG462" s="12"/>
      <c r="DH462" s="12"/>
      <c r="DI462" s="12"/>
      <c r="DJ462" s="12"/>
      <c r="DK462" s="12"/>
      <c r="DL462" s="12"/>
      <c r="DM462" s="12"/>
      <c r="DN462" s="12"/>
      <c r="DO462" s="12"/>
      <c r="DP462" s="12"/>
      <c r="DQ462" s="12"/>
      <c r="DR462" s="12"/>
      <c r="DS462" s="12"/>
      <c r="DT462" s="12"/>
      <c r="DU462" s="12"/>
      <c r="DV462" s="12"/>
      <c r="DW462" s="12"/>
      <c r="DX462" s="12"/>
      <c r="DY462" s="12"/>
      <c r="DZ462" s="12"/>
      <c r="EA462" s="12"/>
      <c r="EB462" s="12"/>
      <c r="EC462" s="12"/>
      <c r="ED462" s="12"/>
      <c r="EE462" s="12"/>
      <c r="EF462" s="12"/>
      <c r="EG462" s="12"/>
      <c r="EH462" s="12"/>
      <c r="EI462" s="12"/>
      <c r="EJ462" s="574"/>
      <c r="EK462" s="574"/>
      <c r="EL462" s="574"/>
      <c r="EM462" s="574"/>
      <c r="EN462" s="574"/>
      <c r="EO462" s="574"/>
      <c r="EP462" s="574"/>
      <c r="EQ462" s="574"/>
      <c r="ER462" s="574"/>
      <c r="ES462" s="574"/>
      <c r="ET462" s="574"/>
      <c r="EU462" s="574"/>
    </row>
    <row r="463">
      <c r="A463" s="12"/>
      <c r="B463" s="55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  <c r="AZ463" s="12"/>
      <c r="BA463" s="12"/>
      <c r="BB463" s="12"/>
      <c r="BC463" s="12"/>
      <c r="BD463" s="12"/>
      <c r="BE463" s="12"/>
      <c r="BF463" s="12"/>
      <c r="BG463" s="12"/>
      <c r="BH463" s="12"/>
      <c r="BI463" s="12"/>
      <c r="BJ463" s="12"/>
      <c r="BK463" s="12"/>
      <c r="BL463" s="12"/>
      <c r="BM463" s="12"/>
      <c r="BN463" s="12"/>
      <c r="BO463" s="12"/>
      <c r="BP463" s="12"/>
      <c r="BQ463" s="12"/>
      <c r="BR463" s="12"/>
      <c r="BS463" s="12"/>
      <c r="BT463" s="12"/>
      <c r="BU463" s="12"/>
      <c r="BV463" s="12"/>
      <c r="BW463" s="12"/>
      <c r="BX463" s="12"/>
      <c r="BY463" s="12"/>
      <c r="BZ463" s="12"/>
      <c r="CA463" s="12"/>
      <c r="CB463" s="12"/>
      <c r="CC463" s="12"/>
      <c r="CD463" s="12"/>
      <c r="CE463" s="12"/>
      <c r="CF463" s="12"/>
      <c r="CG463" s="12"/>
      <c r="CH463" s="12"/>
      <c r="CI463" s="12"/>
      <c r="CJ463" s="12"/>
      <c r="CK463" s="12"/>
      <c r="CL463" s="12"/>
      <c r="CM463" s="12"/>
      <c r="CN463" s="12"/>
      <c r="CO463" s="12"/>
      <c r="CP463" s="12"/>
      <c r="CQ463" s="12"/>
      <c r="CR463" s="12"/>
      <c r="CS463" s="12"/>
      <c r="CT463" s="12"/>
      <c r="CU463" s="12"/>
      <c r="CV463" s="12"/>
      <c r="CW463" s="12"/>
      <c r="CX463" s="12"/>
      <c r="CY463" s="12"/>
      <c r="CZ463" s="12"/>
      <c r="DA463" s="12"/>
      <c r="DB463" s="12"/>
      <c r="DC463" s="12"/>
      <c r="DD463" s="12"/>
      <c r="DE463" s="12"/>
      <c r="DF463" s="12"/>
      <c r="DG463" s="12"/>
      <c r="DH463" s="12"/>
      <c r="DI463" s="12"/>
      <c r="DJ463" s="12"/>
      <c r="DK463" s="12"/>
      <c r="DL463" s="12"/>
      <c r="DM463" s="12"/>
      <c r="DN463" s="12"/>
      <c r="DO463" s="12"/>
      <c r="DP463" s="12"/>
      <c r="DQ463" s="12"/>
      <c r="DR463" s="12"/>
      <c r="DS463" s="12"/>
      <c r="DT463" s="12"/>
      <c r="DU463" s="12"/>
      <c r="DV463" s="12"/>
      <c r="DW463" s="12"/>
      <c r="DX463" s="12"/>
      <c r="DY463" s="12"/>
      <c r="DZ463" s="12"/>
      <c r="EA463" s="12"/>
      <c r="EB463" s="12"/>
      <c r="EC463" s="12"/>
      <c r="ED463" s="12"/>
      <c r="EE463" s="12"/>
      <c r="EF463" s="12"/>
      <c r="EG463" s="12"/>
      <c r="EH463" s="12"/>
      <c r="EI463" s="12"/>
      <c r="EJ463" s="574"/>
      <c r="EK463" s="574"/>
      <c r="EL463" s="574"/>
      <c r="EM463" s="574"/>
      <c r="EN463" s="574"/>
      <c r="EO463" s="574"/>
      <c r="EP463" s="574"/>
      <c r="EQ463" s="574"/>
      <c r="ER463" s="574"/>
      <c r="ES463" s="574"/>
      <c r="ET463" s="574"/>
      <c r="EU463" s="574"/>
    </row>
    <row r="464">
      <c r="A464" s="12"/>
      <c r="B464" s="55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  <c r="AZ464" s="12"/>
      <c r="BA464" s="12"/>
      <c r="BB464" s="12"/>
      <c r="BC464" s="12"/>
      <c r="BD464" s="12"/>
      <c r="BE464" s="12"/>
      <c r="BF464" s="12"/>
      <c r="BG464" s="12"/>
      <c r="BH464" s="12"/>
      <c r="BI464" s="12"/>
      <c r="BJ464" s="12"/>
      <c r="BK464" s="12"/>
      <c r="BL464" s="12"/>
      <c r="BM464" s="12"/>
      <c r="BN464" s="12"/>
      <c r="BO464" s="12"/>
      <c r="BP464" s="12"/>
      <c r="BQ464" s="12"/>
      <c r="BR464" s="12"/>
      <c r="BS464" s="12"/>
      <c r="BT464" s="12"/>
      <c r="BU464" s="12"/>
      <c r="BV464" s="12"/>
      <c r="BW464" s="12"/>
      <c r="BX464" s="12"/>
      <c r="BY464" s="12"/>
      <c r="BZ464" s="12"/>
      <c r="CA464" s="12"/>
      <c r="CB464" s="12"/>
      <c r="CC464" s="12"/>
      <c r="CD464" s="12"/>
      <c r="CE464" s="12"/>
      <c r="CF464" s="12"/>
      <c r="CG464" s="12"/>
      <c r="CH464" s="12"/>
      <c r="CI464" s="12"/>
      <c r="CJ464" s="12"/>
      <c r="CK464" s="12"/>
      <c r="CL464" s="12"/>
      <c r="CM464" s="12"/>
      <c r="CN464" s="12"/>
      <c r="CO464" s="12"/>
      <c r="CP464" s="12"/>
      <c r="CQ464" s="12"/>
      <c r="CR464" s="12"/>
      <c r="CS464" s="12"/>
      <c r="CT464" s="12"/>
      <c r="CU464" s="12"/>
      <c r="CV464" s="12"/>
      <c r="CW464" s="12"/>
      <c r="CX464" s="12"/>
      <c r="CY464" s="12"/>
      <c r="CZ464" s="12"/>
      <c r="DA464" s="12"/>
      <c r="DB464" s="12"/>
      <c r="DC464" s="12"/>
      <c r="DD464" s="12"/>
      <c r="DE464" s="12"/>
      <c r="DF464" s="12"/>
      <c r="DG464" s="12"/>
      <c r="DH464" s="12"/>
      <c r="DI464" s="12"/>
      <c r="DJ464" s="12"/>
      <c r="DK464" s="12"/>
      <c r="DL464" s="12"/>
      <c r="DM464" s="12"/>
      <c r="DN464" s="12"/>
      <c r="DO464" s="12"/>
      <c r="DP464" s="12"/>
      <c r="DQ464" s="12"/>
      <c r="DR464" s="12"/>
      <c r="DS464" s="12"/>
      <c r="DT464" s="12"/>
      <c r="DU464" s="12"/>
      <c r="DV464" s="12"/>
      <c r="DW464" s="12"/>
      <c r="DX464" s="12"/>
      <c r="DY464" s="12"/>
      <c r="DZ464" s="12"/>
      <c r="EA464" s="12"/>
      <c r="EB464" s="12"/>
      <c r="EC464" s="12"/>
      <c r="ED464" s="12"/>
      <c r="EE464" s="12"/>
      <c r="EF464" s="12"/>
      <c r="EG464" s="12"/>
      <c r="EH464" s="12"/>
      <c r="EI464" s="12"/>
      <c r="EJ464" s="574"/>
      <c r="EK464" s="574"/>
      <c r="EL464" s="574"/>
      <c r="EM464" s="574"/>
      <c r="EN464" s="574"/>
      <c r="EO464" s="574"/>
      <c r="EP464" s="574"/>
      <c r="EQ464" s="574"/>
      <c r="ER464" s="574"/>
      <c r="ES464" s="574"/>
      <c r="ET464" s="574"/>
      <c r="EU464" s="574"/>
    </row>
    <row r="465">
      <c r="A465" s="12"/>
      <c r="B465" s="55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  <c r="AZ465" s="12"/>
      <c r="BA465" s="12"/>
      <c r="BB465" s="12"/>
      <c r="BC465" s="12"/>
      <c r="BD465" s="12"/>
      <c r="BE465" s="12"/>
      <c r="BF465" s="12"/>
      <c r="BG465" s="12"/>
      <c r="BH465" s="12"/>
      <c r="BI465" s="12"/>
      <c r="BJ465" s="12"/>
      <c r="BK465" s="12"/>
      <c r="BL465" s="12"/>
      <c r="BM465" s="12"/>
      <c r="BN465" s="12"/>
      <c r="BO465" s="12"/>
      <c r="BP465" s="12"/>
      <c r="BQ465" s="12"/>
      <c r="BR465" s="12"/>
      <c r="BS465" s="12"/>
      <c r="BT465" s="12"/>
      <c r="BU465" s="12"/>
      <c r="BV465" s="12"/>
      <c r="BW465" s="12"/>
      <c r="BX465" s="12"/>
      <c r="BY465" s="12"/>
      <c r="BZ465" s="12"/>
      <c r="CA465" s="12"/>
      <c r="CB465" s="12"/>
      <c r="CC465" s="12"/>
      <c r="CD465" s="12"/>
      <c r="CE465" s="12"/>
      <c r="CF465" s="12"/>
      <c r="CG465" s="12"/>
      <c r="CH465" s="12"/>
      <c r="CI465" s="12"/>
      <c r="CJ465" s="12"/>
      <c r="CK465" s="12"/>
      <c r="CL465" s="12"/>
      <c r="CM465" s="12"/>
      <c r="CN465" s="12"/>
      <c r="CO465" s="12"/>
      <c r="CP465" s="12"/>
      <c r="CQ465" s="12"/>
      <c r="CR465" s="12"/>
      <c r="CS465" s="12"/>
      <c r="CT465" s="12"/>
      <c r="CU465" s="12"/>
      <c r="CV465" s="12"/>
      <c r="CW465" s="12"/>
      <c r="CX465" s="12"/>
      <c r="CY465" s="12"/>
      <c r="CZ465" s="12"/>
      <c r="DA465" s="12"/>
      <c r="DB465" s="12"/>
      <c r="DC465" s="12"/>
      <c r="DD465" s="12"/>
      <c r="DE465" s="12"/>
      <c r="DF465" s="12"/>
      <c r="DG465" s="12"/>
      <c r="DH465" s="12"/>
      <c r="DI465" s="12"/>
      <c r="DJ465" s="12"/>
      <c r="DK465" s="12"/>
      <c r="DL465" s="12"/>
      <c r="DM465" s="12"/>
      <c r="DN465" s="12"/>
      <c r="DO465" s="12"/>
      <c r="DP465" s="12"/>
      <c r="DQ465" s="12"/>
      <c r="DR465" s="12"/>
      <c r="DS465" s="12"/>
      <c r="DT465" s="12"/>
      <c r="DU465" s="12"/>
      <c r="DV465" s="12"/>
      <c r="DW465" s="12"/>
      <c r="DX465" s="12"/>
      <c r="DY465" s="12"/>
      <c r="DZ465" s="12"/>
      <c r="EA465" s="12"/>
      <c r="EB465" s="12"/>
      <c r="EC465" s="12"/>
      <c r="ED465" s="12"/>
      <c r="EE465" s="12"/>
      <c r="EF465" s="12"/>
      <c r="EG465" s="12"/>
      <c r="EH465" s="12"/>
      <c r="EI465" s="12"/>
      <c r="EJ465" s="574"/>
      <c r="EK465" s="574"/>
      <c r="EL465" s="574"/>
      <c r="EM465" s="574"/>
      <c r="EN465" s="574"/>
      <c r="EO465" s="574"/>
      <c r="EP465" s="574"/>
      <c r="EQ465" s="574"/>
      <c r="ER465" s="574"/>
      <c r="ES465" s="574"/>
      <c r="ET465" s="574"/>
      <c r="EU465" s="574"/>
    </row>
    <row r="466">
      <c r="A466" s="12"/>
      <c r="B466" s="55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  <c r="AZ466" s="12"/>
      <c r="BA466" s="12"/>
      <c r="BB466" s="12"/>
      <c r="BC466" s="12"/>
      <c r="BD466" s="12"/>
      <c r="BE466" s="12"/>
      <c r="BF466" s="12"/>
      <c r="BG466" s="12"/>
      <c r="BH466" s="12"/>
      <c r="BI466" s="12"/>
      <c r="BJ466" s="12"/>
      <c r="BK466" s="12"/>
      <c r="BL466" s="12"/>
      <c r="BM466" s="12"/>
      <c r="BN466" s="12"/>
      <c r="BO466" s="12"/>
      <c r="BP466" s="12"/>
      <c r="BQ466" s="12"/>
      <c r="BR466" s="12"/>
      <c r="BS466" s="12"/>
      <c r="BT466" s="12"/>
      <c r="BU466" s="12"/>
      <c r="BV466" s="12"/>
      <c r="BW466" s="12"/>
      <c r="BX466" s="12"/>
      <c r="BY466" s="12"/>
      <c r="BZ466" s="12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574"/>
      <c r="EK466" s="574"/>
      <c r="EL466" s="574"/>
      <c r="EM466" s="574"/>
      <c r="EN466" s="574"/>
      <c r="EO466" s="574"/>
      <c r="EP466" s="574"/>
      <c r="EQ466" s="574"/>
      <c r="ER466" s="574"/>
      <c r="ES466" s="574"/>
      <c r="ET466" s="574"/>
      <c r="EU466" s="574"/>
    </row>
    <row r="467">
      <c r="A467" s="12"/>
      <c r="B467" s="55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  <c r="AZ467" s="12"/>
      <c r="BA467" s="12"/>
      <c r="BB467" s="12"/>
      <c r="BC467" s="12"/>
      <c r="BD467" s="12"/>
      <c r="BE467" s="12"/>
      <c r="BF467" s="12"/>
      <c r="BG467" s="12"/>
      <c r="BH467" s="12"/>
      <c r="BI467" s="12"/>
      <c r="BJ467" s="12"/>
      <c r="BK467" s="12"/>
      <c r="BL467" s="12"/>
      <c r="BM467" s="12"/>
      <c r="BN467" s="12"/>
      <c r="BO467" s="12"/>
      <c r="BP467" s="12"/>
      <c r="BQ467" s="12"/>
      <c r="BR467" s="12"/>
      <c r="BS467" s="12"/>
      <c r="BT467" s="12"/>
      <c r="BU467" s="12"/>
      <c r="BV467" s="12"/>
      <c r="BW467" s="12"/>
      <c r="BX467" s="12"/>
      <c r="BY467" s="12"/>
      <c r="BZ467" s="12"/>
      <c r="CA467" s="12"/>
      <c r="CB467" s="12"/>
      <c r="CC467" s="12"/>
      <c r="CD467" s="12"/>
      <c r="CE467" s="12"/>
      <c r="CF467" s="12"/>
      <c r="CG467" s="12"/>
      <c r="CH467" s="12"/>
      <c r="CI467" s="12"/>
      <c r="CJ467" s="12"/>
      <c r="CK467" s="12"/>
      <c r="CL467" s="12"/>
      <c r="CM467" s="12"/>
      <c r="CN467" s="12"/>
      <c r="CO467" s="12"/>
      <c r="CP467" s="12"/>
      <c r="CQ467" s="12"/>
      <c r="CR467" s="12"/>
      <c r="CS467" s="12"/>
      <c r="CT467" s="12"/>
      <c r="CU467" s="12"/>
      <c r="CV467" s="12"/>
      <c r="CW467" s="12"/>
      <c r="CX467" s="12"/>
      <c r="CY467" s="12"/>
      <c r="CZ467" s="12"/>
      <c r="DA467" s="12"/>
      <c r="DB467" s="12"/>
      <c r="DC467" s="12"/>
      <c r="DD467" s="12"/>
      <c r="DE467" s="12"/>
      <c r="DF467" s="12"/>
      <c r="DG467" s="12"/>
      <c r="DH467" s="12"/>
      <c r="DI467" s="12"/>
      <c r="DJ467" s="12"/>
      <c r="DK467" s="12"/>
      <c r="DL467" s="12"/>
      <c r="DM467" s="12"/>
      <c r="DN467" s="12"/>
      <c r="DO467" s="12"/>
      <c r="DP467" s="12"/>
      <c r="DQ467" s="12"/>
      <c r="DR467" s="12"/>
      <c r="DS467" s="12"/>
      <c r="DT467" s="12"/>
      <c r="DU467" s="12"/>
      <c r="DV467" s="12"/>
      <c r="DW467" s="12"/>
      <c r="DX467" s="12"/>
      <c r="DY467" s="12"/>
      <c r="DZ467" s="12"/>
      <c r="EA467" s="12"/>
      <c r="EB467" s="12"/>
      <c r="EC467" s="12"/>
      <c r="ED467" s="12"/>
      <c r="EE467" s="12"/>
      <c r="EF467" s="12"/>
      <c r="EG467" s="12"/>
      <c r="EH467" s="12"/>
      <c r="EI467" s="12"/>
      <c r="EJ467" s="574"/>
      <c r="EK467" s="574"/>
      <c r="EL467" s="574"/>
      <c r="EM467" s="574"/>
      <c r="EN467" s="574"/>
      <c r="EO467" s="574"/>
      <c r="EP467" s="574"/>
      <c r="EQ467" s="574"/>
      <c r="ER467" s="574"/>
      <c r="ES467" s="574"/>
      <c r="ET467" s="574"/>
      <c r="EU467" s="574"/>
    </row>
    <row r="468">
      <c r="A468" s="12"/>
      <c r="B468" s="55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  <c r="AY468" s="12"/>
      <c r="AZ468" s="12"/>
      <c r="BA468" s="12"/>
      <c r="BB468" s="12"/>
      <c r="BC468" s="12"/>
      <c r="BD468" s="12"/>
      <c r="BE468" s="12"/>
      <c r="BF468" s="12"/>
      <c r="BG468" s="12"/>
      <c r="BH468" s="12"/>
      <c r="BI468" s="12"/>
      <c r="BJ468" s="12"/>
      <c r="BK468" s="12"/>
      <c r="BL468" s="12"/>
      <c r="BM468" s="12"/>
      <c r="BN468" s="12"/>
      <c r="BO468" s="12"/>
      <c r="BP468" s="12"/>
      <c r="BQ468" s="12"/>
      <c r="BR468" s="12"/>
      <c r="BS468" s="12"/>
      <c r="BT468" s="12"/>
      <c r="BU468" s="12"/>
      <c r="BV468" s="12"/>
      <c r="BW468" s="12"/>
      <c r="BX468" s="12"/>
      <c r="BY468" s="12"/>
      <c r="BZ468" s="12"/>
      <c r="CA468" s="12"/>
      <c r="CB468" s="12"/>
      <c r="CC468" s="12"/>
      <c r="CD468" s="12"/>
      <c r="CE468" s="12"/>
      <c r="CF468" s="12"/>
      <c r="CG468" s="12"/>
      <c r="CH468" s="12"/>
      <c r="CI468" s="12"/>
      <c r="CJ468" s="12"/>
      <c r="CK468" s="12"/>
      <c r="CL468" s="12"/>
      <c r="CM468" s="12"/>
      <c r="CN468" s="12"/>
      <c r="CO468" s="12"/>
      <c r="CP468" s="12"/>
      <c r="CQ468" s="12"/>
      <c r="CR468" s="12"/>
      <c r="CS468" s="12"/>
      <c r="CT468" s="12"/>
      <c r="CU468" s="12"/>
      <c r="CV468" s="12"/>
      <c r="CW468" s="12"/>
      <c r="CX468" s="12"/>
      <c r="CY468" s="12"/>
      <c r="CZ468" s="12"/>
      <c r="DA468" s="12"/>
      <c r="DB468" s="12"/>
      <c r="DC468" s="12"/>
      <c r="DD468" s="12"/>
      <c r="DE468" s="12"/>
      <c r="DF468" s="12"/>
      <c r="DG468" s="12"/>
      <c r="DH468" s="12"/>
      <c r="DI468" s="12"/>
      <c r="DJ468" s="12"/>
      <c r="DK468" s="12"/>
      <c r="DL468" s="12"/>
      <c r="DM468" s="12"/>
      <c r="DN468" s="12"/>
      <c r="DO468" s="12"/>
      <c r="DP468" s="12"/>
      <c r="DQ468" s="12"/>
      <c r="DR468" s="12"/>
      <c r="DS468" s="12"/>
      <c r="DT468" s="12"/>
      <c r="DU468" s="12"/>
      <c r="DV468" s="12"/>
      <c r="DW468" s="12"/>
      <c r="DX468" s="12"/>
      <c r="DY468" s="12"/>
      <c r="DZ468" s="12"/>
      <c r="EA468" s="12"/>
      <c r="EB468" s="12"/>
      <c r="EC468" s="12"/>
      <c r="ED468" s="12"/>
      <c r="EE468" s="12"/>
      <c r="EF468" s="12"/>
      <c r="EG468" s="12"/>
      <c r="EH468" s="12"/>
      <c r="EI468" s="12"/>
      <c r="EJ468" s="574"/>
      <c r="EK468" s="574"/>
      <c r="EL468" s="574"/>
      <c r="EM468" s="574"/>
      <c r="EN468" s="574"/>
      <c r="EO468" s="574"/>
      <c r="EP468" s="574"/>
      <c r="EQ468" s="574"/>
      <c r="ER468" s="574"/>
      <c r="ES468" s="574"/>
      <c r="ET468" s="574"/>
      <c r="EU468" s="574"/>
    </row>
    <row r="469">
      <c r="A469" s="12"/>
      <c r="B469" s="55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/>
      <c r="BA469" s="12"/>
      <c r="BB469" s="12"/>
      <c r="BC469" s="12"/>
      <c r="BD469" s="12"/>
      <c r="BE469" s="12"/>
      <c r="BF469" s="12"/>
      <c r="BG469" s="12"/>
      <c r="BH469" s="12"/>
      <c r="BI469" s="12"/>
      <c r="BJ469" s="12"/>
      <c r="BK469" s="12"/>
      <c r="BL469" s="12"/>
      <c r="BM469" s="12"/>
      <c r="BN469" s="12"/>
      <c r="BO469" s="12"/>
      <c r="BP469" s="12"/>
      <c r="BQ469" s="12"/>
      <c r="BR469" s="12"/>
      <c r="BS469" s="12"/>
      <c r="BT469" s="12"/>
      <c r="BU469" s="12"/>
      <c r="BV469" s="12"/>
      <c r="BW469" s="12"/>
      <c r="BX469" s="12"/>
      <c r="BY469" s="12"/>
      <c r="BZ469" s="12"/>
      <c r="CA469" s="12"/>
      <c r="CB469" s="12"/>
      <c r="CC469" s="12"/>
      <c r="CD469" s="12"/>
      <c r="CE469" s="12"/>
      <c r="CF469" s="12"/>
      <c r="CG469" s="12"/>
      <c r="CH469" s="12"/>
      <c r="CI469" s="12"/>
      <c r="CJ469" s="12"/>
      <c r="CK469" s="12"/>
      <c r="CL469" s="12"/>
      <c r="CM469" s="12"/>
      <c r="CN469" s="12"/>
      <c r="CO469" s="12"/>
      <c r="CP469" s="12"/>
      <c r="CQ469" s="12"/>
      <c r="CR469" s="12"/>
      <c r="CS469" s="12"/>
      <c r="CT469" s="12"/>
      <c r="CU469" s="12"/>
      <c r="CV469" s="12"/>
      <c r="CW469" s="12"/>
      <c r="CX469" s="12"/>
      <c r="CY469" s="12"/>
      <c r="CZ469" s="12"/>
      <c r="DA469" s="12"/>
      <c r="DB469" s="12"/>
      <c r="DC469" s="12"/>
      <c r="DD469" s="12"/>
      <c r="DE469" s="12"/>
      <c r="DF469" s="12"/>
      <c r="DG469" s="12"/>
      <c r="DH469" s="12"/>
      <c r="DI469" s="12"/>
      <c r="DJ469" s="12"/>
      <c r="DK469" s="12"/>
      <c r="DL469" s="12"/>
      <c r="DM469" s="12"/>
      <c r="DN469" s="12"/>
      <c r="DO469" s="12"/>
      <c r="DP469" s="12"/>
      <c r="DQ469" s="12"/>
      <c r="DR469" s="12"/>
      <c r="DS469" s="12"/>
      <c r="DT469" s="12"/>
      <c r="DU469" s="12"/>
      <c r="DV469" s="12"/>
      <c r="DW469" s="12"/>
      <c r="DX469" s="12"/>
      <c r="DY469" s="12"/>
      <c r="DZ469" s="12"/>
      <c r="EA469" s="12"/>
      <c r="EB469" s="12"/>
      <c r="EC469" s="12"/>
      <c r="ED469" s="12"/>
      <c r="EE469" s="12"/>
      <c r="EF469" s="12"/>
      <c r="EG469" s="12"/>
      <c r="EH469" s="12"/>
      <c r="EI469" s="12"/>
      <c r="EJ469" s="574"/>
      <c r="EK469" s="574"/>
      <c r="EL469" s="574"/>
      <c r="EM469" s="574"/>
      <c r="EN469" s="574"/>
      <c r="EO469" s="574"/>
      <c r="EP469" s="574"/>
      <c r="EQ469" s="574"/>
      <c r="ER469" s="574"/>
      <c r="ES469" s="574"/>
      <c r="ET469" s="574"/>
      <c r="EU469" s="574"/>
    </row>
    <row r="470">
      <c r="A470" s="12"/>
      <c r="B470" s="55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  <c r="AZ470" s="12"/>
      <c r="BA470" s="12"/>
      <c r="BB470" s="12"/>
      <c r="BC470" s="12"/>
      <c r="BD470" s="12"/>
      <c r="BE470" s="12"/>
      <c r="BF470" s="12"/>
      <c r="BG470" s="12"/>
      <c r="BH470" s="12"/>
      <c r="BI470" s="12"/>
      <c r="BJ470" s="12"/>
      <c r="BK470" s="12"/>
      <c r="BL470" s="12"/>
      <c r="BM470" s="12"/>
      <c r="BN470" s="12"/>
      <c r="BO470" s="12"/>
      <c r="BP470" s="12"/>
      <c r="BQ470" s="12"/>
      <c r="BR470" s="12"/>
      <c r="BS470" s="12"/>
      <c r="BT470" s="12"/>
      <c r="BU470" s="12"/>
      <c r="BV470" s="12"/>
      <c r="BW470" s="12"/>
      <c r="BX470" s="12"/>
      <c r="BY470" s="12"/>
      <c r="BZ470" s="12"/>
      <c r="CA470" s="12"/>
      <c r="CB470" s="12"/>
      <c r="CC470" s="12"/>
      <c r="CD470" s="12"/>
      <c r="CE470" s="12"/>
      <c r="CF470" s="12"/>
      <c r="CG470" s="12"/>
      <c r="CH470" s="12"/>
      <c r="CI470" s="12"/>
      <c r="CJ470" s="12"/>
      <c r="CK470" s="12"/>
      <c r="CL470" s="12"/>
      <c r="CM470" s="12"/>
      <c r="CN470" s="12"/>
      <c r="CO470" s="12"/>
      <c r="CP470" s="12"/>
      <c r="CQ470" s="12"/>
      <c r="CR470" s="12"/>
      <c r="CS470" s="12"/>
      <c r="CT470" s="12"/>
      <c r="CU470" s="12"/>
      <c r="CV470" s="12"/>
      <c r="CW470" s="12"/>
      <c r="CX470" s="12"/>
      <c r="CY470" s="12"/>
      <c r="CZ470" s="12"/>
      <c r="DA470" s="12"/>
      <c r="DB470" s="12"/>
      <c r="DC470" s="12"/>
      <c r="DD470" s="12"/>
      <c r="DE470" s="12"/>
      <c r="DF470" s="12"/>
      <c r="DG470" s="12"/>
      <c r="DH470" s="12"/>
      <c r="DI470" s="12"/>
      <c r="DJ470" s="12"/>
      <c r="DK470" s="12"/>
      <c r="DL470" s="12"/>
      <c r="DM470" s="12"/>
      <c r="DN470" s="12"/>
      <c r="DO470" s="12"/>
      <c r="DP470" s="12"/>
      <c r="DQ470" s="12"/>
      <c r="DR470" s="12"/>
      <c r="DS470" s="12"/>
      <c r="DT470" s="12"/>
      <c r="DU470" s="12"/>
      <c r="DV470" s="12"/>
      <c r="DW470" s="12"/>
      <c r="DX470" s="12"/>
      <c r="DY470" s="12"/>
      <c r="DZ470" s="12"/>
      <c r="EA470" s="12"/>
      <c r="EB470" s="12"/>
      <c r="EC470" s="12"/>
      <c r="ED470" s="12"/>
      <c r="EE470" s="12"/>
      <c r="EF470" s="12"/>
      <c r="EG470" s="12"/>
      <c r="EH470" s="12"/>
      <c r="EI470" s="12"/>
      <c r="EJ470" s="574"/>
      <c r="EK470" s="574"/>
      <c r="EL470" s="574"/>
      <c r="EM470" s="574"/>
      <c r="EN470" s="574"/>
      <c r="EO470" s="574"/>
      <c r="EP470" s="574"/>
      <c r="EQ470" s="574"/>
      <c r="ER470" s="574"/>
      <c r="ES470" s="574"/>
      <c r="ET470" s="574"/>
      <c r="EU470" s="574"/>
    </row>
    <row r="471">
      <c r="A471" s="12"/>
      <c r="B471" s="55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/>
      <c r="BA471" s="12"/>
      <c r="BB471" s="12"/>
      <c r="BC471" s="12"/>
      <c r="BD471" s="12"/>
      <c r="BE471" s="12"/>
      <c r="BF471" s="12"/>
      <c r="BG471" s="12"/>
      <c r="BH471" s="12"/>
      <c r="BI471" s="12"/>
      <c r="BJ471" s="12"/>
      <c r="BK471" s="12"/>
      <c r="BL471" s="12"/>
      <c r="BM471" s="12"/>
      <c r="BN471" s="12"/>
      <c r="BO471" s="12"/>
      <c r="BP471" s="12"/>
      <c r="BQ471" s="12"/>
      <c r="BR471" s="12"/>
      <c r="BS471" s="12"/>
      <c r="BT471" s="12"/>
      <c r="BU471" s="12"/>
      <c r="BV471" s="12"/>
      <c r="BW471" s="12"/>
      <c r="BX471" s="12"/>
      <c r="BY471" s="12"/>
      <c r="BZ471" s="12"/>
      <c r="CA471" s="12"/>
      <c r="CB471" s="12"/>
      <c r="CC471" s="12"/>
      <c r="CD471" s="12"/>
      <c r="CE471" s="12"/>
      <c r="CF471" s="12"/>
      <c r="CG471" s="12"/>
      <c r="CH471" s="12"/>
      <c r="CI471" s="12"/>
      <c r="CJ471" s="12"/>
      <c r="CK471" s="12"/>
      <c r="CL471" s="12"/>
      <c r="CM471" s="12"/>
      <c r="CN471" s="12"/>
      <c r="CO471" s="12"/>
      <c r="CP471" s="12"/>
      <c r="CQ471" s="12"/>
      <c r="CR471" s="12"/>
      <c r="CS471" s="12"/>
      <c r="CT471" s="12"/>
      <c r="CU471" s="12"/>
      <c r="CV471" s="12"/>
      <c r="CW471" s="12"/>
      <c r="CX471" s="12"/>
      <c r="CY471" s="12"/>
      <c r="CZ471" s="12"/>
      <c r="DA471" s="12"/>
      <c r="DB471" s="12"/>
      <c r="DC471" s="12"/>
      <c r="DD471" s="12"/>
      <c r="DE471" s="12"/>
      <c r="DF471" s="12"/>
      <c r="DG471" s="12"/>
      <c r="DH471" s="12"/>
      <c r="DI471" s="12"/>
      <c r="DJ471" s="12"/>
      <c r="DK471" s="12"/>
      <c r="DL471" s="12"/>
      <c r="DM471" s="12"/>
      <c r="DN471" s="12"/>
      <c r="DO471" s="12"/>
      <c r="DP471" s="12"/>
      <c r="DQ471" s="12"/>
      <c r="DR471" s="12"/>
      <c r="DS471" s="12"/>
      <c r="DT471" s="12"/>
      <c r="DU471" s="12"/>
      <c r="DV471" s="12"/>
      <c r="DW471" s="12"/>
      <c r="DX471" s="12"/>
      <c r="DY471" s="12"/>
      <c r="DZ471" s="12"/>
      <c r="EA471" s="12"/>
      <c r="EB471" s="12"/>
      <c r="EC471" s="12"/>
      <c r="ED471" s="12"/>
      <c r="EE471" s="12"/>
      <c r="EF471" s="12"/>
      <c r="EG471" s="12"/>
      <c r="EH471" s="12"/>
      <c r="EI471" s="12"/>
      <c r="EJ471" s="574"/>
      <c r="EK471" s="574"/>
      <c r="EL471" s="574"/>
      <c r="EM471" s="574"/>
      <c r="EN471" s="574"/>
      <c r="EO471" s="574"/>
      <c r="EP471" s="574"/>
      <c r="EQ471" s="574"/>
      <c r="ER471" s="574"/>
      <c r="ES471" s="574"/>
      <c r="ET471" s="574"/>
      <c r="EU471" s="574"/>
    </row>
    <row r="472">
      <c r="A472" s="12"/>
      <c r="B472" s="55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  <c r="BA472" s="12"/>
      <c r="BB472" s="12"/>
      <c r="BC472" s="12"/>
      <c r="BD472" s="12"/>
      <c r="BE472" s="12"/>
      <c r="BF472" s="12"/>
      <c r="BG472" s="12"/>
      <c r="BH472" s="12"/>
      <c r="BI472" s="12"/>
      <c r="BJ472" s="12"/>
      <c r="BK472" s="12"/>
      <c r="BL472" s="12"/>
      <c r="BM472" s="12"/>
      <c r="BN472" s="12"/>
      <c r="BO472" s="12"/>
      <c r="BP472" s="12"/>
      <c r="BQ472" s="12"/>
      <c r="BR472" s="12"/>
      <c r="BS472" s="12"/>
      <c r="BT472" s="12"/>
      <c r="BU472" s="12"/>
      <c r="BV472" s="12"/>
      <c r="BW472" s="12"/>
      <c r="BX472" s="12"/>
      <c r="BY472" s="12"/>
      <c r="BZ472" s="12"/>
      <c r="CA472" s="12"/>
      <c r="CB472" s="12"/>
      <c r="CC472" s="12"/>
      <c r="CD472" s="12"/>
      <c r="CE472" s="12"/>
      <c r="CF472" s="12"/>
      <c r="CG472" s="12"/>
      <c r="CH472" s="12"/>
      <c r="CI472" s="12"/>
      <c r="CJ472" s="12"/>
      <c r="CK472" s="12"/>
      <c r="CL472" s="12"/>
      <c r="CM472" s="12"/>
      <c r="CN472" s="12"/>
      <c r="CO472" s="12"/>
      <c r="CP472" s="12"/>
      <c r="CQ472" s="12"/>
      <c r="CR472" s="12"/>
      <c r="CS472" s="12"/>
      <c r="CT472" s="12"/>
      <c r="CU472" s="12"/>
      <c r="CV472" s="12"/>
      <c r="CW472" s="12"/>
      <c r="CX472" s="12"/>
      <c r="CY472" s="12"/>
      <c r="CZ472" s="12"/>
      <c r="DA472" s="12"/>
      <c r="DB472" s="12"/>
      <c r="DC472" s="12"/>
      <c r="DD472" s="12"/>
      <c r="DE472" s="12"/>
      <c r="DF472" s="12"/>
      <c r="DG472" s="12"/>
      <c r="DH472" s="12"/>
      <c r="DI472" s="12"/>
      <c r="DJ472" s="12"/>
      <c r="DK472" s="12"/>
      <c r="DL472" s="12"/>
      <c r="DM472" s="12"/>
      <c r="DN472" s="12"/>
      <c r="DO472" s="12"/>
      <c r="DP472" s="12"/>
      <c r="DQ472" s="12"/>
      <c r="DR472" s="12"/>
      <c r="DS472" s="12"/>
      <c r="DT472" s="12"/>
      <c r="DU472" s="12"/>
      <c r="DV472" s="12"/>
      <c r="DW472" s="12"/>
      <c r="DX472" s="12"/>
      <c r="DY472" s="12"/>
      <c r="DZ472" s="12"/>
      <c r="EA472" s="12"/>
      <c r="EB472" s="12"/>
      <c r="EC472" s="12"/>
      <c r="ED472" s="12"/>
      <c r="EE472" s="12"/>
      <c r="EF472" s="12"/>
      <c r="EG472" s="12"/>
      <c r="EH472" s="12"/>
      <c r="EI472" s="12"/>
      <c r="EJ472" s="574"/>
      <c r="EK472" s="574"/>
      <c r="EL472" s="574"/>
      <c r="EM472" s="574"/>
      <c r="EN472" s="574"/>
      <c r="EO472" s="574"/>
      <c r="EP472" s="574"/>
      <c r="EQ472" s="574"/>
      <c r="ER472" s="574"/>
      <c r="ES472" s="574"/>
      <c r="ET472" s="574"/>
      <c r="EU472" s="574"/>
    </row>
    <row r="473">
      <c r="A473" s="12"/>
      <c r="B473" s="55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  <c r="AZ473" s="12"/>
      <c r="BA473" s="12"/>
      <c r="BB473" s="12"/>
      <c r="BC473" s="12"/>
      <c r="BD473" s="12"/>
      <c r="BE473" s="12"/>
      <c r="BF473" s="12"/>
      <c r="BG473" s="12"/>
      <c r="BH473" s="12"/>
      <c r="BI473" s="12"/>
      <c r="BJ473" s="12"/>
      <c r="BK473" s="12"/>
      <c r="BL473" s="12"/>
      <c r="BM473" s="12"/>
      <c r="BN473" s="12"/>
      <c r="BO473" s="12"/>
      <c r="BP473" s="12"/>
      <c r="BQ473" s="12"/>
      <c r="BR473" s="12"/>
      <c r="BS473" s="12"/>
      <c r="BT473" s="12"/>
      <c r="BU473" s="12"/>
      <c r="BV473" s="12"/>
      <c r="BW473" s="12"/>
      <c r="BX473" s="12"/>
      <c r="BY473" s="12"/>
      <c r="BZ473" s="12"/>
      <c r="CA473" s="12"/>
      <c r="CB473" s="12"/>
      <c r="CC473" s="12"/>
      <c r="CD473" s="12"/>
      <c r="CE473" s="12"/>
      <c r="CF473" s="12"/>
      <c r="CG473" s="12"/>
      <c r="CH473" s="12"/>
      <c r="CI473" s="12"/>
      <c r="CJ473" s="12"/>
      <c r="CK473" s="12"/>
      <c r="CL473" s="12"/>
      <c r="CM473" s="12"/>
      <c r="CN473" s="12"/>
      <c r="CO473" s="12"/>
      <c r="CP473" s="12"/>
      <c r="CQ473" s="12"/>
      <c r="CR473" s="12"/>
      <c r="CS473" s="12"/>
      <c r="CT473" s="12"/>
      <c r="CU473" s="12"/>
      <c r="CV473" s="12"/>
      <c r="CW473" s="12"/>
      <c r="CX473" s="12"/>
      <c r="CY473" s="12"/>
      <c r="CZ473" s="12"/>
      <c r="DA473" s="12"/>
      <c r="DB473" s="12"/>
      <c r="DC473" s="12"/>
      <c r="DD473" s="12"/>
      <c r="DE473" s="12"/>
      <c r="DF473" s="12"/>
      <c r="DG473" s="12"/>
      <c r="DH473" s="12"/>
      <c r="DI473" s="12"/>
      <c r="DJ473" s="12"/>
      <c r="DK473" s="12"/>
      <c r="DL473" s="12"/>
      <c r="DM473" s="12"/>
      <c r="DN473" s="12"/>
      <c r="DO473" s="12"/>
      <c r="DP473" s="12"/>
      <c r="DQ473" s="12"/>
      <c r="DR473" s="12"/>
      <c r="DS473" s="12"/>
      <c r="DT473" s="12"/>
      <c r="DU473" s="12"/>
      <c r="DV473" s="12"/>
      <c r="DW473" s="12"/>
      <c r="DX473" s="12"/>
      <c r="DY473" s="12"/>
      <c r="DZ473" s="12"/>
      <c r="EA473" s="12"/>
      <c r="EB473" s="12"/>
      <c r="EC473" s="12"/>
      <c r="ED473" s="12"/>
      <c r="EE473" s="12"/>
      <c r="EF473" s="12"/>
      <c r="EG473" s="12"/>
      <c r="EH473" s="12"/>
      <c r="EI473" s="12"/>
      <c r="EJ473" s="574"/>
      <c r="EK473" s="574"/>
      <c r="EL473" s="574"/>
      <c r="EM473" s="574"/>
      <c r="EN473" s="574"/>
      <c r="EO473" s="574"/>
      <c r="EP473" s="574"/>
      <c r="EQ473" s="574"/>
      <c r="ER473" s="574"/>
      <c r="ES473" s="574"/>
      <c r="ET473" s="574"/>
      <c r="EU473" s="574"/>
    </row>
    <row r="474">
      <c r="A474" s="12"/>
      <c r="B474" s="55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  <c r="AZ474" s="12"/>
      <c r="BA474" s="12"/>
      <c r="BB474" s="12"/>
      <c r="BC474" s="12"/>
      <c r="BD474" s="12"/>
      <c r="BE474" s="12"/>
      <c r="BF474" s="12"/>
      <c r="BG474" s="12"/>
      <c r="BH474" s="12"/>
      <c r="BI474" s="12"/>
      <c r="BJ474" s="12"/>
      <c r="BK474" s="12"/>
      <c r="BL474" s="12"/>
      <c r="BM474" s="12"/>
      <c r="BN474" s="12"/>
      <c r="BO474" s="12"/>
      <c r="BP474" s="12"/>
      <c r="BQ474" s="12"/>
      <c r="BR474" s="12"/>
      <c r="BS474" s="12"/>
      <c r="BT474" s="12"/>
      <c r="BU474" s="12"/>
      <c r="BV474" s="12"/>
      <c r="BW474" s="12"/>
      <c r="BX474" s="12"/>
      <c r="BY474" s="12"/>
      <c r="BZ474" s="12"/>
      <c r="CA474" s="12"/>
      <c r="CB474" s="12"/>
      <c r="CC474" s="12"/>
      <c r="CD474" s="12"/>
      <c r="CE474" s="12"/>
      <c r="CF474" s="12"/>
      <c r="CG474" s="12"/>
      <c r="CH474" s="12"/>
      <c r="CI474" s="12"/>
      <c r="CJ474" s="12"/>
      <c r="CK474" s="12"/>
      <c r="CL474" s="12"/>
      <c r="CM474" s="12"/>
      <c r="CN474" s="12"/>
      <c r="CO474" s="12"/>
      <c r="CP474" s="12"/>
      <c r="CQ474" s="12"/>
      <c r="CR474" s="12"/>
      <c r="CS474" s="12"/>
      <c r="CT474" s="12"/>
      <c r="CU474" s="12"/>
      <c r="CV474" s="12"/>
      <c r="CW474" s="12"/>
      <c r="CX474" s="12"/>
      <c r="CY474" s="12"/>
      <c r="CZ474" s="12"/>
      <c r="DA474" s="12"/>
      <c r="DB474" s="12"/>
      <c r="DC474" s="12"/>
      <c r="DD474" s="12"/>
      <c r="DE474" s="12"/>
      <c r="DF474" s="12"/>
      <c r="DG474" s="12"/>
      <c r="DH474" s="12"/>
      <c r="DI474" s="12"/>
      <c r="DJ474" s="12"/>
      <c r="DK474" s="12"/>
      <c r="DL474" s="12"/>
      <c r="DM474" s="12"/>
      <c r="DN474" s="12"/>
      <c r="DO474" s="12"/>
      <c r="DP474" s="12"/>
      <c r="DQ474" s="12"/>
      <c r="DR474" s="12"/>
      <c r="DS474" s="12"/>
      <c r="DT474" s="12"/>
      <c r="DU474" s="12"/>
      <c r="DV474" s="12"/>
      <c r="DW474" s="12"/>
      <c r="DX474" s="12"/>
      <c r="DY474" s="12"/>
      <c r="DZ474" s="12"/>
      <c r="EA474" s="12"/>
      <c r="EB474" s="12"/>
      <c r="EC474" s="12"/>
      <c r="ED474" s="12"/>
      <c r="EE474" s="12"/>
      <c r="EF474" s="12"/>
      <c r="EG474" s="12"/>
      <c r="EH474" s="12"/>
      <c r="EI474" s="12"/>
      <c r="EJ474" s="574"/>
      <c r="EK474" s="574"/>
      <c r="EL474" s="574"/>
      <c r="EM474" s="574"/>
      <c r="EN474" s="574"/>
      <c r="EO474" s="574"/>
      <c r="EP474" s="574"/>
      <c r="EQ474" s="574"/>
      <c r="ER474" s="574"/>
      <c r="ES474" s="574"/>
      <c r="ET474" s="574"/>
      <c r="EU474" s="574"/>
    </row>
    <row r="475">
      <c r="A475" s="12"/>
      <c r="B475" s="55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/>
      <c r="BA475" s="12"/>
      <c r="BB475" s="12"/>
      <c r="BC475" s="12"/>
      <c r="BD475" s="12"/>
      <c r="BE475" s="12"/>
      <c r="BF475" s="12"/>
      <c r="BG475" s="12"/>
      <c r="BH475" s="12"/>
      <c r="BI475" s="12"/>
      <c r="BJ475" s="12"/>
      <c r="BK475" s="12"/>
      <c r="BL475" s="12"/>
      <c r="BM475" s="12"/>
      <c r="BN475" s="12"/>
      <c r="BO475" s="12"/>
      <c r="BP475" s="12"/>
      <c r="BQ475" s="12"/>
      <c r="BR475" s="12"/>
      <c r="BS475" s="12"/>
      <c r="BT475" s="12"/>
      <c r="BU475" s="12"/>
      <c r="BV475" s="12"/>
      <c r="BW475" s="12"/>
      <c r="BX475" s="12"/>
      <c r="BY475" s="12"/>
      <c r="BZ475" s="12"/>
      <c r="CA475" s="12"/>
      <c r="CB475" s="12"/>
      <c r="CC475" s="12"/>
      <c r="CD475" s="12"/>
      <c r="CE475" s="12"/>
      <c r="CF475" s="12"/>
      <c r="CG475" s="12"/>
      <c r="CH475" s="12"/>
      <c r="CI475" s="12"/>
      <c r="CJ475" s="12"/>
      <c r="CK475" s="12"/>
      <c r="CL475" s="12"/>
      <c r="CM475" s="12"/>
      <c r="CN475" s="12"/>
      <c r="CO475" s="12"/>
      <c r="CP475" s="12"/>
      <c r="CQ475" s="12"/>
      <c r="CR475" s="12"/>
      <c r="CS475" s="12"/>
      <c r="CT475" s="12"/>
      <c r="CU475" s="12"/>
      <c r="CV475" s="12"/>
      <c r="CW475" s="12"/>
      <c r="CX475" s="12"/>
      <c r="CY475" s="12"/>
      <c r="CZ475" s="12"/>
      <c r="DA475" s="12"/>
      <c r="DB475" s="12"/>
      <c r="DC475" s="12"/>
      <c r="DD475" s="12"/>
      <c r="DE475" s="12"/>
      <c r="DF475" s="12"/>
      <c r="DG475" s="12"/>
      <c r="DH475" s="12"/>
      <c r="DI475" s="12"/>
      <c r="DJ475" s="12"/>
      <c r="DK475" s="12"/>
      <c r="DL475" s="12"/>
      <c r="DM475" s="12"/>
      <c r="DN475" s="12"/>
      <c r="DO475" s="12"/>
      <c r="DP475" s="12"/>
      <c r="DQ475" s="12"/>
      <c r="DR475" s="12"/>
      <c r="DS475" s="12"/>
      <c r="DT475" s="12"/>
      <c r="DU475" s="12"/>
      <c r="DV475" s="12"/>
      <c r="DW475" s="12"/>
      <c r="DX475" s="12"/>
      <c r="DY475" s="12"/>
      <c r="DZ475" s="12"/>
      <c r="EA475" s="12"/>
      <c r="EB475" s="12"/>
      <c r="EC475" s="12"/>
      <c r="ED475" s="12"/>
      <c r="EE475" s="12"/>
      <c r="EF475" s="12"/>
      <c r="EG475" s="12"/>
      <c r="EH475" s="12"/>
      <c r="EI475" s="12"/>
      <c r="EJ475" s="574"/>
      <c r="EK475" s="574"/>
      <c r="EL475" s="574"/>
      <c r="EM475" s="574"/>
      <c r="EN475" s="574"/>
      <c r="EO475" s="574"/>
      <c r="EP475" s="574"/>
      <c r="EQ475" s="574"/>
      <c r="ER475" s="574"/>
      <c r="ES475" s="574"/>
      <c r="ET475" s="574"/>
      <c r="EU475" s="574"/>
    </row>
    <row r="476">
      <c r="A476" s="12"/>
      <c r="B476" s="55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  <c r="AZ476" s="12"/>
      <c r="BA476" s="12"/>
      <c r="BB476" s="12"/>
      <c r="BC476" s="12"/>
      <c r="BD476" s="12"/>
      <c r="BE476" s="12"/>
      <c r="BF476" s="12"/>
      <c r="BG476" s="12"/>
      <c r="BH476" s="12"/>
      <c r="BI476" s="12"/>
      <c r="BJ476" s="12"/>
      <c r="BK476" s="12"/>
      <c r="BL476" s="12"/>
      <c r="BM476" s="12"/>
      <c r="BN476" s="12"/>
      <c r="BO476" s="12"/>
      <c r="BP476" s="12"/>
      <c r="BQ476" s="12"/>
      <c r="BR476" s="12"/>
      <c r="BS476" s="12"/>
      <c r="BT476" s="12"/>
      <c r="BU476" s="12"/>
      <c r="BV476" s="12"/>
      <c r="BW476" s="12"/>
      <c r="BX476" s="12"/>
      <c r="BY476" s="12"/>
      <c r="BZ476" s="12"/>
      <c r="CA476" s="12"/>
      <c r="CB476" s="12"/>
      <c r="CC476" s="12"/>
      <c r="CD476" s="12"/>
      <c r="CE476" s="12"/>
      <c r="CF476" s="12"/>
      <c r="CG476" s="12"/>
      <c r="CH476" s="12"/>
      <c r="CI476" s="12"/>
      <c r="CJ476" s="12"/>
      <c r="CK476" s="12"/>
      <c r="CL476" s="12"/>
      <c r="CM476" s="12"/>
      <c r="CN476" s="12"/>
      <c r="CO476" s="12"/>
      <c r="CP476" s="12"/>
      <c r="CQ476" s="12"/>
      <c r="CR476" s="12"/>
      <c r="CS476" s="12"/>
      <c r="CT476" s="12"/>
      <c r="CU476" s="12"/>
      <c r="CV476" s="12"/>
      <c r="CW476" s="12"/>
      <c r="CX476" s="12"/>
      <c r="CY476" s="12"/>
      <c r="CZ476" s="12"/>
      <c r="DA476" s="12"/>
      <c r="DB476" s="12"/>
      <c r="DC476" s="12"/>
      <c r="DD476" s="12"/>
      <c r="DE476" s="12"/>
      <c r="DF476" s="12"/>
      <c r="DG476" s="12"/>
      <c r="DH476" s="12"/>
      <c r="DI476" s="12"/>
      <c r="DJ476" s="12"/>
      <c r="DK476" s="12"/>
      <c r="DL476" s="12"/>
      <c r="DM476" s="12"/>
      <c r="DN476" s="12"/>
      <c r="DO476" s="12"/>
      <c r="DP476" s="12"/>
      <c r="DQ476" s="12"/>
      <c r="DR476" s="12"/>
      <c r="DS476" s="12"/>
      <c r="DT476" s="12"/>
      <c r="DU476" s="12"/>
      <c r="DV476" s="12"/>
      <c r="DW476" s="12"/>
      <c r="DX476" s="12"/>
      <c r="DY476" s="12"/>
      <c r="DZ476" s="12"/>
      <c r="EA476" s="12"/>
      <c r="EB476" s="12"/>
      <c r="EC476" s="12"/>
      <c r="ED476" s="12"/>
      <c r="EE476" s="12"/>
      <c r="EF476" s="12"/>
      <c r="EG476" s="12"/>
      <c r="EH476" s="12"/>
      <c r="EI476" s="12"/>
      <c r="EJ476" s="574"/>
      <c r="EK476" s="574"/>
      <c r="EL476" s="574"/>
      <c r="EM476" s="574"/>
      <c r="EN476" s="574"/>
      <c r="EO476" s="574"/>
      <c r="EP476" s="574"/>
      <c r="EQ476" s="574"/>
      <c r="ER476" s="574"/>
      <c r="ES476" s="574"/>
      <c r="ET476" s="574"/>
      <c r="EU476" s="574"/>
    </row>
    <row r="477">
      <c r="A477" s="12"/>
      <c r="B477" s="55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  <c r="AZ477" s="12"/>
      <c r="BA477" s="12"/>
      <c r="BB477" s="12"/>
      <c r="BC477" s="12"/>
      <c r="BD477" s="12"/>
      <c r="BE477" s="12"/>
      <c r="BF477" s="12"/>
      <c r="BG477" s="12"/>
      <c r="BH477" s="12"/>
      <c r="BI477" s="12"/>
      <c r="BJ477" s="12"/>
      <c r="BK477" s="12"/>
      <c r="BL477" s="12"/>
      <c r="BM477" s="12"/>
      <c r="BN477" s="12"/>
      <c r="BO477" s="12"/>
      <c r="BP477" s="12"/>
      <c r="BQ477" s="12"/>
      <c r="BR477" s="12"/>
      <c r="BS477" s="12"/>
      <c r="BT477" s="12"/>
      <c r="BU477" s="12"/>
      <c r="BV477" s="12"/>
      <c r="BW477" s="12"/>
      <c r="BX477" s="12"/>
      <c r="BY477" s="12"/>
      <c r="BZ477" s="12"/>
      <c r="CA477" s="12"/>
      <c r="CB477" s="12"/>
      <c r="CC477" s="12"/>
      <c r="CD477" s="12"/>
      <c r="CE477" s="12"/>
      <c r="CF477" s="12"/>
      <c r="CG477" s="12"/>
      <c r="CH477" s="12"/>
      <c r="CI477" s="12"/>
      <c r="CJ477" s="12"/>
      <c r="CK477" s="12"/>
      <c r="CL477" s="12"/>
      <c r="CM477" s="12"/>
      <c r="CN477" s="12"/>
      <c r="CO477" s="12"/>
      <c r="CP477" s="12"/>
      <c r="CQ477" s="12"/>
      <c r="CR477" s="12"/>
      <c r="CS477" s="12"/>
      <c r="CT477" s="12"/>
      <c r="CU477" s="12"/>
      <c r="CV477" s="12"/>
      <c r="CW477" s="12"/>
      <c r="CX477" s="12"/>
      <c r="CY477" s="12"/>
      <c r="CZ477" s="12"/>
      <c r="DA477" s="12"/>
      <c r="DB477" s="12"/>
      <c r="DC477" s="12"/>
      <c r="DD477" s="12"/>
      <c r="DE477" s="12"/>
      <c r="DF477" s="12"/>
      <c r="DG477" s="12"/>
      <c r="DH477" s="12"/>
      <c r="DI477" s="12"/>
      <c r="DJ477" s="12"/>
      <c r="DK477" s="12"/>
      <c r="DL477" s="12"/>
      <c r="DM477" s="12"/>
      <c r="DN477" s="12"/>
      <c r="DO477" s="12"/>
      <c r="DP477" s="12"/>
      <c r="DQ477" s="12"/>
      <c r="DR477" s="12"/>
      <c r="DS477" s="12"/>
      <c r="DT477" s="12"/>
      <c r="DU477" s="12"/>
      <c r="DV477" s="12"/>
      <c r="DW477" s="12"/>
      <c r="DX477" s="12"/>
      <c r="DY477" s="12"/>
      <c r="DZ477" s="12"/>
      <c r="EA477" s="12"/>
      <c r="EB477" s="12"/>
      <c r="EC477" s="12"/>
      <c r="ED477" s="12"/>
      <c r="EE477" s="12"/>
      <c r="EF477" s="12"/>
      <c r="EG477" s="12"/>
      <c r="EH477" s="12"/>
      <c r="EI477" s="12"/>
      <c r="EJ477" s="574"/>
      <c r="EK477" s="574"/>
      <c r="EL477" s="574"/>
      <c r="EM477" s="574"/>
      <c r="EN477" s="574"/>
      <c r="EO477" s="574"/>
      <c r="EP477" s="574"/>
      <c r="EQ477" s="574"/>
      <c r="ER477" s="574"/>
      <c r="ES477" s="574"/>
      <c r="ET477" s="574"/>
      <c r="EU477" s="574"/>
    </row>
    <row r="478">
      <c r="A478" s="12"/>
      <c r="B478" s="55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  <c r="AZ478" s="12"/>
      <c r="BA478" s="12"/>
      <c r="BB478" s="12"/>
      <c r="BC478" s="12"/>
      <c r="BD478" s="12"/>
      <c r="BE478" s="12"/>
      <c r="BF478" s="12"/>
      <c r="BG478" s="12"/>
      <c r="BH478" s="12"/>
      <c r="BI478" s="12"/>
      <c r="BJ478" s="12"/>
      <c r="BK478" s="12"/>
      <c r="BL478" s="12"/>
      <c r="BM478" s="12"/>
      <c r="BN478" s="12"/>
      <c r="BO478" s="12"/>
      <c r="BP478" s="12"/>
      <c r="BQ478" s="12"/>
      <c r="BR478" s="12"/>
      <c r="BS478" s="12"/>
      <c r="BT478" s="12"/>
      <c r="BU478" s="12"/>
      <c r="BV478" s="12"/>
      <c r="BW478" s="12"/>
      <c r="BX478" s="12"/>
      <c r="BY478" s="12"/>
      <c r="BZ478" s="12"/>
      <c r="CA478" s="12"/>
      <c r="CB478" s="12"/>
      <c r="CC478" s="12"/>
      <c r="CD478" s="12"/>
      <c r="CE478" s="12"/>
      <c r="CF478" s="12"/>
      <c r="CG478" s="12"/>
      <c r="CH478" s="12"/>
      <c r="CI478" s="12"/>
      <c r="CJ478" s="12"/>
      <c r="CK478" s="12"/>
      <c r="CL478" s="12"/>
      <c r="CM478" s="12"/>
      <c r="CN478" s="12"/>
      <c r="CO478" s="12"/>
      <c r="CP478" s="12"/>
      <c r="CQ478" s="12"/>
      <c r="CR478" s="12"/>
      <c r="CS478" s="12"/>
      <c r="CT478" s="12"/>
      <c r="CU478" s="12"/>
      <c r="CV478" s="12"/>
      <c r="CW478" s="12"/>
      <c r="CX478" s="12"/>
      <c r="CY478" s="12"/>
      <c r="CZ478" s="12"/>
      <c r="DA478" s="12"/>
      <c r="DB478" s="12"/>
      <c r="DC478" s="12"/>
      <c r="DD478" s="12"/>
      <c r="DE478" s="12"/>
      <c r="DF478" s="12"/>
      <c r="DG478" s="12"/>
      <c r="DH478" s="12"/>
      <c r="DI478" s="12"/>
      <c r="DJ478" s="12"/>
      <c r="DK478" s="12"/>
      <c r="DL478" s="12"/>
      <c r="DM478" s="12"/>
      <c r="DN478" s="12"/>
      <c r="DO478" s="12"/>
      <c r="DP478" s="12"/>
      <c r="DQ478" s="12"/>
      <c r="DR478" s="12"/>
      <c r="DS478" s="12"/>
      <c r="DT478" s="12"/>
      <c r="DU478" s="12"/>
      <c r="DV478" s="12"/>
      <c r="DW478" s="12"/>
      <c r="DX478" s="12"/>
      <c r="DY478" s="12"/>
      <c r="DZ478" s="12"/>
      <c r="EA478" s="12"/>
      <c r="EB478" s="12"/>
      <c r="EC478" s="12"/>
      <c r="ED478" s="12"/>
      <c r="EE478" s="12"/>
      <c r="EF478" s="12"/>
      <c r="EG478" s="12"/>
      <c r="EH478" s="12"/>
      <c r="EI478" s="12"/>
      <c r="EJ478" s="574"/>
      <c r="EK478" s="574"/>
      <c r="EL478" s="574"/>
      <c r="EM478" s="574"/>
      <c r="EN478" s="574"/>
      <c r="EO478" s="574"/>
      <c r="EP478" s="574"/>
      <c r="EQ478" s="574"/>
      <c r="ER478" s="574"/>
      <c r="ES478" s="574"/>
      <c r="ET478" s="574"/>
      <c r="EU478" s="574"/>
    </row>
    <row r="479">
      <c r="A479" s="12"/>
      <c r="B479" s="55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/>
      <c r="BA479" s="12"/>
      <c r="BB479" s="12"/>
      <c r="BC479" s="12"/>
      <c r="BD479" s="12"/>
      <c r="BE479" s="12"/>
      <c r="BF479" s="12"/>
      <c r="BG479" s="12"/>
      <c r="BH479" s="12"/>
      <c r="BI479" s="12"/>
      <c r="BJ479" s="12"/>
      <c r="BK479" s="12"/>
      <c r="BL479" s="12"/>
      <c r="BM479" s="12"/>
      <c r="BN479" s="12"/>
      <c r="BO479" s="12"/>
      <c r="BP479" s="12"/>
      <c r="BQ479" s="12"/>
      <c r="BR479" s="12"/>
      <c r="BS479" s="12"/>
      <c r="BT479" s="12"/>
      <c r="BU479" s="12"/>
      <c r="BV479" s="12"/>
      <c r="BW479" s="12"/>
      <c r="BX479" s="12"/>
      <c r="BY479" s="12"/>
      <c r="BZ479" s="12"/>
      <c r="CA479" s="12"/>
      <c r="CB479" s="12"/>
      <c r="CC479" s="12"/>
      <c r="CD479" s="12"/>
      <c r="CE479" s="12"/>
      <c r="CF479" s="12"/>
      <c r="CG479" s="12"/>
      <c r="CH479" s="12"/>
      <c r="CI479" s="12"/>
      <c r="CJ479" s="12"/>
      <c r="CK479" s="12"/>
      <c r="CL479" s="12"/>
      <c r="CM479" s="12"/>
      <c r="CN479" s="12"/>
      <c r="CO479" s="12"/>
      <c r="CP479" s="12"/>
      <c r="CQ479" s="12"/>
      <c r="CR479" s="12"/>
      <c r="CS479" s="12"/>
      <c r="CT479" s="12"/>
      <c r="CU479" s="12"/>
      <c r="CV479" s="12"/>
      <c r="CW479" s="12"/>
      <c r="CX479" s="12"/>
      <c r="CY479" s="12"/>
      <c r="CZ479" s="12"/>
      <c r="DA479" s="12"/>
      <c r="DB479" s="12"/>
      <c r="DC479" s="12"/>
      <c r="DD479" s="12"/>
      <c r="DE479" s="12"/>
      <c r="DF479" s="12"/>
      <c r="DG479" s="12"/>
      <c r="DH479" s="12"/>
      <c r="DI479" s="12"/>
      <c r="DJ479" s="12"/>
      <c r="DK479" s="12"/>
      <c r="DL479" s="12"/>
      <c r="DM479" s="12"/>
      <c r="DN479" s="12"/>
      <c r="DO479" s="12"/>
      <c r="DP479" s="12"/>
      <c r="DQ479" s="12"/>
      <c r="DR479" s="12"/>
      <c r="DS479" s="12"/>
      <c r="DT479" s="12"/>
      <c r="DU479" s="12"/>
      <c r="DV479" s="12"/>
      <c r="DW479" s="12"/>
      <c r="DX479" s="12"/>
      <c r="DY479" s="12"/>
      <c r="DZ479" s="12"/>
      <c r="EA479" s="12"/>
      <c r="EB479" s="12"/>
      <c r="EC479" s="12"/>
      <c r="ED479" s="12"/>
      <c r="EE479" s="12"/>
      <c r="EF479" s="12"/>
      <c r="EG479" s="12"/>
      <c r="EH479" s="12"/>
      <c r="EI479" s="12"/>
      <c r="EJ479" s="574"/>
      <c r="EK479" s="574"/>
      <c r="EL479" s="574"/>
      <c r="EM479" s="574"/>
      <c r="EN479" s="574"/>
      <c r="EO479" s="574"/>
      <c r="EP479" s="574"/>
      <c r="EQ479" s="574"/>
      <c r="ER479" s="574"/>
      <c r="ES479" s="574"/>
      <c r="ET479" s="574"/>
      <c r="EU479" s="574"/>
    </row>
    <row r="480">
      <c r="A480" s="12"/>
      <c r="B480" s="55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  <c r="BA480" s="12"/>
      <c r="BB480" s="12"/>
      <c r="BC480" s="12"/>
      <c r="BD480" s="12"/>
      <c r="BE480" s="12"/>
      <c r="BF480" s="12"/>
      <c r="BG480" s="12"/>
      <c r="BH480" s="12"/>
      <c r="BI480" s="12"/>
      <c r="BJ480" s="12"/>
      <c r="BK480" s="12"/>
      <c r="BL480" s="12"/>
      <c r="BM480" s="12"/>
      <c r="BN480" s="12"/>
      <c r="BO480" s="12"/>
      <c r="BP480" s="12"/>
      <c r="BQ480" s="12"/>
      <c r="BR480" s="12"/>
      <c r="BS480" s="12"/>
      <c r="BT480" s="12"/>
      <c r="BU480" s="12"/>
      <c r="BV480" s="12"/>
      <c r="BW480" s="12"/>
      <c r="BX480" s="12"/>
      <c r="BY480" s="12"/>
      <c r="BZ480" s="12"/>
      <c r="CA480" s="12"/>
      <c r="CB480" s="12"/>
      <c r="CC480" s="12"/>
      <c r="CD480" s="12"/>
      <c r="CE480" s="12"/>
      <c r="CF480" s="12"/>
      <c r="CG480" s="12"/>
      <c r="CH480" s="12"/>
      <c r="CI480" s="12"/>
      <c r="CJ480" s="12"/>
      <c r="CK480" s="12"/>
      <c r="CL480" s="12"/>
      <c r="CM480" s="12"/>
      <c r="CN480" s="12"/>
      <c r="CO480" s="12"/>
      <c r="CP480" s="12"/>
      <c r="CQ480" s="12"/>
      <c r="CR480" s="12"/>
      <c r="CS480" s="12"/>
      <c r="CT480" s="12"/>
      <c r="CU480" s="12"/>
      <c r="CV480" s="12"/>
      <c r="CW480" s="12"/>
      <c r="CX480" s="12"/>
      <c r="CY480" s="12"/>
      <c r="CZ480" s="12"/>
      <c r="DA480" s="12"/>
      <c r="DB480" s="12"/>
      <c r="DC480" s="12"/>
      <c r="DD480" s="12"/>
      <c r="DE480" s="12"/>
      <c r="DF480" s="12"/>
      <c r="DG480" s="12"/>
      <c r="DH480" s="12"/>
      <c r="DI480" s="12"/>
      <c r="DJ480" s="12"/>
      <c r="DK480" s="12"/>
      <c r="DL480" s="12"/>
      <c r="DM480" s="12"/>
      <c r="DN480" s="12"/>
      <c r="DO480" s="12"/>
      <c r="DP480" s="12"/>
      <c r="DQ480" s="12"/>
      <c r="DR480" s="12"/>
      <c r="DS480" s="12"/>
      <c r="DT480" s="12"/>
      <c r="DU480" s="12"/>
      <c r="DV480" s="12"/>
      <c r="DW480" s="12"/>
      <c r="DX480" s="12"/>
      <c r="DY480" s="12"/>
      <c r="DZ480" s="12"/>
      <c r="EA480" s="12"/>
      <c r="EB480" s="12"/>
      <c r="EC480" s="12"/>
      <c r="ED480" s="12"/>
      <c r="EE480" s="12"/>
      <c r="EF480" s="12"/>
      <c r="EG480" s="12"/>
      <c r="EH480" s="12"/>
      <c r="EI480" s="12"/>
      <c r="EJ480" s="574"/>
      <c r="EK480" s="574"/>
      <c r="EL480" s="574"/>
      <c r="EM480" s="574"/>
      <c r="EN480" s="574"/>
      <c r="EO480" s="574"/>
      <c r="EP480" s="574"/>
      <c r="EQ480" s="574"/>
      <c r="ER480" s="574"/>
      <c r="ES480" s="574"/>
      <c r="ET480" s="574"/>
      <c r="EU480" s="574"/>
    </row>
    <row r="481">
      <c r="A481" s="12"/>
      <c r="B481" s="55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  <c r="BA481" s="12"/>
      <c r="BB481" s="12"/>
      <c r="BC481" s="12"/>
      <c r="BD481" s="12"/>
      <c r="BE481" s="12"/>
      <c r="BF481" s="12"/>
      <c r="BG481" s="12"/>
      <c r="BH481" s="12"/>
      <c r="BI481" s="12"/>
      <c r="BJ481" s="12"/>
      <c r="BK481" s="12"/>
      <c r="BL481" s="12"/>
      <c r="BM481" s="12"/>
      <c r="BN481" s="12"/>
      <c r="BO481" s="12"/>
      <c r="BP481" s="12"/>
      <c r="BQ481" s="12"/>
      <c r="BR481" s="12"/>
      <c r="BS481" s="12"/>
      <c r="BT481" s="12"/>
      <c r="BU481" s="12"/>
      <c r="BV481" s="12"/>
      <c r="BW481" s="12"/>
      <c r="BX481" s="12"/>
      <c r="BY481" s="12"/>
      <c r="BZ481" s="12"/>
      <c r="CA481" s="12"/>
      <c r="CB481" s="12"/>
      <c r="CC481" s="12"/>
      <c r="CD481" s="12"/>
      <c r="CE481" s="12"/>
      <c r="CF481" s="12"/>
      <c r="CG481" s="12"/>
      <c r="CH481" s="12"/>
      <c r="CI481" s="12"/>
      <c r="CJ481" s="12"/>
      <c r="CK481" s="12"/>
      <c r="CL481" s="12"/>
      <c r="CM481" s="12"/>
      <c r="CN481" s="12"/>
      <c r="CO481" s="12"/>
      <c r="CP481" s="12"/>
      <c r="CQ481" s="12"/>
      <c r="CR481" s="12"/>
      <c r="CS481" s="12"/>
      <c r="CT481" s="12"/>
      <c r="CU481" s="12"/>
      <c r="CV481" s="12"/>
      <c r="CW481" s="12"/>
      <c r="CX481" s="12"/>
      <c r="CY481" s="12"/>
      <c r="CZ481" s="12"/>
      <c r="DA481" s="12"/>
      <c r="DB481" s="12"/>
      <c r="DC481" s="12"/>
      <c r="DD481" s="12"/>
      <c r="DE481" s="12"/>
      <c r="DF481" s="12"/>
      <c r="DG481" s="12"/>
      <c r="DH481" s="12"/>
      <c r="DI481" s="12"/>
      <c r="DJ481" s="12"/>
      <c r="DK481" s="12"/>
      <c r="DL481" s="12"/>
      <c r="DM481" s="12"/>
      <c r="DN481" s="12"/>
      <c r="DO481" s="12"/>
      <c r="DP481" s="12"/>
      <c r="DQ481" s="12"/>
      <c r="DR481" s="12"/>
      <c r="DS481" s="12"/>
      <c r="DT481" s="12"/>
      <c r="DU481" s="12"/>
      <c r="DV481" s="12"/>
      <c r="DW481" s="12"/>
      <c r="DX481" s="12"/>
      <c r="DY481" s="12"/>
      <c r="DZ481" s="12"/>
      <c r="EA481" s="12"/>
      <c r="EB481" s="12"/>
      <c r="EC481" s="12"/>
      <c r="ED481" s="12"/>
      <c r="EE481" s="12"/>
      <c r="EF481" s="12"/>
      <c r="EG481" s="12"/>
      <c r="EH481" s="12"/>
      <c r="EI481" s="12"/>
      <c r="EJ481" s="574"/>
      <c r="EK481" s="574"/>
      <c r="EL481" s="574"/>
      <c r="EM481" s="574"/>
      <c r="EN481" s="574"/>
      <c r="EO481" s="574"/>
      <c r="EP481" s="574"/>
      <c r="EQ481" s="574"/>
      <c r="ER481" s="574"/>
      <c r="ES481" s="574"/>
      <c r="ET481" s="574"/>
      <c r="EU481" s="574"/>
    </row>
    <row r="482">
      <c r="A482" s="12"/>
      <c r="B482" s="55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  <c r="AZ482" s="12"/>
      <c r="BA482" s="12"/>
      <c r="BB482" s="12"/>
      <c r="BC482" s="12"/>
      <c r="BD482" s="12"/>
      <c r="BE482" s="12"/>
      <c r="BF482" s="12"/>
      <c r="BG482" s="12"/>
      <c r="BH482" s="12"/>
      <c r="BI482" s="12"/>
      <c r="BJ482" s="12"/>
      <c r="BK482" s="12"/>
      <c r="BL482" s="12"/>
      <c r="BM482" s="12"/>
      <c r="BN482" s="12"/>
      <c r="BO482" s="12"/>
      <c r="BP482" s="12"/>
      <c r="BQ482" s="12"/>
      <c r="BR482" s="12"/>
      <c r="BS482" s="12"/>
      <c r="BT482" s="12"/>
      <c r="BU482" s="12"/>
      <c r="BV482" s="12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574"/>
      <c r="EK482" s="574"/>
      <c r="EL482" s="574"/>
      <c r="EM482" s="574"/>
      <c r="EN482" s="574"/>
      <c r="EO482" s="574"/>
      <c r="EP482" s="574"/>
      <c r="EQ482" s="574"/>
      <c r="ER482" s="574"/>
      <c r="ES482" s="574"/>
      <c r="ET482" s="574"/>
      <c r="EU482" s="574"/>
    </row>
    <row r="483">
      <c r="A483" s="12"/>
      <c r="B483" s="55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/>
      <c r="BA483" s="12"/>
      <c r="BB483" s="12"/>
      <c r="BC483" s="12"/>
      <c r="BD483" s="12"/>
      <c r="BE483" s="12"/>
      <c r="BF483" s="12"/>
      <c r="BG483" s="12"/>
      <c r="BH483" s="12"/>
      <c r="BI483" s="12"/>
      <c r="BJ483" s="12"/>
      <c r="BK483" s="12"/>
      <c r="BL483" s="12"/>
      <c r="BM483" s="12"/>
      <c r="BN483" s="12"/>
      <c r="BO483" s="12"/>
      <c r="BP483" s="12"/>
      <c r="BQ483" s="12"/>
      <c r="BR483" s="12"/>
      <c r="BS483" s="12"/>
      <c r="BT483" s="12"/>
      <c r="BU483" s="12"/>
      <c r="BV483" s="12"/>
      <c r="BW483" s="12"/>
      <c r="BX483" s="12"/>
      <c r="BY483" s="12"/>
      <c r="BZ483" s="12"/>
      <c r="CA483" s="12"/>
      <c r="CB483" s="12"/>
      <c r="CC483" s="12"/>
      <c r="CD483" s="12"/>
      <c r="CE483" s="12"/>
      <c r="CF483" s="12"/>
      <c r="CG483" s="12"/>
      <c r="CH483" s="12"/>
      <c r="CI483" s="12"/>
      <c r="CJ483" s="12"/>
      <c r="CK483" s="12"/>
      <c r="CL483" s="12"/>
      <c r="CM483" s="12"/>
      <c r="CN483" s="12"/>
      <c r="CO483" s="12"/>
      <c r="CP483" s="12"/>
      <c r="CQ483" s="12"/>
      <c r="CR483" s="12"/>
      <c r="CS483" s="12"/>
      <c r="CT483" s="12"/>
      <c r="CU483" s="12"/>
      <c r="CV483" s="12"/>
      <c r="CW483" s="12"/>
      <c r="CX483" s="12"/>
      <c r="CY483" s="12"/>
      <c r="CZ483" s="12"/>
      <c r="DA483" s="12"/>
      <c r="DB483" s="12"/>
      <c r="DC483" s="12"/>
      <c r="DD483" s="12"/>
      <c r="DE483" s="12"/>
      <c r="DF483" s="12"/>
      <c r="DG483" s="12"/>
      <c r="DH483" s="12"/>
      <c r="DI483" s="12"/>
      <c r="DJ483" s="12"/>
      <c r="DK483" s="12"/>
      <c r="DL483" s="12"/>
      <c r="DM483" s="12"/>
      <c r="DN483" s="12"/>
      <c r="DO483" s="12"/>
      <c r="DP483" s="12"/>
      <c r="DQ483" s="12"/>
      <c r="DR483" s="12"/>
      <c r="DS483" s="12"/>
      <c r="DT483" s="12"/>
      <c r="DU483" s="12"/>
      <c r="DV483" s="12"/>
      <c r="DW483" s="12"/>
      <c r="DX483" s="12"/>
      <c r="DY483" s="12"/>
      <c r="DZ483" s="12"/>
      <c r="EA483" s="12"/>
      <c r="EB483" s="12"/>
      <c r="EC483" s="12"/>
      <c r="ED483" s="12"/>
      <c r="EE483" s="12"/>
      <c r="EF483" s="12"/>
      <c r="EG483" s="12"/>
      <c r="EH483" s="12"/>
      <c r="EI483" s="12"/>
      <c r="EJ483" s="574"/>
      <c r="EK483" s="574"/>
      <c r="EL483" s="574"/>
      <c r="EM483" s="574"/>
      <c r="EN483" s="574"/>
      <c r="EO483" s="574"/>
      <c r="EP483" s="574"/>
      <c r="EQ483" s="574"/>
      <c r="ER483" s="574"/>
      <c r="ES483" s="574"/>
      <c r="ET483" s="574"/>
      <c r="EU483" s="574"/>
    </row>
    <row r="484">
      <c r="A484" s="12"/>
      <c r="B484" s="55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  <c r="AZ484" s="12"/>
      <c r="BA484" s="12"/>
      <c r="BB484" s="12"/>
      <c r="BC484" s="12"/>
      <c r="BD484" s="12"/>
      <c r="BE484" s="12"/>
      <c r="BF484" s="12"/>
      <c r="BG484" s="12"/>
      <c r="BH484" s="12"/>
      <c r="BI484" s="12"/>
      <c r="BJ484" s="12"/>
      <c r="BK484" s="12"/>
      <c r="BL484" s="12"/>
      <c r="BM484" s="12"/>
      <c r="BN484" s="12"/>
      <c r="BO484" s="12"/>
      <c r="BP484" s="12"/>
      <c r="BQ484" s="12"/>
      <c r="BR484" s="12"/>
      <c r="BS484" s="12"/>
      <c r="BT484" s="12"/>
      <c r="BU484" s="12"/>
      <c r="BV484" s="12"/>
      <c r="BW484" s="12"/>
      <c r="BX484" s="12"/>
      <c r="BY484" s="12"/>
      <c r="BZ484" s="12"/>
      <c r="CA484" s="12"/>
      <c r="CB484" s="12"/>
      <c r="CC484" s="12"/>
      <c r="CD484" s="12"/>
      <c r="CE484" s="12"/>
      <c r="CF484" s="12"/>
      <c r="CG484" s="12"/>
      <c r="CH484" s="12"/>
      <c r="CI484" s="12"/>
      <c r="CJ484" s="12"/>
      <c r="CK484" s="12"/>
      <c r="CL484" s="12"/>
      <c r="CM484" s="12"/>
      <c r="CN484" s="12"/>
      <c r="CO484" s="12"/>
      <c r="CP484" s="12"/>
      <c r="CQ484" s="12"/>
      <c r="CR484" s="12"/>
      <c r="CS484" s="12"/>
      <c r="CT484" s="12"/>
      <c r="CU484" s="12"/>
      <c r="CV484" s="12"/>
      <c r="CW484" s="12"/>
      <c r="CX484" s="12"/>
      <c r="CY484" s="12"/>
      <c r="CZ484" s="12"/>
      <c r="DA484" s="12"/>
      <c r="DB484" s="12"/>
      <c r="DC484" s="12"/>
      <c r="DD484" s="12"/>
      <c r="DE484" s="12"/>
      <c r="DF484" s="12"/>
      <c r="DG484" s="12"/>
      <c r="DH484" s="12"/>
      <c r="DI484" s="12"/>
      <c r="DJ484" s="12"/>
      <c r="DK484" s="12"/>
      <c r="DL484" s="12"/>
      <c r="DM484" s="12"/>
      <c r="DN484" s="12"/>
      <c r="DO484" s="12"/>
      <c r="DP484" s="12"/>
      <c r="DQ484" s="12"/>
      <c r="DR484" s="12"/>
      <c r="DS484" s="12"/>
      <c r="DT484" s="12"/>
      <c r="DU484" s="12"/>
      <c r="DV484" s="12"/>
      <c r="DW484" s="12"/>
      <c r="DX484" s="12"/>
      <c r="DY484" s="12"/>
      <c r="DZ484" s="12"/>
      <c r="EA484" s="12"/>
      <c r="EB484" s="12"/>
      <c r="EC484" s="12"/>
      <c r="ED484" s="12"/>
      <c r="EE484" s="12"/>
      <c r="EF484" s="12"/>
      <c r="EG484" s="12"/>
      <c r="EH484" s="12"/>
      <c r="EI484" s="12"/>
      <c r="EJ484" s="574"/>
      <c r="EK484" s="574"/>
      <c r="EL484" s="574"/>
      <c r="EM484" s="574"/>
      <c r="EN484" s="574"/>
      <c r="EO484" s="574"/>
      <c r="EP484" s="574"/>
      <c r="EQ484" s="574"/>
      <c r="ER484" s="574"/>
      <c r="ES484" s="574"/>
      <c r="ET484" s="574"/>
      <c r="EU484" s="574"/>
    </row>
    <row r="485">
      <c r="A485" s="12"/>
      <c r="B485" s="55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/>
      <c r="BA485" s="12"/>
      <c r="BB485" s="12"/>
      <c r="BC485" s="12"/>
      <c r="BD485" s="12"/>
      <c r="BE485" s="12"/>
      <c r="BF485" s="12"/>
      <c r="BG485" s="12"/>
      <c r="BH485" s="12"/>
      <c r="BI485" s="12"/>
      <c r="BJ485" s="12"/>
      <c r="BK485" s="12"/>
      <c r="BL485" s="12"/>
      <c r="BM485" s="12"/>
      <c r="BN485" s="12"/>
      <c r="BO485" s="12"/>
      <c r="BP485" s="12"/>
      <c r="BQ485" s="12"/>
      <c r="BR485" s="12"/>
      <c r="BS485" s="12"/>
      <c r="BT485" s="12"/>
      <c r="BU485" s="12"/>
      <c r="BV485" s="12"/>
      <c r="BW485" s="12"/>
      <c r="BX485" s="12"/>
      <c r="BY485" s="12"/>
      <c r="BZ485" s="12"/>
      <c r="CA485" s="12"/>
      <c r="CB485" s="12"/>
      <c r="CC485" s="12"/>
      <c r="CD485" s="12"/>
      <c r="CE485" s="12"/>
      <c r="CF485" s="12"/>
      <c r="CG485" s="12"/>
      <c r="CH485" s="12"/>
      <c r="CI485" s="12"/>
      <c r="CJ485" s="12"/>
      <c r="CK485" s="12"/>
      <c r="CL485" s="12"/>
      <c r="CM485" s="12"/>
      <c r="CN485" s="12"/>
      <c r="CO485" s="12"/>
      <c r="CP485" s="12"/>
      <c r="CQ485" s="12"/>
      <c r="CR485" s="12"/>
      <c r="CS485" s="12"/>
      <c r="CT485" s="12"/>
      <c r="CU485" s="12"/>
      <c r="CV485" s="12"/>
      <c r="CW485" s="12"/>
      <c r="CX485" s="12"/>
      <c r="CY485" s="12"/>
      <c r="CZ485" s="12"/>
      <c r="DA485" s="12"/>
      <c r="DB485" s="12"/>
      <c r="DC485" s="12"/>
      <c r="DD485" s="12"/>
      <c r="DE485" s="12"/>
      <c r="DF485" s="12"/>
      <c r="DG485" s="12"/>
      <c r="DH485" s="12"/>
      <c r="DI485" s="12"/>
      <c r="DJ485" s="12"/>
      <c r="DK485" s="12"/>
      <c r="DL485" s="12"/>
      <c r="DM485" s="12"/>
      <c r="DN485" s="12"/>
      <c r="DO485" s="12"/>
      <c r="DP485" s="12"/>
      <c r="DQ485" s="12"/>
      <c r="DR485" s="12"/>
      <c r="DS485" s="12"/>
      <c r="DT485" s="12"/>
      <c r="DU485" s="12"/>
      <c r="DV485" s="12"/>
      <c r="DW485" s="12"/>
      <c r="DX485" s="12"/>
      <c r="DY485" s="12"/>
      <c r="DZ485" s="12"/>
      <c r="EA485" s="12"/>
      <c r="EB485" s="12"/>
      <c r="EC485" s="12"/>
      <c r="ED485" s="12"/>
      <c r="EE485" s="12"/>
      <c r="EF485" s="12"/>
      <c r="EG485" s="12"/>
      <c r="EH485" s="12"/>
      <c r="EI485" s="12"/>
      <c r="EJ485" s="574"/>
      <c r="EK485" s="574"/>
      <c r="EL485" s="574"/>
      <c r="EM485" s="574"/>
      <c r="EN485" s="574"/>
      <c r="EO485" s="574"/>
      <c r="EP485" s="574"/>
      <c r="EQ485" s="574"/>
      <c r="ER485" s="574"/>
      <c r="ES485" s="574"/>
      <c r="ET485" s="574"/>
      <c r="EU485" s="574"/>
    </row>
    <row r="486">
      <c r="A486" s="12"/>
      <c r="B486" s="55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  <c r="AZ486" s="12"/>
      <c r="BA486" s="12"/>
      <c r="BB486" s="12"/>
      <c r="BC486" s="12"/>
      <c r="BD486" s="12"/>
      <c r="BE486" s="12"/>
      <c r="BF486" s="12"/>
      <c r="BG486" s="12"/>
      <c r="BH486" s="12"/>
      <c r="BI486" s="12"/>
      <c r="BJ486" s="12"/>
      <c r="BK486" s="12"/>
      <c r="BL486" s="12"/>
      <c r="BM486" s="12"/>
      <c r="BN486" s="12"/>
      <c r="BO486" s="12"/>
      <c r="BP486" s="12"/>
      <c r="BQ486" s="12"/>
      <c r="BR486" s="12"/>
      <c r="BS486" s="12"/>
      <c r="BT486" s="12"/>
      <c r="BU486" s="12"/>
      <c r="BV486" s="12"/>
      <c r="BW486" s="12"/>
      <c r="BX486" s="12"/>
      <c r="BY486" s="12"/>
      <c r="BZ486" s="12"/>
      <c r="CA486" s="12"/>
      <c r="CB486" s="12"/>
      <c r="CC486" s="12"/>
      <c r="CD486" s="12"/>
      <c r="CE486" s="12"/>
      <c r="CF486" s="12"/>
      <c r="CG486" s="12"/>
      <c r="CH486" s="12"/>
      <c r="CI486" s="12"/>
      <c r="CJ486" s="12"/>
      <c r="CK486" s="12"/>
      <c r="CL486" s="12"/>
      <c r="CM486" s="12"/>
      <c r="CN486" s="12"/>
      <c r="CO486" s="12"/>
      <c r="CP486" s="12"/>
      <c r="CQ486" s="12"/>
      <c r="CR486" s="12"/>
      <c r="CS486" s="12"/>
      <c r="CT486" s="12"/>
      <c r="CU486" s="12"/>
      <c r="CV486" s="12"/>
      <c r="CW486" s="12"/>
      <c r="CX486" s="12"/>
      <c r="CY486" s="12"/>
      <c r="CZ486" s="12"/>
      <c r="DA486" s="12"/>
      <c r="DB486" s="12"/>
      <c r="DC486" s="12"/>
      <c r="DD486" s="12"/>
      <c r="DE486" s="12"/>
      <c r="DF486" s="12"/>
      <c r="DG486" s="12"/>
      <c r="DH486" s="12"/>
      <c r="DI486" s="12"/>
      <c r="DJ486" s="12"/>
      <c r="DK486" s="12"/>
      <c r="DL486" s="12"/>
      <c r="DM486" s="12"/>
      <c r="DN486" s="12"/>
      <c r="DO486" s="12"/>
      <c r="DP486" s="12"/>
      <c r="DQ486" s="12"/>
      <c r="DR486" s="12"/>
      <c r="DS486" s="12"/>
      <c r="DT486" s="12"/>
      <c r="DU486" s="12"/>
      <c r="DV486" s="12"/>
      <c r="DW486" s="12"/>
      <c r="DX486" s="12"/>
      <c r="DY486" s="12"/>
      <c r="DZ486" s="12"/>
      <c r="EA486" s="12"/>
      <c r="EB486" s="12"/>
      <c r="EC486" s="12"/>
      <c r="ED486" s="12"/>
      <c r="EE486" s="12"/>
      <c r="EF486" s="12"/>
      <c r="EG486" s="12"/>
      <c r="EH486" s="12"/>
      <c r="EI486" s="12"/>
      <c r="EJ486" s="574"/>
      <c r="EK486" s="574"/>
      <c r="EL486" s="574"/>
      <c r="EM486" s="574"/>
      <c r="EN486" s="574"/>
      <c r="EO486" s="574"/>
      <c r="EP486" s="574"/>
      <c r="EQ486" s="574"/>
      <c r="ER486" s="574"/>
      <c r="ES486" s="574"/>
      <c r="ET486" s="574"/>
      <c r="EU486" s="574"/>
    </row>
    <row r="487">
      <c r="A487" s="12"/>
      <c r="B487" s="55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  <c r="BA487" s="12"/>
      <c r="BB487" s="12"/>
      <c r="BC487" s="12"/>
      <c r="BD487" s="12"/>
      <c r="BE487" s="12"/>
      <c r="BF487" s="12"/>
      <c r="BG487" s="12"/>
      <c r="BH487" s="12"/>
      <c r="BI487" s="12"/>
      <c r="BJ487" s="12"/>
      <c r="BK487" s="12"/>
      <c r="BL487" s="12"/>
      <c r="BM487" s="12"/>
      <c r="BN487" s="12"/>
      <c r="BO487" s="12"/>
      <c r="BP487" s="12"/>
      <c r="BQ487" s="12"/>
      <c r="BR487" s="12"/>
      <c r="BS487" s="12"/>
      <c r="BT487" s="12"/>
      <c r="BU487" s="12"/>
      <c r="BV487" s="12"/>
      <c r="BW487" s="12"/>
      <c r="BX487" s="12"/>
      <c r="BY487" s="12"/>
      <c r="BZ487" s="12"/>
      <c r="CA487" s="12"/>
      <c r="CB487" s="12"/>
      <c r="CC487" s="12"/>
      <c r="CD487" s="12"/>
      <c r="CE487" s="12"/>
      <c r="CF487" s="12"/>
      <c r="CG487" s="12"/>
      <c r="CH487" s="12"/>
      <c r="CI487" s="12"/>
      <c r="CJ487" s="12"/>
      <c r="CK487" s="12"/>
      <c r="CL487" s="12"/>
      <c r="CM487" s="12"/>
      <c r="CN487" s="12"/>
      <c r="CO487" s="12"/>
      <c r="CP487" s="12"/>
      <c r="CQ487" s="12"/>
      <c r="CR487" s="12"/>
      <c r="CS487" s="12"/>
      <c r="CT487" s="12"/>
      <c r="CU487" s="12"/>
      <c r="CV487" s="12"/>
      <c r="CW487" s="12"/>
      <c r="CX487" s="12"/>
      <c r="CY487" s="12"/>
      <c r="CZ487" s="12"/>
      <c r="DA487" s="12"/>
      <c r="DB487" s="12"/>
      <c r="DC487" s="12"/>
      <c r="DD487" s="12"/>
      <c r="DE487" s="12"/>
      <c r="DF487" s="12"/>
      <c r="DG487" s="12"/>
      <c r="DH487" s="12"/>
      <c r="DI487" s="12"/>
      <c r="DJ487" s="12"/>
      <c r="DK487" s="12"/>
      <c r="DL487" s="12"/>
      <c r="DM487" s="12"/>
      <c r="DN487" s="12"/>
      <c r="DO487" s="12"/>
      <c r="DP487" s="12"/>
      <c r="DQ487" s="12"/>
      <c r="DR487" s="12"/>
      <c r="DS487" s="12"/>
      <c r="DT487" s="12"/>
      <c r="DU487" s="12"/>
      <c r="DV487" s="12"/>
      <c r="DW487" s="12"/>
      <c r="DX487" s="12"/>
      <c r="DY487" s="12"/>
      <c r="DZ487" s="12"/>
      <c r="EA487" s="12"/>
      <c r="EB487" s="12"/>
      <c r="EC487" s="12"/>
      <c r="ED487" s="12"/>
      <c r="EE487" s="12"/>
      <c r="EF487" s="12"/>
      <c r="EG487" s="12"/>
      <c r="EH487" s="12"/>
      <c r="EI487" s="12"/>
      <c r="EJ487" s="574"/>
      <c r="EK487" s="574"/>
      <c r="EL487" s="574"/>
      <c r="EM487" s="574"/>
      <c r="EN487" s="574"/>
      <c r="EO487" s="574"/>
      <c r="EP487" s="574"/>
      <c r="EQ487" s="574"/>
      <c r="ER487" s="574"/>
      <c r="ES487" s="574"/>
      <c r="ET487" s="574"/>
      <c r="EU487" s="574"/>
    </row>
    <row r="488">
      <c r="A488" s="12"/>
      <c r="B488" s="55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  <c r="AZ488" s="12"/>
      <c r="BA488" s="12"/>
      <c r="BB488" s="12"/>
      <c r="BC488" s="12"/>
      <c r="BD488" s="12"/>
      <c r="BE488" s="12"/>
      <c r="BF488" s="12"/>
      <c r="BG488" s="12"/>
      <c r="BH488" s="12"/>
      <c r="BI488" s="12"/>
      <c r="BJ488" s="12"/>
      <c r="BK488" s="12"/>
      <c r="BL488" s="12"/>
      <c r="BM488" s="12"/>
      <c r="BN488" s="12"/>
      <c r="BO488" s="12"/>
      <c r="BP488" s="12"/>
      <c r="BQ488" s="12"/>
      <c r="BR488" s="12"/>
      <c r="BS488" s="12"/>
      <c r="BT488" s="12"/>
      <c r="BU488" s="12"/>
      <c r="BV488" s="12"/>
      <c r="BW488" s="12"/>
      <c r="BX488" s="12"/>
      <c r="BY488" s="12"/>
      <c r="BZ488" s="12"/>
      <c r="CA488" s="12"/>
      <c r="CB488" s="12"/>
      <c r="CC488" s="12"/>
      <c r="CD488" s="12"/>
      <c r="CE488" s="12"/>
      <c r="CF488" s="12"/>
      <c r="CG488" s="12"/>
      <c r="CH488" s="12"/>
      <c r="CI488" s="12"/>
      <c r="CJ488" s="12"/>
      <c r="CK488" s="12"/>
      <c r="CL488" s="12"/>
      <c r="CM488" s="12"/>
      <c r="CN488" s="12"/>
      <c r="CO488" s="12"/>
      <c r="CP488" s="12"/>
      <c r="CQ488" s="12"/>
      <c r="CR488" s="12"/>
      <c r="CS488" s="12"/>
      <c r="CT488" s="12"/>
      <c r="CU488" s="12"/>
      <c r="CV488" s="12"/>
      <c r="CW488" s="12"/>
      <c r="CX488" s="12"/>
      <c r="CY488" s="12"/>
      <c r="CZ488" s="12"/>
      <c r="DA488" s="12"/>
      <c r="DB488" s="12"/>
      <c r="DC488" s="12"/>
      <c r="DD488" s="12"/>
      <c r="DE488" s="12"/>
      <c r="DF488" s="12"/>
      <c r="DG488" s="12"/>
      <c r="DH488" s="12"/>
      <c r="DI488" s="12"/>
      <c r="DJ488" s="12"/>
      <c r="DK488" s="12"/>
      <c r="DL488" s="12"/>
      <c r="DM488" s="12"/>
      <c r="DN488" s="12"/>
      <c r="DO488" s="12"/>
      <c r="DP488" s="12"/>
      <c r="DQ488" s="12"/>
      <c r="DR488" s="12"/>
      <c r="DS488" s="12"/>
      <c r="DT488" s="12"/>
      <c r="DU488" s="12"/>
      <c r="DV488" s="12"/>
      <c r="DW488" s="12"/>
      <c r="DX488" s="12"/>
      <c r="DY488" s="12"/>
      <c r="DZ488" s="12"/>
      <c r="EA488" s="12"/>
      <c r="EB488" s="12"/>
      <c r="EC488" s="12"/>
      <c r="ED488" s="12"/>
      <c r="EE488" s="12"/>
      <c r="EF488" s="12"/>
      <c r="EG488" s="12"/>
      <c r="EH488" s="12"/>
      <c r="EI488" s="12"/>
      <c r="EJ488" s="574"/>
      <c r="EK488" s="574"/>
      <c r="EL488" s="574"/>
      <c r="EM488" s="574"/>
      <c r="EN488" s="574"/>
      <c r="EO488" s="574"/>
      <c r="EP488" s="574"/>
      <c r="EQ488" s="574"/>
      <c r="ER488" s="574"/>
      <c r="ES488" s="574"/>
      <c r="ET488" s="574"/>
      <c r="EU488" s="574"/>
    </row>
    <row r="489">
      <c r="A489" s="12"/>
      <c r="B489" s="55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  <c r="BA489" s="12"/>
      <c r="BB489" s="12"/>
      <c r="BC489" s="12"/>
      <c r="BD489" s="12"/>
      <c r="BE489" s="12"/>
      <c r="BF489" s="12"/>
      <c r="BG489" s="12"/>
      <c r="BH489" s="12"/>
      <c r="BI489" s="12"/>
      <c r="BJ489" s="12"/>
      <c r="BK489" s="12"/>
      <c r="BL489" s="12"/>
      <c r="BM489" s="12"/>
      <c r="BN489" s="12"/>
      <c r="BO489" s="12"/>
      <c r="BP489" s="12"/>
      <c r="BQ489" s="12"/>
      <c r="BR489" s="12"/>
      <c r="BS489" s="12"/>
      <c r="BT489" s="12"/>
      <c r="BU489" s="12"/>
      <c r="BV489" s="12"/>
      <c r="BW489" s="12"/>
      <c r="BX489" s="12"/>
      <c r="BY489" s="12"/>
      <c r="BZ489" s="12"/>
      <c r="CA489" s="12"/>
      <c r="CB489" s="12"/>
      <c r="CC489" s="12"/>
      <c r="CD489" s="12"/>
      <c r="CE489" s="12"/>
      <c r="CF489" s="12"/>
      <c r="CG489" s="12"/>
      <c r="CH489" s="12"/>
      <c r="CI489" s="12"/>
      <c r="CJ489" s="12"/>
      <c r="CK489" s="12"/>
      <c r="CL489" s="12"/>
      <c r="CM489" s="12"/>
      <c r="CN489" s="12"/>
      <c r="CO489" s="12"/>
      <c r="CP489" s="12"/>
      <c r="CQ489" s="12"/>
      <c r="CR489" s="12"/>
      <c r="CS489" s="12"/>
      <c r="CT489" s="12"/>
      <c r="CU489" s="12"/>
      <c r="CV489" s="12"/>
      <c r="CW489" s="12"/>
      <c r="CX489" s="12"/>
      <c r="CY489" s="12"/>
      <c r="CZ489" s="12"/>
      <c r="DA489" s="12"/>
      <c r="DB489" s="12"/>
      <c r="DC489" s="12"/>
      <c r="DD489" s="12"/>
      <c r="DE489" s="12"/>
      <c r="DF489" s="12"/>
      <c r="DG489" s="12"/>
      <c r="DH489" s="12"/>
      <c r="DI489" s="12"/>
      <c r="DJ489" s="12"/>
      <c r="DK489" s="12"/>
      <c r="DL489" s="12"/>
      <c r="DM489" s="12"/>
      <c r="DN489" s="12"/>
      <c r="DO489" s="12"/>
      <c r="DP489" s="12"/>
      <c r="DQ489" s="12"/>
      <c r="DR489" s="12"/>
      <c r="DS489" s="12"/>
      <c r="DT489" s="12"/>
      <c r="DU489" s="12"/>
      <c r="DV489" s="12"/>
      <c r="DW489" s="12"/>
      <c r="DX489" s="12"/>
      <c r="DY489" s="12"/>
      <c r="DZ489" s="12"/>
      <c r="EA489" s="12"/>
      <c r="EB489" s="12"/>
      <c r="EC489" s="12"/>
      <c r="ED489" s="12"/>
      <c r="EE489" s="12"/>
      <c r="EF489" s="12"/>
      <c r="EG489" s="12"/>
      <c r="EH489" s="12"/>
      <c r="EI489" s="12"/>
      <c r="EJ489" s="574"/>
      <c r="EK489" s="574"/>
      <c r="EL489" s="574"/>
      <c r="EM489" s="574"/>
      <c r="EN489" s="574"/>
      <c r="EO489" s="574"/>
      <c r="EP489" s="574"/>
      <c r="EQ489" s="574"/>
      <c r="ER489" s="574"/>
      <c r="ES489" s="574"/>
      <c r="ET489" s="574"/>
      <c r="EU489" s="574"/>
    </row>
    <row r="490">
      <c r="A490" s="12"/>
      <c r="B490" s="55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  <c r="AZ490" s="12"/>
      <c r="BA490" s="12"/>
      <c r="BB490" s="12"/>
      <c r="BC490" s="12"/>
      <c r="BD490" s="12"/>
      <c r="BE490" s="12"/>
      <c r="BF490" s="12"/>
      <c r="BG490" s="12"/>
      <c r="BH490" s="12"/>
      <c r="BI490" s="12"/>
      <c r="BJ490" s="12"/>
      <c r="BK490" s="12"/>
      <c r="BL490" s="12"/>
      <c r="BM490" s="12"/>
      <c r="BN490" s="12"/>
      <c r="BO490" s="12"/>
      <c r="BP490" s="12"/>
      <c r="BQ490" s="12"/>
      <c r="BR490" s="12"/>
      <c r="BS490" s="12"/>
      <c r="BT490" s="12"/>
      <c r="BU490" s="12"/>
      <c r="BV490" s="12"/>
      <c r="BW490" s="12"/>
      <c r="BX490" s="12"/>
      <c r="BY490" s="12"/>
      <c r="BZ490" s="12"/>
      <c r="CA490" s="12"/>
      <c r="CB490" s="12"/>
      <c r="CC490" s="12"/>
      <c r="CD490" s="12"/>
      <c r="CE490" s="12"/>
      <c r="CF490" s="12"/>
      <c r="CG490" s="12"/>
      <c r="CH490" s="12"/>
      <c r="CI490" s="12"/>
      <c r="CJ490" s="12"/>
      <c r="CK490" s="12"/>
      <c r="CL490" s="12"/>
      <c r="CM490" s="12"/>
      <c r="CN490" s="12"/>
      <c r="CO490" s="12"/>
      <c r="CP490" s="12"/>
      <c r="CQ490" s="12"/>
      <c r="CR490" s="12"/>
      <c r="CS490" s="12"/>
      <c r="CT490" s="12"/>
      <c r="CU490" s="12"/>
      <c r="CV490" s="12"/>
      <c r="CW490" s="12"/>
      <c r="CX490" s="12"/>
      <c r="CY490" s="12"/>
      <c r="CZ490" s="12"/>
      <c r="DA490" s="12"/>
      <c r="DB490" s="12"/>
      <c r="DC490" s="12"/>
      <c r="DD490" s="12"/>
      <c r="DE490" s="12"/>
      <c r="DF490" s="12"/>
      <c r="DG490" s="12"/>
      <c r="DH490" s="12"/>
      <c r="DI490" s="12"/>
      <c r="DJ490" s="12"/>
      <c r="DK490" s="12"/>
      <c r="DL490" s="12"/>
      <c r="DM490" s="12"/>
      <c r="DN490" s="12"/>
      <c r="DO490" s="12"/>
      <c r="DP490" s="12"/>
      <c r="DQ490" s="12"/>
      <c r="DR490" s="12"/>
      <c r="DS490" s="12"/>
      <c r="DT490" s="12"/>
      <c r="DU490" s="12"/>
      <c r="DV490" s="12"/>
      <c r="DW490" s="12"/>
      <c r="DX490" s="12"/>
      <c r="DY490" s="12"/>
      <c r="DZ490" s="12"/>
      <c r="EA490" s="12"/>
      <c r="EB490" s="12"/>
      <c r="EC490" s="12"/>
      <c r="ED490" s="12"/>
      <c r="EE490" s="12"/>
      <c r="EF490" s="12"/>
      <c r="EG490" s="12"/>
      <c r="EH490" s="12"/>
      <c r="EI490" s="12"/>
      <c r="EJ490" s="574"/>
      <c r="EK490" s="574"/>
      <c r="EL490" s="574"/>
      <c r="EM490" s="574"/>
      <c r="EN490" s="574"/>
      <c r="EO490" s="574"/>
      <c r="EP490" s="574"/>
      <c r="EQ490" s="574"/>
      <c r="ER490" s="574"/>
      <c r="ES490" s="574"/>
      <c r="ET490" s="574"/>
      <c r="EU490" s="574"/>
    </row>
    <row r="491">
      <c r="A491" s="12"/>
      <c r="B491" s="55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/>
      <c r="BA491" s="12"/>
      <c r="BB491" s="12"/>
      <c r="BC491" s="12"/>
      <c r="BD491" s="12"/>
      <c r="BE491" s="12"/>
      <c r="BF491" s="12"/>
      <c r="BG491" s="12"/>
      <c r="BH491" s="12"/>
      <c r="BI491" s="12"/>
      <c r="BJ491" s="12"/>
      <c r="BK491" s="12"/>
      <c r="BL491" s="12"/>
      <c r="BM491" s="12"/>
      <c r="BN491" s="12"/>
      <c r="BO491" s="12"/>
      <c r="BP491" s="12"/>
      <c r="BQ491" s="12"/>
      <c r="BR491" s="12"/>
      <c r="BS491" s="12"/>
      <c r="BT491" s="12"/>
      <c r="BU491" s="12"/>
      <c r="BV491" s="12"/>
      <c r="BW491" s="12"/>
      <c r="BX491" s="12"/>
      <c r="BY491" s="12"/>
      <c r="BZ491" s="12"/>
      <c r="CA491" s="12"/>
      <c r="CB491" s="12"/>
      <c r="CC491" s="12"/>
      <c r="CD491" s="12"/>
      <c r="CE491" s="12"/>
      <c r="CF491" s="12"/>
      <c r="CG491" s="12"/>
      <c r="CH491" s="12"/>
      <c r="CI491" s="12"/>
      <c r="CJ491" s="12"/>
      <c r="CK491" s="12"/>
      <c r="CL491" s="12"/>
      <c r="CM491" s="12"/>
      <c r="CN491" s="12"/>
      <c r="CO491" s="12"/>
      <c r="CP491" s="12"/>
      <c r="CQ491" s="12"/>
      <c r="CR491" s="12"/>
      <c r="CS491" s="12"/>
      <c r="CT491" s="12"/>
      <c r="CU491" s="12"/>
      <c r="CV491" s="12"/>
      <c r="CW491" s="12"/>
      <c r="CX491" s="12"/>
      <c r="CY491" s="12"/>
      <c r="CZ491" s="12"/>
      <c r="DA491" s="12"/>
      <c r="DB491" s="12"/>
      <c r="DC491" s="12"/>
      <c r="DD491" s="12"/>
      <c r="DE491" s="12"/>
      <c r="DF491" s="12"/>
      <c r="DG491" s="12"/>
      <c r="DH491" s="12"/>
      <c r="DI491" s="12"/>
      <c r="DJ491" s="12"/>
      <c r="DK491" s="12"/>
      <c r="DL491" s="12"/>
      <c r="DM491" s="12"/>
      <c r="DN491" s="12"/>
      <c r="DO491" s="12"/>
      <c r="DP491" s="12"/>
      <c r="DQ491" s="12"/>
      <c r="DR491" s="12"/>
      <c r="DS491" s="12"/>
      <c r="DT491" s="12"/>
      <c r="DU491" s="12"/>
      <c r="DV491" s="12"/>
      <c r="DW491" s="12"/>
      <c r="DX491" s="12"/>
      <c r="DY491" s="12"/>
      <c r="DZ491" s="12"/>
      <c r="EA491" s="12"/>
      <c r="EB491" s="12"/>
      <c r="EC491" s="12"/>
      <c r="ED491" s="12"/>
      <c r="EE491" s="12"/>
      <c r="EF491" s="12"/>
      <c r="EG491" s="12"/>
      <c r="EH491" s="12"/>
      <c r="EI491" s="12"/>
      <c r="EJ491" s="574"/>
      <c r="EK491" s="574"/>
      <c r="EL491" s="574"/>
      <c r="EM491" s="574"/>
      <c r="EN491" s="574"/>
      <c r="EO491" s="574"/>
      <c r="EP491" s="574"/>
      <c r="EQ491" s="574"/>
      <c r="ER491" s="574"/>
      <c r="ES491" s="574"/>
      <c r="ET491" s="574"/>
      <c r="EU491" s="574"/>
    </row>
    <row r="492">
      <c r="A492" s="12"/>
      <c r="B492" s="55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  <c r="BA492" s="12"/>
      <c r="BB492" s="12"/>
      <c r="BC492" s="12"/>
      <c r="BD492" s="12"/>
      <c r="BE492" s="12"/>
      <c r="BF492" s="12"/>
      <c r="BG492" s="12"/>
      <c r="BH492" s="12"/>
      <c r="BI492" s="12"/>
      <c r="BJ492" s="12"/>
      <c r="BK492" s="12"/>
      <c r="BL492" s="12"/>
      <c r="BM492" s="12"/>
      <c r="BN492" s="12"/>
      <c r="BO492" s="12"/>
      <c r="BP492" s="12"/>
      <c r="BQ492" s="12"/>
      <c r="BR492" s="12"/>
      <c r="BS492" s="12"/>
      <c r="BT492" s="12"/>
      <c r="BU492" s="12"/>
      <c r="BV492" s="12"/>
      <c r="BW492" s="12"/>
      <c r="BX492" s="12"/>
      <c r="BY492" s="12"/>
      <c r="BZ492" s="12"/>
      <c r="CA492" s="12"/>
      <c r="CB492" s="12"/>
      <c r="CC492" s="12"/>
      <c r="CD492" s="12"/>
      <c r="CE492" s="12"/>
      <c r="CF492" s="12"/>
      <c r="CG492" s="12"/>
      <c r="CH492" s="12"/>
      <c r="CI492" s="12"/>
      <c r="CJ492" s="12"/>
      <c r="CK492" s="12"/>
      <c r="CL492" s="12"/>
      <c r="CM492" s="12"/>
      <c r="CN492" s="12"/>
      <c r="CO492" s="12"/>
      <c r="CP492" s="12"/>
      <c r="CQ492" s="12"/>
      <c r="CR492" s="12"/>
      <c r="CS492" s="12"/>
      <c r="CT492" s="12"/>
      <c r="CU492" s="12"/>
      <c r="CV492" s="12"/>
      <c r="CW492" s="12"/>
      <c r="CX492" s="12"/>
      <c r="CY492" s="12"/>
      <c r="CZ492" s="12"/>
      <c r="DA492" s="12"/>
      <c r="DB492" s="12"/>
      <c r="DC492" s="12"/>
      <c r="DD492" s="12"/>
      <c r="DE492" s="12"/>
      <c r="DF492" s="12"/>
      <c r="DG492" s="12"/>
      <c r="DH492" s="12"/>
      <c r="DI492" s="12"/>
      <c r="DJ492" s="12"/>
      <c r="DK492" s="12"/>
      <c r="DL492" s="12"/>
      <c r="DM492" s="12"/>
      <c r="DN492" s="12"/>
      <c r="DO492" s="12"/>
      <c r="DP492" s="12"/>
      <c r="DQ492" s="12"/>
      <c r="DR492" s="12"/>
      <c r="DS492" s="12"/>
      <c r="DT492" s="12"/>
      <c r="DU492" s="12"/>
      <c r="DV492" s="12"/>
      <c r="DW492" s="12"/>
      <c r="DX492" s="12"/>
      <c r="DY492" s="12"/>
      <c r="DZ492" s="12"/>
      <c r="EA492" s="12"/>
      <c r="EB492" s="12"/>
      <c r="EC492" s="12"/>
      <c r="ED492" s="12"/>
      <c r="EE492" s="12"/>
      <c r="EF492" s="12"/>
      <c r="EG492" s="12"/>
      <c r="EH492" s="12"/>
      <c r="EI492" s="12"/>
      <c r="EJ492" s="574"/>
      <c r="EK492" s="574"/>
      <c r="EL492" s="574"/>
      <c r="EM492" s="574"/>
      <c r="EN492" s="574"/>
      <c r="EO492" s="574"/>
      <c r="EP492" s="574"/>
      <c r="EQ492" s="574"/>
      <c r="ER492" s="574"/>
      <c r="ES492" s="574"/>
      <c r="ET492" s="574"/>
      <c r="EU492" s="574"/>
    </row>
    <row r="493">
      <c r="A493" s="12"/>
      <c r="B493" s="55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/>
      <c r="BA493" s="12"/>
      <c r="BB493" s="12"/>
      <c r="BC493" s="12"/>
      <c r="BD493" s="12"/>
      <c r="BE493" s="12"/>
      <c r="BF493" s="12"/>
      <c r="BG493" s="12"/>
      <c r="BH493" s="12"/>
      <c r="BI493" s="12"/>
      <c r="BJ493" s="12"/>
      <c r="BK493" s="12"/>
      <c r="BL493" s="12"/>
      <c r="BM493" s="12"/>
      <c r="BN493" s="12"/>
      <c r="BO493" s="12"/>
      <c r="BP493" s="12"/>
      <c r="BQ493" s="12"/>
      <c r="BR493" s="12"/>
      <c r="BS493" s="12"/>
      <c r="BT493" s="12"/>
      <c r="BU493" s="12"/>
      <c r="BV493" s="12"/>
      <c r="BW493" s="12"/>
      <c r="BX493" s="12"/>
      <c r="BY493" s="12"/>
      <c r="BZ493" s="12"/>
      <c r="CA493" s="12"/>
      <c r="CB493" s="12"/>
      <c r="CC493" s="12"/>
      <c r="CD493" s="12"/>
      <c r="CE493" s="12"/>
      <c r="CF493" s="12"/>
      <c r="CG493" s="12"/>
      <c r="CH493" s="12"/>
      <c r="CI493" s="12"/>
      <c r="CJ493" s="12"/>
      <c r="CK493" s="12"/>
      <c r="CL493" s="12"/>
      <c r="CM493" s="12"/>
      <c r="CN493" s="12"/>
      <c r="CO493" s="12"/>
      <c r="CP493" s="12"/>
      <c r="CQ493" s="12"/>
      <c r="CR493" s="12"/>
      <c r="CS493" s="12"/>
      <c r="CT493" s="12"/>
      <c r="CU493" s="12"/>
      <c r="CV493" s="12"/>
      <c r="CW493" s="12"/>
      <c r="CX493" s="12"/>
      <c r="CY493" s="12"/>
      <c r="CZ493" s="12"/>
      <c r="DA493" s="12"/>
      <c r="DB493" s="12"/>
      <c r="DC493" s="12"/>
      <c r="DD493" s="12"/>
      <c r="DE493" s="12"/>
      <c r="DF493" s="12"/>
      <c r="DG493" s="12"/>
      <c r="DH493" s="12"/>
      <c r="DI493" s="12"/>
      <c r="DJ493" s="12"/>
      <c r="DK493" s="12"/>
      <c r="DL493" s="12"/>
      <c r="DM493" s="12"/>
      <c r="DN493" s="12"/>
      <c r="DO493" s="12"/>
      <c r="DP493" s="12"/>
      <c r="DQ493" s="12"/>
      <c r="DR493" s="12"/>
      <c r="DS493" s="12"/>
      <c r="DT493" s="12"/>
      <c r="DU493" s="12"/>
      <c r="DV493" s="12"/>
      <c r="DW493" s="12"/>
      <c r="DX493" s="12"/>
      <c r="DY493" s="12"/>
      <c r="DZ493" s="12"/>
      <c r="EA493" s="12"/>
      <c r="EB493" s="12"/>
      <c r="EC493" s="12"/>
      <c r="ED493" s="12"/>
      <c r="EE493" s="12"/>
      <c r="EF493" s="12"/>
      <c r="EG493" s="12"/>
      <c r="EH493" s="12"/>
      <c r="EI493" s="12"/>
      <c r="EJ493" s="574"/>
      <c r="EK493" s="574"/>
      <c r="EL493" s="574"/>
      <c r="EM493" s="574"/>
      <c r="EN493" s="574"/>
      <c r="EO493" s="574"/>
      <c r="EP493" s="574"/>
      <c r="EQ493" s="574"/>
      <c r="ER493" s="574"/>
      <c r="ES493" s="574"/>
      <c r="ET493" s="574"/>
      <c r="EU493" s="574"/>
    </row>
    <row r="494">
      <c r="A494" s="12"/>
      <c r="B494" s="55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  <c r="BA494" s="12"/>
      <c r="BB494" s="12"/>
      <c r="BC494" s="12"/>
      <c r="BD494" s="12"/>
      <c r="BE494" s="12"/>
      <c r="BF494" s="12"/>
      <c r="BG494" s="12"/>
      <c r="BH494" s="12"/>
      <c r="BI494" s="12"/>
      <c r="BJ494" s="12"/>
      <c r="BK494" s="12"/>
      <c r="BL494" s="12"/>
      <c r="BM494" s="12"/>
      <c r="BN494" s="12"/>
      <c r="BO494" s="12"/>
      <c r="BP494" s="12"/>
      <c r="BQ494" s="12"/>
      <c r="BR494" s="12"/>
      <c r="BS494" s="12"/>
      <c r="BT494" s="12"/>
      <c r="BU494" s="12"/>
      <c r="BV494" s="12"/>
      <c r="BW494" s="12"/>
      <c r="BX494" s="12"/>
      <c r="BY494" s="12"/>
      <c r="BZ494" s="12"/>
      <c r="CA494" s="12"/>
      <c r="CB494" s="12"/>
      <c r="CC494" s="12"/>
      <c r="CD494" s="12"/>
      <c r="CE494" s="12"/>
      <c r="CF494" s="12"/>
      <c r="CG494" s="12"/>
      <c r="CH494" s="12"/>
      <c r="CI494" s="12"/>
      <c r="CJ494" s="12"/>
      <c r="CK494" s="12"/>
      <c r="CL494" s="12"/>
      <c r="CM494" s="12"/>
      <c r="CN494" s="12"/>
      <c r="CO494" s="12"/>
      <c r="CP494" s="12"/>
      <c r="CQ494" s="12"/>
      <c r="CR494" s="12"/>
      <c r="CS494" s="12"/>
      <c r="CT494" s="12"/>
      <c r="CU494" s="12"/>
      <c r="CV494" s="12"/>
      <c r="CW494" s="12"/>
      <c r="CX494" s="12"/>
      <c r="CY494" s="12"/>
      <c r="CZ494" s="12"/>
      <c r="DA494" s="12"/>
      <c r="DB494" s="12"/>
      <c r="DC494" s="12"/>
      <c r="DD494" s="12"/>
      <c r="DE494" s="12"/>
      <c r="DF494" s="12"/>
      <c r="DG494" s="12"/>
      <c r="DH494" s="12"/>
      <c r="DI494" s="12"/>
      <c r="DJ494" s="12"/>
      <c r="DK494" s="12"/>
      <c r="DL494" s="12"/>
      <c r="DM494" s="12"/>
      <c r="DN494" s="12"/>
      <c r="DO494" s="12"/>
      <c r="DP494" s="12"/>
      <c r="DQ494" s="12"/>
      <c r="DR494" s="12"/>
      <c r="DS494" s="12"/>
      <c r="DT494" s="12"/>
      <c r="DU494" s="12"/>
      <c r="DV494" s="12"/>
      <c r="DW494" s="12"/>
      <c r="DX494" s="12"/>
      <c r="DY494" s="12"/>
      <c r="DZ494" s="12"/>
      <c r="EA494" s="12"/>
      <c r="EB494" s="12"/>
      <c r="EC494" s="12"/>
      <c r="ED494" s="12"/>
      <c r="EE494" s="12"/>
      <c r="EF494" s="12"/>
      <c r="EG494" s="12"/>
      <c r="EH494" s="12"/>
      <c r="EI494" s="12"/>
      <c r="EJ494" s="574"/>
      <c r="EK494" s="574"/>
      <c r="EL494" s="574"/>
      <c r="EM494" s="574"/>
      <c r="EN494" s="574"/>
      <c r="EO494" s="574"/>
      <c r="EP494" s="574"/>
      <c r="EQ494" s="574"/>
      <c r="ER494" s="574"/>
      <c r="ES494" s="574"/>
      <c r="ET494" s="574"/>
      <c r="EU494" s="574"/>
    </row>
    <row r="495">
      <c r="A495" s="12"/>
      <c r="B495" s="55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  <c r="AZ495" s="12"/>
      <c r="BA495" s="12"/>
      <c r="BB495" s="12"/>
      <c r="BC495" s="12"/>
      <c r="BD495" s="12"/>
      <c r="BE495" s="12"/>
      <c r="BF495" s="12"/>
      <c r="BG495" s="12"/>
      <c r="BH495" s="12"/>
      <c r="BI495" s="12"/>
      <c r="BJ495" s="12"/>
      <c r="BK495" s="12"/>
      <c r="BL495" s="12"/>
      <c r="BM495" s="12"/>
      <c r="BN495" s="12"/>
      <c r="BO495" s="12"/>
      <c r="BP495" s="12"/>
      <c r="BQ495" s="12"/>
      <c r="BR495" s="12"/>
      <c r="BS495" s="12"/>
      <c r="BT495" s="12"/>
      <c r="BU495" s="12"/>
      <c r="BV495" s="12"/>
      <c r="BW495" s="12"/>
      <c r="BX495" s="12"/>
      <c r="BY495" s="12"/>
      <c r="BZ495" s="12"/>
      <c r="CA495" s="12"/>
      <c r="CB495" s="12"/>
      <c r="CC495" s="12"/>
      <c r="CD495" s="12"/>
      <c r="CE495" s="12"/>
      <c r="CF495" s="12"/>
      <c r="CG495" s="12"/>
      <c r="CH495" s="12"/>
      <c r="CI495" s="12"/>
      <c r="CJ495" s="12"/>
      <c r="CK495" s="12"/>
      <c r="CL495" s="12"/>
      <c r="CM495" s="12"/>
      <c r="CN495" s="12"/>
      <c r="CO495" s="12"/>
      <c r="CP495" s="12"/>
      <c r="CQ495" s="12"/>
      <c r="CR495" s="12"/>
      <c r="CS495" s="12"/>
      <c r="CT495" s="12"/>
      <c r="CU495" s="12"/>
      <c r="CV495" s="12"/>
      <c r="CW495" s="12"/>
      <c r="CX495" s="12"/>
      <c r="CY495" s="12"/>
      <c r="CZ495" s="12"/>
      <c r="DA495" s="12"/>
      <c r="DB495" s="12"/>
      <c r="DC495" s="12"/>
      <c r="DD495" s="12"/>
      <c r="DE495" s="12"/>
      <c r="DF495" s="12"/>
      <c r="DG495" s="12"/>
      <c r="DH495" s="12"/>
      <c r="DI495" s="12"/>
      <c r="DJ495" s="12"/>
      <c r="DK495" s="12"/>
      <c r="DL495" s="12"/>
      <c r="DM495" s="12"/>
      <c r="DN495" s="12"/>
      <c r="DO495" s="12"/>
      <c r="DP495" s="12"/>
      <c r="DQ495" s="12"/>
      <c r="DR495" s="12"/>
      <c r="DS495" s="12"/>
      <c r="DT495" s="12"/>
      <c r="DU495" s="12"/>
      <c r="DV495" s="12"/>
      <c r="DW495" s="12"/>
      <c r="DX495" s="12"/>
      <c r="DY495" s="12"/>
      <c r="DZ495" s="12"/>
      <c r="EA495" s="12"/>
      <c r="EB495" s="12"/>
      <c r="EC495" s="12"/>
      <c r="ED495" s="12"/>
      <c r="EE495" s="12"/>
      <c r="EF495" s="12"/>
      <c r="EG495" s="12"/>
      <c r="EH495" s="12"/>
      <c r="EI495" s="12"/>
      <c r="EJ495" s="574"/>
      <c r="EK495" s="574"/>
      <c r="EL495" s="574"/>
      <c r="EM495" s="574"/>
      <c r="EN495" s="574"/>
      <c r="EO495" s="574"/>
      <c r="EP495" s="574"/>
      <c r="EQ495" s="574"/>
      <c r="ER495" s="574"/>
      <c r="ES495" s="574"/>
      <c r="ET495" s="574"/>
      <c r="EU495" s="574"/>
    </row>
    <row r="496">
      <c r="A496" s="12"/>
      <c r="B496" s="55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  <c r="AZ496" s="12"/>
      <c r="BA496" s="12"/>
      <c r="BB496" s="12"/>
      <c r="BC496" s="12"/>
      <c r="BD496" s="12"/>
      <c r="BE496" s="12"/>
      <c r="BF496" s="12"/>
      <c r="BG496" s="12"/>
      <c r="BH496" s="12"/>
      <c r="BI496" s="12"/>
      <c r="BJ496" s="12"/>
      <c r="BK496" s="12"/>
      <c r="BL496" s="12"/>
      <c r="BM496" s="12"/>
      <c r="BN496" s="12"/>
      <c r="BO496" s="12"/>
      <c r="BP496" s="12"/>
      <c r="BQ496" s="12"/>
      <c r="BR496" s="12"/>
      <c r="BS496" s="12"/>
      <c r="BT496" s="12"/>
      <c r="BU496" s="12"/>
      <c r="BV496" s="12"/>
      <c r="BW496" s="12"/>
      <c r="BX496" s="12"/>
      <c r="BY496" s="12"/>
      <c r="BZ496" s="12"/>
      <c r="CA496" s="12"/>
      <c r="CB496" s="12"/>
      <c r="CC496" s="12"/>
      <c r="CD496" s="12"/>
      <c r="CE496" s="12"/>
      <c r="CF496" s="12"/>
      <c r="CG496" s="12"/>
      <c r="CH496" s="12"/>
      <c r="CI496" s="12"/>
      <c r="CJ496" s="12"/>
      <c r="CK496" s="12"/>
      <c r="CL496" s="12"/>
      <c r="CM496" s="12"/>
      <c r="CN496" s="12"/>
      <c r="CO496" s="12"/>
      <c r="CP496" s="12"/>
      <c r="CQ496" s="12"/>
      <c r="CR496" s="12"/>
      <c r="CS496" s="12"/>
      <c r="CT496" s="12"/>
      <c r="CU496" s="12"/>
      <c r="CV496" s="12"/>
      <c r="CW496" s="12"/>
      <c r="CX496" s="12"/>
      <c r="CY496" s="12"/>
      <c r="CZ496" s="12"/>
      <c r="DA496" s="12"/>
      <c r="DB496" s="12"/>
      <c r="DC496" s="12"/>
      <c r="DD496" s="12"/>
      <c r="DE496" s="12"/>
      <c r="DF496" s="12"/>
      <c r="DG496" s="12"/>
      <c r="DH496" s="12"/>
      <c r="DI496" s="12"/>
      <c r="DJ496" s="12"/>
      <c r="DK496" s="12"/>
      <c r="DL496" s="12"/>
      <c r="DM496" s="12"/>
      <c r="DN496" s="12"/>
      <c r="DO496" s="12"/>
      <c r="DP496" s="12"/>
      <c r="DQ496" s="12"/>
      <c r="DR496" s="12"/>
      <c r="DS496" s="12"/>
      <c r="DT496" s="12"/>
      <c r="DU496" s="12"/>
      <c r="DV496" s="12"/>
      <c r="DW496" s="12"/>
      <c r="DX496" s="12"/>
      <c r="DY496" s="12"/>
      <c r="DZ496" s="12"/>
      <c r="EA496" s="12"/>
      <c r="EB496" s="12"/>
      <c r="EC496" s="12"/>
      <c r="ED496" s="12"/>
      <c r="EE496" s="12"/>
      <c r="EF496" s="12"/>
      <c r="EG496" s="12"/>
      <c r="EH496" s="12"/>
      <c r="EI496" s="12"/>
      <c r="EJ496" s="574"/>
      <c r="EK496" s="574"/>
      <c r="EL496" s="574"/>
      <c r="EM496" s="574"/>
      <c r="EN496" s="574"/>
      <c r="EO496" s="574"/>
      <c r="EP496" s="574"/>
      <c r="EQ496" s="574"/>
      <c r="ER496" s="574"/>
      <c r="ES496" s="574"/>
      <c r="ET496" s="574"/>
      <c r="EU496" s="574"/>
    </row>
    <row r="497">
      <c r="A497" s="12"/>
      <c r="B497" s="55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/>
      <c r="BA497" s="12"/>
      <c r="BB497" s="12"/>
      <c r="BC497" s="12"/>
      <c r="BD497" s="12"/>
      <c r="BE497" s="12"/>
      <c r="BF497" s="12"/>
      <c r="BG497" s="12"/>
      <c r="BH497" s="12"/>
      <c r="BI497" s="12"/>
      <c r="BJ497" s="12"/>
      <c r="BK497" s="12"/>
      <c r="BL497" s="12"/>
      <c r="BM497" s="12"/>
      <c r="BN497" s="12"/>
      <c r="BO497" s="12"/>
      <c r="BP497" s="12"/>
      <c r="BQ497" s="12"/>
      <c r="BR497" s="12"/>
      <c r="BS497" s="12"/>
      <c r="BT497" s="12"/>
      <c r="BU497" s="12"/>
      <c r="BV497" s="12"/>
      <c r="BW497" s="12"/>
      <c r="BX497" s="12"/>
      <c r="BY497" s="12"/>
      <c r="BZ497" s="12"/>
      <c r="CA497" s="12"/>
      <c r="CB497" s="12"/>
      <c r="CC497" s="12"/>
      <c r="CD497" s="12"/>
      <c r="CE497" s="12"/>
      <c r="CF497" s="12"/>
      <c r="CG497" s="12"/>
      <c r="CH497" s="12"/>
      <c r="CI497" s="12"/>
      <c r="CJ497" s="12"/>
      <c r="CK497" s="12"/>
      <c r="CL497" s="12"/>
      <c r="CM497" s="12"/>
      <c r="CN497" s="12"/>
      <c r="CO497" s="12"/>
      <c r="CP497" s="12"/>
      <c r="CQ497" s="12"/>
      <c r="CR497" s="12"/>
      <c r="CS497" s="12"/>
      <c r="CT497" s="12"/>
      <c r="CU497" s="12"/>
      <c r="CV497" s="12"/>
      <c r="CW497" s="12"/>
      <c r="CX497" s="12"/>
      <c r="CY497" s="12"/>
      <c r="CZ497" s="12"/>
      <c r="DA497" s="12"/>
      <c r="DB497" s="12"/>
      <c r="DC497" s="12"/>
      <c r="DD497" s="12"/>
      <c r="DE497" s="12"/>
      <c r="DF497" s="12"/>
      <c r="DG497" s="12"/>
      <c r="DH497" s="12"/>
      <c r="DI497" s="12"/>
      <c r="DJ497" s="12"/>
      <c r="DK497" s="12"/>
      <c r="DL497" s="12"/>
      <c r="DM497" s="12"/>
      <c r="DN497" s="12"/>
      <c r="DO497" s="12"/>
      <c r="DP497" s="12"/>
      <c r="DQ497" s="12"/>
      <c r="DR497" s="12"/>
      <c r="DS497" s="12"/>
      <c r="DT497" s="12"/>
      <c r="DU497" s="12"/>
      <c r="DV497" s="12"/>
      <c r="DW497" s="12"/>
      <c r="DX497" s="12"/>
      <c r="DY497" s="12"/>
      <c r="DZ497" s="12"/>
      <c r="EA497" s="12"/>
      <c r="EB497" s="12"/>
      <c r="EC497" s="12"/>
      <c r="ED497" s="12"/>
      <c r="EE497" s="12"/>
      <c r="EF497" s="12"/>
      <c r="EG497" s="12"/>
      <c r="EH497" s="12"/>
      <c r="EI497" s="12"/>
      <c r="EJ497" s="574"/>
      <c r="EK497" s="574"/>
      <c r="EL497" s="574"/>
      <c r="EM497" s="574"/>
      <c r="EN497" s="574"/>
      <c r="EO497" s="574"/>
      <c r="EP497" s="574"/>
      <c r="EQ497" s="574"/>
      <c r="ER497" s="574"/>
      <c r="ES497" s="574"/>
      <c r="ET497" s="574"/>
      <c r="EU497" s="574"/>
    </row>
    <row r="498">
      <c r="A498" s="12"/>
      <c r="B498" s="55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  <c r="BA498" s="12"/>
      <c r="BB498" s="12"/>
      <c r="BC498" s="12"/>
      <c r="BD498" s="12"/>
      <c r="BE498" s="12"/>
      <c r="BF498" s="12"/>
      <c r="BG498" s="12"/>
      <c r="BH498" s="12"/>
      <c r="BI498" s="12"/>
      <c r="BJ498" s="12"/>
      <c r="BK498" s="12"/>
      <c r="BL498" s="12"/>
      <c r="BM498" s="12"/>
      <c r="BN498" s="12"/>
      <c r="BO498" s="12"/>
      <c r="BP498" s="12"/>
      <c r="BQ498" s="12"/>
      <c r="BR498" s="12"/>
      <c r="BS498" s="12"/>
      <c r="BT498" s="12"/>
      <c r="BU498" s="12"/>
      <c r="BV498" s="12"/>
      <c r="BW498" s="12"/>
      <c r="BX498" s="12"/>
      <c r="BY498" s="12"/>
      <c r="BZ498" s="12"/>
      <c r="CA498" s="12"/>
      <c r="CB498" s="12"/>
      <c r="CC498" s="12"/>
      <c r="CD498" s="12"/>
      <c r="CE498" s="12"/>
      <c r="CF498" s="12"/>
      <c r="CG498" s="12"/>
      <c r="CH498" s="12"/>
      <c r="CI498" s="12"/>
      <c r="CJ498" s="12"/>
      <c r="CK498" s="12"/>
      <c r="CL498" s="12"/>
      <c r="CM498" s="12"/>
      <c r="CN498" s="12"/>
      <c r="CO498" s="12"/>
      <c r="CP498" s="12"/>
      <c r="CQ498" s="12"/>
      <c r="CR498" s="12"/>
      <c r="CS498" s="12"/>
      <c r="CT498" s="12"/>
      <c r="CU498" s="12"/>
      <c r="CV498" s="12"/>
      <c r="CW498" s="12"/>
      <c r="CX498" s="12"/>
      <c r="CY498" s="12"/>
      <c r="CZ498" s="12"/>
      <c r="DA498" s="12"/>
      <c r="DB498" s="12"/>
      <c r="DC498" s="12"/>
      <c r="DD498" s="12"/>
      <c r="DE498" s="12"/>
      <c r="DF498" s="12"/>
      <c r="DG498" s="12"/>
      <c r="DH498" s="12"/>
      <c r="DI498" s="12"/>
      <c r="DJ498" s="12"/>
      <c r="DK498" s="12"/>
      <c r="DL498" s="12"/>
      <c r="DM498" s="12"/>
      <c r="DN498" s="12"/>
      <c r="DO498" s="12"/>
      <c r="DP498" s="12"/>
      <c r="DQ498" s="12"/>
      <c r="DR498" s="12"/>
      <c r="DS498" s="12"/>
      <c r="DT498" s="12"/>
      <c r="DU498" s="12"/>
      <c r="DV498" s="12"/>
      <c r="DW498" s="12"/>
      <c r="DX498" s="12"/>
      <c r="DY498" s="12"/>
      <c r="DZ498" s="12"/>
      <c r="EA498" s="12"/>
      <c r="EB498" s="12"/>
      <c r="EC498" s="12"/>
      <c r="ED498" s="12"/>
      <c r="EE498" s="12"/>
      <c r="EF498" s="12"/>
      <c r="EG498" s="12"/>
      <c r="EH498" s="12"/>
      <c r="EI498" s="12"/>
      <c r="EJ498" s="574"/>
      <c r="EK498" s="574"/>
      <c r="EL498" s="574"/>
      <c r="EM498" s="574"/>
      <c r="EN498" s="574"/>
      <c r="EO498" s="574"/>
      <c r="EP498" s="574"/>
      <c r="EQ498" s="574"/>
      <c r="ER498" s="574"/>
      <c r="ES498" s="574"/>
      <c r="ET498" s="574"/>
      <c r="EU498" s="574"/>
    </row>
    <row r="499">
      <c r="A499" s="12"/>
      <c r="B499" s="55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/>
      <c r="BA499" s="12"/>
      <c r="BB499" s="12"/>
      <c r="BC499" s="12"/>
      <c r="BD499" s="12"/>
      <c r="BE499" s="12"/>
      <c r="BF499" s="12"/>
      <c r="BG499" s="12"/>
      <c r="BH499" s="12"/>
      <c r="BI499" s="12"/>
      <c r="BJ499" s="12"/>
      <c r="BK499" s="12"/>
      <c r="BL499" s="12"/>
      <c r="BM499" s="12"/>
      <c r="BN499" s="12"/>
      <c r="BO499" s="12"/>
      <c r="BP499" s="12"/>
      <c r="BQ499" s="12"/>
      <c r="BR499" s="12"/>
      <c r="BS499" s="12"/>
      <c r="BT499" s="12"/>
      <c r="BU499" s="12"/>
      <c r="BV499" s="12"/>
      <c r="BW499" s="12"/>
      <c r="BX499" s="12"/>
      <c r="BY499" s="12"/>
      <c r="BZ499" s="12"/>
      <c r="CA499" s="12"/>
      <c r="CB499" s="12"/>
      <c r="CC499" s="12"/>
      <c r="CD499" s="12"/>
      <c r="CE499" s="12"/>
      <c r="CF499" s="12"/>
      <c r="CG499" s="12"/>
      <c r="CH499" s="12"/>
      <c r="CI499" s="12"/>
      <c r="CJ499" s="12"/>
      <c r="CK499" s="12"/>
      <c r="CL499" s="12"/>
      <c r="CM499" s="12"/>
      <c r="CN499" s="12"/>
      <c r="CO499" s="12"/>
      <c r="CP499" s="12"/>
      <c r="CQ499" s="12"/>
      <c r="CR499" s="12"/>
      <c r="CS499" s="12"/>
      <c r="CT499" s="12"/>
      <c r="CU499" s="12"/>
      <c r="CV499" s="12"/>
      <c r="CW499" s="12"/>
      <c r="CX499" s="12"/>
      <c r="CY499" s="12"/>
      <c r="CZ499" s="12"/>
      <c r="DA499" s="12"/>
      <c r="DB499" s="12"/>
      <c r="DC499" s="12"/>
      <c r="DD499" s="12"/>
      <c r="DE499" s="12"/>
      <c r="DF499" s="12"/>
      <c r="DG499" s="12"/>
      <c r="DH499" s="12"/>
      <c r="DI499" s="12"/>
      <c r="DJ499" s="12"/>
      <c r="DK499" s="12"/>
      <c r="DL499" s="12"/>
      <c r="DM499" s="12"/>
      <c r="DN499" s="12"/>
      <c r="DO499" s="12"/>
      <c r="DP499" s="12"/>
      <c r="DQ499" s="12"/>
      <c r="DR499" s="12"/>
      <c r="DS499" s="12"/>
      <c r="DT499" s="12"/>
      <c r="DU499" s="12"/>
      <c r="DV499" s="12"/>
      <c r="DW499" s="12"/>
      <c r="DX499" s="12"/>
      <c r="DY499" s="12"/>
      <c r="DZ499" s="12"/>
      <c r="EA499" s="12"/>
      <c r="EB499" s="12"/>
      <c r="EC499" s="12"/>
      <c r="ED499" s="12"/>
      <c r="EE499" s="12"/>
      <c r="EF499" s="12"/>
      <c r="EG499" s="12"/>
      <c r="EH499" s="12"/>
      <c r="EI499" s="12"/>
      <c r="EJ499" s="574"/>
      <c r="EK499" s="574"/>
      <c r="EL499" s="574"/>
      <c r="EM499" s="574"/>
      <c r="EN499" s="574"/>
      <c r="EO499" s="574"/>
      <c r="EP499" s="574"/>
      <c r="EQ499" s="574"/>
      <c r="ER499" s="574"/>
      <c r="ES499" s="574"/>
      <c r="ET499" s="574"/>
      <c r="EU499" s="574"/>
    </row>
    <row r="500">
      <c r="A500" s="12"/>
      <c r="B500" s="55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  <c r="AZ500" s="12"/>
      <c r="BA500" s="12"/>
      <c r="BB500" s="12"/>
      <c r="BC500" s="12"/>
      <c r="BD500" s="12"/>
      <c r="BE500" s="12"/>
      <c r="BF500" s="12"/>
      <c r="BG500" s="12"/>
      <c r="BH500" s="12"/>
      <c r="BI500" s="12"/>
      <c r="BJ500" s="12"/>
      <c r="BK500" s="12"/>
      <c r="BL500" s="12"/>
      <c r="BM500" s="12"/>
      <c r="BN500" s="12"/>
      <c r="BO500" s="12"/>
      <c r="BP500" s="12"/>
      <c r="BQ500" s="12"/>
      <c r="BR500" s="12"/>
      <c r="BS500" s="12"/>
      <c r="BT500" s="12"/>
      <c r="BU500" s="12"/>
      <c r="BV500" s="12"/>
      <c r="BW500" s="12"/>
      <c r="BX500" s="12"/>
      <c r="BY500" s="12"/>
      <c r="BZ500" s="12"/>
      <c r="CA500" s="12"/>
      <c r="CB500" s="12"/>
      <c r="CC500" s="12"/>
      <c r="CD500" s="12"/>
      <c r="CE500" s="12"/>
      <c r="CF500" s="12"/>
      <c r="CG500" s="12"/>
      <c r="CH500" s="12"/>
      <c r="CI500" s="12"/>
      <c r="CJ500" s="12"/>
      <c r="CK500" s="12"/>
      <c r="CL500" s="12"/>
      <c r="CM500" s="12"/>
      <c r="CN500" s="12"/>
      <c r="CO500" s="12"/>
      <c r="CP500" s="12"/>
      <c r="CQ500" s="12"/>
      <c r="CR500" s="12"/>
      <c r="CS500" s="12"/>
      <c r="CT500" s="12"/>
      <c r="CU500" s="12"/>
      <c r="CV500" s="12"/>
      <c r="CW500" s="12"/>
      <c r="CX500" s="12"/>
      <c r="CY500" s="12"/>
      <c r="CZ500" s="12"/>
      <c r="DA500" s="12"/>
      <c r="DB500" s="12"/>
      <c r="DC500" s="12"/>
      <c r="DD500" s="12"/>
      <c r="DE500" s="12"/>
      <c r="DF500" s="12"/>
      <c r="DG500" s="12"/>
      <c r="DH500" s="12"/>
      <c r="DI500" s="12"/>
      <c r="DJ500" s="12"/>
      <c r="DK500" s="12"/>
      <c r="DL500" s="12"/>
      <c r="DM500" s="12"/>
      <c r="DN500" s="12"/>
      <c r="DO500" s="12"/>
      <c r="DP500" s="12"/>
      <c r="DQ500" s="12"/>
      <c r="DR500" s="12"/>
      <c r="DS500" s="12"/>
      <c r="DT500" s="12"/>
      <c r="DU500" s="12"/>
      <c r="DV500" s="12"/>
      <c r="DW500" s="12"/>
      <c r="DX500" s="12"/>
      <c r="DY500" s="12"/>
      <c r="DZ500" s="12"/>
      <c r="EA500" s="12"/>
      <c r="EB500" s="12"/>
      <c r="EC500" s="12"/>
      <c r="ED500" s="12"/>
      <c r="EE500" s="12"/>
      <c r="EF500" s="12"/>
      <c r="EG500" s="12"/>
      <c r="EH500" s="12"/>
      <c r="EI500" s="12"/>
      <c r="EJ500" s="574"/>
      <c r="EK500" s="574"/>
      <c r="EL500" s="574"/>
      <c r="EM500" s="574"/>
      <c r="EN500" s="574"/>
      <c r="EO500" s="574"/>
      <c r="EP500" s="574"/>
      <c r="EQ500" s="574"/>
      <c r="ER500" s="574"/>
      <c r="ES500" s="574"/>
      <c r="ET500" s="574"/>
      <c r="EU500" s="574"/>
    </row>
    <row r="501">
      <c r="A501" s="12"/>
      <c r="B501" s="55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  <c r="AY501" s="12"/>
      <c r="AZ501" s="12"/>
      <c r="BA501" s="12"/>
      <c r="BB501" s="12"/>
      <c r="BC501" s="12"/>
      <c r="BD501" s="12"/>
      <c r="BE501" s="12"/>
      <c r="BF501" s="12"/>
      <c r="BG501" s="12"/>
      <c r="BH501" s="12"/>
      <c r="BI501" s="12"/>
      <c r="BJ501" s="12"/>
      <c r="BK501" s="12"/>
      <c r="BL501" s="12"/>
      <c r="BM501" s="12"/>
      <c r="BN501" s="12"/>
      <c r="BO501" s="12"/>
      <c r="BP501" s="12"/>
      <c r="BQ501" s="12"/>
      <c r="BR501" s="12"/>
      <c r="BS501" s="12"/>
      <c r="BT501" s="12"/>
      <c r="BU501" s="12"/>
      <c r="BV501" s="12"/>
      <c r="BW501" s="12"/>
      <c r="BX501" s="12"/>
      <c r="BY501" s="12"/>
      <c r="BZ501" s="12"/>
      <c r="CA501" s="12"/>
      <c r="CB501" s="12"/>
      <c r="CC501" s="12"/>
      <c r="CD501" s="12"/>
      <c r="CE501" s="12"/>
      <c r="CF501" s="12"/>
      <c r="CG501" s="12"/>
      <c r="CH501" s="12"/>
      <c r="CI501" s="12"/>
      <c r="CJ501" s="12"/>
      <c r="CK501" s="12"/>
      <c r="CL501" s="12"/>
      <c r="CM501" s="12"/>
      <c r="CN501" s="12"/>
      <c r="CO501" s="12"/>
      <c r="CP501" s="12"/>
      <c r="CQ501" s="12"/>
      <c r="CR501" s="12"/>
      <c r="CS501" s="12"/>
      <c r="CT501" s="12"/>
      <c r="CU501" s="12"/>
      <c r="CV501" s="12"/>
      <c r="CW501" s="12"/>
      <c r="CX501" s="12"/>
      <c r="CY501" s="12"/>
      <c r="CZ501" s="12"/>
      <c r="DA501" s="12"/>
      <c r="DB501" s="12"/>
      <c r="DC501" s="12"/>
      <c r="DD501" s="12"/>
      <c r="DE501" s="12"/>
      <c r="DF501" s="12"/>
      <c r="DG501" s="12"/>
      <c r="DH501" s="12"/>
      <c r="DI501" s="12"/>
      <c r="DJ501" s="12"/>
      <c r="DK501" s="12"/>
      <c r="DL501" s="12"/>
      <c r="DM501" s="12"/>
      <c r="DN501" s="12"/>
      <c r="DO501" s="12"/>
      <c r="DP501" s="12"/>
      <c r="DQ501" s="12"/>
      <c r="DR501" s="12"/>
      <c r="DS501" s="12"/>
      <c r="DT501" s="12"/>
      <c r="DU501" s="12"/>
      <c r="DV501" s="12"/>
      <c r="DW501" s="12"/>
      <c r="DX501" s="12"/>
      <c r="DY501" s="12"/>
      <c r="DZ501" s="12"/>
      <c r="EA501" s="12"/>
      <c r="EB501" s="12"/>
      <c r="EC501" s="12"/>
      <c r="ED501" s="12"/>
      <c r="EE501" s="12"/>
      <c r="EF501" s="12"/>
      <c r="EG501" s="12"/>
      <c r="EH501" s="12"/>
      <c r="EI501" s="12"/>
      <c r="EJ501" s="574"/>
      <c r="EK501" s="574"/>
      <c r="EL501" s="574"/>
      <c r="EM501" s="574"/>
      <c r="EN501" s="574"/>
      <c r="EO501" s="574"/>
      <c r="EP501" s="574"/>
      <c r="EQ501" s="574"/>
      <c r="ER501" s="574"/>
      <c r="ES501" s="574"/>
      <c r="ET501" s="574"/>
      <c r="EU501" s="574"/>
    </row>
    <row r="502">
      <c r="A502" s="12"/>
      <c r="B502" s="55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  <c r="AY502" s="12"/>
      <c r="AZ502" s="12"/>
      <c r="BA502" s="12"/>
      <c r="BB502" s="12"/>
      <c r="BC502" s="12"/>
      <c r="BD502" s="12"/>
      <c r="BE502" s="12"/>
      <c r="BF502" s="12"/>
      <c r="BG502" s="12"/>
      <c r="BH502" s="12"/>
      <c r="BI502" s="12"/>
      <c r="BJ502" s="12"/>
      <c r="BK502" s="12"/>
      <c r="BL502" s="12"/>
      <c r="BM502" s="12"/>
      <c r="BN502" s="12"/>
      <c r="BO502" s="12"/>
      <c r="BP502" s="12"/>
      <c r="BQ502" s="12"/>
      <c r="BR502" s="12"/>
      <c r="BS502" s="12"/>
      <c r="BT502" s="12"/>
      <c r="BU502" s="12"/>
      <c r="BV502" s="12"/>
      <c r="BW502" s="12"/>
      <c r="BX502" s="12"/>
      <c r="BY502" s="12"/>
      <c r="BZ502" s="12"/>
      <c r="CA502" s="12"/>
      <c r="CB502" s="12"/>
      <c r="CC502" s="12"/>
      <c r="CD502" s="12"/>
      <c r="CE502" s="12"/>
      <c r="CF502" s="12"/>
      <c r="CG502" s="12"/>
      <c r="CH502" s="12"/>
      <c r="CI502" s="12"/>
      <c r="CJ502" s="12"/>
      <c r="CK502" s="12"/>
      <c r="CL502" s="12"/>
      <c r="CM502" s="12"/>
      <c r="CN502" s="12"/>
      <c r="CO502" s="12"/>
      <c r="CP502" s="12"/>
      <c r="CQ502" s="12"/>
      <c r="CR502" s="12"/>
      <c r="CS502" s="12"/>
      <c r="CT502" s="12"/>
      <c r="CU502" s="12"/>
      <c r="CV502" s="12"/>
      <c r="CW502" s="12"/>
      <c r="CX502" s="12"/>
      <c r="CY502" s="12"/>
      <c r="CZ502" s="12"/>
      <c r="DA502" s="12"/>
      <c r="DB502" s="12"/>
      <c r="DC502" s="12"/>
      <c r="DD502" s="12"/>
      <c r="DE502" s="12"/>
      <c r="DF502" s="12"/>
      <c r="DG502" s="12"/>
      <c r="DH502" s="12"/>
      <c r="DI502" s="12"/>
      <c r="DJ502" s="12"/>
      <c r="DK502" s="12"/>
      <c r="DL502" s="12"/>
      <c r="DM502" s="12"/>
      <c r="DN502" s="12"/>
      <c r="DO502" s="12"/>
      <c r="DP502" s="12"/>
      <c r="DQ502" s="12"/>
      <c r="DR502" s="12"/>
      <c r="DS502" s="12"/>
      <c r="DT502" s="12"/>
      <c r="DU502" s="12"/>
      <c r="DV502" s="12"/>
      <c r="DW502" s="12"/>
      <c r="DX502" s="12"/>
      <c r="DY502" s="12"/>
      <c r="DZ502" s="12"/>
      <c r="EA502" s="12"/>
      <c r="EB502" s="12"/>
      <c r="EC502" s="12"/>
      <c r="ED502" s="12"/>
      <c r="EE502" s="12"/>
      <c r="EF502" s="12"/>
      <c r="EG502" s="12"/>
      <c r="EH502" s="12"/>
      <c r="EI502" s="12"/>
      <c r="EJ502" s="574"/>
      <c r="EK502" s="574"/>
      <c r="EL502" s="574"/>
      <c r="EM502" s="574"/>
      <c r="EN502" s="574"/>
      <c r="EO502" s="574"/>
      <c r="EP502" s="574"/>
      <c r="EQ502" s="574"/>
      <c r="ER502" s="574"/>
      <c r="ES502" s="574"/>
      <c r="ET502" s="574"/>
      <c r="EU502" s="574"/>
    </row>
    <row r="503">
      <c r="A503" s="12"/>
      <c r="B503" s="55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  <c r="AY503" s="12"/>
      <c r="AZ503" s="12"/>
      <c r="BA503" s="12"/>
      <c r="BB503" s="12"/>
      <c r="BC503" s="12"/>
      <c r="BD503" s="12"/>
      <c r="BE503" s="12"/>
      <c r="BF503" s="12"/>
      <c r="BG503" s="12"/>
      <c r="BH503" s="12"/>
      <c r="BI503" s="12"/>
      <c r="BJ503" s="12"/>
      <c r="BK503" s="12"/>
      <c r="BL503" s="12"/>
      <c r="BM503" s="12"/>
      <c r="BN503" s="12"/>
      <c r="BO503" s="12"/>
      <c r="BP503" s="12"/>
      <c r="BQ503" s="12"/>
      <c r="BR503" s="12"/>
      <c r="BS503" s="12"/>
      <c r="BT503" s="12"/>
      <c r="BU503" s="12"/>
      <c r="BV503" s="12"/>
      <c r="BW503" s="12"/>
      <c r="BX503" s="12"/>
      <c r="BY503" s="12"/>
      <c r="BZ503" s="12"/>
      <c r="CA503" s="12"/>
      <c r="CB503" s="12"/>
      <c r="CC503" s="12"/>
      <c r="CD503" s="12"/>
      <c r="CE503" s="12"/>
      <c r="CF503" s="12"/>
      <c r="CG503" s="12"/>
      <c r="CH503" s="12"/>
      <c r="CI503" s="12"/>
      <c r="CJ503" s="12"/>
      <c r="CK503" s="12"/>
      <c r="CL503" s="12"/>
      <c r="CM503" s="12"/>
      <c r="CN503" s="12"/>
      <c r="CO503" s="12"/>
      <c r="CP503" s="12"/>
      <c r="CQ503" s="12"/>
      <c r="CR503" s="12"/>
      <c r="CS503" s="12"/>
      <c r="CT503" s="12"/>
      <c r="CU503" s="12"/>
      <c r="CV503" s="12"/>
      <c r="CW503" s="12"/>
      <c r="CX503" s="12"/>
      <c r="CY503" s="12"/>
      <c r="CZ503" s="12"/>
      <c r="DA503" s="12"/>
      <c r="DB503" s="12"/>
      <c r="DC503" s="12"/>
      <c r="DD503" s="12"/>
      <c r="DE503" s="12"/>
      <c r="DF503" s="12"/>
      <c r="DG503" s="12"/>
      <c r="DH503" s="12"/>
      <c r="DI503" s="12"/>
      <c r="DJ503" s="12"/>
      <c r="DK503" s="12"/>
      <c r="DL503" s="12"/>
      <c r="DM503" s="12"/>
      <c r="DN503" s="12"/>
      <c r="DO503" s="12"/>
      <c r="DP503" s="12"/>
      <c r="DQ503" s="12"/>
      <c r="DR503" s="12"/>
      <c r="DS503" s="12"/>
      <c r="DT503" s="12"/>
      <c r="DU503" s="12"/>
      <c r="DV503" s="12"/>
      <c r="DW503" s="12"/>
      <c r="DX503" s="12"/>
      <c r="DY503" s="12"/>
      <c r="DZ503" s="12"/>
      <c r="EA503" s="12"/>
      <c r="EB503" s="12"/>
      <c r="EC503" s="12"/>
      <c r="ED503" s="12"/>
      <c r="EE503" s="12"/>
      <c r="EF503" s="12"/>
      <c r="EG503" s="12"/>
      <c r="EH503" s="12"/>
      <c r="EI503" s="12"/>
      <c r="EJ503" s="574"/>
      <c r="EK503" s="574"/>
      <c r="EL503" s="574"/>
      <c r="EM503" s="574"/>
      <c r="EN503" s="574"/>
      <c r="EO503" s="574"/>
      <c r="EP503" s="574"/>
      <c r="EQ503" s="574"/>
      <c r="ER503" s="574"/>
      <c r="ES503" s="574"/>
      <c r="ET503" s="574"/>
      <c r="EU503" s="574"/>
    </row>
    <row r="504">
      <c r="A504" s="12"/>
      <c r="B504" s="55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  <c r="AY504" s="12"/>
      <c r="AZ504" s="12"/>
      <c r="BA504" s="12"/>
      <c r="BB504" s="12"/>
      <c r="BC504" s="12"/>
      <c r="BD504" s="12"/>
      <c r="BE504" s="12"/>
      <c r="BF504" s="12"/>
      <c r="BG504" s="12"/>
      <c r="BH504" s="12"/>
      <c r="BI504" s="12"/>
      <c r="BJ504" s="12"/>
      <c r="BK504" s="12"/>
      <c r="BL504" s="12"/>
      <c r="BM504" s="12"/>
      <c r="BN504" s="12"/>
      <c r="BO504" s="12"/>
      <c r="BP504" s="12"/>
      <c r="BQ504" s="12"/>
      <c r="BR504" s="12"/>
      <c r="BS504" s="12"/>
      <c r="BT504" s="12"/>
      <c r="BU504" s="12"/>
      <c r="BV504" s="12"/>
      <c r="BW504" s="12"/>
      <c r="BX504" s="12"/>
      <c r="BY504" s="12"/>
      <c r="BZ504" s="12"/>
      <c r="CA504" s="12"/>
      <c r="CB504" s="12"/>
      <c r="CC504" s="12"/>
      <c r="CD504" s="12"/>
      <c r="CE504" s="12"/>
      <c r="CF504" s="12"/>
      <c r="CG504" s="12"/>
      <c r="CH504" s="12"/>
      <c r="CI504" s="12"/>
      <c r="CJ504" s="12"/>
      <c r="CK504" s="12"/>
      <c r="CL504" s="12"/>
      <c r="CM504" s="12"/>
      <c r="CN504" s="12"/>
      <c r="CO504" s="12"/>
      <c r="CP504" s="12"/>
      <c r="CQ504" s="12"/>
      <c r="CR504" s="12"/>
      <c r="CS504" s="12"/>
      <c r="CT504" s="12"/>
      <c r="CU504" s="12"/>
      <c r="CV504" s="12"/>
      <c r="CW504" s="12"/>
      <c r="CX504" s="12"/>
      <c r="CY504" s="12"/>
      <c r="CZ504" s="12"/>
      <c r="DA504" s="12"/>
      <c r="DB504" s="12"/>
      <c r="DC504" s="12"/>
      <c r="DD504" s="12"/>
      <c r="DE504" s="12"/>
      <c r="DF504" s="12"/>
      <c r="DG504" s="12"/>
      <c r="DH504" s="12"/>
      <c r="DI504" s="12"/>
      <c r="DJ504" s="12"/>
      <c r="DK504" s="12"/>
      <c r="DL504" s="12"/>
      <c r="DM504" s="12"/>
      <c r="DN504" s="12"/>
      <c r="DO504" s="12"/>
      <c r="DP504" s="12"/>
      <c r="DQ504" s="12"/>
      <c r="DR504" s="12"/>
      <c r="DS504" s="12"/>
      <c r="DT504" s="12"/>
      <c r="DU504" s="12"/>
      <c r="DV504" s="12"/>
      <c r="DW504" s="12"/>
      <c r="DX504" s="12"/>
      <c r="DY504" s="12"/>
      <c r="DZ504" s="12"/>
      <c r="EA504" s="12"/>
      <c r="EB504" s="12"/>
      <c r="EC504" s="12"/>
      <c r="ED504" s="12"/>
      <c r="EE504" s="12"/>
      <c r="EF504" s="12"/>
      <c r="EG504" s="12"/>
      <c r="EH504" s="12"/>
      <c r="EI504" s="12"/>
      <c r="EJ504" s="574"/>
      <c r="EK504" s="574"/>
      <c r="EL504" s="574"/>
      <c r="EM504" s="574"/>
      <c r="EN504" s="574"/>
      <c r="EO504" s="574"/>
      <c r="EP504" s="574"/>
      <c r="EQ504" s="574"/>
      <c r="ER504" s="574"/>
      <c r="ES504" s="574"/>
      <c r="ET504" s="574"/>
      <c r="EU504" s="574"/>
    </row>
    <row r="505">
      <c r="A505" s="12"/>
      <c r="B505" s="55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  <c r="AZ505" s="12"/>
      <c r="BA505" s="12"/>
      <c r="BB505" s="12"/>
      <c r="BC505" s="12"/>
      <c r="BD505" s="12"/>
      <c r="BE505" s="12"/>
      <c r="BF505" s="12"/>
      <c r="BG505" s="12"/>
      <c r="BH505" s="12"/>
      <c r="BI505" s="12"/>
      <c r="BJ505" s="12"/>
      <c r="BK505" s="12"/>
      <c r="BL505" s="12"/>
      <c r="BM505" s="12"/>
      <c r="BN505" s="12"/>
      <c r="BO505" s="12"/>
      <c r="BP505" s="12"/>
      <c r="BQ505" s="12"/>
      <c r="BR505" s="12"/>
      <c r="BS505" s="12"/>
      <c r="BT505" s="12"/>
      <c r="BU505" s="12"/>
      <c r="BV505" s="12"/>
      <c r="BW505" s="12"/>
      <c r="BX505" s="12"/>
      <c r="BY505" s="12"/>
      <c r="BZ505" s="12"/>
      <c r="CA505" s="12"/>
      <c r="CB505" s="12"/>
      <c r="CC505" s="12"/>
      <c r="CD505" s="12"/>
      <c r="CE505" s="12"/>
      <c r="CF505" s="12"/>
      <c r="CG505" s="12"/>
      <c r="CH505" s="12"/>
      <c r="CI505" s="12"/>
      <c r="CJ505" s="12"/>
      <c r="CK505" s="12"/>
      <c r="CL505" s="12"/>
      <c r="CM505" s="12"/>
      <c r="CN505" s="12"/>
      <c r="CO505" s="12"/>
      <c r="CP505" s="12"/>
      <c r="CQ505" s="12"/>
      <c r="CR505" s="12"/>
      <c r="CS505" s="12"/>
      <c r="CT505" s="12"/>
      <c r="CU505" s="12"/>
      <c r="CV505" s="12"/>
      <c r="CW505" s="12"/>
      <c r="CX505" s="12"/>
      <c r="CY505" s="12"/>
      <c r="CZ505" s="12"/>
      <c r="DA505" s="12"/>
      <c r="DB505" s="12"/>
      <c r="DC505" s="12"/>
      <c r="DD505" s="12"/>
      <c r="DE505" s="12"/>
      <c r="DF505" s="12"/>
      <c r="DG505" s="12"/>
      <c r="DH505" s="12"/>
      <c r="DI505" s="12"/>
      <c r="DJ505" s="12"/>
      <c r="DK505" s="12"/>
      <c r="DL505" s="12"/>
      <c r="DM505" s="12"/>
      <c r="DN505" s="12"/>
      <c r="DO505" s="12"/>
      <c r="DP505" s="12"/>
      <c r="DQ505" s="12"/>
      <c r="DR505" s="12"/>
      <c r="DS505" s="12"/>
      <c r="DT505" s="12"/>
      <c r="DU505" s="12"/>
      <c r="DV505" s="12"/>
      <c r="DW505" s="12"/>
      <c r="DX505" s="12"/>
      <c r="DY505" s="12"/>
      <c r="DZ505" s="12"/>
      <c r="EA505" s="12"/>
      <c r="EB505" s="12"/>
      <c r="EC505" s="12"/>
      <c r="ED505" s="12"/>
      <c r="EE505" s="12"/>
      <c r="EF505" s="12"/>
      <c r="EG505" s="12"/>
      <c r="EH505" s="12"/>
      <c r="EI505" s="12"/>
      <c r="EJ505" s="574"/>
      <c r="EK505" s="574"/>
      <c r="EL505" s="574"/>
      <c r="EM505" s="574"/>
      <c r="EN505" s="574"/>
      <c r="EO505" s="574"/>
      <c r="EP505" s="574"/>
      <c r="EQ505" s="574"/>
      <c r="ER505" s="574"/>
      <c r="ES505" s="574"/>
      <c r="ET505" s="574"/>
      <c r="EU505" s="574"/>
    </row>
    <row r="506">
      <c r="A506" s="12"/>
      <c r="B506" s="55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  <c r="AY506" s="12"/>
      <c r="AZ506" s="12"/>
      <c r="BA506" s="12"/>
      <c r="BB506" s="12"/>
      <c r="BC506" s="12"/>
      <c r="BD506" s="12"/>
      <c r="BE506" s="12"/>
      <c r="BF506" s="12"/>
      <c r="BG506" s="12"/>
      <c r="BH506" s="12"/>
      <c r="BI506" s="12"/>
      <c r="BJ506" s="12"/>
      <c r="BK506" s="12"/>
      <c r="BL506" s="12"/>
      <c r="BM506" s="12"/>
      <c r="BN506" s="12"/>
      <c r="BO506" s="12"/>
      <c r="BP506" s="12"/>
      <c r="BQ506" s="12"/>
      <c r="BR506" s="12"/>
      <c r="BS506" s="12"/>
      <c r="BT506" s="12"/>
      <c r="BU506" s="12"/>
      <c r="BV506" s="12"/>
      <c r="BW506" s="12"/>
      <c r="BX506" s="12"/>
      <c r="BY506" s="12"/>
      <c r="BZ506" s="12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574"/>
      <c r="EK506" s="574"/>
      <c r="EL506" s="574"/>
      <c r="EM506" s="574"/>
      <c r="EN506" s="574"/>
      <c r="EO506" s="574"/>
      <c r="EP506" s="574"/>
      <c r="EQ506" s="574"/>
      <c r="ER506" s="574"/>
      <c r="ES506" s="574"/>
      <c r="ET506" s="574"/>
      <c r="EU506" s="574"/>
    </row>
    <row r="507">
      <c r="A507" s="12"/>
      <c r="B507" s="55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  <c r="AY507" s="12"/>
      <c r="AZ507" s="12"/>
      <c r="BA507" s="12"/>
      <c r="BB507" s="12"/>
      <c r="BC507" s="12"/>
      <c r="BD507" s="12"/>
      <c r="BE507" s="12"/>
      <c r="BF507" s="12"/>
      <c r="BG507" s="12"/>
      <c r="BH507" s="12"/>
      <c r="BI507" s="12"/>
      <c r="BJ507" s="12"/>
      <c r="BK507" s="12"/>
      <c r="BL507" s="12"/>
      <c r="BM507" s="12"/>
      <c r="BN507" s="12"/>
      <c r="BO507" s="12"/>
      <c r="BP507" s="12"/>
      <c r="BQ507" s="12"/>
      <c r="BR507" s="12"/>
      <c r="BS507" s="12"/>
      <c r="BT507" s="12"/>
      <c r="BU507" s="12"/>
      <c r="BV507" s="12"/>
      <c r="BW507" s="12"/>
      <c r="BX507" s="12"/>
      <c r="BY507" s="12"/>
      <c r="BZ507" s="12"/>
      <c r="CA507" s="12"/>
      <c r="CB507" s="12"/>
      <c r="CC507" s="12"/>
      <c r="CD507" s="12"/>
      <c r="CE507" s="12"/>
      <c r="CF507" s="12"/>
      <c r="CG507" s="12"/>
      <c r="CH507" s="12"/>
      <c r="CI507" s="12"/>
      <c r="CJ507" s="12"/>
      <c r="CK507" s="12"/>
      <c r="CL507" s="12"/>
      <c r="CM507" s="12"/>
      <c r="CN507" s="12"/>
      <c r="CO507" s="12"/>
      <c r="CP507" s="12"/>
      <c r="CQ507" s="12"/>
      <c r="CR507" s="12"/>
      <c r="CS507" s="12"/>
      <c r="CT507" s="12"/>
      <c r="CU507" s="12"/>
      <c r="CV507" s="12"/>
      <c r="CW507" s="12"/>
      <c r="CX507" s="12"/>
      <c r="CY507" s="12"/>
      <c r="CZ507" s="12"/>
      <c r="DA507" s="12"/>
      <c r="DB507" s="12"/>
      <c r="DC507" s="12"/>
      <c r="DD507" s="12"/>
      <c r="DE507" s="12"/>
      <c r="DF507" s="12"/>
      <c r="DG507" s="12"/>
      <c r="DH507" s="12"/>
      <c r="DI507" s="12"/>
      <c r="DJ507" s="12"/>
      <c r="DK507" s="12"/>
      <c r="DL507" s="12"/>
      <c r="DM507" s="12"/>
      <c r="DN507" s="12"/>
      <c r="DO507" s="12"/>
      <c r="DP507" s="12"/>
      <c r="DQ507" s="12"/>
      <c r="DR507" s="12"/>
      <c r="DS507" s="12"/>
      <c r="DT507" s="12"/>
      <c r="DU507" s="12"/>
      <c r="DV507" s="12"/>
      <c r="DW507" s="12"/>
      <c r="DX507" s="12"/>
      <c r="DY507" s="12"/>
      <c r="DZ507" s="12"/>
      <c r="EA507" s="12"/>
      <c r="EB507" s="12"/>
      <c r="EC507" s="12"/>
      <c r="ED507" s="12"/>
      <c r="EE507" s="12"/>
      <c r="EF507" s="12"/>
      <c r="EG507" s="12"/>
      <c r="EH507" s="12"/>
      <c r="EI507" s="12"/>
      <c r="EJ507" s="574"/>
      <c r="EK507" s="574"/>
      <c r="EL507" s="574"/>
      <c r="EM507" s="574"/>
      <c r="EN507" s="574"/>
      <c r="EO507" s="574"/>
      <c r="EP507" s="574"/>
      <c r="EQ507" s="574"/>
      <c r="ER507" s="574"/>
      <c r="ES507" s="574"/>
      <c r="ET507" s="574"/>
      <c r="EU507" s="574"/>
    </row>
    <row r="508">
      <c r="A508" s="12"/>
      <c r="B508" s="55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  <c r="AY508" s="12"/>
      <c r="AZ508" s="12"/>
      <c r="BA508" s="12"/>
      <c r="BB508" s="12"/>
      <c r="BC508" s="12"/>
      <c r="BD508" s="12"/>
      <c r="BE508" s="12"/>
      <c r="BF508" s="12"/>
      <c r="BG508" s="12"/>
      <c r="BH508" s="12"/>
      <c r="BI508" s="12"/>
      <c r="BJ508" s="12"/>
      <c r="BK508" s="12"/>
      <c r="BL508" s="12"/>
      <c r="BM508" s="12"/>
      <c r="BN508" s="12"/>
      <c r="BO508" s="12"/>
      <c r="BP508" s="12"/>
      <c r="BQ508" s="12"/>
      <c r="BR508" s="12"/>
      <c r="BS508" s="12"/>
      <c r="BT508" s="12"/>
      <c r="BU508" s="12"/>
      <c r="BV508" s="12"/>
      <c r="BW508" s="12"/>
      <c r="BX508" s="12"/>
      <c r="BY508" s="12"/>
      <c r="BZ508" s="12"/>
      <c r="CA508" s="12"/>
      <c r="CB508" s="12"/>
      <c r="CC508" s="12"/>
      <c r="CD508" s="12"/>
      <c r="CE508" s="12"/>
      <c r="CF508" s="12"/>
      <c r="CG508" s="12"/>
      <c r="CH508" s="12"/>
      <c r="CI508" s="12"/>
      <c r="CJ508" s="12"/>
      <c r="CK508" s="12"/>
      <c r="CL508" s="12"/>
      <c r="CM508" s="12"/>
      <c r="CN508" s="12"/>
      <c r="CO508" s="12"/>
      <c r="CP508" s="12"/>
      <c r="CQ508" s="12"/>
      <c r="CR508" s="12"/>
      <c r="CS508" s="12"/>
      <c r="CT508" s="12"/>
      <c r="CU508" s="12"/>
      <c r="CV508" s="12"/>
      <c r="CW508" s="12"/>
      <c r="CX508" s="12"/>
      <c r="CY508" s="12"/>
      <c r="CZ508" s="12"/>
      <c r="DA508" s="12"/>
      <c r="DB508" s="12"/>
      <c r="DC508" s="12"/>
      <c r="DD508" s="12"/>
      <c r="DE508" s="12"/>
      <c r="DF508" s="12"/>
      <c r="DG508" s="12"/>
      <c r="DH508" s="12"/>
      <c r="DI508" s="12"/>
      <c r="DJ508" s="12"/>
      <c r="DK508" s="12"/>
      <c r="DL508" s="12"/>
      <c r="DM508" s="12"/>
      <c r="DN508" s="12"/>
      <c r="DO508" s="12"/>
      <c r="DP508" s="12"/>
      <c r="DQ508" s="12"/>
      <c r="DR508" s="12"/>
      <c r="DS508" s="12"/>
      <c r="DT508" s="12"/>
      <c r="DU508" s="12"/>
      <c r="DV508" s="12"/>
      <c r="DW508" s="12"/>
      <c r="DX508" s="12"/>
      <c r="DY508" s="12"/>
      <c r="DZ508" s="12"/>
      <c r="EA508" s="12"/>
      <c r="EB508" s="12"/>
      <c r="EC508" s="12"/>
      <c r="ED508" s="12"/>
      <c r="EE508" s="12"/>
      <c r="EF508" s="12"/>
      <c r="EG508" s="12"/>
      <c r="EH508" s="12"/>
      <c r="EI508" s="12"/>
      <c r="EJ508" s="574"/>
      <c r="EK508" s="574"/>
      <c r="EL508" s="574"/>
      <c r="EM508" s="574"/>
      <c r="EN508" s="574"/>
      <c r="EO508" s="574"/>
      <c r="EP508" s="574"/>
      <c r="EQ508" s="574"/>
      <c r="ER508" s="574"/>
      <c r="ES508" s="574"/>
      <c r="ET508" s="574"/>
      <c r="EU508" s="574"/>
    </row>
    <row r="509">
      <c r="A509" s="12"/>
      <c r="B509" s="55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/>
      <c r="BA509" s="12"/>
      <c r="BB509" s="12"/>
      <c r="BC509" s="12"/>
      <c r="BD509" s="12"/>
      <c r="BE509" s="12"/>
      <c r="BF509" s="12"/>
      <c r="BG509" s="12"/>
      <c r="BH509" s="12"/>
      <c r="BI509" s="12"/>
      <c r="BJ509" s="12"/>
      <c r="BK509" s="12"/>
      <c r="BL509" s="12"/>
      <c r="BM509" s="12"/>
      <c r="BN509" s="12"/>
      <c r="BO509" s="12"/>
      <c r="BP509" s="12"/>
      <c r="BQ509" s="12"/>
      <c r="BR509" s="12"/>
      <c r="BS509" s="12"/>
      <c r="BT509" s="12"/>
      <c r="BU509" s="12"/>
      <c r="BV509" s="12"/>
      <c r="BW509" s="12"/>
      <c r="BX509" s="12"/>
      <c r="BY509" s="12"/>
      <c r="BZ509" s="12"/>
      <c r="CA509" s="12"/>
      <c r="CB509" s="12"/>
      <c r="CC509" s="12"/>
      <c r="CD509" s="12"/>
      <c r="CE509" s="12"/>
      <c r="CF509" s="12"/>
      <c r="CG509" s="12"/>
      <c r="CH509" s="12"/>
      <c r="CI509" s="12"/>
      <c r="CJ509" s="12"/>
      <c r="CK509" s="12"/>
      <c r="CL509" s="12"/>
      <c r="CM509" s="12"/>
      <c r="CN509" s="12"/>
      <c r="CO509" s="12"/>
      <c r="CP509" s="12"/>
      <c r="CQ509" s="12"/>
      <c r="CR509" s="12"/>
      <c r="CS509" s="12"/>
      <c r="CT509" s="12"/>
      <c r="CU509" s="12"/>
      <c r="CV509" s="12"/>
      <c r="CW509" s="12"/>
      <c r="CX509" s="12"/>
      <c r="CY509" s="12"/>
      <c r="CZ509" s="12"/>
      <c r="DA509" s="12"/>
      <c r="DB509" s="12"/>
      <c r="DC509" s="12"/>
      <c r="DD509" s="12"/>
      <c r="DE509" s="12"/>
      <c r="DF509" s="12"/>
      <c r="DG509" s="12"/>
      <c r="DH509" s="12"/>
      <c r="DI509" s="12"/>
      <c r="DJ509" s="12"/>
      <c r="DK509" s="12"/>
      <c r="DL509" s="12"/>
      <c r="DM509" s="12"/>
      <c r="DN509" s="12"/>
      <c r="DO509" s="12"/>
      <c r="DP509" s="12"/>
      <c r="DQ509" s="12"/>
      <c r="DR509" s="12"/>
      <c r="DS509" s="12"/>
      <c r="DT509" s="12"/>
      <c r="DU509" s="12"/>
      <c r="DV509" s="12"/>
      <c r="DW509" s="12"/>
      <c r="DX509" s="12"/>
      <c r="DY509" s="12"/>
      <c r="DZ509" s="12"/>
      <c r="EA509" s="12"/>
      <c r="EB509" s="12"/>
      <c r="EC509" s="12"/>
      <c r="ED509" s="12"/>
      <c r="EE509" s="12"/>
      <c r="EF509" s="12"/>
      <c r="EG509" s="12"/>
      <c r="EH509" s="12"/>
      <c r="EI509" s="12"/>
      <c r="EJ509" s="574"/>
      <c r="EK509" s="574"/>
      <c r="EL509" s="574"/>
      <c r="EM509" s="574"/>
      <c r="EN509" s="574"/>
      <c r="EO509" s="574"/>
      <c r="EP509" s="574"/>
      <c r="EQ509" s="574"/>
      <c r="ER509" s="574"/>
      <c r="ES509" s="574"/>
      <c r="ET509" s="574"/>
      <c r="EU509" s="574"/>
    </row>
    <row r="510">
      <c r="A510" s="12"/>
      <c r="B510" s="55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  <c r="AY510" s="12"/>
      <c r="AZ510" s="12"/>
      <c r="BA510" s="12"/>
      <c r="BB510" s="12"/>
      <c r="BC510" s="12"/>
      <c r="BD510" s="12"/>
      <c r="BE510" s="12"/>
      <c r="BF510" s="12"/>
      <c r="BG510" s="12"/>
      <c r="BH510" s="12"/>
      <c r="BI510" s="12"/>
      <c r="BJ510" s="12"/>
      <c r="BK510" s="12"/>
      <c r="BL510" s="12"/>
      <c r="BM510" s="12"/>
      <c r="BN510" s="12"/>
      <c r="BO510" s="12"/>
      <c r="BP510" s="12"/>
      <c r="BQ510" s="12"/>
      <c r="BR510" s="12"/>
      <c r="BS510" s="12"/>
      <c r="BT510" s="12"/>
      <c r="BU510" s="12"/>
      <c r="BV510" s="12"/>
      <c r="BW510" s="12"/>
      <c r="BX510" s="12"/>
      <c r="BY510" s="12"/>
      <c r="BZ510" s="12"/>
      <c r="CA510" s="12"/>
      <c r="CB510" s="12"/>
      <c r="CC510" s="12"/>
      <c r="CD510" s="12"/>
      <c r="CE510" s="12"/>
      <c r="CF510" s="12"/>
      <c r="CG510" s="12"/>
      <c r="CH510" s="12"/>
      <c r="CI510" s="12"/>
      <c r="CJ510" s="12"/>
      <c r="CK510" s="12"/>
      <c r="CL510" s="12"/>
      <c r="CM510" s="12"/>
      <c r="CN510" s="12"/>
      <c r="CO510" s="12"/>
      <c r="CP510" s="12"/>
      <c r="CQ510" s="12"/>
      <c r="CR510" s="12"/>
      <c r="CS510" s="12"/>
      <c r="CT510" s="12"/>
      <c r="CU510" s="12"/>
      <c r="CV510" s="12"/>
      <c r="CW510" s="12"/>
      <c r="CX510" s="12"/>
      <c r="CY510" s="12"/>
      <c r="CZ510" s="12"/>
      <c r="DA510" s="12"/>
      <c r="DB510" s="12"/>
      <c r="DC510" s="12"/>
      <c r="DD510" s="12"/>
      <c r="DE510" s="12"/>
      <c r="DF510" s="12"/>
      <c r="DG510" s="12"/>
      <c r="DH510" s="12"/>
      <c r="DI510" s="12"/>
      <c r="DJ510" s="12"/>
      <c r="DK510" s="12"/>
      <c r="DL510" s="12"/>
      <c r="DM510" s="12"/>
      <c r="DN510" s="12"/>
      <c r="DO510" s="12"/>
      <c r="DP510" s="12"/>
      <c r="DQ510" s="12"/>
      <c r="DR510" s="12"/>
      <c r="DS510" s="12"/>
      <c r="DT510" s="12"/>
      <c r="DU510" s="12"/>
      <c r="DV510" s="12"/>
      <c r="DW510" s="12"/>
      <c r="DX510" s="12"/>
      <c r="DY510" s="12"/>
      <c r="DZ510" s="12"/>
      <c r="EA510" s="12"/>
      <c r="EB510" s="12"/>
      <c r="EC510" s="12"/>
      <c r="ED510" s="12"/>
      <c r="EE510" s="12"/>
      <c r="EF510" s="12"/>
      <c r="EG510" s="12"/>
      <c r="EH510" s="12"/>
      <c r="EI510" s="12"/>
      <c r="EJ510" s="574"/>
      <c r="EK510" s="574"/>
      <c r="EL510" s="574"/>
      <c r="EM510" s="574"/>
      <c r="EN510" s="574"/>
      <c r="EO510" s="574"/>
      <c r="EP510" s="574"/>
      <c r="EQ510" s="574"/>
      <c r="ER510" s="574"/>
      <c r="ES510" s="574"/>
      <c r="ET510" s="574"/>
      <c r="EU510" s="574"/>
    </row>
    <row r="511">
      <c r="A511" s="12"/>
      <c r="B511" s="55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  <c r="AZ511" s="12"/>
      <c r="BA511" s="12"/>
      <c r="BB511" s="12"/>
      <c r="BC511" s="12"/>
      <c r="BD511" s="12"/>
      <c r="BE511" s="12"/>
      <c r="BF511" s="12"/>
      <c r="BG511" s="12"/>
      <c r="BH511" s="12"/>
      <c r="BI511" s="12"/>
      <c r="BJ511" s="12"/>
      <c r="BK511" s="12"/>
      <c r="BL511" s="12"/>
      <c r="BM511" s="12"/>
      <c r="BN511" s="12"/>
      <c r="BO511" s="12"/>
      <c r="BP511" s="12"/>
      <c r="BQ511" s="12"/>
      <c r="BR511" s="12"/>
      <c r="BS511" s="12"/>
      <c r="BT511" s="12"/>
      <c r="BU511" s="12"/>
      <c r="BV511" s="12"/>
      <c r="BW511" s="12"/>
      <c r="BX511" s="12"/>
      <c r="BY511" s="12"/>
      <c r="BZ511" s="12"/>
      <c r="CA511" s="12"/>
      <c r="CB511" s="12"/>
      <c r="CC511" s="12"/>
      <c r="CD511" s="12"/>
      <c r="CE511" s="12"/>
      <c r="CF511" s="12"/>
      <c r="CG511" s="12"/>
      <c r="CH511" s="12"/>
      <c r="CI511" s="12"/>
      <c r="CJ511" s="12"/>
      <c r="CK511" s="12"/>
      <c r="CL511" s="12"/>
      <c r="CM511" s="12"/>
      <c r="CN511" s="12"/>
      <c r="CO511" s="12"/>
      <c r="CP511" s="12"/>
      <c r="CQ511" s="12"/>
      <c r="CR511" s="12"/>
      <c r="CS511" s="12"/>
      <c r="CT511" s="12"/>
      <c r="CU511" s="12"/>
      <c r="CV511" s="12"/>
      <c r="CW511" s="12"/>
      <c r="CX511" s="12"/>
      <c r="CY511" s="12"/>
      <c r="CZ511" s="12"/>
      <c r="DA511" s="12"/>
      <c r="DB511" s="12"/>
      <c r="DC511" s="12"/>
      <c r="DD511" s="12"/>
      <c r="DE511" s="12"/>
      <c r="DF511" s="12"/>
      <c r="DG511" s="12"/>
      <c r="DH511" s="12"/>
      <c r="DI511" s="12"/>
      <c r="DJ511" s="12"/>
      <c r="DK511" s="12"/>
      <c r="DL511" s="12"/>
      <c r="DM511" s="12"/>
      <c r="DN511" s="12"/>
      <c r="DO511" s="12"/>
      <c r="DP511" s="12"/>
      <c r="DQ511" s="12"/>
      <c r="DR511" s="12"/>
      <c r="DS511" s="12"/>
      <c r="DT511" s="12"/>
      <c r="DU511" s="12"/>
      <c r="DV511" s="12"/>
      <c r="DW511" s="12"/>
      <c r="DX511" s="12"/>
      <c r="DY511" s="12"/>
      <c r="DZ511" s="12"/>
      <c r="EA511" s="12"/>
      <c r="EB511" s="12"/>
      <c r="EC511" s="12"/>
      <c r="ED511" s="12"/>
      <c r="EE511" s="12"/>
      <c r="EF511" s="12"/>
      <c r="EG511" s="12"/>
      <c r="EH511" s="12"/>
      <c r="EI511" s="12"/>
      <c r="EJ511" s="574"/>
      <c r="EK511" s="574"/>
      <c r="EL511" s="574"/>
      <c r="EM511" s="574"/>
      <c r="EN511" s="574"/>
      <c r="EO511" s="574"/>
      <c r="EP511" s="574"/>
      <c r="EQ511" s="574"/>
      <c r="ER511" s="574"/>
      <c r="ES511" s="574"/>
      <c r="ET511" s="574"/>
      <c r="EU511" s="574"/>
    </row>
    <row r="512">
      <c r="A512" s="12"/>
      <c r="B512" s="55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  <c r="AY512" s="12"/>
      <c r="AZ512" s="12"/>
      <c r="BA512" s="12"/>
      <c r="BB512" s="12"/>
      <c r="BC512" s="12"/>
      <c r="BD512" s="12"/>
      <c r="BE512" s="12"/>
      <c r="BF512" s="12"/>
      <c r="BG512" s="12"/>
      <c r="BH512" s="12"/>
      <c r="BI512" s="12"/>
      <c r="BJ512" s="12"/>
      <c r="BK512" s="12"/>
      <c r="BL512" s="12"/>
      <c r="BM512" s="12"/>
      <c r="BN512" s="12"/>
      <c r="BO512" s="12"/>
      <c r="BP512" s="12"/>
      <c r="BQ512" s="12"/>
      <c r="BR512" s="12"/>
      <c r="BS512" s="12"/>
      <c r="BT512" s="12"/>
      <c r="BU512" s="12"/>
      <c r="BV512" s="12"/>
      <c r="BW512" s="12"/>
      <c r="BX512" s="12"/>
      <c r="BY512" s="12"/>
      <c r="BZ512" s="12"/>
      <c r="CA512" s="12"/>
      <c r="CB512" s="12"/>
      <c r="CC512" s="12"/>
      <c r="CD512" s="12"/>
      <c r="CE512" s="12"/>
      <c r="CF512" s="12"/>
      <c r="CG512" s="12"/>
      <c r="CH512" s="12"/>
      <c r="CI512" s="12"/>
      <c r="CJ512" s="12"/>
      <c r="CK512" s="12"/>
      <c r="CL512" s="12"/>
      <c r="CM512" s="12"/>
      <c r="CN512" s="12"/>
      <c r="CO512" s="12"/>
      <c r="CP512" s="12"/>
      <c r="CQ512" s="12"/>
      <c r="CR512" s="12"/>
      <c r="CS512" s="12"/>
      <c r="CT512" s="12"/>
      <c r="CU512" s="12"/>
      <c r="CV512" s="12"/>
      <c r="CW512" s="12"/>
      <c r="CX512" s="12"/>
      <c r="CY512" s="12"/>
      <c r="CZ512" s="12"/>
      <c r="DA512" s="12"/>
      <c r="DB512" s="12"/>
      <c r="DC512" s="12"/>
      <c r="DD512" s="12"/>
      <c r="DE512" s="12"/>
      <c r="DF512" s="12"/>
      <c r="DG512" s="12"/>
      <c r="DH512" s="12"/>
      <c r="DI512" s="12"/>
      <c r="DJ512" s="12"/>
      <c r="DK512" s="12"/>
      <c r="DL512" s="12"/>
      <c r="DM512" s="12"/>
      <c r="DN512" s="12"/>
      <c r="DO512" s="12"/>
      <c r="DP512" s="12"/>
      <c r="DQ512" s="12"/>
      <c r="DR512" s="12"/>
      <c r="DS512" s="12"/>
      <c r="DT512" s="12"/>
      <c r="DU512" s="12"/>
      <c r="DV512" s="12"/>
      <c r="DW512" s="12"/>
      <c r="DX512" s="12"/>
      <c r="DY512" s="12"/>
      <c r="DZ512" s="12"/>
      <c r="EA512" s="12"/>
      <c r="EB512" s="12"/>
      <c r="EC512" s="12"/>
      <c r="ED512" s="12"/>
      <c r="EE512" s="12"/>
      <c r="EF512" s="12"/>
      <c r="EG512" s="12"/>
      <c r="EH512" s="12"/>
      <c r="EI512" s="12"/>
      <c r="EJ512" s="574"/>
      <c r="EK512" s="574"/>
      <c r="EL512" s="574"/>
      <c r="EM512" s="574"/>
      <c r="EN512" s="574"/>
      <c r="EO512" s="574"/>
      <c r="EP512" s="574"/>
      <c r="EQ512" s="574"/>
      <c r="ER512" s="574"/>
      <c r="ES512" s="574"/>
      <c r="ET512" s="574"/>
      <c r="EU512" s="574"/>
    </row>
    <row r="513">
      <c r="A513" s="12"/>
      <c r="B513" s="55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  <c r="AY513" s="12"/>
      <c r="AZ513" s="12"/>
      <c r="BA513" s="12"/>
      <c r="BB513" s="12"/>
      <c r="BC513" s="12"/>
      <c r="BD513" s="12"/>
      <c r="BE513" s="12"/>
      <c r="BF513" s="12"/>
      <c r="BG513" s="12"/>
      <c r="BH513" s="12"/>
      <c r="BI513" s="12"/>
      <c r="BJ513" s="12"/>
      <c r="BK513" s="12"/>
      <c r="BL513" s="12"/>
      <c r="BM513" s="12"/>
      <c r="BN513" s="12"/>
      <c r="BO513" s="12"/>
      <c r="BP513" s="12"/>
      <c r="BQ513" s="12"/>
      <c r="BR513" s="12"/>
      <c r="BS513" s="12"/>
      <c r="BT513" s="12"/>
      <c r="BU513" s="12"/>
      <c r="BV513" s="12"/>
      <c r="BW513" s="12"/>
      <c r="BX513" s="12"/>
      <c r="BY513" s="12"/>
      <c r="BZ513" s="12"/>
      <c r="CA513" s="12"/>
      <c r="CB513" s="12"/>
      <c r="CC513" s="12"/>
      <c r="CD513" s="12"/>
      <c r="CE513" s="12"/>
      <c r="CF513" s="12"/>
      <c r="CG513" s="12"/>
      <c r="CH513" s="12"/>
      <c r="CI513" s="12"/>
      <c r="CJ513" s="12"/>
      <c r="CK513" s="12"/>
      <c r="CL513" s="12"/>
      <c r="CM513" s="12"/>
      <c r="CN513" s="12"/>
      <c r="CO513" s="12"/>
      <c r="CP513" s="12"/>
      <c r="CQ513" s="12"/>
      <c r="CR513" s="12"/>
      <c r="CS513" s="12"/>
      <c r="CT513" s="12"/>
      <c r="CU513" s="12"/>
      <c r="CV513" s="12"/>
      <c r="CW513" s="12"/>
      <c r="CX513" s="12"/>
      <c r="CY513" s="12"/>
      <c r="CZ513" s="12"/>
      <c r="DA513" s="12"/>
      <c r="DB513" s="12"/>
      <c r="DC513" s="12"/>
      <c r="DD513" s="12"/>
      <c r="DE513" s="12"/>
      <c r="DF513" s="12"/>
      <c r="DG513" s="12"/>
      <c r="DH513" s="12"/>
      <c r="DI513" s="12"/>
      <c r="DJ513" s="12"/>
      <c r="DK513" s="12"/>
      <c r="DL513" s="12"/>
      <c r="DM513" s="12"/>
      <c r="DN513" s="12"/>
      <c r="DO513" s="12"/>
      <c r="DP513" s="12"/>
      <c r="DQ513" s="12"/>
      <c r="DR513" s="12"/>
      <c r="DS513" s="12"/>
      <c r="DT513" s="12"/>
      <c r="DU513" s="12"/>
      <c r="DV513" s="12"/>
      <c r="DW513" s="12"/>
      <c r="DX513" s="12"/>
      <c r="DY513" s="12"/>
      <c r="DZ513" s="12"/>
      <c r="EA513" s="12"/>
      <c r="EB513" s="12"/>
      <c r="EC513" s="12"/>
      <c r="ED513" s="12"/>
      <c r="EE513" s="12"/>
      <c r="EF513" s="12"/>
      <c r="EG513" s="12"/>
      <c r="EH513" s="12"/>
      <c r="EI513" s="12"/>
      <c r="EJ513" s="574"/>
      <c r="EK513" s="574"/>
      <c r="EL513" s="574"/>
      <c r="EM513" s="574"/>
      <c r="EN513" s="574"/>
      <c r="EO513" s="574"/>
      <c r="EP513" s="574"/>
      <c r="EQ513" s="574"/>
      <c r="ER513" s="574"/>
      <c r="ES513" s="574"/>
      <c r="ET513" s="574"/>
      <c r="EU513" s="574"/>
    </row>
    <row r="514">
      <c r="A514" s="12"/>
      <c r="B514" s="55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  <c r="AY514" s="12"/>
      <c r="AZ514" s="12"/>
      <c r="BA514" s="12"/>
      <c r="BB514" s="12"/>
      <c r="BC514" s="12"/>
      <c r="BD514" s="12"/>
      <c r="BE514" s="12"/>
      <c r="BF514" s="12"/>
      <c r="BG514" s="12"/>
      <c r="BH514" s="12"/>
      <c r="BI514" s="12"/>
      <c r="BJ514" s="12"/>
      <c r="BK514" s="12"/>
      <c r="BL514" s="12"/>
      <c r="BM514" s="12"/>
      <c r="BN514" s="12"/>
      <c r="BO514" s="12"/>
      <c r="BP514" s="12"/>
      <c r="BQ514" s="12"/>
      <c r="BR514" s="12"/>
      <c r="BS514" s="12"/>
      <c r="BT514" s="12"/>
      <c r="BU514" s="12"/>
      <c r="BV514" s="12"/>
      <c r="BW514" s="12"/>
      <c r="BX514" s="12"/>
      <c r="BY514" s="12"/>
      <c r="BZ514" s="12"/>
      <c r="CA514" s="12"/>
      <c r="CB514" s="12"/>
      <c r="CC514" s="12"/>
      <c r="CD514" s="12"/>
      <c r="CE514" s="12"/>
      <c r="CF514" s="12"/>
      <c r="CG514" s="12"/>
      <c r="CH514" s="12"/>
      <c r="CI514" s="12"/>
      <c r="CJ514" s="12"/>
      <c r="CK514" s="12"/>
      <c r="CL514" s="12"/>
      <c r="CM514" s="12"/>
      <c r="CN514" s="12"/>
      <c r="CO514" s="12"/>
      <c r="CP514" s="12"/>
      <c r="CQ514" s="12"/>
      <c r="CR514" s="12"/>
      <c r="CS514" s="12"/>
      <c r="CT514" s="12"/>
      <c r="CU514" s="12"/>
      <c r="CV514" s="12"/>
      <c r="CW514" s="12"/>
      <c r="CX514" s="12"/>
      <c r="CY514" s="12"/>
      <c r="CZ514" s="12"/>
      <c r="DA514" s="12"/>
      <c r="DB514" s="12"/>
      <c r="DC514" s="12"/>
      <c r="DD514" s="12"/>
      <c r="DE514" s="12"/>
      <c r="DF514" s="12"/>
      <c r="DG514" s="12"/>
      <c r="DH514" s="12"/>
      <c r="DI514" s="12"/>
      <c r="DJ514" s="12"/>
      <c r="DK514" s="12"/>
      <c r="DL514" s="12"/>
      <c r="DM514" s="12"/>
      <c r="DN514" s="12"/>
      <c r="DO514" s="12"/>
      <c r="DP514" s="12"/>
      <c r="DQ514" s="12"/>
      <c r="DR514" s="12"/>
      <c r="DS514" s="12"/>
      <c r="DT514" s="12"/>
      <c r="DU514" s="12"/>
      <c r="DV514" s="12"/>
      <c r="DW514" s="12"/>
      <c r="DX514" s="12"/>
      <c r="DY514" s="12"/>
      <c r="DZ514" s="12"/>
      <c r="EA514" s="12"/>
      <c r="EB514" s="12"/>
      <c r="EC514" s="12"/>
      <c r="ED514" s="12"/>
      <c r="EE514" s="12"/>
      <c r="EF514" s="12"/>
      <c r="EG514" s="12"/>
      <c r="EH514" s="12"/>
      <c r="EI514" s="12"/>
      <c r="EJ514" s="574"/>
      <c r="EK514" s="574"/>
      <c r="EL514" s="574"/>
      <c r="EM514" s="574"/>
      <c r="EN514" s="574"/>
      <c r="EO514" s="574"/>
      <c r="EP514" s="574"/>
      <c r="EQ514" s="574"/>
      <c r="ER514" s="574"/>
      <c r="ES514" s="574"/>
      <c r="ET514" s="574"/>
      <c r="EU514" s="574"/>
    </row>
    <row r="515">
      <c r="A515" s="12"/>
      <c r="B515" s="55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  <c r="AY515" s="12"/>
      <c r="AZ515" s="12"/>
      <c r="BA515" s="12"/>
      <c r="BB515" s="12"/>
      <c r="BC515" s="12"/>
      <c r="BD515" s="12"/>
      <c r="BE515" s="12"/>
      <c r="BF515" s="12"/>
      <c r="BG515" s="12"/>
      <c r="BH515" s="12"/>
      <c r="BI515" s="12"/>
      <c r="BJ515" s="12"/>
      <c r="BK515" s="12"/>
      <c r="BL515" s="12"/>
      <c r="BM515" s="12"/>
      <c r="BN515" s="12"/>
      <c r="BO515" s="12"/>
      <c r="BP515" s="12"/>
      <c r="BQ515" s="12"/>
      <c r="BR515" s="12"/>
      <c r="BS515" s="12"/>
      <c r="BT515" s="12"/>
      <c r="BU515" s="12"/>
      <c r="BV515" s="12"/>
      <c r="BW515" s="12"/>
      <c r="BX515" s="12"/>
      <c r="BY515" s="12"/>
      <c r="BZ515" s="12"/>
      <c r="CA515" s="12"/>
      <c r="CB515" s="12"/>
      <c r="CC515" s="12"/>
      <c r="CD515" s="12"/>
      <c r="CE515" s="12"/>
      <c r="CF515" s="12"/>
      <c r="CG515" s="12"/>
      <c r="CH515" s="12"/>
      <c r="CI515" s="12"/>
      <c r="CJ515" s="12"/>
      <c r="CK515" s="12"/>
      <c r="CL515" s="12"/>
      <c r="CM515" s="12"/>
      <c r="CN515" s="12"/>
      <c r="CO515" s="12"/>
      <c r="CP515" s="12"/>
      <c r="CQ515" s="12"/>
      <c r="CR515" s="12"/>
      <c r="CS515" s="12"/>
      <c r="CT515" s="12"/>
      <c r="CU515" s="12"/>
      <c r="CV515" s="12"/>
      <c r="CW515" s="12"/>
      <c r="CX515" s="12"/>
      <c r="CY515" s="12"/>
      <c r="CZ515" s="12"/>
      <c r="DA515" s="12"/>
      <c r="DB515" s="12"/>
      <c r="DC515" s="12"/>
      <c r="DD515" s="12"/>
      <c r="DE515" s="12"/>
      <c r="DF515" s="12"/>
      <c r="DG515" s="12"/>
      <c r="DH515" s="12"/>
      <c r="DI515" s="12"/>
      <c r="DJ515" s="12"/>
      <c r="DK515" s="12"/>
      <c r="DL515" s="12"/>
      <c r="DM515" s="12"/>
      <c r="DN515" s="12"/>
      <c r="DO515" s="12"/>
      <c r="DP515" s="12"/>
      <c r="DQ515" s="12"/>
      <c r="DR515" s="12"/>
      <c r="DS515" s="12"/>
      <c r="DT515" s="12"/>
      <c r="DU515" s="12"/>
      <c r="DV515" s="12"/>
      <c r="DW515" s="12"/>
      <c r="DX515" s="12"/>
      <c r="DY515" s="12"/>
      <c r="DZ515" s="12"/>
      <c r="EA515" s="12"/>
      <c r="EB515" s="12"/>
      <c r="EC515" s="12"/>
      <c r="ED515" s="12"/>
      <c r="EE515" s="12"/>
      <c r="EF515" s="12"/>
      <c r="EG515" s="12"/>
      <c r="EH515" s="12"/>
      <c r="EI515" s="12"/>
      <c r="EJ515" s="574"/>
      <c r="EK515" s="574"/>
      <c r="EL515" s="574"/>
      <c r="EM515" s="574"/>
      <c r="EN515" s="574"/>
      <c r="EO515" s="574"/>
      <c r="EP515" s="574"/>
      <c r="EQ515" s="574"/>
      <c r="ER515" s="574"/>
      <c r="ES515" s="574"/>
      <c r="ET515" s="574"/>
      <c r="EU515" s="574"/>
    </row>
    <row r="516">
      <c r="A516" s="12"/>
      <c r="B516" s="55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  <c r="AY516" s="12"/>
      <c r="AZ516" s="12"/>
      <c r="BA516" s="12"/>
      <c r="BB516" s="12"/>
      <c r="BC516" s="12"/>
      <c r="BD516" s="12"/>
      <c r="BE516" s="12"/>
      <c r="BF516" s="12"/>
      <c r="BG516" s="12"/>
      <c r="BH516" s="12"/>
      <c r="BI516" s="12"/>
      <c r="BJ516" s="12"/>
      <c r="BK516" s="12"/>
      <c r="BL516" s="12"/>
      <c r="BM516" s="12"/>
      <c r="BN516" s="12"/>
      <c r="BO516" s="12"/>
      <c r="BP516" s="12"/>
      <c r="BQ516" s="12"/>
      <c r="BR516" s="12"/>
      <c r="BS516" s="12"/>
      <c r="BT516" s="12"/>
      <c r="BU516" s="12"/>
      <c r="BV516" s="12"/>
      <c r="BW516" s="12"/>
      <c r="BX516" s="12"/>
      <c r="BY516" s="12"/>
      <c r="BZ516" s="12"/>
      <c r="CA516" s="12"/>
      <c r="CB516" s="12"/>
      <c r="CC516" s="12"/>
      <c r="CD516" s="12"/>
      <c r="CE516" s="12"/>
      <c r="CF516" s="12"/>
      <c r="CG516" s="12"/>
      <c r="CH516" s="12"/>
      <c r="CI516" s="12"/>
      <c r="CJ516" s="12"/>
      <c r="CK516" s="12"/>
      <c r="CL516" s="12"/>
      <c r="CM516" s="12"/>
      <c r="CN516" s="12"/>
      <c r="CO516" s="12"/>
      <c r="CP516" s="12"/>
      <c r="CQ516" s="12"/>
      <c r="CR516" s="12"/>
      <c r="CS516" s="12"/>
      <c r="CT516" s="12"/>
      <c r="CU516" s="12"/>
      <c r="CV516" s="12"/>
      <c r="CW516" s="12"/>
      <c r="CX516" s="12"/>
      <c r="CY516" s="12"/>
      <c r="CZ516" s="12"/>
      <c r="DA516" s="12"/>
      <c r="DB516" s="12"/>
      <c r="DC516" s="12"/>
      <c r="DD516" s="12"/>
      <c r="DE516" s="12"/>
      <c r="DF516" s="12"/>
      <c r="DG516" s="12"/>
      <c r="DH516" s="12"/>
      <c r="DI516" s="12"/>
      <c r="DJ516" s="12"/>
      <c r="DK516" s="12"/>
      <c r="DL516" s="12"/>
      <c r="DM516" s="12"/>
      <c r="DN516" s="12"/>
      <c r="DO516" s="12"/>
      <c r="DP516" s="12"/>
      <c r="DQ516" s="12"/>
      <c r="DR516" s="12"/>
      <c r="DS516" s="12"/>
      <c r="DT516" s="12"/>
      <c r="DU516" s="12"/>
      <c r="DV516" s="12"/>
      <c r="DW516" s="12"/>
      <c r="DX516" s="12"/>
      <c r="DY516" s="12"/>
      <c r="DZ516" s="12"/>
      <c r="EA516" s="12"/>
      <c r="EB516" s="12"/>
      <c r="EC516" s="12"/>
      <c r="ED516" s="12"/>
      <c r="EE516" s="12"/>
      <c r="EF516" s="12"/>
      <c r="EG516" s="12"/>
      <c r="EH516" s="12"/>
      <c r="EI516" s="12"/>
      <c r="EJ516" s="574"/>
      <c r="EK516" s="574"/>
      <c r="EL516" s="574"/>
      <c r="EM516" s="574"/>
      <c r="EN516" s="574"/>
      <c r="EO516" s="574"/>
      <c r="EP516" s="574"/>
      <c r="EQ516" s="574"/>
      <c r="ER516" s="574"/>
      <c r="ES516" s="574"/>
      <c r="ET516" s="574"/>
      <c r="EU516" s="574"/>
    </row>
    <row r="517">
      <c r="A517" s="12"/>
      <c r="B517" s="55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/>
      <c r="BA517" s="12"/>
      <c r="BB517" s="12"/>
      <c r="BC517" s="12"/>
      <c r="BD517" s="12"/>
      <c r="BE517" s="12"/>
      <c r="BF517" s="12"/>
      <c r="BG517" s="12"/>
      <c r="BH517" s="12"/>
      <c r="BI517" s="12"/>
      <c r="BJ517" s="12"/>
      <c r="BK517" s="12"/>
      <c r="BL517" s="12"/>
      <c r="BM517" s="12"/>
      <c r="BN517" s="12"/>
      <c r="BO517" s="12"/>
      <c r="BP517" s="12"/>
      <c r="BQ517" s="12"/>
      <c r="BR517" s="12"/>
      <c r="BS517" s="12"/>
      <c r="BT517" s="12"/>
      <c r="BU517" s="12"/>
      <c r="BV517" s="12"/>
      <c r="BW517" s="12"/>
      <c r="BX517" s="12"/>
      <c r="BY517" s="12"/>
      <c r="BZ517" s="12"/>
      <c r="CA517" s="12"/>
      <c r="CB517" s="12"/>
      <c r="CC517" s="12"/>
      <c r="CD517" s="12"/>
      <c r="CE517" s="12"/>
      <c r="CF517" s="12"/>
      <c r="CG517" s="12"/>
      <c r="CH517" s="12"/>
      <c r="CI517" s="12"/>
      <c r="CJ517" s="12"/>
      <c r="CK517" s="12"/>
      <c r="CL517" s="12"/>
      <c r="CM517" s="12"/>
      <c r="CN517" s="12"/>
      <c r="CO517" s="12"/>
      <c r="CP517" s="12"/>
      <c r="CQ517" s="12"/>
      <c r="CR517" s="12"/>
      <c r="CS517" s="12"/>
      <c r="CT517" s="12"/>
      <c r="CU517" s="12"/>
      <c r="CV517" s="12"/>
      <c r="CW517" s="12"/>
      <c r="CX517" s="12"/>
      <c r="CY517" s="12"/>
      <c r="CZ517" s="12"/>
      <c r="DA517" s="12"/>
      <c r="DB517" s="12"/>
      <c r="DC517" s="12"/>
      <c r="DD517" s="12"/>
      <c r="DE517" s="12"/>
      <c r="DF517" s="12"/>
      <c r="DG517" s="12"/>
      <c r="DH517" s="12"/>
      <c r="DI517" s="12"/>
      <c r="DJ517" s="12"/>
      <c r="DK517" s="12"/>
      <c r="DL517" s="12"/>
      <c r="DM517" s="12"/>
      <c r="DN517" s="12"/>
      <c r="DO517" s="12"/>
      <c r="DP517" s="12"/>
      <c r="DQ517" s="12"/>
      <c r="DR517" s="12"/>
      <c r="DS517" s="12"/>
      <c r="DT517" s="12"/>
      <c r="DU517" s="12"/>
      <c r="DV517" s="12"/>
      <c r="DW517" s="12"/>
      <c r="DX517" s="12"/>
      <c r="DY517" s="12"/>
      <c r="DZ517" s="12"/>
      <c r="EA517" s="12"/>
      <c r="EB517" s="12"/>
      <c r="EC517" s="12"/>
      <c r="ED517" s="12"/>
      <c r="EE517" s="12"/>
      <c r="EF517" s="12"/>
      <c r="EG517" s="12"/>
      <c r="EH517" s="12"/>
      <c r="EI517" s="12"/>
      <c r="EJ517" s="574"/>
      <c r="EK517" s="574"/>
      <c r="EL517" s="574"/>
      <c r="EM517" s="574"/>
      <c r="EN517" s="574"/>
      <c r="EO517" s="574"/>
      <c r="EP517" s="574"/>
      <c r="EQ517" s="574"/>
      <c r="ER517" s="574"/>
      <c r="ES517" s="574"/>
      <c r="ET517" s="574"/>
      <c r="EU517" s="574"/>
    </row>
    <row r="518">
      <c r="A518" s="12"/>
      <c r="B518" s="55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  <c r="AY518" s="12"/>
      <c r="AZ518" s="12"/>
      <c r="BA518" s="12"/>
      <c r="BB518" s="12"/>
      <c r="BC518" s="12"/>
      <c r="BD518" s="12"/>
      <c r="BE518" s="12"/>
      <c r="BF518" s="12"/>
      <c r="BG518" s="12"/>
      <c r="BH518" s="12"/>
      <c r="BI518" s="12"/>
      <c r="BJ518" s="12"/>
      <c r="BK518" s="12"/>
      <c r="BL518" s="12"/>
      <c r="BM518" s="12"/>
      <c r="BN518" s="12"/>
      <c r="BO518" s="12"/>
      <c r="BP518" s="12"/>
      <c r="BQ518" s="12"/>
      <c r="BR518" s="12"/>
      <c r="BS518" s="12"/>
      <c r="BT518" s="12"/>
      <c r="BU518" s="12"/>
      <c r="BV518" s="12"/>
      <c r="BW518" s="12"/>
      <c r="BX518" s="12"/>
      <c r="BY518" s="12"/>
      <c r="BZ518" s="12"/>
      <c r="CA518" s="12"/>
      <c r="CB518" s="12"/>
      <c r="CC518" s="12"/>
      <c r="CD518" s="12"/>
      <c r="CE518" s="12"/>
      <c r="CF518" s="12"/>
      <c r="CG518" s="12"/>
      <c r="CH518" s="12"/>
      <c r="CI518" s="12"/>
      <c r="CJ518" s="12"/>
      <c r="CK518" s="12"/>
      <c r="CL518" s="12"/>
      <c r="CM518" s="12"/>
      <c r="CN518" s="12"/>
      <c r="CO518" s="12"/>
      <c r="CP518" s="12"/>
      <c r="CQ518" s="12"/>
      <c r="CR518" s="12"/>
      <c r="CS518" s="12"/>
      <c r="CT518" s="12"/>
      <c r="CU518" s="12"/>
      <c r="CV518" s="12"/>
      <c r="CW518" s="12"/>
      <c r="CX518" s="12"/>
      <c r="CY518" s="12"/>
      <c r="CZ518" s="12"/>
      <c r="DA518" s="12"/>
      <c r="DB518" s="12"/>
      <c r="DC518" s="12"/>
      <c r="DD518" s="12"/>
      <c r="DE518" s="12"/>
      <c r="DF518" s="12"/>
      <c r="DG518" s="12"/>
      <c r="DH518" s="12"/>
      <c r="DI518" s="12"/>
      <c r="DJ518" s="12"/>
      <c r="DK518" s="12"/>
      <c r="DL518" s="12"/>
      <c r="DM518" s="12"/>
      <c r="DN518" s="12"/>
      <c r="DO518" s="12"/>
      <c r="DP518" s="12"/>
      <c r="DQ518" s="12"/>
      <c r="DR518" s="12"/>
      <c r="DS518" s="12"/>
      <c r="DT518" s="12"/>
      <c r="DU518" s="12"/>
      <c r="DV518" s="12"/>
      <c r="DW518" s="12"/>
      <c r="DX518" s="12"/>
      <c r="DY518" s="12"/>
      <c r="DZ518" s="12"/>
      <c r="EA518" s="12"/>
      <c r="EB518" s="12"/>
      <c r="EC518" s="12"/>
      <c r="ED518" s="12"/>
      <c r="EE518" s="12"/>
      <c r="EF518" s="12"/>
      <c r="EG518" s="12"/>
      <c r="EH518" s="12"/>
      <c r="EI518" s="12"/>
      <c r="EJ518" s="574"/>
      <c r="EK518" s="574"/>
      <c r="EL518" s="574"/>
      <c r="EM518" s="574"/>
      <c r="EN518" s="574"/>
      <c r="EO518" s="574"/>
      <c r="EP518" s="574"/>
      <c r="EQ518" s="574"/>
      <c r="ER518" s="574"/>
      <c r="ES518" s="574"/>
      <c r="ET518" s="574"/>
      <c r="EU518" s="574"/>
    </row>
    <row r="519">
      <c r="A519" s="12"/>
      <c r="B519" s="55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  <c r="AY519" s="12"/>
      <c r="AZ519" s="12"/>
      <c r="BA519" s="12"/>
      <c r="BB519" s="12"/>
      <c r="BC519" s="12"/>
      <c r="BD519" s="12"/>
      <c r="BE519" s="12"/>
      <c r="BF519" s="12"/>
      <c r="BG519" s="12"/>
      <c r="BH519" s="12"/>
      <c r="BI519" s="12"/>
      <c r="BJ519" s="12"/>
      <c r="BK519" s="12"/>
      <c r="BL519" s="12"/>
      <c r="BM519" s="12"/>
      <c r="BN519" s="12"/>
      <c r="BO519" s="12"/>
      <c r="BP519" s="12"/>
      <c r="BQ519" s="12"/>
      <c r="BR519" s="12"/>
      <c r="BS519" s="12"/>
      <c r="BT519" s="12"/>
      <c r="BU519" s="12"/>
      <c r="BV519" s="12"/>
      <c r="BW519" s="12"/>
      <c r="BX519" s="12"/>
      <c r="BY519" s="12"/>
      <c r="BZ519" s="12"/>
      <c r="CA519" s="12"/>
      <c r="CB519" s="12"/>
      <c r="CC519" s="12"/>
      <c r="CD519" s="12"/>
      <c r="CE519" s="12"/>
      <c r="CF519" s="12"/>
      <c r="CG519" s="12"/>
      <c r="CH519" s="12"/>
      <c r="CI519" s="12"/>
      <c r="CJ519" s="12"/>
      <c r="CK519" s="12"/>
      <c r="CL519" s="12"/>
      <c r="CM519" s="12"/>
      <c r="CN519" s="12"/>
      <c r="CO519" s="12"/>
      <c r="CP519" s="12"/>
      <c r="CQ519" s="12"/>
      <c r="CR519" s="12"/>
      <c r="CS519" s="12"/>
      <c r="CT519" s="12"/>
      <c r="CU519" s="12"/>
      <c r="CV519" s="12"/>
      <c r="CW519" s="12"/>
      <c r="CX519" s="12"/>
      <c r="CY519" s="12"/>
      <c r="CZ519" s="12"/>
      <c r="DA519" s="12"/>
      <c r="DB519" s="12"/>
      <c r="DC519" s="12"/>
      <c r="DD519" s="12"/>
      <c r="DE519" s="12"/>
      <c r="DF519" s="12"/>
      <c r="DG519" s="12"/>
      <c r="DH519" s="12"/>
      <c r="DI519" s="12"/>
      <c r="DJ519" s="12"/>
      <c r="DK519" s="12"/>
      <c r="DL519" s="12"/>
      <c r="DM519" s="12"/>
      <c r="DN519" s="12"/>
      <c r="DO519" s="12"/>
      <c r="DP519" s="12"/>
      <c r="DQ519" s="12"/>
      <c r="DR519" s="12"/>
      <c r="DS519" s="12"/>
      <c r="DT519" s="12"/>
      <c r="DU519" s="12"/>
      <c r="DV519" s="12"/>
      <c r="DW519" s="12"/>
      <c r="DX519" s="12"/>
      <c r="DY519" s="12"/>
      <c r="DZ519" s="12"/>
      <c r="EA519" s="12"/>
      <c r="EB519" s="12"/>
      <c r="EC519" s="12"/>
      <c r="ED519" s="12"/>
      <c r="EE519" s="12"/>
      <c r="EF519" s="12"/>
      <c r="EG519" s="12"/>
      <c r="EH519" s="12"/>
      <c r="EI519" s="12"/>
      <c r="EJ519" s="574"/>
      <c r="EK519" s="574"/>
      <c r="EL519" s="574"/>
      <c r="EM519" s="574"/>
      <c r="EN519" s="574"/>
      <c r="EO519" s="574"/>
      <c r="EP519" s="574"/>
      <c r="EQ519" s="574"/>
      <c r="ER519" s="574"/>
      <c r="ES519" s="574"/>
      <c r="ET519" s="574"/>
      <c r="EU519" s="574"/>
    </row>
    <row r="520">
      <c r="A520" s="12"/>
      <c r="B520" s="55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  <c r="AY520" s="12"/>
      <c r="AZ520" s="12"/>
      <c r="BA520" s="12"/>
      <c r="BB520" s="12"/>
      <c r="BC520" s="12"/>
      <c r="BD520" s="12"/>
      <c r="BE520" s="12"/>
      <c r="BF520" s="12"/>
      <c r="BG520" s="12"/>
      <c r="BH520" s="12"/>
      <c r="BI520" s="12"/>
      <c r="BJ520" s="12"/>
      <c r="BK520" s="12"/>
      <c r="BL520" s="12"/>
      <c r="BM520" s="12"/>
      <c r="BN520" s="12"/>
      <c r="BO520" s="12"/>
      <c r="BP520" s="12"/>
      <c r="BQ520" s="12"/>
      <c r="BR520" s="12"/>
      <c r="BS520" s="12"/>
      <c r="BT520" s="12"/>
      <c r="BU520" s="12"/>
      <c r="BV520" s="12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574"/>
      <c r="EK520" s="574"/>
      <c r="EL520" s="574"/>
      <c r="EM520" s="574"/>
      <c r="EN520" s="574"/>
      <c r="EO520" s="574"/>
      <c r="EP520" s="574"/>
      <c r="EQ520" s="574"/>
      <c r="ER520" s="574"/>
      <c r="ES520" s="574"/>
      <c r="ET520" s="574"/>
      <c r="EU520" s="574"/>
    </row>
    <row r="521">
      <c r="A521" s="12"/>
      <c r="B521" s="55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  <c r="AY521" s="12"/>
      <c r="AZ521" s="12"/>
      <c r="BA521" s="12"/>
      <c r="BB521" s="12"/>
      <c r="BC521" s="12"/>
      <c r="BD521" s="12"/>
      <c r="BE521" s="12"/>
      <c r="BF521" s="12"/>
      <c r="BG521" s="12"/>
      <c r="BH521" s="12"/>
      <c r="BI521" s="12"/>
      <c r="BJ521" s="12"/>
      <c r="BK521" s="12"/>
      <c r="BL521" s="12"/>
      <c r="BM521" s="12"/>
      <c r="BN521" s="12"/>
      <c r="BO521" s="12"/>
      <c r="BP521" s="12"/>
      <c r="BQ521" s="12"/>
      <c r="BR521" s="12"/>
      <c r="BS521" s="12"/>
      <c r="BT521" s="12"/>
      <c r="BU521" s="12"/>
      <c r="BV521" s="12"/>
      <c r="BW521" s="12"/>
      <c r="BX521" s="12"/>
      <c r="BY521" s="12"/>
      <c r="BZ521" s="12"/>
      <c r="CA521" s="12"/>
      <c r="CB521" s="12"/>
      <c r="CC521" s="12"/>
      <c r="CD521" s="12"/>
      <c r="CE521" s="12"/>
      <c r="CF521" s="12"/>
      <c r="CG521" s="12"/>
      <c r="CH521" s="12"/>
      <c r="CI521" s="12"/>
      <c r="CJ521" s="12"/>
      <c r="CK521" s="12"/>
      <c r="CL521" s="12"/>
      <c r="CM521" s="12"/>
      <c r="CN521" s="12"/>
      <c r="CO521" s="12"/>
      <c r="CP521" s="12"/>
      <c r="CQ521" s="12"/>
      <c r="CR521" s="12"/>
      <c r="CS521" s="12"/>
      <c r="CT521" s="12"/>
      <c r="CU521" s="12"/>
      <c r="CV521" s="12"/>
      <c r="CW521" s="12"/>
      <c r="CX521" s="12"/>
      <c r="CY521" s="12"/>
      <c r="CZ521" s="12"/>
      <c r="DA521" s="12"/>
      <c r="DB521" s="12"/>
      <c r="DC521" s="12"/>
      <c r="DD521" s="12"/>
      <c r="DE521" s="12"/>
      <c r="DF521" s="12"/>
      <c r="DG521" s="12"/>
      <c r="DH521" s="12"/>
      <c r="DI521" s="12"/>
      <c r="DJ521" s="12"/>
      <c r="DK521" s="12"/>
      <c r="DL521" s="12"/>
      <c r="DM521" s="12"/>
      <c r="DN521" s="12"/>
      <c r="DO521" s="12"/>
      <c r="DP521" s="12"/>
      <c r="DQ521" s="12"/>
      <c r="DR521" s="12"/>
      <c r="DS521" s="12"/>
      <c r="DT521" s="12"/>
      <c r="DU521" s="12"/>
      <c r="DV521" s="12"/>
      <c r="DW521" s="12"/>
      <c r="DX521" s="12"/>
      <c r="DY521" s="12"/>
      <c r="DZ521" s="12"/>
      <c r="EA521" s="12"/>
      <c r="EB521" s="12"/>
      <c r="EC521" s="12"/>
      <c r="ED521" s="12"/>
      <c r="EE521" s="12"/>
      <c r="EF521" s="12"/>
      <c r="EG521" s="12"/>
      <c r="EH521" s="12"/>
      <c r="EI521" s="12"/>
      <c r="EJ521" s="574"/>
      <c r="EK521" s="574"/>
      <c r="EL521" s="574"/>
      <c r="EM521" s="574"/>
      <c r="EN521" s="574"/>
      <c r="EO521" s="574"/>
      <c r="EP521" s="574"/>
      <c r="EQ521" s="574"/>
      <c r="ER521" s="574"/>
      <c r="ES521" s="574"/>
      <c r="ET521" s="574"/>
      <c r="EU521" s="574"/>
    </row>
    <row r="522">
      <c r="A522" s="12"/>
      <c r="B522" s="55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  <c r="AY522" s="12"/>
      <c r="AZ522" s="12"/>
      <c r="BA522" s="12"/>
      <c r="BB522" s="12"/>
      <c r="BC522" s="12"/>
      <c r="BD522" s="12"/>
      <c r="BE522" s="12"/>
      <c r="BF522" s="12"/>
      <c r="BG522" s="12"/>
      <c r="BH522" s="12"/>
      <c r="BI522" s="12"/>
      <c r="BJ522" s="12"/>
      <c r="BK522" s="12"/>
      <c r="BL522" s="12"/>
      <c r="BM522" s="12"/>
      <c r="BN522" s="12"/>
      <c r="BO522" s="12"/>
      <c r="BP522" s="12"/>
      <c r="BQ522" s="12"/>
      <c r="BR522" s="12"/>
      <c r="BS522" s="12"/>
      <c r="BT522" s="12"/>
      <c r="BU522" s="12"/>
      <c r="BV522" s="12"/>
      <c r="BW522" s="12"/>
      <c r="BX522" s="12"/>
      <c r="BY522" s="12"/>
      <c r="BZ522" s="12"/>
      <c r="CA522" s="12"/>
      <c r="CB522" s="12"/>
      <c r="CC522" s="12"/>
      <c r="CD522" s="12"/>
      <c r="CE522" s="12"/>
      <c r="CF522" s="12"/>
      <c r="CG522" s="12"/>
      <c r="CH522" s="12"/>
      <c r="CI522" s="12"/>
      <c r="CJ522" s="12"/>
      <c r="CK522" s="12"/>
      <c r="CL522" s="12"/>
      <c r="CM522" s="12"/>
      <c r="CN522" s="12"/>
      <c r="CO522" s="12"/>
      <c r="CP522" s="12"/>
      <c r="CQ522" s="12"/>
      <c r="CR522" s="12"/>
      <c r="CS522" s="12"/>
      <c r="CT522" s="12"/>
      <c r="CU522" s="12"/>
      <c r="CV522" s="12"/>
      <c r="CW522" s="12"/>
      <c r="CX522" s="12"/>
      <c r="CY522" s="12"/>
      <c r="CZ522" s="12"/>
      <c r="DA522" s="12"/>
      <c r="DB522" s="12"/>
      <c r="DC522" s="12"/>
      <c r="DD522" s="12"/>
      <c r="DE522" s="12"/>
      <c r="DF522" s="12"/>
      <c r="DG522" s="12"/>
      <c r="DH522" s="12"/>
      <c r="DI522" s="12"/>
      <c r="DJ522" s="12"/>
      <c r="DK522" s="12"/>
      <c r="DL522" s="12"/>
      <c r="DM522" s="12"/>
      <c r="DN522" s="12"/>
      <c r="DO522" s="12"/>
      <c r="DP522" s="12"/>
      <c r="DQ522" s="12"/>
      <c r="DR522" s="12"/>
      <c r="DS522" s="12"/>
      <c r="DT522" s="12"/>
      <c r="DU522" s="12"/>
      <c r="DV522" s="12"/>
      <c r="DW522" s="12"/>
      <c r="DX522" s="12"/>
      <c r="DY522" s="12"/>
      <c r="DZ522" s="12"/>
      <c r="EA522" s="12"/>
      <c r="EB522" s="12"/>
      <c r="EC522" s="12"/>
      <c r="ED522" s="12"/>
      <c r="EE522" s="12"/>
      <c r="EF522" s="12"/>
      <c r="EG522" s="12"/>
      <c r="EH522" s="12"/>
      <c r="EI522" s="12"/>
      <c r="EJ522" s="574"/>
      <c r="EK522" s="574"/>
      <c r="EL522" s="574"/>
      <c r="EM522" s="574"/>
      <c r="EN522" s="574"/>
      <c r="EO522" s="574"/>
      <c r="EP522" s="574"/>
      <c r="EQ522" s="574"/>
      <c r="ER522" s="574"/>
      <c r="ES522" s="574"/>
      <c r="ET522" s="574"/>
      <c r="EU522" s="574"/>
    </row>
    <row r="523">
      <c r="A523" s="12"/>
      <c r="B523" s="55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  <c r="AY523" s="12"/>
      <c r="AZ523" s="12"/>
      <c r="BA523" s="12"/>
      <c r="BB523" s="12"/>
      <c r="BC523" s="12"/>
      <c r="BD523" s="12"/>
      <c r="BE523" s="12"/>
      <c r="BF523" s="12"/>
      <c r="BG523" s="12"/>
      <c r="BH523" s="12"/>
      <c r="BI523" s="12"/>
      <c r="BJ523" s="12"/>
      <c r="BK523" s="12"/>
      <c r="BL523" s="12"/>
      <c r="BM523" s="12"/>
      <c r="BN523" s="12"/>
      <c r="BO523" s="12"/>
      <c r="BP523" s="12"/>
      <c r="BQ523" s="12"/>
      <c r="BR523" s="12"/>
      <c r="BS523" s="12"/>
      <c r="BT523" s="12"/>
      <c r="BU523" s="12"/>
      <c r="BV523" s="12"/>
      <c r="BW523" s="12"/>
      <c r="BX523" s="12"/>
      <c r="BY523" s="12"/>
      <c r="BZ523" s="12"/>
      <c r="CA523" s="12"/>
      <c r="CB523" s="12"/>
      <c r="CC523" s="12"/>
      <c r="CD523" s="12"/>
      <c r="CE523" s="12"/>
      <c r="CF523" s="12"/>
      <c r="CG523" s="12"/>
      <c r="CH523" s="12"/>
      <c r="CI523" s="12"/>
      <c r="CJ523" s="12"/>
      <c r="CK523" s="12"/>
      <c r="CL523" s="12"/>
      <c r="CM523" s="12"/>
      <c r="CN523" s="12"/>
      <c r="CO523" s="12"/>
      <c r="CP523" s="12"/>
      <c r="CQ523" s="12"/>
      <c r="CR523" s="12"/>
      <c r="CS523" s="12"/>
      <c r="CT523" s="12"/>
      <c r="CU523" s="12"/>
      <c r="CV523" s="12"/>
      <c r="CW523" s="12"/>
      <c r="CX523" s="12"/>
      <c r="CY523" s="12"/>
      <c r="CZ523" s="12"/>
      <c r="DA523" s="12"/>
      <c r="DB523" s="12"/>
      <c r="DC523" s="12"/>
      <c r="DD523" s="12"/>
      <c r="DE523" s="12"/>
      <c r="DF523" s="12"/>
      <c r="DG523" s="12"/>
      <c r="DH523" s="12"/>
      <c r="DI523" s="12"/>
      <c r="DJ523" s="12"/>
      <c r="DK523" s="12"/>
      <c r="DL523" s="12"/>
      <c r="DM523" s="12"/>
      <c r="DN523" s="12"/>
      <c r="DO523" s="12"/>
      <c r="DP523" s="12"/>
      <c r="DQ523" s="12"/>
      <c r="DR523" s="12"/>
      <c r="DS523" s="12"/>
      <c r="DT523" s="12"/>
      <c r="DU523" s="12"/>
      <c r="DV523" s="12"/>
      <c r="DW523" s="12"/>
      <c r="DX523" s="12"/>
      <c r="DY523" s="12"/>
      <c r="DZ523" s="12"/>
      <c r="EA523" s="12"/>
      <c r="EB523" s="12"/>
      <c r="EC523" s="12"/>
      <c r="ED523" s="12"/>
      <c r="EE523" s="12"/>
      <c r="EF523" s="12"/>
      <c r="EG523" s="12"/>
      <c r="EH523" s="12"/>
      <c r="EI523" s="12"/>
      <c r="EJ523" s="574"/>
      <c r="EK523" s="574"/>
      <c r="EL523" s="574"/>
      <c r="EM523" s="574"/>
      <c r="EN523" s="574"/>
      <c r="EO523" s="574"/>
      <c r="EP523" s="574"/>
      <c r="EQ523" s="574"/>
      <c r="ER523" s="574"/>
      <c r="ES523" s="574"/>
      <c r="ET523" s="574"/>
      <c r="EU523" s="574"/>
    </row>
    <row r="524">
      <c r="A524" s="12"/>
      <c r="B524" s="55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  <c r="AY524" s="12"/>
      <c r="AZ524" s="12"/>
      <c r="BA524" s="12"/>
      <c r="BB524" s="12"/>
      <c r="BC524" s="12"/>
      <c r="BD524" s="12"/>
      <c r="BE524" s="12"/>
      <c r="BF524" s="12"/>
      <c r="BG524" s="12"/>
      <c r="BH524" s="12"/>
      <c r="BI524" s="12"/>
      <c r="BJ524" s="12"/>
      <c r="BK524" s="12"/>
      <c r="BL524" s="12"/>
      <c r="BM524" s="12"/>
      <c r="BN524" s="12"/>
      <c r="BO524" s="12"/>
      <c r="BP524" s="12"/>
      <c r="BQ524" s="12"/>
      <c r="BR524" s="12"/>
      <c r="BS524" s="12"/>
      <c r="BT524" s="12"/>
      <c r="BU524" s="12"/>
      <c r="BV524" s="12"/>
      <c r="BW524" s="12"/>
      <c r="BX524" s="12"/>
      <c r="BY524" s="12"/>
      <c r="BZ524" s="12"/>
      <c r="CA524" s="12"/>
      <c r="CB524" s="12"/>
      <c r="CC524" s="12"/>
      <c r="CD524" s="12"/>
      <c r="CE524" s="12"/>
      <c r="CF524" s="12"/>
      <c r="CG524" s="12"/>
      <c r="CH524" s="12"/>
      <c r="CI524" s="12"/>
      <c r="CJ524" s="12"/>
      <c r="CK524" s="12"/>
      <c r="CL524" s="12"/>
      <c r="CM524" s="12"/>
      <c r="CN524" s="12"/>
      <c r="CO524" s="12"/>
      <c r="CP524" s="12"/>
      <c r="CQ524" s="12"/>
      <c r="CR524" s="12"/>
      <c r="CS524" s="12"/>
      <c r="CT524" s="12"/>
      <c r="CU524" s="12"/>
      <c r="CV524" s="12"/>
      <c r="CW524" s="12"/>
      <c r="CX524" s="12"/>
      <c r="CY524" s="12"/>
      <c r="CZ524" s="12"/>
      <c r="DA524" s="12"/>
      <c r="DB524" s="12"/>
      <c r="DC524" s="12"/>
      <c r="DD524" s="12"/>
      <c r="DE524" s="12"/>
      <c r="DF524" s="12"/>
      <c r="DG524" s="12"/>
      <c r="DH524" s="12"/>
      <c r="DI524" s="12"/>
      <c r="DJ524" s="12"/>
      <c r="DK524" s="12"/>
      <c r="DL524" s="12"/>
      <c r="DM524" s="12"/>
      <c r="DN524" s="12"/>
      <c r="DO524" s="12"/>
      <c r="DP524" s="12"/>
      <c r="DQ524" s="12"/>
      <c r="DR524" s="12"/>
      <c r="DS524" s="12"/>
      <c r="DT524" s="12"/>
      <c r="DU524" s="12"/>
      <c r="DV524" s="12"/>
      <c r="DW524" s="12"/>
      <c r="DX524" s="12"/>
      <c r="DY524" s="12"/>
      <c r="DZ524" s="12"/>
      <c r="EA524" s="12"/>
      <c r="EB524" s="12"/>
      <c r="EC524" s="12"/>
      <c r="ED524" s="12"/>
      <c r="EE524" s="12"/>
      <c r="EF524" s="12"/>
      <c r="EG524" s="12"/>
      <c r="EH524" s="12"/>
      <c r="EI524" s="12"/>
      <c r="EJ524" s="574"/>
      <c r="EK524" s="574"/>
      <c r="EL524" s="574"/>
      <c r="EM524" s="574"/>
      <c r="EN524" s="574"/>
      <c r="EO524" s="574"/>
      <c r="EP524" s="574"/>
      <c r="EQ524" s="574"/>
      <c r="ER524" s="574"/>
      <c r="ES524" s="574"/>
      <c r="ET524" s="574"/>
      <c r="EU524" s="574"/>
    </row>
    <row r="525">
      <c r="A525" s="12"/>
      <c r="B525" s="55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  <c r="AY525" s="12"/>
      <c r="AZ525" s="12"/>
      <c r="BA525" s="12"/>
      <c r="BB525" s="12"/>
      <c r="BC525" s="12"/>
      <c r="BD525" s="12"/>
      <c r="BE525" s="12"/>
      <c r="BF525" s="12"/>
      <c r="BG525" s="12"/>
      <c r="BH525" s="12"/>
      <c r="BI525" s="12"/>
      <c r="BJ525" s="12"/>
      <c r="BK525" s="12"/>
      <c r="BL525" s="12"/>
      <c r="BM525" s="12"/>
      <c r="BN525" s="12"/>
      <c r="BO525" s="12"/>
      <c r="BP525" s="12"/>
      <c r="BQ525" s="12"/>
      <c r="BR525" s="12"/>
      <c r="BS525" s="12"/>
      <c r="BT525" s="12"/>
      <c r="BU525" s="12"/>
      <c r="BV525" s="12"/>
      <c r="BW525" s="12"/>
      <c r="BX525" s="12"/>
      <c r="BY525" s="12"/>
      <c r="BZ525" s="12"/>
      <c r="CA525" s="12"/>
      <c r="CB525" s="12"/>
      <c r="CC525" s="12"/>
      <c r="CD525" s="12"/>
      <c r="CE525" s="12"/>
      <c r="CF525" s="12"/>
      <c r="CG525" s="12"/>
      <c r="CH525" s="12"/>
      <c r="CI525" s="12"/>
      <c r="CJ525" s="12"/>
      <c r="CK525" s="12"/>
      <c r="CL525" s="12"/>
      <c r="CM525" s="12"/>
      <c r="CN525" s="12"/>
      <c r="CO525" s="12"/>
      <c r="CP525" s="12"/>
      <c r="CQ525" s="12"/>
      <c r="CR525" s="12"/>
      <c r="CS525" s="12"/>
      <c r="CT525" s="12"/>
      <c r="CU525" s="12"/>
      <c r="CV525" s="12"/>
      <c r="CW525" s="12"/>
      <c r="CX525" s="12"/>
      <c r="CY525" s="12"/>
      <c r="CZ525" s="12"/>
      <c r="DA525" s="12"/>
      <c r="DB525" s="12"/>
      <c r="DC525" s="12"/>
      <c r="DD525" s="12"/>
      <c r="DE525" s="12"/>
      <c r="DF525" s="12"/>
      <c r="DG525" s="12"/>
      <c r="DH525" s="12"/>
      <c r="DI525" s="12"/>
      <c r="DJ525" s="12"/>
      <c r="DK525" s="12"/>
      <c r="DL525" s="12"/>
      <c r="DM525" s="12"/>
      <c r="DN525" s="12"/>
      <c r="DO525" s="12"/>
      <c r="DP525" s="12"/>
      <c r="DQ525" s="12"/>
      <c r="DR525" s="12"/>
      <c r="DS525" s="12"/>
      <c r="DT525" s="12"/>
      <c r="DU525" s="12"/>
      <c r="DV525" s="12"/>
      <c r="DW525" s="12"/>
      <c r="DX525" s="12"/>
      <c r="DY525" s="12"/>
      <c r="DZ525" s="12"/>
      <c r="EA525" s="12"/>
      <c r="EB525" s="12"/>
      <c r="EC525" s="12"/>
      <c r="ED525" s="12"/>
      <c r="EE525" s="12"/>
      <c r="EF525" s="12"/>
      <c r="EG525" s="12"/>
      <c r="EH525" s="12"/>
      <c r="EI525" s="12"/>
      <c r="EJ525" s="574"/>
      <c r="EK525" s="574"/>
      <c r="EL525" s="574"/>
      <c r="EM525" s="574"/>
      <c r="EN525" s="574"/>
      <c r="EO525" s="574"/>
      <c r="EP525" s="574"/>
      <c r="EQ525" s="574"/>
      <c r="ER525" s="574"/>
      <c r="ES525" s="574"/>
      <c r="ET525" s="574"/>
      <c r="EU525" s="574"/>
    </row>
    <row r="526">
      <c r="A526" s="12"/>
      <c r="B526" s="55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  <c r="AY526" s="12"/>
      <c r="AZ526" s="12"/>
      <c r="BA526" s="12"/>
      <c r="BB526" s="12"/>
      <c r="BC526" s="12"/>
      <c r="BD526" s="12"/>
      <c r="BE526" s="12"/>
      <c r="BF526" s="12"/>
      <c r="BG526" s="12"/>
      <c r="BH526" s="12"/>
      <c r="BI526" s="12"/>
      <c r="BJ526" s="12"/>
      <c r="BK526" s="12"/>
      <c r="BL526" s="12"/>
      <c r="BM526" s="12"/>
      <c r="BN526" s="12"/>
      <c r="BO526" s="12"/>
      <c r="BP526" s="12"/>
      <c r="BQ526" s="12"/>
      <c r="BR526" s="12"/>
      <c r="BS526" s="12"/>
      <c r="BT526" s="12"/>
      <c r="BU526" s="12"/>
      <c r="BV526" s="12"/>
      <c r="BW526" s="12"/>
      <c r="BX526" s="12"/>
      <c r="BY526" s="12"/>
      <c r="BZ526" s="12"/>
      <c r="CA526" s="12"/>
      <c r="CB526" s="12"/>
      <c r="CC526" s="12"/>
      <c r="CD526" s="12"/>
      <c r="CE526" s="12"/>
      <c r="CF526" s="12"/>
      <c r="CG526" s="12"/>
      <c r="CH526" s="12"/>
      <c r="CI526" s="12"/>
      <c r="CJ526" s="12"/>
      <c r="CK526" s="12"/>
      <c r="CL526" s="12"/>
      <c r="CM526" s="12"/>
      <c r="CN526" s="12"/>
      <c r="CO526" s="12"/>
      <c r="CP526" s="12"/>
      <c r="CQ526" s="12"/>
      <c r="CR526" s="12"/>
      <c r="CS526" s="12"/>
      <c r="CT526" s="12"/>
      <c r="CU526" s="12"/>
      <c r="CV526" s="12"/>
      <c r="CW526" s="12"/>
      <c r="CX526" s="12"/>
      <c r="CY526" s="12"/>
      <c r="CZ526" s="12"/>
      <c r="DA526" s="12"/>
      <c r="DB526" s="12"/>
      <c r="DC526" s="12"/>
      <c r="DD526" s="12"/>
      <c r="DE526" s="12"/>
      <c r="DF526" s="12"/>
      <c r="DG526" s="12"/>
      <c r="DH526" s="12"/>
      <c r="DI526" s="12"/>
      <c r="DJ526" s="12"/>
      <c r="DK526" s="12"/>
      <c r="DL526" s="12"/>
      <c r="DM526" s="12"/>
      <c r="DN526" s="12"/>
      <c r="DO526" s="12"/>
      <c r="DP526" s="12"/>
      <c r="DQ526" s="12"/>
      <c r="DR526" s="12"/>
      <c r="DS526" s="12"/>
      <c r="DT526" s="12"/>
      <c r="DU526" s="12"/>
      <c r="DV526" s="12"/>
      <c r="DW526" s="12"/>
      <c r="DX526" s="12"/>
      <c r="DY526" s="12"/>
      <c r="DZ526" s="12"/>
      <c r="EA526" s="12"/>
      <c r="EB526" s="12"/>
      <c r="EC526" s="12"/>
      <c r="ED526" s="12"/>
      <c r="EE526" s="12"/>
      <c r="EF526" s="12"/>
      <c r="EG526" s="12"/>
      <c r="EH526" s="12"/>
      <c r="EI526" s="12"/>
      <c r="EJ526" s="574"/>
      <c r="EK526" s="574"/>
      <c r="EL526" s="574"/>
      <c r="EM526" s="574"/>
      <c r="EN526" s="574"/>
      <c r="EO526" s="574"/>
      <c r="EP526" s="574"/>
      <c r="EQ526" s="574"/>
      <c r="ER526" s="574"/>
      <c r="ES526" s="574"/>
      <c r="ET526" s="574"/>
      <c r="EU526" s="574"/>
    </row>
    <row r="527">
      <c r="A527" s="12"/>
      <c r="B527" s="55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  <c r="AY527" s="12"/>
      <c r="AZ527" s="12"/>
      <c r="BA527" s="12"/>
      <c r="BB527" s="12"/>
      <c r="BC527" s="12"/>
      <c r="BD527" s="12"/>
      <c r="BE527" s="12"/>
      <c r="BF527" s="12"/>
      <c r="BG527" s="12"/>
      <c r="BH527" s="12"/>
      <c r="BI527" s="12"/>
      <c r="BJ527" s="12"/>
      <c r="BK527" s="12"/>
      <c r="BL527" s="12"/>
      <c r="BM527" s="12"/>
      <c r="BN527" s="12"/>
      <c r="BO527" s="12"/>
      <c r="BP527" s="12"/>
      <c r="BQ527" s="12"/>
      <c r="BR527" s="12"/>
      <c r="BS527" s="12"/>
      <c r="BT527" s="12"/>
      <c r="BU527" s="12"/>
      <c r="BV527" s="12"/>
      <c r="BW527" s="12"/>
      <c r="BX527" s="12"/>
      <c r="BY527" s="12"/>
      <c r="BZ527" s="12"/>
      <c r="CA527" s="12"/>
      <c r="CB527" s="12"/>
      <c r="CC527" s="12"/>
      <c r="CD527" s="12"/>
      <c r="CE527" s="12"/>
      <c r="CF527" s="12"/>
      <c r="CG527" s="12"/>
      <c r="CH527" s="12"/>
      <c r="CI527" s="12"/>
      <c r="CJ527" s="12"/>
      <c r="CK527" s="12"/>
      <c r="CL527" s="12"/>
      <c r="CM527" s="12"/>
      <c r="CN527" s="12"/>
      <c r="CO527" s="12"/>
      <c r="CP527" s="12"/>
      <c r="CQ527" s="12"/>
      <c r="CR527" s="12"/>
      <c r="CS527" s="12"/>
      <c r="CT527" s="12"/>
      <c r="CU527" s="12"/>
      <c r="CV527" s="12"/>
      <c r="CW527" s="12"/>
      <c r="CX527" s="12"/>
      <c r="CY527" s="12"/>
      <c r="CZ527" s="12"/>
      <c r="DA527" s="12"/>
      <c r="DB527" s="12"/>
      <c r="DC527" s="12"/>
      <c r="DD527" s="12"/>
      <c r="DE527" s="12"/>
      <c r="DF527" s="12"/>
      <c r="DG527" s="12"/>
      <c r="DH527" s="12"/>
      <c r="DI527" s="12"/>
      <c r="DJ527" s="12"/>
      <c r="DK527" s="12"/>
      <c r="DL527" s="12"/>
      <c r="DM527" s="12"/>
      <c r="DN527" s="12"/>
      <c r="DO527" s="12"/>
      <c r="DP527" s="12"/>
      <c r="DQ527" s="12"/>
      <c r="DR527" s="12"/>
      <c r="DS527" s="12"/>
      <c r="DT527" s="12"/>
      <c r="DU527" s="12"/>
      <c r="DV527" s="12"/>
      <c r="DW527" s="12"/>
      <c r="DX527" s="12"/>
      <c r="DY527" s="12"/>
      <c r="DZ527" s="12"/>
      <c r="EA527" s="12"/>
      <c r="EB527" s="12"/>
      <c r="EC527" s="12"/>
      <c r="ED527" s="12"/>
      <c r="EE527" s="12"/>
      <c r="EF527" s="12"/>
      <c r="EG527" s="12"/>
      <c r="EH527" s="12"/>
      <c r="EI527" s="12"/>
      <c r="EJ527" s="574"/>
      <c r="EK527" s="574"/>
      <c r="EL527" s="574"/>
      <c r="EM527" s="574"/>
      <c r="EN527" s="574"/>
      <c r="EO527" s="574"/>
      <c r="EP527" s="574"/>
      <c r="EQ527" s="574"/>
      <c r="ER527" s="574"/>
      <c r="ES527" s="574"/>
      <c r="ET527" s="574"/>
      <c r="EU527" s="574"/>
    </row>
    <row r="528">
      <c r="A528" s="12"/>
      <c r="B528" s="55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  <c r="AY528" s="12"/>
      <c r="AZ528" s="12"/>
      <c r="BA528" s="12"/>
      <c r="BB528" s="12"/>
      <c r="BC528" s="12"/>
      <c r="BD528" s="12"/>
      <c r="BE528" s="12"/>
      <c r="BF528" s="12"/>
      <c r="BG528" s="12"/>
      <c r="BH528" s="12"/>
      <c r="BI528" s="12"/>
      <c r="BJ528" s="12"/>
      <c r="BK528" s="12"/>
      <c r="BL528" s="12"/>
      <c r="BM528" s="12"/>
      <c r="BN528" s="12"/>
      <c r="BO528" s="12"/>
      <c r="BP528" s="12"/>
      <c r="BQ528" s="12"/>
      <c r="BR528" s="12"/>
      <c r="BS528" s="12"/>
      <c r="BT528" s="12"/>
      <c r="BU528" s="12"/>
      <c r="BV528" s="12"/>
      <c r="BW528" s="12"/>
      <c r="BX528" s="12"/>
      <c r="BY528" s="12"/>
      <c r="BZ528" s="12"/>
      <c r="CA528" s="12"/>
      <c r="CB528" s="12"/>
      <c r="CC528" s="12"/>
      <c r="CD528" s="12"/>
      <c r="CE528" s="12"/>
      <c r="CF528" s="12"/>
      <c r="CG528" s="12"/>
      <c r="CH528" s="12"/>
      <c r="CI528" s="12"/>
      <c r="CJ528" s="12"/>
      <c r="CK528" s="12"/>
      <c r="CL528" s="12"/>
      <c r="CM528" s="12"/>
      <c r="CN528" s="12"/>
      <c r="CO528" s="12"/>
      <c r="CP528" s="12"/>
      <c r="CQ528" s="12"/>
      <c r="CR528" s="12"/>
      <c r="CS528" s="12"/>
      <c r="CT528" s="12"/>
      <c r="CU528" s="12"/>
      <c r="CV528" s="12"/>
      <c r="CW528" s="12"/>
      <c r="CX528" s="12"/>
      <c r="CY528" s="12"/>
      <c r="CZ528" s="12"/>
      <c r="DA528" s="12"/>
      <c r="DB528" s="12"/>
      <c r="DC528" s="12"/>
      <c r="DD528" s="12"/>
      <c r="DE528" s="12"/>
      <c r="DF528" s="12"/>
      <c r="DG528" s="12"/>
      <c r="DH528" s="12"/>
      <c r="DI528" s="12"/>
      <c r="DJ528" s="12"/>
      <c r="DK528" s="12"/>
      <c r="DL528" s="12"/>
      <c r="DM528" s="12"/>
      <c r="DN528" s="12"/>
      <c r="DO528" s="12"/>
      <c r="DP528" s="12"/>
      <c r="DQ528" s="12"/>
      <c r="DR528" s="12"/>
      <c r="DS528" s="12"/>
      <c r="DT528" s="12"/>
      <c r="DU528" s="12"/>
      <c r="DV528" s="12"/>
      <c r="DW528" s="12"/>
      <c r="DX528" s="12"/>
      <c r="DY528" s="12"/>
      <c r="DZ528" s="12"/>
      <c r="EA528" s="12"/>
      <c r="EB528" s="12"/>
      <c r="EC528" s="12"/>
      <c r="ED528" s="12"/>
      <c r="EE528" s="12"/>
      <c r="EF528" s="12"/>
      <c r="EG528" s="12"/>
      <c r="EH528" s="12"/>
      <c r="EI528" s="12"/>
      <c r="EJ528" s="574"/>
      <c r="EK528" s="574"/>
      <c r="EL528" s="574"/>
      <c r="EM528" s="574"/>
      <c r="EN528" s="574"/>
      <c r="EO528" s="574"/>
      <c r="EP528" s="574"/>
      <c r="EQ528" s="574"/>
      <c r="ER528" s="574"/>
      <c r="ES528" s="574"/>
      <c r="ET528" s="574"/>
      <c r="EU528" s="574"/>
    </row>
    <row r="529">
      <c r="A529" s="12"/>
      <c r="B529" s="55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  <c r="AY529" s="12"/>
      <c r="AZ529" s="12"/>
      <c r="BA529" s="12"/>
      <c r="BB529" s="12"/>
      <c r="BC529" s="12"/>
      <c r="BD529" s="12"/>
      <c r="BE529" s="12"/>
      <c r="BF529" s="12"/>
      <c r="BG529" s="12"/>
      <c r="BH529" s="12"/>
      <c r="BI529" s="12"/>
      <c r="BJ529" s="12"/>
      <c r="BK529" s="12"/>
      <c r="BL529" s="12"/>
      <c r="BM529" s="12"/>
      <c r="BN529" s="12"/>
      <c r="BO529" s="12"/>
      <c r="BP529" s="12"/>
      <c r="BQ529" s="12"/>
      <c r="BR529" s="12"/>
      <c r="BS529" s="12"/>
      <c r="BT529" s="12"/>
      <c r="BU529" s="12"/>
      <c r="BV529" s="12"/>
      <c r="BW529" s="12"/>
      <c r="BX529" s="12"/>
      <c r="BY529" s="12"/>
      <c r="BZ529" s="12"/>
      <c r="CA529" s="12"/>
      <c r="CB529" s="12"/>
      <c r="CC529" s="12"/>
      <c r="CD529" s="12"/>
      <c r="CE529" s="12"/>
      <c r="CF529" s="12"/>
      <c r="CG529" s="12"/>
      <c r="CH529" s="12"/>
      <c r="CI529" s="12"/>
      <c r="CJ529" s="12"/>
      <c r="CK529" s="12"/>
      <c r="CL529" s="12"/>
      <c r="CM529" s="12"/>
      <c r="CN529" s="12"/>
      <c r="CO529" s="12"/>
      <c r="CP529" s="12"/>
      <c r="CQ529" s="12"/>
      <c r="CR529" s="12"/>
      <c r="CS529" s="12"/>
      <c r="CT529" s="12"/>
      <c r="CU529" s="12"/>
      <c r="CV529" s="12"/>
      <c r="CW529" s="12"/>
      <c r="CX529" s="12"/>
      <c r="CY529" s="12"/>
      <c r="CZ529" s="12"/>
      <c r="DA529" s="12"/>
      <c r="DB529" s="12"/>
      <c r="DC529" s="12"/>
      <c r="DD529" s="12"/>
      <c r="DE529" s="12"/>
      <c r="DF529" s="12"/>
      <c r="DG529" s="12"/>
      <c r="DH529" s="12"/>
      <c r="DI529" s="12"/>
      <c r="DJ529" s="12"/>
      <c r="DK529" s="12"/>
      <c r="DL529" s="12"/>
      <c r="DM529" s="12"/>
      <c r="DN529" s="12"/>
      <c r="DO529" s="12"/>
      <c r="DP529" s="12"/>
      <c r="DQ529" s="12"/>
      <c r="DR529" s="12"/>
      <c r="DS529" s="12"/>
      <c r="DT529" s="12"/>
      <c r="DU529" s="12"/>
      <c r="DV529" s="12"/>
      <c r="DW529" s="12"/>
      <c r="DX529" s="12"/>
      <c r="DY529" s="12"/>
      <c r="DZ529" s="12"/>
      <c r="EA529" s="12"/>
      <c r="EB529" s="12"/>
      <c r="EC529" s="12"/>
      <c r="ED529" s="12"/>
      <c r="EE529" s="12"/>
      <c r="EF529" s="12"/>
      <c r="EG529" s="12"/>
      <c r="EH529" s="12"/>
      <c r="EI529" s="12"/>
      <c r="EJ529" s="574"/>
      <c r="EK529" s="574"/>
      <c r="EL529" s="574"/>
      <c r="EM529" s="574"/>
      <c r="EN529" s="574"/>
      <c r="EO529" s="574"/>
      <c r="EP529" s="574"/>
      <c r="EQ529" s="574"/>
      <c r="ER529" s="574"/>
      <c r="ES529" s="574"/>
      <c r="ET529" s="574"/>
      <c r="EU529" s="574"/>
    </row>
    <row r="530">
      <c r="A530" s="12"/>
      <c r="B530" s="55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  <c r="AY530" s="12"/>
      <c r="AZ530" s="12"/>
      <c r="BA530" s="12"/>
      <c r="BB530" s="12"/>
      <c r="BC530" s="12"/>
      <c r="BD530" s="12"/>
      <c r="BE530" s="12"/>
      <c r="BF530" s="12"/>
      <c r="BG530" s="12"/>
      <c r="BH530" s="12"/>
      <c r="BI530" s="12"/>
      <c r="BJ530" s="12"/>
      <c r="BK530" s="12"/>
      <c r="BL530" s="12"/>
      <c r="BM530" s="12"/>
      <c r="BN530" s="12"/>
      <c r="BO530" s="12"/>
      <c r="BP530" s="12"/>
      <c r="BQ530" s="12"/>
      <c r="BR530" s="12"/>
      <c r="BS530" s="12"/>
      <c r="BT530" s="12"/>
      <c r="BU530" s="12"/>
      <c r="BV530" s="12"/>
      <c r="BW530" s="12"/>
      <c r="BX530" s="12"/>
      <c r="BY530" s="12"/>
      <c r="BZ530" s="12"/>
      <c r="CA530" s="12"/>
      <c r="CB530" s="12"/>
      <c r="CC530" s="12"/>
      <c r="CD530" s="12"/>
      <c r="CE530" s="12"/>
      <c r="CF530" s="12"/>
      <c r="CG530" s="12"/>
      <c r="CH530" s="12"/>
      <c r="CI530" s="12"/>
      <c r="CJ530" s="12"/>
      <c r="CK530" s="12"/>
      <c r="CL530" s="12"/>
      <c r="CM530" s="12"/>
      <c r="CN530" s="12"/>
      <c r="CO530" s="12"/>
      <c r="CP530" s="12"/>
      <c r="CQ530" s="12"/>
      <c r="CR530" s="12"/>
      <c r="CS530" s="12"/>
      <c r="CT530" s="12"/>
      <c r="CU530" s="12"/>
      <c r="CV530" s="12"/>
      <c r="CW530" s="12"/>
      <c r="CX530" s="12"/>
      <c r="CY530" s="12"/>
      <c r="CZ530" s="12"/>
      <c r="DA530" s="12"/>
      <c r="DB530" s="12"/>
      <c r="DC530" s="12"/>
      <c r="DD530" s="12"/>
      <c r="DE530" s="12"/>
      <c r="DF530" s="12"/>
      <c r="DG530" s="12"/>
      <c r="DH530" s="12"/>
      <c r="DI530" s="12"/>
      <c r="DJ530" s="12"/>
      <c r="DK530" s="12"/>
      <c r="DL530" s="12"/>
      <c r="DM530" s="12"/>
      <c r="DN530" s="12"/>
      <c r="DO530" s="12"/>
      <c r="DP530" s="12"/>
      <c r="DQ530" s="12"/>
      <c r="DR530" s="12"/>
      <c r="DS530" s="12"/>
      <c r="DT530" s="12"/>
      <c r="DU530" s="12"/>
      <c r="DV530" s="12"/>
      <c r="DW530" s="12"/>
      <c r="DX530" s="12"/>
      <c r="DY530" s="12"/>
      <c r="DZ530" s="12"/>
      <c r="EA530" s="12"/>
      <c r="EB530" s="12"/>
      <c r="EC530" s="12"/>
      <c r="ED530" s="12"/>
      <c r="EE530" s="12"/>
      <c r="EF530" s="12"/>
      <c r="EG530" s="12"/>
      <c r="EH530" s="12"/>
      <c r="EI530" s="12"/>
      <c r="EJ530" s="574"/>
      <c r="EK530" s="574"/>
      <c r="EL530" s="574"/>
      <c r="EM530" s="574"/>
      <c r="EN530" s="574"/>
      <c r="EO530" s="574"/>
      <c r="EP530" s="574"/>
      <c r="EQ530" s="574"/>
      <c r="ER530" s="574"/>
      <c r="ES530" s="574"/>
      <c r="ET530" s="574"/>
      <c r="EU530" s="574"/>
    </row>
    <row r="531">
      <c r="A531" s="12"/>
      <c r="B531" s="55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  <c r="AY531" s="12"/>
      <c r="AZ531" s="12"/>
      <c r="BA531" s="12"/>
      <c r="BB531" s="12"/>
      <c r="BC531" s="12"/>
      <c r="BD531" s="12"/>
      <c r="BE531" s="12"/>
      <c r="BF531" s="12"/>
      <c r="BG531" s="12"/>
      <c r="BH531" s="12"/>
      <c r="BI531" s="12"/>
      <c r="BJ531" s="12"/>
      <c r="BK531" s="12"/>
      <c r="BL531" s="12"/>
      <c r="BM531" s="12"/>
      <c r="BN531" s="12"/>
      <c r="BO531" s="12"/>
      <c r="BP531" s="12"/>
      <c r="BQ531" s="12"/>
      <c r="BR531" s="12"/>
      <c r="BS531" s="12"/>
      <c r="BT531" s="12"/>
      <c r="BU531" s="12"/>
      <c r="BV531" s="12"/>
      <c r="BW531" s="12"/>
      <c r="BX531" s="12"/>
      <c r="BY531" s="12"/>
      <c r="BZ531" s="12"/>
      <c r="CA531" s="12"/>
      <c r="CB531" s="12"/>
      <c r="CC531" s="12"/>
      <c r="CD531" s="12"/>
      <c r="CE531" s="12"/>
      <c r="CF531" s="12"/>
      <c r="CG531" s="12"/>
      <c r="CH531" s="12"/>
      <c r="CI531" s="12"/>
      <c r="CJ531" s="12"/>
      <c r="CK531" s="12"/>
      <c r="CL531" s="12"/>
      <c r="CM531" s="12"/>
      <c r="CN531" s="12"/>
      <c r="CO531" s="12"/>
      <c r="CP531" s="12"/>
      <c r="CQ531" s="12"/>
      <c r="CR531" s="12"/>
      <c r="CS531" s="12"/>
      <c r="CT531" s="12"/>
      <c r="CU531" s="12"/>
      <c r="CV531" s="12"/>
      <c r="CW531" s="12"/>
      <c r="CX531" s="12"/>
      <c r="CY531" s="12"/>
      <c r="CZ531" s="12"/>
      <c r="DA531" s="12"/>
      <c r="DB531" s="12"/>
      <c r="DC531" s="12"/>
      <c r="DD531" s="12"/>
      <c r="DE531" s="12"/>
      <c r="DF531" s="12"/>
      <c r="DG531" s="12"/>
      <c r="DH531" s="12"/>
      <c r="DI531" s="12"/>
      <c r="DJ531" s="12"/>
      <c r="DK531" s="12"/>
      <c r="DL531" s="12"/>
      <c r="DM531" s="12"/>
      <c r="DN531" s="12"/>
      <c r="DO531" s="12"/>
      <c r="DP531" s="12"/>
      <c r="DQ531" s="12"/>
      <c r="DR531" s="12"/>
      <c r="DS531" s="12"/>
      <c r="DT531" s="12"/>
      <c r="DU531" s="12"/>
      <c r="DV531" s="12"/>
      <c r="DW531" s="12"/>
      <c r="DX531" s="12"/>
      <c r="DY531" s="12"/>
      <c r="DZ531" s="12"/>
      <c r="EA531" s="12"/>
      <c r="EB531" s="12"/>
      <c r="EC531" s="12"/>
      <c r="ED531" s="12"/>
      <c r="EE531" s="12"/>
      <c r="EF531" s="12"/>
      <c r="EG531" s="12"/>
      <c r="EH531" s="12"/>
      <c r="EI531" s="12"/>
      <c r="EJ531" s="574"/>
      <c r="EK531" s="574"/>
      <c r="EL531" s="574"/>
      <c r="EM531" s="574"/>
      <c r="EN531" s="574"/>
      <c r="EO531" s="574"/>
      <c r="EP531" s="574"/>
      <c r="EQ531" s="574"/>
      <c r="ER531" s="574"/>
      <c r="ES531" s="574"/>
      <c r="ET531" s="574"/>
      <c r="EU531" s="574"/>
    </row>
    <row r="532">
      <c r="A532" s="12"/>
      <c r="B532" s="55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  <c r="AY532" s="12"/>
      <c r="AZ532" s="12"/>
      <c r="BA532" s="12"/>
      <c r="BB532" s="12"/>
      <c r="BC532" s="12"/>
      <c r="BD532" s="12"/>
      <c r="BE532" s="12"/>
      <c r="BF532" s="12"/>
      <c r="BG532" s="12"/>
      <c r="BH532" s="12"/>
      <c r="BI532" s="12"/>
      <c r="BJ532" s="12"/>
      <c r="BK532" s="12"/>
      <c r="BL532" s="12"/>
      <c r="BM532" s="12"/>
      <c r="BN532" s="12"/>
      <c r="BO532" s="12"/>
      <c r="BP532" s="12"/>
      <c r="BQ532" s="12"/>
      <c r="BR532" s="12"/>
      <c r="BS532" s="12"/>
      <c r="BT532" s="12"/>
      <c r="BU532" s="12"/>
      <c r="BV532" s="12"/>
      <c r="BW532" s="12"/>
      <c r="BX532" s="12"/>
      <c r="BY532" s="12"/>
      <c r="BZ532" s="12"/>
      <c r="CA532" s="12"/>
      <c r="CB532" s="12"/>
      <c r="CC532" s="12"/>
      <c r="CD532" s="12"/>
      <c r="CE532" s="12"/>
      <c r="CF532" s="12"/>
      <c r="CG532" s="12"/>
      <c r="CH532" s="12"/>
      <c r="CI532" s="12"/>
      <c r="CJ532" s="12"/>
      <c r="CK532" s="12"/>
      <c r="CL532" s="12"/>
      <c r="CM532" s="12"/>
      <c r="CN532" s="12"/>
      <c r="CO532" s="12"/>
      <c r="CP532" s="12"/>
      <c r="CQ532" s="12"/>
      <c r="CR532" s="12"/>
      <c r="CS532" s="12"/>
      <c r="CT532" s="12"/>
      <c r="CU532" s="12"/>
      <c r="CV532" s="12"/>
      <c r="CW532" s="12"/>
      <c r="CX532" s="12"/>
      <c r="CY532" s="12"/>
      <c r="CZ532" s="12"/>
      <c r="DA532" s="12"/>
      <c r="DB532" s="12"/>
      <c r="DC532" s="12"/>
      <c r="DD532" s="12"/>
      <c r="DE532" s="12"/>
      <c r="DF532" s="12"/>
      <c r="DG532" s="12"/>
      <c r="DH532" s="12"/>
      <c r="DI532" s="12"/>
      <c r="DJ532" s="12"/>
      <c r="DK532" s="12"/>
      <c r="DL532" s="12"/>
      <c r="DM532" s="12"/>
      <c r="DN532" s="12"/>
      <c r="DO532" s="12"/>
      <c r="DP532" s="12"/>
      <c r="DQ532" s="12"/>
      <c r="DR532" s="12"/>
      <c r="DS532" s="12"/>
      <c r="DT532" s="12"/>
      <c r="DU532" s="12"/>
      <c r="DV532" s="12"/>
      <c r="DW532" s="12"/>
      <c r="DX532" s="12"/>
      <c r="DY532" s="12"/>
      <c r="DZ532" s="12"/>
      <c r="EA532" s="12"/>
      <c r="EB532" s="12"/>
      <c r="EC532" s="12"/>
      <c r="ED532" s="12"/>
      <c r="EE532" s="12"/>
      <c r="EF532" s="12"/>
      <c r="EG532" s="12"/>
      <c r="EH532" s="12"/>
      <c r="EI532" s="12"/>
      <c r="EJ532" s="574"/>
      <c r="EK532" s="574"/>
      <c r="EL532" s="574"/>
      <c r="EM532" s="574"/>
      <c r="EN532" s="574"/>
      <c r="EO532" s="574"/>
      <c r="EP532" s="574"/>
      <c r="EQ532" s="574"/>
      <c r="ER532" s="574"/>
      <c r="ES532" s="574"/>
      <c r="ET532" s="574"/>
      <c r="EU532" s="574"/>
    </row>
    <row r="533">
      <c r="A533" s="12"/>
      <c r="B533" s="55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  <c r="AY533" s="12"/>
      <c r="AZ533" s="12"/>
      <c r="BA533" s="12"/>
      <c r="BB533" s="12"/>
      <c r="BC533" s="12"/>
      <c r="BD533" s="12"/>
      <c r="BE533" s="12"/>
      <c r="BF533" s="12"/>
      <c r="BG533" s="12"/>
      <c r="BH533" s="12"/>
      <c r="BI533" s="12"/>
      <c r="BJ533" s="12"/>
      <c r="BK533" s="12"/>
      <c r="BL533" s="12"/>
      <c r="BM533" s="12"/>
      <c r="BN533" s="12"/>
      <c r="BO533" s="12"/>
      <c r="BP533" s="12"/>
      <c r="BQ533" s="12"/>
      <c r="BR533" s="12"/>
      <c r="BS533" s="12"/>
      <c r="BT533" s="12"/>
      <c r="BU533" s="12"/>
      <c r="BV533" s="12"/>
      <c r="BW533" s="12"/>
      <c r="BX533" s="12"/>
      <c r="BY533" s="12"/>
      <c r="BZ533" s="12"/>
      <c r="CA533" s="12"/>
      <c r="CB533" s="12"/>
      <c r="CC533" s="12"/>
      <c r="CD533" s="12"/>
      <c r="CE533" s="12"/>
      <c r="CF533" s="12"/>
      <c r="CG533" s="12"/>
      <c r="CH533" s="12"/>
      <c r="CI533" s="12"/>
      <c r="CJ533" s="12"/>
      <c r="CK533" s="12"/>
      <c r="CL533" s="12"/>
      <c r="CM533" s="12"/>
      <c r="CN533" s="12"/>
      <c r="CO533" s="12"/>
      <c r="CP533" s="12"/>
      <c r="CQ533" s="12"/>
      <c r="CR533" s="12"/>
      <c r="CS533" s="12"/>
      <c r="CT533" s="12"/>
      <c r="CU533" s="12"/>
      <c r="CV533" s="12"/>
      <c r="CW533" s="12"/>
      <c r="CX533" s="12"/>
      <c r="CY533" s="12"/>
      <c r="CZ533" s="12"/>
      <c r="DA533" s="12"/>
      <c r="DB533" s="12"/>
      <c r="DC533" s="12"/>
      <c r="DD533" s="12"/>
      <c r="DE533" s="12"/>
      <c r="DF533" s="12"/>
      <c r="DG533" s="12"/>
      <c r="DH533" s="12"/>
      <c r="DI533" s="12"/>
      <c r="DJ533" s="12"/>
      <c r="DK533" s="12"/>
      <c r="DL533" s="12"/>
      <c r="DM533" s="12"/>
      <c r="DN533" s="12"/>
      <c r="DO533" s="12"/>
      <c r="DP533" s="12"/>
      <c r="DQ533" s="12"/>
      <c r="DR533" s="12"/>
      <c r="DS533" s="12"/>
      <c r="DT533" s="12"/>
      <c r="DU533" s="12"/>
      <c r="DV533" s="12"/>
      <c r="DW533" s="12"/>
      <c r="DX533" s="12"/>
      <c r="DY533" s="12"/>
      <c r="DZ533" s="12"/>
      <c r="EA533" s="12"/>
      <c r="EB533" s="12"/>
      <c r="EC533" s="12"/>
      <c r="ED533" s="12"/>
      <c r="EE533" s="12"/>
      <c r="EF533" s="12"/>
      <c r="EG533" s="12"/>
      <c r="EH533" s="12"/>
      <c r="EI533" s="12"/>
      <c r="EJ533" s="574"/>
      <c r="EK533" s="574"/>
      <c r="EL533" s="574"/>
      <c r="EM533" s="574"/>
      <c r="EN533" s="574"/>
      <c r="EO533" s="574"/>
      <c r="EP533" s="574"/>
      <c r="EQ533" s="574"/>
      <c r="ER533" s="574"/>
      <c r="ES533" s="574"/>
      <c r="ET533" s="574"/>
      <c r="EU533" s="574"/>
    </row>
    <row r="534">
      <c r="A534" s="12"/>
      <c r="B534" s="55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  <c r="AY534" s="12"/>
      <c r="AZ534" s="12"/>
      <c r="BA534" s="12"/>
      <c r="BB534" s="12"/>
      <c r="BC534" s="12"/>
      <c r="BD534" s="12"/>
      <c r="BE534" s="12"/>
      <c r="BF534" s="12"/>
      <c r="BG534" s="12"/>
      <c r="BH534" s="12"/>
      <c r="BI534" s="12"/>
      <c r="BJ534" s="12"/>
      <c r="BK534" s="12"/>
      <c r="BL534" s="12"/>
      <c r="BM534" s="12"/>
      <c r="BN534" s="12"/>
      <c r="BO534" s="12"/>
      <c r="BP534" s="12"/>
      <c r="BQ534" s="12"/>
      <c r="BR534" s="12"/>
      <c r="BS534" s="12"/>
      <c r="BT534" s="12"/>
      <c r="BU534" s="12"/>
      <c r="BV534" s="12"/>
      <c r="BW534" s="12"/>
      <c r="BX534" s="12"/>
      <c r="BY534" s="12"/>
      <c r="BZ534" s="12"/>
      <c r="CA534" s="12"/>
      <c r="CB534" s="12"/>
      <c r="CC534" s="12"/>
      <c r="CD534" s="12"/>
      <c r="CE534" s="12"/>
      <c r="CF534" s="12"/>
      <c r="CG534" s="12"/>
      <c r="CH534" s="12"/>
      <c r="CI534" s="12"/>
      <c r="CJ534" s="12"/>
      <c r="CK534" s="12"/>
      <c r="CL534" s="12"/>
      <c r="CM534" s="12"/>
      <c r="CN534" s="12"/>
      <c r="CO534" s="12"/>
      <c r="CP534" s="12"/>
      <c r="CQ534" s="12"/>
      <c r="CR534" s="12"/>
      <c r="CS534" s="12"/>
      <c r="CT534" s="12"/>
      <c r="CU534" s="12"/>
      <c r="CV534" s="12"/>
      <c r="CW534" s="12"/>
      <c r="CX534" s="12"/>
      <c r="CY534" s="12"/>
      <c r="CZ534" s="12"/>
      <c r="DA534" s="12"/>
      <c r="DB534" s="12"/>
      <c r="DC534" s="12"/>
      <c r="DD534" s="12"/>
      <c r="DE534" s="12"/>
      <c r="DF534" s="12"/>
      <c r="DG534" s="12"/>
      <c r="DH534" s="12"/>
      <c r="DI534" s="12"/>
      <c r="DJ534" s="12"/>
      <c r="DK534" s="12"/>
      <c r="DL534" s="12"/>
      <c r="DM534" s="12"/>
      <c r="DN534" s="12"/>
      <c r="DO534" s="12"/>
      <c r="DP534" s="12"/>
      <c r="DQ534" s="12"/>
      <c r="DR534" s="12"/>
      <c r="DS534" s="12"/>
      <c r="DT534" s="12"/>
      <c r="DU534" s="12"/>
      <c r="DV534" s="12"/>
      <c r="DW534" s="12"/>
      <c r="DX534" s="12"/>
      <c r="DY534" s="12"/>
      <c r="DZ534" s="12"/>
      <c r="EA534" s="12"/>
      <c r="EB534" s="12"/>
      <c r="EC534" s="12"/>
      <c r="ED534" s="12"/>
      <c r="EE534" s="12"/>
      <c r="EF534" s="12"/>
      <c r="EG534" s="12"/>
      <c r="EH534" s="12"/>
      <c r="EI534" s="12"/>
      <c r="EJ534" s="574"/>
      <c r="EK534" s="574"/>
      <c r="EL534" s="574"/>
      <c r="EM534" s="574"/>
      <c r="EN534" s="574"/>
      <c r="EO534" s="574"/>
      <c r="EP534" s="574"/>
      <c r="EQ534" s="574"/>
      <c r="ER534" s="574"/>
      <c r="ES534" s="574"/>
      <c r="ET534" s="574"/>
      <c r="EU534" s="574"/>
    </row>
    <row r="535">
      <c r="A535" s="12"/>
      <c r="B535" s="55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  <c r="AY535" s="12"/>
      <c r="AZ535" s="12"/>
      <c r="BA535" s="12"/>
      <c r="BB535" s="12"/>
      <c r="BC535" s="12"/>
      <c r="BD535" s="12"/>
      <c r="BE535" s="12"/>
      <c r="BF535" s="12"/>
      <c r="BG535" s="12"/>
      <c r="BH535" s="12"/>
      <c r="BI535" s="12"/>
      <c r="BJ535" s="12"/>
      <c r="BK535" s="12"/>
      <c r="BL535" s="12"/>
      <c r="BM535" s="12"/>
      <c r="BN535" s="12"/>
      <c r="BO535" s="12"/>
      <c r="BP535" s="12"/>
      <c r="BQ535" s="12"/>
      <c r="BR535" s="12"/>
      <c r="BS535" s="12"/>
      <c r="BT535" s="12"/>
      <c r="BU535" s="12"/>
      <c r="BV535" s="12"/>
      <c r="BW535" s="12"/>
      <c r="BX535" s="12"/>
      <c r="BY535" s="12"/>
      <c r="BZ535" s="12"/>
      <c r="CA535" s="12"/>
      <c r="CB535" s="12"/>
      <c r="CC535" s="12"/>
      <c r="CD535" s="12"/>
      <c r="CE535" s="12"/>
      <c r="CF535" s="12"/>
      <c r="CG535" s="12"/>
      <c r="CH535" s="12"/>
      <c r="CI535" s="12"/>
      <c r="CJ535" s="12"/>
      <c r="CK535" s="12"/>
      <c r="CL535" s="12"/>
      <c r="CM535" s="12"/>
      <c r="CN535" s="12"/>
      <c r="CO535" s="12"/>
      <c r="CP535" s="12"/>
      <c r="CQ535" s="12"/>
      <c r="CR535" s="12"/>
      <c r="CS535" s="12"/>
      <c r="CT535" s="12"/>
      <c r="CU535" s="12"/>
      <c r="CV535" s="12"/>
      <c r="CW535" s="12"/>
      <c r="CX535" s="12"/>
      <c r="CY535" s="12"/>
      <c r="CZ535" s="12"/>
      <c r="DA535" s="12"/>
      <c r="DB535" s="12"/>
      <c r="DC535" s="12"/>
      <c r="DD535" s="12"/>
      <c r="DE535" s="12"/>
      <c r="DF535" s="12"/>
      <c r="DG535" s="12"/>
      <c r="DH535" s="12"/>
      <c r="DI535" s="12"/>
      <c r="DJ535" s="12"/>
      <c r="DK535" s="12"/>
      <c r="DL535" s="12"/>
      <c r="DM535" s="12"/>
      <c r="DN535" s="12"/>
      <c r="DO535" s="12"/>
      <c r="DP535" s="12"/>
      <c r="DQ535" s="12"/>
      <c r="DR535" s="12"/>
      <c r="DS535" s="12"/>
      <c r="DT535" s="12"/>
      <c r="DU535" s="12"/>
      <c r="DV535" s="12"/>
      <c r="DW535" s="12"/>
      <c r="DX535" s="12"/>
      <c r="DY535" s="12"/>
      <c r="DZ535" s="12"/>
      <c r="EA535" s="12"/>
      <c r="EB535" s="12"/>
      <c r="EC535" s="12"/>
      <c r="ED535" s="12"/>
      <c r="EE535" s="12"/>
      <c r="EF535" s="12"/>
      <c r="EG535" s="12"/>
      <c r="EH535" s="12"/>
      <c r="EI535" s="12"/>
      <c r="EJ535" s="574"/>
      <c r="EK535" s="574"/>
      <c r="EL535" s="574"/>
      <c r="EM535" s="574"/>
      <c r="EN535" s="574"/>
      <c r="EO535" s="574"/>
      <c r="EP535" s="574"/>
      <c r="EQ535" s="574"/>
      <c r="ER535" s="574"/>
      <c r="ES535" s="574"/>
      <c r="ET535" s="574"/>
      <c r="EU535" s="574"/>
    </row>
    <row r="536">
      <c r="A536" s="12"/>
      <c r="B536" s="55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  <c r="AY536" s="12"/>
      <c r="AZ536" s="12"/>
      <c r="BA536" s="12"/>
      <c r="BB536" s="12"/>
      <c r="BC536" s="12"/>
      <c r="BD536" s="12"/>
      <c r="BE536" s="12"/>
      <c r="BF536" s="12"/>
      <c r="BG536" s="12"/>
      <c r="BH536" s="12"/>
      <c r="BI536" s="12"/>
      <c r="BJ536" s="12"/>
      <c r="BK536" s="12"/>
      <c r="BL536" s="12"/>
      <c r="BM536" s="12"/>
      <c r="BN536" s="12"/>
      <c r="BO536" s="12"/>
      <c r="BP536" s="12"/>
      <c r="BQ536" s="12"/>
      <c r="BR536" s="12"/>
      <c r="BS536" s="12"/>
      <c r="BT536" s="12"/>
      <c r="BU536" s="12"/>
      <c r="BV536" s="12"/>
      <c r="BW536" s="12"/>
      <c r="BX536" s="12"/>
      <c r="BY536" s="12"/>
      <c r="BZ536" s="12"/>
      <c r="CA536" s="12"/>
      <c r="CB536" s="12"/>
      <c r="CC536" s="12"/>
      <c r="CD536" s="12"/>
      <c r="CE536" s="12"/>
      <c r="CF536" s="12"/>
      <c r="CG536" s="12"/>
      <c r="CH536" s="12"/>
      <c r="CI536" s="12"/>
      <c r="CJ536" s="12"/>
      <c r="CK536" s="12"/>
      <c r="CL536" s="12"/>
      <c r="CM536" s="12"/>
      <c r="CN536" s="12"/>
      <c r="CO536" s="12"/>
      <c r="CP536" s="12"/>
      <c r="CQ536" s="12"/>
      <c r="CR536" s="12"/>
      <c r="CS536" s="12"/>
      <c r="CT536" s="12"/>
      <c r="CU536" s="12"/>
      <c r="CV536" s="12"/>
      <c r="CW536" s="12"/>
      <c r="CX536" s="12"/>
      <c r="CY536" s="12"/>
      <c r="CZ536" s="12"/>
      <c r="DA536" s="12"/>
      <c r="DB536" s="12"/>
      <c r="DC536" s="12"/>
      <c r="DD536" s="12"/>
      <c r="DE536" s="12"/>
      <c r="DF536" s="12"/>
      <c r="DG536" s="12"/>
      <c r="DH536" s="12"/>
      <c r="DI536" s="12"/>
      <c r="DJ536" s="12"/>
      <c r="DK536" s="12"/>
      <c r="DL536" s="12"/>
      <c r="DM536" s="12"/>
      <c r="DN536" s="12"/>
      <c r="DO536" s="12"/>
      <c r="DP536" s="12"/>
      <c r="DQ536" s="12"/>
      <c r="DR536" s="12"/>
      <c r="DS536" s="12"/>
      <c r="DT536" s="12"/>
      <c r="DU536" s="12"/>
      <c r="DV536" s="12"/>
      <c r="DW536" s="12"/>
      <c r="DX536" s="12"/>
      <c r="DY536" s="12"/>
      <c r="DZ536" s="12"/>
      <c r="EA536" s="12"/>
      <c r="EB536" s="12"/>
      <c r="EC536" s="12"/>
      <c r="ED536" s="12"/>
      <c r="EE536" s="12"/>
      <c r="EF536" s="12"/>
      <c r="EG536" s="12"/>
      <c r="EH536" s="12"/>
      <c r="EI536" s="12"/>
      <c r="EJ536" s="574"/>
      <c r="EK536" s="574"/>
      <c r="EL536" s="574"/>
      <c r="EM536" s="574"/>
      <c r="EN536" s="574"/>
      <c r="EO536" s="574"/>
      <c r="EP536" s="574"/>
      <c r="EQ536" s="574"/>
      <c r="ER536" s="574"/>
      <c r="ES536" s="574"/>
      <c r="ET536" s="574"/>
      <c r="EU536" s="574"/>
    </row>
    <row r="537">
      <c r="A537" s="12"/>
      <c r="B537" s="55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  <c r="AY537" s="12"/>
      <c r="AZ537" s="12"/>
      <c r="BA537" s="12"/>
      <c r="BB537" s="12"/>
      <c r="BC537" s="12"/>
      <c r="BD537" s="12"/>
      <c r="BE537" s="12"/>
      <c r="BF537" s="12"/>
      <c r="BG537" s="12"/>
      <c r="BH537" s="12"/>
      <c r="BI537" s="12"/>
      <c r="BJ537" s="12"/>
      <c r="BK537" s="12"/>
      <c r="BL537" s="12"/>
      <c r="BM537" s="12"/>
      <c r="BN537" s="12"/>
      <c r="BO537" s="12"/>
      <c r="BP537" s="12"/>
      <c r="BQ537" s="12"/>
      <c r="BR537" s="12"/>
      <c r="BS537" s="12"/>
      <c r="BT537" s="12"/>
      <c r="BU537" s="12"/>
      <c r="BV537" s="12"/>
      <c r="BW537" s="12"/>
      <c r="BX537" s="12"/>
      <c r="BY537" s="12"/>
      <c r="BZ537" s="12"/>
      <c r="CA537" s="12"/>
      <c r="CB537" s="12"/>
      <c r="CC537" s="12"/>
      <c r="CD537" s="12"/>
      <c r="CE537" s="12"/>
      <c r="CF537" s="12"/>
      <c r="CG537" s="12"/>
      <c r="CH537" s="12"/>
      <c r="CI537" s="12"/>
      <c r="CJ537" s="12"/>
      <c r="CK537" s="12"/>
      <c r="CL537" s="12"/>
      <c r="CM537" s="12"/>
      <c r="CN537" s="12"/>
      <c r="CO537" s="12"/>
      <c r="CP537" s="12"/>
      <c r="CQ537" s="12"/>
      <c r="CR537" s="12"/>
      <c r="CS537" s="12"/>
      <c r="CT537" s="12"/>
      <c r="CU537" s="12"/>
      <c r="CV537" s="12"/>
      <c r="CW537" s="12"/>
      <c r="CX537" s="12"/>
      <c r="CY537" s="12"/>
      <c r="CZ537" s="12"/>
      <c r="DA537" s="12"/>
      <c r="DB537" s="12"/>
      <c r="DC537" s="12"/>
      <c r="DD537" s="12"/>
      <c r="DE537" s="12"/>
      <c r="DF537" s="12"/>
      <c r="DG537" s="12"/>
      <c r="DH537" s="12"/>
      <c r="DI537" s="12"/>
      <c r="DJ537" s="12"/>
      <c r="DK537" s="12"/>
      <c r="DL537" s="12"/>
      <c r="DM537" s="12"/>
      <c r="DN537" s="12"/>
      <c r="DO537" s="12"/>
      <c r="DP537" s="12"/>
      <c r="DQ537" s="12"/>
      <c r="DR537" s="12"/>
      <c r="DS537" s="12"/>
      <c r="DT537" s="12"/>
      <c r="DU537" s="12"/>
      <c r="DV537" s="12"/>
      <c r="DW537" s="12"/>
      <c r="DX537" s="12"/>
      <c r="DY537" s="12"/>
      <c r="DZ537" s="12"/>
      <c r="EA537" s="12"/>
      <c r="EB537" s="12"/>
      <c r="EC537" s="12"/>
      <c r="ED537" s="12"/>
      <c r="EE537" s="12"/>
      <c r="EF537" s="12"/>
      <c r="EG537" s="12"/>
      <c r="EH537" s="12"/>
      <c r="EI537" s="12"/>
      <c r="EJ537" s="574"/>
      <c r="EK537" s="574"/>
      <c r="EL537" s="574"/>
      <c r="EM537" s="574"/>
      <c r="EN537" s="574"/>
      <c r="EO537" s="574"/>
      <c r="EP537" s="574"/>
      <c r="EQ537" s="574"/>
      <c r="ER537" s="574"/>
      <c r="ES537" s="574"/>
      <c r="ET537" s="574"/>
      <c r="EU537" s="574"/>
    </row>
    <row r="538">
      <c r="A538" s="12"/>
      <c r="B538" s="55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  <c r="AY538" s="12"/>
      <c r="AZ538" s="12"/>
      <c r="BA538" s="12"/>
      <c r="BB538" s="12"/>
      <c r="BC538" s="12"/>
      <c r="BD538" s="12"/>
      <c r="BE538" s="12"/>
      <c r="BF538" s="12"/>
      <c r="BG538" s="12"/>
      <c r="BH538" s="12"/>
      <c r="BI538" s="12"/>
      <c r="BJ538" s="12"/>
      <c r="BK538" s="12"/>
      <c r="BL538" s="12"/>
      <c r="BM538" s="12"/>
      <c r="BN538" s="12"/>
      <c r="BO538" s="12"/>
      <c r="BP538" s="12"/>
      <c r="BQ538" s="12"/>
      <c r="BR538" s="12"/>
      <c r="BS538" s="12"/>
      <c r="BT538" s="12"/>
      <c r="BU538" s="12"/>
      <c r="BV538" s="12"/>
      <c r="BW538" s="12"/>
      <c r="BX538" s="12"/>
      <c r="BY538" s="12"/>
      <c r="BZ538" s="12"/>
      <c r="CA538" s="12"/>
      <c r="CB538" s="12"/>
      <c r="CC538" s="12"/>
      <c r="CD538" s="12"/>
      <c r="CE538" s="12"/>
      <c r="CF538" s="12"/>
      <c r="CG538" s="12"/>
      <c r="CH538" s="12"/>
      <c r="CI538" s="12"/>
      <c r="CJ538" s="12"/>
      <c r="CK538" s="12"/>
      <c r="CL538" s="12"/>
      <c r="CM538" s="12"/>
      <c r="CN538" s="12"/>
      <c r="CO538" s="12"/>
      <c r="CP538" s="12"/>
      <c r="CQ538" s="12"/>
      <c r="CR538" s="12"/>
      <c r="CS538" s="12"/>
      <c r="CT538" s="12"/>
      <c r="CU538" s="12"/>
      <c r="CV538" s="12"/>
      <c r="CW538" s="12"/>
      <c r="CX538" s="12"/>
      <c r="CY538" s="12"/>
      <c r="CZ538" s="12"/>
      <c r="DA538" s="12"/>
      <c r="DB538" s="12"/>
      <c r="DC538" s="12"/>
      <c r="DD538" s="12"/>
      <c r="DE538" s="12"/>
      <c r="DF538" s="12"/>
      <c r="DG538" s="12"/>
      <c r="DH538" s="12"/>
      <c r="DI538" s="12"/>
      <c r="DJ538" s="12"/>
      <c r="DK538" s="12"/>
      <c r="DL538" s="12"/>
      <c r="DM538" s="12"/>
      <c r="DN538" s="12"/>
      <c r="DO538" s="12"/>
      <c r="DP538" s="12"/>
      <c r="DQ538" s="12"/>
      <c r="DR538" s="12"/>
      <c r="DS538" s="12"/>
      <c r="DT538" s="12"/>
      <c r="DU538" s="12"/>
      <c r="DV538" s="12"/>
      <c r="DW538" s="12"/>
      <c r="DX538" s="12"/>
      <c r="DY538" s="12"/>
      <c r="DZ538" s="12"/>
      <c r="EA538" s="12"/>
      <c r="EB538" s="12"/>
      <c r="EC538" s="12"/>
      <c r="ED538" s="12"/>
      <c r="EE538" s="12"/>
      <c r="EF538" s="12"/>
      <c r="EG538" s="12"/>
      <c r="EH538" s="12"/>
      <c r="EI538" s="12"/>
      <c r="EJ538" s="574"/>
      <c r="EK538" s="574"/>
      <c r="EL538" s="574"/>
      <c r="EM538" s="574"/>
      <c r="EN538" s="574"/>
      <c r="EO538" s="574"/>
      <c r="EP538" s="574"/>
      <c r="EQ538" s="574"/>
      <c r="ER538" s="574"/>
      <c r="ES538" s="574"/>
      <c r="ET538" s="574"/>
      <c r="EU538" s="574"/>
    </row>
    <row r="539">
      <c r="A539" s="12"/>
      <c r="B539" s="55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  <c r="AY539" s="12"/>
      <c r="AZ539" s="12"/>
      <c r="BA539" s="12"/>
      <c r="BB539" s="12"/>
      <c r="BC539" s="12"/>
      <c r="BD539" s="12"/>
      <c r="BE539" s="12"/>
      <c r="BF539" s="12"/>
      <c r="BG539" s="12"/>
      <c r="BH539" s="12"/>
      <c r="BI539" s="12"/>
      <c r="BJ539" s="12"/>
      <c r="BK539" s="12"/>
      <c r="BL539" s="12"/>
      <c r="BM539" s="12"/>
      <c r="BN539" s="12"/>
      <c r="BO539" s="12"/>
      <c r="BP539" s="12"/>
      <c r="BQ539" s="12"/>
      <c r="BR539" s="12"/>
      <c r="BS539" s="12"/>
      <c r="BT539" s="12"/>
      <c r="BU539" s="12"/>
      <c r="BV539" s="12"/>
      <c r="BW539" s="12"/>
      <c r="BX539" s="12"/>
      <c r="BY539" s="12"/>
      <c r="BZ539" s="12"/>
      <c r="CA539" s="12"/>
      <c r="CB539" s="12"/>
      <c r="CC539" s="12"/>
      <c r="CD539" s="12"/>
      <c r="CE539" s="12"/>
      <c r="CF539" s="12"/>
      <c r="CG539" s="12"/>
      <c r="CH539" s="12"/>
      <c r="CI539" s="12"/>
      <c r="CJ539" s="12"/>
      <c r="CK539" s="12"/>
      <c r="CL539" s="12"/>
      <c r="CM539" s="12"/>
      <c r="CN539" s="12"/>
      <c r="CO539" s="12"/>
      <c r="CP539" s="12"/>
      <c r="CQ539" s="12"/>
      <c r="CR539" s="12"/>
      <c r="CS539" s="12"/>
      <c r="CT539" s="12"/>
      <c r="CU539" s="12"/>
      <c r="CV539" s="12"/>
      <c r="CW539" s="12"/>
      <c r="CX539" s="12"/>
      <c r="CY539" s="12"/>
      <c r="CZ539" s="12"/>
      <c r="DA539" s="12"/>
      <c r="DB539" s="12"/>
      <c r="DC539" s="12"/>
      <c r="DD539" s="12"/>
      <c r="DE539" s="12"/>
      <c r="DF539" s="12"/>
      <c r="DG539" s="12"/>
      <c r="DH539" s="12"/>
      <c r="DI539" s="12"/>
      <c r="DJ539" s="12"/>
      <c r="DK539" s="12"/>
      <c r="DL539" s="12"/>
      <c r="DM539" s="12"/>
      <c r="DN539" s="12"/>
      <c r="DO539" s="12"/>
      <c r="DP539" s="12"/>
      <c r="DQ539" s="12"/>
      <c r="DR539" s="12"/>
      <c r="DS539" s="12"/>
      <c r="DT539" s="12"/>
      <c r="DU539" s="12"/>
      <c r="DV539" s="12"/>
      <c r="DW539" s="12"/>
      <c r="DX539" s="12"/>
      <c r="DY539" s="12"/>
      <c r="DZ539" s="12"/>
      <c r="EA539" s="12"/>
      <c r="EB539" s="12"/>
      <c r="EC539" s="12"/>
      <c r="ED539" s="12"/>
      <c r="EE539" s="12"/>
      <c r="EF539" s="12"/>
      <c r="EG539" s="12"/>
      <c r="EH539" s="12"/>
      <c r="EI539" s="12"/>
      <c r="EJ539" s="574"/>
      <c r="EK539" s="574"/>
      <c r="EL539" s="574"/>
      <c r="EM539" s="574"/>
      <c r="EN539" s="574"/>
      <c r="EO539" s="574"/>
      <c r="EP539" s="574"/>
      <c r="EQ539" s="574"/>
      <c r="ER539" s="574"/>
      <c r="ES539" s="574"/>
      <c r="ET539" s="574"/>
      <c r="EU539" s="574"/>
    </row>
    <row r="540">
      <c r="A540" s="12"/>
      <c r="B540" s="55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  <c r="AY540" s="12"/>
      <c r="AZ540" s="12"/>
      <c r="BA540" s="12"/>
      <c r="BB540" s="12"/>
      <c r="BC540" s="12"/>
      <c r="BD540" s="12"/>
      <c r="BE540" s="12"/>
      <c r="BF540" s="12"/>
      <c r="BG540" s="12"/>
      <c r="BH540" s="12"/>
      <c r="BI540" s="12"/>
      <c r="BJ540" s="12"/>
      <c r="BK540" s="12"/>
      <c r="BL540" s="12"/>
      <c r="BM540" s="12"/>
      <c r="BN540" s="12"/>
      <c r="BO540" s="12"/>
      <c r="BP540" s="12"/>
      <c r="BQ540" s="12"/>
      <c r="BR540" s="12"/>
      <c r="BS540" s="12"/>
      <c r="BT540" s="12"/>
      <c r="BU540" s="12"/>
      <c r="BV540" s="12"/>
      <c r="BW540" s="12"/>
      <c r="BX540" s="12"/>
      <c r="BY540" s="12"/>
      <c r="BZ540" s="12"/>
      <c r="CA540" s="12"/>
      <c r="CB540" s="12"/>
      <c r="CC540" s="12"/>
      <c r="CD540" s="12"/>
      <c r="CE540" s="12"/>
      <c r="CF540" s="12"/>
      <c r="CG540" s="12"/>
      <c r="CH540" s="12"/>
      <c r="CI540" s="12"/>
      <c r="CJ540" s="12"/>
      <c r="CK540" s="12"/>
      <c r="CL540" s="12"/>
      <c r="CM540" s="12"/>
      <c r="CN540" s="12"/>
      <c r="CO540" s="12"/>
      <c r="CP540" s="12"/>
      <c r="CQ540" s="12"/>
      <c r="CR540" s="12"/>
      <c r="CS540" s="12"/>
      <c r="CT540" s="12"/>
      <c r="CU540" s="12"/>
      <c r="CV540" s="12"/>
      <c r="CW540" s="12"/>
      <c r="CX540" s="12"/>
      <c r="CY540" s="12"/>
      <c r="CZ540" s="12"/>
      <c r="DA540" s="12"/>
      <c r="DB540" s="12"/>
      <c r="DC540" s="12"/>
      <c r="DD540" s="12"/>
      <c r="DE540" s="12"/>
      <c r="DF540" s="12"/>
      <c r="DG540" s="12"/>
      <c r="DH540" s="12"/>
      <c r="DI540" s="12"/>
      <c r="DJ540" s="12"/>
      <c r="DK540" s="12"/>
      <c r="DL540" s="12"/>
      <c r="DM540" s="12"/>
      <c r="DN540" s="12"/>
      <c r="DO540" s="12"/>
      <c r="DP540" s="12"/>
      <c r="DQ540" s="12"/>
      <c r="DR540" s="12"/>
      <c r="DS540" s="12"/>
      <c r="DT540" s="12"/>
      <c r="DU540" s="12"/>
      <c r="DV540" s="12"/>
      <c r="DW540" s="12"/>
      <c r="DX540" s="12"/>
      <c r="DY540" s="12"/>
      <c r="DZ540" s="12"/>
      <c r="EA540" s="12"/>
      <c r="EB540" s="12"/>
      <c r="EC540" s="12"/>
      <c r="ED540" s="12"/>
      <c r="EE540" s="12"/>
      <c r="EF540" s="12"/>
      <c r="EG540" s="12"/>
      <c r="EH540" s="12"/>
      <c r="EI540" s="12"/>
      <c r="EJ540" s="574"/>
      <c r="EK540" s="574"/>
      <c r="EL540" s="574"/>
      <c r="EM540" s="574"/>
      <c r="EN540" s="574"/>
      <c r="EO540" s="574"/>
      <c r="EP540" s="574"/>
      <c r="EQ540" s="574"/>
      <c r="ER540" s="574"/>
      <c r="ES540" s="574"/>
      <c r="ET540" s="574"/>
      <c r="EU540" s="574"/>
    </row>
    <row r="541">
      <c r="A541" s="12"/>
      <c r="B541" s="55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  <c r="AY541" s="12"/>
      <c r="AZ541" s="12"/>
      <c r="BA541" s="12"/>
      <c r="BB541" s="12"/>
      <c r="BC541" s="12"/>
      <c r="BD541" s="12"/>
      <c r="BE541" s="12"/>
      <c r="BF541" s="12"/>
      <c r="BG541" s="12"/>
      <c r="BH541" s="12"/>
      <c r="BI541" s="12"/>
      <c r="BJ541" s="12"/>
      <c r="BK541" s="12"/>
      <c r="BL541" s="12"/>
      <c r="BM541" s="12"/>
      <c r="BN541" s="12"/>
      <c r="BO541" s="12"/>
      <c r="BP541" s="12"/>
      <c r="BQ541" s="12"/>
      <c r="BR541" s="12"/>
      <c r="BS541" s="12"/>
      <c r="BT541" s="12"/>
      <c r="BU541" s="12"/>
      <c r="BV541" s="12"/>
      <c r="BW541" s="12"/>
      <c r="BX541" s="12"/>
      <c r="BY541" s="12"/>
      <c r="BZ541" s="12"/>
      <c r="CA541" s="12"/>
      <c r="CB541" s="12"/>
      <c r="CC541" s="12"/>
      <c r="CD541" s="12"/>
      <c r="CE541" s="12"/>
      <c r="CF541" s="12"/>
      <c r="CG541" s="12"/>
      <c r="CH541" s="12"/>
      <c r="CI541" s="12"/>
      <c r="CJ541" s="12"/>
      <c r="CK541" s="12"/>
      <c r="CL541" s="12"/>
      <c r="CM541" s="12"/>
      <c r="CN541" s="12"/>
      <c r="CO541" s="12"/>
      <c r="CP541" s="12"/>
      <c r="CQ541" s="12"/>
      <c r="CR541" s="12"/>
      <c r="CS541" s="12"/>
      <c r="CT541" s="12"/>
      <c r="CU541" s="12"/>
      <c r="CV541" s="12"/>
      <c r="CW541" s="12"/>
      <c r="CX541" s="12"/>
      <c r="CY541" s="12"/>
      <c r="CZ541" s="12"/>
      <c r="DA541" s="12"/>
      <c r="DB541" s="12"/>
      <c r="DC541" s="12"/>
      <c r="DD541" s="12"/>
      <c r="DE541" s="12"/>
      <c r="DF541" s="12"/>
      <c r="DG541" s="12"/>
      <c r="DH541" s="12"/>
      <c r="DI541" s="12"/>
      <c r="DJ541" s="12"/>
      <c r="DK541" s="12"/>
      <c r="DL541" s="12"/>
      <c r="DM541" s="12"/>
      <c r="DN541" s="12"/>
      <c r="DO541" s="12"/>
      <c r="DP541" s="12"/>
      <c r="DQ541" s="12"/>
      <c r="DR541" s="12"/>
      <c r="DS541" s="12"/>
      <c r="DT541" s="12"/>
      <c r="DU541" s="12"/>
      <c r="DV541" s="12"/>
      <c r="DW541" s="12"/>
      <c r="DX541" s="12"/>
      <c r="DY541" s="12"/>
      <c r="DZ541" s="12"/>
      <c r="EA541" s="12"/>
      <c r="EB541" s="12"/>
      <c r="EC541" s="12"/>
      <c r="ED541" s="12"/>
      <c r="EE541" s="12"/>
      <c r="EF541" s="12"/>
      <c r="EG541" s="12"/>
      <c r="EH541" s="12"/>
      <c r="EI541" s="12"/>
      <c r="EJ541" s="574"/>
      <c r="EK541" s="574"/>
      <c r="EL541" s="574"/>
      <c r="EM541" s="574"/>
      <c r="EN541" s="574"/>
      <c r="EO541" s="574"/>
      <c r="EP541" s="574"/>
      <c r="EQ541" s="574"/>
      <c r="ER541" s="574"/>
      <c r="ES541" s="574"/>
      <c r="ET541" s="574"/>
      <c r="EU541" s="574"/>
    </row>
    <row r="542">
      <c r="A542" s="12"/>
      <c r="B542" s="55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  <c r="AY542" s="12"/>
      <c r="AZ542" s="12"/>
      <c r="BA542" s="12"/>
      <c r="BB542" s="12"/>
      <c r="BC542" s="12"/>
      <c r="BD542" s="12"/>
      <c r="BE542" s="12"/>
      <c r="BF542" s="12"/>
      <c r="BG542" s="12"/>
      <c r="BH542" s="12"/>
      <c r="BI542" s="12"/>
      <c r="BJ542" s="12"/>
      <c r="BK542" s="12"/>
      <c r="BL542" s="12"/>
      <c r="BM542" s="12"/>
      <c r="BN542" s="12"/>
      <c r="BO542" s="12"/>
      <c r="BP542" s="12"/>
      <c r="BQ542" s="12"/>
      <c r="BR542" s="12"/>
      <c r="BS542" s="12"/>
      <c r="BT542" s="12"/>
      <c r="BU542" s="12"/>
      <c r="BV542" s="12"/>
      <c r="BW542" s="12"/>
      <c r="BX542" s="12"/>
      <c r="BY542" s="12"/>
      <c r="BZ542" s="12"/>
      <c r="CA542" s="12"/>
      <c r="CB542" s="12"/>
      <c r="CC542" s="12"/>
      <c r="CD542" s="12"/>
      <c r="CE542" s="12"/>
      <c r="CF542" s="12"/>
      <c r="CG542" s="12"/>
      <c r="CH542" s="12"/>
      <c r="CI542" s="12"/>
      <c r="CJ542" s="12"/>
      <c r="CK542" s="12"/>
      <c r="CL542" s="12"/>
      <c r="CM542" s="12"/>
      <c r="CN542" s="12"/>
      <c r="CO542" s="12"/>
      <c r="CP542" s="12"/>
      <c r="CQ542" s="12"/>
      <c r="CR542" s="12"/>
      <c r="CS542" s="12"/>
      <c r="CT542" s="12"/>
      <c r="CU542" s="12"/>
      <c r="CV542" s="12"/>
      <c r="CW542" s="12"/>
      <c r="CX542" s="12"/>
      <c r="CY542" s="12"/>
      <c r="CZ542" s="12"/>
      <c r="DA542" s="12"/>
      <c r="DB542" s="12"/>
      <c r="DC542" s="12"/>
      <c r="DD542" s="12"/>
      <c r="DE542" s="12"/>
      <c r="DF542" s="12"/>
      <c r="DG542" s="12"/>
      <c r="DH542" s="12"/>
      <c r="DI542" s="12"/>
      <c r="DJ542" s="12"/>
      <c r="DK542" s="12"/>
      <c r="DL542" s="12"/>
      <c r="DM542" s="12"/>
      <c r="DN542" s="12"/>
      <c r="DO542" s="12"/>
      <c r="DP542" s="12"/>
      <c r="DQ542" s="12"/>
      <c r="DR542" s="12"/>
      <c r="DS542" s="12"/>
      <c r="DT542" s="12"/>
      <c r="DU542" s="12"/>
      <c r="DV542" s="12"/>
      <c r="DW542" s="12"/>
      <c r="DX542" s="12"/>
      <c r="DY542" s="12"/>
      <c r="DZ542" s="12"/>
      <c r="EA542" s="12"/>
      <c r="EB542" s="12"/>
      <c r="EC542" s="12"/>
      <c r="ED542" s="12"/>
      <c r="EE542" s="12"/>
      <c r="EF542" s="12"/>
      <c r="EG542" s="12"/>
      <c r="EH542" s="12"/>
      <c r="EI542" s="12"/>
      <c r="EJ542" s="574"/>
      <c r="EK542" s="574"/>
      <c r="EL542" s="574"/>
      <c r="EM542" s="574"/>
      <c r="EN542" s="574"/>
      <c r="EO542" s="574"/>
      <c r="EP542" s="574"/>
      <c r="EQ542" s="574"/>
      <c r="ER542" s="574"/>
      <c r="ES542" s="574"/>
      <c r="ET542" s="574"/>
      <c r="EU542" s="574"/>
    </row>
    <row r="543">
      <c r="A543" s="12"/>
      <c r="B543" s="55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  <c r="AY543" s="12"/>
      <c r="AZ543" s="12"/>
      <c r="BA543" s="12"/>
      <c r="BB543" s="12"/>
      <c r="BC543" s="12"/>
      <c r="BD543" s="12"/>
      <c r="BE543" s="12"/>
      <c r="BF543" s="12"/>
      <c r="BG543" s="12"/>
      <c r="BH543" s="12"/>
      <c r="BI543" s="12"/>
      <c r="BJ543" s="12"/>
      <c r="BK543" s="12"/>
      <c r="BL543" s="12"/>
      <c r="BM543" s="12"/>
      <c r="BN543" s="12"/>
      <c r="BO543" s="12"/>
      <c r="BP543" s="12"/>
      <c r="BQ543" s="12"/>
      <c r="BR543" s="12"/>
      <c r="BS543" s="12"/>
      <c r="BT543" s="12"/>
      <c r="BU543" s="12"/>
      <c r="BV543" s="12"/>
      <c r="BW543" s="12"/>
      <c r="BX543" s="12"/>
      <c r="BY543" s="12"/>
      <c r="BZ543" s="12"/>
      <c r="CA543" s="12"/>
      <c r="CB543" s="12"/>
      <c r="CC543" s="12"/>
      <c r="CD543" s="12"/>
      <c r="CE543" s="12"/>
      <c r="CF543" s="12"/>
      <c r="CG543" s="12"/>
      <c r="CH543" s="12"/>
      <c r="CI543" s="12"/>
      <c r="CJ543" s="12"/>
      <c r="CK543" s="12"/>
      <c r="CL543" s="12"/>
      <c r="CM543" s="12"/>
      <c r="CN543" s="12"/>
      <c r="CO543" s="12"/>
      <c r="CP543" s="12"/>
      <c r="CQ543" s="12"/>
      <c r="CR543" s="12"/>
      <c r="CS543" s="12"/>
      <c r="CT543" s="12"/>
      <c r="CU543" s="12"/>
      <c r="CV543" s="12"/>
      <c r="CW543" s="12"/>
      <c r="CX543" s="12"/>
      <c r="CY543" s="12"/>
      <c r="CZ543" s="12"/>
      <c r="DA543" s="12"/>
      <c r="DB543" s="12"/>
      <c r="DC543" s="12"/>
      <c r="DD543" s="12"/>
      <c r="DE543" s="12"/>
      <c r="DF543" s="12"/>
      <c r="DG543" s="12"/>
      <c r="DH543" s="12"/>
      <c r="DI543" s="12"/>
      <c r="DJ543" s="12"/>
      <c r="DK543" s="12"/>
      <c r="DL543" s="12"/>
      <c r="DM543" s="12"/>
      <c r="DN543" s="12"/>
      <c r="DO543" s="12"/>
      <c r="DP543" s="12"/>
      <c r="DQ543" s="12"/>
      <c r="DR543" s="12"/>
      <c r="DS543" s="12"/>
      <c r="DT543" s="12"/>
      <c r="DU543" s="12"/>
      <c r="DV543" s="12"/>
      <c r="DW543" s="12"/>
      <c r="DX543" s="12"/>
      <c r="DY543" s="12"/>
      <c r="DZ543" s="12"/>
      <c r="EA543" s="12"/>
      <c r="EB543" s="12"/>
      <c r="EC543" s="12"/>
      <c r="ED543" s="12"/>
      <c r="EE543" s="12"/>
      <c r="EF543" s="12"/>
      <c r="EG543" s="12"/>
      <c r="EH543" s="12"/>
      <c r="EI543" s="12"/>
      <c r="EJ543" s="574"/>
      <c r="EK543" s="574"/>
      <c r="EL543" s="574"/>
      <c r="EM543" s="574"/>
      <c r="EN543" s="574"/>
      <c r="EO543" s="574"/>
      <c r="EP543" s="574"/>
      <c r="EQ543" s="574"/>
      <c r="ER543" s="574"/>
      <c r="ES543" s="574"/>
      <c r="ET543" s="574"/>
      <c r="EU543" s="574"/>
    </row>
    <row r="544">
      <c r="A544" s="12"/>
      <c r="B544" s="55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2"/>
      <c r="AY544" s="12"/>
      <c r="AZ544" s="12"/>
      <c r="BA544" s="12"/>
      <c r="BB544" s="12"/>
      <c r="BC544" s="12"/>
      <c r="BD544" s="12"/>
      <c r="BE544" s="12"/>
      <c r="BF544" s="12"/>
      <c r="BG544" s="12"/>
      <c r="BH544" s="12"/>
      <c r="BI544" s="12"/>
      <c r="BJ544" s="12"/>
      <c r="BK544" s="12"/>
      <c r="BL544" s="12"/>
      <c r="BM544" s="12"/>
      <c r="BN544" s="12"/>
      <c r="BO544" s="12"/>
      <c r="BP544" s="12"/>
      <c r="BQ544" s="12"/>
      <c r="BR544" s="12"/>
      <c r="BS544" s="12"/>
      <c r="BT544" s="12"/>
      <c r="BU544" s="12"/>
      <c r="BV544" s="12"/>
      <c r="BW544" s="12"/>
      <c r="BX544" s="12"/>
      <c r="BY544" s="12"/>
      <c r="BZ544" s="12"/>
      <c r="CA544" s="12"/>
      <c r="CB544" s="12"/>
      <c r="CC544" s="12"/>
      <c r="CD544" s="12"/>
      <c r="CE544" s="12"/>
      <c r="CF544" s="12"/>
      <c r="CG544" s="12"/>
      <c r="CH544" s="12"/>
      <c r="CI544" s="12"/>
      <c r="CJ544" s="12"/>
      <c r="CK544" s="12"/>
      <c r="CL544" s="12"/>
      <c r="CM544" s="12"/>
      <c r="CN544" s="12"/>
      <c r="CO544" s="12"/>
      <c r="CP544" s="12"/>
      <c r="CQ544" s="12"/>
      <c r="CR544" s="12"/>
      <c r="CS544" s="12"/>
      <c r="CT544" s="12"/>
      <c r="CU544" s="12"/>
      <c r="CV544" s="12"/>
      <c r="CW544" s="12"/>
      <c r="CX544" s="12"/>
      <c r="CY544" s="12"/>
      <c r="CZ544" s="12"/>
      <c r="DA544" s="12"/>
      <c r="DB544" s="12"/>
      <c r="DC544" s="12"/>
      <c r="DD544" s="12"/>
      <c r="DE544" s="12"/>
      <c r="DF544" s="12"/>
      <c r="DG544" s="12"/>
      <c r="DH544" s="12"/>
      <c r="DI544" s="12"/>
      <c r="DJ544" s="12"/>
      <c r="DK544" s="12"/>
      <c r="DL544" s="12"/>
      <c r="DM544" s="12"/>
      <c r="DN544" s="12"/>
      <c r="DO544" s="12"/>
      <c r="DP544" s="12"/>
      <c r="DQ544" s="12"/>
      <c r="DR544" s="12"/>
      <c r="DS544" s="12"/>
      <c r="DT544" s="12"/>
      <c r="DU544" s="12"/>
      <c r="DV544" s="12"/>
      <c r="DW544" s="12"/>
      <c r="DX544" s="12"/>
      <c r="DY544" s="12"/>
      <c r="DZ544" s="12"/>
      <c r="EA544" s="12"/>
      <c r="EB544" s="12"/>
      <c r="EC544" s="12"/>
      <c r="ED544" s="12"/>
      <c r="EE544" s="12"/>
      <c r="EF544" s="12"/>
      <c r="EG544" s="12"/>
      <c r="EH544" s="12"/>
      <c r="EI544" s="12"/>
      <c r="EJ544" s="574"/>
      <c r="EK544" s="574"/>
      <c r="EL544" s="574"/>
      <c r="EM544" s="574"/>
      <c r="EN544" s="574"/>
      <c r="EO544" s="574"/>
      <c r="EP544" s="574"/>
      <c r="EQ544" s="574"/>
      <c r="ER544" s="574"/>
      <c r="ES544" s="574"/>
      <c r="ET544" s="574"/>
      <c r="EU544" s="574"/>
    </row>
    <row r="545">
      <c r="A545" s="12"/>
      <c r="B545" s="55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2"/>
      <c r="AY545" s="12"/>
      <c r="AZ545" s="12"/>
      <c r="BA545" s="12"/>
      <c r="BB545" s="12"/>
      <c r="BC545" s="12"/>
      <c r="BD545" s="12"/>
      <c r="BE545" s="12"/>
      <c r="BF545" s="12"/>
      <c r="BG545" s="12"/>
      <c r="BH545" s="12"/>
      <c r="BI545" s="12"/>
      <c r="BJ545" s="12"/>
      <c r="BK545" s="12"/>
      <c r="BL545" s="12"/>
      <c r="BM545" s="12"/>
      <c r="BN545" s="12"/>
      <c r="BO545" s="12"/>
      <c r="BP545" s="12"/>
      <c r="BQ545" s="12"/>
      <c r="BR545" s="12"/>
      <c r="BS545" s="12"/>
      <c r="BT545" s="12"/>
      <c r="BU545" s="12"/>
      <c r="BV545" s="12"/>
      <c r="BW545" s="12"/>
      <c r="BX545" s="12"/>
      <c r="BY545" s="12"/>
      <c r="BZ545" s="12"/>
      <c r="CA545" s="12"/>
      <c r="CB545" s="12"/>
      <c r="CC545" s="12"/>
      <c r="CD545" s="12"/>
      <c r="CE545" s="12"/>
      <c r="CF545" s="12"/>
      <c r="CG545" s="12"/>
      <c r="CH545" s="12"/>
      <c r="CI545" s="12"/>
      <c r="CJ545" s="12"/>
      <c r="CK545" s="12"/>
      <c r="CL545" s="12"/>
      <c r="CM545" s="12"/>
      <c r="CN545" s="12"/>
      <c r="CO545" s="12"/>
      <c r="CP545" s="12"/>
      <c r="CQ545" s="12"/>
      <c r="CR545" s="12"/>
      <c r="CS545" s="12"/>
      <c r="CT545" s="12"/>
      <c r="CU545" s="12"/>
      <c r="CV545" s="12"/>
      <c r="CW545" s="12"/>
      <c r="CX545" s="12"/>
      <c r="CY545" s="12"/>
      <c r="CZ545" s="12"/>
      <c r="DA545" s="12"/>
      <c r="DB545" s="12"/>
      <c r="DC545" s="12"/>
      <c r="DD545" s="12"/>
      <c r="DE545" s="12"/>
      <c r="DF545" s="12"/>
      <c r="DG545" s="12"/>
      <c r="DH545" s="12"/>
      <c r="DI545" s="12"/>
      <c r="DJ545" s="12"/>
      <c r="DK545" s="12"/>
      <c r="DL545" s="12"/>
      <c r="DM545" s="12"/>
      <c r="DN545" s="12"/>
      <c r="DO545" s="12"/>
      <c r="DP545" s="12"/>
      <c r="DQ545" s="12"/>
      <c r="DR545" s="12"/>
      <c r="DS545" s="12"/>
      <c r="DT545" s="12"/>
      <c r="DU545" s="12"/>
      <c r="DV545" s="12"/>
      <c r="DW545" s="12"/>
      <c r="DX545" s="12"/>
      <c r="DY545" s="12"/>
      <c r="DZ545" s="12"/>
      <c r="EA545" s="12"/>
      <c r="EB545" s="12"/>
      <c r="EC545" s="12"/>
      <c r="ED545" s="12"/>
      <c r="EE545" s="12"/>
      <c r="EF545" s="12"/>
      <c r="EG545" s="12"/>
      <c r="EH545" s="12"/>
      <c r="EI545" s="12"/>
      <c r="EJ545" s="574"/>
      <c r="EK545" s="574"/>
      <c r="EL545" s="574"/>
      <c r="EM545" s="574"/>
      <c r="EN545" s="574"/>
      <c r="EO545" s="574"/>
      <c r="EP545" s="574"/>
      <c r="EQ545" s="574"/>
      <c r="ER545" s="574"/>
      <c r="ES545" s="574"/>
      <c r="ET545" s="574"/>
      <c r="EU545" s="574"/>
    </row>
    <row r="546">
      <c r="A546" s="12"/>
      <c r="B546" s="55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  <c r="AY546" s="12"/>
      <c r="AZ546" s="12"/>
      <c r="BA546" s="12"/>
      <c r="BB546" s="12"/>
      <c r="BC546" s="12"/>
      <c r="BD546" s="12"/>
      <c r="BE546" s="12"/>
      <c r="BF546" s="12"/>
      <c r="BG546" s="12"/>
      <c r="BH546" s="12"/>
      <c r="BI546" s="12"/>
      <c r="BJ546" s="12"/>
      <c r="BK546" s="12"/>
      <c r="BL546" s="12"/>
      <c r="BM546" s="12"/>
      <c r="BN546" s="12"/>
      <c r="BO546" s="12"/>
      <c r="BP546" s="12"/>
      <c r="BQ546" s="12"/>
      <c r="BR546" s="12"/>
      <c r="BS546" s="12"/>
      <c r="BT546" s="12"/>
      <c r="BU546" s="12"/>
      <c r="BV546" s="12"/>
      <c r="BW546" s="12"/>
      <c r="BX546" s="12"/>
      <c r="BY546" s="12"/>
      <c r="BZ546" s="12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574"/>
      <c r="EK546" s="574"/>
      <c r="EL546" s="574"/>
      <c r="EM546" s="574"/>
      <c r="EN546" s="574"/>
      <c r="EO546" s="574"/>
      <c r="EP546" s="574"/>
      <c r="EQ546" s="574"/>
      <c r="ER546" s="574"/>
      <c r="ES546" s="574"/>
      <c r="ET546" s="574"/>
      <c r="EU546" s="574"/>
    </row>
    <row r="547">
      <c r="A547" s="12"/>
      <c r="B547" s="55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  <c r="AY547" s="12"/>
      <c r="AZ547" s="12"/>
      <c r="BA547" s="12"/>
      <c r="BB547" s="12"/>
      <c r="BC547" s="12"/>
      <c r="BD547" s="12"/>
      <c r="BE547" s="12"/>
      <c r="BF547" s="12"/>
      <c r="BG547" s="12"/>
      <c r="BH547" s="12"/>
      <c r="BI547" s="12"/>
      <c r="BJ547" s="12"/>
      <c r="BK547" s="12"/>
      <c r="BL547" s="12"/>
      <c r="BM547" s="12"/>
      <c r="BN547" s="12"/>
      <c r="BO547" s="12"/>
      <c r="BP547" s="12"/>
      <c r="BQ547" s="12"/>
      <c r="BR547" s="12"/>
      <c r="BS547" s="12"/>
      <c r="BT547" s="12"/>
      <c r="BU547" s="12"/>
      <c r="BV547" s="12"/>
      <c r="BW547" s="12"/>
      <c r="BX547" s="12"/>
      <c r="BY547" s="12"/>
      <c r="BZ547" s="12"/>
      <c r="CA547" s="12"/>
      <c r="CB547" s="12"/>
      <c r="CC547" s="12"/>
      <c r="CD547" s="12"/>
      <c r="CE547" s="12"/>
      <c r="CF547" s="12"/>
      <c r="CG547" s="12"/>
      <c r="CH547" s="12"/>
      <c r="CI547" s="12"/>
      <c r="CJ547" s="12"/>
      <c r="CK547" s="12"/>
      <c r="CL547" s="12"/>
      <c r="CM547" s="12"/>
      <c r="CN547" s="12"/>
      <c r="CO547" s="12"/>
      <c r="CP547" s="12"/>
      <c r="CQ547" s="12"/>
      <c r="CR547" s="12"/>
      <c r="CS547" s="12"/>
      <c r="CT547" s="12"/>
      <c r="CU547" s="12"/>
      <c r="CV547" s="12"/>
      <c r="CW547" s="12"/>
      <c r="CX547" s="12"/>
      <c r="CY547" s="12"/>
      <c r="CZ547" s="12"/>
      <c r="DA547" s="12"/>
      <c r="DB547" s="12"/>
      <c r="DC547" s="12"/>
      <c r="DD547" s="12"/>
      <c r="DE547" s="12"/>
      <c r="DF547" s="12"/>
      <c r="DG547" s="12"/>
      <c r="DH547" s="12"/>
      <c r="DI547" s="12"/>
      <c r="DJ547" s="12"/>
      <c r="DK547" s="12"/>
      <c r="DL547" s="12"/>
      <c r="DM547" s="12"/>
      <c r="DN547" s="12"/>
      <c r="DO547" s="12"/>
      <c r="DP547" s="12"/>
      <c r="DQ547" s="12"/>
      <c r="DR547" s="12"/>
      <c r="DS547" s="12"/>
      <c r="DT547" s="12"/>
      <c r="DU547" s="12"/>
      <c r="DV547" s="12"/>
      <c r="DW547" s="12"/>
      <c r="DX547" s="12"/>
      <c r="DY547" s="12"/>
      <c r="DZ547" s="12"/>
      <c r="EA547" s="12"/>
      <c r="EB547" s="12"/>
      <c r="EC547" s="12"/>
      <c r="ED547" s="12"/>
      <c r="EE547" s="12"/>
      <c r="EF547" s="12"/>
      <c r="EG547" s="12"/>
      <c r="EH547" s="12"/>
      <c r="EI547" s="12"/>
      <c r="EJ547" s="574"/>
      <c r="EK547" s="574"/>
      <c r="EL547" s="574"/>
      <c r="EM547" s="574"/>
      <c r="EN547" s="574"/>
      <c r="EO547" s="574"/>
      <c r="EP547" s="574"/>
      <c r="EQ547" s="574"/>
      <c r="ER547" s="574"/>
      <c r="ES547" s="574"/>
      <c r="ET547" s="574"/>
      <c r="EU547" s="574"/>
    </row>
    <row r="548">
      <c r="A548" s="12"/>
      <c r="B548" s="55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  <c r="AY548" s="12"/>
      <c r="AZ548" s="12"/>
      <c r="BA548" s="12"/>
      <c r="BB548" s="12"/>
      <c r="BC548" s="12"/>
      <c r="BD548" s="12"/>
      <c r="BE548" s="12"/>
      <c r="BF548" s="12"/>
      <c r="BG548" s="12"/>
      <c r="BH548" s="12"/>
      <c r="BI548" s="12"/>
      <c r="BJ548" s="12"/>
      <c r="BK548" s="12"/>
      <c r="BL548" s="12"/>
      <c r="BM548" s="12"/>
      <c r="BN548" s="12"/>
      <c r="BO548" s="12"/>
      <c r="BP548" s="12"/>
      <c r="BQ548" s="12"/>
      <c r="BR548" s="12"/>
      <c r="BS548" s="12"/>
      <c r="BT548" s="12"/>
      <c r="BU548" s="12"/>
      <c r="BV548" s="12"/>
      <c r="BW548" s="12"/>
      <c r="BX548" s="12"/>
      <c r="BY548" s="12"/>
      <c r="BZ548" s="12"/>
      <c r="CA548" s="12"/>
      <c r="CB548" s="12"/>
      <c r="CC548" s="12"/>
      <c r="CD548" s="12"/>
      <c r="CE548" s="12"/>
      <c r="CF548" s="12"/>
      <c r="CG548" s="12"/>
      <c r="CH548" s="12"/>
      <c r="CI548" s="12"/>
      <c r="CJ548" s="12"/>
      <c r="CK548" s="12"/>
      <c r="CL548" s="12"/>
      <c r="CM548" s="12"/>
      <c r="CN548" s="12"/>
      <c r="CO548" s="12"/>
      <c r="CP548" s="12"/>
      <c r="CQ548" s="12"/>
      <c r="CR548" s="12"/>
      <c r="CS548" s="12"/>
      <c r="CT548" s="12"/>
      <c r="CU548" s="12"/>
      <c r="CV548" s="12"/>
      <c r="CW548" s="12"/>
      <c r="CX548" s="12"/>
      <c r="CY548" s="12"/>
      <c r="CZ548" s="12"/>
      <c r="DA548" s="12"/>
      <c r="DB548" s="12"/>
      <c r="DC548" s="12"/>
      <c r="DD548" s="12"/>
      <c r="DE548" s="12"/>
      <c r="DF548" s="12"/>
      <c r="DG548" s="12"/>
      <c r="DH548" s="12"/>
      <c r="DI548" s="12"/>
      <c r="DJ548" s="12"/>
      <c r="DK548" s="12"/>
      <c r="DL548" s="12"/>
      <c r="DM548" s="12"/>
      <c r="DN548" s="12"/>
      <c r="DO548" s="12"/>
      <c r="DP548" s="12"/>
      <c r="DQ548" s="12"/>
      <c r="DR548" s="12"/>
      <c r="DS548" s="12"/>
      <c r="DT548" s="12"/>
      <c r="DU548" s="12"/>
      <c r="DV548" s="12"/>
      <c r="DW548" s="12"/>
      <c r="DX548" s="12"/>
      <c r="DY548" s="12"/>
      <c r="DZ548" s="12"/>
      <c r="EA548" s="12"/>
      <c r="EB548" s="12"/>
      <c r="EC548" s="12"/>
      <c r="ED548" s="12"/>
      <c r="EE548" s="12"/>
      <c r="EF548" s="12"/>
      <c r="EG548" s="12"/>
      <c r="EH548" s="12"/>
      <c r="EI548" s="12"/>
      <c r="EJ548" s="574"/>
      <c r="EK548" s="574"/>
      <c r="EL548" s="574"/>
      <c r="EM548" s="574"/>
      <c r="EN548" s="574"/>
      <c r="EO548" s="574"/>
      <c r="EP548" s="574"/>
      <c r="EQ548" s="574"/>
      <c r="ER548" s="574"/>
      <c r="ES548" s="574"/>
      <c r="ET548" s="574"/>
      <c r="EU548" s="574"/>
    </row>
    <row r="549">
      <c r="A549" s="12"/>
      <c r="B549" s="55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  <c r="AY549" s="12"/>
      <c r="AZ549" s="12"/>
      <c r="BA549" s="12"/>
      <c r="BB549" s="12"/>
      <c r="BC549" s="12"/>
      <c r="BD549" s="12"/>
      <c r="BE549" s="12"/>
      <c r="BF549" s="12"/>
      <c r="BG549" s="12"/>
      <c r="BH549" s="12"/>
      <c r="BI549" s="12"/>
      <c r="BJ549" s="12"/>
      <c r="BK549" s="12"/>
      <c r="BL549" s="12"/>
      <c r="BM549" s="12"/>
      <c r="BN549" s="12"/>
      <c r="BO549" s="12"/>
      <c r="BP549" s="12"/>
      <c r="BQ549" s="12"/>
      <c r="BR549" s="12"/>
      <c r="BS549" s="12"/>
      <c r="BT549" s="12"/>
      <c r="BU549" s="12"/>
      <c r="BV549" s="12"/>
      <c r="BW549" s="12"/>
      <c r="BX549" s="12"/>
      <c r="BY549" s="12"/>
      <c r="BZ549" s="12"/>
      <c r="CA549" s="12"/>
      <c r="CB549" s="12"/>
      <c r="CC549" s="12"/>
      <c r="CD549" s="12"/>
      <c r="CE549" s="12"/>
      <c r="CF549" s="12"/>
      <c r="CG549" s="12"/>
      <c r="CH549" s="12"/>
      <c r="CI549" s="12"/>
      <c r="CJ549" s="12"/>
      <c r="CK549" s="12"/>
      <c r="CL549" s="12"/>
      <c r="CM549" s="12"/>
      <c r="CN549" s="12"/>
      <c r="CO549" s="12"/>
      <c r="CP549" s="12"/>
      <c r="CQ549" s="12"/>
      <c r="CR549" s="12"/>
      <c r="CS549" s="12"/>
      <c r="CT549" s="12"/>
      <c r="CU549" s="12"/>
      <c r="CV549" s="12"/>
      <c r="CW549" s="12"/>
      <c r="CX549" s="12"/>
      <c r="CY549" s="12"/>
      <c r="CZ549" s="12"/>
      <c r="DA549" s="12"/>
      <c r="DB549" s="12"/>
      <c r="DC549" s="12"/>
      <c r="DD549" s="12"/>
      <c r="DE549" s="12"/>
      <c r="DF549" s="12"/>
      <c r="DG549" s="12"/>
      <c r="DH549" s="12"/>
      <c r="DI549" s="12"/>
      <c r="DJ549" s="12"/>
      <c r="DK549" s="12"/>
      <c r="DL549" s="12"/>
      <c r="DM549" s="12"/>
      <c r="DN549" s="12"/>
      <c r="DO549" s="12"/>
      <c r="DP549" s="12"/>
      <c r="DQ549" s="12"/>
      <c r="DR549" s="12"/>
      <c r="DS549" s="12"/>
      <c r="DT549" s="12"/>
      <c r="DU549" s="12"/>
      <c r="DV549" s="12"/>
      <c r="DW549" s="12"/>
      <c r="DX549" s="12"/>
      <c r="DY549" s="12"/>
      <c r="DZ549" s="12"/>
      <c r="EA549" s="12"/>
      <c r="EB549" s="12"/>
      <c r="EC549" s="12"/>
      <c r="ED549" s="12"/>
      <c r="EE549" s="12"/>
      <c r="EF549" s="12"/>
      <c r="EG549" s="12"/>
      <c r="EH549" s="12"/>
      <c r="EI549" s="12"/>
      <c r="EJ549" s="574"/>
      <c r="EK549" s="574"/>
      <c r="EL549" s="574"/>
      <c r="EM549" s="574"/>
      <c r="EN549" s="574"/>
      <c r="EO549" s="574"/>
      <c r="EP549" s="574"/>
      <c r="EQ549" s="574"/>
      <c r="ER549" s="574"/>
      <c r="ES549" s="574"/>
      <c r="ET549" s="574"/>
      <c r="EU549" s="574"/>
    </row>
    <row r="550">
      <c r="A550" s="12"/>
      <c r="B550" s="55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  <c r="AY550" s="12"/>
      <c r="AZ550" s="12"/>
      <c r="BA550" s="12"/>
      <c r="BB550" s="12"/>
      <c r="BC550" s="12"/>
      <c r="BD550" s="12"/>
      <c r="BE550" s="12"/>
      <c r="BF550" s="12"/>
      <c r="BG550" s="12"/>
      <c r="BH550" s="12"/>
      <c r="BI550" s="12"/>
      <c r="BJ550" s="12"/>
      <c r="BK550" s="12"/>
      <c r="BL550" s="12"/>
      <c r="BM550" s="12"/>
      <c r="BN550" s="12"/>
      <c r="BO550" s="12"/>
      <c r="BP550" s="12"/>
      <c r="BQ550" s="12"/>
      <c r="BR550" s="12"/>
      <c r="BS550" s="12"/>
      <c r="BT550" s="12"/>
      <c r="BU550" s="12"/>
      <c r="BV550" s="12"/>
      <c r="BW550" s="12"/>
      <c r="BX550" s="12"/>
      <c r="BY550" s="12"/>
      <c r="BZ550" s="12"/>
      <c r="CA550" s="12"/>
      <c r="CB550" s="12"/>
      <c r="CC550" s="12"/>
      <c r="CD550" s="12"/>
      <c r="CE550" s="12"/>
      <c r="CF550" s="12"/>
      <c r="CG550" s="12"/>
      <c r="CH550" s="12"/>
      <c r="CI550" s="12"/>
      <c r="CJ550" s="12"/>
      <c r="CK550" s="12"/>
      <c r="CL550" s="12"/>
      <c r="CM550" s="12"/>
      <c r="CN550" s="12"/>
      <c r="CO550" s="12"/>
      <c r="CP550" s="12"/>
      <c r="CQ550" s="12"/>
      <c r="CR550" s="12"/>
      <c r="CS550" s="12"/>
      <c r="CT550" s="12"/>
      <c r="CU550" s="12"/>
      <c r="CV550" s="12"/>
      <c r="CW550" s="12"/>
      <c r="CX550" s="12"/>
      <c r="CY550" s="12"/>
      <c r="CZ550" s="12"/>
      <c r="DA550" s="12"/>
      <c r="DB550" s="12"/>
      <c r="DC550" s="12"/>
      <c r="DD550" s="12"/>
      <c r="DE550" s="12"/>
      <c r="DF550" s="12"/>
      <c r="DG550" s="12"/>
      <c r="DH550" s="12"/>
      <c r="DI550" s="12"/>
      <c r="DJ550" s="12"/>
      <c r="DK550" s="12"/>
      <c r="DL550" s="12"/>
      <c r="DM550" s="12"/>
      <c r="DN550" s="12"/>
      <c r="DO550" s="12"/>
      <c r="DP550" s="12"/>
      <c r="DQ550" s="12"/>
      <c r="DR550" s="12"/>
      <c r="DS550" s="12"/>
      <c r="DT550" s="12"/>
      <c r="DU550" s="12"/>
      <c r="DV550" s="12"/>
      <c r="DW550" s="12"/>
      <c r="DX550" s="12"/>
      <c r="DY550" s="12"/>
      <c r="DZ550" s="12"/>
      <c r="EA550" s="12"/>
      <c r="EB550" s="12"/>
      <c r="EC550" s="12"/>
      <c r="ED550" s="12"/>
      <c r="EE550" s="12"/>
      <c r="EF550" s="12"/>
      <c r="EG550" s="12"/>
      <c r="EH550" s="12"/>
      <c r="EI550" s="12"/>
      <c r="EJ550" s="574"/>
      <c r="EK550" s="574"/>
      <c r="EL550" s="574"/>
      <c r="EM550" s="574"/>
      <c r="EN550" s="574"/>
      <c r="EO550" s="574"/>
      <c r="EP550" s="574"/>
      <c r="EQ550" s="574"/>
      <c r="ER550" s="574"/>
      <c r="ES550" s="574"/>
      <c r="ET550" s="574"/>
      <c r="EU550" s="574"/>
    </row>
    <row r="551">
      <c r="A551" s="12"/>
      <c r="B551" s="55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  <c r="AY551" s="12"/>
      <c r="AZ551" s="12"/>
      <c r="BA551" s="12"/>
      <c r="BB551" s="12"/>
      <c r="BC551" s="12"/>
      <c r="BD551" s="12"/>
      <c r="BE551" s="12"/>
      <c r="BF551" s="12"/>
      <c r="BG551" s="12"/>
      <c r="BH551" s="12"/>
      <c r="BI551" s="12"/>
      <c r="BJ551" s="12"/>
      <c r="BK551" s="12"/>
      <c r="BL551" s="12"/>
      <c r="BM551" s="12"/>
      <c r="BN551" s="12"/>
      <c r="BO551" s="12"/>
      <c r="BP551" s="12"/>
      <c r="BQ551" s="12"/>
      <c r="BR551" s="12"/>
      <c r="BS551" s="12"/>
      <c r="BT551" s="12"/>
      <c r="BU551" s="12"/>
      <c r="BV551" s="12"/>
      <c r="BW551" s="12"/>
      <c r="BX551" s="12"/>
      <c r="BY551" s="12"/>
      <c r="BZ551" s="12"/>
      <c r="CA551" s="12"/>
      <c r="CB551" s="12"/>
      <c r="CC551" s="12"/>
      <c r="CD551" s="12"/>
      <c r="CE551" s="12"/>
      <c r="CF551" s="12"/>
      <c r="CG551" s="12"/>
      <c r="CH551" s="12"/>
      <c r="CI551" s="12"/>
      <c r="CJ551" s="12"/>
      <c r="CK551" s="12"/>
      <c r="CL551" s="12"/>
      <c r="CM551" s="12"/>
      <c r="CN551" s="12"/>
      <c r="CO551" s="12"/>
      <c r="CP551" s="12"/>
      <c r="CQ551" s="12"/>
      <c r="CR551" s="12"/>
      <c r="CS551" s="12"/>
      <c r="CT551" s="12"/>
      <c r="CU551" s="12"/>
      <c r="CV551" s="12"/>
      <c r="CW551" s="12"/>
      <c r="CX551" s="12"/>
      <c r="CY551" s="12"/>
      <c r="CZ551" s="12"/>
      <c r="DA551" s="12"/>
      <c r="DB551" s="12"/>
      <c r="DC551" s="12"/>
      <c r="DD551" s="12"/>
      <c r="DE551" s="12"/>
      <c r="DF551" s="12"/>
      <c r="DG551" s="12"/>
      <c r="DH551" s="12"/>
      <c r="DI551" s="12"/>
      <c r="DJ551" s="12"/>
      <c r="DK551" s="12"/>
      <c r="DL551" s="12"/>
      <c r="DM551" s="12"/>
      <c r="DN551" s="12"/>
      <c r="DO551" s="12"/>
      <c r="DP551" s="12"/>
      <c r="DQ551" s="12"/>
      <c r="DR551" s="12"/>
      <c r="DS551" s="12"/>
      <c r="DT551" s="12"/>
      <c r="DU551" s="12"/>
      <c r="DV551" s="12"/>
      <c r="DW551" s="12"/>
      <c r="DX551" s="12"/>
      <c r="DY551" s="12"/>
      <c r="DZ551" s="12"/>
      <c r="EA551" s="12"/>
      <c r="EB551" s="12"/>
      <c r="EC551" s="12"/>
      <c r="ED551" s="12"/>
      <c r="EE551" s="12"/>
      <c r="EF551" s="12"/>
      <c r="EG551" s="12"/>
      <c r="EH551" s="12"/>
      <c r="EI551" s="12"/>
      <c r="EJ551" s="574"/>
      <c r="EK551" s="574"/>
      <c r="EL551" s="574"/>
      <c r="EM551" s="574"/>
      <c r="EN551" s="574"/>
      <c r="EO551" s="574"/>
      <c r="EP551" s="574"/>
      <c r="EQ551" s="574"/>
      <c r="ER551" s="574"/>
      <c r="ES551" s="574"/>
      <c r="ET551" s="574"/>
      <c r="EU551" s="574"/>
    </row>
    <row r="552">
      <c r="A552" s="12"/>
      <c r="B552" s="55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  <c r="AY552" s="12"/>
      <c r="AZ552" s="12"/>
      <c r="BA552" s="12"/>
      <c r="BB552" s="12"/>
      <c r="BC552" s="12"/>
      <c r="BD552" s="12"/>
      <c r="BE552" s="12"/>
      <c r="BF552" s="12"/>
      <c r="BG552" s="12"/>
      <c r="BH552" s="12"/>
      <c r="BI552" s="12"/>
      <c r="BJ552" s="12"/>
      <c r="BK552" s="12"/>
      <c r="BL552" s="12"/>
      <c r="BM552" s="12"/>
      <c r="BN552" s="12"/>
      <c r="BO552" s="12"/>
      <c r="BP552" s="12"/>
      <c r="BQ552" s="12"/>
      <c r="BR552" s="12"/>
      <c r="BS552" s="12"/>
      <c r="BT552" s="12"/>
      <c r="BU552" s="12"/>
      <c r="BV552" s="12"/>
      <c r="BW552" s="12"/>
      <c r="BX552" s="12"/>
      <c r="BY552" s="12"/>
      <c r="BZ552" s="12"/>
      <c r="CA552" s="12"/>
      <c r="CB552" s="12"/>
      <c r="CC552" s="12"/>
      <c r="CD552" s="12"/>
      <c r="CE552" s="12"/>
      <c r="CF552" s="12"/>
      <c r="CG552" s="12"/>
      <c r="CH552" s="12"/>
      <c r="CI552" s="12"/>
      <c r="CJ552" s="12"/>
      <c r="CK552" s="12"/>
      <c r="CL552" s="12"/>
      <c r="CM552" s="12"/>
      <c r="CN552" s="12"/>
      <c r="CO552" s="12"/>
      <c r="CP552" s="12"/>
      <c r="CQ552" s="12"/>
      <c r="CR552" s="12"/>
      <c r="CS552" s="12"/>
      <c r="CT552" s="12"/>
      <c r="CU552" s="12"/>
      <c r="CV552" s="12"/>
      <c r="CW552" s="12"/>
      <c r="CX552" s="12"/>
      <c r="CY552" s="12"/>
      <c r="CZ552" s="12"/>
      <c r="DA552" s="12"/>
      <c r="DB552" s="12"/>
      <c r="DC552" s="12"/>
      <c r="DD552" s="12"/>
      <c r="DE552" s="12"/>
      <c r="DF552" s="12"/>
      <c r="DG552" s="12"/>
      <c r="DH552" s="12"/>
      <c r="DI552" s="12"/>
      <c r="DJ552" s="12"/>
      <c r="DK552" s="12"/>
      <c r="DL552" s="12"/>
      <c r="DM552" s="12"/>
      <c r="DN552" s="12"/>
      <c r="DO552" s="12"/>
      <c r="DP552" s="12"/>
      <c r="DQ552" s="12"/>
      <c r="DR552" s="12"/>
      <c r="DS552" s="12"/>
      <c r="DT552" s="12"/>
      <c r="DU552" s="12"/>
      <c r="DV552" s="12"/>
      <c r="DW552" s="12"/>
      <c r="DX552" s="12"/>
      <c r="DY552" s="12"/>
      <c r="DZ552" s="12"/>
      <c r="EA552" s="12"/>
      <c r="EB552" s="12"/>
      <c r="EC552" s="12"/>
      <c r="ED552" s="12"/>
      <c r="EE552" s="12"/>
      <c r="EF552" s="12"/>
      <c r="EG552" s="12"/>
      <c r="EH552" s="12"/>
      <c r="EI552" s="12"/>
      <c r="EJ552" s="574"/>
      <c r="EK552" s="574"/>
      <c r="EL552" s="574"/>
      <c r="EM552" s="574"/>
      <c r="EN552" s="574"/>
      <c r="EO552" s="574"/>
      <c r="EP552" s="574"/>
      <c r="EQ552" s="574"/>
      <c r="ER552" s="574"/>
      <c r="ES552" s="574"/>
      <c r="ET552" s="574"/>
      <c r="EU552" s="574"/>
    </row>
    <row r="553">
      <c r="A553" s="12"/>
      <c r="B553" s="55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  <c r="AY553" s="12"/>
      <c r="AZ553" s="12"/>
      <c r="BA553" s="12"/>
      <c r="BB553" s="12"/>
      <c r="BC553" s="12"/>
      <c r="BD553" s="12"/>
      <c r="BE553" s="12"/>
      <c r="BF553" s="12"/>
      <c r="BG553" s="12"/>
      <c r="BH553" s="12"/>
      <c r="BI553" s="12"/>
      <c r="BJ553" s="12"/>
      <c r="BK553" s="12"/>
      <c r="BL553" s="12"/>
      <c r="BM553" s="12"/>
      <c r="BN553" s="12"/>
      <c r="BO553" s="12"/>
      <c r="BP553" s="12"/>
      <c r="BQ553" s="12"/>
      <c r="BR553" s="12"/>
      <c r="BS553" s="12"/>
      <c r="BT553" s="12"/>
      <c r="BU553" s="12"/>
      <c r="BV553" s="12"/>
      <c r="BW553" s="12"/>
      <c r="BX553" s="12"/>
      <c r="BY553" s="12"/>
      <c r="BZ553" s="12"/>
      <c r="CA553" s="12"/>
      <c r="CB553" s="12"/>
      <c r="CC553" s="12"/>
      <c r="CD553" s="12"/>
      <c r="CE553" s="12"/>
      <c r="CF553" s="12"/>
      <c r="CG553" s="12"/>
      <c r="CH553" s="12"/>
      <c r="CI553" s="12"/>
      <c r="CJ553" s="12"/>
      <c r="CK553" s="12"/>
      <c r="CL553" s="12"/>
      <c r="CM553" s="12"/>
      <c r="CN553" s="12"/>
      <c r="CO553" s="12"/>
      <c r="CP553" s="12"/>
      <c r="CQ553" s="12"/>
      <c r="CR553" s="12"/>
      <c r="CS553" s="12"/>
      <c r="CT553" s="12"/>
      <c r="CU553" s="12"/>
      <c r="CV553" s="12"/>
      <c r="CW553" s="12"/>
      <c r="CX553" s="12"/>
      <c r="CY553" s="12"/>
      <c r="CZ553" s="12"/>
      <c r="DA553" s="12"/>
      <c r="DB553" s="12"/>
      <c r="DC553" s="12"/>
      <c r="DD553" s="12"/>
      <c r="DE553" s="12"/>
      <c r="DF553" s="12"/>
      <c r="DG553" s="12"/>
      <c r="DH553" s="12"/>
      <c r="DI553" s="12"/>
      <c r="DJ553" s="12"/>
      <c r="DK553" s="12"/>
      <c r="DL553" s="12"/>
      <c r="DM553" s="12"/>
      <c r="DN553" s="12"/>
      <c r="DO553" s="12"/>
      <c r="DP553" s="12"/>
      <c r="DQ553" s="12"/>
      <c r="DR553" s="12"/>
      <c r="DS553" s="12"/>
      <c r="DT553" s="12"/>
      <c r="DU553" s="12"/>
      <c r="DV553" s="12"/>
      <c r="DW553" s="12"/>
      <c r="DX553" s="12"/>
      <c r="DY553" s="12"/>
      <c r="DZ553" s="12"/>
      <c r="EA553" s="12"/>
      <c r="EB553" s="12"/>
      <c r="EC553" s="12"/>
      <c r="ED553" s="12"/>
      <c r="EE553" s="12"/>
      <c r="EF553" s="12"/>
      <c r="EG553" s="12"/>
      <c r="EH553" s="12"/>
      <c r="EI553" s="12"/>
      <c r="EJ553" s="574"/>
      <c r="EK553" s="574"/>
      <c r="EL553" s="574"/>
      <c r="EM553" s="574"/>
      <c r="EN553" s="574"/>
      <c r="EO553" s="574"/>
      <c r="EP553" s="574"/>
      <c r="EQ553" s="574"/>
      <c r="ER553" s="574"/>
      <c r="ES553" s="574"/>
      <c r="ET553" s="574"/>
      <c r="EU553" s="574"/>
    </row>
    <row r="554">
      <c r="A554" s="12"/>
      <c r="B554" s="55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  <c r="AY554" s="12"/>
      <c r="AZ554" s="12"/>
      <c r="BA554" s="12"/>
      <c r="BB554" s="12"/>
      <c r="BC554" s="12"/>
      <c r="BD554" s="12"/>
      <c r="BE554" s="12"/>
      <c r="BF554" s="12"/>
      <c r="BG554" s="12"/>
      <c r="BH554" s="12"/>
      <c r="BI554" s="12"/>
      <c r="BJ554" s="12"/>
      <c r="BK554" s="12"/>
      <c r="BL554" s="12"/>
      <c r="BM554" s="12"/>
      <c r="BN554" s="12"/>
      <c r="BO554" s="12"/>
      <c r="BP554" s="12"/>
      <c r="BQ554" s="12"/>
      <c r="BR554" s="12"/>
      <c r="BS554" s="12"/>
      <c r="BT554" s="12"/>
      <c r="BU554" s="12"/>
      <c r="BV554" s="12"/>
      <c r="BW554" s="12"/>
      <c r="BX554" s="12"/>
      <c r="BY554" s="12"/>
      <c r="BZ554" s="12"/>
      <c r="CA554" s="12"/>
      <c r="CB554" s="12"/>
      <c r="CC554" s="12"/>
      <c r="CD554" s="12"/>
      <c r="CE554" s="12"/>
      <c r="CF554" s="12"/>
      <c r="CG554" s="12"/>
      <c r="CH554" s="12"/>
      <c r="CI554" s="12"/>
      <c r="CJ554" s="12"/>
      <c r="CK554" s="12"/>
      <c r="CL554" s="12"/>
      <c r="CM554" s="12"/>
      <c r="CN554" s="12"/>
      <c r="CO554" s="12"/>
      <c r="CP554" s="12"/>
      <c r="CQ554" s="12"/>
      <c r="CR554" s="12"/>
      <c r="CS554" s="12"/>
      <c r="CT554" s="12"/>
      <c r="CU554" s="12"/>
      <c r="CV554" s="12"/>
      <c r="CW554" s="12"/>
      <c r="CX554" s="12"/>
      <c r="CY554" s="12"/>
      <c r="CZ554" s="12"/>
      <c r="DA554" s="12"/>
      <c r="DB554" s="12"/>
      <c r="DC554" s="12"/>
      <c r="DD554" s="12"/>
      <c r="DE554" s="12"/>
      <c r="DF554" s="12"/>
      <c r="DG554" s="12"/>
      <c r="DH554" s="12"/>
      <c r="DI554" s="12"/>
      <c r="DJ554" s="12"/>
      <c r="DK554" s="12"/>
      <c r="DL554" s="12"/>
      <c r="DM554" s="12"/>
      <c r="DN554" s="12"/>
      <c r="DO554" s="12"/>
      <c r="DP554" s="12"/>
      <c r="DQ554" s="12"/>
      <c r="DR554" s="12"/>
      <c r="DS554" s="12"/>
      <c r="DT554" s="12"/>
      <c r="DU554" s="12"/>
      <c r="DV554" s="12"/>
      <c r="DW554" s="12"/>
      <c r="DX554" s="12"/>
      <c r="DY554" s="12"/>
      <c r="DZ554" s="12"/>
      <c r="EA554" s="12"/>
      <c r="EB554" s="12"/>
      <c r="EC554" s="12"/>
      <c r="ED554" s="12"/>
      <c r="EE554" s="12"/>
      <c r="EF554" s="12"/>
      <c r="EG554" s="12"/>
      <c r="EH554" s="12"/>
      <c r="EI554" s="12"/>
      <c r="EJ554" s="574"/>
      <c r="EK554" s="574"/>
      <c r="EL554" s="574"/>
      <c r="EM554" s="574"/>
      <c r="EN554" s="574"/>
      <c r="EO554" s="574"/>
      <c r="EP554" s="574"/>
      <c r="EQ554" s="574"/>
      <c r="ER554" s="574"/>
      <c r="ES554" s="574"/>
      <c r="ET554" s="574"/>
      <c r="EU554" s="574"/>
    </row>
    <row r="555">
      <c r="A555" s="12"/>
      <c r="B555" s="55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  <c r="AY555" s="12"/>
      <c r="AZ555" s="12"/>
      <c r="BA555" s="12"/>
      <c r="BB555" s="12"/>
      <c r="BC555" s="12"/>
      <c r="BD555" s="12"/>
      <c r="BE555" s="12"/>
      <c r="BF555" s="12"/>
      <c r="BG555" s="12"/>
      <c r="BH555" s="12"/>
      <c r="BI555" s="12"/>
      <c r="BJ555" s="12"/>
      <c r="BK555" s="12"/>
      <c r="BL555" s="12"/>
      <c r="BM555" s="12"/>
      <c r="BN555" s="12"/>
      <c r="BO555" s="12"/>
      <c r="BP555" s="12"/>
      <c r="BQ555" s="12"/>
      <c r="BR555" s="12"/>
      <c r="BS555" s="12"/>
      <c r="BT555" s="12"/>
      <c r="BU555" s="12"/>
      <c r="BV555" s="12"/>
      <c r="BW555" s="12"/>
      <c r="BX555" s="12"/>
      <c r="BY555" s="12"/>
      <c r="BZ555" s="12"/>
      <c r="CA555" s="12"/>
      <c r="CB555" s="12"/>
      <c r="CC555" s="12"/>
      <c r="CD555" s="12"/>
      <c r="CE555" s="12"/>
      <c r="CF555" s="12"/>
      <c r="CG555" s="12"/>
      <c r="CH555" s="12"/>
      <c r="CI555" s="12"/>
      <c r="CJ555" s="12"/>
      <c r="CK555" s="12"/>
      <c r="CL555" s="12"/>
      <c r="CM555" s="12"/>
      <c r="CN555" s="12"/>
      <c r="CO555" s="12"/>
      <c r="CP555" s="12"/>
      <c r="CQ555" s="12"/>
      <c r="CR555" s="12"/>
      <c r="CS555" s="12"/>
      <c r="CT555" s="12"/>
      <c r="CU555" s="12"/>
      <c r="CV555" s="12"/>
      <c r="CW555" s="12"/>
      <c r="CX555" s="12"/>
      <c r="CY555" s="12"/>
      <c r="CZ555" s="12"/>
      <c r="DA555" s="12"/>
      <c r="DB555" s="12"/>
      <c r="DC555" s="12"/>
      <c r="DD555" s="12"/>
      <c r="DE555" s="12"/>
      <c r="DF555" s="12"/>
      <c r="DG555" s="12"/>
      <c r="DH555" s="12"/>
      <c r="DI555" s="12"/>
      <c r="DJ555" s="12"/>
      <c r="DK555" s="12"/>
      <c r="DL555" s="12"/>
      <c r="DM555" s="12"/>
      <c r="DN555" s="12"/>
      <c r="DO555" s="12"/>
      <c r="DP555" s="12"/>
      <c r="DQ555" s="12"/>
      <c r="DR555" s="12"/>
      <c r="DS555" s="12"/>
      <c r="DT555" s="12"/>
      <c r="DU555" s="12"/>
      <c r="DV555" s="12"/>
      <c r="DW555" s="12"/>
      <c r="DX555" s="12"/>
      <c r="DY555" s="12"/>
      <c r="DZ555" s="12"/>
      <c r="EA555" s="12"/>
      <c r="EB555" s="12"/>
      <c r="EC555" s="12"/>
      <c r="ED555" s="12"/>
      <c r="EE555" s="12"/>
      <c r="EF555" s="12"/>
      <c r="EG555" s="12"/>
      <c r="EH555" s="12"/>
      <c r="EI555" s="12"/>
      <c r="EJ555" s="574"/>
      <c r="EK555" s="574"/>
      <c r="EL555" s="574"/>
      <c r="EM555" s="574"/>
      <c r="EN555" s="574"/>
      <c r="EO555" s="574"/>
      <c r="EP555" s="574"/>
      <c r="EQ555" s="574"/>
      <c r="ER555" s="574"/>
      <c r="ES555" s="574"/>
      <c r="ET555" s="574"/>
      <c r="EU555" s="574"/>
    </row>
    <row r="556">
      <c r="A556" s="12"/>
      <c r="B556" s="55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2"/>
      <c r="AY556" s="12"/>
      <c r="AZ556" s="12"/>
      <c r="BA556" s="12"/>
      <c r="BB556" s="12"/>
      <c r="BC556" s="12"/>
      <c r="BD556" s="12"/>
      <c r="BE556" s="12"/>
      <c r="BF556" s="12"/>
      <c r="BG556" s="12"/>
      <c r="BH556" s="12"/>
      <c r="BI556" s="12"/>
      <c r="BJ556" s="12"/>
      <c r="BK556" s="12"/>
      <c r="BL556" s="12"/>
      <c r="BM556" s="12"/>
      <c r="BN556" s="12"/>
      <c r="BO556" s="12"/>
      <c r="BP556" s="12"/>
      <c r="BQ556" s="12"/>
      <c r="BR556" s="12"/>
      <c r="BS556" s="12"/>
      <c r="BT556" s="12"/>
      <c r="BU556" s="12"/>
      <c r="BV556" s="12"/>
      <c r="BW556" s="12"/>
      <c r="BX556" s="12"/>
      <c r="BY556" s="12"/>
      <c r="BZ556" s="12"/>
      <c r="CA556" s="12"/>
      <c r="CB556" s="12"/>
      <c r="CC556" s="12"/>
      <c r="CD556" s="12"/>
      <c r="CE556" s="12"/>
      <c r="CF556" s="12"/>
      <c r="CG556" s="12"/>
      <c r="CH556" s="12"/>
      <c r="CI556" s="12"/>
      <c r="CJ556" s="12"/>
      <c r="CK556" s="12"/>
      <c r="CL556" s="12"/>
      <c r="CM556" s="12"/>
      <c r="CN556" s="12"/>
      <c r="CO556" s="12"/>
      <c r="CP556" s="12"/>
      <c r="CQ556" s="12"/>
      <c r="CR556" s="12"/>
      <c r="CS556" s="12"/>
      <c r="CT556" s="12"/>
      <c r="CU556" s="12"/>
      <c r="CV556" s="12"/>
      <c r="CW556" s="12"/>
      <c r="CX556" s="12"/>
      <c r="CY556" s="12"/>
      <c r="CZ556" s="12"/>
      <c r="DA556" s="12"/>
      <c r="DB556" s="12"/>
      <c r="DC556" s="12"/>
      <c r="DD556" s="12"/>
      <c r="DE556" s="12"/>
      <c r="DF556" s="12"/>
      <c r="DG556" s="12"/>
      <c r="DH556" s="12"/>
      <c r="DI556" s="12"/>
      <c r="DJ556" s="12"/>
      <c r="DK556" s="12"/>
      <c r="DL556" s="12"/>
      <c r="DM556" s="12"/>
      <c r="DN556" s="12"/>
      <c r="DO556" s="12"/>
      <c r="DP556" s="12"/>
      <c r="DQ556" s="12"/>
      <c r="DR556" s="12"/>
      <c r="DS556" s="12"/>
      <c r="DT556" s="12"/>
      <c r="DU556" s="12"/>
      <c r="DV556" s="12"/>
      <c r="DW556" s="12"/>
      <c r="DX556" s="12"/>
      <c r="DY556" s="12"/>
      <c r="DZ556" s="12"/>
      <c r="EA556" s="12"/>
      <c r="EB556" s="12"/>
      <c r="EC556" s="12"/>
      <c r="ED556" s="12"/>
      <c r="EE556" s="12"/>
      <c r="EF556" s="12"/>
      <c r="EG556" s="12"/>
      <c r="EH556" s="12"/>
      <c r="EI556" s="12"/>
      <c r="EJ556" s="574"/>
      <c r="EK556" s="574"/>
      <c r="EL556" s="574"/>
      <c r="EM556" s="574"/>
      <c r="EN556" s="574"/>
      <c r="EO556" s="574"/>
      <c r="EP556" s="574"/>
      <c r="EQ556" s="574"/>
      <c r="ER556" s="574"/>
      <c r="ES556" s="574"/>
      <c r="ET556" s="574"/>
      <c r="EU556" s="574"/>
    </row>
    <row r="557">
      <c r="A557" s="12"/>
      <c r="B557" s="55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  <c r="AY557" s="12"/>
      <c r="AZ557" s="12"/>
      <c r="BA557" s="12"/>
      <c r="BB557" s="12"/>
      <c r="BC557" s="12"/>
      <c r="BD557" s="12"/>
      <c r="BE557" s="12"/>
      <c r="BF557" s="12"/>
      <c r="BG557" s="12"/>
      <c r="BH557" s="12"/>
      <c r="BI557" s="12"/>
      <c r="BJ557" s="12"/>
      <c r="BK557" s="12"/>
      <c r="BL557" s="12"/>
      <c r="BM557" s="12"/>
      <c r="BN557" s="12"/>
      <c r="BO557" s="12"/>
      <c r="BP557" s="12"/>
      <c r="BQ557" s="12"/>
      <c r="BR557" s="12"/>
      <c r="BS557" s="12"/>
      <c r="BT557" s="12"/>
      <c r="BU557" s="12"/>
      <c r="BV557" s="12"/>
      <c r="BW557" s="12"/>
      <c r="BX557" s="12"/>
      <c r="BY557" s="12"/>
      <c r="BZ557" s="12"/>
      <c r="CA557" s="12"/>
      <c r="CB557" s="12"/>
      <c r="CC557" s="12"/>
      <c r="CD557" s="12"/>
      <c r="CE557" s="12"/>
      <c r="CF557" s="12"/>
      <c r="CG557" s="12"/>
      <c r="CH557" s="12"/>
      <c r="CI557" s="12"/>
      <c r="CJ557" s="12"/>
      <c r="CK557" s="12"/>
      <c r="CL557" s="12"/>
      <c r="CM557" s="12"/>
      <c r="CN557" s="12"/>
      <c r="CO557" s="12"/>
      <c r="CP557" s="12"/>
      <c r="CQ557" s="12"/>
      <c r="CR557" s="12"/>
      <c r="CS557" s="12"/>
      <c r="CT557" s="12"/>
      <c r="CU557" s="12"/>
      <c r="CV557" s="12"/>
      <c r="CW557" s="12"/>
      <c r="CX557" s="12"/>
      <c r="CY557" s="12"/>
      <c r="CZ557" s="12"/>
      <c r="DA557" s="12"/>
      <c r="DB557" s="12"/>
      <c r="DC557" s="12"/>
      <c r="DD557" s="12"/>
      <c r="DE557" s="12"/>
      <c r="DF557" s="12"/>
      <c r="DG557" s="12"/>
      <c r="DH557" s="12"/>
      <c r="DI557" s="12"/>
      <c r="DJ557" s="12"/>
      <c r="DK557" s="12"/>
      <c r="DL557" s="12"/>
      <c r="DM557" s="12"/>
      <c r="DN557" s="12"/>
      <c r="DO557" s="12"/>
      <c r="DP557" s="12"/>
      <c r="DQ557" s="12"/>
      <c r="DR557" s="12"/>
      <c r="DS557" s="12"/>
      <c r="DT557" s="12"/>
      <c r="DU557" s="12"/>
      <c r="DV557" s="12"/>
      <c r="DW557" s="12"/>
      <c r="DX557" s="12"/>
      <c r="DY557" s="12"/>
      <c r="DZ557" s="12"/>
      <c r="EA557" s="12"/>
      <c r="EB557" s="12"/>
      <c r="EC557" s="12"/>
      <c r="ED557" s="12"/>
      <c r="EE557" s="12"/>
      <c r="EF557" s="12"/>
      <c r="EG557" s="12"/>
      <c r="EH557" s="12"/>
      <c r="EI557" s="12"/>
      <c r="EJ557" s="574"/>
      <c r="EK557" s="574"/>
      <c r="EL557" s="574"/>
      <c r="EM557" s="574"/>
      <c r="EN557" s="574"/>
      <c r="EO557" s="574"/>
      <c r="EP557" s="574"/>
      <c r="EQ557" s="574"/>
      <c r="ER557" s="574"/>
      <c r="ES557" s="574"/>
      <c r="ET557" s="574"/>
      <c r="EU557" s="574"/>
    </row>
    <row r="558">
      <c r="A558" s="12"/>
      <c r="B558" s="55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  <c r="AY558" s="12"/>
      <c r="AZ558" s="12"/>
      <c r="BA558" s="12"/>
      <c r="BB558" s="12"/>
      <c r="BC558" s="12"/>
      <c r="BD558" s="12"/>
      <c r="BE558" s="12"/>
      <c r="BF558" s="12"/>
      <c r="BG558" s="12"/>
      <c r="BH558" s="12"/>
      <c r="BI558" s="12"/>
      <c r="BJ558" s="12"/>
      <c r="BK558" s="12"/>
      <c r="BL558" s="12"/>
      <c r="BM558" s="12"/>
      <c r="BN558" s="12"/>
      <c r="BO558" s="12"/>
      <c r="BP558" s="12"/>
      <c r="BQ558" s="12"/>
      <c r="BR558" s="12"/>
      <c r="BS558" s="12"/>
      <c r="BT558" s="12"/>
      <c r="BU558" s="12"/>
      <c r="BV558" s="12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574"/>
      <c r="EK558" s="574"/>
      <c r="EL558" s="574"/>
      <c r="EM558" s="574"/>
      <c r="EN558" s="574"/>
      <c r="EO558" s="574"/>
      <c r="EP558" s="574"/>
      <c r="EQ558" s="574"/>
      <c r="ER558" s="574"/>
      <c r="ES558" s="574"/>
      <c r="ET558" s="574"/>
      <c r="EU558" s="574"/>
    </row>
    <row r="559">
      <c r="A559" s="12"/>
      <c r="B559" s="55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  <c r="AY559" s="12"/>
      <c r="AZ559" s="12"/>
      <c r="BA559" s="12"/>
      <c r="BB559" s="12"/>
      <c r="BC559" s="12"/>
      <c r="BD559" s="12"/>
      <c r="BE559" s="12"/>
      <c r="BF559" s="12"/>
      <c r="BG559" s="12"/>
      <c r="BH559" s="12"/>
      <c r="BI559" s="12"/>
      <c r="BJ559" s="12"/>
      <c r="BK559" s="12"/>
      <c r="BL559" s="12"/>
      <c r="BM559" s="12"/>
      <c r="BN559" s="12"/>
      <c r="BO559" s="12"/>
      <c r="BP559" s="12"/>
      <c r="BQ559" s="12"/>
      <c r="BR559" s="12"/>
      <c r="BS559" s="12"/>
      <c r="BT559" s="12"/>
      <c r="BU559" s="12"/>
      <c r="BV559" s="12"/>
      <c r="BW559" s="12"/>
      <c r="BX559" s="12"/>
      <c r="BY559" s="12"/>
      <c r="BZ559" s="12"/>
      <c r="CA559" s="12"/>
      <c r="CB559" s="12"/>
      <c r="CC559" s="12"/>
      <c r="CD559" s="12"/>
      <c r="CE559" s="12"/>
      <c r="CF559" s="12"/>
      <c r="CG559" s="12"/>
      <c r="CH559" s="12"/>
      <c r="CI559" s="12"/>
      <c r="CJ559" s="12"/>
      <c r="CK559" s="12"/>
      <c r="CL559" s="12"/>
      <c r="CM559" s="12"/>
      <c r="CN559" s="12"/>
      <c r="CO559" s="12"/>
      <c r="CP559" s="12"/>
      <c r="CQ559" s="12"/>
      <c r="CR559" s="12"/>
      <c r="CS559" s="12"/>
      <c r="CT559" s="12"/>
      <c r="CU559" s="12"/>
      <c r="CV559" s="12"/>
      <c r="CW559" s="12"/>
      <c r="CX559" s="12"/>
      <c r="CY559" s="12"/>
      <c r="CZ559" s="12"/>
      <c r="DA559" s="12"/>
      <c r="DB559" s="12"/>
      <c r="DC559" s="12"/>
      <c r="DD559" s="12"/>
      <c r="DE559" s="12"/>
      <c r="DF559" s="12"/>
      <c r="DG559" s="12"/>
      <c r="DH559" s="12"/>
      <c r="DI559" s="12"/>
      <c r="DJ559" s="12"/>
      <c r="DK559" s="12"/>
      <c r="DL559" s="12"/>
      <c r="DM559" s="12"/>
      <c r="DN559" s="12"/>
      <c r="DO559" s="12"/>
      <c r="DP559" s="12"/>
      <c r="DQ559" s="12"/>
      <c r="DR559" s="12"/>
      <c r="DS559" s="12"/>
      <c r="DT559" s="12"/>
      <c r="DU559" s="12"/>
      <c r="DV559" s="12"/>
      <c r="DW559" s="12"/>
      <c r="DX559" s="12"/>
      <c r="DY559" s="12"/>
      <c r="DZ559" s="12"/>
      <c r="EA559" s="12"/>
      <c r="EB559" s="12"/>
      <c r="EC559" s="12"/>
      <c r="ED559" s="12"/>
      <c r="EE559" s="12"/>
      <c r="EF559" s="12"/>
      <c r="EG559" s="12"/>
      <c r="EH559" s="12"/>
      <c r="EI559" s="12"/>
      <c r="EJ559" s="574"/>
      <c r="EK559" s="574"/>
      <c r="EL559" s="574"/>
      <c r="EM559" s="574"/>
      <c r="EN559" s="574"/>
      <c r="EO559" s="574"/>
      <c r="EP559" s="574"/>
      <c r="EQ559" s="574"/>
      <c r="ER559" s="574"/>
      <c r="ES559" s="574"/>
      <c r="ET559" s="574"/>
      <c r="EU559" s="574"/>
    </row>
    <row r="560">
      <c r="A560" s="12"/>
      <c r="B560" s="55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  <c r="AY560" s="12"/>
      <c r="AZ560" s="12"/>
      <c r="BA560" s="12"/>
      <c r="BB560" s="12"/>
      <c r="BC560" s="12"/>
      <c r="BD560" s="12"/>
      <c r="BE560" s="12"/>
      <c r="BF560" s="12"/>
      <c r="BG560" s="12"/>
      <c r="BH560" s="12"/>
      <c r="BI560" s="12"/>
      <c r="BJ560" s="12"/>
      <c r="BK560" s="12"/>
      <c r="BL560" s="12"/>
      <c r="BM560" s="12"/>
      <c r="BN560" s="12"/>
      <c r="BO560" s="12"/>
      <c r="BP560" s="12"/>
      <c r="BQ560" s="12"/>
      <c r="BR560" s="12"/>
      <c r="BS560" s="12"/>
      <c r="BT560" s="12"/>
      <c r="BU560" s="12"/>
      <c r="BV560" s="12"/>
      <c r="BW560" s="12"/>
      <c r="BX560" s="12"/>
      <c r="BY560" s="12"/>
      <c r="BZ560" s="12"/>
      <c r="CA560" s="12"/>
      <c r="CB560" s="12"/>
      <c r="CC560" s="12"/>
      <c r="CD560" s="12"/>
      <c r="CE560" s="12"/>
      <c r="CF560" s="12"/>
      <c r="CG560" s="12"/>
      <c r="CH560" s="12"/>
      <c r="CI560" s="12"/>
      <c r="CJ560" s="12"/>
      <c r="CK560" s="12"/>
      <c r="CL560" s="12"/>
      <c r="CM560" s="12"/>
      <c r="CN560" s="12"/>
      <c r="CO560" s="12"/>
      <c r="CP560" s="12"/>
      <c r="CQ560" s="12"/>
      <c r="CR560" s="12"/>
      <c r="CS560" s="12"/>
      <c r="CT560" s="12"/>
      <c r="CU560" s="12"/>
      <c r="CV560" s="12"/>
      <c r="CW560" s="12"/>
      <c r="CX560" s="12"/>
      <c r="CY560" s="12"/>
      <c r="CZ560" s="12"/>
      <c r="DA560" s="12"/>
      <c r="DB560" s="12"/>
      <c r="DC560" s="12"/>
      <c r="DD560" s="12"/>
      <c r="DE560" s="12"/>
      <c r="DF560" s="12"/>
      <c r="DG560" s="12"/>
      <c r="DH560" s="12"/>
      <c r="DI560" s="12"/>
      <c r="DJ560" s="12"/>
      <c r="DK560" s="12"/>
      <c r="DL560" s="12"/>
      <c r="DM560" s="12"/>
      <c r="DN560" s="12"/>
      <c r="DO560" s="12"/>
      <c r="DP560" s="12"/>
      <c r="DQ560" s="12"/>
      <c r="DR560" s="12"/>
      <c r="DS560" s="12"/>
      <c r="DT560" s="12"/>
      <c r="DU560" s="12"/>
      <c r="DV560" s="12"/>
      <c r="DW560" s="12"/>
      <c r="DX560" s="12"/>
      <c r="DY560" s="12"/>
      <c r="DZ560" s="12"/>
      <c r="EA560" s="12"/>
      <c r="EB560" s="12"/>
      <c r="EC560" s="12"/>
      <c r="ED560" s="12"/>
      <c r="EE560" s="12"/>
      <c r="EF560" s="12"/>
      <c r="EG560" s="12"/>
      <c r="EH560" s="12"/>
      <c r="EI560" s="12"/>
      <c r="EJ560" s="574"/>
      <c r="EK560" s="574"/>
      <c r="EL560" s="574"/>
      <c r="EM560" s="574"/>
      <c r="EN560" s="574"/>
      <c r="EO560" s="574"/>
      <c r="EP560" s="574"/>
      <c r="EQ560" s="574"/>
      <c r="ER560" s="574"/>
      <c r="ES560" s="574"/>
      <c r="ET560" s="574"/>
      <c r="EU560" s="574"/>
    </row>
    <row r="561">
      <c r="A561" s="12"/>
      <c r="B561" s="55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  <c r="AY561" s="12"/>
      <c r="AZ561" s="12"/>
      <c r="BA561" s="12"/>
      <c r="BB561" s="12"/>
      <c r="BC561" s="12"/>
      <c r="BD561" s="12"/>
      <c r="BE561" s="12"/>
      <c r="BF561" s="12"/>
      <c r="BG561" s="12"/>
      <c r="BH561" s="12"/>
      <c r="BI561" s="12"/>
      <c r="BJ561" s="12"/>
      <c r="BK561" s="12"/>
      <c r="BL561" s="12"/>
      <c r="BM561" s="12"/>
      <c r="BN561" s="12"/>
      <c r="BO561" s="12"/>
      <c r="BP561" s="12"/>
      <c r="BQ561" s="12"/>
      <c r="BR561" s="12"/>
      <c r="BS561" s="12"/>
      <c r="BT561" s="12"/>
      <c r="BU561" s="12"/>
      <c r="BV561" s="12"/>
      <c r="BW561" s="12"/>
      <c r="BX561" s="12"/>
      <c r="BY561" s="12"/>
      <c r="BZ561" s="12"/>
      <c r="CA561" s="12"/>
      <c r="CB561" s="12"/>
      <c r="CC561" s="12"/>
      <c r="CD561" s="12"/>
      <c r="CE561" s="12"/>
      <c r="CF561" s="12"/>
      <c r="CG561" s="12"/>
      <c r="CH561" s="12"/>
      <c r="CI561" s="12"/>
      <c r="CJ561" s="12"/>
      <c r="CK561" s="12"/>
      <c r="CL561" s="12"/>
      <c r="CM561" s="12"/>
      <c r="CN561" s="12"/>
      <c r="CO561" s="12"/>
      <c r="CP561" s="12"/>
      <c r="CQ561" s="12"/>
      <c r="CR561" s="12"/>
      <c r="CS561" s="12"/>
      <c r="CT561" s="12"/>
      <c r="CU561" s="12"/>
      <c r="CV561" s="12"/>
      <c r="CW561" s="12"/>
      <c r="CX561" s="12"/>
      <c r="CY561" s="12"/>
      <c r="CZ561" s="12"/>
      <c r="DA561" s="12"/>
      <c r="DB561" s="12"/>
      <c r="DC561" s="12"/>
      <c r="DD561" s="12"/>
      <c r="DE561" s="12"/>
      <c r="DF561" s="12"/>
      <c r="DG561" s="12"/>
      <c r="DH561" s="12"/>
      <c r="DI561" s="12"/>
      <c r="DJ561" s="12"/>
      <c r="DK561" s="12"/>
      <c r="DL561" s="12"/>
      <c r="DM561" s="12"/>
      <c r="DN561" s="12"/>
      <c r="DO561" s="12"/>
      <c r="DP561" s="12"/>
      <c r="DQ561" s="12"/>
      <c r="DR561" s="12"/>
      <c r="DS561" s="12"/>
      <c r="DT561" s="12"/>
      <c r="DU561" s="12"/>
      <c r="DV561" s="12"/>
      <c r="DW561" s="12"/>
      <c r="DX561" s="12"/>
      <c r="DY561" s="12"/>
      <c r="DZ561" s="12"/>
      <c r="EA561" s="12"/>
      <c r="EB561" s="12"/>
      <c r="EC561" s="12"/>
      <c r="ED561" s="12"/>
      <c r="EE561" s="12"/>
      <c r="EF561" s="12"/>
      <c r="EG561" s="12"/>
      <c r="EH561" s="12"/>
      <c r="EI561" s="12"/>
      <c r="EJ561" s="574"/>
      <c r="EK561" s="574"/>
      <c r="EL561" s="574"/>
      <c r="EM561" s="574"/>
      <c r="EN561" s="574"/>
      <c r="EO561" s="574"/>
      <c r="EP561" s="574"/>
      <c r="EQ561" s="574"/>
      <c r="ER561" s="574"/>
      <c r="ES561" s="574"/>
      <c r="ET561" s="574"/>
      <c r="EU561" s="574"/>
    </row>
    <row r="562">
      <c r="A562" s="12"/>
      <c r="B562" s="55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  <c r="AY562" s="12"/>
      <c r="AZ562" s="12"/>
      <c r="BA562" s="12"/>
      <c r="BB562" s="12"/>
      <c r="BC562" s="12"/>
      <c r="BD562" s="12"/>
      <c r="BE562" s="12"/>
      <c r="BF562" s="12"/>
      <c r="BG562" s="12"/>
      <c r="BH562" s="12"/>
      <c r="BI562" s="12"/>
      <c r="BJ562" s="12"/>
      <c r="BK562" s="12"/>
      <c r="BL562" s="12"/>
      <c r="BM562" s="12"/>
      <c r="BN562" s="12"/>
      <c r="BO562" s="12"/>
      <c r="BP562" s="12"/>
      <c r="BQ562" s="12"/>
      <c r="BR562" s="12"/>
      <c r="BS562" s="12"/>
      <c r="BT562" s="12"/>
      <c r="BU562" s="12"/>
      <c r="BV562" s="12"/>
      <c r="BW562" s="12"/>
      <c r="BX562" s="12"/>
      <c r="BY562" s="12"/>
      <c r="BZ562" s="12"/>
      <c r="CA562" s="12"/>
      <c r="CB562" s="12"/>
      <c r="CC562" s="12"/>
      <c r="CD562" s="12"/>
      <c r="CE562" s="12"/>
      <c r="CF562" s="12"/>
      <c r="CG562" s="12"/>
      <c r="CH562" s="12"/>
      <c r="CI562" s="12"/>
      <c r="CJ562" s="12"/>
      <c r="CK562" s="12"/>
      <c r="CL562" s="12"/>
      <c r="CM562" s="12"/>
      <c r="CN562" s="12"/>
      <c r="CO562" s="12"/>
      <c r="CP562" s="12"/>
      <c r="CQ562" s="12"/>
      <c r="CR562" s="12"/>
      <c r="CS562" s="12"/>
      <c r="CT562" s="12"/>
      <c r="CU562" s="12"/>
      <c r="CV562" s="12"/>
      <c r="CW562" s="12"/>
      <c r="CX562" s="12"/>
      <c r="CY562" s="12"/>
      <c r="CZ562" s="12"/>
      <c r="DA562" s="12"/>
      <c r="DB562" s="12"/>
      <c r="DC562" s="12"/>
      <c r="DD562" s="12"/>
      <c r="DE562" s="12"/>
      <c r="DF562" s="12"/>
      <c r="DG562" s="12"/>
      <c r="DH562" s="12"/>
      <c r="DI562" s="12"/>
      <c r="DJ562" s="12"/>
      <c r="DK562" s="12"/>
      <c r="DL562" s="12"/>
      <c r="DM562" s="12"/>
      <c r="DN562" s="12"/>
      <c r="DO562" s="12"/>
      <c r="DP562" s="12"/>
      <c r="DQ562" s="12"/>
      <c r="DR562" s="12"/>
      <c r="DS562" s="12"/>
      <c r="DT562" s="12"/>
      <c r="DU562" s="12"/>
      <c r="DV562" s="12"/>
      <c r="DW562" s="12"/>
      <c r="DX562" s="12"/>
      <c r="DY562" s="12"/>
      <c r="DZ562" s="12"/>
      <c r="EA562" s="12"/>
      <c r="EB562" s="12"/>
      <c r="EC562" s="12"/>
      <c r="ED562" s="12"/>
      <c r="EE562" s="12"/>
      <c r="EF562" s="12"/>
      <c r="EG562" s="12"/>
      <c r="EH562" s="12"/>
      <c r="EI562" s="12"/>
      <c r="EJ562" s="574"/>
      <c r="EK562" s="574"/>
      <c r="EL562" s="574"/>
      <c r="EM562" s="574"/>
      <c r="EN562" s="574"/>
      <c r="EO562" s="574"/>
      <c r="EP562" s="574"/>
      <c r="EQ562" s="574"/>
      <c r="ER562" s="574"/>
      <c r="ES562" s="574"/>
      <c r="ET562" s="574"/>
      <c r="EU562" s="574"/>
    </row>
    <row r="563">
      <c r="A563" s="12"/>
      <c r="B563" s="55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  <c r="AY563" s="12"/>
      <c r="AZ563" s="12"/>
      <c r="BA563" s="12"/>
      <c r="BB563" s="12"/>
      <c r="BC563" s="12"/>
      <c r="BD563" s="12"/>
      <c r="BE563" s="12"/>
      <c r="BF563" s="12"/>
      <c r="BG563" s="12"/>
      <c r="BH563" s="12"/>
      <c r="BI563" s="12"/>
      <c r="BJ563" s="12"/>
      <c r="BK563" s="12"/>
      <c r="BL563" s="12"/>
      <c r="BM563" s="12"/>
      <c r="BN563" s="12"/>
      <c r="BO563" s="12"/>
      <c r="BP563" s="12"/>
      <c r="BQ563" s="12"/>
      <c r="BR563" s="12"/>
      <c r="BS563" s="12"/>
      <c r="BT563" s="12"/>
      <c r="BU563" s="12"/>
      <c r="BV563" s="12"/>
      <c r="BW563" s="12"/>
      <c r="BX563" s="12"/>
      <c r="BY563" s="12"/>
      <c r="BZ563" s="12"/>
      <c r="CA563" s="12"/>
      <c r="CB563" s="12"/>
      <c r="CC563" s="12"/>
      <c r="CD563" s="12"/>
      <c r="CE563" s="12"/>
      <c r="CF563" s="12"/>
      <c r="CG563" s="12"/>
      <c r="CH563" s="12"/>
      <c r="CI563" s="12"/>
      <c r="CJ563" s="12"/>
      <c r="CK563" s="12"/>
      <c r="CL563" s="12"/>
      <c r="CM563" s="12"/>
      <c r="CN563" s="12"/>
      <c r="CO563" s="12"/>
      <c r="CP563" s="12"/>
      <c r="CQ563" s="12"/>
      <c r="CR563" s="12"/>
      <c r="CS563" s="12"/>
      <c r="CT563" s="12"/>
      <c r="CU563" s="12"/>
      <c r="CV563" s="12"/>
      <c r="CW563" s="12"/>
      <c r="CX563" s="12"/>
      <c r="CY563" s="12"/>
      <c r="CZ563" s="12"/>
      <c r="DA563" s="12"/>
      <c r="DB563" s="12"/>
      <c r="DC563" s="12"/>
      <c r="DD563" s="12"/>
      <c r="DE563" s="12"/>
      <c r="DF563" s="12"/>
      <c r="DG563" s="12"/>
      <c r="DH563" s="12"/>
      <c r="DI563" s="12"/>
      <c r="DJ563" s="12"/>
      <c r="DK563" s="12"/>
      <c r="DL563" s="12"/>
      <c r="DM563" s="12"/>
      <c r="DN563" s="12"/>
      <c r="DO563" s="12"/>
      <c r="DP563" s="12"/>
      <c r="DQ563" s="12"/>
      <c r="DR563" s="12"/>
      <c r="DS563" s="12"/>
      <c r="DT563" s="12"/>
      <c r="DU563" s="12"/>
      <c r="DV563" s="12"/>
      <c r="DW563" s="12"/>
      <c r="DX563" s="12"/>
      <c r="DY563" s="12"/>
      <c r="DZ563" s="12"/>
      <c r="EA563" s="12"/>
      <c r="EB563" s="12"/>
      <c r="EC563" s="12"/>
      <c r="ED563" s="12"/>
      <c r="EE563" s="12"/>
      <c r="EF563" s="12"/>
      <c r="EG563" s="12"/>
      <c r="EH563" s="12"/>
      <c r="EI563" s="12"/>
      <c r="EJ563" s="574"/>
      <c r="EK563" s="574"/>
      <c r="EL563" s="574"/>
      <c r="EM563" s="574"/>
      <c r="EN563" s="574"/>
      <c r="EO563" s="574"/>
      <c r="EP563" s="574"/>
      <c r="EQ563" s="574"/>
      <c r="ER563" s="574"/>
      <c r="ES563" s="574"/>
      <c r="ET563" s="574"/>
      <c r="EU563" s="574"/>
    </row>
    <row r="564">
      <c r="A564" s="12"/>
      <c r="B564" s="55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  <c r="AY564" s="12"/>
      <c r="AZ564" s="12"/>
      <c r="BA564" s="12"/>
      <c r="BB564" s="12"/>
      <c r="BC564" s="12"/>
      <c r="BD564" s="12"/>
      <c r="BE564" s="12"/>
      <c r="BF564" s="12"/>
      <c r="BG564" s="12"/>
      <c r="BH564" s="12"/>
      <c r="BI564" s="12"/>
      <c r="BJ564" s="12"/>
      <c r="BK564" s="12"/>
      <c r="BL564" s="12"/>
      <c r="BM564" s="12"/>
      <c r="BN564" s="12"/>
      <c r="BO564" s="12"/>
      <c r="BP564" s="12"/>
      <c r="BQ564" s="12"/>
      <c r="BR564" s="12"/>
      <c r="BS564" s="12"/>
      <c r="BT564" s="12"/>
      <c r="BU564" s="12"/>
      <c r="BV564" s="12"/>
      <c r="BW564" s="12"/>
      <c r="BX564" s="12"/>
      <c r="BY564" s="12"/>
      <c r="BZ564" s="12"/>
      <c r="CA564" s="12"/>
      <c r="CB564" s="12"/>
      <c r="CC564" s="12"/>
      <c r="CD564" s="12"/>
      <c r="CE564" s="12"/>
      <c r="CF564" s="12"/>
      <c r="CG564" s="12"/>
      <c r="CH564" s="12"/>
      <c r="CI564" s="12"/>
      <c r="CJ564" s="12"/>
      <c r="CK564" s="12"/>
      <c r="CL564" s="12"/>
      <c r="CM564" s="12"/>
      <c r="CN564" s="12"/>
      <c r="CO564" s="12"/>
      <c r="CP564" s="12"/>
      <c r="CQ564" s="12"/>
      <c r="CR564" s="12"/>
      <c r="CS564" s="12"/>
      <c r="CT564" s="12"/>
      <c r="CU564" s="12"/>
      <c r="CV564" s="12"/>
      <c r="CW564" s="12"/>
      <c r="CX564" s="12"/>
      <c r="CY564" s="12"/>
      <c r="CZ564" s="12"/>
      <c r="DA564" s="12"/>
      <c r="DB564" s="12"/>
      <c r="DC564" s="12"/>
      <c r="DD564" s="12"/>
      <c r="DE564" s="12"/>
      <c r="DF564" s="12"/>
      <c r="DG564" s="12"/>
      <c r="DH564" s="12"/>
      <c r="DI564" s="12"/>
      <c r="DJ564" s="12"/>
      <c r="DK564" s="12"/>
      <c r="DL564" s="12"/>
      <c r="DM564" s="12"/>
      <c r="DN564" s="12"/>
      <c r="DO564" s="12"/>
      <c r="DP564" s="12"/>
      <c r="DQ564" s="12"/>
      <c r="DR564" s="12"/>
      <c r="DS564" s="12"/>
      <c r="DT564" s="12"/>
      <c r="DU564" s="12"/>
      <c r="DV564" s="12"/>
      <c r="DW564" s="12"/>
      <c r="DX564" s="12"/>
      <c r="DY564" s="12"/>
      <c r="DZ564" s="12"/>
      <c r="EA564" s="12"/>
      <c r="EB564" s="12"/>
      <c r="EC564" s="12"/>
      <c r="ED564" s="12"/>
      <c r="EE564" s="12"/>
      <c r="EF564" s="12"/>
      <c r="EG564" s="12"/>
      <c r="EH564" s="12"/>
      <c r="EI564" s="12"/>
      <c r="EJ564" s="574"/>
      <c r="EK564" s="574"/>
      <c r="EL564" s="574"/>
      <c r="EM564" s="574"/>
      <c r="EN564" s="574"/>
      <c r="EO564" s="574"/>
      <c r="EP564" s="574"/>
      <c r="EQ564" s="574"/>
      <c r="ER564" s="574"/>
      <c r="ES564" s="574"/>
      <c r="ET564" s="574"/>
      <c r="EU564" s="574"/>
    </row>
    <row r="565">
      <c r="A565" s="12"/>
      <c r="B565" s="55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  <c r="AY565" s="12"/>
      <c r="AZ565" s="12"/>
      <c r="BA565" s="12"/>
      <c r="BB565" s="12"/>
      <c r="BC565" s="12"/>
      <c r="BD565" s="12"/>
      <c r="BE565" s="12"/>
      <c r="BF565" s="12"/>
      <c r="BG565" s="12"/>
      <c r="BH565" s="12"/>
      <c r="BI565" s="12"/>
      <c r="BJ565" s="12"/>
      <c r="BK565" s="12"/>
      <c r="BL565" s="12"/>
      <c r="BM565" s="12"/>
      <c r="BN565" s="12"/>
      <c r="BO565" s="12"/>
      <c r="BP565" s="12"/>
      <c r="BQ565" s="12"/>
      <c r="BR565" s="12"/>
      <c r="BS565" s="12"/>
      <c r="BT565" s="12"/>
      <c r="BU565" s="12"/>
      <c r="BV565" s="12"/>
      <c r="BW565" s="12"/>
      <c r="BX565" s="12"/>
      <c r="BY565" s="12"/>
      <c r="BZ565" s="12"/>
      <c r="CA565" s="12"/>
      <c r="CB565" s="12"/>
      <c r="CC565" s="12"/>
      <c r="CD565" s="12"/>
      <c r="CE565" s="12"/>
      <c r="CF565" s="12"/>
      <c r="CG565" s="12"/>
      <c r="CH565" s="12"/>
      <c r="CI565" s="12"/>
      <c r="CJ565" s="12"/>
      <c r="CK565" s="12"/>
      <c r="CL565" s="12"/>
      <c r="CM565" s="12"/>
      <c r="CN565" s="12"/>
      <c r="CO565" s="12"/>
      <c r="CP565" s="12"/>
      <c r="CQ565" s="12"/>
      <c r="CR565" s="12"/>
      <c r="CS565" s="12"/>
      <c r="CT565" s="12"/>
      <c r="CU565" s="12"/>
      <c r="CV565" s="12"/>
      <c r="CW565" s="12"/>
      <c r="CX565" s="12"/>
      <c r="CY565" s="12"/>
      <c r="CZ565" s="12"/>
      <c r="DA565" s="12"/>
      <c r="DB565" s="12"/>
      <c r="DC565" s="12"/>
      <c r="DD565" s="12"/>
      <c r="DE565" s="12"/>
      <c r="DF565" s="12"/>
      <c r="DG565" s="12"/>
      <c r="DH565" s="12"/>
      <c r="DI565" s="12"/>
      <c r="DJ565" s="12"/>
      <c r="DK565" s="12"/>
      <c r="DL565" s="12"/>
      <c r="DM565" s="12"/>
      <c r="DN565" s="12"/>
      <c r="DO565" s="12"/>
      <c r="DP565" s="12"/>
      <c r="DQ565" s="12"/>
      <c r="DR565" s="12"/>
      <c r="DS565" s="12"/>
      <c r="DT565" s="12"/>
      <c r="DU565" s="12"/>
      <c r="DV565" s="12"/>
      <c r="DW565" s="12"/>
      <c r="DX565" s="12"/>
      <c r="DY565" s="12"/>
      <c r="DZ565" s="12"/>
      <c r="EA565" s="12"/>
      <c r="EB565" s="12"/>
      <c r="EC565" s="12"/>
      <c r="ED565" s="12"/>
      <c r="EE565" s="12"/>
      <c r="EF565" s="12"/>
      <c r="EG565" s="12"/>
      <c r="EH565" s="12"/>
      <c r="EI565" s="12"/>
      <c r="EJ565" s="574"/>
      <c r="EK565" s="574"/>
      <c r="EL565" s="574"/>
      <c r="EM565" s="574"/>
      <c r="EN565" s="574"/>
      <c r="EO565" s="574"/>
      <c r="EP565" s="574"/>
      <c r="EQ565" s="574"/>
      <c r="ER565" s="574"/>
      <c r="ES565" s="574"/>
      <c r="ET565" s="574"/>
      <c r="EU565" s="574"/>
    </row>
    <row r="566">
      <c r="A566" s="12"/>
      <c r="B566" s="55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  <c r="AY566" s="12"/>
      <c r="AZ566" s="12"/>
      <c r="BA566" s="12"/>
      <c r="BB566" s="12"/>
      <c r="BC566" s="12"/>
      <c r="BD566" s="12"/>
      <c r="BE566" s="12"/>
      <c r="BF566" s="12"/>
      <c r="BG566" s="12"/>
      <c r="BH566" s="12"/>
      <c r="BI566" s="12"/>
      <c r="BJ566" s="12"/>
      <c r="BK566" s="12"/>
      <c r="BL566" s="12"/>
      <c r="BM566" s="12"/>
      <c r="BN566" s="12"/>
      <c r="BO566" s="12"/>
      <c r="BP566" s="12"/>
      <c r="BQ566" s="12"/>
      <c r="BR566" s="12"/>
      <c r="BS566" s="12"/>
      <c r="BT566" s="12"/>
      <c r="BU566" s="12"/>
      <c r="BV566" s="12"/>
      <c r="BW566" s="12"/>
      <c r="BX566" s="12"/>
      <c r="BY566" s="12"/>
      <c r="BZ566" s="12"/>
      <c r="CA566" s="12"/>
      <c r="CB566" s="12"/>
      <c r="CC566" s="12"/>
      <c r="CD566" s="12"/>
      <c r="CE566" s="12"/>
      <c r="CF566" s="12"/>
      <c r="CG566" s="12"/>
      <c r="CH566" s="12"/>
      <c r="CI566" s="12"/>
      <c r="CJ566" s="12"/>
      <c r="CK566" s="12"/>
      <c r="CL566" s="12"/>
      <c r="CM566" s="12"/>
      <c r="CN566" s="12"/>
      <c r="CO566" s="12"/>
      <c r="CP566" s="12"/>
      <c r="CQ566" s="12"/>
      <c r="CR566" s="12"/>
      <c r="CS566" s="12"/>
      <c r="CT566" s="12"/>
      <c r="CU566" s="12"/>
      <c r="CV566" s="12"/>
      <c r="CW566" s="12"/>
      <c r="CX566" s="12"/>
      <c r="CY566" s="12"/>
      <c r="CZ566" s="12"/>
      <c r="DA566" s="12"/>
      <c r="DB566" s="12"/>
      <c r="DC566" s="12"/>
      <c r="DD566" s="12"/>
      <c r="DE566" s="12"/>
      <c r="DF566" s="12"/>
      <c r="DG566" s="12"/>
      <c r="DH566" s="12"/>
      <c r="DI566" s="12"/>
      <c r="DJ566" s="12"/>
      <c r="DK566" s="12"/>
      <c r="DL566" s="12"/>
      <c r="DM566" s="12"/>
      <c r="DN566" s="12"/>
      <c r="DO566" s="12"/>
      <c r="DP566" s="12"/>
      <c r="DQ566" s="12"/>
      <c r="DR566" s="12"/>
      <c r="DS566" s="12"/>
      <c r="DT566" s="12"/>
      <c r="DU566" s="12"/>
      <c r="DV566" s="12"/>
      <c r="DW566" s="12"/>
      <c r="DX566" s="12"/>
      <c r="DY566" s="12"/>
      <c r="DZ566" s="12"/>
      <c r="EA566" s="12"/>
      <c r="EB566" s="12"/>
      <c r="EC566" s="12"/>
      <c r="ED566" s="12"/>
      <c r="EE566" s="12"/>
      <c r="EF566" s="12"/>
      <c r="EG566" s="12"/>
      <c r="EH566" s="12"/>
      <c r="EI566" s="12"/>
      <c r="EJ566" s="574"/>
      <c r="EK566" s="574"/>
      <c r="EL566" s="574"/>
      <c r="EM566" s="574"/>
      <c r="EN566" s="574"/>
      <c r="EO566" s="574"/>
      <c r="EP566" s="574"/>
      <c r="EQ566" s="574"/>
      <c r="ER566" s="574"/>
      <c r="ES566" s="574"/>
      <c r="ET566" s="574"/>
      <c r="EU566" s="574"/>
    </row>
    <row r="567">
      <c r="A567" s="12"/>
      <c r="B567" s="55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  <c r="AY567" s="12"/>
      <c r="AZ567" s="12"/>
      <c r="BA567" s="12"/>
      <c r="BB567" s="12"/>
      <c r="BC567" s="12"/>
      <c r="BD567" s="12"/>
      <c r="BE567" s="12"/>
      <c r="BF567" s="12"/>
      <c r="BG567" s="12"/>
      <c r="BH567" s="12"/>
      <c r="BI567" s="12"/>
      <c r="BJ567" s="12"/>
      <c r="BK567" s="12"/>
      <c r="BL567" s="12"/>
      <c r="BM567" s="12"/>
      <c r="BN567" s="12"/>
      <c r="BO567" s="12"/>
      <c r="BP567" s="12"/>
      <c r="BQ567" s="12"/>
      <c r="BR567" s="12"/>
      <c r="BS567" s="12"/>
      <c r="BT567" s="12"/>
      <c r="BU567" s="12"/>
      <c r="BV567" s="12"/>
      <c r="BW567" s="12"/>
      <c r="BX567" s="12"/>
      <c r="BY567" s="12"/>
      <c r="BZ567" s="12"/>
      <c r="CA567" s="12"/>
      <c r="CB567" s="12"/>
      <c r="CC567" s="12"/>
      <c r="CD567" s="12"/>
      <c r="CE567" s="12"/>
      <c r="CF567" s="12"/>
      <c r="CG567" s="12"/>
      <c r="CH567" s="12"/>
      <c r="CI567" s="12"/>
      <c r="CJ567" s="12"/>
      <c r="CK567" s="12"/>
      <c r="CL567" s="12"/>
      <c r="CM567" s="12"/>
      <c r="CN567" s="12"/>
      <c r="CO567" s="12"/>
      <c r="CP567" s="12"/>
      <c r="CQ567" s="12"/>
      <c r="CR567" s="12"/>
      <c r="CS567" s="12"/>
      <c r="CT567" s="12"/>
      <c r="CU567" s="12"/>
      <c r="CV567" s="12"/>
      <c r="CW567" s="12"/>
      <c r="CX567" s="12"/>
      <c r="CY567" s="12"/>
      <c r="CZ567" s="12"/>
      <c r="DA567" s="12"/>
      <c r="DB567" s="12"/>
      <c r="DC567" s="12"/>
      <c r="DD567" s="12"/>
      <c r="DE567" s="12"/>
      <c r="DF567" s="12"/>
      <c r="DG567" s="12"/>
      <c r="DH567" s="12"/>
      <c r="DI567" s="12"/>
      <c r="DJ567" s="12"/>
      <c r="DK567" s="12"/>
      <c r="DL567" s="12"/>
      <c r="DM567" s="12"/>
      <c r="DN567" s="12"/>
      <c r="DO567" s="12"/>
      <c r="DP567" s="12"/>
      <c r="DQ567" s="12"/>
      <c r="DR567" s="12"/>
      <c r="DS567" s="12"/>
      <c r="DT567" s="12"/>
      <c r="DU567" s="12"/>
      <c r="DV567" s="12"/>
      <c r="DW567" s="12"/>
      <c r="DX567" s="12"/>
      <c r="DY567" s="12"/>
      <c r="DZ567" s="12"/>
      <c r="EA567" s="12"/>
      <c r="EB567" s="12"/>
      <c r="EC567" s="12"/>
      <c r="ED567" s="12"/>
      <c r="EE567" s="12"/>
      <c r="EF567" s="12"/>
      <c r="EG567" s="12"/>
      <c r="EH567" s="12"/>
      <c r="EI567" s="12"/>
      <c r="EJ567" s="574"/>
      <c r="EK567" s="574"/>
      <c r="EL567" s="574"/>
      <c r="EM567" s="574"/>
      <c r="EN567" s="574"/>
      <c r="EO567" s="574"/>
      <c r="EP567" s="574"/>
      <c r="EQ567" s="574"/>
      <c r="ER567" s="574"/>
      <c r="ES567" s="574"/>
      <c r="ET567" s="574"/>
      <c r="EU567" s="574"/>
    </row>
    <row r="568">
      <c r="A568" s="12"/>
      <c r="B568" s="55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  <c r="AY568" s="12"/>
      <c r="AZ568" s="12"/>
      <c r="BA568" s="12"/>
      <c r="BB568" s="12"/>
      <c r="BC568" s="12"/>
      <c r="BD568" s="12"/>
      <c r="BE568" s="12"/>
      <c r="BF568" s="12"/>
      <c r="BG568" s="12"/>
      <c r="BH568" s="12"/>
      <c r="BI568" s="12"/>
      <c r="BJ568" s="12"/>
      <c r="BK568" s="12"/>
      <c r="BL568" s="12"/>
      <c r="BM568" s="12"/>
      <c r="BN568" s="12"/>
      <c r="BO568" s="12"/>
      <c r="BP568" s="12"/>
      <c r="BQ568" s="12"/>
      <c r="BR568" s="12"/>
      <c r="BS568" s="12"/>
      <c r="BT568" s="12"/>
      <c r="BU568" s="12"/>
      <c r="BV568" s="12"/>
      <c r="BW568" s="12"/>
      <c r="BX568" s="12"/>
      <c r="BY568" s="12"/>
      <c r="BZ568" s="12"/>
      <c r="CA568" s="12"/>
      <c r="CB568" s="12"/>
      <c r="CC568" s="12"/>
      <c r="CD568" s="12"/>
      <c r="CE568" s="12"/>
      <c r="CF568" s="12"/>
      <c r="CG568" s="12"/>
      <c r="CH568" s="12"/>
      <c r="CI568" s="12"/>
      <c r="CJ568" s="12"/>
      <c r="CK568" s="12"/>
      <c r="CL568" s="12"/>
      <c r="CM568" s="12"/>
      <c r="CN568" s="12"/>
      <c r="CO568" s="12"/>
      <c r="CP568" s="12"/>
      <c r="CQ568" s="12"/>
      <c r="CR568" s="12"/>
      <c r="CS568" s="12"/>
      <c r="CT568" s="12"/>
      <c r="CU568" s="12"/>
      <c r="CV568" s="12"/>
      <c r="CW568" s="12"/>
      <c r="CX568" s="12"/>
      <c r="CY568" s="12"/>
      <c r="CZ568" s="12"/>
      <c r="DA568" s="12"/>
      <c r="DB568" s="12"/>
      <c r="DC568" s="12"/>
      <c r="DD568" s="12"/>
      <c r="DE568" s="12"/>
      <c r="DF568" s="12"/>
      <c r="DG568" s="12"/>
      <c r="DH568" s="12"/>
      <c r="DI568" s="12"/>
      <c r="DJ568" s="12"/>
      <c r="DK568" s="12"/>
      <c r="DL568" s="12"/>
      <c r="DM568" s="12"/>
      <c r="DN568" s="12"/>
      <c r="DO568" s="12"/>
      <c r="DP568" s="12"/>
      <c r="DQ568" s="12"/>
      <c r="DR568" s="12"/>
      <c r="DS568" s="12"/>
      <c r="DT568" s="12"/>
      <c r="DU568" s="12"/>
      <c r="DV568" s="12"/>
      <c r="DW568" s="12"/>
      <c r="DX568" s="12"/>
      <c r="DY568" s="12"/>
      <c r="DZ568" s="12"/>
      <c r="EA568" s="12"/>
      <c r="EB568" s="12"/>
      <c r="EC568" s="12"/>
      <c r="ED568" s="12"/>
      <c r="EE568" s="12"/>
      <c r="EF568" s="12"/>
      <c r="EG568" s="12"/>
      <c r="EH568" s="12"/>
      <c r="EI568" s="12"/>
      <c r="EJ568" s="574"/>
      <c r="EK568" s="574"/>
      <c r="EL568" s="574"/>
      <c r="EM568" s="574"/>
      <c r="EN568" s="574"/>
      <c r="EO568" s="574"/>
      <c r="EP568" s="574"/>
      <c r="EQ568" s="574"/>
      <c r="ER568" s="574"/>
      <c r="ES568" s="574"/>
      <c r="ET568" s="574"/>
      <c r="EU568" s="574"/>
    </row>
    <row r="569">
      <c r="A569" s="12"/>
      <c r="B569" s="55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  <c r="AY569" s="12"/>
      <c r="AZ569" s="12"/>
      <c r="BA569" s="12"/>
      <c r="BB569" s="12"/>
      <c r="BC569" s="12"/>
      <c r="BD569" s="12"/>
      <c r="BE569" s="12"/>
      <c r="BF569" s="12"/>
      <c r="BG569" s="12"/>
      <c r="BH569" s="12"/>
      <c r="BI569" s="12"/>
      <c r="BJ569" s="12"/>
      <c r="BK569" s="12"/>
      <c r="BL569" s="12"/>
      <c r="BM569" s="12"/>
      <c r="BN569" s="12"/>
      <c r="BO569" s="12"/>
      <c r="BP569" s="12"/>
      <c r="BQ569" s="12"/>
      <c r="BR569" s="12"/>
      <c r="BS569" s="12"/>
      <c r="BT569" s="12"/>
      <c r="BU569" s="12"/>
      <c r="BV569" s="12"/>
      <c r="BW569" s="12"/>
      <c r="BX569" s="12"/>
      <c r="BY569" s="12"/>
      <c r="BZ569" s="12"/>
      <c r="CA569" s="12"/>
      <c r="CB569" s="12"/>
      <c r="CC569" s="12"/>
      <c r="CD569" s="12"/>
      <c r="CE569" s="12"/>
      <c r="CF569" s="12"/>
      <c r="CG569" s="12"/>
      <c r="CH569" s="12"/>
      <c r="CI569" s="12"/>
      <c r="CJ569" s="12"/>
      <c r="CK569" s="12"/>
      <c r="CL569" s="12"/>
      <c r="CM569" s="12"/>
      <c r="CN569" s="12"/>
      <c r="CO569" s="12"/>
      <c r="CP569" s="12"/>
      <c r="CQ569" s="12"/>
      <c r="CR569" s="12"/>
      <c r="CS569" s="12"/>
      <c r="CT569" s="12"/>
      <c r="CU569" s="12"/>
      <c r="CV569" s="12"/>
      <c r="CW569" s="12"/>
      <c r="CX569" s="12"/>
      <c r="CY569" s="12"/>
      <c r="CZ569" s="12"/>
      <c r="DA569" s="12"/>
      <c r="DB569" s="12"/>
      <c r="DC569" s="12"/>
      <c r="DD569" s="12"/>
      <c r="DE569" s="12"/>
      <c r="DF569" s="12"/>
      <c r="DG569" s="12"/>
      <c r="DH569" s="12"/>
      <c r="DI569" s="12"/>
      <c r="DJ569" s="12"/>
      <c r="DK569" s="12"/>
      <c r="DL569" s="12"/>
      <c r="DM569" s="12"/>
      <c r="DN569" s="12"/>
      <c r="DO569" s="12"/>
      <c r="DP569" s="12"/>
      <c r="DQ569" s="12"/>
      <c r="DR569" s="12"/>
      <c r="DS569" s="12"/>
      <c r="DT569" s="12"/>
      <c r="DU569" s="12"/>
      <c r="DV569" s="12"/>
      <c r="DW569" s="12"/>
      <c r="DX569" s="12"/>
      <c r="DY569" s="12"/>
      <c r="DZ569" s="12"/>
      <c r="EA569" s="12"/>
      <c r="EB569" s="12"/>
      <c r="EC569" s="12"/>
      <c r="ED569" s="12"/>
      <c r="EE569" s="12"/>
      <c r="EF569" s="12"/>
      <c r="EG569" s="12"/>
      <c r="EH569" s="12"/>
      <c r="EI569" s="12"/>
      <c r="EJ569" s="574"/>
      <c r="EK569" s="574"/>
      <c r="EL569" s="574"/>
      <c r="EM569" s="574"/>
      <c r="EN569" s="574"/>
      <c r="EO569" s="574"/>
      <c r="EP569" s="574"/>
      <c r="EQ569" s="574"/>
      <c r="ER569" s="574"/>
      <c r="ES569" s="574"/>
      <c r="ET569" s="574"/>
      <c r="EU569" s="574"/>
    </row>
    <row r="570">
      <c r="A570" s="12"/>
      <c r="B570" s="55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  <c r="AY570" s="12"/>
      <c r="AZ570" s="12"/>
      <c r="BA570" s="12"/>
      <c r="BB570" s="12"/>
      <c r="BC570" s="12"/>
      <c r="BD570" s="12"/>
      <c r="BE570" s="12"/>
      <c r="BF570" s="12"/>
      <c r="BG570" s="12"/>
      <c r="BH570" s="12"/>
      <c r="BI570" s="12"/>
      <c r="BJ570" s="12"/>
      <c r="BK570" s="12"/>
      <c r="BL570" s="12"/>
      <c r="BM570" s="12"/>
      <c r="BN570" s="12"/>
      <c r="BO570" s="12"/>
      <c r="BP570" s="12"/>
      <c r="BQ570" s="12"/>
      <c r="BR570" s="12"/>
      <c r="BS570" s="12"/>
      <c r="BT570" s="12"/>
      <c r="BU570" s="12"/>
      <c r="BV570" s="12"/>
      <c r="BW570" s="12"/>
      <c r="BX570" s="12"/>
      <c r="BY570" s="12"/>
      <c r="BZ570" s="12"/>
      <c r="CA570" s="12"/>
      <c r="CB570" s="12"/>
      <c r="CC570" s="12"/>
      <c r="CD570" s="12"/>
      <c r="CE570" s="12"/>
      <c r="CF570" s="12"/>
      <c r="CG570" s="12"/>
      <c r="CH570" s="12"/>
      <c r="CI570" s="12"/>
      <c r="CJ570" s="12"/>
      <c r="CK570" s="12"/>
      <c r="CL570" s="12"/>
      <c r="CM570" s="12"/>
      <c r="CN570" s="12"/>
      <c r="CO570" s="12"/>
      <c r="CP570" s="12"/>
      <c r="CQ570" s="12"/>
      <c r="CR570" s="12"/>
      <c r="CS570" s="12"/>
      <c r="CT570" s="12"/>
      <c r="CU570" s="12"/>
      <c r="CV570" s="12"/>
      <c r="CW570" s="12"/>
      <c r="CX570" s="12"/>
      <c r="CY570" s="12"/>
      <c r="CZ570" s="12"/>
      <c r="DA570" s="12"/>
      <c r="DB570" s="12"/>
      <c r="DC570" s="12"/>
      <c r="DD570" s="12"/>
      <c r="DE570" s="12"/>
      <c r="DF570" s="12"/>
      <c r="DG570" s="12"/>
      <c r="DH570" s="12"/>
      <c r="DI570" s="12"/>
      <c r="DJ570" s="12"/>
      <c r="DK570" s="12"/>
      <c r="DL570" s="12"/>
      <c r="DM570" s="12"/>
      <c r="DN570" s="12"/>
      <c r="DO570" s="12"/>
      <c r="DP570" s="12"/>
      <c r="DQ570" s="12"/>
      <c r="DR570" s="12"/>
      <c r="DS570" s="12"/>
      <c r="DT570" s="12"/>
      <c r="DU570" s="12"/>
      <c r="DV570" s="12"/>
      <c r="DW570" s="12"/>
      <c r="DX570" s="12"/>
      <c r="DY570" s="12"/>
      <c r="DZ570" s="12"/>
      <c r="EA570" s="12"/>
      <c r="EB570" s="12"/>
      <c r="EC570" s="12"/>
      <c r="ED570" s="12"/>
      <c r="EE570" s="12"/>
      <c r="EF570" s="12"/>
      <c r="EG570" s="12"/>
      <c r="EH570" s="12"/>
      <c r="EI570" s="12"/>
      <c r="EJ570" s="574"/>
      <c r="EK570" s="574"/>
      <c r="EL570" s="574"/>
      <c r="EM570" s="574"/>
      <c r="EN570" s="574"/>
      <c r="EO570" s="574"/>
      <c r="EP570" s="574"/>
      <c r="EQ570" s="574"/>
      <c r="ER570" s="574"/>
      <c r="ES570" s="574"/>
      <c r="ET570" s="574"/>
      <c r="EU570" s="574"/>
    </row>
    <row r="571">
      <c r="A571" s="12"/>
      <c r="B571" s="55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  <c r="AY571" s="12"/>
      <c r="AZ571" s="12"/>
      <c r="BA571" s="12"/>
      <c r="BB571" s="12"/>
      <c r="BC571" s="12"/>
      <c r="BD571" s="12"/>
      <c r="BE571" s="12"/>
      <c r="BF571" s="12"/>
      <c r="BG571" s="12"/>
      <c r="BH571" s="12"/>
      <c r="BI571" s="12"/>
      <c r="BJ571" s="12"/>
      <c r="BK571" s="12"/>
      <c r="BL571" s="12"/>
      <c r="BM571" s="12"/>
      <c r="BN571" s="12"/>
      <c r="BO571" s="12"/>
      <c r="BP571" s="12"/>
      <c r="BQ571" s="12"/>
      <c r="BR571" s="12"/>
      <c r="BS571" s="12"/>
      <c r="BT571" s="12"/>
      <c r="BU571" s="12"/>
      <c r="BV571" s="12"/>
      <c r="BW571" s="12"/>
      <c r="BX571" s="12"/>
      <c r="BY571" s="12"/>
      <c r="BZ571" s="12"/>
      <c r="CA571" s="12"/>
      <c r="CB571" s="12"/>
      <c r="CC571" s="12"/>
      <c r="CD571" s="12"/>
      <c r="CE571" s="12"/>
      <c r="CF571" s="12"/>
      <c r="CG571" s="12"/>
      <c r="CH571" s="12"/>
      <c r="CI571" s="12"/>
      <c r="CJ571" s="12"/>
      <c r="CK571" s="12"/>
      <c r="CL571" s="12"/>
      <c r="CM571" s="12"/>
      <c r="CN571" s="12"/>
      <c r="CO571" s="12"/>
      <c r="CP571" s="12"/>
      <c r="CQ571" s="12"/>
      <c r="CR571" s="12"/>
      <c r="CS571" s="12"/>
      <c r="CT571" s="12"/>
      <c r="CU571" s="12"/>
      <c r="CV571" s="12"/>
      <c r="CW571" s="12"/>
      <c r="CX571" s="12"/>
      <c r="CY571" s="12"/>
      <c r="CZ571" s="12"/>
      <c r="DA571" s="12"/>
      <c r="DB571" s="12"/>
      <c r="DC571" s="12"/>
      <c r="DD571" s="12"/>
      <c r="DE571" s="12"/>
      <c r="DF571" s="12"/>
      <c r="DG571" s="12"/>
      <c r="DH571" s="12"/>
      <c r="DI571" s="12"/>
      <c r="DJ571" s="12"/>
      <c r="DK571" s="12"/>
      <c r="DL571" s="12"/>
      <c r="DM571" s="12"/>
      <c r="DN571" s="12"/>
      <c r="DO571" s="12"/>
      <c r="DP571" s="12"/>
      <c r="DQ571" s="12"/>
      <c r="DR571" s="12"/>
      <c r="DS571" s="12"/>
      <c r="DT571" s="12"/>
      <c r="DU571" s="12"/>
      <c r="DV571" s="12"/>
      <c r="DW571" s="12"/>
      <c r="DX571" s="12"/>
      <c r="DY571" s="12"/>
      <c r="DZ571" s="12"/>
      <c r="EA571" s="12"/>
      <c r="EB571" s="12"/>
      <c r="EC571" s="12"/>
      <c r="ED571" s="12"/>
      <c r="EE571" s="12"/>
      <c r="EF571" s="12"/>
      <c r="EG571" s="12"/>
      <c r="EH571" s="12"/>
      <c r="EI571" s="12"/>
      <c r="EJ571" s="574"/>
      <c r="EK571" s="574"/>
      <c r="EL571" s="574"/>
      <c r="EM571" s="574"/>
      <c r="EN571" s="574"/>
      <c r="EO571" s="574"/>
      <c r="EP571" s="574"/>
      <c r="EQ571" s="574"/>
      <c r="ER571" s="574"/>
      <c r="ES571" s="574"/>
      <c r="ET571" s="574"/>
      <c r="EU571" s="574"/>
    </row>
    <row r="572">
      <c r="A572" s="12"/>
      <c r="B572" s="55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2"/>
      <c r="AY572" s="12"/>
      <c r="AZ572" s="12"/>
      <c r="BA572" s="12"/>
      <c r="BB572" s="12"/>
      <c r="BC572" s="12"/>
      <c r="BD572" s="12"/>
      <c r="BE572" s="12"/>
      <c r="BF572" s="12"/>
      <c r="BG572" s="12"/>
      <c r="BH572" s="12"/>
      <c r="BI572" s="12"/>
      <c r="BJ572" s="12"/>
      <c r="BK572" s="12"/>
      <c r="BL572" s="12"/>
      <c r="BM572" s="12"/>
      <c r="BN572" s="12"/>
      <c r="BO572" s="12"/>
      <c r="BP572" s="12"/>
      <c r="BQ572" s="12"/>
      <c r="BR572" s="12"/>
      <c r="BS572" s="12"/>
      <c r="BT572" s="12"/>
      <c r="BU572" s="12"/>
      <c r="BV572" s="12"/>
      <c r="BW572" s="12"/>
      <c r="BX572" s="12"/>
      <c r="BY572" s="12"/>
      <c r="BZ572" s="12"/>
      <c r="CA572" s="12"/>
      <c r="CB572" s="12"/>
      <c r="CC572" s="12"/>
      <c r="CD572" s="12"/>
      <c r="CE572" s="12"/>
      <c r="CF572" s="12"/>
      <c r="CG572" s="12"/>
      <c r="CH572" s="12"/>
      <c r="CI572" s="12"/>
      <c r="CJ572" s="12"/>
      <c r="CK572" s="12"/>
      <c r="CL572" s="12"/>
      <c r="CM572" s="12"/>
      <c r="CN572" s="12"/>
      <c r="CO572" s="12"/>
      <c r="CP572" s="12"/>
      <c r="CQ572" s="12"/>
      <c r="CR572" s="12"/>
      <c r="CS572" s="12"/>
      <c r="CT572" s="12"/>
      <c r="CU572" s="12"/>
      <c r="CV572" s="12"/>
      <c r="CW572" s="12"/>
      <c r="CX572" s="12"/>
      <c r="CY572" s="12"/>
      <c r="CZ572" s="12"/>
      <c r="DA572" s="12"/>
      <c r="DB572" s="12"/>
      <c r="DC572" s="12"/>
      <c r="DD572" s="12"/>
      <c r="DE572" s="12"/>
      <c r="DF572" s="12"/>
      <c r="DG572" s="12"/>
      <c r="DH572" s="12"/>
      <c r="DI572" s="12"/>
      <c r="DJ572" s="12"/>
      <c r="DK572" s="12"/>
      <c r="DL572" s="12"/>
      <c r="DM572" s="12"/>
      <c r="DN572" s="12"/>
      <c r="DO572" s="12"/>
      <c r="DP572" s="12"/>
      <c r="DQ572" s="12"/>
      <c r="DR572" s="12"/>
      <c r="DS572" s="12"/>
      <c r="DT572" s="12"/>
      <c r="DU572" s="12"/>
      <c r="DV572" s="12"/>
      <c r="DW572" s="12"/>
      <c r="DX572" s="12"/>
      <c r="DY572" s="12"/>
      <c r="DZ572" s="12"/>
      <c r="EA572" s="12"/>
      <c r="EB572" s="12"/>
      <c r="EC572" s="12"/>
      <c r="ED572" s="12"/>
      <c r="EE572" s="12"/>
      <c r="EF572" s="12"/>
      <c r="EG572" s="12"/>
      <c r="EH572" s="12"/>
      <c r="EI572" s="12"/>
      <c r="EJ572" s="574"/>
      <c r="EK572" s="574"/>
      <c r="EL572" s="574"/>
      <c r="EM572" s="574"/>
      <c r="EN572" s="574"/>
      <c r="EO572" s="574"/>
      <c r="EP572" s="574"/>
      <c r="EQ572" s="574"/>
      <c r="ER572" s="574"/>
      <c r="ES572" s="574"/>
      <c r="ET572" s="574"/>
      <c r="EU572" s="574"/>
    </row>
    <row r="573">
      <c r="A573" s="12"/>
      <c r="B573" s="55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  <c r="AY573" s="12"/>
      <c r="AZ573" s="12"/>
      <c r="BA573" s="12"/>
      <c r="BB573" s="12"/>
      <c r="BC573" s="12"/>
      <c r="BD573" s="12"/>
      <c r="BE573" s="12"/>
      <c r="BF573" s="12"/>
      <c r="BG573" s="12"/>
      <c r="BH573" s="12"/>
      <c r="BI573" s="12"/>
      <c r="BJ573" s="12"/>
      <c r="BK573" s="12"/>
      <c r="BL573" s="12"/>
      <c r="BM573" s="12"/>
      <c r="BN573" s="12"/>
      <c r="BO573" s="12"/>
      <c r="BP573" s="12"/>
      <c r="BQ573" s="12"/>
      <c r="BR573" s="12"/>
      <c r="BS573" s="12"/>
      <c r="BT573" s="12"/>
      <c r="BU573" s="12"/>
      <c r="BV573" s="12"/>
      <c r="BW573" s="12"/>
      <c r="BX573" s="12"/>
      <c r="BY573" s="12"/>
      <c r="BZ573" s="12"/>
      <c r="CA573" s="12"/>
      <c r="CB573" s="12"/>
      <c r="CC573" s="12"/>
      <c r="CD573" s="12"/>
      <c r="CE573" s="12"/>
      <c r="CF573" s="12"/>
      <c r="CG573" s="12"/>
      <c r="CH573" s="12"/>
      <c r="CI573" s="12"/>
      <c r="CJ573" s="12"/>
      <c r="CK573" s="12"/>
      <c r="CL573" s="12"/>
      <c r="CM573" s="12"/>
      <c r="CN573" s="12"/>
      <c r="CO573" s="12"/>
      <c r="CP573" s="12"/>
      <c r="CQ573" s="12"/>
      <c r="CR573" s="12"/>
      <c r="CS573" s="12"/>
      <c r="CT573" s="12"/>
      <c r="CU573" s="12"/>
      <c r="CV573" s="12"/>
      <c r="CW573" s="12"/>
      <c r="CX573" s="12"/>
      <c r="CY573" s="12"/>
      <c r="CZ573" s="12"/>
      <c r="DA573" s="12"/>
      <c r="DB573" s="12"/>
      <c r="DC573" s="12"/>
      <c r="DD573" s="12"/>
      <c r="DE573" s="12"/>
      <c r="DF573" s="12"/>
      <c r="DG573" s="12"/>
      <c r="DH573" s="12"/>
      <c r="DI573" s="12"/>
      <c r="DJ573" s="12"/>
      <c r="DK573" s="12"/>
      <c r="DL573" s="12"/>
      <c r="DM573" s="12"/>
      <c r="DN573" s="12"/>
      <c r="DO573" s="12"/>
      <c r="DP573" s="12"/>
      <c r="DQ573" s="12"/>
      <c r="DR573" s="12"/>
      <c r="DS573" s="12"/>
      <c r="DT573" s="12"/>
      <c r="DU573" s="12"/>
      <c r="DV573" s="12"/>
      <c r="DW573" s="12"/>
      <c r="DX573" s="12"/>
      <c r="DY573" s="12"/>
      <c r="DZ573" s="12"/>
      <c r="EA573" s="12"/>
      <c r="EB573" s="12"/>
      <c r="EC573" s="12"/>
      <c r="ED573" s="12"/>
      <c r="EE573" s="12"/>
      <c r="EF573" s="12"/>
      <c r="EG573" s="12"/>
      <c r="EH573" s="12"/>
      <c r="EI573" s="12"/>
      <c r="EJ573" s="574"/>
      <c r="EK573" s="574"/>
      <c r="EL573" s="574"/>
      <c r="EM573" s="574"/>
      <c r="EN573" s="574"/>
      <c r="EO573" s="574"/>
      <c r="EP573" s="574"/>
      <c r="EQ573" s="574"/>
      <c r="ER573" s="574"/>
      <c r="ES573" s="574"/>
      <c r="ET573" s="574"/>
      <c r="EU573" s="574"/>
    </row>
    <row r="574">
      <c r="A574" s="12"/>
      <c r="B574" s="55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  <c r="AY574" s="12"/>
      <c r="AZ574" s="12"/>
      <c r="BA574" s="12"/>
      <c r="BB574" s="12"/>
      <c r="BC574" s="12"/>
      <c r="BD574" s="12"/>
      <c r="BE574" s="12"/>
      <c r="BF574" s="12"/>
      <c r="BG574" s="12"/>
      <c r="BH574" s="12"/>
      <c r="BI574" s="12"/>
      <c r="BJ574" s="12"/>
      <c r="BK574" s="12"/>
      <c r="BL574" s="12"/>
      <c r="BM574" s="12"/>
      <c r="BN574" s="12"/>
      <c r="BO574" s="12"/>
      <c r="BP574" s="12"/>
      <c r="BQ574" s="12"/>
      <c r="BR574" s="12"/>
      <c r="BS574" s="12"/>
      <c r="BT574" s="12"/>
      <c r="BU574" s="12"/>
      <c r="BV574" s="12"/>
      <c r="BW574" s="12"/>
      <c r="BX574" s="12"/>
      <c r="BY574" s="12"/>
      <c r="BZ574" s="12"/>
      <c r="CA574" s="12"/>
      <c r="CB574" s="12"/>
      <c r="CC574" s="12"/>
      <c r="CD574" s="12"/>
      <c r="CE574" s="12"/>
      <c r="CF574" s="12"/>
      <c r="CG574" s="12"/>
      <c r="CH574" s="12"/>
      <c r="CI574" s="12"/>
      <c r="CJ574" s="12"/>
      <c r="CK574" s="12"/>
      <c r="CL574" s="12"/>
      <c r="CM574" s="12"/>
      <c r="CN574" s="12"/>
      <c r="CO574" s="12"/>
      <c r="CP574" s="12"/>
      <c r="CQ574" s="12"/>
      <c r="CR574" s="12"/>
      <c r="CS574" s="12"/>
      <c r="CT574" s="12"/>
      <c r="CU574" s="12"/>
      <c r="CV574" s="12"/>
      <c r="CW574" s="12"/>
      <c r="CX574" s="12"/>
      <c r="CY574" s="12"/>
      <c r="CZ574" s="12"/>
      <c r="DA574" s="12"/>
      <c r="DB574" s="12"/>
      <c r="DC574" s="12"/>
      <c r="DD574" s="12"/>
      <c r="DE574" s="12"/>
      <c r="DF574" s="12"/>
      <c r="DG574" s="12"/>
      <c r="DH574" s="12"/>
      <c r="DI574" s="12"/>
      <c r="DJ574" s="12"/>
      <c r="DK574" s="12"/>
      <c r="DL574" s="12"/>
      <c r="DM574" s="12"/>
      <c r="DN574" s="12"/>
      <c r="DO574" s="12"/>
      <c r="DP574" s="12"/>
      <c r="DQ574" s="12"/>
      <c r="DR574" s="12"/>
      <c r="DS574" s="12"/>
      <c r="DT574" s="12"/>
      <c r="DU574" s="12"/>
      <c r="DV574" s="12"/>
      <c r="DW574" s="12"/>
      <c r="DX574" s="12"/>
      <c r="DY574" s="12"/>
      <c r="DZ574" s="12"/>
      <c r="EA574" s="12"/>
      <c r="EB574" s="12"/>
      <c r="EC574" s="12"/>
      <c r="ED574" s="12"/>
      <c r="EE574" s="12"/>
      <c r="EF574" s="12"/>
      <c r="EG574" s="12"/>
      <c r="EH574" s="12"/>
      <c r="EI574" s="12"/>
      <c r="EJ574" s="574"/>
      <c r="EK574" s="574"/>
      <c r="EL574" s="574"/>
      <c r="EM574" s="574"/>
      <c r="EN574" s="574"/>
      <c r="EO574" s="574"/>
      <c r="EP574" s="574"/>
      <c r="EQ574" s="574"/>
      <c r="ER574" s="574"/>
      <c r="ES574" s="574"/>
      <c r="ET574" s="574"/>
      <c r="EU574" s="574"/>
    </row>
    <row r="575">
      <c r="A575" s="12"/>
      <c r="B575" s="55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2"/>
      <c r="AY575" s="12"/>
      <c r="AZ575" s="12"/>
      <c r="BA575" s="12"/>
      <c r="BB575" s="12"/>
      <c r="BC575" s="12"/>
      <c r="BD575" s="12"/>
      <c r="BE575" s="12"/>
      <c r="BF575" s="12"/>
      <c r="BG575" s="12"/>
      <c r="BH575" s="12"/>
      <c r="BI575" s="12"/>
      <c r="BJ575" s="12"/>
      <c r="BK575" s="12"/>
      <c r="BL575" s="12"/>
      <c r="BM575" s="12"/>
      <c r="BN575" s="12"/>
      <c r="BO575" s="12"/>
      <c r="BP575" s="12"/>
      <c r="BQ575" s="12"/>
      <c r="BR575" s="12"/>
      <c r="BS575" s="12"/>
      <c r="BT575" s="12"/>
      <c r="BU575" s="12"/>
      <c r="BV575" s="12"/>
      <c r="BW575" s="12"/>
      <c r="BX575" s="12"/>
      <c r="BY575" s="12"/>
      <c r="BZ575" s="12"/>
      <c r="CA575" s="12"/>
      <c r="CB575" s="12"/>
      <c r="CC575" s="12"/>
      <c r="CD575" s="12"/>
      <c r="CE575" s="12"/>
      <c r="CF575" s="12"/>
      <c r="CG575" s="12"/>
      <c r="CH575" s="12"/>
      <c r="CI575" s="12"/>
      <c r="CJ575" s="12"/>
      <c r="CK575" s="12"/>
      <c r="CL575" s="12"/>
      <c r="CM575" s="12"/>
      <c r="CN575" s="12"/>
      <c r="CO575" s="12"/>
      <c r="CP575" s="12"/>
      <c r="CQ575" s="12"/>
      <c r="CR575" s="12"/>
      <c r="CS575" s="12"/>
      <c r="CT575" s="12"/>
      <c r="CU575" s="12"/>
      <c r="CV575" s="12"/>
      <c r="CW575" s="12"/>
      <c r="CX575" s="12"/>
      <c r="CY575" s="12"/>
      <c r="CZ575" s="12"/>
      <c r="DA575" s="12"/>
      <c r="DB575" s="12"/>
      <c r="DC575" s="12"/>
      <c r="DD575" s="12"/>
      <c r="DE575" s="12"/>
      <c r="DF575" s="12"/>
      <c r="DG575" s="12"/>
      <c r="DH575" s="12"/>
      <c r="DI575" s="12"/>
      <c r="DJ575" s="12"/>
      <c r="DK575" s="12"/>
      <c r="DL575" s="12"/>
      <c r="DM575" s="12"/>
      <c r="DN575" s="12"/>
      <c r="DO575" s="12"/>
      <c r="DP575" s="12"/>
      <c r="DQ575" s="12"/>
      <c r="DR575" s="12"/>
      <c r="DS575" s="12"/>
      <c r="DT575" s="12"/>
      <c r="DU575" s="12"/>
      <c r="DV575" s="12"/>
      <c r="DW575" s="12"/>
      <c r="DX575" s="12"/>
      <c r="DY575" s="12"/>
      <c r="DZ575" s="12"/>
      <c r="EA575" s="12"/>
      <c r="EB575" s="12"/>
      <c r="EC575" s="12"/>
      <c r="ED575" s="12"/>
      <c r="EE575" s="12"/>
      <c r="EF575" s="12"/>
      <c r="EG575" s="12"/>
      <c r="EH575" s="12"/>
      <c r="EI575" s="12"/>
      <c r="EJ575" s="574"/>
      <c r="EK575" s="574"/>
      <c r="EL575" s="574"/>
      <c r="EM575" s="574"/>
      <c r="EN575" s="574"/>
      <c r="EO575" s="574"/>
      <c r="EP575" s="574"/>
      <c r="EQ575" s="574"/>
      <c r="ER575" s="574"/>
      <c r="ES575" s="574"/>
      <c r="ET575" s="574"/>
      <c r="EU575" s="574"/>
    </row>
    <row r="576">
      <c r="A576" s="12"/>
      <c r="B576" s="55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  <c r="AY576" s="12"/>
      <c r="AZ576" s="12"/>
      <c r="BA576" s="12"/>
      <c r="BB576" s="12"/>
      <c r="BC576" s="12"/>
      <c r="BD576" s="12"/>
      <c r="BE576" s="12"/>
      <c r="BF576" s="12"/>
      <c r="BG576" s="12"/>
      <c r="BH576" s="12"/>
      <c r="BI576" s="12"/>
      <c r="BJ576" s="12"/>
      <c r="BK576" s="12"/>
      <c r="BL576" s="12"/>
      <c r="BM576" s="12"/>
      <c r="BN576" s="12"/>
      <c r="BO576" s="12"/>
      <c r="BP576" s="12"/>
      <c r="BQ576" s="12"/>
      <c r="BR576" s="12"/>
      <c r="BS576" s="12"/>
      <c r="BT576" s="12"/>
      <c r="BU576" s="12"/>
      <c r="BV576" s="12"/>
      <c r="BW576" s="12"/>
      <c r="BX576" s="12"/>
      <c r="BY576" s="12"/>
      <c r="BZ576" s="12"/>
      <c r="CA576" s="12"/>
      <c r="CB576" s="12"/>
      <c r="CC576" s="12"/>
      <c r="CD576" s="12"/>
      <c r="CE576" s="12"/>
      <c r="CF576" s="12"/>
      <c r="CG576" s="12"/>
      <c r="CH576" s="12"/>
      <c r="CI576" s="12"/>
      <c r="CJ576" s="12"/>
      <c r="CK576" s="12"/>
      <c r="CL576" s="12"/>
      <c r="CM576" s="12"/>
      <c r="CN576" s="12"/>
      <c r="CO576" s="12"/>
      <c r="CP576" s="12"/>
      <c r="CQ576" s="12"/>
      <c r="CR576" s="12"/>
      <c r="CS576" s="12"/>
      <c r="CT576" s="12"/>
      <c r="CU576" s="12"/>
      <c r="CV576" s="12"/>
      <c r="CW576" s="12"/>
      <c r="CX576" s="12"/>
      <c r="CY576" s="12"/>
      <c r="CZ576" s="12"/>
      <c r="DA576" s="12"/>
      <c r="DB576" s="12"/>
      <c r="DC576" s="12"/>
      <c r="DD576" s="12"/>
      <c r="DE576" s="12"/>
      <c r="DF576" s="12"/>
      <c r="DG576" s="12"/>
      <c r="DH576" s="12"/>
      <c r="DI576" s="12"/>
      <c r="DJ576" s="12"/>
      <c r="DK576" s="12"/>
      <c r="DL576" s="12"/>
      <c r="DM576" s="12"/>
      <c r="DN576" s="12"/>
      <c r="DO576" s="12"/>
      <c r="DP576" s="12"/>
      <c r="DQ576" s="12"/>
      <c r="DR576" s="12"/>
      <c r="DS576" s="12"/>
      <c r="DT576" s="12"/>
      <c r="DU576" s="12"/>
      <c r="DV576" s="12"/>
      <c r="DW576" s="12"/>
      <c r="DX576" s="12"/>
      <c r="DY576" s="12"/>
      <c r="DZ576" s="12"/>
      <c r="EA576" s="12"/>
      <c r="EB576" s="12"/>
      <c r="EC576" s="12"/>
      <c r="ED576" s="12"/>
      <c r="EE576" s="12"/>
      <c r="EF576" s="12"/>
      <c r="EG576" s="12"/>
      <c r="EH576" s="12"/>
      <c r="EI576" s="12"/>
      <c r="EJ576" s="574"/>
      <c r="EK576" s="574"/>
      <c r="EL576" s="574"/>
      <c r="EM576" s="574"/>
      <c r="EN576" s="574"/>
      <c r="EO576" s="574"/>
      <c r="EP576" s="574"/>
      <c r="EQ576" s="574"/>
      <c r="ER576" s="574"/>
      <c r="ES576" s="574"/>
      <c r="ET576" s="574"/>
      <c r="EU576" s="574"/>
    </row>
    <row r="577">
      <c r="A577" s="12"/>
      <c r="B577" s="55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12"/>
      <c r="AY577" s="12"/>
      <c r="AZ577" s="12"/>
      <c r="BA577" s="12"/>
      <c r="BB577" s="12"/>
      <c r="BC577" s="12"/>
      <c r="BD577" s="12"/>
      <c r="BE577" s="12"/>
      <c r="BF577" s="12"/>
      <c r="BG577" s="12"/>
      <c r="BH577" s="12"/>
      <c r="BI577" s="12"/>
      <c r="BJ577" s="12"/>
      <c r="BK577" s="12"/>
      <c r="BL577" s="12"/>
      <c r="BM577" s="12"/>
      <c r="BN577" s="12"/>
      <c r="BO577" s="12"/>
      <c r="BP577" s="12"/>
      <c r="BQ577" s="12"/>
      <c r="BR577" s="12"/>
      <c r="BS577" s="12"/>
      <c r="BT577" s="12"/>
      <c r="BU577" s="12"/>
      <c r="BV577" s="12"/>
      <c r="BW577" s="12"/>
      <c r="BX577" s="12"/>
      <c r="BY577" s="12"/>
      <c r="BZ577" s="12"/>
      <c r="CA577" s="12"/>
      <c r="CB577" s="12"/>
      <c r="CC577" s="12"/>
      <c r="CD577" s="12"/>
      <c r="CE577" s="12"/>
      <c r="CF577" s="12"/>
      <c r="CG577" s="12"/>
      <c r="CH577" s="12"/>
      <c r="CI577" s="12"/>
      <c r="CJ577" s="12"/>
      <c r="CK577" s="12"/>
      <c r="CL577" s="12"/>
      <c r="CM577" s="12"/>
      <c r="CN577" s="12"/>
      <c r="CO577" s="12"/>
      <c r="CP577" s="12"/>
      <c r="CQ577" s="12"/>
      <c r="CR577" s="12"/>
      <c r="CS577" s="12"/>
      <c r="CT577" s="12"/>
      <c r="CU577" s="12"/>
      <c r="CV577" s="12"/>
      <c r="CW577" s="12"/>
      <c r="CX577" s="12"/>
      <c r="CY577" s="12"/>
      <c r="CZ577" s="12"/>
      <c r="DA577" s="12"/>
      <c r="DB577" s="12"/>
      <c r="DC577" s="12"/>
      <c r="DD577" s="12"/>
      <c r="DE577" s="12"/>
      <c r="DF577" s="12"/>
      <c r="DG577" s="12"/>
      <c r="DH577" s="12"/>
      <c r="DI577" s="12"/>
      <c r="DJ577" s="12"/>
      <c r="DK577" s="12"/>
      <c r="DL577" s="12"/>
      <c r="DM577" s="12"/>
      <c r="DN577" s="12"/>
      <c r="DO577" s="12"/>
      <c r="DP577" s="12"/>
      <c r="DQ577" s="12"/>
      <c r="DR577" s="12"/>
      <c r="DS577" s="12"/>
      <c r="DT577" s="12"/>
      <c r="DU577" s="12"/>
      <c r="DV577" s="12"/>
      <c r="DW577" s="12"/>
      <c r="DX577" s="12"/>
      <c r="DY577" s="12"/>
      <c r="DZ577" s="12"/>
      <c r="EA577" s="12"/>
      <c r="EB577" s="12"/>
      <c r="EC577" s="12"/>
      <c r="ED577" s="12"/>
      <c r="EE577" s="12"/>
      <c r="EF577" s="12"/>
      <c r="EG577" s="12"/>
      <c r="EH577" s="12"/>
      <c r="EI577" s="12"/>
      <c r="EJ577" s="574"/>
      <c r="EK577" s="574"/>
      <c r="EL577" s="574"/>
      <c r="EM577" s="574"/>
      <c r="EN577" s="574"/>
      <c r="EO577" s="574"/>
      <c r="EP577" s="574"/>
      <c r="EQ577" s="574"/>
      <c r="ER577" s="574"/>
      <c r="ES577" s="574"/>
      <c r="ET577" s="574"/>
      <c r="EU577" s="574"/>
    </row>
    <row r="578">
      <c r="A578" s="12"/>
      <c r="B578" s="55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2"/>
      <c r="AY578" s="12"/>
      <c r="AZ578" s="12"/>
      <c r="BA578" s="12"/>
      <c r="BB578" s="12"/>
      <c r="BC578" s="12"/>
      <c r="BD578" s="12"/>
      <c r="BE578" s="12"/>
      <c r="BF578" s="12"/>
      <c r="BG578" s="12"/>
      <c r="BH578" s="12"/>
      <c r="BI578" s="12"/>
      <c r="BJ578" s="12"/>
      <c r="BK578" s="12"/>
      <c r="BL578" s="12"/>
      <c r="BM578" s="12"/>
      <c r="BN578" s="12"/>
      <c r="BO578" s="12"/>
      <c r="BP578" s="12"/>
      <c r="BQ578" s="12"/>
      <c r="BR578" s="12"/>
      <c r="BS578" s="12"/>
      <c r="BT578" s="12"/>
      <c r="BU578" s="12"/>
      <c r="BV578" s="12"/>
      <c r="BW578" s="12"/>
      <c r="BX578" s="12"/>
      <c r="BY578" s="12"/>
      <c r="BZ578" s="12"/>
      <c r="CA578" s="12"/>
      <c r="CB578" s="12"/>
      <c r="CC578" s="12"/>
      <c r="CD578" s="12"/>
      <c r="CE578" s="12"/>
      <c r="CF578" s="12"/>
      <c r="CG578" s="12"/>
      <c r="CH578" s="12"/>
      <c r="CI578" s="12"/>
      <c r="CJ578" s="12"/>
      <c r="CK578" s="12"/>
      <c r="CL578" s="12"/>
      <c r="CM578" s="12"/>
      <c r="CN578" s="12"/>
      <c r="CO578" s="12"/>
      <c r="CP578" s="12"/>
      <c r="CQ578" s="12"/>
      <c r="CR578" s="12"/>
      <c r="CS578" s="12"/>
      <c r="CT578" s="12"/>
      <c r="CU578" s="12"/>
      <c r="CV578" s="12"/>
      <c r="CW578" s="12"/>
      <c r="CX578" s="12"/>
      <c r="CY578" s="12"/>
      <c r="CZ578" s="12"/>
      <c r="DA578" s="12"/>
      <c r="DB578" s="12"/>
      <c r="DC578" s="12"/>
      <c r="DD578" s="12"/>
      <c r="DE578" s="12"/>
      <c r="DF578" s="12"/>
      <c r="DG578" s="12"/>
      <c r="DH578" s="12"/>
      <c r="DI578" s="12"/>
      <c r="DJ578" s="12"/>
      <c r="DK578" s="12"/>
      <c r="DL578" s="12"/>
      <c r="DM578" s="12"/>
      <c r="DN578" s="12"/>
      <c r="DO578" s="12"/>
      <c r="DP578" s="12"/>
      <c r="DQ578" s="12"/>
      <c r="DR578" s="12"/>
      <c r="DS578" s="12"/>
      <c r="DT578" s="12"/>
      <c r="DU578" s="12"/>
      <c r="DV578" s="12"/>
      <c r="DW578" s="12"/>
      <c r="DX578" s="12"/>
      <c r="DY578" s="12"/>
      <c r="DZ578" s="12"/>
      <c r="EA578" s="12"/>
      <c r="EB578" s="12"/>
      <c r="EC578" s="12"/>
      <c r="ED578" s="12"/>
      <c r="EE578" s="12"/>
      <c r="EF578" s="12"/>
      <c r="EG578" s="12"/>
      <c r="EH578" s="12"/>
      <c r="EI578" s="12"/>
      <c r="EJ578" s="574"/>
      <c r="EK578" s="574"/>
      <c r="EL578" s="574"/>
      <c r="EM578" s="574"/>
      <c r="EN578" s="574"/>
      <c r="EO578" s="574"/>
      <c r="EP578" s="574"/>
      <c r="EQ578" s="574"/>
      <c r="ER578" s="574"/>
      <c r="ES578" s="574"/>
      <c r="ET578" s="574"/>
      <c r="EU578" s="574"/>
    </row>
    <row r="579">
      <c r="A579" s="12"/>
      <c r="B579" s="55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2"/>
      <c r="AY579" s="12"/>
      <c r="AZ579" s="12"/>
      <c r="BA579" s="12"/>
      <c r="BB579" s="12"/>
      <c r="BC579" s="12"/>
      <c r="BD579" s="12"/>
      <c r="BE579" s="12"/>
      <c r="BF579" s="12"/>
      <c r="BG579" s="12"/>
      <c r="BH579" s="12"/>
      <c r="BI579" s="12"/>
      <c r="BJ579" s="12"/>
      <c r="BK579" s="12"/>
      <c r="BL579" s="12"/>
      <c r="BM579" s="12"/>
      <c r="BN579" s="12"/>
      <c r="BO579" s="12"/>
      <c r="BP579" s="12"/>
      <c r="BQ579" s="12"/>
      <c r="BR579" s="12"/>
      <c r="BS579" s="12"/>
      <c r="BT579" s="12"/>
      <c r="BU579" s="12"/>
      <c r="BV579" s="12"/>
      <c r="BW579" s="12"/>
      <c r="BX579" s="12"/>
      <c r="BY579" s="12"/>
      <c r="BZ579" s="12"/>
      <c r="CA579" s="12"/>
      <c r="CB579" s="12"/>
      <c r="CC579" s="12"/>
      <c r="CD579" s="12"/>
      <c r="CE579" s="12"/>
      <c r="CF579" s="12"/>
      <c r="CG579" s="12"/>
      <c r="CH579" s="12"/>
      <c r="CI579" s="12"/>
      <c r="CJ579" s="12"/>
      <c r="CK579" s="12"/>
      <c r="CL579" s="12"/>
      <c r="CM579" s="12"/>
      <c r="CN579" s="12"/>
      <c r="CO579" s="12"/>
      <c r="CP579" s="12"/>
      <c r="CQ579" s="12"/>
      <c r="CR579" s="12"/>
      <c r="CS579" s="12"/>
      <c r="CT579" s="12"/>
      <c r="CU579" s="12"/>
      <c r="CV579" s="12"/>
      <c r="CW579" s="12"/>
      <c r="CX579" s="12"/>
      <c r="CY579" s="12"/>
      <c r="CZ579" s="12"/>
      <c r="DA579" s="12"/>
      <c r="DB579" s="12"/>
      <c r="DC579" s="12"/>
      <c r="DD579" s="12"/>
      <c r="DE579" s="12"/>
      <c r="DF579" s="12"/>
      <c r="DG579" s="12"/>
      <c r="DH579" s="12"/>
      <c r="DI579" s="12"/>
      <c r="DJ579" s="12"/>
      <c r="DK579" s="12"/>
      <c r="DL579" s="12"/>
      <c r="DM579" s="12"/>
      <c r="DN579" s="12"/>
      <c r="DO579" s="12"/>
      <c r="DP579" s="12"/>
      <c r="DQ579" s="12"/>
      <c r="DR579" s="12"/>
      <c r="DS579" s="12"/>
      <c r="DT579" s="12"/>
      <c r="DU579" s="12"/>
      <c r="DV579" s="12"/>
      <c r="DW579" s="12"/>
      <c r="DX579" s="12"/>
      <c r="DY579" s="12"/>
      <c r="DZ579" s="12"/>
      <c r="EA579" s="12"/>
      <c r="EB579" s="12"/>
      <c r="EC579" s="12"/>
      <c r="ED579" s="12"/>
      <c r="EE579" s="12"/>
      <c r="EF579" s="12"/>
      <c r="EG579" s="12"/>
      <c r="EH579" s="12"/>
      <c r="EI579" s="12"/>
      <c r="EJ579" s="574"/>
      <c r="EK579" s="574"/>
      <c r="EL579" s="574"/>
      <c r="EM579" s="574"/>
      <c r="EN579" s="574"/>
      <c r="EO579" s="574"/>
      <c r="EP579" s="574"/>
      <c r="EQ579" s="574"/>
      <c r="ER579" s="574"/>
      <c r="ES579" s="574"/>
      <c r="ET579" s="574"/>
      <c r="EU579" s="574"/>
    </row>
    <row r="580">
      <c r="A580" s="12"/>
      <c r="B580" s="55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2"/>
      <c r="AY580" s="12"/>
      <c r="AZ580" s="12"/>
      <c r="BA580" s="12"/>
      <c r="BB580" s="12"/>
      <c r="BC580" s="12"/>
      <c r="BD580" s="12"/>
      <c r="BE580" s="12"/>
      <c r="BF580" s="12"/>
      <c r="BG580" s="12"/>
      <c r="BH580" s="12"/>
      <c r="BI580" s="12"/>
      <c r="BJ580" s="12"/>
      <c r="BK580" s="12"/>
      <c r="BL580" s="12"/>
      <c r="BM580" s="12"/>
      <c r="BN580" s="12"/>
      <c r="BO580" s="12"/>
      <c r="BP580" s="12"/>
      <c r="BQ580" s="12"/>
      <c r="BR580" s="12"/>
      <c r="BS580" s="12"/>
      <c r="BT580" s="12"/>
      <c r="BU580" s="12"/>
      <c r="BV580" s="12"/>
      <c r="BW580" s="12"/>
      <c r="BX580" s="12"/>
      <c r="BY580" s="12"/>
      <c r="BZ580" s="12"/>
      <c r="CA580" s="12"/>
      <c r="CB580" s="12"/>
      <c r="CC580" s="12"/>
      <c r="CD580" s="12"/>
      <c r="CE580" s="12"/>
      <c r="CF580" s="12"/>
      <c r="CG580" s="12"/>
      <c r="CH580" s="12"/>
      <c r="CI580" s="12"/>
      <c r="CJ580" s="12"/>
      <c r="CK580" s="12"/>
      <c r="CL580" s="12"/>
      <c r="CM580" s="12"/>
      <c r="CN580" s="12"/>
      <c r="CO580" s="12"/>
      <c r="CP580" s="12"/>
      <c r="CQ580" s="12"/>
      <c r="CR580" s="12"/>
      <c r="CS580" s="12"/>
      <c r="CT580" s="12"/>
      <c r="CU580" s="12"/>
      <c r="CV580" s="12"/>
      <c r="CW580" s="12"/>
      <c r="CX580" s="12"/>
      <c r="CY580" s="12"/>
      <c r="CZ580" s="12"/>
      <c r="DA580" s="12"/>
      <c r="DB580" s="12"/>
      <c r="DC580" s="12"/>
      <c r="DD580" s="12"/>
      <c r="DE580" s="12"/>
      <c r="DF580" s="12"/>
      <c r="DG580" s="12"/>
      <c r="DH580" s="12"/>
      <c r="DI580" s="12"/>
      <c r="DJ580" s="12"/>
      <c r="DK580" s="12"/>
      <c r="DL580" s="12"/>
      <c r="DM580" s="12"/>
      <c r="DN580" s="12"/>
      <c r="DO580" s="12"/>
      <c r="DP580" s="12"/>
      <c r="DQ580" s="12"/>
      <c r="DR580" s="12"/>
      <c r="DS580" s="12"/>
      <c r="DT580" s="12"/>
      <c r="DU580" s="12"/>
      <c r="DV580" s="12"/>
      <c r="DW580" s="12"/>
      <c r="DX580" s="12"/>
      <c r="DY580" s="12"/>
      <c r="DZ580" s="12"/>
      <c r="EA580" s="12"/>
      <c r="EB580" s="12"/>
      <c r="EC580" s="12"/>
      <c r="ED580" s="12"/>
      <c r="EE580" s="12"/>
      <c r="EF580" s="12"/>
      <c r="EG580" s="12"/>
      <c r="EH580" s="12"/>
      <c r="EI580" s="12"/>
      <c r="EJ580" s="574"/>
      <c r="EK580" s="574"/>
      <c r="EL580" s="574"/>
      <c r="EM580" s="574"/>
      <c r="EN580" s="574"/>
      <c r="EO580" s="574"/>
      <c r="EP580" s="574"/>
      <c r="EQ580" s="574"/>
      <c r="ER580" s="574"/>
      <c r="ES580" s="574"/>
      <c r="ET580" s="574"/>
      <c r="EU580" s="574"/>
    </row>
    <row r="581">
      <c r="A581" s="12"/>
      <c r="B581" s="55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  <c r="AY581" s="12"/>
      <c r="AZ581" s="12"/>
      <c r="BA581" s="12"/>
      <c r="BB581" s="12"/>
      <c r="BC581" s="12"/>
      <c r="BD581" s="12"/>
      <c r="BE581" s="12"/>
      <c r="BF581" s="12"/>
      <c r="BG581" s="12"/>
      <c r="BH581" s="12"/>
      <c r="BI581" s="12"/>
      <c r="BJ581" s="12"/>
      <c r="BK581" s="12"/>
      <c r="BL581" s="12"/>
      <c r="BM581" s="12"/>
      <c r="BN581" s="12"/>
      <c r="BO581" s="12"/>
      <c r="BP581" s="12"/>
      <c r="BQ581" s="12"/>
      <c r="BR581" s="12"/>
      <c r="BS581" s="12"/>
      <c r="BT581" s="12"/>
      <c r="BU581" s="12"/>
      <c r="BV581" s="12"/>
      <c r="BW581" s="12"/>
      <c r="BX581" s="12"/>
      <c r="BY581" s="12"/>
      <c r="BZ581" s="12"/>
      <c r="CA581" s="12"/>
      <c r="CB581" s="12"/>
      <c r="CC581" s="12"/>
      <c r="CD581" s="12"/>
      <c r="CE581" s="12"/>
      <c r="CF581" s="12"/>
      <c r="CG581" s="12"/>
      <c r="CH581" s="12"/>
      <c r="CI581" s="12"/>
      <c r="CJ581" s="12"/>
      <c r="CK581" s="12"/>
      <c r="CL581" s="12"/>
      <c r="CM581" s="12"/>
      <c r="CN581" s="12"/>
      <c r="CO581" s="12"/>
      <c r="CP581" s="12"/>
      <c r="CQ581" s="12"/>
      <c r="CR581" s="12"/>
      <c r="CS581" s="12"/>
      <c r="CT581" s="12"/>
      <c r="CU581" s="12"/>
      <c r="CV581" s="12"/>
      <c r="CW581" s="12"/>
      <c r="CX581" s="12"/>
      <c r="CY581" s="12"/>
      <c r="CZ581" s="12"/>
      <c r="DA581" s="12"/>
      <c r="DB581" s="12"/>
      <c r="DC581" s="12"/>
      <c r="DD581" s="12"/>
      <c r="DE581" s="12"/>
      <c r="DF581" s="12"/>
      <c r="DG581" s="12"/>
      <c r="DH581" s="12"/>
      <c r="DI581" s="12"/>
      <c r="DJ581" s="12"/>
      <c r="DK581" s="12"/>
      <c r="DL581" s="12"/>
      <c r="DM581" s="12"/>
      <c r="DN581" s="12"/>
      <c r="DO581" s="12"/>
      <c r="DP581" s="12"/>
      <c r="DQ581" s="12"/>
      <c r="DR581" s="12"/>
      <c r="DS581" s="12"/>
      <c r="DT581" s="12"/>
      <c r="DU581" s="12"/>
      <c r="DV581" s="12"/>
      <c r="DW581" s="12"/>
      <c r="DX581" s="12"/>
      <c r="DY581" s="12"/>
      <c r="DZ581" s="12"/>
      <c r="EA581" s="12"/>
      <c r="EB581" s="12"/>
      <c r="EC581" s="12"/>
      <c r="ED581" s="12"/>
      <c r="EE581" s="12"/>
      <c r="EF581" s="12"/>
      <c r="EG581" s="12"/>
      <c r="EH581" s="12"/>
      <c r="EI581" s="12"/>
      <c r="EJ581" s="574"/>
      <c r="EK581" s="574"/>
      <c r="EL581" s="574"/>
      <c r="EM581" s="574"/>
      <c r="EN581" s="574"/>
      <c r="EO581" s="574"/>
      <c r="EP581" s="574"/>
      <c r="EQ581" s="574"/>
      <c r="ER581" s="574"/>
      <c r="ES581" s="574"/>
      <c r="ET581" s="574"/>
      <c r="EU581" s="574"/>
    </row>
    <row r="582">
      <c r="A582" s="12"/>
      <c r="B582" s="55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  <c r="AY582" s="12"/>
      <c r="AZ582" s="12"/>
      <c r="BA582" s="12"/>
      <c r="BB582" s="12"/>
      <c r="BC582" s="12"/>
      <c r="BD582" s="12"/>
      <c r="BE582" s="12"/>
      <c r="BF582" s="12"/>
      <c r="BG582" s="12"/>
      <c r="BH582" s="12"/>
      <c r="BI582" s="12"/>
      <c r="BJ582" s="12"/>
      <c r="BK582" s="12"/>
      <c r="BL582" s="12"/>
      <c r="BM582" s="12"/>
      <c r="BN582" s="12"/>
      <c r="BO582" s="12"/>
      <c r="BP582" s="12"/>
      <c r="BQ582" s="12"/>
      <c r="BR582" s="12"/>
      <c r="BS582" s="12"/>
      <c r="BT582" s="12"/>
      <c r="BU582" s="12"/>
      <c r="BV582" s="12"/>
      <c r="BW582" s="12"/>
      <c r="BX582" s="12"/>
      <c r="BY582" s="12"/>
      <c r="BZ582" s="12"/>
      <c r="CA582" s="12"/>
      <c r="CB582" s="12"/>
      <c r="CC582" s="12"/>
      <c r="CD582" s="12"/>
      <c r="CE582" s="12"/>
      <c r="CF582" s="12"/>
      <c r="CG582" s="12"/>
      <c r="CH582" s="12"/>
      <c r="CI582" s="12"/>
      <c r="CJ582" s="12"/>
      <c r="CK582" s="12"/>
      <c r="CL582" s="12"/>
      <c r="CM582" s="12"/>
      <c r="CN582" s="12"/>
      <c r="CO582" s="12"/>
      <c r="CP582" s="12"/>
      <c r="CQ582" s="12"/>
      <c r="CR582" s="12"/>
      <c r="CS582" s="12"/>
      <c r="CT582" s="12"/>
      <c r="CU582" s="12"/>
      <c r="CV582" s="12"/>
      <c r="CW582" s="12"/>
      <c r="CX582" s="12"/>
      <c r="CY582" s="12"/>
      <c r="CZ582" s="12"/>
      <c r="DA582" s="12"/>
      <c r="DB582" s="12"/>
      <c r="DC582" s="12"/>
      <c r="DD582" s="12"/>
      <c r="DE582" s="12"/>
      <c r="DF582" s="12"/>
      <c r="DG582" s="12"/>
      <c r="DH582" s="12"/>
      <c r="DI582" s="12"/>
      <c r="DJ582" s="12"/>
      <c r="DK582" s="12"/>
      <c r="DL582" s="12"/>
      <c r="DM582" s="12"/>
      <c r="DN582" s="12"/>
      <c r="DO582" s="12"/>
      <c r="DP582" s="12"/>
      <c r="DQ582" s="12"/>
      <c r="DR582" s="12"/>
      <c r="DS582" s="12"/>
      <c r="DT582" s="12"/>
      <c r="DU582" s="12"/>
      <c r="DV582" s="12"/>
      <c r="DW582" s="12"/>
      <c r="DX582" s="12"/>
      <c r="DY582" s="12"/>
      <c r="DZ582" s="12"/>
      <c r="EA582" s="12"/>
      <c r="EB582" s="12"/>
      <c r="EC582" s="12"/>
      <c r="ED582" s="12"/>
      <c r="EE582" s="12"/>
      <c r="EF582" s="12"/>
      <c r="EG582" s="12"/>
      <c r="EH582" s="12"/>
      <c r="EI582" s="12"/>
      <c r="EJ582" s="574"/>
      <c r="EK582" s="574"/>
      <c r="EL582" s="574"/>
      <c r="EM582" s="574"/>
      <c r="EN582" s="574"/>
      <c r="EO582" s="574"/>
      <c r="EP582" s="574"/>
      <c r="EQ582" s="574"/>
      <c r="ER582" s="574"/>
      <c r="ES582" s="574"/>
      <c r="ET582" s="574"/>
      <c r="EU582" s="574"/>
    </row>
    <row r="583">
      <c r="A583" s="12"/>
      <c r="B583" s="55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2"/>
      <c r="AY583" s="12"/>
      <c r="AZ583" s="12"/>
      <c r="BA583" s="12"/>
      <c r="BB583" s="12"/>
      <c r="BC583" s="12"/>
      <c r="BD583" s="12"/>
      <c r="BE583" s="12"/>
      <c r="BF583" s="12"/>
      <c r="BG583" s="12"/>
      <c r="BH583" s="12"/>
      <c r="BI583" s="12"/>
      <c r="BJ583" s="12"/>
      <c r="BK583" s="12"/>
      <c r="BL583" s="12"/>
      <c r="BM583" s="12"/>
      <c r="BN583" s="12"/>
      <c r="BO583" s="12"/>
      <c r="BP583" s="12"/>
      <c r="BQ583" s="12"/>
      <c r="BR583" s="12"/>
      <c r="BS583" s="12"/>
      <c r="BT583" s="12"/>
      <c r="BU583" s="12"/>
      <c r="BV583" s="12"/>
      <c r="BW583" s="12"/>
      <c r="BX583" s="12"/>
      <c r="BY583" s="12"/>
      <c r="BZ583" s="12"/>
      <c r="CA583" s="12"/>
      <c r="CB583" s="12"/>
      <c r="CC583" s="12"/>
      <c r="CD583" s="12"/>
      <c r="CE583" s="12"/>
      <c r="CF583" s="12"/>
      <c r="CG583" s="12"/>
      <c r="CH583" s="12"/>
      <c r="CI583" s="12"/>
      <c r="CJ583" s="12"/>
      <c r="CK583" s="12"/>
      <c r="CL583" s="12"/>
      <c r="CM583" s="12"/>
      <c r="CN583" s="12"/>
      <c r="CO583" s="12"/>
      <c r="CP583" s="12"/>
      <c r="CQ583" s="12"/>
      <c r="CR583" s="12"/>
      <c r="CS583" s="12"/>
      <c r="CT583" s="12"/>
      <c r="CU583" s="12"/>
      <c r="CV583" s="12"/>
      <c r="CW583" s="12"/>
      <c r="CX583" s="12"/>
      <c r="CY583" s="12"/>
      <c r="CZ583" s="12"/>
      <c r="DA583" s="12"/>
      <c r="DB583" s="12"/>
      <c r="DC583" s="12"/>
      <c r="DD583" s="12"/>
      <c r="DE583" s="12"/>
      <c r="DF583" s="12"/>
      <c r="DG583" s="12"/>
      <c r="DH583" s="12"/>
      <c r="DI583" s="12"/>
      <c r="DJ583" s="12"/>
      <c r="DK583" s="12"/>
      <c r="DL583" s="12"/>
      <c r="DM583" s="12"/>
      <c r="DN583" s="12"/>
      <c r="DO583" s="12"/>
      <c r="DP583" s="12"/>
      <c r="DQ583" s="12"/>
      <c r="DR583" s="12"/>
      <c r="DS583" s="12"/>
      <c r="DT583" s="12"/>
      <c r="DU583" s="12"/>
      <c r="DV583" s="12"/>
      <c r="DW583" s="12"/>
      <c r="DX583" s="12"/>
      <c r="DY583" s="12"/>
      <c r="DZ583" s="12"/>
      <c r="EA583" s="12"/>
      <c r="EB583" s="12"/>
      <c r="EC583" s="12"/>
      <c r="ED583" s="12"/>
      <c r="EE583" s="12"/>
      <c r="EF583" s="12"/>
      <c r="EG583" s="12"/>
      <c r="EH583" s="12"/>
      <c r="EI583" s="12"/>
      <c r="EJ583" s="574"/>
      <c r="EK583" s="574"/>
      <c r="EL583" s="574"/>
      <c r="EM583" s="574"/>
      <c r="EN583" s="574"/>
      <c r="EO583" s="574"/>
      <c r="EP583" s="574"/>
      <c r="EQ583" s="574"/>
      <c r="ER583" s="574"/>
      <c r="ES583" s="574"/>
      <c r="ET583" s="574"/>
      <c r="EU583" s="574"/>
    </row>
    <row r="584">
      <c r="A584" s="12"/>
      <c r="B584" s="55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2"/>
      <c r="AY584" s="12"/>
      <c r="AZ584" s="12"/>
      <c r="BA584" s="12"/>
      <c r="BB584" s="12"/>
      <c r="BC584" s="12"/>
      <c r="BD584" s="12"/>
      <c r="BE584" s="12"/>
      <c r="BF584" s="12"/>
      <c r="BG584" s="12"/>
      <c r="BH584" s="12"/>
      <c r="BI584" s="12"/>
      <c r="BJ584" s="12"/>
      <c r="BK584" s="12"/>
      <c r="BL584" s="12"/>
      <c r="BM584" s="12"/>
      <c r="BN584" s="12"/>
      <c r="BO584" s="12"/>
      <c r="BP584" s="12"/>
      <c r="BQ584" s="12"/>
      <c r="BR584" s="12"/>
      <c r="BS584" s="12"/>
      <c r="BT584" s="12"/>
      <c r="BU584" s="12"/>
      <c r="BV584" s="12"/>
      <c r="BW584" s="12"/>
      <c r="BX584" s="12"/>
      <c r="BY584" s="12"/>
      <c r="BZ584" s="12"/>
      <c r="CA584" s="12"/>
      <c r="CB584" s="12"/>
      <c r="CC584" s="12"/>
      <c r="CD584" s="12"/>
      <c r="CE584" s="12"/>
      <c r="CF584" s="12"/>
      <c r="CG584" s="12"/>
      <c r="CH584" s="12"/>
      <c r="CI584" s="12"/>
      <c r="CJ584" s="12"/>
      <c r="CK584" s="12"/>
      <c r="CL584" s="12"/>
      <c r="CM584" s="12"/>
      <c r="CN584" s="12"/>
      <c r="CO584" s="12"/>
      <c r="CP584" s="12"/>
      <c r="CQ584" s="12"/>
      <c r="CR584" s="12"/>
      <c r="CS584" s="12"/>
      <c r="CT584" s="12"/>
      <c r="CU584" s="12"/>
      <c r="CV584" s="12"/>
      <c r="CW584" s="12"/>
      <c r="CX584" s="12"/>
      <c r="CY584" s="12"/>
      <c r="CZ584" s="12"/>
      <c r="DA584" s="12"/>
      <c r="DB584" s="12"/>
      <c r="DC584" s="12"/>
      <c r="DD584" s="12"/>
      <c r="DE584" s="12"/>
      <c r="DF584" s="12"/>
      <c r="DG584" s="12"/>
      <c r="DH584" s="12"/>
      <c r="DI584" s="12"/>
      <c r="DJ584" s="12"/>
      <c r="DK584" s="12"/>
      <c r="DL584" s="12"/>
      <c r="DM584" s="12"/>
      <c r="DN584" s="12"/>
      <c r="DO584" s="12"/>
      <c r="DP584" s="12"/>
      <c r="DQ584" s="12"/>
      <c r="DR584" s="12"/>
      <c r="DS584" s="12"/>
      <c r="DT584" s="12"/>
      <c r="DU584" s="12"/>
      <c r="DV584" s="12"/>
      <c r="DW584" s="12"/>
      <c r="DX584" s="12"/>
      <c r="DY584" s="12"/>
      <c r="DZ584" s="12"/>
      <c r="EA584" s="12"/>
      <c r="EB584" s="12"/>
      <c r="EC584" s="12"/>
      <c r="ED584" s="12"/>
      <c r="EE584" s="12"/>
      <c r="EF584" s="12"/>
      <c r="EG584" s="12"/>
      <c r="EH584" s="12"/>
      <c r="EI584" s="12"/>
      <c r="EJ584" s="574"/>
      <c r="EK584" s="574"/>
      <c r="EL584" s="574"/>
      <c r="EM584" s="574"/>
      <c r="EN584" s="574"/>
      <c r="EO584" s="574"/>
      <c r="EP584" s="574"/>
      <c r="EQ584" s="574"/>
      <c r="ER584" s="574"/>
      <c r="ES584" s="574"/>
      <c r="ET584" s="574"/>
      <c r="EU584" s="574"/>
    </row>
    <row r="585">
      <c r="A585" s="12"/>
      <c r="B585" s="55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2"/>
      <c r="AY585" s="12"/>
      <c r="AZ585" s="12"/>
      <c r="BA585" s="12"/>
      <c r="BB585" s="12"/>
      <c r="BC585" s="12"/>
      <c r="BD585" s="12"/>
      <c r="BE585" s="12"/>
      <c r="BF585" s="12"/>
      <c r="BG585" s="12"/>
      <c r="BH585" s="12"/>
      <c r="BI585" s="12"/>
      <c r="BJ585" s="12"/>
      <c r="BK585" s="12"/>
      <c r="BL585" s="12"/>
      <c r="BM585" s="12"/>
      <c r="BN585" s="12"/>
      <c r="BO585" s="12"/>
      <c r="BP585" s="12"/>
      <c r="BQ585" s="12"/>
      <c r="BR585" s="12"/>
      <c r="BS585" s="12"/>
      <c r="BT585" s="12"/>
      <c r="BU585" s="12"/>
      <c r="BV585" s="12"/>
      <c r="BW585" s="12"/>
      <c r="BX585" s="12"/>
      <c r="BY585" s="12"/>
      <c r="BZ585" s="12"/>
      <c r="CA585" s="12"/>
      <c r="CB585" s="12"/>
      <c r="CC585" s="12"/>
      <c r="CD585" s="12"/>
      <c r="CE585" s="12"/>
      <c r="CF585" s="12"/>
      <c r="CG585" s="12"/>
      <c r="CH585" s="12"/>
      <c r="CI585" s="12"/>
      <c r="CJ585" s="12"/>
      <c r="CK585" s="12"/>
      <c r="CL585" s="12"/>
      <c r="CM585" s="12"/>
      <c r="CN585" s="12"/>
      <c r="CO585" s="12"/>
      <c r="CP585" s="12"/>
      <c r="CQ585" s="12"/>
      <c r="CR585" s="12"/>
      <c r="CS585" s="12"/>
      <c r="CT585" s="12"/>
      <c r="CU585" s="12"/>
      <c r="CV585" s="12"/>
      <c r="CW585" s="12"/>
      <c r="CX585" s="12"/>
      <c r="CY585" s="12"/>
      <c r="CZ585" s="12"/>
      <c r="DA585" s="12"/>
      <c r="DB585" s="12"/>
      <c r="DC585" s="12"/>
      <c r="DD585" s="12"/>
      <c r="DE585" s="12"/>
      <c r="DF585" s="12"/>
      <c r="DG585" s="12"/>
      <c r="DH585" s="12"/>
      <c r="DI585" s="12"/>
      <c r="DJ585" s="12"/>
      <c r="DK585" s="12"/>
      <c r="DL585" s="12"/>
      <c r="DM585" s="12"/>
      <c r="DN585" s="12"/>
      <c r="DO585" s="12"/>
      <c r="DP585" s="12"/>
      <c r="DQ585" s="12"/>
      <c r="DR585" s="12"/>
      <c r="DS585" s="12"/>
      <c r="DT585" s="12"/>
      <c r="DU585" s="12"/>
      <c r="DV585" s="12"/>
      <c r="DW585" s="12"/>
      <c r="DX585" s="12"/>
      <c r="DY585" s="12"/>
      <c r="DZ585" s="12"/>
      <c r="EA585" s="12"/>
      <c r="EB585" s="12"/>
      <c r="EC585" s="12"/>
      <c r="ED585" s="12"/>
      <c r="EE585" s="12"/>
      <c r="EF585" s="12"/>
      <c r="EG585" s="12"/>
      <c r="EH585" s="12"/>
      <c r="EI585" s="12"/>
      <c r="EJ585" s="574"/>
      <c r="EK585" s="574"/>
      <c r="EL585" s="574"/>
      <c r="EM585" s="574"/>
      <c r="EN585" s="574"/>
      <c r="EO585" s="574"/>
      <c r="EP585" s="574"/>
      <c r="EQ585" s="574"/>
      <c r="ER585" s="574"/>
      <c r="ES585" s="574"/>
      <c r="ET585" s="574"/>
      <c r="EU585" s="574"/>
    </row>
    <row r="586">
      <c r="A586" s="12"/>
      <c r="B586" s="55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  <c r="AY586" s="12"/>
      <c r="AZ586" s="12"/>
      <c r="BA586" s="12"/>
      <c r="BB586" s="12"/>
      <c r="BC586" s="12"/>
      <c r="BD586" s="12"/>
      <c r="BE586" s="12"/>
      <c r="BF586" s="12"/>
      <c r="BG586" s="12"/>
      <c r="BH586" s="12"/>
      <c r="BI586" s="12"/>
      <c r="BJ586" s="12"/>
      <c r="BK586" s="12"/>
      <c r="BL586" s="12"/>
      <c r="BM586" s="12"/>
      <c r="BN586" s="12"/>
      <c r="BO586" s="12"/>
      <c r="BP586" s="12"/>
      <c r="BQ586" s="12"/>
      <c r="BR586" s="12"/>
      <c r="BS586" s="12"/>
      <c r="BT586" s="12"/>
      <c r="BU586" s="12"/>
      <c r="BV586" s="12"/>
      <c r="BW586" s="12"/>
      <c r="BX586" s="12"/>
      <c r="BY586" s="12"/>
      <c r="BZ586" s="12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574"/>
      <c r="EK586" s="574"/>
      <c r="EL586" s="574"/>
      <c r="EM586" s="574"/>
      <c r="EN586" s="574"/>
      <c r="EO586" s="574"/>
      <c r="EP586" s="574"/>
      <c r="EQ586" s="574"/>
      <c r="ER586" s="574"/>
      <c r="ES586" s="574"/>
      <c r="ET586" s="574"/>
      <c r="EU586" s="574"/>
    </row>
    <row r="587">
      <c r="A587" s="12"/>
      <c r="B587" s="55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2"/>
      <c r="AY587" s="12"/>
      <c r="AZ587" s="12"/>
      <c r="BA587" s="12"/>
      <c r="BB587" s="12"/>
      <c r="BC587" s="12"/>
      <c r="BD587" s="12"/>
      <c r="BE587" s="12"/>
      <c r="BF587" s="12"/>
      <c r="BG587" s="12"/>
      <c r="BH587" s="12"/>
      <c r="BI587" s="12"/>
      <c r="BJ587" s="12"/>
      <c r="BK587" s="12"/>
      <c r="BL587" s="12"/>
      <c r="BM587" s="12"/>
      <c r="BN587" s="12"/>
      <c r="BO587" s="12"/>
      <c r="BP587" s="12"/>
      <c r="BQ587" s="12"/>
      <c r="BR587" s="12"/>
      <c r="BS587" s="12"/>
      <c r="BT587" s="12"/>
      <c r="BU587" s="12"/>
      <c r="BV587" s="12"/>
      <c r="BW587" s="12"/>
      <c r="BX587" s="12"/>
      <c r="BY587" s="12"/>
      <c r="BZ587" s="12"/>
      <c r="CA587" s="12"/>
      <c r="CB587" s="12"/>
      <c r="CC587" s="12"/>
      <c r="CD587" s="12"/>
      <c r="CE587" s="12"/>
      <c r="CF587" s="12"/>
      <c r="CG587" s="12"/>
      <c r="CH587" s="12"/>
      <c r="CI587" s="12"/>
      <c r="CJ587" s="12"/>
      <c r="CK587" s="12"/>
      <c r="CL587" s="12"/>
      <c r="CM587" s="12"/>
      <c r="CN587" s="12"/>
      <c r="CO587" s="12"/>
      <c r="CP587" s="12"/>
      <c r="CQ587" s="12"/>
      <c r="CR587" s="12"/>
      <c r="CS587" s="12"/>
      <c r="CT587" s="12"/>
      <c r="CU587" s="12"/>
      <c r="CV587" s="12"/>
      <c r="CW587" s="12"/>
      <c r="CX587" s="12"/>
      <c r="CY587" s="12"/>
      <c r="CZ587" s="12"/>
      <c r="DA587" s="12"/>
      <c r="DB587" s="12"/>
      <c r="DC587" s="12"/>
      <c r="DD587" s="12"/>
      <c r="DE587" s="12"/>
      <c r="DF587" s="12"/>
      <c r="DG587" s="12"/>
      <c r="DH587" s="12"/>
      <c r="DI587" s="12"/>
      <c r="DJ587" s="12"/>
      <c r="DK587" s="12"/>
      <c r="DL587" s="12"/>
      <c r="DM587" s="12"/>
      <c r="DN587" s="12"/>
      <c r="DO587" s="12"/>
      <c r="DP587" s="12"/>
      <c r="DQ587" s="12"/>
      <c r="DR587" s="12"/>
      <c r="DS587" s="12"/>
      <c r="DT587" s="12"/>
      <c r="DU587" s="12"/>
      <c r="DV587" s="12"/>
      <c r="DW587" s="12"/>
      <c r="DX587" s="12"/>
      <c r="DY587" s="12"/>
      <c r="DZ587" s="12"/>
      <c r="EA587" s="12"/>
      <c r="EB587" s="12"/>
      <c r="EC587" s="12"/>
      <c r="ED587" s="12"/>
      <c r="EE587" s="12"/>
      <c r="EF587" s="12"/>
      <c r="EG587" s="12"/>
      <c r="EH587" s="12"/>
      <c r="EI587" s="12"/>
      <c r="EJ587" s="574"/>
      <c r="EK587" s="574"/>
      <c r="EL587" s="574"/>
      <c r="EM587" s="574"/>
      <c r="EN587" s="574"/>
      <c r="EO587" s="574"/>
      <c r="EP587" s="574"/>
      <c r="EQ587" s="574"/>
      <c r="ER587" s="574"/>
      <c r="ES587" s="574"/>
      <c r="ET587" s="574"/>
      <c r="EU587" s="574"/>
    </row>
    <row r="588">
      <c r="A588" s="12"/>
      <c r="B588" s="55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  <c r="AY588" s="12"/>
      <c r="AZ588" s="12"/>
      <c r="BA588" s="12"/>
      <c r="BB588" s="12"/>
      <c r="BC588" s="12"/>
      <c r="BD588" s="12"/>
      <c r="BE588" s="12"/>
      <c r="BF588" s="12"/>
      <c r="BG588" s="12"/>
      <c r="BH588" s="12"/>
      <c r="BI588" s="12"/>
      <c r="BJ588" s="12"/>
      <c r="BK588" s="12"/>
      <c r="BL588" s="12"/>
      <c r="BM588" s="12"/>
      <c r="BN588" s="12"/>
      <c r="BO588" s="12"/>
      <c r="BP588" s="12"/>
      <c r="BQ588" s="12"/>
      <c r="BR588" s="12"/>
      <c r="BS588" s="12"/>
      <c r="BT588" s="12"/>
      <c r="BU588" s="12"/>
      <c r="BV588" s="12"/>
      <c r="BW588" s="12"/>
      <c r="BX588" s="12"/>
      <c r="BY588" s="12"/>
      <c r="BZ588" s="12"/>
      <c r="CA588" s="12"/>
      <c r="CB588" s="12"/>
      <c r="CC588" s="12"/>
      <c r="CD588" s="12"/>
      <c r="CE588" s="12"/>
      <c r="CF588" s="12"/>
      <c r="CG588" s="12"/>
      <c r="CH588" s="12"/>
      <c r="CI588" s="12"/>
      <c r="CJ588" s="12"/>
      <c r="CK588" s="12"/>
      <c r="CL588" s="12"/>
      <c r="CM588" s="12"/>
      <c r="CN588" s="12"/>
      <c r="CO588" s="12"/>
      <c r="CP588" s="12"/>
      <c r="CQ588" s="12"/>
      <c r="CR588" s="12"/>
      <c r="CS588" s="12"/>
      <c r="CT588" s="12"/>
      <c r="CU588" s="12"/>
      <c r="CV588" s="12"/>
      <c r="CW588" s="12"/>
      <c r="CX588" s="12"/>
      <c r="CY588" s="12"/>
      <c r="CZ588" s="12"/>
      <c r="DA588" s="12"/>
      <c r="DB588" s="12"/>
      <c r="DC588" s="12"/>
      <c r="DD588" s="12"/>
      <c r="DE588" s="12"/>
      <c r="DF588" s="12"/>
      <c r="DG588" s="12"/>
      <c r="DH588" s="12"/>
      <c r="DI588" s="12"/>
      <c r="DJ588" s="12"/>
      <c r="DK588" s="12"/>
      <c r="DL588" s="12"/>
      <c r="DM588" s="12"/>
      <c r="DN588" s="12"/>
      <c r="DO588" s="12"/>
      <c r="DP588" s="12"/>
      <c r="DQ588" s="12"/>
      <c r="DR588" s="12"/>
      <c r="DS588" s="12"/>
      <c r="DT588" s="12"/>
      <c r="DU588" s="12"/>
      <c r="DV588" s="12"/>
      <c r="DW588" s="12"/>
      <c r="DX588" s="12"/>
      <c r="DY588" s="12"/>
      <c r="DZ588" s="12"/>
      <c r="EA588" s="12"/>
      <c r="EB588" s="12"/>
      <c r="EC588" s="12"/>
      <c r="ED588" s="12"/>
      <c r="EE588" s="12"/>
      <c r="EF588" s="12"/>
      <c r="EG588" s="12"/>
      <c r="EH588" s="12"/>
      <c r="EI588" s="12"/>
      <c r="EJ588" s="574"/>
      <c r="EK588" s="574"/>
      <c r="EL588" s="574"/>
      <c r="EM588" s="574"/>
      <c r="EN588" s="574"/>
      <c r="EO588" s="574"/>
      <c r="EP588" s="574"/>
      <c r="EQ588" s="574"/>
      <c r="ER588" s="574"/>
      <c r="ES588" s="574"/>
      <c r="ET588" s="574"/>
      <c r="EU588" s="574"/>
    </row>
    <row r="589">
      <c r="A589" s="12"/>
      <c r="B589" s="55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2"/>
      <c r="AY589" s="12"/>
      <c r="AZ589" s="12"/>
      <c r="BA589" s="12"/>
      <c r="BB589" s="12"/>
      <c r="BC589" s="12"/>
      <c r="BD589" s="12"/>
      <c r="BE589" s="12"/>
      <c r="BF589" s="12"/>
      <c r="BG589" s="12"/>
      <c r="BH589" s="12"/>
      <c r="BI589" s="12"/>
      <c r="BJ589" s="12"/>
      <c r="BK589" s="12"/>
      <c r="BL589" s="12"/>
      <c r="BM589" s="12"/>
      <c r="BN589" s="12"/>
      <c r="BO589" s="12"/>
      <c r="BP589" s="12"/>
      <c r="BQ589" s="12"/>
      <c r="BR589" s="12"/>
      <c r="BS589" s="12"/>
      <c r="BT589" s="12"/>
      <c r="BU589" s="12"/>
      <c r="BV589" s="12"/>
      <c r="BW589" s="12"/>
      <c r="BX589" s="12"/>
      <c r="BY589" s="12"/>
      <c r="BZ589" s="12"/>
      <c r="CA589" s="12"/>
      <c r="CB589" s="12"/>
      <c r="CC589" s="12"/>
      <c r="CD589" s="12"/>
      <c r="CE589" s="12"/>
      <c r="CF589" s="12"/>
      <c r="CG589" s="12"/>
      <c r="CH589" s="12"/>
      <c r="CI589" s="12"/>
      <c r="CJ589" s="12"/>
      <c r="CK589" s="12"/>
      <c r="CL589" s="12"/>
      <c r="CM589" s="12"/>
      <c r="CN589" s="12"/>
      <c r="CO589" s="12"/>
      <c r="CP589" s="12"/>
      <c r="CQ589" s="12"/>
      <c r="CR589" s="12"/>
      <c r="CS589" s="12"/>
      <c r="CT589" s="12"/>
      <c r="CU589" s="12"/>
      <c r="CV589" s="12"/>
      <c r="CW589" s="12"/>
      <c r="CX589" s="12"/>
      <c r="CY589" s="12"/>
      <c r="CZ589" s="12"/>
      <c r="DA589" s="12"/>
      <c r="DB589" s="12"/>
      <c r="DC589" s="12"/>
      <c r="DD589" s="12"/>
      <c r="DE589" s="12"/>
      <c r="DF589" s="12"/>
      <c r="DG589" s="12"/>
      <c r="DH589" s="12"/>
      <c r="DI589" s="12"/>
      <c r="DJ589" s="12"/>
      <c r="DK589" s="12"/>
      <c r="DL589" s="12"/>
      <c r="DM589" s="12"/>
      <c r="DN589" s="12"/>
      <c r="DO589" s="12"/>
      <c r="DP589" s="12"/>
      <c r="DQ589" s="12"/>
      <c r="DR589" s="12"/>
      <c r="DS589" s="12"/>
      <c r="DT589" s="12"/>
      <c r="DU589" s="12"/>
      <c r="DV589" s="12"/>
      <c r="DW589" s="12"/>
      <c r="DX589" s="12"/>
      <c r="DY589" s="12"/>
      <c r="DZ589" s="12"/>
      <c r="EA589" s="12"/>
      <c r="EB589" s="12"/>
      <c r="EC589" s="12"/>
      <c r="ED589" s="12"/>
      <c r="EE589" s="12"/>
      <c r="EF589" s="12"/>
      <c r="EG589" s="12"/>
      <c r="EH589" s="12"/>
      <c r="EI589" s="12"/>
      <c r="EJ589" s="574"/>
      <c r="EK589" s="574"/>
      <c r="EL589" s="574"/>
      <c r="EM589" s="574"/>
      <c r="EN589" s="574"/>
      <c r="EO589" s="574"/>
      <c r="EP589" s="574"/>
      <c r="EQ589" s="574"/>
      <c r="ER589" s="574"/>
      <c r="ES589" s="574"/>
      <c r="ET589" s="574"/>
      <c r="EU589" s="574"/>
    </row>
    <row r="590">
      <c r="A590" s="12"/>
      <c r="B590" s="55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  <c r="AY590" s="12"/>
      <c r="AZ590" s="12"/>
      <c r="BA590" s="12"/>
      <c r="BB590" s="12"/>
      <c r="BC590" s="12"/>
      <c r="BD590" s="12"/>
      <c r="BE590" s="12"/>
      <c r="BF590" s="12"/>
      <c r="BG590" s="12"/>
      <c r="BH590" s="12"/>
      <c r="BI590" s="12"/>
      <c r="BJ590" s="12"/>
      <c r="BK590" s="12"/>
      <c r="BL590" s="12"/>
      <c r="BM590" s="12"/>
      <c r="BN590" s="12"/>
      <c r="BO590" s="12"/>
      <c r="BP590" s="12"/>
      <c r="BQ590" s="12"/>
      <c r="BR590" s="12"/>
      <c r="BS590" s="12"/>
      <c r="BT590" s="12"/>
      <c r="BU590" s="12"/>
      <c r="BV590" s="12"/>
      <c r="BW590" s="12"/>
      <c r="BX590" s="12"/>
      <c r="BY590" s="12"/>
      <c r="BZ590" s="12"/>
      <c r="CA590" s="12"/>
      <c r="CB590" s="12"/>
      <c r="CC590" s="12"/>
      <c r="CD590" s="12"/>
      <c r="CE590" s="12"/>
      <c r="CF590" s="12"/>
      <c r="CG590" s="12"/>
      <c r="CH590" s="12"/>
      <c r="CI590" s="12"/>
      <c r="CJ590" s="12"/>
      <c r="CK590" s="12"/>
      <c r="CL590" s="12"/>
      <c r="CM590" s="12"/>
      <c r="CN590" s="12"/>
      <c r="CO590" s="12"/>
      <c r="CP590" s="12"/>
      <c r="CQ590" s="12"/>
      <c r="CR590" s="12"/>
      <c r="CS590" s="12"/>
      <c r="CT590" s="12"/>
      <c r="CU590" s="12"/>
      <c r="CV590" s="12"/>
      <c r="CW590" s="12"/>
      <c r="CX590" s="12"/>
      <c r="CY590" s="12"/>
      <c r="CZ590" s="12"/>
      <c r="DA590" s="12"/>
      <c r="DB590" s="12"/>
      <c r="DC590" s="12"/>
      <c r="DD590" s="12"/>
      <c r="DE590" s="12"/>
      <c r="DF590" s="12"/>
      <c r="DG590" s="12"/>
      <c r="DH590" s="12"/>
      <c r="DI590" s="12"/>
      <c r="DJ590" s="12"/>
      <c r="DK590" s="12"/>
      <c r="DL590" s="12"/>
      <c r="DM590" s="12"/>
      <c r="DN590" s="12"/>
      <c r="DO590" s="12"/>
      <c r="DP590" s="12"/>
      <c r="DQ590" s="12"/>
      <c r="DR590" s="12"/>
      <c r="DS590" s="12"/>
      <c r="DT590" s="12"/>
      <c r="DU590" s="12"/>
      <c r="DV590" s="12"/>
      <c r="DW590" s="12"/>
      <c r="DX590" s="12"/>
      <c r="DY590" s="12"/>
      <c r="DZ590" s="12"/>
      <c r="EA590" s="12"/>
      <c r="EB590" s="12"/>
      <c r="EC590" s="12"/>
      <c r="ED590" s="12"/>
      <c r="EE590" s="12"/>
      <c r="EF590" s="12"/>
      <c r="EG590" s="12"/>
      <c r="EH590" s="12"/>
      <c r="EI590" s="12"/>
      <c r="EJ590" s="574"/>
      <c r="EK590" s="574"/>
      <c r="EL590" s="574"/>
      <c r="EM590" s="574"/>
      <c r="EN590" s="574"/>
      <c r="EO590" s="574"/>
      <c r="EP590" s="574"/>
      <c r="EQ590" s="574"/>
      <c r="ER590" s="574"/>
      <c r="ES590" s="574"/>
      <c r="ET590" s="574"/>
      <c r="EU590" s="574"/>
    </row>
    <row r="591">
      <c r="A591" s="12"/>
      <c r="B591" s="55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2"/>
      <c r="AY591" s="12"/>
      <c r="AZ591" s="12"/>
      <c r="BA591" s="12"/>
      <c r="BB591" s="12"/>
      <c r="BC591" s="12"/>
      <c r="BD591" s="12"/>
      <c r="BE591" s="12"/>
      <c r="BF591" s="12"/>
      <c r="BG591" s="12"/>
      <c r="BH591" s="12"/>
      <c r="BI591" s="12"/>
      <c r="BJ591" s="12"/>
      <c r="BK591" s="12"/>
      <c r="BL591" s="12"/>
      <c r="BM591" s="12"/>
      <c r="BN591" s="12"/>
      <c r="BO591" s="12"/>
      <c r="BP591" s="12"/>
      <c r="BQ591" s="12"/>
      <c r="BR591" s="12"/>
      <c r="BS591" s="12"/>
      <c r="BT591" s="12"/>
      <c r="BU591" s="12"/>
      <c r="BV591" s="12"/>
      <c r="BW591" s="12"/>
      <c r="BX591" s="12"/>
      <c r="BY591" s="12"/>
      <c r="BZ591" s="12"/>
      <c r="CA591" s="12"/>
      <c r="CB591" s="12"/>
      <c r="CC591" s="12"/>
      <c r="CD591" s="12"/>
      <c r="CE591" s="12"/>
      <c r="CF591" s="12"/>
      <c r="CG591" s="12"/>
      <c r="CH591" s="12"/>
      <c r="CI591" s="12"/>
      <c r="CJ591" s="12"/>
      <c r="CK591" s="12"/>
      <c r="CL591" s="12"/>
      <c r="CM591" s="12"/>
      <c r="CN591" s="12"/>
      <c r="CO591" s="12"/>
      <c r="CP591" s="12"/>
      <c r="CQ591" s="12"/>
      <c r="CR591" s="12"/>
      <c r="CS591" s="12"/>
      <c r="CT591" s="12"/>
      <c r="CU591" s="12"/>
      <c r="CV591" s="12"/>
      <c r="CW591" s="12"/>
      <c r="CX591" s="12"/>
      <c r="CY591" s="12"/>
      <c r="CZ591" s="12"/>
      <c r="DA591" s="12"/>
      <c r="DB591" s="12"/>
      <c r="DC591" s="12"/>
      <c r="DD591" s="12"/>
      <c r="DE591" s="12"/>
      <c r="DF591" s="12"/>
      <c r="DG591" s="12"/>
      <c r="DH591" s="12"/>
      <c r="DI591" s="12"/>
      <c r="DJ591" s="12"/>
      <c r="DK591" s="12"/>
      <c r="DL591" s="12"/>
      <c r="DM591" s="12"/>
      <c r="DN591" s="12"/>
      <c r="DO591" s="12"/>
      <c r="DP591" s="12"/>
      <c r="DQ591" s="12"/>
      <c r="DR591" s="12"/>
      <c r="DS591" s="12"/>
      <c r="DT591" s="12"/>
      <c r="DU591" s="12"/>
      <c r="DV591" s="12"/>
      <c r="DW591" s="12"/>
      <c r="DX591" s="12"/>
      <c r="DY591" s="12"/>
      <c r="DZ591" s="12"/>
      <c r="EA591" s="12"/>
      <c r="EB591" s="12"/>
      <c r="EC591" s="12"/>
      <c r="ED591" s="12"/>
      <c r="EE591" s="12"/>
      <c r="EF591" s="12"/>
      <c r="EG591" s="12"/>
      <c r="EH591" s="12"/>
      <c r="EI591" s="12"/>
      <c r="EJ591" s="574"/>
      <c r="EK591" s="574"/>
      <c r="EL591" s="574"/>
      <c r="EM591" s="574"/>
      <c r="EN591" s="574"/>
      <c r="EO591" s="574"/>
      <c r="EP591" s="574"/>
      <c r="EQ591" s="574"/>
      <c r="ER591" s="574"/>
      <c r="ES591" s="574"/>
      <c r="ET591" s="574"/>
      <c r="EU591" s="574"/>
    </row>
    <row r="592">
      <c r="A592" s="12"/>
      <c r="B592" s="55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  <c r="AY592" s="12"/>
      <c r="AZ592" s="12"/>
      <c r="BA592" s="12"/>
      <c r="BB592" s="12"/>
      <c r="BC592" s="12"/>
      <c r="BD592" s="12"/>
      <c r="BE592" s="12"/>
      <c r="BF592" s="12"/>
      <c r="BG592" s="12"/>
      <c r="BH592" s="12"/>
      <c r="BI592" s="12"/>
      <c r="BJ592" s="12"/>
      <c r="BK592" s="12"/>
      <c r="BL592" s="12"/>
      <c r="BM592" s="12"/>
      <c r="BN592" s="12"/>
      <c r="BO592" s="12"/>
      <c r="BP592" s="12"/>
      <c r="BQ592" s="12"/>
      <c r="BR592" s="12"/>
      <c r="BS592" s="12"/>
      <c r="BT592" s="12"/>
      <c r="BU592" s="12"/>
      <c r="BV592" s="12"/>
      <c r="BW592" s="12"/>
      <c r="BX592" s="12"/>
      <c r="BY592" s="12"/>
      <c r="BZ592" s="12"/>
      <c r="CA592" s="12"/>
      <c r="CB592" s="12"/>
      <c r="CC592" s="12"/>
      <c r="CD592" s="12"/>
      <c r="CE592" s="12"/>
      <c r="CF592" s="12"/>
      <c r="CG592" s="12"/>
      <c r="CH592" s="12"/>
      <c r="CI592" s="12"/>
      <c r="CJ592" s="12"/>
      <c r="CK592" s="12"/>
      <c r="CL592" s="12"/>
      <c r="CM592" s="12"/>
      <c r="CN592" s="12"/>
      <c r="CO592" s="12"/>
      <c r="CP592" s="12"/>
      <c r="CQ592" s="12"/>
      <c r="CR592" s="12"/>
      <c r="CS592" s="12"/>
      <c r="CT592" s="12"/>
      <c r="CU592" s="12"/>
      <c r="CV592" s="12"/>
      <c r="CW592" s="12"/>
      <c r="CX592" s="12"/>
      <c r="CY592" s="12"/>
      <c r="CZ592" s="12"/>
      <c r="DA592" s="12"/>
      <c r="DB592" s="12"/>
      <c r="DC592" s="12"/>
      <c r="DD592" s="12"/>
      <c r="DE592" s="12"/>
      <c r="DF592" s="12"/>
      <c r="DG592" s="12"/>
      <c r="DH592" s="12"/>
      <c r="DI592" s="12"/>
      <c r="DJ592" s="12"/>
      <c r="DK592" s="12"/>
      <c r="DL592" s="12"/>
      <c r="DM592" s="12"/>
      <c r="DN592" s="12"/>
      <c r="DO592" s="12"/>
      <c r="DP592" s="12"/>
      <c r="DQ592" s="12"/>
      <c r="DR592" s="12"/>
      <c r="DS592" s="12"/>
      <c r="DT592" s="12"/>
      <c r="DU592" s="12"/>
      <c r="DV592" s="12"/>
      <c r="DW592" s="12"/>
      <c r="DX592" s="12"/>
      <c r="DY592" s="12"/>
      <c r="DZ592" s="12"/>
      <c r="EA592" s="12"/>
      <c r="EB592" s="12"/>
      <c r="EC592" s="12"/>
      <c r="ED592" s="12"/>
      <c r="EE592" s="12"/>
      <c r="EF592" s="12"/>
      <c r="EG592" s="12"/>
      <c r="EH592" s="12"/>
      <c r="EI592" s="12"/>
      <c r="EJ592" s="574"/>
      <c r="EK592" s="574"/>
      <c r="EL592" s="574"/>
      <c r="EM592" s="574"/>
      <c r="EN592" s="574"/>
      <c r="EO592" s="574"/>
      <c r="EP592" s="574"/>
      <c r="EQ592" s="574"/>
      <c r="ER592" s="574"/>
      <c r="ES592" s="574"/>
      <c r="ET592" s="574"/>
      <c r="EU592" s="574"/>
    </row>
    <row r="593">
      <c r="A593" s="12"/>
      <c r="B593" s="55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12"/>
      <c r="AY593" s="12"/>
      <c r="AZ593" s="12"/>
      <c r="BA593" s="12"/>
      <c r="BB593" s="12"/>
      <c r="BC593" s="12"/>
      <c r="BD593" s="12"/>
      <c r="BE593" s="12"/>
      <c r="BF593" s="12"/>
      <c r="BG593" s="12"/>
      <c r="BH593" s="12"/>
      <c r="BI593" s="12"/>
      <c r="BJ593" s="12"/>
      <c r="BK593" s="12"/>
      <c r="BL593" s="12"/>
      <c r="BM593" s="12"/>
      <c r="BN593" s="12"/>
      <c r="BO593" s="12"/>
      <c r="BP593" s="12"/>
      <c r="BQ593" s="12"/>
      <c r="BR593" s="12"/>
      <c r="BS593" s="12"/>
      <c r="BT593" s="12"/>
      <c r="BU593" s="12"/>
      <c r="BV593" s="12"/>
      <c r="BW593" s="12"/>
      <c r="BX593" s="12"/>
      <c r="BY593" s="12"/>
      <c r="BZ593" s="12"/>
      <c r="CA593" s="12"/>
      <c r="CB593" s="12"/>
      <c r="CC593" s="12"/>
      <c r="CD593" s="12"/>
      <c r="CE593" s="12"/>
      <c r="CF593" s="12"/>
      <c r="CG593" s="12"/>
      <c r="CH593" s="12"/>
      <c r="CI593" s="12"/>
      <c r="CJ593" s="12"/>
      <c r="CK593" s="12"/>
      <c r="CL593" s="12"/>
      <c r="CM593" s="12"/>
      <c r="CN593" s="12"/>
      <c r="CO593" s="12"/>
      <c r="CP593" s="12"/>
      <c r="CQ593" s="12"/>
      <c r="CR593" s="12"/>
      <c r="CS593" s="12"/>
      <c r="CT593" s="12"/>
      <c r="CU593" s="12"/>
      <c r="CV593" s="12"/>
      <c r="CW593" s="12"/>
      <c r="CX593" s="12"/>
      <c r="CY593" s="12"/>
      <c r="CZ593" s="12"/>
      <c r="DA593" s="12"/>
      <c r="DB593" s="12"/>
      <c r="DC593" s="12"/>
      <c r="DD593" s="12"/>
      <c r="DE593" s="12"/>
      <c r="DF593" s="12"/>
      <c r="DG593" s="12"/>
      <c r="DH593" s="12"/>
      <c r="DI593" s="12"/>
      <c r="DJ593" s="12"/>
      <c r="DK593" s="12"/>
      <c r="DL593" s="12"/>
      <c r="DM593" s="12"/>
      <c r="DN593" s="12"/>
      <c r="DO593" s="12"/>
      <c r="DP593" s="12"/>
      <c r="DQ593" s="12"/>
      <c r="DR593" s="12"/>
      <c r="DS593" s="12"/>
      <c r="DT593" s="12"/>
      <c r="DU593" s="12"/>
      <c r="DV593" s="12"/>
      <c r="DW593" s="12"/>
      <c r="DX593" s="12"/>
      <c r="DY593" s="12"/>
      <c r="DZ593" s="12"/>
      <c r="EA593" s="12"/>
      <c r="EB593" s="12"/>
      <c r="EC593" s="12"/>
      <c r="ED593" s="12"/>
      <c r="EE593" s="12"/>
      <c r="EF593" s="12"/>
      <c r="EG593" s="12"/>
      <c r="EH593" s="12"/>
      <c r="EI593" s="12"/>
      <c r="EJ593" s="574"/>
      <c r="EK593" s="574"/>
      <c r="EL593" s="574"/>
      <c r="EM593" s="574"/>
      <c r="EN593" s="574"/>
      <c r="EO593" s="574"/>
      <c r="EP593" s="574"/>
      <c r="EQ593" s="574"/>
      <c r="ER593" s="574"/>
      <c r="ES593" s="574"/>
      <c r="ET593" s="574"/>
      <c r="EU593" s="574"/>
    </row>
    <row r="594">
      <c r="A594" s="12"/>
      <c r="B594" s="55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2"/>
      <c r="AY594" s="12"/>
      <c r="AZ594" s="12"/>
      <c r="BA594" s="12"/>
      <c r="BB594" s="12"/>
      <c r="BC594" s="12"/>
      <c r="BD594" s="12"/>
      <c r="BE594" s="12"/>
      <c r="BF594" s="12"/>
      <c r="BG594" s="12"/>
      <c r="BH594" s="12"/>
      <c r="BI594" s="12"/>
      <c r="BJ594" s="12"/>
      <c r="BK594" s="12"/>
      <c r="BL594" s="12"/>
      <c r="BM594" s="12"/>
      <c r="BN594" s="12"/>
      <c r="BO594" s="12"/>
      <c r="BP594" s="12"/>
      <c r="BQ594" s="12"/>
      <c r="BR594" s="12"/>
      <c r="BS594" s="12"/>
      <c r="BT594" s="12"/>
      <c r="BU594" s="12"/>
      <c r="BV594" s="12"/>
      <c r="BW594" s="12"/>
      <c r="BX594" s="12"/>
      <c r="BY594" s="12"/>
      <c r="BZ594" s="12"/>
      <c r="CA594" s="12"/>
      <c r="CB594" s="12"/>
      <c r="CC594" s="12"/>
      <c r="CD594" s="12"/>
      <c r="CE594" s="12"/>
      <c r="CF594" s="12"/>
      <c r="CG594" s="12"/>
      <c r="CH594" s="12"/>
      <c r="CI594" s="12"/>
      <c r="CJ594" s="12"/>
      <c r="CK594" s="12"/>
      <c r="CL594" s="12"/>
      <c r="CM594" s="12"/>
      <c r="CN594" s="12"/>
      <c r="CO594" s="12"/>
      <c r="CP594" s="12"/>
      <c r="CQ594" s="12"/>
      <c r="CR594" s="12"/>
      <c r="CS594" s="12"/>
      <c r="CT594" s="12"/>
      <c r="CU594" s="12"/>
      <c r="CV594" s="12"/>
      <c r="CW594" s="12"/>
      <c r="CX594" s="12"/>
      <c r="CY594" s="12"/>
      <c r="CZ594" s="12"/>
      <c r="DA594" s="12"/>
      <c r="DB594" s="12"/>
      <c r="DC594" s="12"/>
      <c r="DD594" s="12"/>
      <c r="DE594" s="12"/>
      <c r="DF594" s="12"/>
      <c r="DG594" s="12"/>
      <c r="DH594" s="12"/>
      <c r="DI594" s="12"/>
      <c r="DJ594" s="12"/>
      <c r="DK594" s="12"/>
      <c r="DL594" s="12"/>
      <c r="DM594" s="12"/>
      <c r="DN594" s="12"/>
      <c r="DO594" s="12"/>
      <c r="DP594" s="12"/>
      <c r="DQ594" s="12"/>
      <c r="DR594" s="12"/>
      <c r="DS594" s="12"/>
      <c r="DT594" s="12"/>
      <c r="DU594" s="12"/>
      <c r="DV594" s="12"/>
      <c r="DW594" s="12"/>
      <c r="DX594" s="12"/>
      <c r="DY594" s="12"/>
      <c r="DZ594" s="12"/>
      <c r="EA594" s="12"/>
      <c r="EB594" s="12"/>
      <c r="EC594" s="12"/>
      <c r="ED594" s="12"/>
      <c r="EE594" s="12"/>
      <c r="EF594" s="12"/>
      <c r="EG594" s="12"/>
      <c r="EH594" s="12"/>
      <c r="EI594" s="12"/>
      <c r="EJ594" s="574"/>
      <c r="EK594" s="574"/>
      <c r="EL594" s="574"/>
      <c r="EM594" s="574"/>
      <c r="EN594" s="574"/>
      <c r="EO594" s="574"/>
      <c r="EP594" s="574"/>
      <c r="EQ594" s="574"/>
      <c r="ER594" s="574"/>
      <c r="ES594" s="574"/>
      <c r="ET594" s="574"/>
      <c r="EU594" s="574"/>
    </row>
    <row r="595">
      <c r="A595" s="12"/>
      <c r="B595" s="55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12"/>
      <c r="AY595" s="12"/>
      <c r="AZ595" s="12"/>
      <c r="BA595" s="12"/>
      <c r="BB595" s="12"/>
      <c r="BC595" s="12"/>
      <c r="BD595" s="12"/>
      <c r="BE595" s="12"/>
      <c r="BF595" s="12"/>
      <c r="BG595" s="12"/>
      <c r="BH595" s="12"/>
      <c r="BI595" s="12"/>
      <c r="BJ595" s="12"/>
      <c r="BK595" s="12"/>
      <c r="BL595" s="12"/>
      <c r="BM595" s="12"/>
      <c r="BN595" s="12"/>
      <c r="BO595" s="12"/>
      <c r="BP595" s="12"/>
      <c r="BQ595" s="12"/>
      <c r="BR595" s="12"/>
      <c r="BS595" s="12"/>
      <c r="BT595" s="12"/>
      <c r="BU595" s="12"/>
      <c r="BV595" s="12"/>
      <c r="BW595" s="12"/>
      <c r="BX595" s="12"/>
      <c r="BY595" s="12"/>
      <c r="BZ595" s="12"/>
      <c r="CA595" s="12"/>
      <c r="CB595" s="12"/>
      <c r="CC595" s="12"/>
      <c r="CD595" s="12"/>
      <c r="CE595" s="12"/>
      <c r="CF595" s="12"/>
      <c r="CG595" s="12"/>
      <c r="CH595" s="12"/>
      <c r="CI595" s="12"/>
      <c r="CJ595" s="12"/>
      <c r="CK595" s="12"/>
      <c r="CL595" s="12"/>
      <c r="CM595" s="12"/>
      <c r="CN595" s="12"/>
      <c r="CO595" s="12"/>
      <c r="CP595" s="12"/>
      <c r="CQ595" s="12"/>
      <c r="CR595" s="12"/>
      <c r="CS595" s="12"/>
      <c r="CT595" s="12"/>
      <c r="CU595" s="12"/>
      <c r="CV595" s="12"/>
      <c r="CW595" s="12"/>
      <c r="CX595" s="12"/>
      <c r="CY595" s="12"/>
      <c r="CZ595" s="12"/>
      <c r="DA595" s="12"/>
      <c r="DB595" s="12"/>
      <c r="DC595" s="12"/>
      <c r="DD595" s="12"/>
      <c r="DE595" s="12"/>
      <c r="DF595" s="12"/>
      <c r="DG595" s="12"/>
      <c r="DH595" s="12"/>
      <c r="DI595" s="12"/>
      <c r="DJ595" s="12"/>
      <c r="DK595" s="12"/>
      <c r="DL595" s="12"/>
      <c r="DM595" s="12"/>
      <c r="DN595" s="12"/>
      <c r="DO595" s="12"/>
      <c r="DP595" s="12"/>
      <c r="DQ595" s="12"/>
      <c r="DR595" s="12"/>
      <c r="DS595" s="12"/>
      <c r="DT595" s="12"/>
      <c r="DU595" s="12"/>
      <c r="DV595" s="12"/>
      <c r="DW595" s="12"/>
      <c r="DX595" s="12"/>
      <c r="DY595" s="12"/>
      <c r="DZ595" s="12"/>
      <c r="EA595" s="12"/>
      <c r="EB595" s="12"/>
      <c r="EC595" s="12"/>
      <c r="ED595" s="12"/>
      <c r="EE595" s="12"/>
      <c r="EF595" s="12"/>
      <c r="EG595" s="12"/>
      <c r="EH595" s="12"/>
      <c r="EI595" s="12"/>
      <c r="EJ595" s="574"/>
      <c r="EK595" s="574"/>
      <c r="EL595" s="574"/>
      <c r="EM595" s="574"/>
      <c r="EN595" s="574"/>
      <c r="EO595" s="574"/>
      <c r="EP595" s="574"/>
      <c r="EQ595" s="574"/>
      <c r="ER595" s="574"/>
      <c r="ES595" s="574"/>
      <c r="ET595" s="574"/>
      <c r="EU595" s="574"/>
    </row>
    <row r="596">
      <c r="A596" s="12"/>
      <c r="B596" s="55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2"/>
      <c r="AY596" s="12"/>
      <c r="AZ596" s="12"/>
      <c r="BA596" s="12"/>
      <c r="BB596" s="12"/>
      <c r="BC596" s="12"/>
      <c r="BD596" s="12"/>
      <c r="BE596" s="12"/>
      <c r="BF596" s="12"/>
      <c r="BG596" s="12"/>
      <c r="BH596" s="12"/>
      <c r="BI596" s="12"/>
      <c r="BJ596" s="12"/>
      <c r="BK596" s="12"/>
      <c r="BL596" s="12"/>
      <c r="BM596" s="12"/>
      <c r="BN596" s="12"/>
      <c r="BO596" s="12"/>
      <c r="BP596" s="12"/>
      <c r="BQ596" s="12"/>
      <c r="BR596" s="12"/>
      <c r="BS596" s="12"/>
      <c r="BT596" s="12"/>
      <c r="BU596" s="12"/>
      <c r="BV596" s="12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574"/>
      <c r="EK596" s="574"/>
      <c r="EL596" s="574"/>
      <c r="EM596" s="574"/>
      <c r="EN596" s="574"/>
      <c r="EO596" s="574"/>
      <c r="EP596" s="574"/>
      <c r="EQ596" s="574"/>
      <c r="ER596" s="574"/>
      <c r="ES596" s="574"/>
      <c r="ET596" s="574"/>
      <c r="EU596" s="574"/>
    </row>
    <row r="597">
      <c r="A597" s="12"/>
      <c r="B597" s="55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12"/>
      <c r="AY597" s="12"/>
      <c r="AZ597" s="12"/>
      <c r="BA597" s="12"/>
      <c r="BB597" s="12"/>
      <c r="BC597" s="12"/>
      <c r="BD597" s="12"/>
      <c r="BE597" s="12"/>
      <c r="BF597" s="12"/>
      <c r="BG597" s="12"/>
      <c r="BH597" s="12"/>
      <c r="BI597" s="12"/>
      <c r="BJ597" s="12"/>
      <c r="BK597" s="12"/>
      <c r="BL597" s="12"/>
      <c r="BM597" s="12"/>
      <c r="BN597" s="12"/>
      <c r="BO597" s="12"/>
      <c r="BP597" s="12"/>
      <c r="BQ597" s="12"/>
      <c r="BR597" s="12"/>
      <c r="BS597" s="12"/>
      <c r="BT597" s="12"/>
      <c r="BU597" s="12"/>
      <c r="BV597" s="12"/>
      <c r="BW597" s="12"/>
      <c r="BX597" s="12"/>
      <c r="BY597" s="12"/>
      <c r="BZ597" s="12"/>
      <c r="CA597" s="12"/>
      <c r="CB597" s="12"/>
      <c r="CC597" s="12"/>
      <c r="CD597" s="12"/>
      <c r="CE597" s="12"/>
      <c r="CF597" s="12"/>
      <c r="CG597" s="12"/>
      <c r="CH597" s="12"/>
      <c r="CI597" s="12"/>
      <c r="CJ597" s="12"/>
      <c r="CK597" s="12"/>
      <c r="CL597" s="12"/>
      <c r="CM597" s="12"/>
      <c r="CN597" s="12"/>
      <c r="CO597" s="12"/>
      <c r="CP597" s="12"/>
      <c r="CQ597" s="12"/>
      <c r="CR597" s="12"/>
      <c r="CS597" s="12"/>
      <c r="CT597" s="12"/>
      <c r="CU597" s="12"/>
      <c r="CV597" s="12"/>
      <c r="CW597" s="12"/>
      <c r="CX597" s="12"/>
      <c r="CY597" s="12"/>
      <c r="CZ597" s="12"/>
      <c r="DA597" s="12"/>
      <c r="DB597" s="12"/>
      <c r="DC597" s="12"/>
      <c r="DD597" s="12"/>
      <c r="DE597" s="12"/>
      <c r="DF597" s="12"/>
      <c r="DG597" s="12"/>
      <c r="DH597" s="12"/>
      <c r="DI597" s="12"/>
      <c r="DJ597" s="12"/>
      <c r="DK597" s="12"/>
      <c r="DL597" s="12"/>
      <c r="DM597" s="12"/>
      <c r="DN597" s="12"/>
      <c r="DO597" s="12"/>
      <c r="DP597" s="12"/>
      <c r="DQ597" s="12"/>
      <c r="DR597" s="12"/>
      <c r="DS597" s="12"/>
      <c r="DT597" s="12"/>
      <c r="DU597" s="12"/>
      <c r="DV597" s="12"/>
      <c r="DW597" s="12"/>
      <c r="DX597" s="12"/>
      <c r="DY597" s="12"/>
      <c r="DZ597" s="12"/>
      <c r="EA597" s="12"/>
      <c r="EB597" s="12"/>
      <c r="EC597" s="12"/>
      <c r="ED597" s="12"/>
      <c r="EE597" s="12"/>
      <c r="EF597" s="12"/>
      <c r="EG597" s="12"/>
      <c r="EH597" s="12"/>
      <c r="EI597" s="12"/>
      <c r="EJ597" s="574"/>
      <c r="EK597" s="574"/>
      <c r="EL597" s="574"/>
      <c r="EM597" s="574"/>
      <c r="EN597" s="574"/>
      <c r="EO597" s="574"/>
      <c r="EP597" s="574"/>
      <c r="EQ597" s="574"/>
      <c r="ER597" s="574"/>
      <c r="ES597" s="574"/>
      <c r="ET597" s="574"/>
      <c r="EU597" s="574"/>
    </row>
    <row r="598">
      <c r="A598" s="12"/>
      <c r="B598" s="55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2"/>
      <c r="AY598" s="12"/>
      <c r="AZ598" s="12"/>
      <c r="BA598" s="12"/>
      <c r="BB598" s="12"/>
      <c r="BC598" s="12"/>
      <c r="BD598" s="12"/>
      <c r="BE598" s="12"/>
      <c r="BF598" s="12"/>
      <c r="BG598" s="12"/>
      <c r="BH598" s="12"/>
      <c r="BI598" s="12"/>
      <c r="BJ598" s="12"/>
      <c r="BK598" s="12"/>
      <c r="BL598" s="12"/>
      <c r="BM598" s="12"/>
      <c r="BN598" s="12"/>
      <c r="BO598" s="12"/>
      <c r="BP598" s="12"/>
      <c r="BQ598" s="12"/>
      <c r="BR598" s="12"/>
      <c r="BS598" s="12"/>
      <c r="BT598" s="12"/>
      <c r="BU598" s="12"/>
      <c r="BV598" s="12"/>
      <c r="BW598" s="12"/>
      <c r="BX598" s="12"/>
      <c r="BY598" s="12"/>
      <c r="BZ598" s="12"/>
      <c r="CA598" s="12"/>
      <c r="CB598" s="12"/>
      <c r="CC598" s="12"/>
      <c r="CD598" s="12"/>
      <c r="CE598" s="12"/>
      <c r="CF598" s="12"/>
      <c r="CG598" s="12"/>
      <c r="CH598" s="12"/>
      <c r="CI598" s="12"/>
      <c r="CJ598" s="12"/>
      <c r="CK598" s="12"/>
      <c r="CL598" s="12"/>
      <c r="CM598" s="12"/>
      <c r="CN598" s="12"/>
      <c r="CO598" s="12"/>
      <c r="CP598" s="12"/>
      <c r="CQ598" s="12"/>
      <c r="CR598" s="12"/>
      <c r="CS598" s="12"/>
      <c r="CT598" s="12"/>
      <c r="CU598" s="12"/>
      <c r="CV598" s="12"/>
      <c r="CW598" s="12"/>
      <c r="CX598" s="12"/>
      <c r="CY598" s="12"/>
      <c r="CZ598" s="12"/>
      <c r="DA598" s="12"/>
      <c r="DB598" s="12"/>
      <c r="DC598" s="12"/>
      <c r="DD598" s="12"/>
      <c r="DE598" s="12"/>
      <c r="DF598" s="12"/>
      <c r="DG598" s="12"/>
      <c r="DH598" s="12"/>
      <c r="DI598" s="12"/>
      <c r="DJ598" s="12"/>
      <c r="DK598" s="12"/>
      <c r="DL598" s="12"/>
      <c r="DM598" s="12"/>
      <c r="DN598" s="12"/>
      <c r="DO598" s="12"/>
      <c r="DP598" s="12"/>
      <c r="DQ598" s="12"/>
      <c r="DR598" s="12"/>
      <c r="DS598" s="12"/>
      <c r="DT598" s="12"/>
      <c r="DU598" s="12"/>
      <c r="DV598" s="12"/>
      <c r="DW598" s="12"/>
      <c r="DX598" s="12"/>
      <c r="DY598" s="12"/>
      <c r="DZ598" s="12"/>
      <c r="EA598" s="12"/>
      <c r="EB598" s="12"/>
      <c r="EC598" s="12"/>
      <c r="ED598" s="12"/>
      <c r="EE598" s="12"/>
      <c r="EF598" s="12"/>
      <c r="EG598" s="12"/>
      <c r="EH598" s="12"/>
      <c r="EI598" s="12"/>
      <c r="EJ598" s="574"/>
      <c r="EK598" s="574"/>
      <c r="EL598" s="574"/>
      <c r="EM598" s="574"/>
      <c r="EN598" s="574"/>
      <c r="EO598" s="574"/>
      <c r="EP598" s="574"/>
      <c r="EQ598" s="574"/>
      <c r="ER598" s="574"/>
      <c r="ES598" s="574"/>
      <c r="ET598" s="574"/>
      <c r="EU598" s="574"/>
    </row>
    <row r="599">
      <c r="A599" s="12"/>
      <c r="B599" s="55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2"/>
      <c r="AY599" s="12"/>
      <c r="AZ599" s="12"/>
      <c r="BA599" s="12"/>
      <c r="BB599" s="12"/>
      <c r="BC599" s="12"/>
      <c r="BD599" s="12"/>
      <c r="BE599" s="12"/>
      <c r="BF599" s="12"/>
      <c r="BG599" s="12"/>
      <c r="BH599" s="12"/>
      <c r="BI599" s="12"/>
      <c r="BJ599" s="12"/>
      <c r="BK599" s="12"/>
      <c r="BL599" s="12"/>
      <c r="BM599" s="12"/>
      <c r="BN599" s="12"/>
      <c r="BO599" s="12"/>
      <c r="BP599" s="12"/>
      <c r="BQ599" s="12"/>
      <c r="BR599" s="12"/>
      <c r="BS599" s="12"/>
      <c r="BT599" s="12"/>
      <c r="BU599" s="12"/>
      <c r="BV599" s="12"/>
      <c r="BW599" s="12"/>
      <c r="BX599" s="12"/>
      <c r="BY599" s="12"/>
      <c r="BZ599" s="12"/>
      <c r="CA599" s="12"/>
      <c r="CB599" s="12"/>
      <c r="CC599" s="12"/>
      <c r="CD599" s="12"/>
      <c r="CE599" s="12"/>
      <c r="CF599" s="12"/>
      <c r="CG599" s="12"/>
      <c r="CH599" s="12"/>
      <c r="CI599" s="12"/>
      <c r="CJ599" s="12"/>
      <c r="CK599" s="12"/>
      <c r="CL599" s="12"/>
      <c r="CM599" s="12"/>
      <c r="CN599" s="12"/>
      <c r="CO599" s="12"/>
      <c r="CP599" s="12"/>
      <c r="CQ599" s="12"/>
      <c r="CR599" s="12"/>
      <c r="CS599" s="12"/>
      <c r="CT599" s="12"/>
      <c r="CU599" s="12"/>
      <c r="CV599" s="12"/>
      <c r="CW599" s="12"/>
      <c r="CX599" s="12"/>
      <c r="CY599" s="12"/>
      <c r="CZ599" s="12"/>
      <c r="DA599" s="12"/>
      <c r="DB599" s="12"/>
      <c r="DC599" s="12"/>
      <c r="DD599" s="12"/>
      <c r="DE599" s="12"/>
      <c r="DF599" s="12"/>
      <c r="DG599" s="12"/>
      <c r="DH599" s="12"/>
      <c r="DI599" s="12"/>
      <c r="DJ599" s="12"/>
      <c r="DK599" s="12"/>
      <c r="DL599" s="12"/>
      <c r="DM599" s="12"/>
      <c r="DN599" s="12"/>
      <c r="DO599" s="12"/>
      <c r="DP599" s="12"/>
      <c r="DQ599" s="12"/>
      <c r="DR599" s="12"/>
      <c r="DS599" s="12"/>
      <c r="DT599" s="12"/>
      <c r="DU599" s="12"/>
      <c r="DV599" s="12"/>
      <c r="DW599" s="12"/>
      <c r="DX599" s="12"/>
      <c r="DY599" s="12"/>
      <c r="DZ599" s="12"/>
      <c r="EA599" s="12"/>
      <c r="EB599" s="12"/>
      <c r="EC599" s="12"/>
      <c r="ED599" s="12"/>
      <c r="EE599" s="12"/>
      <c r="EF599" s="12"/>
      <c r="EG599" s="12"/>
      <c r="EH599" s="12"/>
      <c r="EI599" s="12"/>
      <c r="EJ599" s="574"/>
      <c r="EK599" s="574"/>
      <c r="EL599" s="574"/>
      <c r="EM599" s="574"/>
      <c r="EN599" s="574"/>
      <c r="EO599" s="574"/>
      <c r="EP599" s="574"/>
      <c r="EQ599" s="574"/>
      <c r="ER599" s="574"/>
      <c r="ES599" s="574"/>
      <c r="ET599" s="574"/>
      <c r="EU599" s="574"/>
    </row>
    <row r="600">
      <c r="A600" s="12"/>
      <c r="B600" s="55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  <c r="AY600" s="12"/>
      <c r="AZ600" s="12"/>
      <c r="BA600" s="12"/>
      <c r="BB600" s="12"/>
      <c r="BC600" s="12"/>
      <c r="BD600" s="12"/>
      <c r="BE600" s="12"/>
      <c r="BF600" s="12"/>
      <c r="BG600" s="12"/>
      <c r="BH600" s="12"/>
      <c r="BI600" s="12"/>
      <c r="BJ600" s="12"/>
      <c r="BK600" s="12"/>
      <c r="BL600" s="12"/>
      <c r="BM600" s="12"/>
      <c r="BN600" s="12"/>
      <c r="BO600" s="12"/>
      <c r="BP600" s="12"/>
      <c r="BQ600" s="12"/>
      <c r="BR600" s="12"/>
      <c r="BS600" s="12"/>
      <c r="BT600" s="12"/>
      <c r="BU600" s="12"/>
      <c r="BV600" s="12"/>
      <c r="BW600" s="12"/>
      <c r="BX600" s="12"/>
      <c r="BY600" s="12"/>
      <c r="BZ600" s="12"/>
      <c r="CA600" s="12"/>
      <c r="CB600" s="12"/>
      <c r="CC600" s="12"/>
      <c r="CD600" s="12"/>
      <c r="CE600" s="12"/>
      <c r="CF600" s="12"/>
      <c r="CG600" s="12"/>
      <c r="CH600" s="12"/>
      <c r="CI600" s="12"/>
      <c r="CJ600" s="12"/>
      <c r="CK600" s="12"/>
      <c r="CL600" s="12"/>
      <c r="CM600" s="12"/>
      <c r="CN600" s="12"/>
      <c r="CO600" s="12"/>
      <c r="CP600" s="12"/>
      <c r="CQ600" s="12"/>
      <c r="CR600" s="12"/>
      <c r="CS600" s="12"/>
      <c r="CT600" s="12"/>
      <c r="CU600" s="12"/>
      <c r="CV600" s="12"/>
      <c r="CW600" s="12"/>
      <c r="CX600" s="12"/>
      <c r="CY600" s="12"/>
      <c r="CZ600" s="12"/>
      <c r="DA600" s="12"/>
      <c r="DB600" s="12"/>
      <c r="DC600" s="12"/>
      <c r="DD600" s="12"/>
      <c r="DE600" s="12"/>
      <c r="DF600" s="12"/>
      <c r="DG600" s="12"/>
      <c r="DH600" s="12"/>
      <c r="DI600" s="12"/>
      <c r="DJ600" s="12"/>
      <c r="DK600" s="12"/>
      <c r="DL600" s="12"/>
      <c r="DM600" s="12"/>
      <c r="DN600" s="12"/>
      <c r="DO600" s="12"/>
      <c r="DP600" s="12"/>
      <c r="DQ600" s="12"/>
      <c r="DR600" s="12"/>
      <c r="DS600" s="12"/>
      <c r="DT600" s="12"/>
      <c r="DU600" s="12"/>
      <c r="DV600" s="12"/>
      <c r="DW600" s="12"/>
      <c r="DX600" s="12"/>
      <c r="DY600" s="12"/>
      <c r="DZ600" s="12"/>
      <c r="EA600" s="12"/>
      <c r="EB600" s="12"/>
      <c r="EC600" s="12"/>
      <c r="ED600" s="12"/>
      <c r="EE600" s="12"/>
      <c r="EF600" s="12"/>
      <c r="EG600" s="12"/>
      <c r="EH600" s="12"/>
      <c r="EI600" s="12"/>
      <c r="EJ600" s="574"/>
      <c r="EK600" s="574"/>
      <c r="EL600" s="574"/>
      <c r="EM600" s="574"/>
      <c r="EN600" s="574"/>
      <c r="EO600" s="574"/>
      <c r="EP600" s="574"/>
      <c r="EQ600" s="574"/>
      <c r="ER600" s="574"/>
      <c r="ES600" s="574"/>
      <c r="ET600" s="574"/>
      <c r="EU600" s="574"/>
    </row>
    <row r="601">
      <c r="A601" s="12"/>
      <c r="B601" s="55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  <c r="AY601" s="12"/>
      <c r="AZ601" s="12"/>
      <c r="BA601" s="12"/>
      <c r="BB601" s="12"/>
      <c r="BC601" s="12"/>
      <c r="BD601" s="12"/>
      <c r="BE601" s="12"/>
      <c r="BF601" s="12"/>
      <c r="BG601" s="12"/>
      <c r="BH601" s="12"/>
      <c r="BI601" s="12"/>
      <c r="BJ601" s="12"/>
      <c r="BK601" s="12"/>
      <c r="BL601" s="12"/>
      <c r="BM601" s="12"/>
      <c r="BN601" s="12"/>
      <c r="BO601" s="12"/>
      <c r="BP601" s="12"/>
      <c r="BQ601" s="12"/>
      <c r="BR601" s="12"/>
      <c r="BS601" s="12"/>
      <c r="BT601" s="12"/>
      <c r="BU601" s="12"/>
      <c r="BV601" s="12"/>
      <c r="BW601" s="12"/>
      <c r="BX601" s="12"/>
      <c r="BY601" s="12"/>
      <c r="BZ601" s="12"/>
      <c r="CA601" s="12"/>
      <c r="CB601" s="12"/>
      <c r="CC601" s="12"/>
      <c r="CD601" s="12"/>
      <c r="CE601" s="12"/>
      <c r="CF601" s="12"/>
      <c r="CG601" s="12"/>
      <c r="CH601" s="12"/>
      <c r="CI601" s="12"/>
      <c r="CJ601" s="12"/>
      <c r="CK601" s="12"/>
      <c r="CL601" s="12"/>
      <c r="CM601" s="12"/>
      <c r="CN601" s="12"/>
      <c r="CO601" s="12"/>
      <c r="CP601" s="12"/>
      <c r="CQ601" s="12"/>
      <c r="CR601" s="12"/>
      <c r="CS601" s="12"/>
      <c r="CT601" s="12"/>
      <c r="CU601" s="12"/>
      <c r="CV601" s="12"/>
      <c r="CW601" s="12"/>
      <c r="CX601" s="12"/>
      <c r="CY601" s="12"/>
      <c r="CZ601" s="12"/>
      <c r="DA601" s="12"/>
      <c r="DB601" s="12"/>
      <c r="DC601" s="12"/>
      <c r="DD601" s="12"/>
      <c r="DE601" s="12"/>
      <c r="DF601" s="12"/>
      <c r="DG601" s="12"/>
      <c r="DH601" s="12"/>
      <c r="DI601" s="12"/>
      <c r="DJ601" s="12"/>
      <c r="DK601" s="12"/>
      <c r="DL601" s="12"/>
      <c r="DM601" s="12"/>
      <c r="DN601" s="12"/>
      <c r="DO601" s="12"/>
      <c r="DP601" s="12"/>
      <c r="DQ601" s="12"/>
      <c r="DR601" s="12"/>
      <c r="DS601" s="12"/>
      <c r="DT601" s="12"/>
      <c r="DU601" s="12"/>
      <c r="DV601" s="12"/>
      <c r="DW601" s="12"/>
      <c r="DX601" s="12"/>
      <c r="DY601" s="12"/>
      <c r="DZ601" s="12"/>
      <c r="EA601" s="12"/>
      <c r="EB601" s="12"/>
      <c r="EC601" s="12"/>
      <c r="ED601" s="12"/>
      <c r="EE601" s="12"/>
      <c r="EF601" s="12"/>
      <c r="EG601" s="12"/>
      <c r="EH601" s="12"/>
      <c r="EI601" s="12"/>
      <c r="EJ601" s="574"/>
      <c r="EK601" s="574"/>
      <c r="EL601" s="574"/>
      <c r="EM601" s="574"/>
      <c r="EN601" s="574"/>
      <c r="EO601" s="574"/>
      <c r="EP601" s="574"/>
      <c r="EQ601" s="574"/>
      <c r="ER601" s="574"/>
      <c r="ES601" s="574"/>
      <c r="ET601" s="574"/>
      <c r="EU601" s="574"/>
    </row>
    <row r="602">
      <c r="A602" s="12"/>
      <c r="B602" s="55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2"/>
      <c r="AY602" s="12"/>
      <c r="AZ602" s="12"/>
      <c r="BA602" s="12"/>
      <c r="BB602" s="12"/>
      <c r="BC602" s="12"/>
      <c r="BD602" s="12"/>
      <c r="BE602" s="12"/>
      <c r="BF602" s="12"/>
      <c r="BG602" s="12"/>
      <c r="BH602" s="12"/>
      <c r="BI602" s="12"/>
      <c r="BJ602" s="12"/>
      <c r="BK602" s="12"/>
      <c r="BL602" s="12"/>
      <c r="BM602" s="12"/>
      <c r="BN602" s="12"/>
      <c r="BO602" s="12"/>
      <c r="BP602" s="12"/>
      <c r="BQ602" s="12"/>
      <c r="BR602" s="12"/>
      <c r="BS602" s="12"/>
      <c r="BT602" s="12"/>
      <c r="BU602" s="12"/>
      <c r="BV602" s="12"/>
      <c r="BW602" s="12"/>
      <c r="BX602" s="12"/>
      <c r="BY602" s="12"/>
      <c r="BZ602" s="12"/>
      <c r="CA602" s="12"/>
      <c r="CB602" s="12"/>
      <c r="CC602" s="12"/>
      <c r="CD602" s="12"/>
      <c r="CE602" s="12"/>
      <c r="CF602" s="12"/>
      <c r="CG602" s="12"/>
      <c r="CH602" s="12"/>
      <c r="CI602" s="12"/>
      <c r="CJ602" s="12"/>
      <c r="CK602" s="12"/>
      <c r="CL602" s="12"/>
      <c r="CM602" s="12"/>
      <c r="CN602" s="12"/>
      <c r="CO602" s="12"/>
      <c r="CP602" s="12"/>
      <c r="CQ602" s="12"/>
      <c r="CR602" s="12"/>
      <c r="CS602" s="12"/>
      <c r="CT602" s="12"/>
      <c r="CU602" s="12"/>
      <c r="CV602" s="12"/>
      <c r="CW602" s="12"/>
      <c r="CX602" s="12"/>
      <c r="CY602" s="12"/>
      <c r="CZ602" s="12"/>
      <c r="DA602" s="12"/>
      <c r="DB602" s="12"/>
      <c r="DC602" s="12"/>
      <c r="DD602" s="12"/>
      <c r="DE602" s="12"/>
      <c r="DF602" s="12"/>
      <c r="DG602" s="12"/>
      <c r="DH602" s="12"/>
      <c r="DI602" s="12"/>
      <c r="DJ602" s="12"/>
      <c r="DK602" s="12"/>
      <c r="DL602" s="12"/>
      <c r="DM602" s="12"/>
      <c r="DN602" s="12"/>
      <c r="DO602" s="12"/>
      <c r="DP602" s="12"/>
      <c r="DQ602" s="12"/>
      <c r="DR602" s="12"/>
      <c r="DS602" s="12"/>
      <c r="DT602" s="12"/>
      <c r="DU602" s="12"/>
      <c r="DV602" s="12"/>
      <c r="DW602" s="12"/>
      <c r="DX602" s="12"/>
      <c r="DY602" s="12"/>
      <c r="DZ602" s="12"/>
      <c r="EA602" s="12"/>
      <c r="EB602" s="12"/>
      <c r="EC602" s="12"/>
      <c r="ED602" s="12"/>
      <c r="EE602" s="12"/>
      <c r="EF602" s="12"/>
      <c r="EG602" s="12"/>
      <c r="EH602" s="12"/>
      <c r="EI602" s="12"/>
      <c r="EJ602" s="574"/>
      <c r="EK602" s="574"/>
      <c r="EL602" s="574"/>
      <c r="EM602" s="574"/>
      <c r="EN602" s="574"/>
      <c r="EO602" s="574"/>
      <c r="EP602" s="574"/>
      <c r="EQ602" s="574"/>
      <c r="ER602" s="574"/>
      <c r="ES602" s="574"/>
      <c r="ET602" s="574"/>
      <c r="EU602" s="574"/>
    </row>
    <row r="603">
      <c r="A603" s="12"/>
      <c r="B603" s="55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12"/>
      <c r="AY603" s="12"/>
      <c r="AZ603" s="12"/>
      <c r="BA603" s="12"/>
      <c r="BB603" s="12"/>
      <c r="BC603" s="12"/>
      <c r="BD603" s="12"/>
      <c r="BE603" s="12"/>
      <c r="BF603" s="12"/>
      <c r="BG603" s="12"/>
      <c r="BH603" s="12"/>
      <c r="BI603" s="12"/>
      <c r="BJ603" s="12"/>
      <c r="BK603" s="12"/>
      <c r="BL603" s="12"/>
      <c r="BM603" s="12"/>
      <c r="BN603" s="12"/>
      <c r="BO603" s="12"/>
      <c r="BP603" s="12"/>
      <c r="BQ603" s="12"/>
      <c r="BR603" s="12"/>
      <c r="BS603" s="12"/>
      <c r="BT603" s="12"/>
      <c r="BU603" s="12"/>
      <c r="BV603" s="12"/>
      <c r="BW603" s="12"/>
      <c r="BX603" s="12"/>
      <c r="BY603" s="12"/>
      <c r="BZ603" s="12"/>
      <c r="CA603" s="12"/>
      <c r="CB603" s="12"/>
      <c r="CC603" s="12"/>
      <c r="CD603" s="12"/>
      <c r="CE603" s="12"/>
      <c r="CF603" s="12"/>
      <c r="CG603" s="12"/>
      <c r="CH603" s="12"/>
      <c r="CI603" s="12"/>
      <c r="CJ603" s="12"/>
      <c r="CK603" s="12"/>
      <c r="CL603" s="12"/>
      <c r="CM603" s="12"/>
      <c r="CN603" s="12"/>
      <c r="CO603" s="12"/>
      <c r="CP603" s="12"/>
      <c r="CQ603" s="12"/>
      <c r="CR603" s="12"/>
      <c r="CS603" s="12"/>
      <c r="CT603" s="12"/>
      <c r="CU603" s="12"/>
      <c r="CV603" s="12"/>
      <c r="CW603" s="12"/>
      <c r="CX603" s="12"/>
      <c r="CY603" s="12"/>
      <c r="CZ603" s="12"/>
      <c r="DA603" s="12"/>
      <c r="DB603" s="12"/>
      <c r="DC603" s="12"/>
      <c r="DD603" s="12"/>
      <c r="DE603" s="12"/>
      <c r="DF603" s="12"/>
      <c r="DG603" s="12"/>
      <c r="DH603" s="12"/>
      <c r="DI603" s="12"/>
      <c r="DJ603" s="12"/>
      <c r="DK603" s="12"/>
      <c r="DL603" s="12"/>
      <c r="DM603" s="12"/>
      <c r="DN603" s="12"/>
      <c r="DO603" s="12"/>
      <c r="DP603" s="12"/>
      <c r="DQ603" s="12"/>
      <c r="DR603" s="12"/>
      <c r="DS603" s="12"/>
      <c r="DT603" s="12"/>
      <c r="DU603" s="12"/>
      <c r="DV603" s="12"/>
      <c r="DW603" s="12"/>
      <c r="DX603" s="12"/>
      <c r="DY603" s="12"/>
      <c r="DZ603" s="12"/>
      <c r="EA603" s="12"/>
      <c r="EB603" s="12"/>
      <c r="EC603" s="12"/>
      <c r="ED603" s="12"/>
      <c r="EE603" s="12"/>
      <c r="EF603" s="12"/>
      <c r="EG603" s="12"/>
      <c r="EH603" s="12"/>
      <c r="EI603" s="12"/>
      <c r="EJ603" s="574"/>
      <c r="EK603" s="574"/>
      <c r="EL603" s="574"/>
      <c r="EM603" s="574"/>
      <c r="EN603" s="574"/>
      <c r="EO603" s="574"/>
      <c r="EP603" s="574"/>
      <c r="EQ603" s="574"/>
      <c r="ER603" s="574"/>
      <c r="ES603" s="574"/>
      <c r="ET603" s="574"/>
      <c r="EU603" s="574"/>
    </row>
    <row r="604">
      <c r="A604" s="12"/>
      <c r="B604" s="55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2"/>
      <c r="AY604" s="12"/>
      <c r="AZ604" s="12"/>
      <c r="BA604" s="12"/>
      <c r="BB604" s="12"/>
      <c r="BC604" s="12"/>
      <c r="BD604" s="12"/>
      <c r="BE604" s="12"/>
      <c r="BF604" s="12"/>
      <c r="BG604" s="12"/>
      <c r="BH604" s="12"/>
      <c r="BI604" s="12"/>
      <c r="BJ604" s="12"/>
      <c r="BK604" s="12"/>
      <c r="BL604" s="12"/>
      <c r="BM604" s="12"/>
      <c r="BN604" s="12"/>
      <c r="BO604" s="12"/>
      <c r="BP604" s="12"/>
      <c r="BQ604" s="12"/>
      <c r="BR604" s="12"/>
      <c r="BS604" s="12"/>
      <c r="BT604" s="12"/>
      <c r="BU604" s="12"/>
      <c r="BV604" s="12"/>
      <c r="BW604" s="12"/>
      <c r="BX604" s="12"/>
      <c r="BY604" s="12"/>
      <c r="BZ604" s="12"/>
      <c r="CA604" s="12"/>
      <c r="CB604" s="12"/>
      <c r="CC604" s="12"/>
      <c r="CD604" s="12"/>
      <c r="CE604" s="12"/>
      <c r="CF604" s="12"/>
      <c r="CG604" s="12"/>
      <c r="CH604" s="12"/>
      <c r="CI604" s="12"/>
      <c r="CJ604" s="12"/>
      <c r="CK604" s="12"/>
      <c r="CL604" s="12"/>
      <c r="CM604" s="12"/>
      <c r="CN604" s="12"/>
      <c r="CO604" s="12"/>
      <c r="CP604" s="12"/>
      <c r="CQ604" s="12"/>
      <c r="CR604" s="12"/>
      <c r="CS604" s="12"/>
      <c r="CT604" s="12"/>
      <c r="CU604" s="12"/>
      <c r="CV604" s="12"/>
      <c r="CW604" s="12"/>
      <c r="CX604" s="12"/>
      <c r="CY604" s="12"/>
      <c r="CZ604" s="12"/>
      <c r="DA604" s="12"/>
      <c r="DB604" s="12"/>
      <c r="DC604" s="12"/>
      <c r="DD604" s="12"/>
      <c r="DE604" s="12"/>
      <c r="DF604" s="12"/>
      <c r="DG604" s="12"/>
      <c r="DH604" s="12"/>
      <c r="DI604" s="12"/>
      <c r="DJ604" s="12"/>
      <c r="DK604" s="12"/>
      <c r="DL604" s="12"/>
      <c r="DM604" s="12"/>
      <c r="DN604" s="12"/>
      <c r="DO604" s="12"/>
      <c r="DP604" s="12"/>
      <c r="DQ604" s="12"/>
      <c r="DR604" s="12"/>
      <c r="DS604" s="12"/>
      <c r="DT604" s="12"/>
      <c r="DU604" s="12"/>
      <c r="DV604" s="12"/>
      <c r="DW604" s="12"/>
      <c r="DX604" s="12"/>
      <c r="DY604" s="12"/>
      <c r="DZ604" s="12"/>
      <c r="EA604" s="12"/>
      <c r="EB604" s="12"/>
      <c r="EC604" s="12"/>
      <c r="ED604" s="12"/>
      <c r="EE604" s="12"/>
      <c r="EF604" s="12"/>
      <c r="EG604" s="12"/>
      <c r="EH604" s="12"/>
      <c r="EI604" s="12"/>
      <c r="EJ604" s="574"/>
      <c r="EK604" s="574"/>
      <c r="EL604" s="574"/>
      <c r="EM604" s="574"/>
      <c r="EN604" s="574"/>
      <c r="EO604" s="574"/>
      <c r="EP604" s="574"/>
      <c r="EQ604" s="574"/>
      <c r="ER604" s="574"/>
      <c r="ES604" s="574"/>
      <c r="ET604" s="574"/>
      <c r="EU604" s="574"/>
    </row>
    <row r="605">
      <c r="A605" s="12"/>
      <c r="B605" s="55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  <c r="AY605" s="12"/>
      <c r="AZ605" s="12"/>
      <c r="BA605" s="12"/>
      <c r="BB605" s="12"/>
      <c r="BC605" s="12"/>
      <c r="BD605" s="12"/>
      <c r="BE605" s="12"/>
      <c r="BF605" s="12"/>
      <c r="BG605" s="12"/>
      <c r="BH605" s="12"/>
      <c r="BI605" s="12"/>
      <c r="BJ605" s="12"/>
      <c r="BK605" s="12"/>
      <c r="BL605" s="12"/>
      <c r="BM605" s="12"/>
      <c r="BN605" s="12"/>
      <c r="BO605" s="12"/>
      <c r="BP605" s="12"/>
      <c r="BQ605" s="12"/>
      <c r="BR605" s="12"/>
      <c r="BS605" s="12"/>
      <c r="BT605" s="12"/>
      <c r="BU605" s="12"/>
      <c r="BV605" s="12"/>
      <c r="BW605" s="12"/>
      <c r="BX605" s="12"/>
      <c r="BY605" s="12"/>
      <c r="BZ605" s="12"/>
      <c r="CA605" s="12"/>
      <c r="CB605" s="12"/>
      <c r="CC605" s="12"/>
      <c r="CD605" s="12"/>
      <c r="CE605" s="12"/>
      <c r="CF605" s="12"/>
      <c r="CG605" s="12"/>
      <c r="CH605" s="12"/>
      <c r="CI605" s="12"/>
      <c r="CJ605" s="12"/>
      <c r="CK605" s="12"/>
      <c r="CL605" s="12"/>
      <c r="CM605" s="12"/>
      <c r="CN605" s="12"/>
      <c r="CO605" s="12"/>
      <c r="CP605" s="12"/>
      <c r="CQ605" s="12"/>
      <c r="CR605" s="12"/>
      <c r="CS605" s="12"/>
      <c r="CT605" s="12"/>
      <c r="CU605" s="12"/>
      <c r="CV605" s="12"/>
      <c r="CW605" s="12"/>
      <c r="CX605" s="12"/>
      <c r="CY605" s="12"/>
      <c r="CZ605" s="12"/>
      <c r="DA605" s="12"/>
      <c r="DB605" s="12"/>
      <c r="DC605" s="12"/>
      <c r="DD605" s="12"/>
      <c r="DE605" s="12"/>
      <c r="DF605" s="12"/>
      <c r="DG605" s="12"/>
      <c r="DH605" s="12"/>
      <c r="DI605" s="12"/>
      <c r="DJ605" s="12"/>
      <c r="DK605" s="12"/>
      <c r="DL605" s="12"/>
      <c r="DM605" s="12"/>
      <c r="DN605" s="12"/>
      <c r="DO605" s="12"/>
      <c r="DP605" s="12"/>
      <c r="DQ605" s="12"/>
      <c r="DR605" s="12"/>
      <c r="DS605" s="12"/>
      <c r="DT605" s="12"/>
      <c r="DU605" s="12"/>
      <c r="DV605" s="12"/>
      <c r="DW605" s="12"/>
      <c r="DX605" s="12"/>
      <c r="DY605" s="12"/>
      <c r="DZ605" s="12"/>
      <c r="EA605" s="12"/>
      <c r="EB605" s="12"/>
      <c r="EC605" s="12"/>
      <c r="ED605" s="12"/>
      <c r="EE605" s="12"/>
      <c r="EF605" s="12"/>
      <c r="EG605" s="12"/>
      <c r="EH605" s="12"/>
      <c r="EI605" s="12"/>
      <c r="EJ605" s="574"/>
      <c r="EK605" s="574"/>
      <c r="EL605" s="574"/>
      <c r="EM605" s="574"/>
      <c r="EN605" s="574"/>
      <c r="EO605" s="574"/>
      <c r="EP605" s="574"/>
      <c r="EQ605" s="574"/>
      <c r="ER605" s="574"/>
      <c r="ES605" s="574"/>
      <c r="ET605" s="574"/>
      <c r="EU605" s="574"/>
    </row>
    <row r="606">
      <c r="A606" s="12"/>
      <c r="B606" s="55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2"/>
      <c r="AY606" s="12"/>
      <c r="AZ606" s="12"/>
      <c r="BA606" s="12"/>
      <c r="BB606" s="12"/>
      <c r="BC606" s="12"/>
      <c r="BD606" s="12"/>
      <c r="BE606" s="12"/>
      <c r="BF606" s="12"/>
      <c r="BG606" s="12"/>
      <c r="BH606" s="12"/>
      <c r="BI606" s="12"/>
      <c r="BJ606" s="12"/>
      <c r="BK606" s="12"/>
      <c r="BL606" s="12"/>
      <c r="BM606" s="12"/>
      <c r="BN606" s="12"/>
      <c r="BO606" s="12"/>
      <c r="BP606" s="12"/>
      <c r="BQ606" s="12"/>
      <c r="BR606" s="12"/>
      <c r="BS606" s="12"/>
      <c r="BT606" s="12"/>
      <c r="BU606" s="12"/>
      <c r="BV606" s="12"/>
      <c r="BW606" s="12"/>
      <c r="BX606" s="12"/>
      <c r="BY606" s="12"/>
      <c r="BZ606" s="12"/>
      <c r="CA606" s="12"/>
      <c r="CB606" s="12"/>
      <c r="CC606" s="12"/>
      <c r="CD606" s="12"/>
      <c r="CE606" s="12"/>
      <c r="CF606" s="12"/>
      <c r="CG606" s="12"/>
      <c r="CH606" s="12"/>
      <c r="CI606" s="12"/>
      <c r="CJ606" s="12"/>
      <c r="CK606" s="12"/>
      <c r="CL606" s="12"/>
      <c r="CM606" s="12"/>
      <c r="CN606" s="12"/>
      <c r="CO606" s="12"/>
      <c r="CP606" s="12"/>
      <c r="CQ606" s="12"/>
      <c r="CR606" s="12"/>
      <c r="CS606" s="12"/>
      <c r="CT606" s="12"/>
      <c r="CU606" s="12"/>
      <c r="CV606" s="12"/>
      <c r="CW606" s="12"/>
      <c r="CX606" s="12"/>
      <c r="CY606" s="12"/>
      <c r="CZ606" s="12"/>
      <c r="DA606" s="12"/>
      <c r="DB606" s="12"/>
      <c r="DC606" s="12"/>
      <c r="DD606" s="12"/>
      <c r="DE606" s="12"/>
      <c r="DF606" s="12"/>
      <c r="DG606" s="12"/>
      <c r="DH606" s="12"/>
      <c r="DI606" s="12"/>
      <c r="DJ606" s="12"/>
      <c r="DK606" s="12"/>
      <c r="DL606" s="12"/>
      <c r="DM606" s="12"/>
      <c r="DN606" s="12"/>
      <c r="DO606" s="12"/>
      <c r="DP606" s="12"/>
      <c r="DQ606" s="12"/>
      <c r="DR606" s="12"/>
      <c r="DS606" s="12"/>
      <c r="DT606" s="12"/>
      <c r="DU606" s="12"/>
      <c r="DV606" s="12"/>
      <c r="DW606" s="12"/>
      <c r="DX606" s="12"/>
      <c r="DY606" s="12"/>
      <c r="DZ606" s="12"/>
      <c r="EA606" s="12"/>
      <c r="EB606" s="12"/>
      <c r="EC606" s="12"/>
      <c r="ED606" s="12"/>
      <c r="EE606" s="12"/>
      <c r="EF606" s="12"/>
      <c r="EG606" s="12"/>
      <c r="EH606" s="12"/>
      <c r="EI606" s="12"/>
      <c r="EJ606" s="574"/>
      <c r="EK606" s="574"/>
      <c r="EL606" s="574"/>
      <c r="EM606" s="574"/>
      <c r="EN606" s="574"/>
      <c r="EO606" s="574"/>
      <c r="EP606" s="574"/>
      <c r="EQ606" s="574"/>
      <c r="ER606" s="574"/>
      <c r="ES606" s="574"/>
      <c r="ET606" s="574"/>
      <c r="EU606" s="574"/>
    </row>
    <row r="607">
      <c r="A607" s="12"/>
      <c r="B607" s="55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12"/>
      <c r="AY607" s="12"/>
      <c r="AZ607" s="12"/>
      <c r="BA607" s="12"/>
      <c r="BB607" s="12"/>
      <c r="BC607" s="12"/>
      <c r="BD607" s="12"/>
      <c r="BE607" s="12"/>
      <c r="BF607" s="12"/>
      <c r="BG607" s="12"/>
      <c r="BH607" s="12"/>
      <c r="BI607" s="12"/>
      <c r="BJ607" s="12"/>
      <c r="BK607" s="12"/>
      <c r="BL607" s="12"/>
      <c r="BM607" s="12"/>
      <c r="BN607" s="12"/>
      <c r="BO607" s="12"/>
      <c r="BP607" s="12"/>
      <c r="BQ607" s="12"/>
      <c r="BR607" s="12"/>
      <c r="BS607" s="12"/>
      <c r="BT607" s="12"/>
      <c r="BU607" s="12"/>
      <c r="BV607" s="12"/>
      <c r="BW607" s="12"/>
      <c r="BX607" s="12"/>
      <c r="BY607" s="12"/>
      <c r="BZ607" s="12"/>
      <c r="CA607" s="12"/>
      <c r="CB607" s="12"/>
      <c r="CC607" s="12"/>
      <c r="CD607" s="12"/>
      <c r="CE607" s="12"/>
      <c r="CF607" s="12"/>
      <c r="CG607" s="12"/>
      <c r="CH607" s="12"/>
      <c r="CI607" s="12"/>
      <c r="CJ607" s="12"/>
      <c r="CK607" s="12"/>
      <c r="CL607" s="12"/>
      <c r="CM607" s="12"/>
      <c r="CN607" s="12"/>
      <c r="CO607" s="12"/>
      <c r="CP607" s="12"/>
      <c r="CQ607" s="12"/>
      <c r="CR607" s="12"/>
      <c r="CS607" s="12"/>
      <c r="CT607" s="12"/>
      <c r="CU607" s="12"/>
      <c r="CV607" s="12"/>
      <c r="CW607" s="12"/>
      <c r="CX607" s="12"/>
      <c r="CY607" s="12"/>
      <c r="CZ607" s="12"/>
      <c r="DA607" s="12"/>
      <c r="DB607" s="12"/>
      <c r="DC607" s="12"/>
      <c r="DD607" s="12"/>
      <c r="DE607" s="12"/>
      <c r="DF607" s="12"/>
      <c r="DG607" s="12"/>
      <c r="DH607" s="12"/>
      <c r="DI607" s="12"/>
      <c r="DJ607" s="12"/>
      <c r="DK607" s="12"/>
      <c r="DL607" s="12"/>
      <c r="DM607" s="12"/>
      <c r="DN607" s="12"/>
      <c r="DO607" s="12"/>
      <c r="DP607" s="12"/>
      <c r="DQ607" s="12"/>
      <c r="DR607" s="12"/>
      <c r="DS607" s="12"/>
      <c r="DT607" s="12"/>
      <c r="DU607" s="12"/>
      <c r="DV607" s="12"/>
      <c r="DW607" s="12"/>
      <c r="DX607" s="12"/>
      <c r="DY607" s="12"/>
      <c r="DZ607" s="12"/>
      <c r="EA607" s="12"/>
      <c r="EB607" s="12"/>
      <c r="EC607" s="12"/>
      <c r="ED607" s="12"/>
      <c r="EE607" s="12"/>
      <c r="EF607" s="12"/>
      <c r="EG607" s="12"/>
      <c r="EH607" s="12"/>
      <c r="EI607" s="12"/>
      <c r="EJ607" s="574"/>
      <c r="EK607" s="574"/>
      <c r="EL607" s="574"/>
      <c r="EM607" s="574"/>
      <c r="EN607" s="574"/>
      <c r="EO607" s="574"/>
      <c r="EP607" s="574"/>
      <c r="EQ607" s="574"/>
      <c r="ER607" s="574"/>
      <c r="ES607" s="574"/>
      <c r="ET607" s="574"/>
      <c r="EU607" s="574"/>
    </row>
    <row r="608">
      <c r="A608" s="12"/>
      <c r="B608" s="55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  <c r="AY608" s="12"/>
      <c r="AZ608" s="12"/>
      <c r="BA608" s="12"/>
      <c r="BB608" s="12"/>
      <c r="BC608" s="12"/>
      <c r="BD608" s="12"/>
      <c r="BE608" s="12"/>
      <c r="BF608" s="12"/>
      <c r="BG608" s="12"/>
      <c r="BH608" s="12"/>
      <c r="BI608" s="12"/>
      <c r="BJ608" s="12"/>
      <c r="BK608" s="12"/>
      <c r="BL608" s="12"/>
      <c r="BM608" s="12"/>
      <c r="BN608" s="12"/>
      <c r="BO608" s="12"/>
      <c r="BP608" s="12"/>
      <c r="BQ608" s="12"/>
      <c r="BR608" s="12"/>
      <c r="BS608" s="12"/>
      <c r="BT608" s="12"/>
      <c r="BU608" s="12"/>
      <c r="BV608" s="12"/>
      <c r="BW608" s="12"/>
      <c r="BX608" s="12"/>
      <c r="BY608" s="12"/>
      <c r="BZ608" s="12"/>
      <c r="CA608" s="12"/>
      <c r="CB608" s="12"/>
      <c r="CC608" s="12"/>
      <c r="CD608" s="12"/>
      <c r="CE608" s="12"/>
      <c r="CF608" s="12"/>
      <c r="CG608" s="12"/>
      <c r="CH608" s="12"/>
      <c r="CI608" s="12"/>
      <c r="CJ608" s="12"/>
      <c r="CK608" s="12"/>
      <c r="CL608" s="12"/>
      <c r="CM608" s="12"/>
      <c r="CN608" s="12"/>
      <c r="CO608" s="12"/>
      <c r="CP608" s="12"/>
      <c r="CQ608" s="12"/>
      <c r="CR608" s="12"/>
      <c r="CS608" s="12"/>
      <c r="CT608" s="12"/>
      <c r="CU608" s="12"/>
      <c r="CV608" s="12"/>
      <c r="CW608" s="12"/>
      <c r="CX608" s="12"/>
      <c r="CY608" s="12"/>
      <c r="CZ608" s="12"/>
      <c r="DA608" s="12"/>
      <c r="DB608" s="12"/>
      <c r="DC608" s="12"/>
      <c r="DD608" s="12"/>
      <c r="DE608" s="12"/>
      <c r="DF608" s="12"/>
      <c r="DG608" s="12"/>
      <c r="DH608" s="12"/>
      <c r="DI608" s="12"/>
      <c r="DJ608" s="12"/>
      <c r="DK608" s="12"/>
      <c r="DL608" s="12"/>
      <c r="DM608" s="12"/>
      <c r="DN608" s="12"/>
      <c r="DO608" s="12"/>
      <c r="DP608" s="12"/>
      <c r="DQ608" s="12"/>
      <c r="DR608" s="12"/>
      <c r="DS608" s="12"/>
      <c r="DT608" s="12"/>
      <c r="DU608" s="12"/>
      <c r="DV608" s="12"/>
      <c r="DW608" s="12"/>
      <c r="DX608" s="12"/>
      <c r="DY608" s="12"/>
      <c r="DZ608" s="12"/>
      <c r="EA608" s="12"/>
      <c r="EB608" s="12"/>
      <c r="EC608" s="12"/>
      <c r="ED608" s="12"/>
      <c r="EE608" s="12"/>
      <c r="EF608" s="12"/>
      <c r="EG608" s="12"/>
      <c r="EH608" s="12"/>
      <c r="EI608" s="12"/>
      <c r="EJ608" s="574"/>
      <c r="EK608" s="574"/>
      <c r="EL608" s="574"/>
      <c r="EM608" s="574"/>
      <c r="EN608" s="574"/>
      <c r="EO608" s="574"/>
      <c r="EP608" s="574"/>
      <c r="EQ608" s="574"/>
      <c r="ER608" s="574"/>
      <c r="ES608" s="574"/>
      <c r="ET608" s="574"/>
      <c r="EU608" s="574"/>
    </row>
    <row r="609">
      <c r="A609" s="12"/>
      <c r="B609" s="55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12"/>
      <c r="AY609" s="12"/>
      <c r="AZ609" s="12"/>
      <c r="BA609" s="12"/>
      <c r="BB609" s="12"/>
      <c r="BC609" s="12"/>
      <c r="BD609" s="12"/>
      <c r="BE609" s="12"/>
      <c r="BF609" s="12"/>
      <c r="BG609" s="12"/>
      <c r="BH609" s="12"/>
      <c r="BI609" s="12"/>
      <c r="BJ609" s="12"/>
      <c r="BK609" s="12"/>
      <c r="BL609" s="12"/>
      <c r="BM609" s="12"/>
      <c r="BN609" s="12"/>
      <c r="BO609" s="12"/>
      <c r="BP609" s="12"/>
      <c r="BQ609" s="12"/>
      <c r="BR609" s="12"/>
      <c r="BS609" s="12"/>
      <c r="BT609" s="12"/>
      <c r="BU609" s="12"/>
      <c r="BV609" s="12"/>
      <c r="BW609" s="12"/>
      <c r="BX609" s="12"/>
      <c r="BY609" s="12"/>
      <c r="BZ609" s="12"/>
      <c r="CA609" s="12"/>
      <c r="CB609" s="12"/>
      <c r="CC609" s="12"/>
      <c r="CD609" s="12"/>
      <c r="CE609" s="12"/>
      <c r="CF609" s="12"/>
      <c r="CG609" s="12"/>
      <c r="CH609" s="12"/>
      <c r="CI609" s="12"/>
      <c r="CJ609" s="12"/>
      <c r="CK609" s="12"/>
      <c r="CL609" s="12"/>
      <c r="CM609" s="12"/>
      <c r="CN609" s="12"/>
      <c r="CO609" s="12"/>
      <c r="CP609" s="12"/>
      <c r="CQ609" s="12"/>
      <c r="CR609" s="12"/>
      <c r="CS609" s="12"/>
      <c r="CT609" s="12"/>
      <c r="CU609" s="12"/>
      <c r="CV609" s="12"/>
      <c r="CW609" s="12"/>
      <c r="CX609" s="12"/>
      <c r="CY609" s="12"/>
      <c r="CZ609" s="12"/>
      <c r="DA609" s="12"/>
      <c r="DB609" s="12"/>
      <c r="DC609" s="12"/>
      <c r="DD609" s="12"/>
      <c r="DE609" s="12"/>
      <c r="DF609" s="12"/>
      <c r="DG609" s="12"/>
      <c r="DH609" s="12"/>
      <c r="DI609" s="12"/>
      <c r="DJ609" s="12"/>
      <c r="DK609" s="12"/>
      <c r="DL609" s="12"/>
      <c r="DM609" s="12"/>
      <c r="DN609" s="12"/>
      <c r="DO609" s="12"/>
      <c r="DP609" s="12"/>
      <c r="DQ609" s="12"/>
      <c r="DR609" s="12"/>
      <c r="DS609" s="12"/>
      <c r="DT609" s="12"/>
      <c r="DU609" s="12"/>
      <c r="DV609" s="12"/>
      <c r="DW609" s="12"/>
      <c r="DX609" s="12"/>
      <c r="DY609" s="12"/>
      <c r="DZ609" s="12"/>
      <c r="EA609" s="12"/>
      <c r="EB609" s="12"/>
      <c r="EC609" s="12"/>
      <c r="ED609" s="12"/>
      <c r="EE609" s="12"/>
      <c r="EF609" s="12"/>
      <c r="EG609" s="12"/>
      <c r="EH609" s="12"/>
      <c r="EI609" s="12"/>
      <c r="EJ609" s="574"/>
      <c r="EK609" s="574"/>
      <c r="EL609" s="574"/>
      <c r="EM609" s="574"/>
      <c r="EN609" s="574"/>
      <c r="EO609" s="574"/>
      <c r="EP609" s="574"/>
      <c r="EQ609" s="574"/>
      <c r="ER609" s="574"/>
      <c r="ES609" s="574"/>
      <c r="ET609" s="574"/>
      <c r="EU609" s="574"/>
    </row>
    <row r="610">
      <c r="A610" s="12"/>
      <c r="B610" s="55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12"/>
      <c r="AY610" s="12"/>
      <c r="AZ610" s="12"/>
      <c r="BA610" s="12"/>
      <c r="BB610" s="12"/>
      <c r="BC610" s="12"/>
      <c r="BD610" s="12"/>
      <c r="BE610" s="12"/>
      <c r="BF610" s="12"/>
      <c r="BG610" s="12"/>
      <c r="BH610" s="12"/>
      <c r="BI610" s="12"/>
      <c r="BJ610" s="12"/>
      <c r="BK610" s="12"/>
      <c r="BL610" s="12"/>
      <c r="BM610" s="12"/>
      <c r="BN610" s="12"/>
      <c r="BO610" s="12"/>
      <c r="BP610" s="12"/>
      <c r="BQ610" s="12"/>
      <c r="BR610" s="12"/>
      <c r="BS610" s="12"/>
      <c r="BT610" s="12"/>
      <c r="BU610" s="12"/>
      <c r="BV610" s="12"/>
      <c r="BW610" s="12"/>
      <c r="BX610" s="12"/>
      <c r="BY610" s="12"/>
      <c r="BZ610" s="12"/>
      <c r="CA610" s="12"/>
      <c r="CB610" s="12"/>
      <c r="CC610" s="12"/>
      <c r="CD610" s="12"/>
      <c r="CE610" s="12"/>
      <c r="CF610" s="12"/>
      <c r="CG610" s="12"/>
      <c r="CH610" s="12"/>
      <c r="CI610" s="12"/>
      <c r="CJ610" s="12"/>
      <c r="CK610" s="12"/>
      <c r="CL610" s="12"/>
      <c r="CM610" s="12"/>
      <c r="CN610" s="12"/>
      <c r="CO610" s="12"/>
      <c r="CP610" s="12"/>
      <c r="CQ610" s="12"/>
      <c r="CR610" s="12"/>
      <c r="CS610" s="12"/>
      <c r="CT610" s="12"/>
      <c r="CU610" s="12"/>
      <c r="CV610" s="12"/>
      <c r="CW610" s="12"/>
      <c r="CX610" s="12"/>
      <c r="CY610" s="12"/>
      <c r="CZ610" s="12"/>
      <c r="DA610" s="12"/>
      <c r="DB610" s="12"/>
      <c r="DC610" s="12"/>
      <c r="DD610" s="12"/>
      <c r="DE610" s="12"/>
      <c r="DF610" s="12"/>
      <c r="DG610" s="12"/>
      <c r="DH610" s="12"/>
      <c r="DI610" s="12"/>
      <c r="DJ610" s="12"/>
      <c r="DK610" s="12"/>
      <c r="DL610" s="12"/>
      <c r="DM610" s="12"/>
      <c r="DN610" s="12"/>
      <c r="DO610" s="12"/>
      <c r="DP610" s="12"/>
      <c r="DQ610" s="12"/>
      <c r="DR610" s="12"/>
      <c r="DS610" s="12"/>
      <c r="DT610" s="12"/>
      <c r="DU610" s="12"/>
      <c r="DV610" s="12"/>
      <c r="DW610" s="12"/>
      <c r="DX610" s="12"/>
      <c r="DY610" s="12"/>
      <c r="DZ610" s="12"/>
      <c r="EA610" s="12"/>
      <c r="EB610" s="12"/>
      <c r="EC610" s="12"/>
      <c r="ED610" s="12"/>
      <c r="EE610" s="12"/>
      <c r="EF610" s="12"/>
      <c r="EG610" s="12"/>
      <c r="EH610" s="12"/>
      <c r="EI610" s="12"/>
      <c r="EJ610" s="574"/>
      <c r="EK610" s="574"/>
      <c r="EL610" s="574"/>
      <c r="EM610" s="574"/>
      <c r="EN610" s="574"/>
      <c r="EO610" s="574"/>
      <c r="EP610" s="574"/>
      <c r="EQ610" s="574"/>
      <c r="ER610" s="574"/>
      <c r="ES610" s="574"/>
      <c r="ET610" s="574"/>
      <c r="EU610" s="574"/>
    </row>
    <row r="611">
      <c r="A611" s="12"/>
      <c r="B611" s="55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2"/>
      <c r="AY611" s="12"/>
      <c r="AZ611" s="12"/>
      <c r="BA611" s="12"/>
      <c r="BB611" s="12"/>
      <c r="BC611" s="12"/>
      <c r="BD611" s="12"/>
      <c r="BE611" s="12"/>
      <c r="BF611" s="12"/>
      <c r="BG611" s="12"/>
      <c r="BH611" s="12"/>
      <c r="BI611" s="12"/>
      <c r="BJ611" s="12"/>
      <c r="BK611" s="12"/>
      <c r="BL611" s="12"/>
      <c r="BM611" s="12"/>
      <c r="BN611" s="12"/>
      <c r="BO611" s="12"/>
      <c r="BP611" s="12"/>
      <c r="BQ611" s="12"/>
      <c r="BR611" s="12"/>
      <c r="BS611" s="12"/>
      <c r="BT611" s="12"/>
      <c r="BU611" s="12"/>
      <c r="BV611" s="12"/>
      <c r="BW611" s="12"/>
      <c r="BX611" s="12"/>
      <c r="BY611" s="12"/>
      <c r="BZ611" s="12"/>
      <c r="CA611" s="12"/>
      <c r="CB611" s="12"/>
      <c r="CC611" s="12"/>
      <c r="CD611" s="12"/>
      <c r="CE611" s="12"/>
      <c r="CF611" s="12"/>
      <c r="CG611" s="12"/>
      <c r="CH611" s="12"/>
      <c r="CI611" s="12"/>
      <c r="CJ611" s="12"/>
      <c r="CK611" s="12"/>
      <c r="CL611" s="12"/>
      <c r="CM611" s="12"/>
      <c r="CN611" s="12"/>
      <c r="CO611" s="12"/>
      <c r="CP611" s="12"/>
      <c r="CQ611" s="12"/>
      <c r="CR611" s="12"/>
      <c r="CS611" s="12"/>
      <c r="CT611" s="12"/>
      <c r="CU611" s="12"/>
      <c r="CV611" s="12"/>
      <c r="CW611" s="12"/>
      <c r="CX611" s="12"/>
      <c r="CY611" s="12"/>
      <c r="CZ611" s="12"/>
      <c r="DA611" s="12"/>
      <c r="DB611" s="12"/>
      <c r="DC611" s="12"/>
      <c r="DD611" s="12"/>
      <c r="DE611" s="12"/>
      <c r="DF611" s="12"/>
      <c r="DG611" s="12"/>
      <c r="DH611" s="12"/>
      <c r="DI611" s="12"/>
      <c r="DJ611" s="12"/>
      <c r="DK611" s="12"/>
      <c r="DL611" s="12"/>
      <c r="DM611" s="12"/>
      <c r="DN611" s="12"/>
      <c r="DO611" s="12"/>
      <c r="DP611" s="12"/>
      <c r="DQ611" s="12"/>
      <c r="DR611" s="12"/>
      <c r="DS611" s="12"/>
      <c r="DT611" s="12"/>
      <c r="DU611" s="12"/>
      <c r="DV611" s="12"/>
      <c r="DW611" s="12"/>
      <c r="DX611" s="12"/>
      <c r="DY611" s="12"/>
      <c r="DZ611" s="12"/>
      <c r="EA611" s="12"/>
      <c r="EB611" s="12"/>
      <c r="EC611" s="12"/>
      <c r="ED611" s="12"/>
      <c r="EE611" s="12"/>
      <c r="EF611" s="12"/>
      <c r="EG611" s="12"/>
      <c r="EH611" s="12"/>
      <c r="EI611" s="12"/>
      <c r="EJ611" s="574"/>
      <c r="EK611" s="574"/>
      <c r="EL611" s="574"/>
      <c r="EM611" s="574"/>
      <c r="EN611" s="574"/>
      <c r="EO611" s="574"/>
      <c r="EP611" s="574"/>
      <c r="EQ611" s="574"/>
      <c r="ER611" s="574"/>
      <c r="ES611" s="574"/>
      <c r="ET611" s="574"/>
      <c r="EU611" s="574"/>
    </row>
    <row r="612">
      <c r="A612" s="12"/>
      <c r="B612" s="55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12"/>
      <c r="AY612" s="12"/>
      <c r="AZ612" s="12"/>
      <c r="BA612" s="12"/>
      <c r="BB612" s="12"/>
      <c r="BC612" s="12"/>
      <c r="BD612" s="12"/>
      <c r="BE612" s="12"/>
      <c r="BF612" s="12"/>
      <c r="BG612" s="12"/>
      <c r="BH612" s="12"/>
      <c r="BI612" s="12"/>
      <c r="BJ612" s="12"/>
      <c r="BK612" s="12"/>
      <c r="BL612" s="12"/>
      <c r="BM612" s="12"/>
      <c r="BN612" s="12"/>
      <c r="BO612" s="12"/>
      <c r="BP612" s="12"/>
      <c r="BQ612" s="12"/>
      <c r="BR612" s="12"/>
      <c r="BS612" s="12"/>
      <c r="BT612" s="12"/>
      <c r="BU612" s="12"/>
      <c r="BV612" s="12"/>
      <c r="BW612" s="12"/>
      <c r="BX612" s="12"/>
      <c r="BY612" s="12"/>
      <c r="BZ612" s="12"/>
      <c r="CA612" s="12"/>
      <c r="CB612" s="12"/>
      <c r="CC612" s="12"/>
      <c r="CD612" s="12"/>
      <c r="CE612" s="12"/>
      <c r="CF612" s="12"/>
      <c r="CG612" s="12"/>
      <c r="CH612" s="12"/>
      <c r="CI612" s="12"/>
      <c r="CJ612" s="12"/>
      <c r="CK612" s="12"/>
      <c r="CL612" s="12"/>
      <c r="CM612" s="12"/>
      <c r="CN612" s="12"/>
      <c r="CO612" s="12"/>
      <c r="CP612" s="12"/>
      <c r="CQ612" s="12"/>
      <c r="CR612" s="12"/>
      <c r="CS612" s="12"/>
      <c r="CT612" s="12"/>
      <c r="CU612" s="12"/>
      <c r="CV612" s="12"/>
      <c r="CW612" s="12"/>
      <c r="CX612" s="12"/>
      <c r="CY612" s="12"/>
      <c r="CZ612" s="12"/>
      <c r="DA612" s="12"/>
      <c r="DB612" s="12"/>
      <c r="DC612" s="12"/>
      <c r="DD612" s="12"/>
      <c r="DE612" s="12"/>
      <c r="DF612" s="12"/>
      <c r="DG612" s="12"/>
      <c r="DH612" s="12"/>
      <c r="DI612" s="12"/>
      <c r="DJ612" s="12"/>
      <c r="DK612" s="12"/>
      <c r="DL612" s="12"/>
      <c r="DM612" s="12"/>
      <c r="DN612" s="12"/>
      <c r="DO612" s="12"/>
      <c r="DP612" s="12"/>
      <c r="DQ612" s="12"/>
      <c r="DR612" s="12"/>
      <c r="DS612" s="12"/>
      <c r="DT612" s="12"/>
      <c r="DU612" s="12"/>
      <c r="DV612" s="12"/>
      <c r="DW612" s="12"/>
      <c r="DX612" s="12"/>
      <c r="DY612" s="12"/>
      <c r="DZ612" s="12"/>
      <c r="EA612" s="12"/>
      <c r="EB612" s="12"/>
      <c r="EC612" s="12"/>
      <c r="ED612" s="12"/>
      <c r="EE612" s="12"/>
      <c r="EF612" s="12"/>
      <c r="EG612" s="12"/>
      <c r="EH612" s="12"/>
      <c r="EI612" s="12"/>
      <c r="EJ612" s="574"/>
      <c r="EK612" s="574"/>
      <c r="EL612" s="574"/>
      <c r="EM612" s="574"/>
      <c r="EN612" s="574"/>
      <c r="EO612" s="574"/>
      <c r="EP612" s="574"/>
      <c r="EQ612" s="574"/>
      <c r="ER612" s="574"/>
      <c r="ES612" s="574"/>
      <c r="ET612" s="574"/>
      <c r="EU612" s="574"/>
    </row>
    <row r="613">
      <c r="A613" s="12"/>
      <c r="B613" s="55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12"/>
      <c r="AY613" s="12"/>
      <c r="AZ613" s="12"/>
      <c r="BA613" s="12"/>
      <c r="BB613" s="12"/>
      <c r="BC613" s="12"/>
      <c r="BD613" s="12"/>
      <c r="BE613" s="12"/>
      <c r="BF613" s="12"/>
      <c r="BG613" s="12"/>
      <c r="BH613" s="12"/>
      <c r="BI613" s="12"/>
      <c r="BJ613" s="12"/>
      <c r="BK613" s="12"/>
      <c r="BL613" s="12"/>
      <c r="BM613" s="12"/>
      <c r="BN613" s="12"/>
      <c r="BO613" s="12"/>
      <c r="BP613" s="12"/>
      <c r="BQ613" s="12"/>
      <c r="BR613" s="12"/>
      <c r="BS613" s="12"/>
      <c r="BT613" s="12"/>
      <c r="BU613" s="12"/>
      <c r="BV613" s="12"/>
      <c r="BW613" s="12"/>
      <c r="BX613" s="12"/>
      <c r="BY613" s="12"/>
      <c r="BZ613" s="12"/>
      <c r="CA613" s="12"/>
      <c r="CB613" s="12"/>
      <c r="CC613" s="12"/>
      <c r="CD613" s="12"/>
      <c r="CE613" s="12"/>
      <c r="CF613" s="12"/>
      <c r="CG613" s="12"/>
      <c r="CH613" s="12"/>
      <c r="CI613" s="12"/>
      <c r="CJ613" s="12"/>
      <c r="CK613" s="12"/>
      <c r="CL613" s="12"/>
      <c r="CM613" s="12"/>
      <c r="CN613" s="12"/>
      <c r="CO613" s="12"/>
      <c r="CP613" s="12"/>
      <c r="CQ613" s="12"/>
      <c r="CR613" s="12"/>
      <c r="CS613" s="12"/>
      <c r="CT613" s="12"/>
      <c r="CU613" s="12"/>
      <c r="CV613" s="12"/>
      <c r="CW613" s="12"/>
      <c r="CX613" s="12"/>
      <c r="CY613" s="12"/>
      <c r="CZ613" s="12"/>
      <c r="DA613" s="12"/>
      <c r="DB613" s="12"/>
      <c r="DC613" s="12"/>
      <c r="DD613" s="12"/>
      <c r="DE613" s="12"/>
      <c r="DF613" s="12"/>
      <c r="DG613" s="12"/>
      <c r="DH613" s="12"/>
      <c r="DI613" s="12"/>
      <c r="DJ613" s="12"/>
      <c r="DK613" s="12"/>
      <c r="DL613" s="12"/>
      <c r="DM613" s="12"/>
      <c r="DN613" s="12"/>
      <c r="DO613" s="12"/>
      <c r="DP613" s="12"/>
      <c r="DQ613" s="12"/>
      <c r="DR613" s="12"/>
      <c r="DS613" s="12"/>
      <c r="DT613" s="12"/>
      <c r="DU613" s="12"/>
      <c r="DV613" s="12"/>
      <c r="DW613" s="12"/>
      <c r="DX613" s="12"/>
      <c r="DY613" s="12"/>
      <c r="DZ613" s="12"/>
      <c r="EA613" s="12"/>
      <c r="EB613" s="12"/>
      <c r="EC613" s="12"/>
      <c r="ED613" s="12"/>
      <c r="EE613" s="12"/>
      <c r="EF613" s="12"/>
      <c r="EG613" s="12"/>
      <c r="EH613" s="12"/>
      <c r="EI613" s="12"/>
      <c r="EJ613" s="574"/>
      <c r="EK613" s="574"/>
      <c r="EL613" s="574"/>
      <c r="EM613" s="574"/>
      <c r="EN613" s="574"/>
      <c r="EO613" s="574"/>
      <c r="EP613" s="574"/>
      <c r="EQ613" s="574"/>
      <c r="ER613" s="574"/>
      <c r="ES613" s="574"/>
      <c r="ET613" s="574"/>
      <c r="EU613" s="574"/>
    </row>
    <row r="614">
      <c r="A614" s="12"/>
      <c r="B614" s="55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2"/>
      <c r="AY614" s="12"/>
      <c r="AZ614" s="12"/>
      <c r="BA614" s="12"/>
      <c r="BB614" s="12"/>
      <c r="BC614" s="12"/>
      <c r="BD614" s="12"/>
      <c r="BE614" s="12"/>
      <c r="BF614" s="12"/>
      <c r="BG614" s="12"/>
      <c r="BH614" s="12"/>
      <c r="BI614" s="12"/>
      <c r="BJ614" s="12"/>
      <c r="BK614" s="12"/>
      <c r="BL614" s="12"/>
      <c r="BM614" s="12"/>
      <c r="BN614" s="12"/>
      <c r="BO614" s="12"/>
      <c r="BP614" s="12"/>
      <c r="BQ614" s="12"/>
      <c r="BR614" s="12"/>
      <c r="BS614" s="12"/>
      <c r="BT614" s="12"/>
      <c r="BU614" s="12"/>
      <c r="BV614" s="12"/>
      <c r="BW614" s="12"/>
      <c r="BX614" s="12"/>
      <c r="BY614" s="12"/>
      <c r="BZ614" s="12"/>
      <c r="CA614" s="12"/>
      <c r="CB614" s="12"/>
      <c r="CC614" s="12"/>
      <c r="CD614" s="12"/>
      <c r="CE614" s="12"/>
      <c r="CF614" s="12"/>
      <c r="CG614" s="12"/>
      <c r="CH614" s="12"/>
      <c r="CI614" s="12"/>
      <c r="CJ614" s="12"/>
      <c r="CK614" s="12"/>
      <c r="CL614" s="12"/>
      <c r="CM614" s="12"/>
      <c r="CN614" s="12"/>
      <c r="CO614" s="12"/>
      <c r="CP614" s="12"/>
      <c r="CQ614" s="12"/>
      <c r="CR614" s="12"/>
      <c r="CS614" s="12"/>
      <c r="CT614" s="12"/>
      <c r="CU614" s="12"/>
      <c r="CV614" s="12"/>
      <c r="CW614" s="12"/>
      <c r="CX614" s="12"/>
      <c r="CY614" s="12"/>
      <c r="CZ614" s="12"/>
      <c r="DA614" s="12"/>
      <c r="DB614" s="12"/>
      <c r="DC614" s="12"/>
      <c r="DD614" s="12"/>
      <c r="DE614" s="12"/>
      <c r="DF614" s="12"/>
      <c r="DG614" s="12"/>
      <c r="DH614" s="12"/>
      <c r="DI614" s="12"/>
      <c r="DJ614" s="12"/>
      <c r="DK614" s="12"/>
      <c r="DL614" s="12"/>
      <c r="DM614" s="12"/>
      <c r="DN614" s="12"/>
      <c r="DO614" s="12"/>
      <c r="DP614" s="12"/>
      <c r="DQ614" s="12"/>
      <c r="DR614" s="12"/>
      <c r="DS614" s="12"/>
      <c r="DT614" s="12"/>
      <c r="DU614" s="12"/>
      <c r="DV614" s="12"/>
      <c r="DW614" s="12"/>
      <c r="DX614" s="12"/>
      <c r="DY614" s="12"/>
      <c r="DZ614" s="12"/>
      <c r="EA614" s="12"/>
      <c r="EB614" s="12"/>
      <c r="EC614" s="12"/>
      <c r="ED614" s="12"/>
      <c r="EE614" s="12"/>
      <c r="EF614" s="12"/>
      <c r="EG614" s="12"/>
      <c r="EH614" s="12"/>
      <c r="EI614" s="12"/>
      <c r="EJ614" s="574"/>
      <c r="EK614" s="574"/>
      <c r="EL614" s="574"/>
      <c r="EM614" s="574"/>
      <c r="EN614" s="574"/>
      <c r="EO614" s="574"/>
      <c r="EP614" s="574"/>
      <c r="EQ614" s="574"/>
      <c r="ER614" s="574"/>
      <c r="ES614" s="574"/>
      <c r="ET614" s="574"/>
      <c r="EU614" s="574"/>
    </row>
    <row r="615">
      <c r="A615" s="12"/>
      <c r="B615" s="55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12"/>
      <c r="AY615" s="12"/>
      <c r="AZ615" s="12"/>
      <c r="BA615" s="12"/>
      <c r="BB615" s="12"/>
      <c r="BC615" s="12"/>
      <c r="BD615" s="12"/>
      <c r="BE615" s="12"/>
      <c r="BF615" s="12"/>
      <c r="BG615" s="12"/>
      <c r="BH615" s="12"/>
      <c r="BI615" s="12"/>
      <c r="BJ615" s="12"/>
      <c r="BK615" s="12"/>
      <c r="BL615" s="12"/>
      <c r="BM615" s="12"/>
      <c r="BN615" s="12"/>
      <c r="BO615" s="12"/>
      <c r="BP615" s="12"/>
      <c r="BQ615" s="12"/>
      <c r="BR615" s="12"/>
      <c r="BS615" s="12"/>
      <c r="BT615" s="12"/>
      <c r="BU615" s="12"/>
      <c r="BV615" s="12"/>
      <c r="BW615" s="12"/>
      <c r="BX615" s="12"/>
      <c r="BY615" s="12"/>
      <c r="BZ615" s="12"/>
      <c r="CA615" s="12"/>
      <c r="CB615" s="12"/>
      <c r="CC615" s="12"/>
      <c r="CD615" s="12"/>
      <c r="CE615" s="12"/>
      <c r="CF615" s="12"/>
      <c r="CG615" s="12"/>
      <c r="CH615" s="12"/>
      <c r="CI615" s="12"/>
      <c r="CJ615" s="12"/>
      <c r="CK615" s="12"/>
      <c r="CL615" s="12"/>
      <c r="CM615" s="12"/>
      <c r="CN615" s="12"/>
      <c r="CO615" s="12"/>
      <c r="CP615" s="12"/>
      <c r="CQ615" s="12"/>
      <c r="CR615" s="12"/>
      <c r="CS615" s="12"/>
      <c r="CT615" s="12"/>
      <c r="CU615" s="12"/>
      <c r="CV615" s="12"/>
      <c r="CW615" s="12"/>
      <c r="CX615" s="12"/>
      <c r="CY615" s="12"/>
      <c r="CZ615" s="12"/>
      <c r="DA615" s="12"/>
      <c r="DB615" s="12"/>
      <c r="DC615" s="12"/>
      <c r="DD615" s="12"/>
      <c r="DE615" s="12"/>
      <c r="DF615" s="12"/>
      <c r="DG615" s="12"/>
      <c r="DH615" s="12"/>
      <c r="DI615" s="12"/>
      <c r="DJ615" s="12"/>
      <c r="DK615" s="12"/>
      <c r="DL615" s="12"/>
      <c r="DM615" s="12"/>
      <c r="DN615" s="12"/>
      <c r="DO615" s="12"/>
      <c r="DP615" s="12"/>
      <c r="DQ615" s="12"/>
      <c r="DR615" s="12"/>
      <c r="DS615" s="12"/>
      <c r="DT615" s="12"/>
      <c r="DU615" s="12"/>
      <c r="DV615" s="12"/>
      <c r="DW615" s="12"/>
      <c r="DX615" s="12"/>
      <c r="DY615" s="12"/>
      <c r="DZ615" s="12"/>
      <c r="EA615" s="12"/>
      <c r="EB615" s="12"/>
      <c r="EC615" s="12"/>
      <c r="ED615" s="12"/>
      <c r="EE615" s="12"/>
      <c r="EF615" s="12"/>
      <c r="EG615" s="12"/>
      <c r="EH615" s="12"/>
      <c r="EI615" s="12"/>
      <c r="EJ615" s="574"/>
      <c r="EK615" s="574"/>
      <c r="EL615" s="574"/>
      <c r="EM615" s="574"/>
      <c r="EN615" s="574"/>
      <c r="EO615" s="574"/>
      <c r="EP615" s="574"/>
      <c r="EQ615" s="574"/>
      <c r="ER615" s="574"/>
      <c r="ES615" s="574"/>
      <c r="ET615" s="574"/>
      <c r="EU615" s="574"/>
    </row>
    <row r="616">
      <c r="A616" s="12"/>
      <c r="B616" s="55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2"/>
      <c r="AY616" s="12"/>
      <c r="AZ616" s="12"/>
      <c r="BA616" s="12"/>
      <c r="BB616" s="12"/>
      <c r="BC616" s="12"/>
      <c r="BD616" s="12"/>
      <c r="BE616" s="12"/>
      <c r="BF616" s="12"/>
      <c r="BG616" s="12"/>
      <c r="BH616" s="12"/>
      <c r="BI616" s="12"/>
      <c r="BJ616" s="12"/>
      <c r="BK616" s="12"/>
      <c r="BL616" s="12"/>
      <c r="BM616" s="12"/>
      <c r="BN616" s="12"/>
      <c r="BO616" s="12"/>
      <c r="BP616" s="12"/>
      <c r="BQ616" s="12"/>
      <c r="BR616" s="12"/>
      <c r="BS616" s="12"/>
      <c r="BT616" s="12"/>
      <c r="BU616" s="12"/>
      <c r="BV616" s="12"/>
      <c r="BW616" s="12"/>
      <c r="BX616" s="12"/>
      <c r="BY616" s="12"/>
      <c r="BZ616" s="12"/>
      <c r="CA616" s="12"/>
      <c r="CB616" s="12"/>
      <c r="CC616" s="12"/>
      <c r="CD616" s="12"/>
      <c r="CE616" s="12"/>
      <c r="CF616" s="12"/>
      <c r="CG616" s="12"/>
      <c r="CH616" s="12"/>
      <c r="CI616" s="12"/>
      <c r="CJ616" s="12"/>
      <c r="CK616" s="12"/>
      <c r="CL616" s="12"/>
      <c r="CM616" s="12"/>
      <c r="CN616" s="12"/>
      <c r="CO616" s="12"/>
      <c r="CP616" s="12"/>
      <c r="CQ616" s="12"/>
      <c r="CR616" s="12"/>
      <c r="CS616" s="12"/>
      <c r="CT616" s="12"/>
      <c r="CU616" s="12"/>
      <c r="CV616" s="12"/>
      <c r="CW616" s="12"/>
      <c r="CX616" s="12"/>
      <c r="CY616" s="12"/>
      <c r="CZ616" s="12"/>
      <c r="DA616" s="12"/>
      <c r="DB616" s="12"/>
      <c r="DC616" s="12"/>
      <c r="DD616" s="12"/>
      <c r="DE616" s="12"/>
      <c r="DF616" s="12"/>
      <c r="DG616" s="12"/>
      <c r="DH616" s="12"/>
      <c r="DI616" s="12"/>
      <c r="DJ616" s="12"/>
      <c r="DK616" s="12"/>
      <c r="DL616" s="12"/>
      <c r="DM616" s="12"/>
      <c r="DN616" s="12"/>
      <c r="DO616" s="12"/>
      <c r="DP616" s="12"/>
      <c r="DQ616" s="12"/>
      <c r="DR616" s="12"/>
      <c r="DS616" s="12"/>
      <c r="DT616" s="12"/>
      <c r="DU616" s="12"/>
      <c r="DV616" s="12"/>
      <c r="DW616" s="12"/>
      <c r="DX616" s="12"/>
      <c r="DY616" s="12"/>
      <c r="DZ616" s="12"/>
      <c r="EA616" s="12"/>
      <c r="EB616" s="12"/>
      <c r="EC616" s="12"/>
      <c r="ED616" s="12"/>
      <c r="EE616" s="12"/>
      <c r="EF616" s="12"/>
      <c r="EG616" s="12"/>
      <c r="EH616" s="12"/>
      <c r="EI616" s="12"/>
      <c r="EJ616" s="574"/>
      <c r="EK616" s="574"/>
      <c r="EL616" s="574"/>
      <c r="EM616" s="574"/>
      <c r="EN616" s="574"/>
      <c r="EO616" s="574"/>
      <c r="EP616" s="574"/>
      <c r="EQ616" s="574"/>
      <c r="ER616" s="574"/>
      <c r="ES616" s="574"/>
      <c r="ET616" s="574"/>
      <c r="EU616" s="574"/>
    </row>
    <row r="617">
      <c r="A617" s="12"/>
      <c r="B617" s="55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  <c r="AY617" s="12"/>
      <c r="AZ617" s="12"/>
      <c r="BA617" s="12"/>
      <c r="BB617" s="12"/>
      <c r="BC617" s="12"/>
      <c r="BD617" s="12"/>
      <c r="BE617" s="12"/>
      <c r="BF617" s="12"/>
      <c r="BG617" s="12"/>
      <c r="BH617" s="12"/>
      <c r="BI617" s="12"/>
      <c r="BJ617" s="12"/>
      <c r="BK617" s="12"/>
      <c r="BL617" s="12"/>
      <c r="BM617" s="12"/>
      <c r="BN617" s="12"/>
      <c r="BO617" s="12"/>
      <c r="BP617" s="12"/>
      <c r="BQ617" s="12"/>
      <c r="BR617" s="12"/>
      <c r="BS617" s="12"/>
      <c r="BT617" s="12"/>
      <c r="BU617" s="12"/>
      <c r="BV617" s="12"/>
      <c r="BW617" s="12"/>
      <c r="BX617" s="12"/>
      <c r="BY617" s="12"/>
      <c r="BZ617" s="12"/>
      <c r="CA617" s="12"/>
      <c r="CB617" s="12"/>
      <c r="CC617" s="12"/>
      <c r="CD617" s="12"/>
      <c r="CE617" s="12"/>
      <c r="CF617" s="12"/>
      <c r="CG617" s="12"/>
      <c r="CH617" s="12"/>
      <c r="CI617" s="12"/>
      <c r="CJ617" s="12"/>
      <c r="CK617" s="12"/>
      <c r="CL617" s="12"/>
      <c r="CM617" s="12"/>
      <c r="CN617" s="12"/>
      <c r="CO617" s="12"/>
      <c r="CP617" s="12"/>
      <c r="CQ617" s="12"/>
      <c r="CR617" s="12"/>
      <c r="CS617" s="12"/>
      <c r="CT617" s="12"/>
      <c r="CU617" s="12"/>
      <c r="CV617" s="12"/>
      <c r="CW617" s="12"/>
      <c r="CX617" s="12"/>
      <c r="CY617" s="12"/>
      <c r="CZ617" s="12"/>
      <c r="DA617" s="12"/>
      <c r="DB617" s="12"/>
      <c r="DC617" s="12"/>
      <c r="DD617" s="12"/>
      <c r="DE617" s="12"/>
      <c r="DF617" s="12"/>
      <c r="DG617" s="12"/>
      <c r="DH617" s="12"/>
      <c r="DI617" s="12"/>
      <c r="DJ617" s="12"/>
      <c r="DK617" s="12"/>
      <c r="DL617" s="12"/>
      <c r="DM617" s="12"/>
      <c r="DN617" s="12"/>
      <c r="DO617" s="12"/>
      <c r="DP617" s="12"/>
      <c r="DQ617" s="12"/>
      <c r="DR617" s="12"/>
      <c r="DS617" s="12"/>
      <c r="DT617" s="12"/>
      <c r="DU617" s="12"/>
      <c r="DV617" s="12"/>
      <c r="DW617" s="12"/>
      <c r="DX617" s="12"/>
      <c r="DY617" s="12"/>
      <c r="DZ617" s="12"/>
      <c r="EA617" s="12"/>
      <c r="EB617" s="12"/>
      <c r="EC617" s="12"/>
      <c r="ED617" s="12"/>
      <c r="EE617" s="12"/>
      <c r="EF617" s="12"/>
      <c r="EG617" s="12"/>
      <c r="EH617" s="12"/>
      <c r="EI617" s="12"/>
      <c r="EJ617" s="574"/>
      <c r="EK617" s="574"/>
      <c r="EL617" s="574"/>
      <c r="EM617" s="574"/>
      <c r="EN617" s="574"/>
      <c r="EO617" s="574"/>
      <c r="EP617" s="574"/>
      <c r="EQ617" s="574"/>
      <c r="ER617" s="574"/>
      <c r="ES617" s="574"/>
      <c r="ET617" s="574"/>
      <c r="EU617" s="574"/>
    </row>
    <row r="618">
      <c r="A618" s="12"/>
      <c r="B618" s="55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2"/>
      <c r="AY618" s="12"/>
      <c r="AZ618" s="12"/>
      <c r="BA618" s="12"/>
      <c r="BB618" s="12"/>
      <c r="BC618" s="12"/>
      <c r="BD618" s="12"/>
      <c r="BE618" s="12"/>
      <c r="BF618" s="12"/>
      <c r="BG618" s="12"/>
      <c r="BH618" s="12"/>
      <c r="BI618" s="12"/>
      <c r="BJ618" s="12"/>
      <c r="BK618" s="12"/>
      <c r="BL618" s="12"/>
      <c r="BM618" s="12"/>
      <c r="BN618" s="12"/>
      <c r="BO618" s="12"/>
      <c r="BP618" s="12"/>
      <c r="BQ618" s="12"/>
      <c r="BR618" s="12"/>
      <c r="BS618" s="12"/>
      <c r="BT618" s="12"/>
      <c r="BU618" s="12"/>
      <c r="BV618" s="12"/>
      <c r="BW618" s="12"/>
      <c r="BX618" s="12"/>
      <c r="BY618" s="12"/>
      <c r="BZ618" s="12"/>
      <c r="CA618" s="12"/>
      <c r="CB618" s="12"/>
      <c r="CC618" s="12"/>
      <c r="CD618" s="12"/>
      <c r="CE618" s="12"/>
      <c r="CF618" s="12"/>
      <c r="CG618" s="12"/>
      <c r="CH618" s="12"/>
      <c r="CI618" s="12"/>
      <c r="CJ618" s="12"/>
      <c r="CK618" s="12"/>
      <c r="CL618" s="12"/>
      <c r="CM618" s="12"/>
      <c r="CN618" s="12"/>
      <c r="CO618" s="12"/>
      <c r="CP618" s="12"/>
      <c r="CQ618" s="12"/>
      <c r="CR618" s="12"/>
      <c r="CS618" s="12"/>
      <c r="CT618" s="12"/>
      <c r="CU618" s="12"/>
      <c r="CV618" s="12"/>
      <c r="CW618" s="12"/>
      <c r="CX618" s="12"/>
      <c r="CY618" s="12"/>
      <c r="CZ618" s="12"/>
      <c r="DA618" s="12"/>
      <c r="DB618" s="12"/>
      <c r="DC618" s="12"/>
      <c r="DD618" s="12"/>
      <c r="DE618" s="12"/>
      <c r="DF618" s="12"/>
      <c r="DG618" s="12"/>
      <c r="DH618" s="12"/>
      <c r="DI618" s="12"/>
      <c r="DJ618" s="12"/>
      <c r="DK618" s="12"/>
      <c r="DL618" s="12"/>
      <c r="DM618" s="12"/>
      <c r="DN618" s="12"/>
      <c r="DO618" s="12"/>
      <c r="DP618" s="12"/>
      <c r="DQ618" s="12"/>
      <c r="DR618" s="12"/>
      <c r="DS618" s="12"/>
      <c r="DT618" s="12"/>
      <c r="DU618" s="12"/>
      <c r="DV618" s="12"/>
      <c r="DW618" s="12"/>
      <c r="DX618" s="12"/>
      <c r="DY618" s="12"/>
      <c r="DZ618" s="12"/>
      <c r="EA618" s="12"/>
      <c r="EB618" s="12"/>
      <c r="EC618" s="12"/>
      <c r="ED618" s="12"/>
      <c r="EE618" s="12"/>
      <c r="EF618" s="12"/>
      <c r="EG618" s="12"/>
      <c r="EH618" s="12"/>
      <c r="EI618" s="12"/>
      <c r="EJ618" s="574"/>
      <c r="EK618" s="574"/>
      <c r="EL618" s="574"/>
      <c r="EM618" s="574"/>
      <c r="EN618" s="574"/>
      <c r="EO618" s="574"/>
      <c r="EP618" s="574"/>
      <c r="EQ618" s="574"/>
      <c r="ER618" s="574"/>
      <c r="ES618" s="574"/>
      <c r="ET618" s="574"/>
      <c r="EU618" s="574"/>
    </row>
    <row r="619">
      <c r="A619" s="12"/>
      <c r="B619" s="55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12"/>
      <c r="AY619" s="12"/>
      <c r="AZ619" s="12"/>
      <c r="BA619" s="12"/>
      <c r="BB619" s="12"/>
      <c r="BC619" s="12"/>
      <c r="BD619" s="12"/>
      <c r="BE619" s="12"/>
      <c r="BF619" s="12"/>
      <c r="BG619" s="12"/>
      <c r="BH619" s="12"/>
      <c r="BI619" s="12"/>
      <c r="BJ619" s="12"/>
      <c r="BK619" s="12"/>
      <c r="BL619" s="12"/>
      <c r="BM619" s="12"/>
      <c r="BN619" s="12"/>
      <c r="BO619" s="12"/>
      <c r="BP619" s="12"/>
      <c r="BQ619" s="12"/>
      <c r="BR619" s="12"/>
      <c r="BS619" s="12"/>
      <c r="BT619" s="12"/>
      <c r="BU619" s="12"/>
      <c r="BV619" s="12"/>
      <c r="BW619" s="12"/>
      <c r="BX619" s="12"/>
      <c r="BY619" s="12"/>
      <c r="BZ619" s="12"/>
      <c r="CA619" s="12"/>
      <c r="CB619" s="12"/>
      <c r="CC619" s="12"/>
      <c r="CD619" s="12"/>
      <c r="CE619" s="12"/>
      <c r="CF619" s="12"/>
      <c r="CG619" s="12"/>
      <c r="CH619" s="12"/>
      <c r="CI619" s="12"/>
      <c r="CJ619" s="12"/>
      <c r="CK619" s="12"/>
      <c r="CL619" s="12"/>
      <c r="CM619" s="12"/>
      <c r="CN619" s="12"/>
      <c r="CO619" s="12"/>
      <c r="CP619" s="12"/>
      <c r="CQ619" s="12"/>
      <c r="CR619" s="12"/>
      <c r="CS619" s="12"/>
      <c r="CT619" s="12"/>
      <c r="CU619" s="12"/>
      <c r="CV619" s="12"/>
      <c r="CW619" s="12"/>
      <c r="CX619" s="12"/>
      <c r="CY619" s="12"/>
      <c r="CZ619" s="12"/>
      <c r="DA619" s="12"/>
      <c r="DB619" s="12"/>
      <c r="DC619" s="12"/>
      <c r="DD619" s="12"/>
      <c r="DE619" s="12"/>
      <c r="DF619" s="12"/>
      <c r="DG619" s="12"/>
      <c r="DH619" s="12"/>
      <c r="DI619" s="12"/>
      <c r="DJ619" s="12"/>
      <c r="DK619" s="12"/>
      <c r="DL619" s="12"/>
      <c r="DM619" s="12"/>
      <c r="DN619" s="12"/>
      <c r="DO619" s="12"/>
      <c r="DP619" s="12"/>
      <c r="DQ619" s="12"/>
      <c r="DR619" s="12"/>
      <c r="DS619" s="12"/>
      <c r="DT619" s="12"/>
      <c r="DU619" s="12"/>
      <c r="DV619" s="12"/>
      <c r="DW619" s="12"/>
      <c r="DX619" s="12"/>
      <c r="DY619" s="12"/>
      <c r="DZ619" s="12"/>
      <c r="EA619" s="12"/>
      <c r="EB619" s="12"/>
      <c r="EC619" s="12"/>
      <c r="ED619" s="12"/>
      <c r="EE619" s="12"/>
      <c r="EF619" s="12"/>
      <c r="EG619" s="12"/>
      <c r="EH619" s="12"/>
      <c r="EI619" s="12"/>
      <c r="EJ619" s="574"/>
      <c r="EK619" s="574"/>
      <c r="EL619" s="574"/>
      <c r="EM619" s="574"/>
      <c r="EN619" s="574"/>
      <c r="EO619" s="574"/>
      <c r="EP619" s="574"/>
      <c r="EQ619" s="574"/>
      <c r="ER619" s="574"/>
      <c r="ES619" s="574"/>
      <c r="ET619" s="574"/>
      <c r="EU619" s="574"/>
    </row>
    <row r="620">
      <c r="A620" s="12"/>
      <c r="B620" s="55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2"/>
      <c r="AY620" s="12"/>
      <c r="AZ620" s="12"/>
      <c r="BA620" s="12"/>
      <c r="BB620" s="12"/>
      <c r="BC620" s="12"/>
      <c r="BD620" s="12"/>
      <c r="BE620" s="12"/>
      <c r="BF620" s="12"/>
      <c r="BG620" s="12"/>
      <c r="BH620" s="12"/>
      <c r="BI620" s="12"/>
      <c r="BJ620" s="12"/>
      <c r="BK620" s="12"/>
      <c r="BL620" s="12"/>
      <c r="BM620" s="12"/>
      <c r="BN620" s="12"/>
      <c r="BO620" s="12"/>
      <c r="BP620" s="12"/>
      <c r="BQ620" s="12"/>
      <c r="BR620" s="12"/>
      <c r="BS620" s="12"/>
      <c r="BT620" s="12"/>
      <c r="BU620" s="12"/>
      <c r="BV620" s="12"/>
      <c r="BW620" s="12"/>
      <c r="BX620" s="12"/>
      <c r="BY620" s="12"/>
      <c r="BZ620" s="12"/>
      <c r="CA620" s="12"/>
      <c r="CB620" s="12"/>
      <c r="CC620" s="12"/>
      <c r="CD620" s="12"/>
      <c r="CE620" s="12"/>
      <c r="CF620" s="12"/>
      <c r="CG620" s="12"/>
      <c r="CH620" s="12"/>
      <c r="CI620" s="12"/>
      <c r="CJ620" s="12"/>
      <c r="CK620" s="12"/>
      <c r="CL620" s="12"/>
      <c r="CM620" s="12"/>
      <c r="CN620" s="12"/>
      <c r="CO620" s="12"/>
      <c r="CP620" s="12"/>
      <c r="CQ620" s="12"/>
      <c r="CR620" s="12"/>
      <c r="CS620" s="12"/>
      <c r="CT620" s="12"/>
      <c r="CU620" s="12"/>
      <c r="CV620" s="12"/>
      <c r="CW620" s="12"/>
      <c r="CX620" s="12"/>
      <c r="CY620" s="12"/>
      <c r="CZ620" s="12"/>
      <c r="DA620" s="12"/>
      <c r="DB620" s="12"/>
      <c r="DC620" s="12"/>
      <c r="DD620" s="12"/>
      <c r="DE620" s="12"/>
      <c r="DF620" s="12"/>
      <c r="DG620" s="12"/>
      <c r="DH620" s="12"/>
      <c r="DI620" s="12"/>
      <c r="DJ620" s="12"/>
      <c r="DK620" s="12"/>
      <c r="DL620" s="12"/>
      <c r="DM620" s="12"/>
      <c r="DN620" s="12"/>
      <c r="DO620" s="12"/>
      <c r="DP620" s="12"/>
      <c r="DQ620" s="12"/>
      <c r="DR620" s="12"/>
      <c r="DS620" s="12"/>
      <c r="DT620" s="12"/>
      <c r="DU620" s="12"/>
      <c r="DV620" s="12"/>
      <c r="DW620" s="12"/>
      <c r="DX620" s="12"/>
      <c r="DY620" s="12"/>
      <c r="DZ620" s="12"/>
      <c r="EA620" s="12"/>
      <c r="EB620" s="12"/>
      <c r="EC620" s="12"/>
      <c r="ED620" s="12"/>
      <c r="EE620" s="12"/>
      <c r="EF620" s="12"/>
      <c r="EG620" s="12"/>
      <c r="EH620" s="12"/>
      <c r="EI620" s="12"/>
      <c r="EJ620" s="574"/>
      <c r="EK620" s="574"/>
      <c r="EL620" s="574"/>
      <c r="EM620" s="574"/>
      <c r="EN620" s="574"/>
      <c r="EO620" s="574"/>
      <c r="EP620" s="574"/>
      <c r="EQ620" s="574"/>
      <c r="ER620" s="574"/>
      <c r="ES620" s="574"/>
      <c r="ET620" s="574"/>
      <c r="EU620" s="574"/>
    </row>
    <row r="621">
      <c r="A621" s="12"/>
      <c r="B621" s="55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2"/>
      <c r="AY621" s="12"/>
      <c r="AZ621" s="12"/>
      <c r="BA621" s="12"/>
      <c r="BB621" s="12"/>
      <c r="BC621" s="12"/>
      <c r="BD621" s="12"/>
      <c r="BE621" s="12"/>
      <c r="BF621" s="12"/>
      <c r="BG621" s="12"/>
      <c r="BH621" s="12"/>
      <c r="BI621" s="12"/>
      <c r="BJ621" s="12"/>
      <c r="BK621" s="12"/>
      <c r="BL621" s="12"/>
      <c r="BM621" s="12"/>
      <c r="BN621" s="12"/>
      <c r="BO621" s="12"/>
      <c r="BP621" s="12"/>
      <c r="BQ621" s="12"/>
      <c r="BR621" s="12"/>
      <c r="BS621" s="12"/>
      <c r="BT621" s="12"/>
      <c r="BU621" s="12"/>
      <c r="BV621" s="12"/>
      <c r="BW621" s="12"/>
      <c r="BX621" s="12"/>
      <c r="BY621" s="12"/>
      <c r="BZ621" s="12"/>
      <c r="CA621" s="12"/>
      <c r="CB621" s="12"/>
      <c r="CC621" s="12"/>
      <c r="CD621" s="12"/>
      <c r="CE621" s="12"/>
      <c r="CF621" s="12"/>
      <c r="CG621" s="12"/>
      <c r="CH621" s="12"/>
      <c r="CI621" s="12"/>
      <c r="CJ621" s="12"/>
      <c r="CK621" s="12"/>
      <c r="CL621" s="12"/>
      <c r="CM621" s="12"/>
      <c r="CN621" s="12"/>
      <c r="CO621" s="12"/>
      <c r="CP621" s="12"/>
      <c r="CQ621" s="12"/>
      <c r="CR621" s="12"/>
      <c r="CS621" s="12"/>
      <c r="CT621" s="12"/>
      <c r="CU621" s="12"/>
      <c r="CV621" s="12"/>
      <c r="CW621" s="12"/>
      <c r="CX621" s="12"/>
      <c r="CY621" s="12"/>
      <c r="CZ621" s="12"/>
      <c r="DA621" s="12"/>
      <c r="DB621" s="12"/>
      <c r="DC621" s="12"/>
      <c r="DD621" s="12"/>
      <c r="DE621" s="12"/>
      <c r="DF621" s="12"/>
      <c r="DG621" s="12"/>
      <c r="DH621" s="12"/>
      <c r="DI621" s="12"/>
      <c r="DJ621" s="12"/>
      <c r="DK621" s="12"/>
      <c r="DL621" s="12"/>
      <c r="DM621" s="12"/>
      <c r="DN621" s="12"/>
      <c r="DO621" s="12"/>
      <c r="DP621" s="12"/>
      <c r="DQ621" s="12"/>
      <c r="DR621" s="12"/>
      <c r="DS621" s="12"/>
      <c r="DT621" s="12"/>
      <c r="DU621" s="12"/>
      <c r="DV621" s="12"/>
      <c r="DW621" s="12"/>
      <c r="DX621" s="12"/>
      <c r="DY621" s="12"/>
      <c r="DZ621" s="12"/>
      <c r="EA621" s="12"/>
      <c r="EB621" s="12"/>
      <c r="EC621" s="12"/>
      <c r="ED621" s="12"/>
      <c r="EE621" s="12"/>
      <c r="EF621" s="12"/>
      <c r="EG621" s="12"/>
      <c r="EH621" s="12"/>
      <c r="EI621" s="12"/>
      <c r="EJ621" s="574"/>
      <c r="EK621" s="574"/>
      <c r="EL621" s="574"/>
      <c r="EM621" s="574"/>
      <c r="EN621" s="574"/>
      <c r="EO621" s="574"/>
      <c r="EP621" s="574"/>
      <c r="EQ621" s="574"/>
      <c r="ER621" s="574"/>
      <c r="ES621" s="574"/>
      <c r="ET621" s="574"/>
      <c r="EU621" s="574"/>
    </row>
    <row r="622">
      <c r="A622" s="12"/>
      <c r="B622" s="55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2"/>
      <c r="AY622" s="12"/>
      <c r="AZ622" s="12"/>
      <c r="BA622" s="12"/>
      <c r="BB622" s="12"/>
      <c r="BC622" s="12"/>
      <c r="BD622" s="12"/>
      <c r="BE622" s="12"/>
      <c r="BF622" s="12"/>
      <c r="BG622" s="12"/>
      <c r="BH622" s="12"/>
      <c r="BI622" s="12"/>
      <c r="BJ622" s="12"/>
      <c r="BK622" s="12"/>
      <c r="BL622" s="12"/>
      <c r="BM622" s="12"/>
      <c r="BN622" s="12"/>
      <c r="BO622" s="12"/>
      <c r="BP622" s="12"/>
      <c r="BQ622" s="12"/>
      <c r="BR622" s="12"/>
      <c r="BS622" s="12"/>
      <c r="BT622" s="12"/>
      <c r="BU622" s="12"/>
      <c r="BV622" s="12"/>
      <c r="BW622" s="12"/>
      <c r="BX622" s="12"/>
      <c r="BY622" s="12"/>
      <c r="BZ622" s="12"/>
      <c r="CA622" s="12"/>
      <c r="CB622" s="12"/>
      <c r="CC622" s="12"/>
      <c r="CD622" s="12"/>
      <c r="CE622" s="12"/>
      <c r="CF622" s="12"/>
      <c r="CG622" s="12"/>
      <c r="CH622" s="12"/>
      <c r="CI622" s="12"/>
      <c r="CJ622" s="12"/>
      <c r="CK622" s="12"/>
      <c r="CL622" s="12"/>
      <c r="CM622" s="12"/>
      <c r="CN622" s="12"/>
      <c r="CO622" s="12"/>
      <c r="CP622" s="12"/>
      <c r="CQ622" s="12"/>
      <c r="CR622" s="12"/>
      <c r="CS622" s="12"/>
      <c r="CT622" s="12"/>
      <c r="CU622" s="12"/>
      <c r="CV622" s="12"/>
      <c r="CW622" s="12"/>
      <c r="CX622" s="12"/>
      <c r="CY622" s="12"/>
      <c r="CZ622" s="12"/>
      <c r="DA622" s="12"/>
      <c r="DB622" s="12"/>
      <c r="DC622" s="12"/>
      <c r="DD622" s="12"/>
      <c r="DE622" s="12"/>
      <c r="DF622" s="12"/>
      <c r="DG622" s="12"/>
      <c r="DH622" s="12"/>
      <c r="DI622" s="12"/>
      <c r="DJ622" s="12"/>
      <c r="DK622" s="12"/>
      <c r="DL622" s="12"/>
      <c r="DM622" s="12"/>
      <c r="DN622" s="12"/>
      <c r="DO622" s="12"/>
      <c r="DP622" s="12"/>
      <c r="DQ622" s="12"/>
      <c r="DR622" s="12"/>
      <c r="DS622" s="12"/>
      <c r="DT622" s="12"/>
      <c r="DU622" s="12"/>
      <c r="DV622" s="12"/>
      <c r="DW622" s="12"/>
      <c r="DX622" s="12"/>
      <c r="DY622" s="12"/>
      <c r="DZ622" s="12"/>
      <c r="EA622" s="12"/>
      <c r="EB622" s="12"/>
      <c r="EC622" s="12"/>
      <c r="ED622" s="12"/>
      <c r="EE622" s="12"/>
      <c r="EF622" s="12"/>
      <c r="EG622" s="12"/>
      <c r="EH622" s="12"/>
      <c r="EI622" s="12"/>
      <c r="EJ622" s="574"/>
      <c r="EK622" s="574"/>
      <c r="EL622" s="574"/>
      <c r="EM622" s="574"/>
      <c r="EN622" s="574"/>
      <c r="EO622" s="574"/>
      <c r="EP622" s="574"/>
      <c r="EQ622" s="574"/>
      <c r="ER622" s="574"/>
      <c r="ES622" s="574"/>
      <c r="ET622" s="574"/>
      <c r="EU622" s="574"/>
    </row>
    <row r="623">
      <c r="A623" s="12"/>
      <c r="B623" s="55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12"/>
      <c r="AY623" s="12"/>
      <c r="AZ623" s="12"/>
      <c r="BA623" s="12"/>
      <c r="BB623" s="12"/>
      <c r="BC623" s="12"/>
      <c r="BD623" s="12"/>
      <c r="BE623" s="12"/>
      <c r="BF623" s="12"/>
      <c r="BG623" s="12"/>
      <c r="BH623" s="12"/>
      <c r="BI623" s="12"/>
      <c r="BJ623" s="12"/>
      <c r="BK623" s="12"/>
      <c r="BL623" s="12"/>
      <c r="BM623" s="12"/>
      <c r="BN623" s="12"/>
      <c r="BO623" s="12"/>
      <c r="BP623" s="12"/>
      <c r="BQ623" s="12"/>
      <c r="BR623" s="12"/>
      <c r="BS623" s="12"/>
      <c r="BT623" s="12"/>
      <c r="BU623" s="12"/>
      <c r="BV623" s="12"/>
      <c r="BW623" s="12"/>
      <c r="BX623" s="12"/>
      <c r="BY623" s="12"/>
      <c r="BZ623" s="12"/>
      <c r="CA623" s="12"/>
      <c r="CB623" s="12"/>
      <c r="CC623" s="12"/>
      <c r="CD623" s="12"/>
      <c r="CE623" s="12"/>
      <c r="CF623" s="12"/>
      <c r="CG623" s="12"/>
      <c r="CH623" s="12"/>
      <c r="CI623" s="12"/>
      <c r="CJ623" s="12"/>
      <c r="CK623" s="12"/>
      <c r="CL623" s="12"/>
      <c r="CM623" s="12"/>
      <c r="CN623" s="12"/>
      <c r="CO623" s="12"/>
      <c r="CP623" s="12"/>
      <c r="CQ623" s="12"/>
      <c r="CR623" s="12"/>
      <c r="CS623" s="12"/>
      <c r="CT623" s="12"/>
      <c r="CU623" s="12"/>
      <c r="CV623" s="12"/>
      <c r="CW623" s="12"/>
      <c r="CX623" s="12"/>
      <c r="CY623" s="12"/>
      <c r="CZ623" s="12"/>
      <c r="DA623" s="12"/>
      <c r="DB623" s="12"/>
      <c r="DC623" s="12"/>
      <c r="DD623" s="12"/>
      <c r="DE623" s="12"/>
      <c r="DF623" s="12"/>
      <c r="DG623" s="12"/>
      <c r="DH623" s="12"/>
      <c r="DI623" s="12"/>
      <c r="DJ623" s="12"/>
      <c r="DK623" s="12"/>
      <c r="DL623" s="12"/>
      <c r="DM623" s="12"/>
      <c r="DN623" s="12"/>
      <c r="DO623" s="12"/>
      <c r="DP623" s="12"/>
      <c r="DQ623" s="12"/>
      <c r="DR623" s="12"/>
      <c r="DS623" s="12"/>
      <c r="DT623" s="12"/>
      <c r="DU623" s="12"/>
      <c r="DV623" s="12"/>
      <c r="DW623" s="12"/>
      <c r="DX623" s="12"/>
      <c r="DY623" s="12"/>
      <c r="DZ623" s="12"/>
      <c r="EA623" s="12"/>
      <c r="EB623" s="12"/>
      <c r="EC623" s="12"/>
      <c r="ED623" s="12"/>
      <c r="EE623" s="12"/>
      <c r="EF623" s="12"/>
      <c r="EG623" s="12"/>
      <c r="EH623" s="12"/>
      <c r="EI623" s="12"/>
      <c r="EJ623" s="574"/>
      <c r="EK623" s="574"/>
      <c r="EL623" s="574"/>
      <c r="EM623" s="574"/>
      <c r="EN623" s="574"/>
      <c r="EO623" s="574"/>
      <c r="EP623" s="574"/>
      <c r="EQ623" s="574"/>
      <c r="ER623" s="574"/>
      <c r="ES623" s="574"/>
      <c r="ET623" s="574"/>
      <c r="EU623" s="574"/>
    </row>
    <row r="624">
      <c r="A624" s="12"/>
      <c r="B624" s="55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2"/>
      <c r="AY624" s="12"/>
      <c r="AZ624" s="12"/>
      <c r="BA624" s="12"/>
      <c r="BB624" s="12"/>
      <c r="BC624" s="12"/>
      <c r="BD624" s="12"/>
      <c r="BE624" s="12"/>
      <c r="BF624" s="12"/>
      <c r="BG624" s="12"/>
      <c r="BH624" s="12"/>
      <c r="BI624" s="12"/>
      <c r="BJ624" s="12"/>
      <c r="BK624" s="12"/>
      <c r="BL624" s="12"/>
      <c r="BM624" s="12"/>
      <c r="BN624" s="12"/>
      <c r="BO624" s="12"/>
      <c r="BP624" s="12"/>
      <c r="BQ624" s="12"/>
      <c r="BR624" s="12"/>
      <c r="BS624" s="12"/>
      <c r="BT624" s="12"/>
      <c r="BU624" s="12"/>
      <c r="BV624" s="12"/>
      <c r="BW624" s="12"/>
      <c r="BX624" s="12"/>
      <c r="BY624" s="12"/>
      <c r="BZ624" s="12"/>
      <c r="CA624" s="12"/>
      <c r="CB624" s="12"/>
      <c r="CC624" s="12"/>
      <c r="CD624" s="12"/>
      <c r="CE624" s="12"/>
      <c r="CF624" s="12"/>
      <c r="CG624" s="12"/>
      <c r="CH624" s="12"/>
      <c r="CI624" s="12"/>
      <c r="CJ624" s="12"/>
      <c r="CK624" s="12"/>
      <c r="CL624" s="12"/>
      <c r="CM624" s="12"/>
      <c r="CN624" s="12"/>
      <c r="CO624" s="12"/>
      <c r="CP624" s="12"/>
      <c r="CQ624" s="12"/>
      <c r="CR624" s="12"/>
      <c r="CS624" s="12"/>
      <c r="CT624" s="12"/>
      <c r="CU624" s="12"/>
      <c r="CV624" s="12"/>
      <c r="CW624" s="12"/>
      <c r="CX624" s="12"/>
      <c r="CY624" s="12"/>
      <c r="CZ624" s="12"/>
      <c r="DA624" s="12"/>
      <c r="DB624" s="12"/>
      <c r="DC624" s="12"/>
      <c r="DD624" s="12"/>
      <c r="DE624" s="12"/>
      <c r="DF624" s="12"/>
      <c r="DG624" s="12"/>
      <c r="DH624" s="12"/>
      <c r="DI624" s="12"/>
      <c r="DJ624" s="12"/>
      <c r="DK624" s="12"/>
      <c r="DL624" s="12"/>
      <c r="DM624" s="12"/>
      <c r="DN624" s="12"/>
      <c r="DO624" s="12"/>
      <c r="DP624" s="12"/>
      <c r="DQ624" s="12"/>
      <c r="DR624" s="12"/>
      <c r="DS624" s="12"/>
      <c r="DT624" s="12"/>
      <c r="DU624" s="12"/>
      <c r="DV624" s="12"/>
      <c r="DW624" s="12"/>
      <c r="DX624" s="12"/>
      <c r="DY624" s="12"/>
      <c r="DZ624" s="12"/>
      <c r="EA624" s="12"/>
      <c r="EB624" s="12"/>
      <c r="EC624" s="12"/>
      <c r="ED624" s="12"/>
      <c r="EE624" s="12"/>
      <c r="EF624" s="12"/>
      <c r="EG624" s="12"/>
      <c r="EH624" s="12"/>
      <c r="EI624" s="12"/>
      <c r="EJ624" s="574"/>
      <c r="EK624" s="574"/>
      <c r="EL624" s="574"/>
      <c r="EM624" s="574"/>
      <c r="EN624" s="574"/>
      <c r="EO624" s="574"/>
      <c r="EP624" s="574"/>
      <c r="EQ624" s="574"/>
      <c r="ER624" s="574"/>
      <c r="ES624" s="574"/>
      <c r="ET624" s="574"/>
      <c r="EU624" s="574"/>
    </row>
    <row r="625">
      <c r="A625" s="12"/>
      <c r="B625" s="55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12"/>
      <c r="AY625" s="12"/>
      <c r="AZ625" s="12"/>
      <c r="BA625" s="12"/>
      <c r="BB625" s="12"/>
      <c r="BC625" s="12"/>
      <c r="BD625" s="12"/>
      <c r="BE625" s="12"/>
      <c r="BF625" s="12"/>
      <c r="BG625" s="12"/>
      <c r="BH625" s="12"/>
      <c r="BI625" s="12"/>
      <c r="BJ625" s="12"/>
      <c r="BK625" s="12"/>
      <c r="BL625" s="12"/>
      <c r="BM625" s="12"/>
      <c r="BN625" s="12"/>
      <c r="BO625" s="12"/>
      <c r="BP625" s="12"/>
      <c r="BQ625" s="12"/>
      <c r="BR625" s="12"/>
      <c r="BS625" s="12"/>
      <c r="BT625" s="12"/>
      <c r="BU625" s="12"/>
      <c r="BV625" s="12"/>
      <c r="BW625" s="12"/>
      <c r="BX625" s="12"/>
      <c r="BY625" s="12"/>
      <c r="BZ625" s="12"/>
      <c r="CA625" s="12"/>
      <c r="CB625" s="12"/>
      <c r="CC625" s="12"/>
      <c r="CD625" s="12"/>
      <c r="CE625" s="12"/>
      <c r="CF625" s="12"/>
      <c r="CG625" s="12"/>
      <c r="CH625" s="12"/>
      <c r="CI625" s="12"/>
      <c r="CJ625" s="12"/>
      <c r="CK625" s="12"/>
      <c r="CL625" s="12"/>
      <c r="CM625" s="12"/>
      <c r="CN625" s="12"/>
      <c r="CO625" s="12"/>
      <c r="CP625" s="12"/>
      <c r="CQ625" s="12"/>
      <c r="CR625" s="12"/>
      <c r="CS625" s="12"/>
      <c r="CT625" s="12"/>
      <c r="CU625" s="12"/>
      <c r="CV625" s="12"/>
      <c r="CW625" s="12"/>
      <c r="CX625" s="12"/>
      <c r="CY625" s="12"/>
      <c r="CZ625" s="12"/>
      <c r="DA625" s="12"/>
      <c r="DB625" s="12"/>
      <c r="DC625" s="12"/>
      <c r="DD625" s="12"/>
      <c r="DE625" s="12"/>
      <c r="DF625" s="12"/>
      <c r="DG625" s="12"/>
      <c r="DH625" s="12"/>
      <c r="DI625" s="12"/>
      <c r="DJ625" s="12"/>
      <c r="DK625" s="12"/>
      <c r="DL625" s="12"/>
      <c r="DM625" s="12"/>
      <c r="DN625" s="12"/>
      <c r="DO625" s="12"/>
      <c r="DP625" s="12"/>
      <c r="DQ625" s="12"/>
      <c r="DR625" s="12"/>
      <c r="DS625" s="12"/>
      <c r="DT625" s="12"/>
      <c r="DU625" s="12"/>
      <c r="DV625" s="12"/>
      <c r="DW625" s="12"/>
      <c r="DX625" s="12"/>
      <c r="DY625" s="12"/>
      <c r="DZ625" s="12"/>
      <c r="EA625" s="12"/>
      <c r="EB625" s="12"/>
      <c r="EC625" s="12"/>
      <c r="ED625" s="12"/>
      <c r="EE625" s="12"/>
      <c r="EF625" s="12"/>
      <c r="EG625" s="12"/>
      <c r="EH625" s="12"/>
      <c r="EI625" s="12"/>
      <c r="EJ625" s="574"/>
      <c r="EK625" s="574"/>
      <c r="EL625" s="574"/>
      <c r="EM625" s="574"/>
      <c r="EN625" s="574"/>
      <c r="EO625" s="574"/>
      <c r="EP625" s="574"/>
      <c r="EQ625" s="574"/>
      <c r="ER625" s="574"/>
      <c r="ES625" s="574"/>
      <c r="ET625" s="574"/>
      <c r="EU625" s="574"/>
    </row>
    <row r="626">
      <c r="A626" s="12"/>
      <c r="B626" s="55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2"/>
      <c r="AY626" s="12"/>
      <c r="AZ626" s="12"/>
      <c r="BA626" s="12"/>
      <c r="BB626" s="12"/>
      <c r="BC626" s="12"/>
      <c r="BD626" s="12"/>
      <c r="BE626" s="12"/>
      <c r="BF626" s="12"/>
      <c r="BG626" s="12"/>
      <c r="BH626" s="12"/>
      <c r="BI626" s="12"/>
      <c r="BJ626" s="12"/>
      <c r="BK626" s="12"/>
      <c r="BL626" s="12"/>
      <c r="BM626" s="12"/>
      <c r="BN626" s="12"/>
      <c r="BO626" s="12"/>
      <c r="BP626" s="12"/>
      <c r="BQ626" s="12"/>
      <c r="BR626" s="12"/>
      <c r="BS626" s="12"/>
      <c r="BT626" s="12"/>
      <c r="BU626" s="12"/>
      <c r="BV626" s="12"/>
      <c r="BW626" s="12"/>
      <c r="BX626" s="12"/>
      <c r="BY626" s="12"/>
      <c r="BZ626" s="12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574"/>
      <c r="EK626" s="574"/>
      <c r="EL626" s="574"/>
      <c r="EM626" s="574"/>
      <c r="EN626" s="574"/>
      <c r="EO626" s="574"/>
      <c r="EP626" s="574"/>
      <c r="EQ626" s="574"/>
      <c r="ER626" s="574"/>
      <c r="ES626" s="574"/>
      <c r="ET626" s="574"/>
      <c r="EU626" s="574"/>
    </row>
    <row r="627">
      <c r="A627" s="12"/>
      <c r="B627" s="55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2"/>
      <c r="AY627" s="12"/>
      <c r="AZ627" s="12"/>
      <c r="BA627" s="12"/>
      <c r="BB627" s="12"/>
      <c r="BC627" s="12"/>
      <c r="BD627" s="12"/>
      <c r="BE627" s="12"/>
      <c r="BF627" s="12"/>
      <c r="BG627" s="12"/>
      <c r="BH627" s="12"/>
      <c r="BI627" s="12"/>
      <c r="BJ627" s="12"/>
      <c r="BK627" s="12"/>
      <c r="BL627" s="12"/>
      <c r="BM627" s="12"/>
      <c r="BN627" s="12"/>
      <c r="BO627" s="12"/>
      <c r="BP627" s="12"/>
      <c r="BQ627" s="12"/>
      <c r="BR627" s="12"/>
      <c r="BS627" s="12"/>
      <c r="BT627" s="12"/>
      <c r="BU627" s="12"/>
      <c r="BV627" s="12"/>
      <c r="BW627" s="12"/>
      <c r="BX627" s="12"/>
      <c r="BY627" s="12"/>
      <c r="BZ627" s="12"/>
      <c r="CA627" s="12"/>
      <c r="CB627" s="12"/>
      <c r="CC627" s="12"/>
      <c r="CD627" s="12"/>
      <c r="CE627" s="12"/>
      <c r="CF627" s="12"/>
      <c r="CG627" s="12"/>
      <c r="CH627" s="12"/>
      <c r="CI627" s="12"/>
      <c r="CJ627" s="12"/>
      <c r="CK627" s="12"/>
      <c r="CL627" s="12"/>
      <c r="CM627" s="12"/>
      <c r="CN627" s="12"/>
      <c r="CO627" s="12"/>
      <c r="CP627" s="12"/>
      <c r="CQ627" s="12"/>
      <c r="CR627" s="12"/>
      <c r="CS627" s="12"/>
      <c r="CT627" s="12"/>
      <c r="CU627" s="12"/>
      <c r="CV627" s="12"/>
      <c r="CW627" s="12"/>
      <c r="CX627" s="12"/>
      <c r="CY627" s="12"/>
      <c r="CZ627" s="12"/>
      <c r="DA627" s="12"/>
      <c r="DB627" s="12"/>
      <c r="DC627" s="12"/>
      <c r="DD627" s="12"/>
      <c r="DE627" s="12"/>
      <c r="DF627" s="12"/>
      <c r="DG627" s="12"/>
      <c r="DH627" s="12"/>
      <c r="DI627" s="12"/>
      <c r="DJ627" s="12"/>
      <c r="DK627" s="12"/>
      <c r="DL627" s="12"/>
      <c r="DM627" s="12"/>
      <c r="DN627" s="12"/>
      <c r="DO627" s="12"/>
      <c r="DP627" s="12"/>
      <c r="DQ627" s="12"/>
      <c r="DR627" s="12"/>
      <c r="DS627" s="12"/>
      <c r="DT627" s="12"/>
      <c r="DU627" s="12"/>
      <c r="DV627" s="12"/>
      <c r="DW627" s="12"/>
      <c r="DX627" s="12"/>
      <c r="DY627" s="12"/>
      <c r="DZ627" s="12"/>
      <c r="EA627" s="12"/>
      <c r="EB627" s="12"/>
      <c r="EC627" s="12"/>
      <c r="ED627" s="12"/>
      <c r="EE627" s="12"/>
      <c r="EF627" s="12"/>
      <c r="EG627" s="12"/>
      <c r="EH627" s="12"/>
      <c r="EI627" s="12"/>
      <c r="EJ627" s="574"/>
      <c r="EK627" s="574"/>
      <c r="EL627" s="574"/>
      <c r="EM627" s="574"/>
      <c r="EN627" s="574"/>
      <c r="EO627" s="574"/>
      <c r="EP627" s="574"/>
      <c r="EQ627" s="574"/>
      <c r="ER627" s="574"/>
      <c r="ES627" s="574"/>
      <c r="ET627" s="574"/>
      <c r="EU627" s="574"/>
    </row>
    <row r="628">
      <c r="A628" s="12"/>
      <c r="B628" s="55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2"/>
      <c r="AY628" s="12"/>
      <c r="AZ628" s="12"/>
      <c r="BA628" s="12"/>
      <c r="BB628" s="12"/>
      <c r="BC628" s="12"/>
      <c r="BD628" s="12"/>
      <c r="BE628" s="12"/>
      <c r="BF628" s="12"/>
      <c r="BG628" s="12"/>
      <c r="BH628" s="12"/>
      <c r="BI628" s="12"/>
      <c r="BJ628" s="12"/>
      <c r="BK628" s="12"/>
      <c r="BL628" s="12"/>
      <c r="BM628" s="12"/>
      <c r="BN628" s="12"/>
      <c r="BO628" s="12"/>
      <c r="BP628" s="12"/>
      <c r="BQ628" s="12"/>
      <c r="BR628" s="12"/>
      <c r="BS628" s="12"/>
      <c r="BT628" s="12"/>
      <c r="BU628" s="12"/>
      <c r="BV628" s="12"/>
      <c r="BW628" s="12"/>
      <c r="BX628" s="12"/>
      <c r="BY628" s="12"/>
      <c r="BZ628" s="12"/>
      <c r="CA628" s="12"/>
      <c r="CB628" s="12"/>
      <c r="CC628" s="12"/>
      <c r="CD628" s="12"/>
      <c r="CE628" s="12"/>
      <c r="CF628" s="12"/>
      <c r="CG628" s="12"/>
      <c r="CH628" s="12"/>
      <c r="CI628" s="12"/>
      <c r="CJ628" s="12"/>
      <c r="CK628" s="12"/>
      <c r="CL628" s="12"/>
      <c r="CM628" s="12"/>
      <c r="CN628" s="12"/>
      <c r="CO628" s="12"/>
      <c r="CP628" s="12"/>
      <c r="CQ628" s="12"/>
      <c r="CR628" s="12"/>
      <c r="CS628" s="12"/>
      <c r="CT628" s="12"/>
      <c r="CU628" s="12"/>
      <c r="CV628" s="12"/>
      <c r="CW628" s="12"/>
      <c r="CX628" s="12"/>
      <c r="CY628" s="12"/>
      <c r="CZ628" s="12"/>
      <c r="DA628" s="12"/>
      <c r="DB628" s="12"/>
      <c r="DC628" s="12"/>
      <c r="DD628" s="12"/>
      <c r="DE628" s="12"/>
      <c r="DF628" s="12"/>
      <c r="DG628" s="12"/>
      <c r="DH628" s="12"/>
      <c r="DI628" s="12"/>
      <c r="DJ628" s="12"/>
      <c r="DK628" s="12"/>
      <c r="DL628" s="12"/>
      <c r="DM628" s="12"/>
      <c r="DN628" s="12"/>
      <c r="DO628" s="12"/>
      <c r="DP628" s="12"/>
      <c r="DQ628" s="12"/>
      <c r="DR628" s="12"/>
      <c r="DS628" s="12"/>
      <c r="DT628" s="12"/>
      <c r="DU628" s="12"/>
      <c r="DV628" s="12"/>
      <c r="DW628" s="12"/>
      <c r="DX628" s="12"/>
      <c r="DY628" s="12"/>
      <c r="DZ628" s="12"/>
      <c r="EA628" s="12"/>
      <c r="EB628" s="12"/>
      <c r="EC628" s="12"/>
      <c r="ED628" s="12"/>
      <c r="EE628" s="12"/>
      <c r="EF628" s="12"/>
      <c r="EG628" s="12"/>
      <c r="EH628" s="12"/>
      <c r="EI628" s="12"/>
      <c r="EJ628" s="574"/>
      <c r="EK628" s="574"/>
      <c r="EL628" s="574"/>
      <c r="EM628" s="574"/>
      <c r="EN628" s="574"/>
      <c r="EO628" s="574"/>
      <c r="EP628" s="574"/>
      <c r="EQ628" s="574"/>
      <c r="ER628" s="574"/>
      <c r="ES628" s="574"/>
      <c r="ET628" s="574"/>
      <c r="EU628" s="574"/>
    </row>
    <row r="629">
      <c r="A629" s="12"/>
      <c r="B629" s="55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2"/>
      <c r="AY629" s="12"/>
      <c r="AZ629" s="12"/>
      <c r="BA629" s="12"/>
      <c r="BB629" s="12"/>
      <c r="BC629" s="12"/>
      <c r="BD629" s="12"/>
      <c r="BE629" s="12"/>
      <c r="BF629" s="12"/>
      <c r="BG629" s="12"/>
      <c r="BH629" s="12"/>
      <c r="BI629" s="12"/>
      <c r="BJ629" s="12"/>
      <c r="BK629" s="12"/>
      <c r="BL629" s="12"/>
      <c r="BM629" s="12"/>
      <c r="BN629" s="12"/>
      <c r="BO629" s="12"/>
      <c r="BP629" s="12"/>
      <c r="BQ629" s="12"/>
      <c r="BR629" s="12"/>
      <c r="BS629" s="12"/>
      <c r="BT629" s="12"/>
      <c r="BU629" s="12"/>
      <c r="BV629" s="12"/>
      <c r="BW629" s="12"/>
      <c r="BX629" s="12"/>
      <c r="BY629" s="12"/>
      <c r="BZ629" s="12"/>
      <c r="CA629" s="12"/>
      <c r="CB629" s="12"/>
      <c r="CC629" s="12"/>
      <c r="CD629" s="12"/>
      <c r="CE629" s="12"/>
      <c r="CF629" s="12"/>
      <c r="CG629" s="12"/>
      <c r="CH629" s="12"/>
      <c r="CI629" s="12"/>
      <c r="CJ629" s="12"/>
      <c r="CK629" s="12"/>
      <c r="CL629" s="12"/>
      <c r="CM629" s="12"/>
      <c r="CN629" s="12"/>
      <c r="CO629" s="12"/>
      <c r="CP629" s="12"/>
      <c r="CQ629" s="12"/>
      <c r="CR629" s="12"/>
      <c r="CS629" s="12"/>
      <c r="CT629" s="12"/>
      <c r="CU629" s="12"/>
      <c r="CV629" s="12"/>
      <c r="CW629" s="12"/>
      <c r="CX629" s="12"/>
      <c r="CY629" s="12"/>
      <c r="CZ629" s="12"/>
      <c r="DA629" s="12"/>
      <c r="DB629" s="12"/>
      <c r="DC629" s="12"/>
      <c r="DD629" s="12"/>
      <c r="DE629" s="12"/>
      <c r="DF629" s="12"/>
      <c r="DG629" s="12"/>
      <c r="DH629" s="12"/>
      <c r="DI629" s="12"/>
      <c r="DJ629" s="12"/>
      <c r="DK629" s="12"/>
      <c r="DL629" s="12"/>
      <c r="DM629" s="12"/>
      <c r="DN629" s="12"/>
      <c r="DO629" s="12"/>
      <c r="DP629" s="12"/>
      <c r="DQ629" s="12"/>
      <c r="DR629" s="12"/>
      <c r="DS629" s="12"/>
      <c r="DT629" s="12"/>
      <c r="DU629" s="12"/>
      <c r="DV629" s="12"/>
      <c r="DW629" s="12"/>
      <c r="DX629" s="12"/>
      <c r="DY629" s="12"/>
      <c r="DZ629" s="12"/>
      <c r="EA629" s="12"/>
      <c r="EB629" s="12"/>
      <c r="EC629" s="12"/>
      <c r="ED629" s="12"/>
      <c r="EE629" s="12"/>
      <c r="EF629" s="12"/>
      <c r="EG629" s="12"/>
      <c r="EH629" s="12"/>
      <c r="EI629" s="12"/>
      <c r="EJ629" s="574"/>
      <c r="EK629" s="574"/>
      <c r="EL629" s="574"/>
      <c r="EM629" s="574"/>
      <c r="EN629" s="574"/>
      <c r="EO629" s="574"/>
      <c r="EP629" s="574"/>
      <c r="EQ629" s="574"/>
      <c r="ER629" s="574"/>
      <c r="ES629" s="574"/>
      <c r="ET629" s="574"/>
      <c r="EU629" s="574"/>
    </row>
    <row r="630">
      <c r="A630" s="12"/>
      <c r="B630" s="55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2"/>
      <c r="AY630" s="12"/>
      <c r="AZ630" s="12"/>
      <c r="BA630" s="12"/>
      <c r="BB630" s="12"/>
      <c r="BC630" s="12"/>
      <c r="BD630" s="12"/>
      <c r="BE630" s="12"/>
      <c r="BF630" s="12"/>
      <c r="BG630" s="12"/>
      <c r="BH630" s="12"/>
      <c r="BI630" s="12"/>
      <c r="BJ630" s="12"/>
      <c r="BK630" s="12"/>
      <c r="BL630" s="12"/>
      <c r="BM630" s="12"/>
      <c r="BN630" s="12"/>
      <c r="BO630" s="12"/>
      <c r="BP630" s="12"/>
      <c r="BQ630" s="12"/>
      <c r="BR630" s="12"/>
      <c r="BS630" s="12"/>
      <c r="BT630" s="12"/>
      <c r="BU630" s="12"/>
      <c r="BV630" s="12"/>
      <c r="BW630" s="12"/>
      <c r="BX630" s="12"/>
      <c r="BY630" s="12"/>
      <c r="BZ630" s="12"/>
      <c r="CA630" s="12"/>
      <c r="CB630" s="12"/>
      <c r="CC630" s="12"/>
      <c r="CD630" s="12"/>
      <c r="CE630" s="12"/>
      <c r="CF630" s="12"/>
      <c r="CG630" s="12"/>
      <c r="CH630" s="12"/>
      <c r="CI630" s="12"/>
      <c r="CJ630" s="12"/>
      <c r="CK630" s="12"/>
      <c r="CL630" s="12"/>
      <c r="CM630" s="12"/>
      <c r="CN630" s="12"/>
      <c r="CO630" s="12"/>
      <c r="CP630" s="12"/>
      <c r="CQ630" s="12"/>
      <c r="CR630" s="12"/>
      <c r="CS630" s="12"/>
      <c r="CT630" s="12"/>
      <c r="CU630" s="12"/>
      <c r="CV630" s="12"/>
      <c r="CW630" s="12"/>
      <c r="CX630" s="12"/>
      <c r="CY630" s="12"/>
      <c r="CZ630" s="12"/>
      <c r="DA630" s="12"/>
      <c r="DB630" s="12"/>
      <c r="DC630" s="12"/>
      <c r="DD630" s="12"/>
      <c r="DE630" s="12"/>
      <c r="DF630" s="12"/>
      <c r="DG630" s="12"/>
      <c r="DH630" s="12"/>
      <c r="DI630" s="12"/>
      <c r="DJ630" s="12"/>
      <c r="DK630" s="12"/>
      <c r="DL630" s="12"/>
      <c r="DM630" s="12"/>
      <c r="DN630" s="12"/>
      <c r="DO630" s="12"/>
      <c r="DP630" s="12"/>
      <c r="DQ630" s="12"/>
      <c r="DR630" s="12"/>
      <c r="DS630" s="12"/>
      <c r="DT630" s="12"/>
      <c r="DU630" s="12"/>
      <c r="DV630" s="12"/>
      <c r="DW630" s="12"/>
      <c r="DX630" s="12"/>
      <c r="DY630" s="12"/>
      <c r="DZ630" s="12"/>
      <c r="EA630" s="12"/>
      <c r="EB630" s="12"/>
      <c r="EC630" s="12"/>
      <c r="ED630" s="12"/>
      <c r="EE630" s="12"/>
      <c r="EF630" s="12"/>
      <c r="EG630" s="12"/>
      <c r="EH630" s="12"/>
      <c r="EI630" s="12"/>
      <c r="EJ630" s="574"/>
      <c r="EK630" s="574"/>
      <c r="EL630" s="574"/>
      <c r="EM630" s="574"/>
      <c r="EN630" s="574"/>
      <c r="EO630" s="574"/>
      <c r="EP630" s="574"/>
      <c r="EQ630" s="574"/>
      <c r="ER630" s="574"/>
      <c r="ES630" s="574"/>
      <c r="ET630" s="574"/>
      <c r="EU630" s="574"/>
    </row>
    <row r="631">
      <c r="A631" s="12"/>
      <c r="B631" s="55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12"/>
      <c r="AY631" s="12"/>
      <c r="AZ631" s="12"/>
      <c r="BA631" s="12"/>
      <c r="BB631" s="12"/>
      <c r="BC631" s="12"/>
      <c r="BD631" s="12"/>
      <c r="BE631" s="12"/>
      <c r="BF631" s="12"/>
      <c r="BG631" s="12"/>
      <c r="BH631" s="12"/>
      <c r="BI631" s="12"/>
      <c r="BJ631" s="12"/>
      <c r="BK631" s="12"/>
      <c r="BL631" s="12"/>
      <c r="BM631" s="12"/>
      <c r="BN631" s="12"/>
      <c r="BO631" s="12"/>
      <c r="BP631" s="12"/>
      <c r="BQ631" s="12"/>
      <c r="BR631" s="12"/>
      <c r="BS631" s="12"/>
      <c r="BT631" s="12"/>
      <c r="BU631" s="12"/>
      <c r="BV631" s="12"/>
      <c r="BW631" s="12"/>
      <c r="BX631" s="12"/>
      <c r="BY631" s="12"/>
      <c r="BZ631" s="12"/>
      <c r="CA631" s="12"/>
      <c r="CB631" s="12"/>
      <c r="CC631" s="12"/>
      <c r="CD631" s="12"/>
      <c r="CE631" s="12"/>
      <c r="CF631" s="12"/>
      <c r="CG631" s="12"/>
      <c r="CH631" s="12"/>
      <c r="CI631" s="12"/>
      <c r="CJ631" s="12"/>
      <c r="CK631" s="12"/>
      <c r="CL631" s="12"/>
      <c r="CM631" s="12"/>
      <c r="CN631" s="12"/>
      <c r="CO631" s="12"/>
      <c r="CP631" s="12"/>
      <c r="CQ631" s="12"/>
      <c r="CR631" s="12"/>
      <c r="CS631" s="12"/>
      <c r="CT631" s="12"/>
      <c r="CU631" s="12"/>
      <c r="CV631" s="12"/>
      <c r="CW631" s="12"/>
      <c r="CX631" s="12"/>
      <c r="CY631" s="12"/>
      <c r="CZ631" s="12"/>
      <c r="DA631" s="12"/>
      <c r="DB631" s="12"/>
      <c r="DC631" s="12"/>
      <c r="DD631" s="12"/>
      <c r="DE631" s="12"/>
      <c r="DF631" s="12"/>
      <c r="DG631" s="12"/>
      <c r="DH631" s="12"/>
      <c r="DI631" s="12"/>
      <c r="DJ631" s="12"/>
      <c r="DK631" s="12"/>
      <c r="DL631" s="12"/>
      <c r="DM631" s="12"/>
      <c r="DN631" s="12"/>
      <c r="DO631" s="12"/>
      <c r="DP631" s="12"/>
      <c r="DQ631" s="12"/>
      <c r="DR631" s="12"/>
      <c r="DS631" s="12"/>
      <c r="DT631" s="12"/>
      <c r="DU631" s="12"/>
      <c r="DV631" s="12"/>
      <c r="DW631" s="12"/>
      <c r="DX631" s="12"/>
      <c r="DY631" s="12"/>
      <c r="DZ631" s="12"/>
      <c r="EA631" s="12"/>
      <c r="EB631" s="12"/>
      <c r="EC631" s="12"/>
      <c r="ED631" s="12"/>
      <c r="EE631" s="12"/>
      <c r="EF631" s="12"/>
      <c r="EG631" s="12"/>
      <c r="EH631" s="12"/>
      <c r="EI631" s="12"/>
      <c r="EJ631" s="574"/>
      <c r="EK631" s="574"/>
      <c r="EL631" s="574"/>
      <c r="EM631" s="574"/>
      <c r="EN631" s="574"/>
      <c r="EO631" s="574"/>
      <c r="EP631" s="574"/>
      <c r="EQ631" s="574"/>
      <c r="ER631" s="574"/>
      <c r="ES631" s="574"/>
      <c r="ET631" s="574"/>
      <c r="EU631" s="574"/>
    </row>
    <row r="632">
      <c r="A632" s="12"/>
      <c r="B632" s="55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2"/>
      <c r="AY632" s="12"/>
      <c r="AZ632" s="12"/>
      <c r="BA632" s="12"/>
      <c r="BB632" s="12"/>
      <c r="BC632" s="12"/>
      <c r="BD632" s="12"/>
      <c r="BE632" s="12"/>
      <c r="BF632" s="12"/>
      <c r="BG632" s="12"/>
      <c r="BH632" s="12"/>
      <c r="BI632" s="12"/>
      <c r="BJ632" s="12"/>
      <c r="BK632" s="12"/>
      <c r="BL632" s="12"/>
      <c r="BM632" s="12"/>
      <c r="BN632" s="12"/>
      <c r="BO632" s="12"/>
      <c r="BP632" s="12"/>
      <c r="BQ632" s="12"/>
      <c r="BR632" s="12"/>
      <c r="BS632" s="12"/>
      <c r="BT632" s="12"/>
      <c r="BU632" s="12"/>
      <c r="BV632" s="12"/>
      <c r="BW632" s="12"/>
      <c r="BX632" s="12"/>
      <c r="BY632" s="12"/>
      <c r="BZ632" s="12"/>
      <c r="CA632" s="12"/>
      <c r="CB632" s="12"/>
      <c r="CC632" s="12"/>
      <c r="CD632" s="12"/>
      <c r="CE632" s="12"/>
      <c r="CF632" s="12"/>
      <c r="CG632" s="12"/>
      <c r="CH632" s="12"/>
      <c r="CI632" s="12"/>
      <c r="CJ632" s="12"/>
      <c r="CK632" s="12"/>
      <c r="CL632" s="12"/>
      <c r="CM632" s="12"/>
      <c r="CN632" s="12"/>
      <c r="CO632" s="12"/>
      <c r="CP632" s="12"/>
      <c r="CQ632" s="12"/>
      <c r="CR632" s="12"/>
      <c r="CS632" s="12"/>
      <c r="CT632" s="12"/>
      <c r="CU632" s="12"/>
      <c r="CV632" s="12"/>
      <c r="CW632" s="12"/>
      <c r="CX632" s="12"/>
      <c r="CY632" s="12"/>
      <c r="CZ632" s="12"/>
      <c r="DA632" s="12"/>
      <c r="DB632" s="12"/>
      <c r="DC632" s="12"/>
      <c r="DD632" s="12"/>
      <c r="DE632" s="12"/>
      <c r="DF632" s="12"/>
      <c r="DG632" s="12"/>
      <c r="DH632" s="12"/>
      <c r="DI632" s="12"/>
      <c r="DJ632" s="12"/>
      <c r="DK632" s="12"/>
      <c r="DL632" s="12"/>
      <c r="DM632" s="12"/>
      <c r="DN632" s="12"/>
      <c r="DO632" s="12"/>
      <c r="DP632" s="12"/>
      <c r="DQ632" s="12"/>
      <c r="DR632" s="12"/>
      <c r="DS632" s="12"/>
      <c r="DT632" s="12"/>
      <c r="DU632" s="12"/>
      <c r="DV632" s="12"/>
      <c r="DW632" s="12"/>
      <c r="DX632" s="12"/>
      <c r="DY632" s="12"/>
      <c r="DZ632" s="12"/>
      <c r="EA632" s="12"/>
      <c r="EB632" s="12"/>
      <c r="EC632" s="12"/>
      <c r="ED632" s="12"/>
      <c r="EE632" s="12"/>
      <c r="EF632" s="12"/>
      <c r="EG632" s="12"/>
      <c r="EH632" s="12"/>
      <c r="EI632" s="12"/>
      <c r="EJ632" s="574"/>
      <c r="EK632" s="574"/>
      <c r="EL632" s="574"/>
      <c r="EM632" s="574"/>
      <c r="EN632" s="574"/>
      <c r="EO632" s="574"/>
      <c r="EP632" s="574"/>
      <c r="EQ632" s="574"/>
      <c r="ER632" s="574"/>
      <c r="ES632" s="574"/>
      <c r="ET632" s="574"/>
      <c r="EU632" s="574"/>
    </row>
    <row r="633">
      <c r="A633" s="12"/>
      <c r="B633" s="55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12"/>
      <c r="AY633" s="12"/>
      <c r="AZ633" s="12"/>
      <c r="BA633" s="12"/>
      <c r="BB633" s="12"/>
      <c r="BC633" s="12"/>
      <c r="BD633" s="12"/>
      <c r="BE633" s="12"/>
      <c r="BF633" s="12"/>
      <c r="BG633" s="12"/>
      <c r="BH633" s="12"/>
      <c r="BI633" s="12"/>
      <c r="BJ633" s="12"/>
      <c r="BK633" s="12"/>
      <c r="BL633" s="12"/>
      <c r="BM633" s="12"/>
      <c r="BN633" s="12"/>
      <c r="BO633" s="12"/>
      <c r="BP633" s="12"/>
      <c r="BQ633" s="12"/>
      <c r="BR633" s="12"/>
      <c r="BS633" s="12"/>
      <c r="BT633" s="12"/>
      <c r="BU633" s="12"/>
      <c r="BV633" s="12"/>
      <c r="BW633" s="12"/>
      <c r="BX633" s="12"/>
      <c r="BY633" s="12"/>
      <c r="BZ633" s="12"/>
      <c r="CA633" s="12"/>
      <c r="CB633" s="12"/>
      <c r="CC633" s="12"/>
      <c r="CD633" s="12"/>
      <c r="CE633" s="12"/>
      <c r="CF633" s="12"/>
      <c r="CG633" s="12"/>
      <c r="CH633" s="12"/>
      <c r="CI633" s="12"/>
      <c r="CJ633" s="12"/>
      <c r="CK633" s="12"/>
      <c r="CL633" s="12"/>
      <c r="CM633" s="12"/>
      <c r="CN633" s="12"/>
      <c r="CO633" s="12"/>
      <c r="CP633" s="12"/>
      <c r="CQ633" s="12"/>
      <c r="CR633" s="12"/>
      <c r="CS633" s="12"/>
      <c r="CT633" s="12"/>
      <c r="CU633" s="12"/>
      <c r="CV633" s="12"/>
      <c r="CW633" s="12"/>
      <c r="CX633" s="12"/>
      <c r="CY633" s="12"/>
      <c r="CZ633" s="12"/>
      <c r="DA633" s="12"/>
      <c r="DB633" s="12"/>
      <c r="DC633" s="12"/>
      <c r="DD633" s="12"/>
      <c r="DE633" s="12"/>
      <c r="DF633" s="12"/>
      <c r="DG633" s="12"/>
      <c r="DH633" s="12"/>
      <c r="DI633" s="12"/>
      <c r="DJ633" s="12"/>
      <c r="DK633" s="12"/>
      <c r="DL633" s="12"/>
      <c r="DM633" s="12"/>
      <c r="DN633" s="12"/>
      <c r="DO633" s="12"/>
      <c r="DP633" s="12"/>
      <c r="DQ633" s="12"/>
      <c r="DR633" s="12"/>
      <c r="DS633" s="12"/>
      <c r="DT633" s="12"/>
      <c r="DU633" s="12"/>
      <c r="DV633" s="12"/>
      <c r="DW633" s="12"/>
      <c r="DX633" s="12"/>
      <c r="DY633" s="12"/>
      <c r="DZ633" s="12"/>
      <c r="EA633" s="12"/>
      <c r="EB633" s="12"/>
      <c r="EC633" s="12"/>
      <c r="ED633" s="12"/>
      <c r="EE633" s="12"/>
      <c r="EF633" s="12"/>
      <c r="EG633" s="12"/>
      <c r="EH633" s="12"/>
      <c r="EI633" s="12"/>
      <c r="EJ633" s="574"/>
      <c r="EK633" s="574"/>
      <c r="EL633" s="574"/>
      <c r="EM633" s="574"/>
      <c r="EN633" s="574"/>
      <c r="EO633" s="574"/>
      <c r="EP633" s="574"/>
      <c r="EQ633" s="574"/>
      <c r="ER633" s="574"/>
      <c r="ES633" s="574"/>
      <c r="ET633" s="574"/>
      <c r="EU633" s="574"/>
    </row>
    <row r="634">
      <c r="A634" s="12"/>
      <c r="B634" s="55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2"/>
      <c r="AY634" s="12"/>
      <c r="AZ634" s="12"/>
      <c r="BA634" s="12"/>
      <c r="BB634" s="12"/>
      <c r="BC634" s="12"/>
      <c r="BD634" s="12"/>
      <c r="BE634" s="12"/>
      <c r="BF634" s="12"/>
      <c r="BG634" s="12"/>
      <c r="BH634" s="12"/>
      <c r="BI634" s="12"/>
      <c r="BJ634" s="12"/>
      <c r="BK634" s="12"/>
      <c r="BL634" s="12"/>
      <c r="BM634" s="12"/>
      <c r="BN634" s="12"/>
      <c r="BO634" s="12"/>
      <c r="BP634" s="12"/>
      <c r="BQ634" s="12"/>
      <c r="BR634" s="12"/>
      <c r="BS634" s="12"/>
      <c r="BT634" s="12"/>
      <c r="BU634" s="12"/>
      <c r="BV634" s="12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574"/>
      <c r="EK634" s="574"/>
      <c r="EL634" s="574"/>
      <c r="EM634" s="574"/>
      <c r="EN634" s="574"/>
      <c r="EO634" s="574"/>
      <c r="EP634" s="574"/>
      <c r="EQ634" s="574"/>
      <c r="ER634" s="574"/>
      <c r="ES634" s="574"/>
      <c r="ET634" s="574"/>
      <c r="EU634" s="574"/>
    </row>
    <row r="635">
      <c r="A635" s="12"/>
      <c r="B635" s="55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12"/>
      <c r="AY635" s="12"/>
      <c r="AZ635" s="12"/>
      <c r="BA635" s="12"/>
      <c r="BB635" s="12"/>
      <c r="BC635" s="12"/>
      <c r="BD635" s="12"/>
      <c r="BE635" s="12"/>
      <c r="BF635" s="12"/>
      <c r="BG635" s="12"/>
      <c r="BH635" s="12"/>
      <c r="BI635" s="12"/>
      <c r="BJ635" s="12"/>
      <c r="BK635" s="12"/>
      <c r="BL635" s="12"/>
      <c r="BM635" s="12"/>
      <c r="BN635" s="12"/>
      <c r="BO635" s="12"/>
      <c r="BP635" s="12"/>
      <c r="BQ635" s="12"/>
      <c r="BR635" s="12"/>
      <c r="BS635" s="12"/>
      <c r="BT635" s="12"/>
      <c r="BU635" s="12"/>
      <c r="BV635" s="12"/>
      <c r="BW635" s="12"/>
      <c r="BX635" s="12"/>
      <c r="BY635" s="12"/>
      <c r="BZ635" s="12"/>
      <c r="CA635" s="12"/>
      <c r="CB635" s="12"/>
      <c r="CC635" s="12"/>
      <c r="CD635" s="12"/>
      <c r="CE635" s="12"/>
      <c r="CF635" s="12"/>
      <c r="CG635" s="12"/>
      <c r="CH635" s="12"/>
      <c r="CI635" s="12"/>
      <c r="CJ635" s="12"/>
      <c r="CK635" s="12"/>
      <c r="CL635" s="12"/>
      <c r="CM635" s="12"/>
      <c r="CN635" s="12"/>
      <c r="CO635" s="12"/>
      <c r="CP635" s="12"/>
      <c r="CQ635" s="12"/>
      <c r="CR635" s="12"/>
      <c r="CS635" s="12"/>
      <c r="CT635" s="12"/>
      <c r="CU635" s="12"/>
      <c r="CV635" s="12"/>
      <c r="CW635" s="12"/>
      <c r="CX635" s="12"/>
      <c r="CY635" s="12"/>
      <c r="CZ635" s="12"/>
      <c r="DA635" s="12"/>
      <c r="DB635" s="12"/>
      <c r="DC635" s="12"/>
      <c r="DD635" s="12"/>
      <c r="DE635" s="12"/>
      <c r="DF635" s="12"/>
      <c r="DG635" s="12"/>
      <c r="DH635" s="12"/>
      <c r="DI635" s="12"/>
      <c r="DJ635" s="12"/>
      <c r="DK635" s="12"/>
      <c r="DL635" s="12"/>
      <c r="DM635" s="12"/>
      <c r="DN635" s="12"/>
      <c r="DO635" s="12"/>
      <c r="DP635" s="12"/>
      <c r="DQ635" s="12"/>
      <c r="DR635" s="12"/>
      <c r="DS635" s="12"/>
      <c r="DT635" s="12"/>
      <c r="DU635" s="12"/>
      <c r="DV635" s="12"/>
      <c r="DW635" s="12"/>
      <c r="DX635" s="12"/>
      <c r="DY635" s="12"/>
      <c r="DZ635" s="12"/>
      <c r="EA635" s="12"/>
      <c r="EB635" s="12"/>
      <c r="EC635" s="12"/>
      <c r="ED635" s="12"/>
      <c r="EE635" s="12"/>
      <c r="EF635" s="12"/>
      <c r="EG635" s="12"/>
      <c r="EH635" s="12"/>
      <c r="EI635" s="12"/>
      <c r="EJ635" s="574"/>
      <c r="EK635" s="574"/>
      <c r="EL635" s="574"/>
      <c r="EM635" s="574"/>
      <c r="EN635" s="574"/>
      <c r="EO635" s="574"/>
      <c r="EP635" s="574"/>
      <c r="EQ635" s="574"/>
      <c r="ER635" s="574"/>
      <c r="ES635" s="574"/>
      <c r="ET635" s="574"/>
      <c r="EU635" s="574"/>
    </row>
    <row r="636">
      <c r="A636" s="12"/>
      <c r="B636" s="55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  <c r="AY636" s="12"/>
      <c r="AZ636" s="12"/>
      <c r="BA636" s="12"/>
      <c r="BB636" s="12"/>
      <c r="BC636" s="12"/>
      <c r="BD636" s="12"/>
      <c r="BE636" s="12"/>
      <c r="BF636" s="12"/>
      <c r="BG636" s="12"/>
      <c r="BH636" s="12"/>
      <c r="BI636" s="12"/>
      <c r="BJ636" s="12"/>
      <c r="BK636" s="12"/>
      <c r="BL636" s="12"/>
      <c r="BM636" s="12"/>
      <c r="BN636" s="12"/>
      <c r="BO636" s="12"/>
      <c r="BP636" s="12"/>
      <c r="BQ636" s="12"/>
      <c r="BR636" s="12"/>
      <c r="BS636" s="12"/>
      <c r="BT636" s="12"/>
      <c r="BU636" s="12"/>
      <c r="BV636" s="12"/>
      <c r="BW636" s="12"/>
      <c r="BX636" s="12"/>
      <c r="BY636" s="12"/>
      <c r="BZ636" s="12"/>
      <c r="CA636" s="12"/>
      <c r="CB636" s="12"/>
      <c r="CC636" s="12"/>
      <c r="CD636" s="12"/>
      <c r="CE636" s="12"/>
      <c r="CF636" s="12"/>
      <c r="CG636" s="12"/>
      <c r="CH636" s="12"/>
      <c r="CI636" s="12"/>
      <c r="CJ636" s="12"/>
      <c r="CK636" s="12"/>
      <c r="CL636" s="12"/>
      <c r="CM636" s="12"/>
      <c r="CN636" s="12"/>
      <c r="CO636" s="12"/>
      <c r="CP636" s="12"/>
      <c r="CQ636" s="12"/>
      <c r="CR636" s="12"/>
      <c r="CS636" s="12"/>
      <c r="CT636" s="12"/>
      <c r="CU636" s="12"/>
      <c r="CV636" s="12"/>
      <c r="CW636" s="12"/>
      <c r="CX636" s="12"/>
      <c r="CY636" s="12"/>
      <c r="CZ636" s="12"/>
      <c r="DA636" s="12"/>
      <c r="DB636" s="12"/>
      <c r="DC636" s="12"/>
      <c r="DD636" s="12"/>
      <c r="DE636" s="12"/>
      <c r="DF636" s="12"/>
      <c r="DG636" s="12"/>
      <c r="DH636" s="12"/>
      <c r="DI636" s="12"/>
      <c r="DJ636" s="12"/>
      <c r="DK636" s="12"/>
      <c r="DL636" s="12"/>
      <c r="DM636" s="12"/>
      <c r="DN636" s="12"/>
      <c r="DO636" s="12"/>
      <c r="DP636" s="12"/>
      <c r="DQ636" s="12"/>
      <c r="DR636" s="12"/>
      <c r="DS636" s="12"/>
      <c r="DT636" s="12"/>
      <c r="DU636" s="12"/>
      <c r="DV636" s="12"/>
      <c r="DW636" s="12"/>
      <c r="DX636" s="12"/>
      <c r="DY636" s="12"/>
      <c r="DZ636" s="12"/>
      <c r="EA636" s="12"/>
      <c r="EB636" s="12"/>
      <c r="EC636" s="12"/>
      <c r="ED636" s="12"/>
      <c r="EE636" s="12"/>
      <c r="EF636" s="12"/>
      <c r="EG636" s="12"/>
      <c r="EH636" s="12"/>
      <c r="EI636" s="12"/>
      <c r="EJ636" s="574"/>
      <c r="EK636" s="574"/>
      <c r="EL636" s="574"/>
      <c r="EM636" s="574"/>
      <c r="EN636" s="574"/>
      <c r="EO636" s="574"/>
      <c r="EP636" s="574"/>
      <c r="EQ636" s="574"/>
      <c r="ER636" s="574"/>
      <c r="ES636" s="574"/>
      <c r="ET636" s="574"/>
      <c r="EU636" s="574"/>
    </row>
    <row r="637">
      <c r="A637" s="12"/>
      <c r="B637" s="55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2"/>
      <c r="AY637" s="12"/>
      <c r="AZ637" s="12"/>
      <c r="BA637" s="12"/>
      <c r="BB637" s="12"/>
      <c r="BC637" s="12"/>
      <c r="BD637" s="12"/>
      <c r="BE637" s="12"/>
      <c r="BF637" s="12"/>
      <c r="BG637" s="12"/>
      <c r="BH637" s="12"/>
      <c r="BI637" s="12"/>
      <c r="BJ637" s="12"/>
      <c r="BK637" s="12"/>
      <c r="BL637" s="12"/>
      <c r="BM637" s="12"/>
      <c r="BN637" s="12"/>
      <c r="BO637" s="12"/>
      <c r="BP637" s="12"/>
      <c r="BQ637" s="12"/>
      <c r="BR637" s="12"/>
      <c r="BS637" s="12"/>
      <c r="BT637" s="12"/>
      <c r="BU637" s="12"/>
      <c r="BV637" s="12"/>
      <c r="BW637" s="12"/>
      <c r="BX637" s="12"/>
      <c r="BY637" s="12"/>
      <c r="BZ637" s="12"/>
      <c r="CA637" s="12"/>
      <c r="CB637" s="12"/>
      <c r="CC637" s="12"/>
      <c r="CD637" s="12"/>
      <c r="CE637" s="12"/>
      <c r="CF637" s="12"/>
      <c r="CG637" s="12"/>
      <c r="CH637" s="12"/>
      <c r="CI637" s="12"/>
      <c r="CJ637" s="12"/>
      <c r="CK637" s="12"/>
      <c r="CL637" s="12"/>
      <c r="CM637" s="12"/>
      <c r="CN637" s="12"/>
      <c r="CO637" s="12"/>
      <c r="CP637" s="12"/>
      <c r="CQ637" s="12"/>
      <c r="CR637" s="12"/>
      <c r="CS637" s="12"/>
      <c r="CT637" s="12"/>
      <c r="CU637" s="12"/>
      <c r="CV637" s="12"/>
      <c r="CW637" s="12"/>
      <c r="CX637" s="12"/>
      <c r="CY637" s="12"/>
      <c r="CZ637" s="12"/>
      <c r="DA637" s="12"/>
      <c r="DB637" s="12"/>
      <c r="DC637" s="12"/>
      <c r="DD637" s="12"/>
      <c r="DE637" s="12"/>
      <c r="DF637" s="12"/>
      <c r="DG637" s="12"/>
      <c r="DH637" s="12"/>
      <c r="DI637" s="12"/>
      <c r="DJ637" s="12"/>
      <c r="DK637" s="12"/>
      <c r="DL637" s="12"/>
      <c r="DM637" s="12"/>
      <c r="DN637" s="12"/>
      <c r="DO637" s="12"/>
      <c r="DP637" s="12"/>
      <c r="DQ637" s="12"/>
      <c r="DR637" s="12"/>
      <c r="DS637" s="12"/>
      <c r="DT637" s="12"/>
      <c r="DU637" s="12"/>
      <c r="DV637" s="12"/>
      <c r="DW637" s="12"/>
      <c r="DX637" s="12"/>
      <c r="DY637" s="12"/>
      <c r="DZ637" s="12"/>
      <c r="EA637" s="12"/>
      <c r="EB637" s="12"/>
      <c r="EC637" s="12"/>
      <c r="ED637" s="12"/>
      <c r="EE637" s="12"/>
      <c r="EF637" s="12"/>
      <c r="EG637" s="12"/>
      <c r="EH637" s="12"/>
      <c r="EI637" s="12"/>
      <c r="EJ637" s="574"/>
      <c r="EK637" s="574"/>
      <c r="EL637" s="574"/>
      <c r="EM637" s="574"/>
      <c r="EN637" s="574"/>
      <c r="EO637" s="574"/>
      <c r="EP637" s="574"/>
      <c r="EQ637" s="574"/>
      <c r="ER637" s="574"/>
      <c r="ES637" s="574"/>
      <c r="ET637" s="574"/>
      <c r="EU637" s="574"/>
    </row>
    <row r="638">
      <c r="A638" s="12"/>
      <c r="B638" s="55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  <c r="AY638" s="12"/>
      <c r="AZ638" s="12"/>
      <c r="BA638" s="12"/>
      <c r="BB638" s="12"/>
      <c r="BC638" s="12"/>
      <c r="BD638" s="12"/>
      <c r="BE638" s="12"/>
      <c r="BF638" s="12"/>
      <c r="BG638" s="12"/>
      <c r="BH638" s="12"/>
      <c r="BI638" s="12"/>
      <c r="BJ638" s="12"/>
      <c r="BK638" s="12"/>
      <c r="BL638" s="12"/>
      <c r="BM638" s="12"/>
      <c r="BN638" s="12"/>
      <c r="BO638" s="12"/>
      <c r="BP638" s="12"/>
      <c r="BQ638" s="12"/>
      <c r="BR638" s="12"/>
      <c r="BS638" s="12"/>
      <c r="BT638" s="12"/>
      <c r="BU638" s="12"/>
      <c r="BV638" s="12"/>
      <c r="BW638" s="12"/>
      <c r="BX638" s="12"/>
      <c r="BY638" s="12"/>
      <c r="BZ638" s="12"/>
      <c r="CA638" s="12"/>
      <c r="CB638" s="12"/>
      <c r="CC638" s="12"/>
      <c r="CD638" s="12"/>
      <c r="CE638" s="12"/>
      <c r="CF638" s="12"/>
      <c r="CG638" s="12"/>
      <c r="CH638" s="12"/>
      <c r="CI638" s="12"/>
      <c r="CJ638" s="12"/>
      <c r="CK638" s="12"/>
      <c r="CL638" s="12"/>
      <c r="CM638" s="12"/>
      <c r="CN638" s="12"/>
      <c r="CO638" s="12"/>
      <c r="CP638" s="12"/>
      <c r="CQ638" s="12"/>
      <c r="CR638" s="12"/>
      <c r="CS638" s="12"/>
      <c r="CT638" s="12"/>
      <c r="CU638" s="12"/>
      <c r="CV638" s="12"/>
      <c r="CW638" s="12"/>
      <c r="CX638" s="12"/>
      <c r="CY638" s="12"/>
      <c r="CZ638" s="12"/>
      <c r="DA638" s="12"/>
      <c r="DB638" s="12"/>
      <c r="DC638" s="12"/>
      <c r="DD638" s="12"/>
      <c r="DE638" s="12"/>
      <c r="DF638" s="12"/>
      <c r="DG638" s="12"/>
      <c r="DH638" s="12"/>
      <c r="DI638" s="12"/>
      <c r="DJ638" s="12"/>
      <c r="DK638" s="12"/>
      <c r="DL638" s="12"/>
      <c r="DM638" s="12"/>
      <c r="DN638" s="12"/>
      <c r="DO638" s="12"/>
      <c r="DP638" s="12"/>
      <c r="DQ638" s="12"/>
      <c r="DR638" s="12"/>
      <c r="DS638" s="12"/>
      <c r="DT638" s="12"/>
      <c r="DU638" s="12"/>
      <c r="DV638" s="12"/>
      <c r="DW638" s="12"/>
      <c r="DX638" s="12"/>
      <c r="DY638" s="12"/>
      <c r="DZ638" s="12"/>
      <c r="EA638" s="12"/>
      <c r="EB638" s="12"/>
      <c r="EC638" s="12"/>
      <c r="ED638" s="12"/>
      <c r="EE638" s="12"/>
      <c r="EF638" s="12"/>
      <c r="EG638" s="12"/>
      <c r="EH638" s="12"/>
      <c r="EI638" s="12"/>
      <c r="EJ638" s="574"/>
      <c r="EK638" s="574"/>
      <c r="EL638" s="574"/>
      <c r="EM638" s="574"/>
      <c r="EN638" s="574"/>
      <c r="EO638" s="574"/>
      <c r="EP638" s="574"/>
      <c r="EQ638" s="574"/>
      <c r="ER638" s="574"/>
      <c r="ES638" s="574"/>
      <c r="ET638" s="574"/>
      <c r="EU638" s="574"/>
    </row>
    <row r="639">
      <c r="A639" s="12"/>
      <c r="B639" s="55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2"/>
      <c r="AY639" s="12"/>
      <c r="AZ639" s="12"/>
      <c r="BA639" s="12"/>
      <c r="BB639" s="12"/>
      <c r="BC639" s="12"/>
      <c r="BD639" s="12"/>
      <c r="BE639" s="12"/>
      <c r="BF639" s="12"/>
      <c r="BG639" s="12"/>
      <c r="BH639" s="12"/>
      <c r="BI639" s="12"/>
      <c r="BJ639" s="12"/>
      <c r="BK639" s="12"/>
      <c r="BL639" s="12"/>
      <c r="BM639" s="12"/>
      <c r="BN639" s="12"/>
      <c r="BO639" s="12"/>
      <c r="BP639" s="12"/>
      <c r="BQ639" s="12"/>
      <c r="BR639" s="12"/>
      <c r="BS639" s="12"/>
      <c r="BT639" s="12"/>
      <c r="BU639" s="12"/>
      <c r="BV639" s="12"/>
      <c r="BW639" s="12"/>
      <c r="BX639" s="12"/>
      <c r="BY639" s="12"/>
      <c r="BZ639" s="12"/>
      <c r="CA639" s="12"/>
      <c r="CB639" s="12"/>
      <c r="CC639" s="12"/>
      <c r="CD639" s="12"/>
      <c r="CE639" s="12"/>
      <c r="CF639" s="12"/>
      <c r="CG639" s="12"/>
      <c r="CH639" s="12"/>
      <c r="CI639" s="12"/>
      <c r="CJ639" s="12"/>
      <c r="CK639" s="12"/>
      <c r="CL639" s="12"/>
      <c r="CM639" s="12"/>
      <c r="CN639" s="12"/>
      <c r="CO639" s="12"/>
      <c r="CP639" s="12"/>
      <c r="CQ639" s="12"/>
      <c r="CR639" s="12"/>
      <c r="CS639" s="12"/>
      <c r="CT639" s="12"/>
      <c r="CU639" s="12"/>
      <c r="CV639" s="12"/>
      <c r="CW639" s="12"/>
      <c r="CX639" s="12"/>
      <c r="CY639" s="12"/>
      <c r="CZ639" s="12"/>
      <c r="DA639" s="12"/>
      <c r="DB639" s="12"/>
      <c r="DC639" s="12"/>
      <c r="DD639" s="12"/>
      <c r="DE639" s="12"/>
      <c r="DF639" s="12"/>
      <c r="DG639" s="12"/>
      <c r="DH639" s="12"/>
      <c r="DI639" s="12"/>
      <c r="DJ639" s="12"/>
      <c r="DK639" s="12"/>
      <c r="DL639" s="12"/>
      <c r="DM639" s="12"/>
      <c r="DN639" s="12"/>
      <c r="DO639" s="12"/>
      <c r="DP639" s="12"/>
      <c r="DQ639" s="12"/>
      <c r="DR639" s="12"/>
      <c r="DS639" s="12"/>
      <c r="DT639" s="12"/>
      <c r="DU639" s="12"/>
      <c r="DV639" s="12"/>
      <c r="DW639" s="12"/>
      <c r="DX639" s="12"/>
      <c r="DY639" s="12"/>
      <c r="DZ639" s="12"/>
      <c r="EA639" s="12"/>
      <c r="EB639" s="12"/>
      <c r="EC639" s="12"/>
      <c r="ED639" s="12"/>
      <c r="EE639" s="12"/>
      <c r="EF639" s="12"/>
      <c r="EG639" s="12"/>
      <c r="EH639" s="12"/>
      <c r="EI639" s="12"/>
      <c r="EJ639" s="574"/>
      <c r="EK639" s="574"/>
      <c r="EL639" s="574"/>
      <c r="EM639" s="574"/>
      <c r="EN639" s="574"/>
      <c r="EO639" s="574"/>
      <c r="EP639" s="574"/>
      <c r="EQ639" s="574"/>
      <c r="ER639" s="574"/>
      <c r="ES639" s="574"/>
      <c r="ET639" s="574"/>
      <c r="EU639" s="574"/>
    </row>
    <row r="640">
      <c r="A640" s="12"/>
      <c r="B640" s="55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2"/>
      <c r="AY640" s="12"/>
      <c r="AZ640" s="12"/>
      <c r="BA640" s="12"/>
      <c r="BB640" s="12"/>
      <c r="BC640" s="12"/>
      <c r="BD640" s="12"/>
      <c r="BE640" s="12"/>
      <c r="BF640" s="12"/>
      <c r="BG640" s="12"/>
      <c r="BH640" s="12"/>
      <c r="BI640" s="12"/>
      <c r="BJ640" s="12"/>
      <c r="BK640" s="12"/>
      <c r="BL640" s="12"/>
      <c r="BM640" s="12"/>
      <c r="BN640" s="12"/>
      <c r="BO640" s="12"/>
      <c r="BP640" s="12"/>
      <c r="BQ640" s="12"/>
      <c r="BR640" s="12"/>
      <c r="BS640" s="12"/>
      <c r="BT640" s="12"/>
      <c r="BU640" s="12"/>
      <c r="BV640" s="12"/>
      <c r="BW640" s="12"/>
      <c r="BX640" s="12"/>
      <c r="BY640" s="12"/>
      <c r="BZ640" s="12"/>
      <c r="CA640" s="12"/>
      <c r="CB640" s="12"/>
      <c r="CC640" s="12"/>
      <c r="CD640" s="12"/>
      <c r="CE640" s="12"/>
      <c r="CF640" s="12"/>
      <c r="CG640" s="12"/>
      <c r="CH640" s="12"/>
      <c r="CI640" s="12"/>
      <c r="CJ640" s="12"/>
      <c r="CK640" s="12"/>
      <c r="CL640" s="12"/>
      <c r="CM640" s="12"/>
      <c r="CN640" s="12"/>
      <c r="CO640" s="12"/>
      <c r="CP640" s="12"/>
      <c r="CQ640" s="12"/>
      <c r="CR640" s="12"/>
      <c r="CS640" s="12"/>
      <c r="CT640" s="12"/>
      <c r="CU640" s="12"/>
      <c r="CV640" s="12"/>
      <c r="CW640" s="12"/>
      <c r="CX640" s="12"/>
      <c r="CY640" s="12"/>
      <c r="CZ640" s="12"/>
      <c r="DA640" s="12"/>
      <c r="DB640" s="12"/>
      <c r="DC640" s="12"/>
      <c r="DD640" s="12"/>
      <c r="DE640" s="12"/>
      <c r="DF640" s="12"/>
      <c r="DG640" s="12"/>
      <c r="DH640" s="12"/>
      <c r="DI640" s="12"/>
      <c r="DJ640" s="12"/>
      <c r="DK640" s="12"/>
      <c r="DL640" s="12"/>
      <c r="DM640" s="12"/>
      <c r="DN640" s="12"/>
      <c r="DO640" s="12"/>
      <c r="DP640" s="12"/>
      <c r="DQ640" s="12"/>
      <c r="DR640" s="12"/>
      <c r="DS640" s="12"/>
      <c r="DT640" s="12"/>
      <c r="DU640" s="12"/>
      <c r="DV640" s="12"/>
      <c r="DW640" s="12"/>
      <c r="DX640" s="12"/>
      <c r="DY640" s="12"/>
      <c r="DZ640" s="12"/>
      <c r="EA640" s="12"/>
      <c r="EB640" s="12"/>
      <c r="EC640" s="12"/>
      <c r="ED640" s="12"/>
      <c r="EE640" s="12"/>
      <c r="EF640" s="12"/>
      <c r="EG640" s="12"/>
      <c r="EH640" s="12"/>
      <c r="EI640" s="12"/>
      <c r="EJ640" s="574"/>
      <c r="EK640" s="574"/>
      <c r="EL640" s="574"/>
      <c r="EM640" s="574"/>
      <c r="EN640" s="574"/>
      <c r="EO640" s="574"/>
      <c r="EP640" s="574"/>
      <c r="EQ640" s="574"/>
      <c r="ER640" s="574"/>
      <c r="ES640" s="574"/>
      <c r="ET640" s="574"/>
      <c r="EU640" s="574"/>
    </row>
    <row r="641">
      <c r="A641" s="12"/>
      <c r="B641" s="55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2"/>
      <c r="AY641" s="12"/>
      <c r="AZ641" s="12"/>
      <c r="BA641" s="12"/>
      <c r="BB641" s="12"/>
      <c r="BC641" s="12"/>
      <c r="BD641" s="12"/>
      <c r="BE641" s="12"/>
      <c r="BF641" s="12"/>
      <c r="BG641" s="12"/>
      <c r="BH641" s="12"/>
      <c r="BI641" s="12"/>
      <c r="BJ641" s="12"/>
      <c r="BK641" s="12"/>
      <c r="BL641" s="12"/>
      <c r="BM641" s="12"/>
      <c r="BN641" s="12"/>
      <c r="BO641" s="12"/>
      <c r="BP641" s="12"/>
      <c r="BQ641" s="12"/>
      <c r="BR641" s="12"/>
      <c r="BS641" s="12"/>
      <c r="BT641" s="12"/>
      <c r="BU641" s="12"/>
      <c r="BV641" s="12"/>
      <c r="BW641" s="12"/>
      <c r="BX641" s="12"/>
      <c r="BY641" s="12"/>
      <c r="BZ641" s="12"/>
      <c r="CA641" s="12"/>
      <c r="CB641" s="12"/>
      <c r="CC641" s="12"/>
      <c r="CD641" s="12"/>
      <c r="CE641" s="12"/>
      <c r="CF641" s="12"/>
      <c r="CG641" s="12"/>
      <c r="CH641" s="12"/>
      <c r="CI641" s="12"/>
      <c r="CJ641" s="12"/>
      <c r="CK641" s="12"/>
      <c r="CL641" s="12"/>
      <c r="CM641" s="12"/>
      <c r="CN641" s="12"/>
      <c r="CO641" s="12"/>
      <c r="CP641" s="12"/>
      <c r="CQ641" s="12"/>
      <c r="CR641" s="12"/>
      <c r="CS641" s="12"/>
      <c r="CT641" s="12"/>
      <c r="CU641" s="12"/>
      <c r="CV641" s="12"/>
      <c r="CW641" s="12"/>
      <c r="CX641" s="12"/>
      <c r="CY641" s="12"/>
      <c r="CZ641" s="12"/>
      <c r="DA641" s="12"/>
      <c r="DB641" s="12"/>
      <c r="DC641" s="12"/>
      <c r="DD641" s="12"/>
      <c r="DE641" s="12"/>
      <c r="DF641" s="12"/>
      <c r="DG641" s="12"/>
      <c r="DH641" s="12"/>
      <c r="DI641" s="12"/>
      <c r="DJ641" s="12"/>
      <c r="DK641" s="12"/>
      <c r="DL641" s="12"/>
      <c r="DM641" s="12"/>
      <c r="DN641" s="12"/>
      <c r="DO641" s="12"/>
      <c r="DP641" s="12"/>
      <c r="DQ641" s="12"/>
      <c r="DR641" s="12"/>
      <c r="DS641" s="12"/>
      <c r="DT641" s="12"/>
      <c r="DU641" s="12"/>
      <c r="DV641" s="12"/>
      <c r="DW641" s="12"/>
      <c r="DX641" s="12"/>
      <c r="DY641" s="12"/>
      <c r="DZ641" s="12"/>
      <c r="EA641" s="12"/>
      <c r="EB641" s="12"/>
      <c r="EC641" s="12"/>
      <c r="ED641" s="12"/>
      <c r="EE641" s="12"/>
      <c r="EF641" s="12"/>
      <c r="EG641" s="12"/>
      <c r="EH641" s="12"/>
      <c r="EI641" s="12"/>
      <c r="EJ641" s="574"/>
      <c r="EK641" s="574"/>
      <c r="EL641" s="574"/>
      <c r="EM641" s="574"/>
      <c r="EN641" s="574"/>
      <c r="EO641" s="574"/>
      <c r="EP641" s="574"/>
      <c r="EQ641" s="574"/>
      <c r="ER641" s="574"/>
      <c r="ES641" s="574"/>
      <c r="ET641" s="574"/>
      <c r="EU641" s="574"/>
    </row>
    <row r="642">
      <c r="A642" s="12"/>
      <c r="B642" s="55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2"/>
      <c r="AY642" s="12"/>
      <c r="AZ642" s="12"/>
      <c r="BA642" s="12"/>
      <c r="BB642" s="12"/>
      <c r="BC642" s="12"/>
      <c r="BD642" s="12"/>
      <c r="BE642" s="12"/>
      <c r="BF642" s="12"/>
      <c r="BG642" s="12"/>
      <c r="BH642" s="12"/>
      <c r="BI642" s="12"/>
      <c r="BJ642" s="12"/>
      <c r="BK642" s="12"/>
      <c r="BL642" s="12"/>
      <c r="BM642" s="12"/>
      <c r="BN642" s="12"/>
      <c r="BO642" s="12"/>
      <c r="BP642" s="12"/>
      <c r="BQ642" s="12"/>
      <c r="BR642" s="12"/>
      <c r="BS642" s="12"/>
      <c r="BT642" s="12"/>
      <c r="BU642" s="12"/>
      <c r="BV642" s="12"/>
      <c r="BW642" s="12"/>
      <c r="BX642" s="12"/>
      <c r="BY642" s="12"/>
      <c r="BZ642" s="12"/>
      <c r="CA642" s="12"/>
      <c r="CB642" s="12"/>
      <c r="CC642" s="12"/>
      <c r="CD642" s="12"/>
      <c r="CE642" s="12"/>
      <c r="CF642" s="12"/>
      <c r="CG642" s="12"/>
      <c r="CH642" s="12"/>
      <c r="CI642" s="12"/>
      <c r="CJ642" s="12"/>
      <c r="CK642" s="12"/>
      <c r="CL642" s="12"/>
      <c r="CM642" s="12"/>
      <c r="CN642" s="12"/>
      <c r="CO642" s="12"/>
      <c r="CP642" s="12"/>
      <c r="CQ642" s="12"/>
      <c r="CR642" s="12"/>
      <c r="CS642" s="12"/>
      <c r="CT642" s="12"/>
      <c r="CU642" s="12"/>
      <c r="CV642" s="12"/>
      <c r="CW642" s="12"/>
      <c r="CX642" s="12"/>
      <c r="CY642" s="12"/>
      <c r="CZ642" s="12"/>
      <c r="DA642" s="12"/>
      <c r="DB642" s="12"/>
      <c r="DC642" s="12"/>
      <c r="DD642" s="12"/>
      <c r="DE642" s="12"/>
      <c r="DF642" s="12"/>
      <c r="DG642" s="12"/>
      <c r="DH642" s="12"/>
      <c r="DI642" s="12"/>
      <c r="DJ642" s="12"/>
      <c r="DK642" s="12"/>
      <c r="DL642" s="12"/>
      <c r="DM642" s="12"/>
      <c r="DN642" s="12"/>
      <c r="DO642" s="12"/>
      <c r="DP642" s="12"/>
      <c r="DQ642" s="12"/>
      <c r="DR642" s="12"/>
      <c r="DS642" s="12"/>
      <c r="DT642" s="12"/>
      <c r="DU642" s="12"/>
      <c r="DV642" s="12"/>
      <c r="DW642" s="12"/>
      <c r="DX642" s="12"/>
      <c r="DY642" s="12"/>
      <c r="DZ642" s="12"/>
      <c r="EA642" s="12"/>
      <c r="EB642" s="12"/>
      <c r="EC642" s="12"/>
      <c r="ED642" s="12"/>
      <c r="EE642" s="12"/>
      <c r="EF642" s="12"/>
      <c r="EG642" s="12"/>
      <c r="EH642" s="12"/>
      <c r="EI642" s="12"/>
      <c r="EJ642" s="574"/>
      <c r="EK642" s="574"/>
      <c r="EL642" s="574"/>
      <c r="EM642" s="574"/>
      <c r="EN642" s="574"/>
      <c r="EO642" s="574"/>
      <c r="EP642" s="574"/>
      <c r="EQ642" s="574"/>
      <c r="ER642" s="574"/>
      <c r="ES642" s="574"/>
      <c r="ET642" s="574"/>
      <c r="EU642" s="574"/>
    </row>
    <row r="643">
      <c r="A643" s="12"/>
      <c r="B643" s="55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12"/>
      <c r="AY643" s="12"/>
      <c r="AZ643" s="12"/>
      <c r="BA643" s="12"/>
      <c r="BB643" s="12"/>
      <c r="BC643" s="12"/>
      <c r="BD643" s="12"/>
      <c r="BE643" s="12"/>
      <c r="BF643" s="12"/>
      <c r="BG643" s="12"/>
      <c r="BH643" s="12"/>
      <c r="BI643" s="12"/>
      <c r="BJ643" s="12"/>
      <c r="BK643" s="12"/>
      <c r="BL643" s="12"/>
      <c r="BM643" s="12"/>
      <c r="BN643" s="12"/>
      <c r="BO643" s="12"/>
      <c r="BP643" s="12"/>
      <c r="BQ643" s="12"/>
      <c r="BR643" s="12"/>
      <c r="BS643" s="12"/>
      <c r="BT643" s="12"/>
      <c r="BU643" s="12"/>
      <c r="BV643" s="12"/>
      <c r="BW643" s="12"/>
      <c r="BX643" s="12"/>
      <c r="BY643" s="12"/>
      <c r="BZ643" s="12"/>
      <c r="CA643" s="12"/>
      <c r="CB643" s="12"/>
      <c r="CC643" s="12"/>
      <c r="CD643" s="12"/>
      <c r="CE643" s="12"/>
      <c r="CF643" s="12"/>
      <c r="CG643" s="12"/>
      <c r="CH643" s="12"/>
      <c r="CI643" s="12"/>
      <c r="CJ643" s="12"/>
      <c r="CK643" s="12"/>
      <c r="CL643" s="12"/>
      <c r="CM643" s="12"/>
      <c r="CN643" s="12"/>
      <c r="CO643" s="12"/>
      <c r="CP643" s="12"/>
      <c r="CQ643" s="12"/>
      <c r="CR643" s="12"/>
      <c r="CS643" s="12"/>
      <c r="CT643" s="12"/>
      <c r="CU643" s="12"/>
      <c r="CV643" s="12"/>
      <c r="CW643" s="12"/>
      <c r="CX643" s="12"/>
      <c r="CY643" s="12"/>
      <c r="CZ643" s="12"/>
      <c r="DA643" s="12"/>
      <c r="DB643" s="12"/>
      <c r="DC643" s="12"/>
      <c r="DD643" s="12"/>
      <c r="DE643" s="12"/>
      <c r="DF643" s="12"/>
      <c r="DG643" s="12"/>
      <c r="DH643" s="12"/>
      <c r="DI643" s="12"/>
      <c r="DJ643" s="12"/>
      <c r="DK643" s="12"/>
      <c r="DL643" s="12"/>
      <c r="DM643" s="12"/>
      <c r="DN643" s="12"/>
      <c r="DO643" s="12"/>
      <c r="DP643" s="12"/>
      <c r="DQ643" s="12"/>
      <c r="DR643" s="12"/>
      <c r="DS643" s="12"/>
      <c r="DT643" s="12"/>
      <c r="DU643" s="12"/>
      <c r="DV643" s="12"/>
      <c r="DW643" s="12"/>
      <c r="DX643" s="12"/>
      <c r="DY643" s="12"/>
      <c r="DZ643" s="12"/>
      <c r="EA643" s="12"/>
      <c r="EB643" s="12"/>
      <c r="EC643" s="12"/>
      <c r="ED643" s="12"/>
      <c r="EE643" s="12"/>
      <c r="EF643" s="12"/>
      <c r="EG643" s="12"/>
      <c r="EH643" s="12"/>
      <c r="EI643" s="12"/>
      <c r="EJ643" s="574"/>
      <c r="EK643" s="574"/>
      <c r="EL643" s="574"/>
      <c r="EM643" s="574"/>
      <c r="EN643" s="574"/>
      <c r="EO643" s="574"/>
      <c r="EP643" s="574"/>
      <c r="EQ643" s="574"/>
      <c r="ER643" s="574"/>
      <c r="ES643" s="574"/>
      <c r="ET643" s="574"/>
      <c r="EU643" s="574"/>
    </row>
    <row r="644">
      <c r="A644" s="12"/>
      <c r="B644" s="55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2"/>
      <c r="AY644" s="12"/>
      <c r="AZ644" s="12"/>
      <c r="BA644" s="12"/>
      <c r="BB644" s="12"/>
      <c r="BC644" s="12"/>
      <c r="BD644" s="12"/>
      <c r="BE644" s="12"/>
      <c r="BF644" s="12"/>
      <c r="BG644" s="12"/>
      <c r="BH644" s="12"/>
      <c r="BI644" s="12"/>
      <c r="BJ644" s="12"/>
      <c r="BK644" s="12"/>
      <c r="BL644" s="12"/>
      <c r="BM644" s="12"/>
      <c r="BN644" s="12"/>
      <c r="BO644" s="12"/>
      <c r="BP644" s="12"/>
      <c r="BQ644" s="12"/>
      <c r="BR644" s="12"/>
      <c r="BS644" s="12"/>
      <c r="BT644" s="12"/>
      <c r="BU644" s="12"/>
      <c r="BV644" s="12"/>
      <c r="BW644" s="12"/>
      <c r="BX644" s="12"/>
      <c r="BY644" s="12"/>
      <c r="BZ644" s="12"/>
      <c r="CA644" s="12"/>
      <c r="CB644" s="12"/>
      <c r="CC644" s="12"/>
      <c r="CD644" s="12"/>
      <c r="CE644" s="12"/>
      <c r="CF644" s="12"/>
      <c r="CG644" s="12"/>
      <c r="CH644" s="12"/>
      <c r="CI644" s="12"/>
      <c r="CJ644" s="12"/>
      <c r="CK644" s="12"/>
      <c r="CL644" s="12"/>
      <c r="CM644" s="12"/>
      <c r="CN644" s="12"/>
      <c r="CO644" s="12"/>
      <c r="CP644" s="12"/>
      <c r="CQ644" s="12"/>
      <c r="CR644" s="12"/>
      <c r="CS644" s="12"/>
      <c r="CT644" s="12"/>
      <c r="CU644" s="12"/>
      <c r="CV644" s="12"/>
      <c r="CW644" s="12"/>
      <c r="CX644" s="12"/>
      <c r="CY644" s="12"/>
      <c r="CZ644" s="12"/>
      <c r="DA644" s="12"/>
      <c r="DB644" s="12"/>
      <c r="DC644" s="12"/>
      <c r="DD644" s="12"/>
      <c r="DE644" s="12"/>
      <c r="DF644" s="12"/>
      <c r="DG644" s="12"/>
      <c r="DH644" s="12"/>
      <c r="DI644" s="12"/>
      <c r="DJ644" s="12"/>
      <c r="DK644" s="12"/>
      <c r="DL644" s="12"/>
      <c r="DM644" s="12"/>
      <c r="DN644" s="12"/>
      <c r="DO644" s="12"/>
      <c r="DP644" s="12"/>
      <c r="DQ644" s="12"/>
      <c r="DR644" s="12"/>
      <c r="DS644" s="12"/>
      <c r="DT644" s="12"/>
      <c r="DU644" s="12"/>
      <c r="DV644" s="12"/>
      <c r="DW644" s="12"/>
      <c r="DX644" s="12"/>
      <c r="DY644" s="12"/>
      <c r="DZ644" s="12"/>
      <c r="EA644" s="12"/>
      <c r="EB644" s="12"/>
      <c r="EC644" s="12"/>
      <c r="ED644" s="12"/>
      <c r="EE644" s="12"/>
      <c r="EF644" s="12"/>
      <c r="EG644" s="12"/>
      <c r="EH644" s="12"/>
      <c r="EI644" s="12"/>
      <c r="EJ644" s="574"/>
      <c r="EK644" s="574"/>
      <c r="EL644" s="574"/>
      <c r="EM644" s="574"/>
      <c r="EN644" s="574"/>
      <c r="EO644" s="574"/>
      <c r="EP644" s="574"/>
      <c r="EQ644" s="574"/>
      <c r="ER644" s="574"/>
      <c r="ES644" s="574"/>
      <c r="ET644" s="574"/>
      <c r="EU644" s="574"/>
    </row>
    <row r="645">
      <c r="A645" s="12"/>
      <c r="B645" s="55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12"/>
      <c r="AY645" s="12"/>
      <c r="AZ645" s="12"/>
      <c r="BA645" s="12"/>
      <c r="BB645" s="12"/>
      <c r="BC645" s="12"/>
      <c r="BD645" s="12"/>
      <c r="BE645" s="12"/>
      <c r="BF645" s="12"/>
      <c r="BG645" s="12"/>
      <c r="BH645" s="12"/>
      <c r="BI645" s="12"/>
      <c r="BJ645" s="12"/>
      <c r="BK645" s="12"/>
      <c r="BL645" s="12"/>
      <c r="BM645" s="12"/>
      <c r="BN645" s="12"/>
      <c r="BO645" s="12"/>
      <c r="BP645" s="12"/>
      <c r="BQ645" s="12"/>
      <c r="BR645" s="12"/>
      <c r="BS645" s="12"/>
      <c r="BT645" s="12"/>
      <c r="BU645" s="12"/>
      <c r="BV645" s="12"/>
      <c r="BW645" s="12"/>
      <c r="BX645" s="12"/>
      <c r="BY645" s="12"/>
      <c r="BZ645" s="12"/>
      <c r="CA645" s="12"/>
      <c r="CB645" s="12"/>
      <c r="CC645" s="12"/>
      <c r="CD645" s="12"/>
      <c r="CE645" s="12"/>
      <c r="CF645" s="12"/>
      <c r="CG645" s="12"/>
      <c r="CH645" s="12"/>
      <c r="CI645" s="12"/>
      <c r="CJ645" s="12"/>
      <c r="CK645" s="12"/>
      <c r="CL645" s="12"/>
      <c r="CM645" s="12"/>
      <c r="CN645" s="12"/>
      <c r="CO645" s="12"/>
      <c r="CP645" s="12"/>
      <c r="CQ645" s="12"/>
      <c r="CR645" s="12"/>
      <c r="CS645" s="12"/>
      <c r="CT645" s="12"/>
      <c r="CU645" s="12"/>
      <c r="CV645" s="12"/>
      <c r="CW645" s="12"/>
      <c r="CX645" s="12"/>
      <c r="CY645" s="12"/>
      <c r="CZ645" s="12"/>
      <c r="DA645" s="12"/>
      <c r="DB645" s="12"/>
      <c r="DC645" s="12"/>
      <c r="DD645" s="12"/>
      <c r="DE645" s="12"/>
      <c r="DF645" s="12"/>
      <c r="DG645" s="12"/>
      <c r="DH645" s="12"/>
      <c r="DI645" s="12"/>
      <c r="DJ645" s="12"/>
      <c r="DK645" s="12"/>
      <c r="DL645" s="12"/>
      <c r="DM645" s="12"/>
      <c r="DN645" s="12"/>
      <c r="DO645" s="12"/>
      <c r="DP645" s="12"/>
      <c r="DQ645" s="12"/>
      <c r="DR645" s="12"/>
      <c r="DS645" s="12"/>
      <c r="DT645" s="12"/>
      <c r="DU645" s="12"/>
      <c r="DV645" s="12"/>
      <c r="DW645" s="12"/>
      <c r="DX645" s="12"/>
      <c r="DY645" s="12"/>
      <c r="DZ645" s="12"/>
      <c r="EA645" s="12"/>
      <c r="EB645" s="12"/>
      <c r="EC645" s="12"/>
      <c r="ED645" s="12"/>
      <c r="EE645" s="12"/>
      <c r="EF645" s="12"/>
      <c r="EG645" s="12"/>
      <c r="EH645" s="12"/>
      <c r="EI645" s="12"/>
      <c r="EJ645" s="574"/>
      <c r="EK645" s="574"/>
      <c r="EL645" s="574"/>
      <c r="EM645" s="574"/>
      <c r="EN645" s="574"/>
      <c r="EO645" s="574"/>
      <c r="EP645" s="574"/>
      <c r="EQ645" s="574"/>
      <c r="ER645" s="574"/>
      <c r="ES645" s="574"/>
      <c r="ET645" s="574"/>
      <c r="EU645" s="574"/>
    </row>
    <row r="646">
      <c r="A646" s="12"/>
      <c r="B646" s="55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12"/>
      <c r="AY646" s="12"/>
      <c r="AZ646" s="12"/>
      <c r="BA646" s="12"/>
      <c r="BB646" s="12"/>
      <c r="BC646" s="12"/>
      <c r="BD646" s="12"/>
      <c r="BE646" s="12"/>
      <c r="BF646" s="12"/>
      <c r="BG646" s="12"/>
      <c r="BH646" s="12"/>
      <c r="BI646" s="12"/>
      <c r="BJ646" s="12"/>
      <c r="BK646" s="12"/>
      <c r="BL646" s="12"/>
      <c r="BM646" s="12"/>
      <c r="BN646" s="12"/>
      <c r="BO646" s="12"/>
      <c r="BP646" s="12"/>
      <c r="BQ646" s="12"/>
      <c r="BR646" s="12"/>
      <c r="BS646" s="12"/>
      <c r="BT646" s="12"/>
      <c r="BU646" s="12"/>
      <c r="BV646" s="12"/>
      <c r="BW646" s="12"/>
      <c r="BX646" s="12"/>
      <c r="BY646" s="12"/>
      <c r="BZ646" s="12"/>
      <c r="CA646" s="12"/>
      <c r="CB646" s="12"/>
      <c r="CC646" s="12"/>
      <c r="CD646" s="12"/>
      <c r="CE646" s="12"/>
      <c r="CF646" s="12"/>
      <c r="CG646" s="12"/>
      <c r="CH646" s="12"/>
      <c r="CI646" s="12"/>
      <c r="CJ646" s="12"/>
      <c r="CK646" s="12"/>
      <c r="CL646" s="12"/>
      <c r="CM646" s="12"/>
      <c r="CN646" s="12"/>
      <c r="CO646" s="12"/>
      <c r="CP646" s="12"/>
      <c r="CQ646" s="12"/>
      <c r="CR646" s="12"/>
      <c r="CS646" s="12"/>
      <c r="CT646" s="12"/>
      <c r="CU646" s="12"/>
      <c r="CV646" s="12"/>
      <c r="CW646" s="12"/>
      <c r="CX646" s="12"/>
      <c r="CY646" s="12"/>
      <c r="CZ646" s="12"/>
      <c r="DA646" s="12"/>
      <c r="DB646" s="12"/>
      <c r="DC646" s="12"/>
      <c r="DD646" s="12"/>
      <c r="DE646" s="12"/>
      <c r="DF646" s="12"/>
      <c r="DG646" s="12"/>
      <c r="DH646" s="12"/>
      <c r="DI646" s="12"/>
      <c r="DJ646" s="12"/>
      <c r="DK646" s="12"/>
      <c r="DL646" s="12"/>
      <c r="DM646" s="12"/>
      <c r="DN646" s="12"/>
      <c r="DO646" s="12"/>
      <c r="DP646" s="12"/>
      <c r="DQ646" s="12"/>
      <c r="DR646" s="12"/>
      <c r="DS646" s="12"/>
      <c r="DT646" s="12"/>
      <c r="DU646" s="12"/>
      <c r="DV646" s="12"/>
      <c r="DW646" s="12"/>
      <c r="DX646" s="12"/>
      <c r="DY646" s="12"/>
      <c r="DZ646" s="12"/>
      <c r="EA646" s="12"/>
      <c r="EB646" s="12"/>
      <c r="EC646" s="12"/>
      <c r="ED646" s="12"/>
      <c r="EE646" s="12"/>
      <c r="EF646" s="12"/>
      <c r="EG646" s="12"/>
      <c r="EH646" s="12"/>
      <c r="EI646" s="12"/>
      <c r="EJ646" s="574"/>
      <c r="EK646" s="574"/>
      <c r="EL646" s="574"/>
      <c r="EM646" s="574"/>
      <c r="EN646" s="574"/>
      <c r="EO646" s="574"/>
      <c r="EP646" s="574"/>
      <c r="EQ646" s="574"/>
      <c r="ER646" s="574"/>
      <c r="ES646" s="574"/>
      <c r="ET646" s="574"/>
      <c r="EU646" s="574"/>
    </row>
    <row r="647">
      <c r="A647" s="12"/>
      <c r="B647" s="55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2"/>
      <c r="AY647" s="12"/>
      <c r="AZ647" s="12"/>
      <c r="BA647" s="12"/>
      <c r="BB647" s="12"/>
      <c r="BC647" s="12"/>
      <c r="BD647" s="12"/>
      <c r="BE647" s="12"/>
      <c r="BF647" s="12"/>
      <c r="BG647" s="12"/>
      <c r="BH647" s="12"/>
      <c r="BI647" s="12"/>
      <c r="BJ647" s="12"/>
      <c r="BK647" s="12"/>
      <c r="BL647" s="12"/>
      <c r="BM647" s="12"/>
      <c r="BN647" s="12"/>
      <c r="BO647" s="12"/>
      <c r="BP647" s="12"/>
      <c r="BQ647" s="12"/>
      <c r="BR647" s="12"/>
      <c r="BS647" s="12"/>
      <c r="BT647" s="12"/>
      <c r="BU647" s="12"/>
      <c r="BV647" s="12"/>
      <c r="BW647" s="12"/>
      <c r="BX647" s="12"/>
      <c r="BY647" s="12"/>
      <c r="BZ647" s="12"/>
      <c r="CA647" s="12"/>
      <c r="CB647" s="12"/>
      <c r="CC647" s="12"/>
      <c r="CD647" s="12"/>
      <c r="CE647" s="12"/>
      <c r="CF647" s="12"/>
      <c r="CG647" s="12"/>
      <c r="CH647" s="12"/>
      <c r="CI647" s="12"/>
      <c r="CJ647" s="12"/>
      <c r="CK647" s="12"/>
      <c r="CL647" s="12"/>
      <c r="CM647" s="12"/>
      <c r="CN647" s="12"/>
      <c r="CO647" s="12"/>
      <c r="CP647" s="12"/>
      <c r="CQ647" s="12"/>
      <c r="CR647" s="12"/>
      <c r="CS647" s="12"/>
      <c r="CT647" s="12"/>
      <c r="CU647" s="12"/>
      <c r="CV647" s="12"/>
      <c r="CW647" s="12"/>
      <c r="CX647" s="12"/>
      <c r="CY647" s="12"/>
      <c r="CZ647" s="12"/>
      <c r="DA647" s="12"/>
      <c r="DB647" s="12"/>
      <c r="DC647" s="12"/>
      <c r="DD647" s="12"/>
      <c r="DE647" s="12"/>
      <c r="DF647" s="12"/>
      <c r="DG647" s="12"/>
      <c r="DH647" s="12"/>
      <c r="DI647" s="12"/>
      <c r="DJ647" s="12"/>
      <c r="DK647" s="12"/>
      <c r="DL647" s="12"/>
      <c r="DM647" s="12"/>
      <c r="DN647" s="12"/>
      <c r="DO647" s="12"/>
      <c r="DP647" s="12"/>
      <c r="DQ647" s="12"/>
      <c r="DR647" s="12"/>
      <c r="DS647" s="12"/>
      <c r="DT647" s="12"/>
      <c r="DU647" s="12"/>
      <c r="DV647" s="12"/>
      <c r="DW647" s="12"/>
      <c r="DX647" s="12"/>
      <c r="DY647" s="12"/>
      <c r="DZ647" s="12"/>
      <c r="EA647" s="12"/>
      <c r="EB647" s="12"/>
      <c r="EC647" s="12"/>
      <c r="ED647" s="12"/>
      <c r="EE647" s="12"/>
      <c r="EF647" s="12"/>
      <c r="EG647" s="12"/>
      <c r="EH647" s="12"/>
      <c r="EI647" s="12"/>
      <c r="EJ647" s="574"/>
      <c r="EK647" s="574"/>
      <c r="EL647" s="574"/>
      <c r="EM647" s="574"/>
      <c r="EN647" s="574"/>
      <c r="EO647" s="574"/>
      <c r="EP647" s="574"/>
      <c r="EQ647" s="574"/>
      <c r="ER647" s="574"/>
      <c r="ES647" s="574"/>
      <c r="ET647" s="574"/>
      <c r="EU647" s="574"/>
    </row>
    <row r="648">
      <c r="A648" s="12"/>
      <c r="B648" s="55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12"/>
      <c r="AY648" s="12"/>
      <c r="AZ648" s="12"/>
      <c r="BA648" s="12"/>
      <c r="BB648" s="12"/>
      <c r="BC648" s="12"/>
      <c r="BD648" s="12"/>
      <c r="BE648" s="12"/>
      <c r="BF648" s="12"/>
      <c r="BG648" s="12"/>
      <c r="BH648" s="12"/>
      <c r="BI648" s="12"/>
      <c r="BJ648" s="12"/>
      <c r="BK648" s="12"/>
      <c r="BL648" s="12"/>
      <c r="BM648" s="12"/>
      <c r="BN648" s="12"/>
      <c r="BO648" s="12"/>
      <c r="BP648" s="12"/>
      <c r="BQ648" s="12"/>
      <c r="BR648" s="12"/>
      <c r="BS648" s="12"/>
      <c r="BT648" s="12"/>
      <c r="BU648" s="12"/>
      <c r="BV648" s="12"/>
      <c r="BW648" s="12"/>
      <c r="BX648" s="12"/>
      <c r="BY648" s="12"/>
      <c r="BZ648" s="12"/>
      <c r="CA648" s="12"/>
      <c r="CB648" s="12"/>
      <c r="CC648" s="12"/>
      <c r="CD648" s="12"/>
      <c r="CE648" s="12"/>
      <c r="CF648" s="12"/>
      <c r="CG648" s="12"/>
      <c r="CH648" s="12"/>
      <c r="CI648" s="12"/>
      <c r="CJ648" s="12"/>
      <c r="CK648" s="12"/>
      <c r="CL648" s="12"/>
      <c r="CM648" s="12"/>
      <c r="CN648" s="12"/>
      <c r="CO648" s="12"/>
      <c r="CP648" s="12"/>
      <c r="CQ648" s="12"/>
      <c r="CR648" s="12"/>
      <c r="CS648" s="12"/>
      <c r="CT648" s="12"/>
      <c r="CU648" s="12"/>
      <c r="CV648" s="12"/>
      <c r="CW648" s="12"/>
      <c r="CX648" s="12"/>
      <c r="CY648" s="12"/>
      <c r="CZ648" s="12"/>
      <c r="DA648" s="12"/>
      <c r="DB648" s="12"/>
      <c r="DC648" s="12"/>
      <c r="DD648" s="12"/>
      <c r="DE648" s="12"/>
      <c r="DF648" s="12"/>
      <c r="DG648" s="12"/>
      <c r="DH648" s="12"/>
      <c r="DI648" s="12"/>
      <c r="DJ648" s="12"/>
      <c r="DK648" s="12"/>
      <c r="DL648" s="12"/>
      <c r="DM648" s="12"/>
      <c r="DN648" s="12"/>
      <c r="DO648" s="12"/>
      <c r="DP648" s="12"/>
      <c r="DQ648" s="12"/>
      <c r="DR648" s="12"/>
      <c r="DS648" s="12"/>
      <c r="DT648" s="12"/>
      <c r="DU648" s="12"/>
      <c r="DV648" s="12"/>
      <c r="DW648" s="12"/>
      <c r="DX648" s="12"/>
      <c r="DY648" s="12"/>
      <c r="DZ648" s="12"/>
      <c r="EA648" s="12"/>
      <c r="EB648" s="12"/>
      <c r="EC648" s="12"/>
      <c r="ED648" s="12"/>
      <c r="EE648" s="12"/>
      <c r="EF648" s="12"/>
      <c r="EG648" s="12"/>
      <c r="EH648" s="12"/>
      <c r="EI648" s="12"/>
      <c r="EJ648" s="574"/>
      <c r="EK648" s="574"/>
      <c r="EL648" s="574"/>
      <c r="EM648" s="574"/>
      <c r="EN648" s="574"/>
      <c r="EO648" s="574"/>
      <c r="EP648" s="574"/>
      <c r="EQ648" s="574"/>
      <c r="ER648" s="574"/>
      <c r="ES648" s="574"/>
      <c r="ET648" s="574"/>
      <c r="EU648" s="574"/>
    </row>
    <row r="649">
      <c r="A649" s="12"/>
      <c r="B649" s="55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  <c r="AX649" s="12"/>
      <c r="AY649" s="12"/>
      <c r="AZ649" s="12"/>
      <c r="BA649" s="12"/>
      <c r="BB649" s="12"/>
      <c r="BC649" s="12"/>
      <c r="BD649" s="12"/>
      <c r="BE649" s="12"/>
      <c r="BF649" s="12"/>
      <c r="BG649" s="12"/>
      <c r="BH649" s="12"/>
      <c r="BI649" s="12"/>
      <c r="BJ649" s="12"/>
      <c r="BK649" s="12"/>
      <c r="BL649" s="12"/>
      <c r="BM649" s="12"/>
      <c r="BN649" s="12"/>
      <c r="BO649" s="12"/>
      <c r="BP649" s="12"/>
      <c r="BQ649" s="12"/>
      <c r="BR649" s="12"/>
      <c r="BS649" s="12"/>
      <c r="BT649" s="12"/>
      <c r="BU649" s="12"/>
      <c r="BV649" s="12"/>
      <c r="BW649" s="12"/>
      <c r="BX649" s="12"/>
      <c r="BY649" s="12"/>
      <c r="BZ649" s="12"/>
      <c r="CA649" s="12"/>
      <c r="CB649" s="12"/>
      <c r="CC649" s="12"/>
      <c r="CD649" s="12"/>
      <c r="CE649" s="12"/>
      <c r="CF649" s="12"/>
      <c r="CG649" s="12"/>
      <c r="CH649" s="12"/>
      <c r="CI649" s="12"/>
      <c r="CJ649" s="12"/>
      <c r="CK649" s="12"/>
      <c r="CL649" s="12"/>
      <c r="CM649" s="12"/>
      <c r="CN649" s="12"/>
      <c r="CO649" s="12"/>
      <c r="CP649" s="12"/>
      <c r="CQ649" s="12"/>
      <c r="CR649" s="12"/>
      <c r="CS649" s="12"/>
      <c r="CT649" s="12"/>
      <c r="CU649" s="12"/>
      <c r="CV649" s="12"/>
      <c r="CW649" s="12"/>
      <c r="CX649" s="12"/>
      <c r="CY649" s="12"/>
      <c r="CZ649" s="12"/>
      <c r="DA649" s="12"/>
      <c r="DB649" s="12"/>
      <c r="DC649" s="12"/>
      <c r="DD649" s="12"/>
      <c r="DE649" s="12"/>
      <c r="DF649" s="12"/>
      <c r="DG649" s="12"/>
      <c r="DH649" s="12"/>
      <c r="DI649" s="12"/>
      <c r="DJ649" s="12"/>
      <c r="DK649" s="12"/>
      <c r="DL649" s="12"/>
      <c r="DM649" s="12"/>
      <c r="DN649" s="12"/>
      <c r="DO649" s="12"/>
      <c r="DP649" s="12"/>
      <c r="DQ649" s="12"/>
      <c r="DR649" s="12"/>
      <c r="DS649" s="12"/>
      <c r="DT649" s="12"/>
      <c r="DU649" s="12"/>
      <c r="DV649" s="12"/>
      <c r="DW649" s="12"/>
      <c r="DX649" s="12"/>
      <c r="DY649" s="12"/>
      <c r="DZ649" s="12"/>
      <c r="EA649" s="12"/>
      <c r="EB649" s="12"/>
      <c r="EC649" s="12"/>
      <c r="ED649" s="12"/>
      <c r="EE649" s="12"/>
      <c r="EF649" s="12"/>
      <c r="EG649" s="12"/>
      <c r="EH649" s="12"/>
      <c r="EI649" s="12"/>
      <c r="EJ649" s="574"/>
      <c r="EK649" s="574"/>
      <c r="EL649" s="574"/>
      <c r="EM649" s="574"/>
      <c r="EN649" s="574"/>
      <c r="EO649" s="574"/>
      <c r="EP649" s="574"/>
      <c r="EQ649" s="574"/>
      <c r="ER649" s="574"/>
      <c r="ES649" s="574"/>
      <c r="ET649" s="574"/>
      <c r="EU649" s="574"/>
    </row>
    <row r="650">
      <c r="A650" s="12"/>
      <c r="B650" s="55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2"/>
      <c r="AY650" s="12"/>
      <c r="AZ650" s="12"/>
      <c r="BA650" s="12"/>
      <c r="BB650" s="12"/>
      <c r="BC650" s="12"/>
      <c r="BD650" s="12"/>
      <c r="BE650" s="12"/>
      <c r="BF650" s="12"/>
      <c r="BG650" s="12"/>
      <c r="BH650" s="12"/>
      <c r="BI650" s="12"/>
      <c r="BJ650" s="12"/>
      <c r="BK650" s="12"/>
      <c r="BL650" s="12"/>
      <c r="BM650" s="12"/>
      <c r="BN650" s="12"/>
      <c r="BO650" s="12"/>
      <c r="BP650" s="12"/>
      <c r="BQ650" s="12"/>
      <c r="BR650" s="12"/>
      <c r="BS650" s="12"/>
      <c r="BT650" s="12"/>
      <c r="BU650" s="12"/>
      <c r="BV650" s="12"/>
      <c r="BW650" s="12"/>
      <c r="BX650" s="12"/>
      <c r="BY650" s="12"/>
      <c r="BZ650" s="12"/>
      <c r="CA650" s="12"/>
      <c r="CB650" s="12"/>
      <c r="CC650" s="12"/>
      <c r="CD650" s="12"/>
      <c r="CE650" s="12"/>
      <c r="CF650" s="12"/>
      <c r="CG650" s="12"/>
      <c r="CH650" s="12"/>
      <c r="CI650" s="12"/>
      <c r="CJ650" s="12"/>
      <c r="CK650" s="12"/>
      <c r="CL650" s="12"/>
      <c r="CM650" s="12"/>
      <c r="CN650" s="12"/>
      <c r="CO650" s="12"/>
      <c r="CP650" s="12"/>
      <c r="CQ650" s="12"/>
      <c r="CR650" s="12"/>
      <c r="CS650" s="12"/>
      <c r="CT650" s="12"/>
      <c r="CU650" s="12"/>
      <c r="CV650" s="12"/>
      <c r="CW650" s="12"/>
      <c r="CX650" s="12"/>
      <c r="CY650" s="12"/>
      <c r="CZ650" s="12"/>
      <c r="DA650" s="12"/>
      <c r="DB650" s="12"/>
      <c r="DC650" s="12"/>
      <c r="DD650" s="12"/>
      <c r="DE650" s="12"/>
      <c r="DF650" s="12"/>
      <c r="DG650" s="12"/>
      <c r="DH650" s="12"/>
      <c r="DI650" s="12"/>
      <c r="DJ650" s="12"/>
      <c r="DK650" s="12"/>
      <c r="DL650" s="12"/>
      <c r="DM650" s="12"/>
      <c r="DN650" s="12"/>
      <c r="DO650" s="12"/>
      <c r="DP650" s="12"/>
      <c r="DQ650" s="12"/>
      <c r="DR650" s="12"/>
      <c r="DS650" s="12"/>
      <c r="DT650" s="12"/>
      <c r="DU650" s="12"/>
      <c r="DV650" s="12"/>
      <c r="DW650" s="12"/>
      <c r="DX650" s="12"/>
      <c r="DY650" s="12"/>
      <c r="DZ650" s="12"/>
      <c r="EA650" s="12"/>
      <c r="EB650" s="12"/>
      <c r="EC650" s="12"/>
      <c r="ED650" s="12"/>
      <c r="EE650" s="12"/>
      <c r="EF650" s="12"/>
      <c r="EG650" s="12"/>
      <c r="EH650" s="12"/>
      <c r="EI650" s="12"/>
      <c r="EJ650" s="574"/>
      <c r="EK650" s="574"/>
      <c r="EL650" s="574"/>
      <c r="EM650" s="574"/>
      <c r="EN650" s="574"/>
      <c r="EO650" s="574"/>
      <c r="EP650" s="574"/>
      <c r="EQ650" s="574"/>
      <c r="ER650" s="574"/>
      <c r="ES650" s="574"/>
      <c r="ET650" s="574"/>
      <c r="EU650" s="574"/>
    </row>
    <row r="651">
      <c r="A651" s="12"/>
      <c r="B651" s="55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  <c r="AX651" s="12"/>
      <c r="AY651" s="12"/>
      <c r="AZ651" s="12"/>
      <c r="BA651" s="12"/>
      <c r="BB651" s="12"/>
      <c r="BC651" s="12"/>
      <c r="BD651" s="12"/>
      <c r="BE651" s="12"/>
      <c r="BF651" s="12"/>
      <c r="BG651" s="12"/>
      <c r="BH651" s="12"/>
      <c r="BI651" s="12"/>
      <c r="BJ651" s="12"/>
      <c r="BK651" s="12"/>
      <c r="BL651" s="12"/>
      <c r="BM651" s="12"/>
      <c r="BN651" s="12"/>
      <c r="BO651" s="12"/>
      <c r="BP651" s="12"/>
      <c r="BQ651" s="12"/>
      <c r="BR651" s="12"/>
      <c r="BS651" s="12"/>
      <c r="BT651" s="12"/>
      <c r="BU651" s="12"/>
      <c r="BV651" s="12"/>
      <c r="BW651" s="12"/>
      <c r="BX651" s="12"/>
      <c r="BY651" s="12"/>
      <c r="BZ651" s="12"/>
      <c r="CA651" s="12"/>
      <c r="CB651" s="12"/>
      <c r="CC651" s="12"/>
      <c r="CD651" s="12"/>
      <c r="CE651" s="12"/>
      <c r="CF651" s="12"/>
      <c r="CG651" s="12"/>
      <c r="CH651" s="12"/>
      <c r="CI651" s="12"/>
      <c r="CJ651" s="12"/>
      <c r="CK651" s="12"/>
      <c r="CL651" s="12"/>
      <c r="CM651" s="12"/>
      <c r="CN651" s="12"/>
      <c r="CO651" s="12"/>
      <c r="CP651" s="12"/>
      <c r="CQ651" s="12"/>
      <c r="CR651" s="12"/>
      <c r="CS651" s="12"/>
      <c r="CT651" s="12"/>
      <c r="CU651" s="12"/>
      <c r="CV651" s="12"/>
      <c r="CW651" s="12"/>
      <c r="CX651" s="12"/>
      <c r="CY651" s="12"/>
      <c r="CZ651" s="12"/>
      <c r="DA651" s="12"/>
      <c r="DB651" s="12"/>
      <c r="DC651" s="12"/>
      <c r="DD651" s="12"/>
      <c r="DE651" s="12"/>
      <c r="DF651" s="12"/>
      <c r="DG651" s="12"/>
      <c r="DH651" s="12"/>
      <c r="DI651" s="12"/>
      <c r="DJ651" s="12"/>
      <c r="DK651" s="12"/>
      <c r="DL651" s="12"/>
      <c r="DM651" s="12"/>
      <c r="DN651" s="12"/>
      <c r="DO651" s="12"/>
      <c r="DP651" s="12"/>
      <c r="DQ651" s="12"/>
      <c r="DR651" s="12"/>
      <c r="DS651" s="12"/>
      <c r="DT651" s="12"/>
      <c r="DU651" s="12"/>
      <c r="DV651" s="12"/>
      <c r="DW651" s="12"/>
      <c r="DX651" s="12"/>
      <c r="DY651" s="12"/>
      <c r="DZ651" s="12"/>
      <c r="EA651" s="12"/>
      <c r="EB651" s="12"/>
      <c r="EC651" s="12"/>
      <c r="ED651" s="12"/>
      <c r="EE651" s="12"/>
      <c r="EF651" s="12"/>
      <c r="EG651" s="12"/>
      <c r="EH651" s="12"/>
      <c r="EI651" s="12"/>
      <c r="EJ651" s="574"/>
      <c r="EK651" s="574"/>
      <c r="EL651" s="574"/>
      <c r="EM651" s="574"/>
      <c r="EN651" s="574"/>
      <c r="EO651" s="574"/>
      <c r="EP651" s="574"/>
      <c r="EQ651" s="574"/>
      <c r="ER651" s="574"/>
      <c r="ES651" s="574"/>
      <c r="ET651" s="574"/>
      <c r="EU651" s="574"/>
    </row>
    <row r="652">
      <c r="A652" s="12"/>
      <c r="B652" s="55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  <c r="AX652" s="12"/>
      <c r="AY652" s="12"/>
      <c r="AZ652" s="12"/>
      <c r="BA652" s="12"/>
      <c r="BB652" s="12"/>
      <c r="BC652" s="12"/>
      <c r="BD652" s="12"/>
      <c r="BE652" s="12"/>
      <c r="BF652" s="12"/>
      <c r="BG652" s="12"/>
      <c r="BH652" s="12"/>
      <c r="BI652" s="12"/>
      <c r="BJ652" s="12"/>
      <c r="BK652" s="12"/>
      <c r="BL652" s="12"/>
      <c r="BM652" s="12"/>
      <c r="BN652" s="12"/>
      <c r="BO652" s="12"/>
      <c r="BP652" s="12"/>
      <c r="BQ652" s="12"/>
      <c r="BR652" s="12"/>
      <c r="BS652" s="12"/>
      <c r="BT652" s="12"/>
      <c r="BU652" s="12"/>
      <c r="BV652" s="12"/>
      <c r="BW652" s="12"/>
      <c r="BX652" s="12"/>
      <c r="BY652" s="12"/>
      <c r="BZ652" s="12"/>
      <c r="CA652" s="12"/>
      <c r="CB652" s="12"/>
      <c r="CC652" s="12"/>
      <c r="CD652" s="12"/>
      <c r="CE652" s="12"/>
      <c r="CF652" s="12"/>
      <c r="CG652" s="12"/>
      <c r="CH652" s="12"/>
      <c r="CI652" s="12"/>
      <c r="CJ652" s="12"/>
      <c r="CK652" s="12"/>
      <c r="CL652" s="12"/>
      <c r="CM652" s="12"/>
      <c r="CN652" s="12"/>
      <c r="CO652" s="12"/>
      <c r="CP652" s="12"/>
      <c r="CQ652" s="12"/>
      <c r="CR652" s="12"/>
      <c r="CS652" s="12"/>
      <c r="CT652" s="12"/>
      <c r="CU652" s="12"/>
      <c r="CV652" s="12"/>
      <c r="CW652" s="12"/>
      <c r="CX652" s="12"/>
      <c r="CY652" s="12"/>
      <c r="CZ652" s="12"/>
      <c r="DA652" s="12"/>
      <c r="DB652" s="12"/>
      <c r="DC652" s="12"/>
      <c r="DD652" s="12"/>
      <c r="DE652" s="12"/>
      <c r="DF652" s="12"/>
      <c r="DG652" s="12"/>
      <c r="DH652" s="12"/>
      <c r="DI652" s="12"/>
      <c r="DJ652" s="12"/>
      <c r="DK652" s="12"/>
      <c r="DL652" s="12"/>
      <c r="DM652" s="12"/>
      <c r="DN652" s="12"/>
      <c r="DO652" s="12"/>
      <c r="DP652" s="12"/>
      <c r="DQ652" s="12"/>
      <c r="DR652" s="12"/>
      <c r="DS652" s="12"/>
      <c r="DT652" s="12"/>
      <c r="DU652" s="12"/>
      <c r="DV652" s="12"/>
      <c r="DW652" s="12"/>
      <c r="DX652" s="12"/>
      <c r="DY652" s="12"/>
      <c r="DZ652" s="12"/>
      <c r="EA652" s="12"/>
      <c r="EB652" s="12"/>
      <c r="EC652" s="12"/>
      <c r="ED652" s="12"/>
      <c r="EE652" s="12"/>
      <c r="EF652" s="12"/>
      <c r="EG652" s="12"/>
      <c r="EH652" s="12"/>
      <c r="EI652" s="12"/>
      <c r="EJ652" s="574"/>
      <c r="EK652" s="574"/>
      <c r="EL652" s="574"/>
      <c r="EM652" s="574"/>
      <c r="EN652" s="574"/>
      <c r="EO652" s="574"/>
      <c r="EP652" s="574"/>
      <c r="EQ652" s="574"/>
      <c r="ER652" s="574"/>
      <c r="ES652" s="574"/>
      <c r="ET652" s="574"/>
      <c r="EU652" s="574"/>
    </row>
    <row r="653">
      <c r="A653" s="12"/>
      <c r="B653" s="55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12"/>
      <c r="AY653" s="12"/>
      <c r="AZ653" s="12"/>
      <c r="BA653" s="12"/>
      <c r="BB653" s="12"/>
      <c r="BC653" s="12"/>
      <c r="BD653" s="12"/>
      <c r="BE653" s="12"/>
      <c r="BF653" s="12"/>
      <c r="BG653" s="12"/>
      <c r="BH653" s="12"/>
      <c r="BI653" s="12"/>
      <c r="BJ653" s="12"/>
      <c r="BK653" s="12"/>
      <c r="BL653" s="12"/>
      <c r="BM653" s="12"/>
      <c r="BN653" s="12"/>
      <c r="BO653" s="12"/>
      <c r="BP653" s="12"/>
      <c r="BQ653" s="12"/>
      <c r="BR653" s="12"/>
      <c r="BS653" s="12"/>
      <c r="BT653" s="12"/>
      <c r="BU653" s="12"/>
      <c r="BV653" s="12"/>
      <c r="BW653" s="12"/>
      <c r="BX653" s="12"/>
      <c r="BY653" s="12"/>
      <c r="BZ653" s="12"/>
      <c r="CA653" s="12"/>
      <c r="CB653" s="12"/>
      <c r="CC653" s="12"/>
      <c r="CD653" s="12"/>
      <c r="CE653" s="12"/>
      <c r="CF653" s="12"/>
      <c r="CG653" s="12"/>
      <c r="CH653" s="12"/>
      <c r="CI653" s="12"/>
      <c r="CJ653" s="12"/>
      <c r="CK653" s="12"/>
      <c r="CL653" s="12"/>
      <c r="CM653" s="12"/>
      <c r="CN653" s="12"/>
      <c r="CO653" s="12"/>
      <c r="CP653" s="12"/>
      <c r="CQ653" s="12"/>
      <c r="CR653" s="12"/>
      <c r="CS653" s="12"/>
      <c r="CT653" s="12"/>
      <c r="CU653" s="12"/>
      <c r="CV653" s="12"/>
      <c r="CW653" s="12"/>
      <c r="CX653" s="12"/>
      <c r="CY653" s="12"/>
      <c r="CZ653" s="12"/>
      <c r="DA653" s="12"/>
      <c r="DB653" s="12"/>
      <c r="DC653" s="12"/>
      <c r="DD653" s="12"/>
      <c r="DE653" s="12"/>
      <c r="DF653" s="12"/>
      <c r="DG653" s="12"/>
      <c r="DH653" s="12"/>
      <c r="DI653" s="12"/>
      <c r="DJ653" s="12"/>
      <c r="DK653" s="12"/>
      <c r="DL653" s="12"/>
      <c r="DM653" s="12"/>
      <c r="DN653" s="12"/>
      <c r="DO653" s="12"/>
      <c r="DP653" s="12"/>
      <c r="DQ653" s="12"/>
      <c r="DR653" s="12"/>
      <c r="DS653" s="12"/>
      <c r="DT653" s="12"/>
      <c r="DU653" s="12"/>
      <c r="DV653" s="12"/>
      <c r="DW653" s="12"/>
      <c r="DX653" s="12"/>
      <c r="DY653" s="12"/>
      <c r="DZ653" s="12"/>
      <c r="EA653" s="12"/>
      <c r="EB653" s="12"/>
      <c r="EC653" s="12"/>
      <c r="ED653" s="12"/>
      <c r="EE653" s="12"/>
      <c r="EF653" s="12"/>
      <c r="EG653" s="12"/>
      <c r="EH653" s="12"/>
      <c r="EI653" s="12"/>
      <c r="EJ653" s="574"/>
      <c r="EK653" s="574"/>
      <c r="EL653" s="574"/>
      <c r="EM653" s="574"/>
      <c r="EN653" s="574"/>
      <c r="EO653" s="574"/>
      <c r="EP653" s="574"/>
      <c r="EQ653" s="574"/>
      <c r="ER653" s="574"/>
      <c r="ES653" s="574"/>
      <c r="ET653" s="574"/>
      <c r="EU653" s="574"/>
    </row>
    <row r="654">
      <c r="A654" s="12"/>
      <c r="B654" s="55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12"/>
      <c r="AY654" s="12"/>
      <c r="AZ654" s="12"/>
      <c r="BA654" s="12"/>
      <c r="BB654" s="12"/>
      <c r="BC654" s="12"/>
      <c r="BD654" s="12"/>
      <c r="BE654" s="12"/>
      <c r="BF654" s="12"/>
      <c r="BG654" s="12"/>
      <c r="BH654" s="12"/>
      <c r="BI654" s="12"/>
      <c r="BJ654" s="12"/>
      <c r="BK654" s="12"/>
      <c r="BL654" s="12"/>
      <c r="BM654" s="12"/>
      <c r="BN654" s="12"/>
      <c r="BO654" s="12"/>
      <c r="BP654" s="12"/>
      <c r="BQ654" s="12"/>
      <c r="BR654" s="12"/>
      <c r="BS654" s="12"/>
      <c r="BT654" s="12"/>
      <c r="BU654" s="12"/>
      <c r="BV654" s="12"/>
      <c r="BW654" s="12"/>
      <c r="BX654" s="12"/>
      <c r="BY654" s="12"/>
      <c r="BZ654" s="12"/>
      <c r="CA654" s="12"/>
      <c r="CB654" s="12"/>
      <c r="CC654" s="12"/>
      <c r="CD654" s="12"/>
      <c r="CE654" s="12"/>
      <c r="CF654" s="12"/>
      <c r="CG654" s="12"/>
      <c r="CH654" s="12"/>
      <c r="CI654" s="12"/>
      <c r="CJ654" s="12"/>
      <c r="CK654" s="12"/>
      <c r="CL654" s="12"/>
      <c r="CM654" s="12"/>
      <c r="CN654" s="12"/>
      <c r="CO654" s="12"/>
      <c r="CP654" s="12"/>
      <c r="CQ654" s="12"/>
      <c r="CR654" s="12"/>
      <c r="CS654" s="12"/>
      <c r="CT654" s="12"/>
      <c r="CU654" s="12"/>
      <c r="CV654" s="12"/>
      <c r="CW654" s="12"/>
      <c r="CX654" s="12"/>
      <c r="CY654" s="12"/>
      <c r="CZ654" s="12"/>
      <c r="DA654" s="12"/>
      <c r="DB654" s="12"/>
      <c r="DC654" s="12"/>
      <c r="DD654" s="12"/>
      <c r="DE654" s="12"/>
      <c r="DF654" s="12"/>
      <c r="DG654" s="12"/>
      <c r="DH654" s="12"/>
      <c r="DI654" s="12"/>
      <c r="DJ654" s="12"/>
      <c r="DK654" s="12"/>
      <c r="DL654" s="12"/>
      <c r="DM654" s="12"/>
      <c r="DN654" s="12"/>
      <c r="DO654" s="12"/>
      <c r="DP654" s="12"/>
      <c r="DQ654" s="12"/>
      <c r="DR654" s="12"/>
      <c r="DS654" s="12"/>
      <c r="DT654" s="12"/>
      <c r="DU654" s="12"/>
      <c r="DV654" s="12"/>
      <c r="DW654" s="12"/>
      <c r="DX654" s="12"/>
      <c r="DY654" s="12"/>
      <c r="DZ654" s="12"/>
      <c r="EA654" s="12"/>
      <c r="EB654" s="12"/>
      <c r="EC654" s="12"/>
      <c r="ED654" s="12"/>
      <c r="EE654" s="12"/>
      <c r="EF654" s="12"/>
      <c r="EG654" s="12"/>
      <c r="EH654" s="12"/>
      <c r="EI654" s="12"/>
      <c r="EJ654" s="574"/>
      <c r="EK654" s="574"/>
      <c r="EL654" s="574"/>
      <c r="EM654" s="574"/>
      <c r="EN654" s="574"/>
      <c r="EO654" s="574"/>
      <c r="EP654" s="574"/>
      <c r="EQ654" s="574"/>
      <c r="ER654" s="574"/>
      <c r="ES654" s="574"/>
      <c r="ET654" s="574"/>
      <c r="EU654" s="574"/>
    </row>
    <row r="655">
      <c r="A655" s="12"/>
      <c r="B655" s="55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12"/>
      <c r="AY655" s="12"/>
      <c r="AZ655" s="12"/>
      <c r="BA655" s="12"/>
      <c r="BB655" s="12"/>
      <c r="BC655" s="12"/>
      <c r="BD655" s="12"/>
      <c r="BE655" s="12"/>
      <c r="BF655" s="12"/>
      <c r="BG655" s="12"/>
      <c r="BH655" s="12"/>
      <c r="BI655" s="12"/>
      <c r="BJ655" s="12"/>
      <c r="BK655" s="12"/>
      <c r="BL655" s="12"/>
      <c r="BM655" s="12"/>
      <c r="BN655" s="12"/>
      <c r="BO655" s="12"/>
      <c r="BP655" s="12"/>
      <c r="BQ655" s="12"/>
      <c r="BR655" s="12"/>
      <c r="BS655" s="12"/>
      <c r="BT655" s="12"/>
      <c r="BU655" s="12"/>
      <c r="BV655" s="12"/>
      <c r="BW655" s="12"/>
      <c r="BX655" s="12"/>
      <c r="BY655" s="12"/>
      <c r="BZ655" s="12"/>
      <c r="CA655" s="12"/>
      <c r="CB655" s="12"/>
      <c r="CC655" s="12"/>
      <c r="CD655" s="12"/>
      <c r="CE655" s="12"/>
      <c r="CF655" s="12"/>
      <c r="CG655" s="12"/>
      <c r="CH655" s="12"/>
      <c r="CI655" s="12"/>
      <c r="CJ655" s="12"/>
      <c r="CK655" s="12"/>
      <c r="CL655" s="12"/>
      <c r="CM655" s="12"/>
      <c r="CN655" s="12"/>
      <c r="CO655" s="12"/>
      <c r="CP655" s="12"/>
      <c r="CQ655" s="12"/>
      <c r="CR655" s="12"/>
      <c r="CS655" s="12"/>
      <c r="CT655" s="12"/>
      <c r="CU655" s="12"/>
      <c r="CV655" s="12"/>
      <c r="CW655" s="12"/>
      <c r="CX655" s="12"/>
      <c r="CY655" s="12"/>
      <c r="CZ655" s="12"/>
      <c r="DA655" s="12"/>
      <c r="DB655" s="12"/>
      <c r="DC655" s="12"/>
      <c r="DD655" s="12"/>
      <c r="DE655" s="12"/>
      <c r="DF655" s="12"/>
      <c r="DG655" s="12"/>
      <c r="DH655" s="12"/>
      <c r="DI655" s="12"/>
      <c r="DJ655" s="12"/>
      <c r="DK655" s="12"/>
      <c r="DL655" s="12"/>
      <c r="DM655" s="12"/>
      <c r="DN655" s="12"/>
      <c r="DO655" s="12"/>
      <c r="DP655" s="12"/>
      <c r="DQ655" s="12"/>
      <c r="DR655" s="12"/>
      <c r="DS655" s="12"/>
      <c r="DT655" s="12"/>
      <c r="DU655" s="12"/>
      <c r="DV655" s="12"/>
      <c r="DW655" s="12"/>
      <c r="DX655" s="12"/>
      <c r="DY655" s="12"/>
      <c r="DZ655" s="12"/>
      <c r="EA655" s="12"/>
      <c r="EB655" s="12"/>
      <c r="EC655" s="12"/>
      <c r="ED655" s="12"/>
      <c r="EE655" s="12"/>
      <c r="EF655" s="12"/>
      <c r="EG655" s="12"/>
      <c r="EH655" s="12"/>
      <c r="EI655" s="12"/>
      <c r="EJ655" s="574"/>
      <c r="EK655" s="574"/>
      <c r="EL655" s="574"/>
      <c r="EM655" s="574"/>
      <c r="EN655" s="574"/>
      <c r="EO655" s="574"/>
      <c r="EP655" s="574"/>
      <c r="EQ655" s="574"/>
      <c r="ER655" s="574"/>
      <c r="ES655" s="574"/>
      <c r="ET655" s="574"/>
      <c r="EU655" s="574"/>
    </row>
    <row r="656">
      <c r="A656" s="12"/>
      <c r="B656" s="55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2"/>
      <c r="AY656" s="12"/>
      <c r="AZ656" s="12"/>
      <c r="BA656" s="12"/>
      <c r="BB656" s="12"/>
      <c r="BC656" s="12"/>
      <c r="BD656" s="12"/>
      <c r="BE656" s="12"/>
      <c r="BF656" s="12"/>
      <c r="BG656" s="12"/>
      <c r="BH656" s="12"/>
      <c r="BI656" s="12"/>
      <c r="BJ656" s="12"/>
      <c r="BK656" s="12"/>
      <c r="BL656" s="12"/>
      <c r="BM656" s="12"/>
      <c r="BN656" s="12"/>
      <c r="BO656" s="12"/>
      <c r="BP656" s="12"/>
      <c r="BQ656" s="12"/>
      <c r="BR656" s="12"/>
      <c r="BS656" s="12"/>
      <c r="BT656" s="12"/>
      <c r="BU656" s="12"/>
      <c r="BV656" s="12"/>
      <c r="BW656" s="12"/>
      <c r="BX656" s="12"/>
      <c r="BY656" s="12"/>
      <c r="BZ656" s="12"/>
      <c r="CA656" s="12"/>
      <c r="CB656" s="12"/>
      <c r="CC656" s="12"/>
      <c r="CD656" s="12"/>
      <c r="CE656" s="12"/>
      <c r="CF656" s="12"/>
      <c r="CG656" s="12"/>
      <c r="CH656" s="12"/>
      <c r="CI656" s="12"/>
      <c r="CJ656" s="12"/>
      <c r="CK656" s="12"/>
      <c r="CL656" s="12"/>
      <c r="CM656" s="12"/>
      <c r="CN656" s="12"/>
      <c r="CO656" s="12"/>
      <c r="CP656" s="12"/>
      <c r="CQ656" s="12"/>
      <c r="CR656" s="12"/>
      <c r="CS656" s="12"/>
      <c r="CT656" s="12"/>
      <c r="CU656" s="12"/>
      <c r="CV656" s="12"/>
      <c r="CW656" s="12"/>
      <c r="CX656" s="12"/>
      <c r="CY656" s="12"/>
      <c r="CZ656" s="12"/>
      <c r="DA656" s="12"/>
      <c r="DB656" s="12"/>
      <c r="DC656" s="12"/>
      <c r="DD656" s="12"/>
      <c r="DE656" s="12"/>
      <c r="DF656" s="12"/>
      <c r="DG656" s="12"/>
      <c r="DH656" s="12"/>
      <c r="DI656" s="12"/>
      <c r="DJ656" s="12"/>
      <c r="DK656" s="12"/>
      <c r="DL656" s="12"/>
      <c r="DM656" s="12"/>
      <c r="DN656" s="12"/>
      <c r="DO656" s="12"/>
      <c r="DP656" s="12"/>
      <c r="DQ656" s="12"/>
      <c r="DR656" s="12"/>
      <c r="DS656" s="12"/>
      <c r="DT656" s="12"/>
      <c r="DU656" s="12"/>
      <c r="DV656" s="12"/>
      <c r="DW656" s="12"/>
      <c r="DX656" s="12"/>
      <c r="DY656" s="12"/>
      <c r="DZ656" s="12"/>
      <c r="EA656" s="12"/>
      <c r="EB656" s="12"/>
      <c r="EC656" s="12"/>
      <c r="ED656" s="12"/>
      <c r="EE656" s="12"/>
      <c r="EF656" s="12"/>
      <c r="EG656" s="12"/>
      <c r="EH656" s="12"/>
      <c r="EI656" s="12"/>
      <c r="EJ656" s="574"/>
      <c r="EK656" s="574"/>
      <c r="EL656" s="574"/>
      <c r="EM656" s="574"/>
      <c r="EN656" s="574"/>
      <c r="EO656" s="574"/>
      <c r="EP656" s="574"/>
      <c r="EQ656" s="574"/>
      <c r="ER656" s="574"/>
      <c r="ES656" s="574"/>
      <c r="ET656" s="574"/>
      <c r="EU656" s="574"/>
    </row>
    <row r="657">
      <c r="A657" s="12"/>
      <c r="B657" s="55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2"/>
      <c r="AY657" s="12"/>
      <c r="AZ657" s="12"/>
      <c r="BA657" s="12"/>
      <c r="BB657" s="12"/>
      <c r="BC657" s="12"/>
      <c r="BD657" s="12"/>
      <c r="BE657" s="12"/>
      <c r="BF657" s="12"/>
      <c r="BG657" s="12"/>
      <c r="BH657" s="12"/>
      <c r="BI657" s="12"/>
      <c r="BJ657" s="12"/>
      <c r="BK657" s="12"/>
      <c r="BL657" s="12"/>
      <c r="BM657" s="12"/>
      <c r="BN657" s="12"/>
      <c r="BO657" s="12"/>
      <c r="BP657" s="12"/>
      <c r="BQ657" s="12"/>
      <c r="BR657" s="12"/>
      <c r="BS657" s="12"/>
      <c r="BT657" s="12"/>
      <c r="BU657" s="12"/>
      <c r="BV657" s="12"/>
      <c r="BW657" s="12"/>
      <c r="BX657" s="12"/>
      <c r="BY657" s="12"/>
      <c r="BZ657" s="12"/>
      <c r="CA657" s="12"/>
      <c r="CB657" s="12"/>
      <c r="CC657" s="12"/>
      <c r="CD657" s="12"/>
      <c r="CE657" s="12"/>
      <c r="CF657" s="12"/>
      <c r="CG657" s="12"/>
      <c r="CH657" s="12"/>
      <c r="CI657" s="12"/>
      <c r="CJ657" s="12"/>
      <c r="CK657" s="12"/>
      <c r="CL657" s="12"/>
      <c r="CM657" s="12"/>
      <c r="CN657" s="12"/>
      <c r="CO657" s="12"/>
      <c r="CP657" s="12"/>
      <c r="CQ657" s="12"/>
      <c r="CR657" s="12"/>
      <c r="CS657" s="12"/>
      <c r="CT657" s="12"/>
      <c r="CU657" s="12"/>
      <c r="CV657" s="12"/>
      <c r="CW657" s="12"/>
      <c r="CX657" s="12"/>
      <c r="CY657" s="12"/>
      <c r="CZ657" s="12"/>
      <c r="DA657" s="12"/>
      <c r="DB657" s="12"/>
      <c r="DC657" s="12"/>
      <c r="DD657" s="12"/>
      <c r="DE657" s="12"/>
      <c r="DF657" s="12"/>
      <c r="DG657" s="12"/>
      <c r="DH657" s="12"/>
      <c r="DI657" s="12"/>
      <c r="DJ657" s="12"/>
      <c r="DK657" s="12"/>
      <c r="DL657" s="12"/>
      <c r="DM657" s="12"/>
      <c r="DN657" s="12"/>
      <c r="DO657" s="12"/>
      <c r="DP657" s="12"/>
      <c r="DQ657" s="12"/>
      <c r="DR657" s="12"/>
      <c r="DS657" s="12"/>
      <c r="DT657" s="12"/>
      <c r="DU657" s="12"/>
      <c r="DV657" s="12"/>
      <c r="DW657" s="12"/>
      <c r="DX657" s="12"/>
      <c r="DY657" s="12"/>
      <c r="DZ657" s="12"/>
      <c r="EA657" s="12"/>
      <c r="EB657" s="12"/>
      <c r="EC657" s="12"/>
      <c r="ED657" s="12"/>
      <c r="EE657" s="12"/>
      <c r="EF657" s="12"/>
      <c r="EG657" s="12"/>
      <c r="EH657" s="12"/>
      <c r="EI657" s="12"/>
      <c r="EJ657" s="574"/>
      <c r="EK657" s="574"/>
      <c r="EL657" s="574"/>
      <c r="EM657" s="574"/>
      <c r="EN657" s="574"/>
      <c r="EO657" s="574"/>
      <c r="EP657" s="574"/>
      <c r="EQ657" s="574"/>
      <c r="ER657" s="574"/>
      <c r="ES657" s="574"/>
      <c r="ET657" s="574"/>
      <c r="EU657" s="574"/>
    </row>
    <row r="658">
      <c r="A658" s="12"/>
      <c r="B658" s="55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2"/>
      <c r="AY658" s="12"/>
      <c r="AZ658" s="12"/>
      <c r="BA658" s="12"/>
      <c r="BB658" s="12"/>
      <c r="BC658" s="12"/>
      <c r="BD658" s="12"/>
      <c r="BE658" s="12"/>
      <c r="BF658" s="12"/>
      <c r="BG658" s="12"/>
      <c r="BH658" s="12"/>
      <c r="BI658" s="12"/>
      <c r="BJ658" s="12"/>
      <c r="BK658" s="12"/>
      <c r="BL658" s="12"/>
      <c r="BM658" s="12"/>
      <c r="BN658" s="12"/>
      <c r="BO658" s="12"/>
      <c r="BP658" s="12"/>
      <c r="BQ658" s="12"/>
      <c r="BR658" s="12"/>
      <c r="BS658" s="12"/>
      <c r="BT658" s="12"/>
      <c r="BU658" s="12"/>
      <c r="BV658" s="12"/>
      <c r="BW658" s="12"/>
      <c r="BX658" s="12"/>
      <c r="BY658" s="12"/>
      <c r="BZ658" s="12"/>
      <c r="CA658" s="12"/>
      <c r="CB658" s="12"/>
      <c r="CC658" s="12"/>
      <c r="CD658" s="12"/>
      <c r="CE658" s="12"/>
      <c r="CF658" s="12"/>
      <c r="CG658" s="12"/>
      <c r="CH658" s="12"/>
      <c r="CI658" s="12"/>
      <c r="CJ658" s="12"/>
      <c r="CK658" s="12"/>
      <c r="CL658" s="12"/>
      <c r="CM658" s="12"/>
      <c r="CN658" s="12"/>
      <c r="CO658" s="12"/>
      <c r="CP658" s="12"/>
      <c r="CQ658" s="12"/>
      <c r="CR658" s="12"/>
      <c r="CS658" s="12"/>
      <c r="CT658" s="12"/>
      <c r="CU658" s="12"/>
      <c r="CV658" s="12"/>
      <c r="CW658" s="12"/>
      <c r="CX658" s="12"/>
      <c r="CY658" s="12"/>
      <c r="CZ658" s="12"/>
      <c r="DA658" s="12"/>
      <c r="DB658" s="12"/>
      <c r="DC658" s="12"/>
      <c r="DD658" s="12"/>
      <c r="DE658" s="12"/>
      <c r="DF658" s="12"/>
      <c r="DG658" s="12"/>
      <c r="DH658" s="12"/>
      <c r="DI658" s="12"/>
      <c r="DJ658" s="12"/>
      <c r="DK658" s="12"/>
      <c r="DL658" s="12"/>
      <c r="DM658" s="12"/>
      <c r="DN658" s="12"/>
      <c r="DO658" s="12"/>
      <c r="DP658" s="12"/>
      <c r="DQ658" s="12"/>
      <c r="DR658" s="12"/>
      <c r="DS658" s="12"/>
      <c r="DT658" s="12"/>
      <c r="DU658" s="12"/>
      <c r="DV658" s="12"/>
      <c r="DW658" s="12"/>
      <c r="DX658" s="12"/>
      <c r="DY658" s="12"/>
      <c r="DZ658" s="12"/>
      <c r="EA658" s="12"/>
      <c r="EB658" s="12"/>
      <c r="EC658" s="12"/>
      <c r="ED658" s="12"/>
      <c r="EE658" s="12"/>
      <c r="EF658" s="12"/>
      <c r="EG658" s="12"/>
      <c r="EH658" s="12"/>
      <c r="EI658" s="12"/>
      <c r="EJ658" s="574"/>
      <c r="EK658" s="574"/>
      <c r="EL658" s="574"/>
      <c r="EM658" s="574"/>
      <c r="EN658" s="574"/>
      <c r="EO658" s="574"/>
      <c r="EP658" s="574"/>
      <c r="EQ658" s="574"/>
      <c r="ER658" s="574"/>
      <c r="ES658" s="574"/>
      <c r="ET658" s="574"/>
      <c r="EU658" s="574"/>
    </row>
    <row r="659">
      <c r="A659" s="12"/>
      <c r="B659" s="55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2"/>
      <c r="AY659" s="12"/>
      <c r="AZ659" s="12"/>
      <c r="BA659" s="12"/>
      <c r="BB659" s="12"/>
      <c r="BC659" s="12"/>
      <c r="BD659" s="12"/>
      <c r="BE659" s="12"/>
      <c r="BF659" s="12"/>
      <c r="BG659" s="12"/>
      <c r="BH659" s="12"/>
      <c r="BI659" s="12"/>
      <c r="BJ659" s="12"/>
      <c r="BK659" s="12"/>
      <c r="BL659" s="12"/>
      <c r="BM659" s="12"/>
      <c r="BN659" s="12"/>
      <c r="BO659" s="12"/>
      <c r="BP659" s="12"/>
      <c r="BQ659" s="12"/>
      <c r="BR659" s="12"/>
      <c r="BS659" s="12"/>
      <c r="BT659" s="12"/>
      <c r="BU659" s="12"/>
      <c r="BV659" s="12"/>
      <c r="BW659" s="12"/>
      <c r="BX659" s="12"/>
      <c r="BY659" s="12"/>
      <c r="BZ659" s="12"/>
      <c r="CA659" s="12"/>
      <c r="CB659" s="12"/>
      <c r="CC659" s="12"/>
      <c r="CD659" s="12"/>
      <c r="CE659" s="12"/>
      <c r="CF659" s="12"/>
      <c r="CG659" s="12"/>
      <c r="CH659" s="12"/>
      <c r="CI659" s="12"/>
      <c r="CJ659" s="12"/>
      <c r="CK659" s="12"/>
      <c r="CL659" s="12"/>
      <c r="CM659" s="12"/>
      <c r="CN659" s="12"/>
      <c r="CO659" s="12"/>
      <c r="CP659" s="12"/>
      <c r="CQ659" s="12"/>
      <c r="CR659" s="12"/>
      <c r="CS659" s="12"/>
      <c r="CT659" s="12"/>
      <c r="CU659" s="12"/>
      <c r="CV659" s="12"/>
      <c r="CW659" s="12"/>
      <c r="CX659" s="12"/>
      <c r="CY659" s="12"/>
      <c r="CZ659" s="12"/>
      <c r="DA659" s="12"/>
      <c r="DB659" s="12"/>
      <c r="DC659" s="12"/>
      <c r="DD659" s="12"/>
      <c r="DE659" s="12"/>
      <c r="DF659" s="12"/>
      <c r="DG659" s="12"/>
      <c r="DH659" s="12"/>
      <c r="DI659" s="12"/>
      <c r="DJ659" s="12"/>
      <c r="DK659" s="12"/>
      <c r="DL659" s="12"/>
      <c r="DM659" s="12"/>
      <c r="DN659" s="12"/>
      <c r="DO659" s="12"/>
      <c r="DP659" s="12"/>
      <c r="DQ659" s="12"/>
      <c r="DR659" s="12"/>
      <c r="DS659" s="12"/>
      <c r="DT659" s="12"/>
      <c r="DU659" s="12"/>
      <c r="DV659" s="12"/>
      <c r="DW659" s="12"/>
      <c r="DX659" s="12"/>
      <c r="DY659" s="12"/>
      <c r="DZ659" s="12"/>
      <c r="EA659" s="12"/>
      <c r="EB659" s="12"/>
      <c r="EC659" s="12"/>
      <c r="ED659" s="12"/>
      <c r="EE659" s="12"/>
      <c r="EF659" s="12"/>
      <c r="EG659" s="12"/>
      <c r="EH659" s="12"/>
      <c r="EI659" s="12"/>
      <c r="EJ659" s="574"/>
      <c r="EK659" s="574"/>
      <c r="EL659" s="574"/>
      <c r="EM659" s="574"/>
      <c r="EN659" s="574"/>
      <c r="EO659" s="574"/>
      <c r="EP659" s="574"/>
      <c r="EQ659" s="574"/>
      <c r="ER659" s="574"/>
      <c r="ES659" s="574"/>
      <c r="ET659" s="574"/>
      <c r="EU659" s="574"/>
    </row>
    <row r="660">
      <c r="A660" s="12"/>
      <c r="B660" s="55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2"/>
      <c r="AY660" s="12"/>
      <c r="AZ660" s="12"/>
      <c r="BA660" s="12"/>
      <c r="BB660" s="12"/>
      <c r="BC660" s="12"/>
      <c r="BD660" s="12"/>
      <c r="BE660" s="12"/>
      <c r="BF660" s="12"/>
      <c r="BG660" s="12"/>
      <c r="BH660" s="12"/>
      <c r="BI660" s="12"/>
      <c r="BJ660" s="12"/>
      <c r="BK660" s="12"/>
      <c r="BL660" s="12"/>
      <c r="BM660" s="12"/>
      <c r="BN660" s="12"/>
      <c r="BO660" s="12"/>
      <c r="BP660" s="12"/>
      <c r="BQ660" s="12"/>
      <c r="BR660" s="12"/>
      <c r="BS660" s="12"/>
      <c r="BT660" s="12"/>
      <c r="BU660" s="12"/>
      <c r="BV660" s="12"/>
      <c r="BW660" s="12"/>
      <c r="BX660" s="12"/>
      <c r="BY660" s="12"/>
      <c r="BZ660" s="12"/>
      <c r="CA660" s="12"/>
      <c r="CB660" s="12"/>
      <c r="CC660" s="12"/>
      <c r="CD660" s="12"/>
      <c r="CE660" s="12"/>
      <c r="CF660" s="12"/>
      <c r="CG660" s="12"/>
      <c r="CH660" s="12"/>
      <c r="CI660" s="12"/>
      <c r="CJ660" s="12"/>
      <c r="CK660" s="12"/>
      <c r="CL660" s="12"/>
      <c r="CM660" s="12"/>
      <c r="CN660" s="12"/>
      <c r="CO660" s="12"/>
      <c r="CP660" s="12"/>
      <c r="CQ660" s="12"/>
      <c r="CR660" s="12"/>
      <c r="CS660" s="12"/>
      <c r="CT660" s="12"/>
      <c r="CU660" s="12"/>
      <c r="CV660" s="12"/>
      <c r="CW660" s="12"/>
      <c r="CX660" s="12"/>
      <c r="CY660" s="12"/>
      <c r="CZ660" s="12"/>
      <c r="DA660" s="12"/>
      <c r="DB660" s="12"/>
      <c r="DC660" s="12"/>
      <c r="DD660" s="12"/>
      <c r="DE660" s="12"/>
      <c r="DF660" s="12"/>
      <c r="DG660" s="12"/>
      <c r="DH660" s="12"/>
      <c r="DI660" s="12"/>
      <c r="DJ660" s="12"/>
      <c r="DK660" s="12"/>
      <c r="DL660" s="12"/>
      <c r="DM660" s="12"/>
      <c r="DN660" s="12"/>
      <c r="DO660" s="12"/>
      <c r="DP660" s="12"/>
      <c r="DQ660" s="12"/>
      <c r="DR660" s="12"/>
      <c r="DS660" s="12"/>
      <c r="DT660" s="12"/>
      <c r="DU660" s="12"/>
      <c r="DV660" s="12"/>
      <c r="DW660" s="12"/>
      <c r="DX660" s="12"/>
      <c r="DY660" s="12"/>
      <c r="DZ660" s="12"/>
      <c r="EA660" s="12"/>
      <c r="EB660" s="12"/>
      <c r="EC660" s="12"/>
      <c r="ED660" s="12"/>
      <c r="EE660" s="12"/>
      <c r="EF660" s="12"/>
      <c r="EG660" s="12"/>
      <c r="EH660" s="12"/>
      <c r="EI660" s="12"/>
      <c r="EJ660" s="574"/>
      <c r="EK660" s="574"/>
      <c r="EL660" s="574"/>
      <c r="EM660" s="574"/>
      <c r="EN660" s="574"/>
      <c r="EO660" s="574"/>
      <c r="EP660" s="574"/>
      <c r="EQ660" s="574"/>
      <c r="ER660" s="574"/>
      <c r="ES660" s="574"/>
      <c r="ET660" s="574"/>
      <c r="EU660" s="574"/>
    </row>
    <row r="661">
      <c r="A661" s="12"/>
      <c r="B661" s="55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2"/>
      <c r="AY661" s="12"/>
      <c r="AZ661" s="12"/>
      <c r="BA661" s="12"/>
      <c r="BB661" s="12"/>
      <c r="BC661" s="12"/>
      <c r="BD661" s="12"/>
      <c r="BE661" s="12"/>
      <c r="BF661" s="12"/>
      <c r="BG661" s="12"/>
      <c r="BH661" s="12"/>
      <c r="BI661" s="12"/>
      <c r="BJ661" s="12"/>
      <c r="BK661" s="12"/>
      <c r="BL661" s="12"/>
      <c r="BM661" s="12"/>
      <c r="BN661" s="12"/>
      <c r="BO661" s="12"/>
      <c r="BP661" s="12"/>
      <c r="BQ661" s="12"/>
      <c r="BR661" s="12"/>
      <c r="BS661" s="12"/>
      <c r="BT661" s="12"/>
      <c r="BU661" s="12"/>
      <c r="BV661" s="12"/>
      <c r="BW661" s="12"/>
      <c r="BX661" s="12"/>
      <c r="BY661" s="12"/>
      <c r="BZ661" s="12"/>
      <c r="CA661" s="12"/>
      <c r="CB661" s="12"/>
      <c r="CC661" s="12"/>
      <c r="CD661" s="12"/>
      <c r="CE661" s="12"/>
      <c r="CF661" s="12"/>
      <c r="CG661" s="12"/>
      <c r="CH661" s="12"/>
      <c r="CI661" s="12"/>
      <c r="CJ661" s="12"/>
      <c r="CK661" s="12"/>
      <c r="CL661" s="12"/>
      <c r="CM661" s="12"/>
      <c r="CN661" s="12"/>
      <c r="CO661" s="12"/>
      <c r="CP661" s="12"/>
      <c r="CQ661" s="12"/>
      <c r="CR661" s="12"/>
      <c r="CS661" s="12"/>
      <c r="CT661" s="12"/>
      <c r="CU661" s="12"/>
      <c r="CV661" s="12"/>
      <c r="CW661" s="12"/>
      <c r="CX661" s="12"/>
      <c r="CY661" s="12"/>
      <c r="CZ661" s="12"/>
      <c r="DA661" s="12"/>
      <c r="DB661" s="12"/>
      <c r="DC661" s="12"/>
      <c r="DD661" s="12"/>
      <c r="DE661" s="12"/>
      <c r="DF661" s="12"/>
      <c r="DG661" s="12"/>
      <c r="DH661" s="12"/>
      <c r="DI661" s="12"/>
      <c r="DJ661" s="12"/>
      <c r="DK661" s="12"/>
      <c r="DL661" s="12"/>
      <c r="DM661" s="12"/>
      <c r="DN661" s="12"/>
      <c r="DO661" s="12"/>
      <c r="DP661" s="12"/>
      <c r="DQ661" s="12"/>
      <c r="DR661" s="12"/>
      <c r="DS661" s="12"/>
      <c r="DT661" s="12"/>
      <c r="DU661" s="12"/>
      <c r="DV661" s="12"/>
      <c r="DW661" s="12"/>
      <c r="DX661" s="12"/>
      <c r="DY661" s="12"/>
      <c r="DZ661" s="12"/>
      <c r="EA661" s="12"/>
      <c r="EB661" s="12"/>
      <c r="EC661" s="12"/>
      <c r="ED661" s="12"/>
      <c r="EE661" s="12"/>
      <c r="EF661" s="12"/>
      <c r="EG661" s="12"/>
      <c r="EH661" s="12"/>
      <c r="EI661" s="12"/>
      <c r="EJ661" s="574"/>
      <c r="EK661" s="574"/>
      <c r="EL661" s="574"/>
      <c r="EM661" s="574"/>
      <c r="EN661" s="574"/>
      <c r="EO661" s="574"/>
      <c r="EP661" s="574"/>
      <c r="EQ661" s="574"/>
      <c r="ER661" s="574"/>
      <c r="ES661" s="574"/>
      <c r="ET661" s="574"/>
      <c r="EU661" s="574"/>
    </row>
    <row r="662">
      <c r="A662" s="12"/>
      <c r="B662" s="55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2"/>
      <c r="AY662" s="12"/>
      <c r="AZ662" s="12"/>
      <c r="BA662" s="12"/>
      <c r="BB662" s="12"/>
      <c r="BC662" s="12"/>
      <c r="BD662" s="12"/>
      <c r="BE662" s="12"/>
      <c r="BF662" s="12"/>
      <c r="BG662" s="12"/>
      <c r="BH662" s="12"/>
      <c r="BI662" s="12"/>
      <c r="BJ662" s="12"/>
      <c r="BK662" s="12"/>
      <c r="BL662" s="12"/>
      <c r="BM662" s="12"/>
      <c r="BN662" s="12"/>
      <c r="BO662" s="12"/>
      <c r="BP662" s="12"/>
      <c r="BQ662" s="12"/>
      <c r="BR662" s="12"/>
      <c r="BS662" s="12"/>
      <c r="BT662" s="12"/>
      <c r="BU662" s="12"/>
      <c r="BV662" s="12"/>
      <c r="BW662" s="12"/>
      <c r="BX662" s="12"/>
      <c r="BY662" s="12"/>
      <c r="BZ662" s="12"/>
      <c r="CA662" s="12"/>
      <c r="CB662" s="12"/>
      <c r="CC662" s="12"/>
      <c r="CD662" s="12"/>
      <c r="CE662" s="12"/>
      <c r="CF662" s="12"/>
      <c r="CG662" s="12"/>
      <c r="CH662" s="12"/>
      <c r="CI662" s="12"/>
      <c r="CJ662" s="12"/>
      <c r="CK662" s="12"/>
      <c r="CL662" s="12"/>
      <c r="CM662" s="12"/>
      <c r="CN662" s="12"/>
      <c r="CO662" s="12"/>
      <c r="CP662" s="12"/>
      <c r="CQ662" s="12"/>
      <c r="CR662" s="12"/>
      <c r="CS662" s="12"/>
      <c r="CT662" s="12"/>
      <c r="CU662" s="12"/>
      <c r="CV662" s="12"/>
      <c r="CW662" s="12"/>
      <c r="CX662" s="12"/>
      <c r="CY662" s="12"/>
      <c r="CZ662" s="12"/>
      <c r="DA662" s="12"/>
      <c r="DB662" s="12"/>
      <c r="DC662" s="12"/>
      <c r="DD662" s="12"/>
      <c r="DE662" s="12"/>
      <c r="DF662" s="12"/>
      <c r="DG662" s="12"/>
      <c r="DH662" s="12"/>
      <c r="DI662" s="12"/>
      <c r="DJ662" s="12"/>
      <c r="DK662" s="12"/>
      <c r="DL662" s="12"/>
      <c r="DM662" s="12"/>
      <c r="DN662" s="12"/>
      <c r="DO662" s="12"/>
      <c r="DP662" s="12"/>
      <c r="DQ662" s="12"/>
      <c r="DR662" s="12"/>
      <c r="DS662" s="12"/>
      <c r="DT662" s="12"/>
      <c r="DU662" s="12"/>
      <c r="DV662" s="12"/>
      <c r="DW662" s="12"/>
      <c r="DX662" s="12"/>
      <c r="DY662" s="12"/>
      <c r="DZ662" s="12"/>
      <c r="EA662" s="12"/>
      <c r="EB662" s="12"/>
      <c r="EC662" s="12"/>
      <c r="ED662" s="12"/>
      <c r="EE662" s="12"/>
      <c r="EF662" s="12"/>
      <c r="EG662" s="12"/>
      <c r="EH662" s="12"/>
      <c r="EI662" s="12"/>
      <c r="EJ662" s="574"/>
      <c r="EK662" s="574"/>
      <c r="EL662" s="574"/>
      <c r="EM662" s="574"/>
      <c r="EN662" s="574"/>
      <c r="EO662" s="574"/>
      <c r="EP662" s="574"/>
      <c r="EQ662" s="574"/>
      <c r="ER662" s="574"/>
      <c r="ES662" s="574"/>
      <c r="ET662" s="574"/>
      <c r="EU662" s="574"/>
    </row>
    <row r="663">
      <c r="A663" s="12"/>
      <c r="B663" s="55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12"/>
      <c r="AY663" s="12"/>
      <c r="AZ663" s="12"/>
      <c r="BA663" s="12"/>
      <c r="BB663" s="12"/>
      <c r="BC663" s="12"/>
      <c r="BD663" s="12"/>
      <c r="BE663" s="12"/>
      <c r="BF663" s="12"/>
      <c r="BG663" s="12"/>
      <c r="BH663" s="12"/>
      <c r="BI663" s="12"/>
      <c r="BJ663" s="12"/>
      <c r="BK663" s="12"/>
      <c r="BL663" s="12"/>
      <c r="BM663" s="12"/>
      <c r="BN663" s="12"/>
      <c r="BO663" s="12"/>
      <c r="BP663" s="12"/>
      <c r="BQ663" s="12"/>
      <c r="BR663" s="12"/>
      <c r="BS663" s="12"/>
      <c r="BT663" s="12"/>
      <c r="BU663" s="12"/>
      <c r="BV663" s="12"/>
      <c r="BW663" s="12"/>
      <c r="BX663" s="12"/>
      <c r="BY663" s="12"/>
      <c r="BZ663" s="12"/>
      <c r="CA663" s="12"/>
      <c r="CB663" s="12"/>
      <c r="CC663" s="12"/>
      <c r="CD663" s="12"/>
      <c r="CE663" s="12"/>
      <c r="CF663" s="12"/>
      <c r="CG663" s="12"/>
      <c r="CH663" s="12"/>
      <c r="CI663" s="12"/>
      <c r="CJ663" s="12"/>
      <c r="CK663" s="12"/>
      <c r="CL663" s="12"/>
      <c r="CM663" s="12"/>
      <c r="CN663" s="12"/>
      <c r="CO663" s="12"/>
      <c r="CP663" s="12"/>
      <c r="CQ663" s="12"/>
      <c r="CR663" s="12"/>
      <c r="CS663" s="12"/>
      <c r="CT663" s="12"/>
      <c r="CU663" s="12"/>
      <c r="CV663" s="12"/>
      <c r="CW663" s="12"/>
      <c r="CX663" s="12"/>
      <c r="CY663" s="12"/>
      <c r="CZ663" s="12"/>
      <c r="DA663" s="12"/>
      <c r="DB663" s="12"/>
      <c r="DC663" s="12"/>
      <c r="DD663" s="12"/>
      <c r="DE663" s="12"/>
      <c r="DF663" s="12"/>
      <c r="DG663" s="12"/>
      <c r="DH663" s="12"/>
      <c r="DI663" s="12"/>
      <c r="DJ663" s="12"/>
      <c r="DK663" s="12"/>
      <c r="DL663" s="12"/>
      <c r="DM663" s="12"/>
      <c r="DN663" s="12"/>
      <c r="DO663" s="12"/>
      <c r="DP663" s="12"/>
      <c r="DQ663" s="12"/>
      <c r="DR663" s="12"/>
      <c r="DS663" s="12"/>
      <c r="DT663" s="12"/>
      <c r="DU663" s="12"/>
      <c r="DV663" s="12"/>
      <c r="DW663" s="12"/>
      <c r="DX663" s="12"/>
      <c r="DY663" s="12"/>
      <c r="DZ663" s="12"/>
      <c r="EA663" s="12"/>
      <c r="EB663" s="12"/>
      <c r="EC663" s="12"/>
      <c r="ED663" s="12"/>
      <c r="EE663" s="12"/>
      <c r="EF663" s="12"/>
      <c r="EG663" s="12"/>
      <c r="EH663" s="12"/>
      <c r="EI663" s="12"/>
      <c r="EJ663" s="574"/>
      <c r="EK663" s="574"/>
      <c r="EL663" s="574"/>
      <c r="EM663" s="574"/>
      <c r="EN663" s="574"/>
      <c r="EO663" s="574"/>
      <c r="EP663" s="574"/>
      <c r="EQ663" s="574"/>
      <c r="ER663" s="574"/>
      <c r="ES663" s="574"/>
      <c r="ET663" s="574"/>
      <c r="EU663" s="574"/>
    </row>
    <row r="664">
      <c r="A664" s="12"/>
      <c r="B664" s="55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12"/>
      <c r="AY664" s="12"/>
      <c r="AZ664" s="12"/>
      <c r="BA664" s="12"/>
      <c r="BB664" s="12"/>
      <c r="BC664" s="12"/>
      <c r="BD664" s="12"/>
      <c r="BE664" s="12"/>
      <c r="BF664" s="12"/>
      <c r="BG664" s="12"/>
      <c r="BH664" s="12"/>
      <c r="BI664" s="12"/>
      <c r="BJ664" s="12"/>
      <c r="BK664" s="12"/>
      <c r="BL664" s="12"/>
      <c r="BM664" s="12"/>
      <c r="BN664" s="12"/>
      <c r="BO664" s="12"/>
      <c r="BP664" s="12"/>
      <c r="BQ664" s="12"/>
      <c r="BR664" s="12"/>
      <c r="BS664" s="12"/>
      <c r="BT664" s="12"/>
      <c r="BU664" s="12"/>
      <c r="BV664" s="12"/>
      <c r="BW664" s="12"/>
      <c r="BX664" s="12"/>
      <c r="BY664" s="12"/>
      <c r="BZ664" s="12"/>
      <c r="CA664" s="12"/>
      <c r="CB664" s="12"/>
      <c r="CC664" s="12"/>
      <c r="CD664" s="12"/>
      <c r="CE664" s="12"/>
      <c r="CF664" s="12"/>
      <c r="CG664" s="12"/>
      <c r="CH664" s="12"/>
      <c r="CI664" s="12"/>
      <c r="CJ664" s="12"/>
      <c r="CK664" s="12"/>
      <c r="CL664" s="12"/>
      <c r="CM664" s="12"/>
      <c r="CN664" s="12"/>
      <c r="CO664" s="12"/>
      <c r="CP664" s="12"/>
      <c r="CQ664" s="12"/>
      <c r="CR664" s="12"/>
      <c r="CS664" s="12"/>
      <c r="CT664" s="12"/>
      <c r="CU664" s="12"/>
      <c r="CV664" s="12"/>
      <c r="CW664" s="12"/>
      <c r="CX664" s="12"/>
      <c r="CY664" s="12"/>
      <c r="CZ664" s="12"/>
      <c r="DA664" s="12"/>
      <c r="DB664" s="12"/>
      <c r="DC664" s="12"/>
      <c r="DD664" s="12"/>
      <c r="DE664" s="12"/>
      <c r="DF664" s="12"/>
      <c r="DG664" s="12"/>
      <c r="DH664" s="12"/>
      <c r="DI664" s="12"/>
      <c r="DJ664" s="12"/>
      <c r="DK664" s="12"/>
      <c r="DL664" s="12"/>
      <c r="DM664" s="12"/>
      <c r="DN664" s="12"/>
      <c r="DO664" s="12"/>
      <c r="DP664" s="12"/>
      <c r="DQ664" s="12"/>
      <c r="DR664" s="12"/>
      <c r="DS664" s="12"/>
      <c r="DT664" s="12"/>
      <c r="DU664" s="12"/>
      <c r="DV664" s="12"/>
      <c r="DW664" s="12"/>
      <c r="DX664" s="12"/>
      <c r="DY664" s="12"/>
      <c r="DZ664" s="12"/>
      <c r="EA664" s="12"/>
      <c r="EB664" s="12"/>
      <c r="EC664" s="12"/>
      <c r="ED664" s="12"/>
      <c r="EE664" s="12"/>
      <c r="EF664" s="12"/>
      <c r="EG664" s="12"/>
      <c r="EH664" s="12"/>
      <c r="EI664" s="12"/>
      <c r="EJ664" s="574"/>
      <c r="EK664" s="574"/>
      <c r="EL664" s="574"/>
      <c r="EM664" s="574"/>
      <c r="EN664" s="574"/>
      <c r="EO664" s="574"/>
      <c r="EP664" s="574"/>
      <c r="EQ664" s="574"/>
      <c r="ER664" s="574"/>
      <c r="ES664" s="574"/>
      <c r="ET664" s="574"/>
      <c r="EU664" s="574"/>
    </row>
    <row r="665">
      <c r="A665" s="12"/>
      <c r="B665" s="55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12"/>
      <c r="AY665" s="12"/>
      <c r="AZ665" s="12"/>
      <c r="BA665" s="12"/>
      <c r="BB665" s="12"/>
      <c r="BC665" s="12"/>
      <c r="BD665" s="12"/>
      <c r="BE665" s="12"/>
      <c r="BF665" s="12"/>
      <c r="BG665" s="12"/>
      <c r="BH665" s="12"/>
      <c r="BI665" s="12"/>
      <c r="BJ665" s="12"/>
      <c r="BK665" s="12"/>
      <c r="BL665" s="12"/>
      <c r="BM665" s="12"/>
      <c r="BN665" s="12"/>
      <c r="BO665" s="12"/>
      <c r="BP665" s="12"/>
      <c r="BQ665" s="12"/>
      <c r="BR665" s="12"/>
      <c r="BS665" s="12"/>
      <c r="BT665" s="12"/>
      <c r="BU665" s="12"/>
      <c r="BV665" s="12"/>
      <c r="BW665" s="12"/>
      <c r="BX665" s="12"/>
      <c r="BY665" s="12"/>
      <c r="BZ665" s="12"/>
      <c r="CA665" s="12"/>
      <c r="CB665" s="12"/>
      <c r="CC665" s="12"/>
      <c r="CD665" s="12"/>
      <c r="CE665" s="12"/>
      <c r="CF665" s="12"/>
      <c r="CG665" s="12"/>
      <c r="CH665" s="12"/>
      <c r="CI665" s="12"/>
      <c r="CJ665" s="12"/>
      <c r="CK665" s="12"/>
      <c r="CL665" s="12"/>
      <c r="CM665" s="12"/>
      <c r="CN665" s="12"/>
      <c r="CO665" s="12"/>
      <c r="CP665" s="12"/>
      <c r="CQ665" s="12"/>
      <c r="CR665" s="12"/>
      <c r="CS665" s="12"/>
      <c r="CT665" s="12"/>
      <c r="CU665" s="12"/>
      <c r="CV665" s="12"/>
      <c r="CW665" s="12"/>
      <c r="CX665" s="12"/>
      <c r="CY665" s="12"/>
      <c r="CZ665" s="12"/>
      <c r="DA665" s="12"/>
      <c r="DB665" s="12"/>
      <c r="DC665" s="12"/>
      <c r="DD665" s="12"/>
      <c r="DE665" s="12"/>
      <c r="DF665" s="12"/>
      <c r="DG665" s="12"/>
      <c r="DH665" s="12"/>
      <c r="DI665" s="12"/>
      <c r="DJ665" s="12"/>
      <c r="DK665" s="12"/>
      <c r="DL665" s="12"/>
      <c r="DM665" s="12"/>
      <c r="DN665" s="12"/>
      <c r="DO665" s="12"/>
      <c r="DP665" s="12"/>
      <c r="DQ665" s="12"/>
      <c r="DR665" s="12"/>
      <c r="DS665" s="12"/>
      <c r="DT665" s="12"/>
      <c r="DU665" s="12"/>
      <c r="DV665" s="12"/>
      <c r="DW665" s="12"/>
      <c r="DX665" s="12"/>
      <c r="DY665" s="12"/>
      <c r="DZ665" s="12"/>
      <c r="EA665" s="12"/>
      <c r="EB665" s="12"/>
      <c r="EC665" s="12"/>
      <c r="ED665" s="12"/>
      <c r="EE665" s="12"/>
      <c r="EF665" s="12"/>
      <c r="EG665" s="12"/>
      <c r="EH665" s="12"/>
      <c r="EI665" s="12"/>
      <c r="EJ665" s="574"/>
      <c r="EK665" s="574"/>
      <c r="EL665" s="574"/>
      <c r="EM665" s="574"/>
      <c r="EN665" s="574"/>
      <c r="EO665" s="574"/>
      <c r="EP665" s="574"/>
      <c r="EQ665" s="574"/>
      <c r="ER665" s="574"/>
      <c r="ES665" s="574"/>
      <c r="ET665" s="574"/>
      <c r="EU665" s="574"/>
    </row>
    <row r="666">
      <c r="A666" s="12"/>
      <c r="B666" s="55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  <c r="AY666" s="12"/>
      <c r="AZ666" s="12"/>
      <c r="BA666" s="12"/>
      <c r="BB666" s="12"/>
      <c r="BC666" s="12"/>
      <c r="BD666" s="12"/>
      <c r="BE666" s="12"/>
      <c r="BF666" s="12"/>
      <c r="BG666" s="12"/>
      <c r="BH666" s="12"/>
      <c r="BI666" s="12"/>
      <c r="BJ666" s="12"/>
      <c r="BK666" s="12"/>
      <c r="BL666" s="12"/>
      <c r="BM666" s="12"/>
      <c r="BN666" s="12"/>
      <c r="BO666" s="12"/>
      <c r="BP666" s="12"/>
      <c r="BQ666" s="12"/>
      <c r="BR666" s="12"/>
      <c r="BS666" s="12"/>
      <c r="BT666" s="12"/>
      <c r="BU666" s="12"/>
      <c r="BV666" s="12"/>
      <c r="BW666" s="12"/>
      <c r="BX666" s="12"/>
      <c r="BY666" s="12"/>
      <c r="BZ666" s="12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574"/>
      <c r="EK666" s="574"/>
      <c r="EL666" s="574"/>
      <c r="EM666" s="574"/>
      <c r="EN666" s="574"/>
      <c r="EO666" s="574"/>
      <c r="EP666" s="574"/>
      <c r="EQ666" s="574"/>
      <c r="ER666" s="574"/>
      <c r="ES666" s="574"/>
      <c r="ET666" s="574"/>
      <c r="EU666" s="574"/>
    </row>
    <row r="667">
      <c r="A667" s="12"/>
      <c r="B667" s="55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  <c r="AX667" s="12"/>
      <c r="AY667" s="12"/>
      <c r="AZ667" s="12"/>
      <c r="BA667" s="12"/>
      <c r="BB667" s="12"/>
      <c r="BC667" s="12"/>
      <c r="BD667" s="12"/>
      <c r="BE667" s="12"/>
      <c r="BF667" s="12"/>
      <c r="BG667" s="12"/>
      <c r="BH667" s="12"/>
      <c r="BI667" s="12"/>
      <c r="BJ667" s="12"/>
      <c r="BK667" s="12"/>
      <c r="BL667" s="12"/>
      <c r="BM667" s="12"/>
      <c r="BN667" s="12"/>
      <c r="BO667" s="12"/>
      <c r="BP667" s="12"/>
      <c r="BQ667" s="12"/>
      <c r="BR667" s="12"/>
      <c r="BS667" s="12"/>
      <c r="BT667" s="12"/>
      <c r="BU667" s="12"/>
      <c r="BV667" s="12"/>
      <c r="BW667" s="12"/>
      <c r="BX667" s="12"/>
      <c r="BY667" s="12"/>
      <c r="BZ667" s="12"/>
      <c r="CA667" s="12"/>
      <c r="CB667" s="12"/>
      <c r="CC667" s="12"/>
      <c r="CD667" s="12"/>
      <c r="CE667" s="12"/>
      <c r="CF667" s="12"/>
      <c r="CG667" s="12"/>
      <c r="CH667" s="12"/>
      <c r="CI667" s="12"/>
      <c r="CJ667" s="12"/>
      <c r="CK667" s="12"/>
      <c r="CL667" s="12"/>
      <c r="CM667" s="12"/>
      <c r="CN667" s="12"/>
      <c r="CO667" s="12"/>
      <c r="CP667" s="12"/>
      <c r="CQ667" s="12"/>
      <c r="CR667" s="12"/>
      <c r="CS667" s="12"/>
      <c r="CT667" s="12"/>
      <c r="CU667" s="12"/>
      <c r="CV667" s="12"/>
      <c r="CW667" s="12"/>
      <c r="CX667" s="12"/>
      <c r="CY667" s="12"/>
      <c r="CZ667" s="12"/>
      <c r="DA667" s="12"/>
      <c r="DB667" s="12"/>
      <c r="DC667" s="12"/>
      <c r="DD667" s="12"/>
      <c r="DE667" s="12"/>
      <c r="DF667" s="12"/>
      <c r="DG667" s="12"/>
      <c r="DH667" s="12"/>
      <c r="DI667" s="12"/>
      <c r="DJ667" s="12"/>
      <c r="DK667" s="12"/>
      <c r="DL667" s="12"/>
      <c r="DM667" s="12"/>
      <c r="DN667" s="12"/>
      <c r="DO667" s="12"/>
      <c r="DP667" s="12"/>
      <c r="DQ667" s="12"/>
      <c r="DR667" s="12"/>
      <c r="DS667" s="12"/>
      <c r="DT667" s="12"/>
      <c r="DU667" s="12"/>
      <c r="DV667" s="12"/>
      <c r="DW667" s="12"/>
      <c r="DX667" s="12"/>
      <c r="DY667" s="12"/>
      <c r="DZ667" s="12"/>
      <c r="EA667" s="12"/>
      <c r="EB667" s="12"/>
      <c r="EC667" s="12"/>
      <c r="ED667" s="12"/>
      <c r="EE667" s="12"/>
      <c r="EF667" s="12"/>
      <c r="EG667" s="12"/>
      <c r="EH667" s="12"/>
      <c r="EI667" s="12"/>
      <c r="EJ667" s="574"/>
      <c r="EK667" s="574"/>
      <c r="EL667" s="574"/>
      <c r="EM667" s="574"/>
      <c r="EN667" s="574"/>
      <c r="EO667" s="574"/>
      <c r="EP667" s="574"/>
      <c r="EQ667" s="574"/>
      <c r="ER667" s="574"/>
      <c r="ES667" s="574"/>
      <c r="ET667" s="574"/>
      <c r="EU667" s="574"/>
    </row>
    <row r="668">
      <c r="A668" s="12"/>
      <c r="B668" s="55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2"/>
      <c r="AY668" s="12"/>
      <c r="AZ668" s="12"/>
      <c r="BA668" s="12"/>
      <c r="BB668" s="12"/>
      <c r="BC668" s="12"/>
      <c r="BD668" s="12"/>
      <c r="BE668" s="12"/>
      <c r="BF668" s="12"/>
      <c r="BG668" s="12"/>
      <c r="BH668" s="12"/>
      <c r="BI668" s="12"/>
      <c r="BJ668" s="12"/>
      <c r="BK668" s="12"/>
      <c r="BL668" s="12"/>
      <c r="BM668" s="12"/>
      <c r="BN668" s="12"/>
      <c r="BO668" s="12"/>
      <c r="BP668" s="12"/>
      <c r="BQ668" s="12"/>
      <c r="BR668" s="12"/>
      <c r="BS668" s="12"/>
      <c r="BT668" s="12"/>
      <c r="BU668" s="12"/>
      <c r="BV668" s="12"/>
      <c r="BW668" s="12"/>
      <c r="BX668" s="12"/>
      <c r="BY668" s="12"/>
      <c r="BZ668" s="12"/>
      <c r="CA668" s="12"/>
      <c r="CB668" s="12"/>
      <c r="CC668" s="12"/>
      <c r="CD668" s="12"/>
      <c r="CE668" s="12"/>
      <c r="CF668" s="12"/>
      <c r="CG668" s="12"/>
      <c r="CH668" s="12"/>
      <c r="CI668" s="12"/>
      <c r="CJ668" s="12"/>
      <c r="CK668" s="12"/>
      <c r="CL668" s="12"/>
      <c r="CM668" s="12"/>
      <c r="CN668" s="12"/>
      <c r="CO668" s="12"/>
      <c r="CP668" s="12"/>
      <c r="CQ668" s="12"/>
      <c r="CR668" s="12"/>
      <c r="CS668" s="12"/>
      <c r="CT668" s="12"/>
      <c r="CU668" s="12"/>
      <c r="CV668" s="12"/>
      <c r="CW668" s="12"/>
      <c r="CX668" s="12"/>
      <c r="CY668" s="12"/>
      <c r="CZ668" s="12"/>
      <c r="DA668" s="12"/>
      <c r="DB668" s="12"/>
      <c r="DC668" s="12"/>
      <c r="DD668" s="12"/>
      <c r="DE668" s="12"/>
      <c r="DF668" s="12"/>
      <c r="DG668" s="12"/>
      <c r="DH668" s="12"/>
      <c r="DI668" s="12"/>
      <c r="DJ668" s="12"/>
      <c r="DK668" s="12"/>
      <c r="DL668" s="12"/>
      <c r="DM668" s="12"/>
      <c r="DN668" s="12"/>
      <c r="DO668" s="12"/>
      <c r="DP668" s="12"/>
      <c r="DQ668" s="12"/>
      <c r="DR668" s="12"/>
      <c r="DS668" s="12"/>
      <c r="DT668" s="12"/>
      <c r="DU668" s="12"/>
      <c r="DV668" s="12"/>
      <c r="DW668" s="12"/>
      <c r="DX668" s="12"/>
      <c r="DY668" s="12"/>
      <c r="DZ668" s="12"/>
      <c r="EA668" s="12"/>
      <c r="EB668" s="12"/>
      <c r="EC668" s="12"/>
      <c r="ED668" s="12"/>
      <c r="EE668" s="12"/>
      <c r="EF668" s="12"/>
      <c r="EG668" s="12"/>
      <c r="EH668" s="12"/>
      <c r="EI668" s="12"/>
      <c r="EJ668" s="574"/>
      <c r="EK668" s="574"/>
      <c r="EL668" s="574"/>
      <c r="EM668" s="574"/>
      <c r="EN668" s="574"/>
      <c r="EO668" s="574"/>
      <c r="EP668" s="574"/>
      <c r="EQ668" s="574"/>
      <c r="ER668" s="574"/>
      <c r="ES668" s="574"/>
      <c r="ET668" s="574"/>
      <c r="EU668" s="574"/>
    </row>
    <row r="669">
      <c r="A669" s="12"/>
      <c r="B669" s="55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  <c r="AX669" s="12"/>
      <c r="AY669" s="12"/>
      <c r="AZ669" s="12"/>
      <c r="BA669" s="12"/>
      <c r="BB669" s="12"/>
      <c r="BC669" s="12"/>
      <c r="BD669" s="12"/>
      <c r="BE669" s="12"/>
      <c r="BF669" s="12"/>
      <c r="BG669" s="12"/>
      <c r="BH669" s="12"/>
      <c r="BI669" s="12"/>
      <c r="BJ669" s="12"/>
      <c r="BK669" s="12"/>
      <c r="BL669" s="12"/>
      <c r="BM669" s="12"/>
      <c r="BN669" s="12"/>
      <c r="BO669" s="12"/>
      <c r="BP669" s="12"/>
      <c r="BQ669" s="12"/>
      <c r="BR669" s="12"/>
      <c r="BS669" s="12"/>
      <c r="BT669" s="12"/>
      <c r="BU669" s="12"/>
      <c r="BV669" s="12"/>
      <c r="BW669" s="12"/>
      <c r="BX669" s="12"/>
      <c r="BY669" s="12"/>
      <c r="BZ669" s="12"/>
      <c r="CA669" s="12"/>
      <c r="CB669" s="12"/>
      <c r="CC669" s="12"/>
      <c r="CD669" s="12"/>
      <c r="CE669" s="12"/>
      <c r="CF669" s="12"/>
      <c r="CG669" s="12"/>
      <c r="CH669" s="12"/>
      <c r="CI669" s="12"/>
      <c r="CJ669" s="12"/>
      <c r="CK669" s="12"/>
      <c r="CL669" s="12"/>
      <c r="CM669" s="12"/>
      <c r="CN669" s="12"/>
      <c r="CO669" s="12"/>
      <c r="CP669" s="12"/>
      <c r="CQ669" s="12"/>
      <c r="CR669" s="12"/>
      <c r="CS669" s="12"/>
      <c r="CT669" s="12"/>
      <c r="CU669" s="12"/>
      <c r="CV669" s="12"/>
      <c r="CW669" s="12"/>
      <c r="CX669" s="12"/>
      <c r="CY669" s="12"/>
      <c r="CZ669" s="12"/>
      <c r="DA669" s="12"/>
      <c r="DB669" s="12"/>
      <c r="DC669" s="12"/>
      <c r="DD669" s="12"/>
      <c r="DE669" s="12"/>
      <c r="DF669" s="12"/>
      <c r="DG669" s="12"/>
      <c r="DH669" s="12"/>
      <c r="DI669" s="12"/>
      <c r="DJ669" s="12"/>
      <c r="DK669" s="12"/>
      <c r="DL669" s="12"/>
      <c r="DM669" s="12"/>
      <c r="DN669" s="12"/>
      <c r="DO669" s="12"/>
      <c r="DP669" s="12"/>
      <c r="DQ669" s="12"/>
      <c r="DR669" s="12"/>
      <c r="DS669" s="12"/>
      <c r="DT669" s="12"/>
      <c r="DU669" s="12"/>
      <c r="DV669" s="12"/>
      <c r="DW669" s="12"/>
      <c r="DX669" s="12"/>
      <c r="DY669" s="12"/>
      <c r="DZ669" s="12"/>
      <c r="EA669" s="12"/>
      <c r="EB669" s="12"/>
      <c r="EC669" s="12"/>
      <c r="ED669" s="12"/>
      <c r="EE669" s="12"/>
      <c r="EF669" s="12"/>
      <c r="EG669" s="12"/>
      <c r="EH669" s="12"/>
      <c r="EI669" s="12"/>
      <c r="EJ669" s="574"/>
      <c r="EK669" s="574"/>
      <c r="EL669" s="574"/>
      <c r="EM669" s="574"/>
      <c r="EN669" s="574"/>
      <c r="EO669" s="574"/>
      <c r="EP669" s="574"/>
      <c r="EQ669" s="574"/>
      <c r="ER669" s="574"/>
      <c r="ES669" s="574"/>
      <c r="ET669" s="574"/>
      <c r="EU669" s="574"/>
    </row>
    <row r="670">
      <c r="A670" s="12"/>
      <c r="B670" s="55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12"/>
      <c r="AY670" s="12"/>
      <c r="AZ670" s="12"/>
      <c r="BA670" s="12"/>
      <c r="BB670" s="12"/>
      <c r="BC670" s="12"/>
      <c r="BD670" s="12"/>
      <c r="BE670" s="12"/>
      <c r="BF670" s="12"/>
      <c r="BG670" s="12"/>
      <c r="BH670" s="12"/>
      <c r="BI670" s="12"/>
      <c r="BJ670" s="12"/>
      <c r="BK670" s="12"/>
      <c r="BL670" s="12"/>
      <c r="BM670" s="12"/>
      <c r="BN670" s="12"/>
      <c r="BO670" s="12"/>
      <c r="BP670" s="12"/>
      <c r="BQ670" s="12"/>
      <c r="BR670" s="12"/>
      <c r="BS670" s="12"/>
      <c r="BT670" s="12"/>
      <c r="BU670" s="12"/>
      <c r="BV670" s="12"/>
      <c r="BW670" s="12"/>
      <c r="BX670" s="12"/>
      <c r="BY670" s="12"/>
      <c r="BZ670" s="12"/>
      <c r="CA670" s="12"/>
      <c r="CB670" s="12"/>
      <c r="CC670" s="12"/>
      <c r="CD670" s="12"/>
      <c r="CE670" s="12"/>
      <c r="CF670" s="12"/>
      <c r="CG670" s="12"/>
      <c r="CH670" s="12"/>
      <c r="CI670" s="12"/>
      <c r="CJ670" s="12"/>
      <c r="CK670" s="12"/>
      <c r="CL670" s="12"/>
      <c r="CM670" s="12"/>
      <c r="CN670" s="12"/>
      <c r="CO670" s="12"/>
      <c r="CP670" s="12"/>
      <c r="CQ670" s="12"/>
      <c r="CR670" s="12"/>
      <c r="CS670" s="12"/>
      <c r="CT670" s="12"/>
      <c r="CU670" s="12"/>
      <c r="CV670" s="12"/>
      <c r="CW670" s="12"/>
      <c r="CX670" s="12"/>
      <c r="CY670" s="12"/>
      <c r="CZ670" s="12"/>
      <c r="DA670" s="12"/>
      <c r="DB670" s="12"/>
      <c r="DC670" s="12"/>
      <c r="DD670" s="12"/>
      <c r="DE670" s="12"/>
      <c r="DF670" s="12"/>
      <c r="DG670" s="12"/>
      <c r="DH670" s="12"/>
      <c r="DI670" s="12"/>
      <c r="DJ670" s="12"/>
      <c r="DK670" s="12"/>
      <c r="DL670" s="12"/>
      <c r="DM670" s="12"/>
      <c r="DN670" s="12"/>
      <c r="DO670" s="12"/>
      <c r="DP670" s="12"/>
      <c r="DQ670" s="12"/>
      <c r="DR670" s="12"/>
      <c r="DS670" s="12"/>
      <c r="DT670" s="12"/>
      <c r="DU670" s="12"/>
      <c r="DV670" s="12"/>
      <c r="DW670" s="12"/>
      <c r="DX670" s="12"/>
      <c r="DY670" s="12"/>
      <c r="DZ670" s="12"/>
      <c r="EA670" s="12"/>
      <c r="EB670" s="12"/>
      <c r="EC670" s="12"/>
      <c r="ED670" s="12"/>
      <c r="EE670" s="12"/>
      <c r="EF670" s="12"/>
      <c r="EG670" s="12"/>
      <c r="EH670" s="12"/>
      <c r="EI670" s="12"/>
      <c r="EJ670" s="574"/>
      <c r="EK670" s="574"/>
      <c r="EL670" s="574"/>
      <c r="EM670" s="574"/>
      <c r="EN670" s="574"/>
      <c r="EO670" s="574"/>
      <c r="EP670" s="574"/>
      <c r="EQ670" s="574"/>
      <c r="ER670" s="574"/>
      <c r="ES670" s="574"/>
      <c r="ET670" s="574"/>
      <c r="EU670" s="574"/>
    </row>
    <row r="671">
      <c r="A671" s="12"/>
      <c r="B671" s="55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  <c r="AY671" s="12"/>
      <c r="AZ671" s="12"/>
      <c r="BA671" s="12"/>
      <c r="BB671" s="12"/>
      <c r="BC671" s="12"/>
      <c r="BD671" s="12"/>
      <c r="BE671" s="12"/>
      <c r="BF671" s="12"/>
      <c r="BG671" s="12"/>
      <c r="BH671" s="12"/>
      <c r="BI671" s="12"/>
      <c r="BJ671" s="12"/>
      <c r="BK671" s="12"/>
      <c r="BL671" s="12"/>
      <c r="BM671" s="12"/>
      <c r="BN671" s="12"/>
      <c r="BO671" s="12"/>
      <c r="BP671" s="12"/>
      <c r="BQ671" s="12"/>
      <c r="BR671" s="12"/>
      <c r="BS671" s="12"/>
      <c r="BT671" s="12"/>
      <c r="BU671" s="12"/>
      <c r="BV671" s="12"/>
      <c r="BW671" s="12"/>
      <c r="BX671" s="12"/>
      <c r="BY671" s="12"/>
      <c r="BZ671" s="12"/>
      <c r="CA671" s="12"/>
      <c r="CB671" s="12"/>
      <c r="CC671" s="12"/>
      <c r="CD671" s="12"/>
      <c r="CE671" s="12"/>
      <c r="CF671" s="12"/>
      <c r="CG671" s="12"/>
      <c r="CH671" s="12"/>
      <c r="CI671" s="12"/>
      <c r="CJ671" s="12"/>
      <c r="CK671" s="12"/>
      <c r="CL671" s="12"/>
      <c r="CM671" s="12"/>
      <c r="CN671" s="12"/>
      <c r="CO671" s="12"/>
      <c r="CP671" s="12"/>
      <c r="CQ671" s="12"/>
      <c r="CR671" s="12"/>
      <c r="CS671" s="12"/>
      <c r="CT671" s="12"/>
      <c r="CU671" s="12"/>
      <c r="CV671" s="12"/>
      <c r="CW671" s="12"/>
      <c r="CX671" s="12"/>
      <c r="CY671" s="12"/>
      <c r="CZ671" s="12"/>
      <c r="DA671" s="12"/>
      <c r="DB671" s="12"/>
      <c r="DC671" s="12"/>
      <c r="DD671" s="12"/>
      <c r="DE671" s="12"/>
      <c r="DF671" s="12"/>
      <c r="DG671" s="12"/>
      <c r="DH671" s="12"/>
      <c r="DI671" s="12"/>
      <c r="DJ671" s="12"/>
      <c r="DK671" s="12"/>
      <c r="DL671" s="12"/>
      <c r="DM671" s="12"/>
      <c r="DN671" s="12"/>
      <c r="DO671" s="12"/>
      <c r="DP671" s="12"/>
      <c r="DQ671" s="12"/>
      <c r="DR671" s="12"/>
      <c r="DS671" s="12"/>
      <c r="DT671" s="12"/>
      <c r="DU671" s="12"/>
      <c r="DV671" s="12"/>
      <c r="DW671" s="12"/>
      <c r="DX671" s="12"/>
      <c r="DY671" s="12"/>
      <c r="DZ671" s="12"/>
      <c r="EA671" s="12"/>
      <c r="EB671" s="12"/>
      <c r="EC671" s="12"/>
      <c r="ED671" s="12"/>
      <c r="EE671" s="12"/>
      <c r="EF671" s="12"/>
      <c r="EG671" s="12"/>
      <c r="EH671" s="12"/>
      <c r="EI671" s="12"/>
      <c r="EJ671" s="574"/>
      <c r="EK671" s="574"/>
      <c r="EL671" s="574"/>
      <c r="EM671" s="574"/>
      <c r="EN671" s="574"/>
      <c r="EO671" s="574"/>
      <c r="EP671" s="574"/>
      <c r="EQ671" s="574"/>
      <c r="ER671" s="574"/>
      <c r="ES671" s="574"/>
      <c r="ET671" s="574"/>
      <c r="EU671" s="574"/>
    </row>
    <row r="672">
      <c r="A672" s="12"/>
      <c r="B672" s="55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2"/>
      <c r="AY672" s="12"/>
      <c r="AZ672" s="12"/>
      <c r="BA672" s="12"/>
      <c r="BB672" s="12"/>
      <c r="BC672" s="12"/>
      <c r="BD672" s="12"/>
      <c r="BE672" s="12"/>
      <c r="BF672" s="12"/>
      <c r="BG672" s="12"/>
      <c r="BH672" s="12"/>
      <c r="BI672" s="12"/>
      <c r="BJ672" s="12"/>
      <c r="BK672" s="12"/>
      <c r="BL672" s="12"/>
      <c r="BM672" s="12"/>
      <c r="BN672" s="12"/>
      <c r="BO672" s="12"/>
      <c r="BP672" s="12"/>
      <c r="BQ672" s="12"/>
      <c r="BR672" s="12"/>
      <c r="BS672" s="12"/>
      <c r="BT672" s="12"/>
      <c r="BU672" s="12"/>
      <c r="BV672" s="12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574"/>
      <c r="EK672" s="574"/>
      <c r="EL672" s="574"/>
      <c r="EM672" s="574"/>
      <c r="EN672" s="574"/>
      <c r="EO672" s="574"/>
      <c r="EP672" s="574"/>
      <c r="EQ672" s="574"/>
      <c r="ER672" s="574"/>
      <c r="ES672" s="574"/>
      <c r="ET672" s="574"/>
      <c r="EU672" s="574"/>
    </row>
    <row r="673">
      <c r="A673" s="12"/>
      <c r="B673" s="55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  <c r="AX673" s="12"/>
      <c r="AY673" s="12"/>
      <c r="AZ673" s="12"/>
      <c r="BA673" s="12"/>
      <c r="BB673" s="12"/>
      <c r="BC673" s="12"/>
      <c r="BD673" s="12"/>
      <c r="BE673" s="12"/>
      <c r="BF673" s="12"/>
      <c r="BG673" s="12"/>
      <c r="BH673" s="12"/>
      <c r="BI673" s="12"/>
      <c r="BJ673" s="12"/>
      <c r="BK673" s="12"/>
      <c r="BL673" s="12"/>
      <c r="BM673" s="12"/>
      <c r="BN673" s="12"/>
      <c r="BO673" s="12"/>
      <c r="BP673" s="12"/>
      <c r="BQ673" s="12"/>
      <c r="BR673" s="12"/>
      <c r="BS673" s="12"/>
      <c r="BT673" s="12"/>
      <c r="BU673" s="12"/>
      <c r="BV673" s="12"/>
      <c r="BW673" s="12"/>
      <c r="BX673" s="12"/>
      <c r="BY673" s="12"/>
      <c r="BZ673" s="12"/>
      <c r="CA673" s="12"/>
      <c r="CB673" s="12"/>
      <c r="CC673" s="12"/>
      <c r="CD673" s="12"/>
      <c r="CE673" s="12"/>
      <c r="CF673" s="12"/>
      <c r="CG673" s="12"/>
      <c r="CH673" s="12"/>
      <c r="CI673" s="12"/>
      <c r="CJ673" s="12"/>
      <c r="CK673" s="12"/>
      <c r="CL673" s="12"/>
      <c r="CM673" s="12"/>
      <c r="CN673" s="12"/>
      <c r="CO673" s="12"/>
      <c r="CP673" s="12"/>
      <c r="CQ673" s="12"/>
      <c r="CR673" s="12"/>
      <c r="CS673" s="12"/>
      <c r="CT673" s="12"/>
      <c r="CU673" s="12"/>
      <c r="CV673" s="12"/>
      <c r="CW673" s="12"/>
      <c r="CX673" s="12"/>
      <c r="CY673" s="12"/>
      <c r="CZ673" s="12"/>
      <c r="DA673" s="12"/>
      <c r="DB673" s="12"/>
      <c r="DC673" s="12"/>
      <c r="DD673" s="12"/>
      <c r="DE673" s="12"/>
      <c r="DF673" s="12"/>
      <c r="DG673" s="12"/>
      <c r="DH673" s="12"/>
      <c r="DI673" s="12"/>
      <c r="DJ673" s="12"/>
      <c r="DK673" s="12"/>
      <c r="DL673" s="12"/>
      <c r="DM673" s="12"/>
      <c r="DN673" s="12"/>
      <c r="DO673" s="12"/>
      <c r="DP673" s="12"/>
      <c r="DQ673" s="12"/>
      <c r="DR673" s="12"/>
      <c r="DS673" s="12"/>
      <c r="DT673" s="12"/>
      <c r="DU673" s="12"/>
      <c r="DV673" s="12"/>
      <c r="DW673" s="12"/>
      <c r="DX673" s="12"/>
      <c r="DY673" s="12"/>
      <c r="DZ673" s="12"/>
      <c r="EA673" s="12"/>
      <c r="EB673" s="12"/>
      <c r="EC673" s="12"/>
      <c r="ED673" s="12"/>
      <c r="EE673" s="12"/>
      <c r="EF673" s="12"/>
      <c r="EG673" s="12"/>
      <c r="EH673" s="12"/>
      <c r="EI673" s="12"/>
      <c r="EJ673" s="574"/>
      <c r="EK673" s="574"/>
      <c r="EL673" s="574"/>
      <c r="EM673" s="574"/>
      <c r="EN673" s="574"/>
      <c r="EO673" s="574"/>
      <c r="EP673" s="574"/>
      <c r="EQ673" s="574"/>
      <c r="ER673" s="574"/>
      <c r="ES673" s="574"/>
      <c r="ET673" s="574"/>
      <c r="EU673" s="574"/>
    </row>
    <row r="674">
      <c r="A674" s="12"/>
      <c r="B674" s="55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  <c r="AX674" s="12"/>
      <c r="AY674" s="12"/>
      <c r="AZ674" s="12"/>
      <c r="BA674" s="12"/>
      <c r="BB674" s="12"/>
      <c r="BC674" s="12"/>
      <c r="BD674" s="12"/>
      <c r="BE674" s="12"/>
      <c r="BF674" s="12"/>
      <c r="BG674" s="12"/>
      <c r="BH674" s="12"/>
      <c r="BI674" s="12"/>
      <c r="BJ674" s="12"/>
      <c r="BK674" s="12"/>
      <c r="BL674" s="12"/>
      <c r="BM674" s="12"/>
      <c r="BN674" s="12"/>
      <c r="BO674" s="12"/>
      <c r="BP674" s="12"/>
      <c r="BQ674" s="12"/>
      <c r="BR674" s="12"/>
      <c r="BS674" s="12"/>
      <c r="BT674" s="12"/>
      <c r="BU674" s="12"/>
      <c r="BV674" s="12"/>
      <c r="BW674" s="12"/>
      <c r="BX674" s="12"/>
      <c r="BY674" s="12"/>
      <c r="BZ674" s="12"/>
      <c r="CA674" s="12"/>
      <c r="CB674" s="12"/>
      <c r="CC674" s="12"/>
      <c r="CD674" s="12"/>
      <c r="CE674" s="12"/>
      <c r="CF674" s="12"/>
      <c r="CG674" s="12"/>
      <c r="CH674" s="12"/>
      <c r="CI674" s="12"/>
      <c r="CJ674" s="12"/>
      <c r="CK674" s="12"/>
      <c r="CL674" s="12"/>
      <c r="CM674" s="12"/>
      <c r="CN674" s="12"/>
      <c r="CO674" s="12"/>
      <c r="CP674" s="12"/>
      <c r="CQ674" s="12"/>
      <c r="CR674" s="12"/>
      <c r="CS674" s="12"/>
      <c r="CT674" s="12"/>
      <c r="CU674" s="12"/>
      <c r="CV674" s="12"/>
      <c r="CW674" s="12"/>
      <c r="CX674" s="12"/>
      <c r="CY674" s="12"/>
      <c r="CZ674" s="12"/>
      <c r="DA674" s="12"/>
      <c r="DB674" s="12"/>
      <c r="DC674" s="12"/>
      <c r="DD674" s="12"/>
      <c r="DE674" s="12"/>
      <c r="DF674" s="12"/>
      <c r="DG674" s="12"/>
      <c r="DH674" s="12"/>
      <c r="DI674" s="12"/>
      <c r="DJ674" s="12"/>
      <c r="DK674" s="12"/>
      <c r="DL674" s="12"/>
      <c r="DM674" s="12"/>
      <c r="DN674" s="12"/>
      <c r="DO674" s="12"/>
      <c r="DP674" s="12"/>
      <c r="DQ674" s="12"/>
      <c r="DR674" s="12"/>
      <c r="DS674" s="12"/>
      <c r="DT674" s="12"/>
      <c r="DU674" s="12"/>
      <c r="DV674" s="12"/>
      <c r="DW674" s="12"/>
      <c r="DX674" s="12"/>
      <c r="DY674" s="12"/>
      <c r="DZ674" s="12"/>
      <c r="EA674" s="12"/>
      <c r="EB674" s="12"/>
      <c r="EC674" s="12"/>
      <c r="ED674" s="12"/>
      <c r="EE674" s="12"/>
      <c r="EF674" s="12"/>
      <c r="EG674" s="12"/>
      <c r="EH674" s="12"/>
      <c r="EI674" s="12"/>
      <c r="EJ674" s="574"/>
      <c r="EK674" s="574"/>
      <c r="EL674" s="574"/>
      <c r="EM674" s="574"/>
      <c r="EN674" s="574"/>
      <c r="EO674" s="574"/>
      <c r="EP674" s="574"/>
      <c r="EQ674" s="574"/>
      <c r="ER674" s="574"/>
      <c r="ES674" s="574"/>
      <c r="ET674" s="574"/>
      <c r="EU674" s="574"/>
    </row>
    <row r="675">
      <c r="A675" s="12"/>
      <c r="B675" s="55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12"/>
      <c r="AY675" s="12"/>
      <c r="AZ675" s="12"/>
      <c r="BA675" s="12"/>
      <c r="BB675" s="12"/>
      <c r="BC675" s="12"/>
      <c r="BD675" s="12"/>
      <c r="BE675" s="12"/>
      <c r="BF675" s="12"/>
      <c r="BG675" s="12"/>
      <c r="BH675" s="12"/>
      <c r="BI675" s="12"/>
      <c r="BJ675" s="12"/>
      <c r="BK675" s="12"/>
      <c r="BL675" s="12"/>
      <c r="BM675" s="12"/>
      <c r="BN675" s="12"/>
      <c r="BO675" s="12"/>
      <c r="BP675" s="12"/>
      <c r="BQ675" s="12"/>
      <c r="BR675" s="12"/>
      <c r="BS675" s="12"/>
      <c r="BT675" s="12"/>
      <c r="BU675" s="12"/>
      <c r="BV675" s="12"/>
      <c r="BW675" s="12"/>
      <c r="BX675" s="12"/>
      <c r="BY675" s="12"/>
      <c r="BZ675" s="12"/>
      <c r="CA675" s="12"/>
      <c r="CB675" s="12"/>
      <c r="CC675" s="12"/>
      <c r="CD675" s="12"/>
      <c r="CE675" s="12"/>
      <c r="CF675" s="12"/>
      <c r="CG675" s="12"/>
      <c r="CH675" s="12"/>
      <c r="CI675" s="12"/>
      <c r="CJ675" s="12"/>
      <c r="CK675" s="12"/>
      <c r="CL675" s="12"/>
      <c r="CM675" s="12"/>
      <c r="CN675" s="12"/>
      <c r="CO675" s="12"/>
      <c r="CP675" s="12"/>
      <c r="CQ675" s="12"/>
      <c r="CR675" s="12"/>
      <c r="CS675" s="12"/>
      <c r="CT675" s="12"/>
      <c r="CU675" s="12"/>
      <c r="CV675" s="12"/>
      <c r="CW675" s="12"/>
      <c r="CX675" s="12"/>
      <c r="CY675" s="12"/>
      <c r="CZ675" s="12"/>
      <c r="DA675" s="12"/>
      <c r="DB675" s="12"/>
      <c r="DC675" s="12"/>
      <c r="DD675" s="12"/>
      <c r="DE675" s="12"/>
      <c r="DF675" s="12"/>
      <c r="DG675" s="12"/>
      <c r="DH675" s="12"/>
      <c r="DI675" s="12"/>
      <c r="DJ675" s="12"/>
      <c r="DK675" s="12"/>
      <c r="DL675" s="12"/>
      <c r="DM675" s="12"/>
      <c r="DN675" s="12"/>
      <c r="DO675" s="12"/>
      <c r="DP675" s="12"/>
      <c r="DQ675" s="12"/>
      <c r="DR675" s="12"/>
      <c r="DS675" s="12"/>
      <c r="DT675" s="12"/>
      <c r="DU675" s="12"/>
      <c r="DV675" s="12"/>
      <c r="DW675" s="12"/>
      <c r="DX675" s="12"/>
      <c r="DY675" s="12"/>
      <c r="DZ675" s="12"/>
      <c r="EA675" s="12"/>
      <c r="EB675" s="12"/>
      <c r="EC675" s="12"/>
      <c r="ED675" s="12"/>
      <c r="EE675" s="12"/>
      <c r="EF675" s="12"/>
      <c r="EG675" s="12"/>
      <c r="EH675" s="12"/>
      <c r="EI675" s="12"/>
      <c r="EJ675" s="574"/>
      <c r="EK675" s="574"/>
      <c r="EL675" s="574"/>
      <c r="EM675" s="574"/>
      <c r="EN675" s="574"/>
      <c r="EO675" s="574"/>
      <c r="EP675" s="574"/>
      <c r="EQ675" s="574"/>
      <c r="ER675" s="574"/>
      <c r="ES675" s="574"/>
      <c r="ET675" s="574"/>
      <c r="EU675" s="574"/>
    </row>
    <row r="676">
      <c r="A676" s="12"/>
      <c r="B676" s="55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2"/>
      <c r="AY676" s="12"/>
      <c r="AZ676" s="12"/>
      <c r="BA676" s="12"/>
      <c r="BB676" s="12"/>
      <c r="BC676" s="12"/>
      <c r="BD676" s="12"/>
      <c r="BE676" s="12"/>
      <c r="BF676" s="12"/>
      <c r="BG676" s="12"/>
      <c r="BH676" s="12"/>
      <c r="BI676" s="12"/>
      <c r="BJ676" s="12"/>
      <c r="BK676" s="12"/>
      <c r="BL676" s="12"/>
      <c r="BM676" s="12"/>
      <c r="BN676" s="12"/>
      <c r="BO676" s="12"/>
      <c r="BP676" s="12"/>
      <c r="BQ676" s="12"/>
      <c r="BR676" s="12"/>
      <c r="BS676" s="12"/>
      <c r="BT676" s="12"/>
      <c r="BU676" s="12"/>
      <c r="BV676" s="12"/>
      <c r="BW676" s="12"/>
      <c r="BX676" s="12"/>
      <c r="BY676" s="12"/>
      <c r="BZ676" s="12"/>
      <c r="CA676" s="12"/>
      <c r="CB676" s="12"/>
      <c r="CC676" s="12"/>
      <c r="CD676" s="12"/>
      <c r="CE676" s="12"/>
      <c r="CF676" s="12"/>
      <c r="CG676" s="12"/>
      <c r="CH676" s="12"/>
      <c r="CI676" s="12"/>
      <c r="CJ676" s="12"/>
      <c r="CK676" s="12"/>
      <c r="CL676" s="12"/>
      <c r="CM676" s="12"/>
      <c r="CN676" s="12"/>
      <c r="CO676" s="12"/>
      <c r="CP676" s="12"/>
      <c r="CQ676" s="12"/>
      <c r="CR676" s="12"/>
      <c r="CS676" s="12"/>
      <c r="CT676" s="12"/>
      <c r="CU676" s="12"/>
      <c r="CV676" s="12"/>
      <c r="CW676" s="12"/>
      <c r="CX676" s="12"/>
      <c r="CY676" s="12"/>
      <c r="CZ676" s="12"/>
      <c r="DA676" s="12"/>
      <c r="DB676" s="12"/>
      <c r="DC676" s="12"/>
      <c r="DD676" s="12"/>
      <c r="DE676" s="12"/>
      <c r="DF676" s="12"/>
      <c r="DG676" s="12"/>
      <c r="DH676" s="12"/>
      <c r="DI676" s="12"/>
      <c r="DJ676" s="12"/>
      <c r="DK676" s="12"/>
      <c r="DL676" s="12"/>
      <c r="DM676" s="12"/>
      <c r="DN676" s="12"/>
      <c r="DO676" s="12"/>
      <c r="DP676" s="12"/>
      <c r="DQ676" s="12"/>
      <c r="DR676" s="12"/>
      <c r="DS676" s="12"/>
      <c r="DT676" s="12"/>
      <c r="DU676" s="12"/>
      <c r="DV676" s="12"/>
      <c r="DW676" s="12"/>
      <c r="DX676" s="12"/>
      <c r="DY676" s="12"/>
      <c r="DZ676" s="12"/>
      <c r="EA676" s="12"/>
      <c r="EB676" s="12"/>
      <c r="EC676" s="12"/>
      <c r="ED676" s="12"/>
      <c r="EE676" s="12"/>
      <c r="EF676" s="12"/>
      <c r="EG676" s="12"/>
      <c r="EH676" s="12"/>
      <c r="EI676" s="12"/>
      <c r="EJ676" s="574"/>
      <c r="EK676" s="574"/>
      <c r="EL676" s="574"/>
      <c r="EM676" s="574"/>
      <c r="EN676" s="574"/>
      <c r="EO676" s="574"/>
      <c r="EP676" s="574"/>
      <c r="EQ676" s="574"/>
      <c r="ER676" s="574"/>
      <c r="ES676" s="574"/>
      <c r="ET676" s="574"/>
      <c r="EU676" s="574"/>
    </row>
    <row r="677">
      <c r="A677" s="12"/>
      <c r="B677" s="55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12"/>
      <c r="AY677" s="12"/>
      <c r="AZ677" s="12"/>
      <c r="BA677" s="12"/>
      <c r="BB677" s="12"/>
      <c r="BC677" s="12"/>
      <c r="BD677" s="12"/>
      <c r="BE677" s="12"/>
      <c r="BF677" s="12"/>
      <c r="BG677" s="12"/>
      <c r="BH677" s="12"/>
      <c r="BI677" s="12"/>
      <c r="BJ677" s="12"/>
      <c r="BK677" s="12"/>
      <c r="BL677" s="12"/>
      <c r="BM677" s="12"/>
      <c r="BN677" s="12"/>
      <c r="BO677" s="12"/>
      <c r="BP677" s="12"/>
      <c r="BQ677" s="12"/>
      <c r="BR677" s="12"/>
      <c r="BS677" s="12"/>
      <c r="BT677" s="12"/>
      <c r="BU677" s="12"/>
      <c r="BV677" s="12"/>
      <c r="BW677" s="12"/>
      <c r="BX677" s="12"/>
      <c r="BY677" s="12"/>
      <c r="BZ677" s="12"/>
      <c r="CA677" s="12"/>
      <c r="CB677" s="12"/>
      <c r="CC677" s="12"/>
      <c r="CD677" s="12"/>
      <c r="CE677" s="12"/>
      <c r="CF677" s="12"/>
      <c r="CG677" s="12"/>
      <c r="CH677" s="12"/>
      <c r="CI677" s="12"/>
      <c r="CJ677" s="12"/>
      <c r="CK677" s="12"/>
      <c r="CL677" s="12"/>
      <c r="CM677" s="12"/>
      <c r="CN677" s="12"/>
      <c r="CO677" s="12"/>
      <c r="CP677" s="12"/>
      <c r="CQ677" s="12"/>
      <c r="CR677" s="12"/>
      <c r="CS677" s="12"/>
      <c r="CT677" s="12"/>
      <c r="CU677" s="12"/>
      <c r="CV677" s="12"/>
      <c r="CW677" s="12"/>
      <c r="CX677" s="12"/>
      <c r="CY677" s="12"/>
      <c r="CZ677" s="12"/>
      <c r="DA677" s="12"/>
      <c r="DB677" s="12"/>
      <c r="DC677" s="12"/>
      <c r="DD677" s="12"/>
      <c r="DE677" s="12"/>
      <c r="DF677" s="12"/>
      <c r="DG677" s="12"/>
      <c r="DH677" s="12"/>
      <c r="DI677" s="12"/>
      <c r="DJ677" s="12"/>
      <c r="DK677" s="12"/>
      <c r="DL677" s="12"/>
      <c r="DM677" s="12"/>
      <c r="DN677" s="12"/>
      <c r="DO677" s="12"/>
      <c r="DP677" s="12"/>
      <c r="DQ677" s="12"/>
      <c r="DR677" s="12"/>
      <c r="DS677" s="12"/>
      <c r="DT677" s="12"/>
      <c r="DU677" s="12"/>
      <c r="DV677" s="12"/>
      <c r="DW677" s="12"/>
      <c r="DX677" s="12"/>
      <c r="DY677" s="12"/>
      <c r="DZ677" s="12"/>
      <c r="EA677" s="12"/>
      <c r="EB677" s="12"/>
      <c r="EC677" s="12"/>
      <c r="ED677" s="12"/>
      <c r="EE677" s="12"/>
      <c r="EF677" s="12"/>
      <c r="EG677" s="12"/>
      <c r="EH677" s="12"/>
      <c r="EI677" s="12"/>
      <c r="EJ677" s="574"/>
      <c r="EK677" s="574"/>
      <c r="EL677" s="574"/>
      <c r="EM677" s="574"/>
      <c r="EN677" s="574"/>
      <c r="EO677" s="574"/>
      <c r="EP677" s="574"/>
      <c r="EQ677" s="574"/>
      <c r="ER677" s="574"/>
      <c r="ES677" s="574"/>
      <c r="ET677" s="574"/>
      <c r="EU677" s="574"/>
    </row>
    <row r="678">
      <c r="A678" s="12"/>
      <c r="B678" s="55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12"/>
      <c r="AY678" s="12"/>
      <c r="AZ678" s="12"/>
      <c r="BA678" s="12"/>
      <c r="BB678" s="12"/>
      <c r="BC678" s="12"/>
      <c r="BD678" s="12"/>
      <c r="BE678" s="12"/>
      <c r="BF678" s="12"/>
      <c r="BG678" s="12"/>
      <c r="BH678" s="12"/>
      <c r="BI678" s="12"/>
      <c r="BJ678" s="12"/>
      <c r="BK678" s="12"/>
      <c r="BL678" s="12"/>
      <c r="BM678" s="12"/>
      <c r="BN678" s="12"/>
      <c r="BO678" s="12"/>
      <c r="BP678" s="12"/>
      <c r="BQ678" s="12"/>
      <c r="BR678" s="12"/>
      <c r="BS678" s="12"/>
      <c r="BT678" s="12"/>
      <c r="BU678" s="12"/>
      <c r="BV678" s="12"/>
      <c r="BW678" s="12"/>
      <c r="BX678" s="12"/>
      <c r="BY678" s="12"/>
      <c r="BZ678" s="12"/>
      <c r="CA678" s="12"/>
      <c r="CB678" s="12"/>
      <c r="CC678" s="12"/>
      <c r="CD678" s="12"/>
      <c r="CE678" s="12"/>
      <c r="CF678" s="12"/>
      <c r="CG678" s="12"/>
      <c r="CH678" s="12"/>
      <c r="CI678" s="12"/>
      <c r="CJ678" s="12"/>
      <c r="CK678" s="12"/>
      <c r="CL678" s="12"/>
      <c r="CM678" s="12"/>
      <c r="CN678" s="12"/>
      <c r="CO678" s="12"/>
      <c r="CP678" s="12"/>
      <c r="CQ678" s="12"/>
      <c r="CR678" s="12"/>
      <c r="CS678" s="12"/>
      <c r="CT678" s="12"/>
      <c r="CU678" s="12"/>
      <c r="CV678" s="12"/>
      <c r="CW678" s="12"/>
      <c r="CX678" s="12"/>
      <c r="CY678" s="12"/>
      <c r="CZ678" s="12"/>
      <c r="DA678" s="12"/>
      <c r="DB678" s="12"/>
      <c r="DC678" s="12"/>
      <c r="DD678" s="12"/>
      <c r="DE678" s="12"/>
      <c r="DF678" s="12"/>
      <c r="DG678" s="12"/>
      <c r="DH678" s="12"/>
      <c r="DI678" s="12"/>
      <c r="DJ678" s="12"/>
      <c r="DK678" s="12"/>
      <c r="DL678" s="12"/>
      <c r="DM678" s="12"/>
      <c r="DN678" s="12"/>
      <c r="DO678" s="12"/>
      <c r="DP678" s="12"/>
      <c r="DQ678" s="12"/>
      <c r="DR678" s="12"/>
      <c r="DS678" s="12"/>
      <c r="DT678" s="12"/>
      <c r="DU678" s="12"/>
      <c r="DV678" s="12"/>
      <c r="DW678" s="12"/>
      <c r="DX678" s="12"/>
      <c r="DY678" s="12"/>
      <c r="DZ678" s="12"/>
      <c r="EA678" s="12"/>
      <c r="EB678" s="12"/>
      <c r="EC678" s="12"/>
      <c r="ED678" s="12"/>
      <c r="EE678" s="12"/>
      <c r="EF678" s="12"/>
      <c r="EG678" s="12"/>
      <c r="EH678" s="12"/>
      <c r="EI678" s="12"/>
      <c r="EJ678" s="574"/>
      <c r="EK678" s="574"/>
      <c r="EL678" s="574"/>
      <c r="EM678" s="574"/>
      <c r="EN678" s="574"/>
      <c r="EO678" s="574"/>
      <c r="EP678" s="574"/>
      <c r="EQ678" s="574"/>
      <c r="ER678" s="574"/>
      <c r="ES678" s="574"/>
      <c r="ET678" s="574"/>
      <c r="EU678" s="574"/>
    </row>
    <row r="679">
      <c r="A679" s="12"/>
      <c r="B679" s="55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2"/>
      <c r="AY679" s="12"/>
      <c r="AZ679" s="12"/>
      <c r="BA679" s="12"/>
      <c r="BB679" s="12"/>
      <c r="BC679" s="12"/>
      <c r="BD679" s="12"/>
      <c r="BE679" s="12"/>
      <c r="BF679" s="12"/>
      <c r="BG679" s="12"/>
      <c r="BH679" s="12"/>
      <c r="BI679" s="12"/>
      <c r="BJ679" s="12"/>
      <c r="BK679" s="12"/>
      <c r="BL679" s="12"/>
      <c r="BM679" s="12"/>
      <c r="BN679" s="12"/>
      <c r="BO679" s="12"/>
      <c r="BP679" s="12"/>
      <c r="BQ679" s="12"/>
      <c r="BR679" s="12"/>
      <c r="BS679" s="12"/>
      <c r="BT679" s="12"/>
      <c r="BU679" s="12"/>
      <c r="BV679" s="12"/>
      <c r="BW679" s="12"/>
      <c r="BX679" s="12"/>
      <c r="BY679" s="12"/>
      <c r="BZ679" s="12"/>
      <c r="CA679" s="12"/>
      <c r="CB679" s="12"/>
      <c r="CC679" s="12"/>
      <c r="CD679" s="12"/>
      <c r="CE679" s="12"/>
      <c r="CF679" s="12"/>
      <c r="CG679" s="12"/>
      <c r="CH679" s="12"/>
      <c r="CI679" s="12"/>
      <c r="CJ679" s="12"/>
      <c r="CK679" s="12"/>
      <c r="CL679" s="12"/>
      <c r="CM679" s="12"/>
      <c r="CN679" s="12"/>
      <c r="CO679" s="12"/>
      <c r="CP679" s="12"/>
      <c r="CQ679" s="12"/>
      <c r="CR679" s="12"/>
      <c r="CS679" s="12"/>
      <c r="CT679" s="12"/>
      <c r="CU679" s="12"/>
      <c r="CV679" s="12"/>
      <c r="CW679" s="12"/>
      <c r="CX679" s="12"/>
      <c r="CY679" s="12"/>
      <c r="CZ679" s="12"/>
      <c r="DA679" s="12"/>
      <c r="DB679" s="12"/>
      <c r="DC679" s="12"/>
      <c r="DD679" s="12"/>
      <c r="DE679" s="12"/>
      <c r="DF679" s="12"/>
      <c r="DG679" s="12"/>
      <c r="DH679" s="12"/>
      <c r="DI679" s="12"/>
      <c r="DJ679" s="12"/>
      <c r="DK679" s="12"/>
      <c r="DL679" s="12"/>
      <c r="DM679" s="12"/>
      <c r="DN679" s="12"/>
      <c r="DO679" s="12"/>
      <c r="DP679" s="12"/>
      <c r="DQ679" s="12"/>
      <c r="DR679" s="12"/>
      <c r="DS679" s="12"/>
      <c r="DT679" s="12"/>
      <c r="DU679" s="12"/>
      <c r="DV679" s="12"/>
      <c r="DW679" s="12"/>
      <c r="DX679" s="12"/>
      <c r="DY679" s="12"/>
      <c r="DZ679" s="12"/>
      <c r="EA679" s="12"/>
      <c r="EB679" s="12"/>
      <c r="EC679" s="12"/>
      <c r="ED679" s="12"/>
      <c r="EE679" s="12"/>
      <c r="EF679" s="12"/>
      <c r="EG679" s="12"/>
      <c r="EH679" s="12"/>
      <c r="EI679" s="12"/>
      <c r="EJ679" s="574"/>
      <c r="EK679" s="574"/>
      <c r="EL679" s="574"/>
      <c r="EM679" s="574"/>
      <c r="EN679" s="574"/>
      <c r="EO679" s="574"/>
      <c r="EP679" s="574"/>
      <c r="EQ679" s="574"/>
      <c r="ER679" s="574"/>
      <c r="ES679" s="574"/>
      <c r="ET679" s="574"/>
      <c r="EU679" s="574"/>
    </row>
    <row r="680">
      <c r="A680" s="12"/>
      <c r="B680" s="55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  <c r="AX680" s="12"/>
      <c r="AY680" s="12"/>
      <c r="AZ680" s="12"/>
      <c r="BA680" s="12"/>
      <c r="BB680" s="12"/>
      <c r="BC680" s="12"/>
      <c r="BD680" s="12"/>
      <c r="BE680" s="12"/>
      <c r="BF680" s="12"/>
      <c r="BG680" s="12"/>
      <c r="BH680" s="12"/>
      <c r="BI680" s="12"/>
      <c r="BJ680" s="12"/>
      <c r="BK680" s="12"/>
      <c r="BL680" s="12"/>
      <c r="BM680" s="12"/>
      <c r="BN680" s="12"/>
      <c r="BO680" s="12"/>
      <c r="BP680" s="12"/>
      <c r="BQ680" s="12"/>
      <c r="BR680" s="12"/>
      <c r="BS680" s="12"/>
      <c r="BT680" s="12"/>
      <c r="BU680" s="12"/>
      <c r="BV680" s="12"/>
      <c r="BW680" s="12"/>
      <c r="BX680" s="12"/>
      <c r="BY680" s="12"/>
      <c r="BZ680" s="12"/>
      <c r="CA680" s="12"/>
      <c r="CB680" s="12"/>
      <c r="CC680" s="12"/>
      <c r="CD680" s="12"/>
      <c r="CE680" s="12"/>
      <c r="CF680" s="12"/>
      <c r="CG680" s="12"/>
      <c r="CH680" s="12"/>
      <c r="CI680" s="12"/>
      <c r="CJ680" s="12"/>
      <c r="CK680" s="12"/>
      <c r="CL680" s="12"/>
      <c r="CM680" s="12"/>
      <c r="CN680" s="12"/>
      <c r="CO680" s="12"/>
      <c r="CP680" s="12"/>
      <c r="CQ680" s="12"/>
      <c r="CR680" s="12"/>
      <c r="CS680" s="12"/>
      <c r="CT680" s="12"/>
      <c r="CU680" s="12"/>
      <c r="CV680" s="12"/>
      <c r="CW680" s="12"/>
      <c r="CX680" s="12"/>
      <c r="CY680" s="12"/>
      <c r="CZ680" s="12"/>
      <c r="DA680" s="12"/>
      <c r="DB680" s="12"/>
      <c r="DC680" s="12"/>
      <c r="DD680" s="12"/>
      <c r="DE680" s="12"/>
      <c r="DF680" s="12"/>
      <c r="DG680" s="12"/>
      <c r="DH680" s="12"/>
      <c r="DI680" s="12"/>
      <c r="DJ680" s="12"/>
      <c r="DK680" s="12"/>
      <c r="DL680" s="12"/>
      <c r="DM680" s="12"/>
      <c r="DN680" s="12"/>
      <c r="DO680" s="12"/>
      <c r="DP680" s="12"/>
      <c r="DQ680" s="12"/>
      <c r="DR680" s="12"/>
      <c r="DS680" s="12"/>
      <c r="DT680" s="12"/>
      <c r="DU680" s="12"/>
      <c r="DV680" s="12"/>
      <c r="DW680" s="12"/>
      <c r="DX680" s="12"/>
      <c r="DY680" s="12"/>
      <c r="DZ680" s="12"/>
      <c r="EA680" s="12"/>
      <c r="EB680" s="12"/>
      <c r="EC680" s="12"/>
      <c r="ED680" s="12"/>
      <c r="EE680" s="12"/>
      <c r="EF680" s="12"/>
      <c r="EG680" s="12"/>
      <c r="EH680" s="12"/>
      <c r="EI680" s="12"/>
      <c r="EJ680" s="574"/>
      <c r="EK680" s="574"/>
      <c r="EL680" s="574"/>
      <c r="EM680" s="574"/>
      <c r="EN680" s="574"/>
      <c r="EO680" s="574"/>
      <c r="EP680" s="574"/>
      <c r="EQ680" s="574"/>
      <c r="ER680" s="574"/>
      <c r="ES680" s="574"/>
      <c r="ET680" s="574"/>
      <c r="EU680" s="574"/>
    </row>
    <row r="681">
      <c r="A681" s="12"/>
      <c r="B681" s="55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2"/>
      <c r="AY681" s="12"/>
      <c r="AZ681" s="12"/>
      <c r="BA681" s="12"/>
      <c r="BB681" s="12"/>
      <c r="BC681" s="12"/>
      <c r="BD681" s="12"/>
      <c r="BE681" s="12"/>
      <c r="BF681" s="12"/>
      <c r="BG681" s="12"/>
      <c r="BH681" s="12"/>
      <c r="BI681" s="12"/>
      <c r="BJ681" s="12"/>
      <c r="BK681" s="12"/>
      <c r="BL681" s="12"/>
      <c r="BM681" s="12"/>
      <c r="BN681" s="12"/>
      <c r="BO681" s="12"/>
      <c r="BP681" s="12"/>
      <c r="BQ681" s="12"/>
      <c r="BR681" s="12"/>
      <c r="BS681" s="12"/>
      <c r="BT681" s="12"/>
      <c r="BU681" s="12"/>
      <c r="BV681" s="12"/>
      <c r="BW681" s="12"/>
      <c r="BX681" s="12"/>
      <c r="BY681" s="12"/>
      <c r="BZ681" s="12"/>
      <c r="CA681" s="12"/>
      <c r="CB681" s="12"/>
      <c r="CC681" s="12"/>
      <c r="CD681" s="12"/>
      <c r="CE681" s="12"/>
      <c r="CF681" s="12"/>
      <c r="CG681" s="12"/>
      <c r="CH681" s="12"/>
      <c r="CI681" s="12"/>
      <c r="CJ681" s="12"/>
      <c r="CK681" s="12"/>
      <c r="CL681" s="12"/>
      <c r="CM681" s="12"/>
      <c r="CN681" s="12"/>
      <c r="CO681" s="12"/>
      <c r="CP681" s="12"/>
      <c r="CQ681" s="12"/>
      <c r="CR681" s="12"/>
      <c r="CS681" s="12"/>
      <c r="CT681" s="12"/>
      <c r="CU681" s="12"/>
      <c r="CV681" s="12"/>
      <c r="CW681" s="12"/>
      <c r="CX681" s="12"/>
      <c r="CY681" s="12"/>
      <c r="CZ681" s="12"/>
      <c r="DA681" s="12"/>
      <c r="DB681" s="12"/>
      <c r="DC681" s="12"/>
      <c r="DD681" s="12"/>
      <c r="DE681" s="12"/>
      <c r="DF681" s="12"/>
      <c r="DG681" s="12"/>
      <c r="DH681" s="12"/>
      <c r="DI681" s="12"/>
      <c r="DJ681" s="12"/>
      <c r="DK681" s="12"/>
      <c r="DL681" s="12"/>
      <c r="DM681" s="12"/>
      <c r="DN681" s="12"/>
      <c r="DO681" s="12"/>
      <c r="DP681" s="12"/>
      <c r="DQ681" s="12"/>
      <c r="DR681" s="12"/>
      <c r="DS681" s="12"/>
      <c r="DT681" s="12"/>
      <c r="DU681" s="12"/>
      <c r="DV681" s="12"/>
      <c r="DW681" s="12"/>
      <c r="DX681" s="12"/>
      <c r="DY681" s="12"/>
      <c r="DZ681" s="12"/>
      <c r="EA681" s="12"/>
      <c r="EB681" s="12"/>
      <c r="EC681" s="12"/>
      <c r="ED681" s="12"/>
      <c r="EE681" s="12"/>
      <c r="EF681" s="12"/>
      <c r="EG681" s="12"/>
      <c r="EH681" s="12"/>
      <c r="EI681" s="12"/>
      <c r="EJ681" s="574"/>
      <c r="EK681" s="574"/>
      <c r="EL681" s="574"/>
      <c r="EM681" s="574"/>
      <c r="EN681" s="574"/>
      <c r="EO681" s="574"/>
      <c r="EP681" s="574"/>
      <c r="EQ681" s="574"/>
      <c r="ER681" s="574"/>
      <c r="ES681" s="574"/>
      <c r="ET681" s="574"/>
      <c r="EU681" s="574"/>
    </row>
    <row r="682">
      <c r="A682" s="12"/>
      <c r="B682" s="55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  <c r="AX682" s="12"/>
      <c r="AY682" s="12"/>
      <c r="AZ682" s="12"/>
      <c r="BA682" s="12"/>
      <c r="BB682" s="12"/>
      <c r="BC682" s="12"/>
      <c r="BD682" s="12"/>
      <c r="BE682" s="12"/>
      <c r="BF682" s="12"/>
      <c r="BG682" s="12"/>
      <c r="BH682" s="12"/>
      <c r="BI682" s="12"/>
      <c r="BJ682" s="12"/>
      <c r="BK682" s="12"/>
      <c r="BL682" s="12"/>
      <c r="BM682" s="12"/>
      <c r="BN682" s="12"/>
      <c r="BO682" s="12"/>
      <c r="BP682" s="12"/>
      <c r="BQ682" s="12"/>
      <c r="BR682" s="12"/>
      <c r="BS682" s="12"/>
      <c r="BT682" s="12"/>
      <c r="BU682" s="12"/>
      <c r="BV682" s="12"/>
      <c r="BW682" s="12"/>
      <c r="BX682" s="12"/>
      <c r="BY682" s="12"/>
      <c r="BZ682" s="12"/>
      <c r="CA682" s="12"/>
      <c r="CB682" s="12"/>
      <c r="CC682" s="12"/>
      <c r="CD682" s="12"/>
      <c r="CE682" s="12"/>
      <c r="CF682" s="12"/>
      <c r="CG682" s="12"/>
      <c r="CH682" s="12"/>
      <c r="CI682" s="12"/>
      <c r="CJ682" s="12"/>
      <c r="CK682" s="12"/>
      <c r="CL682" s="12"/>
      <c r="CM682" s="12"/>
      <c r="CN682" s="12"/>
      <c r="CO682" s="12"/>
      <c r="CP682" s="12"/>
      <c r="CQ682" s="12"/>
      <c r="CR682" s="12"/>
      <c r="CS682" s="12"/>
      <c r="CT682" s="12"/>
      <c r="CU682" s="12"/>
      <c r="CV682" s="12"/>
      <c r="CW682" s="12"/>
      <c r="CX682" s="12"/>
      <c r="CY682" s="12"/>
      <c r="CZ682" s="12"/>
      <c r="DA682" s="12"/>
      <c r="DB682" s="12"/>
      <c r="DC682" s="12"/>
      <c r="DD682" s="12"/>
      <c r="DE682" s="12"/>
      <c r="DF682" s="12"/>
      <c r="DG682" s="12"/>
      <c r="DH682" s="12"/>
      <c r="DI682" s="12"/>
      <c r="DJ682" s="12"/>
      <c r="DK682" s="12"/>
      <c r="DL682" s="12"/>
      <c r="DM682" s="12"/>
      <c r="DN682" s="12"/>
      <c r="DO682" s="12"/>
      <c r="DP682" s="12"/>
      <c r="DQ682" s="12"/>
      <c r="DR682" s="12"/>
      <c r="DS682" s="12"/>
      <c r="DT682" s="12"/>
      <c r="DU682" s="12"/>
      <c r="DV682" s="12"/>
      <c r="DW682" s="12"/>
      <c r="DX682" s="12"/>
      <c r="DY682" s="12"/>
      <c r="DZ682" s="12"/>
      <c r="EA682" s="12"/>
      <c r="EB682" s="12"/>
      <c r="EC682" s="12"/>
      <c r="ED682" s="12"/>
      <c r="EE682" s="12"/>
      <c r="EF682" s="12"/>
      <c r="EG682" s="12"/>
      <c r="EH682" s="12"/>
      <c r="EI682" s="12"/>
      <c r="EJ682" s="574"/>
      <c r="EK682" s="574"/>
      <c r="EL682" s="574"/>
      <c r="EM682" s="574"/>
      <c r="EN682" s="574"/>
      <c r="EO682" s="574"/>
      <c r="EP682" s="574"/>
      <c r="EQ682" s="574"/>
      <c r="ER682" s="574"/>
      <c r="ES682" s="574"/>
      <c r="ET682" s="574"/>
      <c r="EU682" s="574"/>
    </row>
    <row r="683">
      <c r="A683" s="12"/>
      <c r="B683" s="55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12"/>
      <c r="AY683" s="12"/>
      <c r="AZ683" s="12"/>
      <c r="BA683" s="12"/>
      <c r="BB683" s="12"/>
      <c r="BC683" s="12"/>
      <c r="BD683" s="12"/>
      <c r="BE683" s="12"/>
      <c r="BF683" s="12"/>
      <c r="BG683" s="12"/>
      <c r="BH683" s="12"/>
      <c r="BI683" s="12"/>
      <c r="BJ683" s="12"/>
      <c r="BK683" s="12"/>
      <c r="BL683" s="12"/>
      <c r="BM683" s="12"/>
      <c r="BN683" s="12"/>
      <c r="BO683" s="12"/>
      <c r="BP683" s="12"/>
      <c r="BQ683" s="12"/>
      <c r="BR683" s="12"/>
      <c r="BS683" s="12"/>
      <c r="BT683" s="12"/>
      <c r="BU683" s="12"/>
      <c r="BV683" s="12"/>
      <c r="BW683" s="12"/>
      <c r="BX683" s="12"/>
      <c r="BY683" s="12"/>
      <c r="BZ683" s="12"/>
      <c r="CA683" s="12"/>
      <c r="CB683" s="12"/>
      <c r="CC683" s="12"/>
      <c r="CD683" s="12"/>
      <c r="CE683" s="12"/>
      <c r="CF683" s="12"/>
      <c r="CG683" s="12"/>
      <c r="CH683" s="12"/>
      <c r="CI683" s="12"/>
      <c r="CJ683" s="12"/>
      <c r="CK683" s="12"/>
      <c r="CL683" s="12"/>
      <c r="CM683" s="12"/>
      <c r="CN683" s="12"/>
      <c r="CO683" s="12"/>
      <c r="CP683" s="12"/>
      <c r="CQ683" s="12"/>
      <c r="CR683" s="12"/>
      <c r="CS683" s="12"/>
      <c r="CT683" s="12"/>
      <c r="CU683" s="12"/>
      <c r="CV683" s="12"/>
      <c r="CW683" s="12"/>
      <c r="CX683" s="12"/>
      <c r="CY683" s="12"/>
      <c r="CZ683" s="12"/>
      <c r="DA683" s="12"/>
      <c r="DB683" s="12"/>
      <c r="DC683" s="12"/>
      <c r="DD683" s="12"/>
      <c r="DE683" s="12"/>
      <c r="DF683" s="12"/>
      <c r="DG683" s="12"/>
      <c r="DH683" s="12"/>
      <c r="DI683" s="12"/>
      <c r="DJ683" s="12"/>
      <c r="DK683" s="12"/>
      <c r="DL683" s="12"/>
      <c r="DM683" s="12"/>
      <c r="DN683" s="12"/>
      <c r="DO683" s="12"/>
      <c r="DP683" s="12"/>
      <c r="DQ683" s="12"/>
      <c r="DR683" s="12"/>
      <c r="DS683" s="12"/>
      <c r="DT683" s="12"/>
      <c r="DU683" s="12"/>
      <c r="DV683" s="12"/>
      <c r="DW683" s="12"/>
      <c r="DX683" s="12"/>
      <c r="DY683" s="12"/>
      <c r="DZ683" s="12"/>
      <c r="EA683" s="12"/>
      <c r="EB683" s="12"/>
      <c r="EC683" s="12"/>
      <c r="ED683" s="12"/>
      <c r="EE683" s="12"/>
      <c r="EF683" s="12"/>
      <c r="EG683" s="12"/>
      <c r="EH683" s="12"/>
      <c r="EI683" s="12"/>
      <c r="EJ683" s="574"/>
      <c r="EK683" s="574"/>
      <c r="EL683" s="574"/>
      <c r="EM683" s="574"/>
      <c r="EN683" s="574"/>
      <c r="EO683" s="574"/>
      <c r="EP683" s="574"/>
      <c r="EQ683" s="574"/>
      <c r="ER683" s="574"/>
      <c r="ES683" s="574"/>
      <c r="ET683" s="574"/>
      <c r="EU683" s="574"/>
    </row>
    <row r="684">
      <c r="A684" s="12"/>
      <c r="B684" s="55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12"/>
      <c r="AY684" s="12"/>
      <c r="AZ684" s="12"/>
      <c r="BA684" s="12"/>
      <c r="BB684" s="12"/>
      <c r="BC684" s="12"/>
      <c r="BD684" s="12"/>
      <c r="BE684" s="12"/>
      <c r="BF684" s="12"/>
      <c r="BG684" s="12"/>
      <c r="BH684" s="12"/>
      <c r="BI684" s="12"/>
      <c r="BJ684" s="12"/>
      <c r="BK684" s="12"/>
      <c r="BL684" s="12"/>
      <c r="BM684" s="12"/>
      <c r="BN684" s="12"/>
      <c r="BO684" s="12"/>
      <c r="BP684" s="12"/>
      <c r="BQ684" s="12"/>
      <c r="BR684" s="12"/>
      <c r="BS684" s="12"/>
      <c r="BT684" s="12"/>
      <c r="BU684" s="12"/>
      <c r="BV684" s="12"/>
      <c r="BW684" s="12"/>
      <c r="BX684" s="12"/>
      <c r="BY684" s="12"/>
      <c r="BZ684" s="12"/>
      <c r="CA684" s="12"/>
      <c r="CB684" s="12"/>
      <c r="CC684" s="12"/>
      <c r="CD684" s="12"/>
      <c r="CE684" s="12"/>
      <c r="CF684" s="12"/>
      <c r="CG684" s="12"/>
      <c r="CH684" s="12"/>
      <c r="CI684" s="12"/>
      <c r="CJ684" s="12"/>
      <c r="CK684" s="12"/>
      <c r="CL684" s="12"/>
      <c r="CM684" s="12"/>
      <c r="CN684" s="12"/>
      <c r="CO684" s="12"/>
      <c r="CP684" s="12"/>
      <c r="CQ684" s="12"/>
      <c r="CR684" s="12"/>
      <c r="CS684" s="12"/>
      <c r="CT684" s="12"/>
      <c r="CU684" s="12"/>
      <c r="CV684" s="12"/>
      <c r="CW684" s="12"/>
      <c r="CX684" s="12"/>
      <c r="CY684" s="12"/>
      <c r="CZ684" s="12"/>
      <c r="DA684" s="12"/>
      <c r="DB684" s="12"/>
      <c r="DC684" s="12"/>
      <c r="DD684" s="12"/>
      <c r="DE684" s="12"/>
      <c r="DF684" s="12"/>
      <c r="DG684" s="12"/>
      <c r="DH684" s="12"/>
      <c r="DI684" s="12"/>
      <c r="DJ684" s="12"/>
      <c r="DK684" s="12"/>
      <c r="DL684" s="12"/>
      <c r="DM684" s="12"/>
      <c r="DN684" s="12"/>
      <c r="DO684" s="12"/>
      <c r="DP684" s="12"/>
      <c r="DQ684" s="12"/>
      <c r="DR684" s="12"/>
      <c r="DS684" s="12"/>
      <c r="DT684" s="12"/>
      <c r="DU684" s="12"/>
      <c r="DV684" s="12"/>
      <c r="DW684" s="12"/>
      <c r="DX684" s="12"/>
      <c r="DY684" s="12"/>
      <c r="DZ684" s="12"/>
      <c r="EA684" s="12"/>
      <c r="EB684" s="12"/>
      <c r="EC684" s="12"/>
      <c r="ED684" s="12"/>
      <c r="EE684" s="12"/>
      <c r="EF684" s="12"/>
      <c r="EG684" s="12"/>
      <c r="EH684" s="12"/>
      <c r="EI684" s="12"/>
      <c r="EJ684" s="574"/>
      <c r="EK684" s="574"/>
      <c r="EL684" s="574"/>
      <c r="EM684" s="574"/>
      <c r="EN684" s="574"/>
      <c r="EO684" s="574"/>
      <c r="EP684" s="574"/>
      <c r="EQ684" s="574"/>
      <c r="ER684" s="574"/>
      <c r="ES684" s="574"/>
      <c r="ET684" s="574"/>
      <c r="EU684" s="574"/>
    </row>
    <row r="685">
      <c r="A685" s="12"/>
      <c r="B685" s="55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12"/>
      <c r="AY685" s="12"/>
      <c r="AZ685" s="12"/>
      <c r="BA685" s="12"/>
      <c r="BB685" s="12"/>
      <c r="BC685" s="12"/>
      <c r="BD685" s="12"/>
      <c r="BE685" s="12"/>
      <c r="BF685" s="12"/>
      <c r="BG685" s="12"/>
      <c r="BH685" s="12"/>
      <c r="BI685" s="12"/>
      <c r="BJ685" s="12"/>
      <c r="BK685" s="12"/>
      <c r="BL685" s="12"/>
      <c r="BM685" s="12"/>
      <c r="BN685" s="12"/>
      <c r="BO685" s="12"/>
      <c r="BP685" s="12"/>
      <c r="BQ685" s="12"/>
      <c r="BR685" s="12"/>
      <c r="BS685" s="12"/>
      <c r="BT685" s="12"/>
      <c r="BU685" s="12"/>
      <c r="BV685" s="12"/>
      <c r="BW685" s="12"/>
      <c r="BX685" s="12"/>
      <c r="BY685" s="12"/>
      <c r="BZ685" s="12"/>
      <c r="CA685" s="12"/>
      <c r="CB685" s="12"/>
      <c r="CC685" s="12"/>
      <c r="CD685" s="12"/>
      <c r="CE685" s="12"/>
      <c r="CF685" s="12"/>
      <c r="CG685" s="12"/>
      <c r="CH685" s="12"/>
      <c r="CI685" s="12"/>
      <c r="CJ685" s="12"/>
      <c r="CK685" s="12"/>
      <c r="CL685" s="12"/>
      <c r="CM685" s="12"/>
      <c r="CN685" s="12"/>
      <c r="CO685" s="12"/>
      <c r="CP685" s="12"/>
      <c r="CQ685" s="12"/>
      <c r="CR685" s="12"/>
      <c r="CS685" s="12"/>
      <c r="CT685" s="12"/>
      <c r="CU685" s="12"/>
      <c r="CV685" s="12"/>
      <c r="CW685" s="12"/>
      <c r="CX685" s="12"/>
      <c r="CY685" s="12"/>
      <c r="CZ685" s="12"/>
      <c r="DA685" s="12"/>
      <c r="DB685" s="12"/>
      <c r="DC685" s="12"/>
      <c r="DD685" s="12"/>
      <c r="DE685" s="12"/>
      <c r="DF685" s="12"/>
      <c r="DG685" s="12"/>
      <c r="DH685" s="12"/>
      <c r="DI685" s="12"/>
      <c r="DJ685" s="12"/>
      <c r="DK685" s="12"/>
      <c r="DL685" s="12"/>
      <c r="DM685" s="12"/>
      <c r="DN685" s="12"/>
      <c r="DO685" s="12"/>
      <c r="DP685" s="12"/>
      <c r="DQ685" s="12"/>
      <c r="DR685" s="12"/>
      <c r="DS685" s="12"/>
      <c r="DT685" s="12"/>
      <c r="DU685" s="12"/>
      <c r="DV685" s="12"/>
      <c r="DW685" s="12"/>
      <c r="DX685" s="12"/>
      <c r="DY685" s="12"/>
      <c r="DZ685" s="12"/>
      <c r="EA685" s="12"/>
      <c r="EB685" s="12"/>
      <c r="EC685" s="12"/>
      <c r="ED685" s="12"/>
      <c r="EE685" s="12"/>
      <c r="EF685" s="12"/>
      <c r="EG685" s="12"/>
      <c r="EH685" s="12"/>
      <c r="EI685" s="12"/>
      <c r="EJ685" s="574"/>
      <c r="EK685" s="574"/>
      <c r="EL685" s="574"/>
      <c r="EM685" s="574"/>
      <c r="EN685" s="574"/>
      <c r="EO685" s="574"/>
      <c r="EP685" s="574"/>
      <c r="EQ685" s="574"/>
      <c r="ER685" s="574"/>
      <c r="ES685" s="574"/>
      <c r="ET685" s="574"/>
      <c r="EU685" s="574"/>
    </row>
    <row r="686">
      <c r="A686" s="12"/>
      <c r="B686" s="55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  <c r="AX686" s="12"/>
      <c r="AY686" s="12"/>
      <c r="AZ686" s="12"/>
      <c r="BA686" s="12"/>
      <c r="BB686" s="12"/>
      <c r="BC686" s="12"/>
      <c r="BD686" s="12"/>
      <c r="BE686" s="12"/>
      <c r="BF686" s="12"/>
      <c r="BG686" s="12"/>
      <c r="BH686" s="12"/>
      <c r="BI686" s="12"/>
      <c r="BJ686" s="12"/>
      <c r="BK686" s="12"/>
      <c r="BL686" s="12"/>
      <c r="BM686" s="12"/>
      <c r="BN686" s="12"/>
      <c r="BO686" s="12"/>
      <c r="BP686" s="12"/>
      <c r="BQ686" s="12"/>
      <c r="BR686" s="12"/>
      <c r="BS686" s="12"/>
      <c r="BT686" s="12"/>
      <c r="BU686" s="12"/>
      <c r="BV686" s="12"/>
      <c r="BW686" s="12"/>
      <c r="BX686" s="12"/>
      <c r="BY686" s="12"/>
      <c r="BZ686" s="12"/>
      <c r="CA686" s="12"/>
      <c r="CB686" s="12"/>
      <c r="CC686" s="12"/>
      <c r="CD686" s="12"/>
      <c r="CE686" s="12"/>
      <c r="CF686" s="12"/>
      <c r="CG686" s="12"/>
      <c r="CH686" s="12"/>
      <c r="CI686" s="12"/>
      <c r="CJ686" s="12"/>
      <c r="CK686" s="12"/>
      <c r="CL686" s="12"/>
      <c r="CM686" s="12"/>
      <c r="CN686" s="12"/>
      <c r="CO686" s="12"/>
      <c r="CP686" s="12"/>
      <c r="CQ686" s="12"/>
      <c r="CR686" s="12"/>
      <c r="CS686" s="12"/>
      <c r="CT686" s="12"/>
      <c r="CU686" s="12"/>
      <c r="CV686" s="12"/>
      <c r="CW686" s="12"/>
      <c r="CX686" s="12"/>
      <c r="CY686" s="12"/>
      <c r="CZ686" s="12"/>
      <c r="DA686" s="12"/>
      <c r="DB686" s="12"/>
      <c r="DC686" s="12"/>
      <c r="DD686" s="12"/>
      <c r="DE686" s="12"/>
      <c r="DF686" s="12"/>
      <c r="DG686" s="12"/>
      <c r="DH686" s="12"/>
      <c r="DI686" s="12"/>
      <c r="DJ686" s="12"/>
      <c r="DK686" s="12"/>
      <c r="DL686" s="12"/>
      <c r="DM686" s="12"/>
      <c r="DN686" s="12"/>
      <c r="DO686" s="12"/>
      <c r="DP686" s="12"/>
      <c r="DQ686" s="12"/>
      <c r="DR686" s="12"/>
      <c r="DS686" s="12"/>
      <c r="DT686" s="12"/>
      <c r="DU686" s="12"/>
      <c r="DV686" s="12"/>
      <c r="DW686" s="12"/>
      <c r="DX686" s="12"/>
      <c r="DY686" s="12"/>
      <c r="DZ686" s="12"/>
      <c r="EA686" s="12"/>
      <c r="EB686" s="12"/>
      <c r="EC686" s="12"/>
      <c r="ED686" s="12"/>
      <c r="EE686" s="12"/>
      <c r="EF686" s="12"/>
      <c r="EG686" s="12"/>
      <c r="EH686" s="12"/>
      <c r="EI686" s="12"/>
      <c r="EJ686" s="574"/>
      <c r="EK686" s="574"/>
      <c r="EL686" s="574"/>
      <c r="EM686" s="574"/>
      <c r="EN686" s="574"/>
      <c r="EO686" s="574"/>
      <c r="EP686" s="574"/>
      <c r="EQ686" s="574"/>
      <c r="ER686" s="574"/>
      <c r="ES686" s="574"/>
      <c r="ET686" s="574"/>
      <c r="EU686" s="574"/>
    </row>
    <row r="687">
      <c r="A687" s="12"/>
      <c r="B687" s="55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  <c r="AX687" s="12"/>
      <c r="AY687" s="12"/>
      <c r="AZ687" s="12"/>
      <c r="BA687" s="12"/>
      <c r="BB687" s="12"/>
      <c r="BC687" s="12"/>
      <c r="BD687" s="12"/>
      <c r="BE687" s="12"/>
      <c r="BF687" s="12"/>
      <c r="BG687" s="12"/>
      <c r="BH687" s="12"/>
      <c r="BI687" s="12"/>
      <c r="BJ687" s="12"/>
      <c r="BK687" s="12"/>
      <c r="BL687" s="12"/>
      <c r="BM687" s="12"/>
      <c r="BN687" s="12"/>
      <c r="BO687" s="12"/>
      <c r="BP687" s="12"/>
      <c r="BQ687" s="12"/>
      <c r="BR687" s="12"/>
      <c r="BS687" s="12"/>
      <c r="BT687" s="12"/>
      <c r="BU687" s="12"/>
      <c r="BV687" s="12"/>
      <c r="BW687" s="12"/>
      <c r="BX687" s="12"/>
      <c r="BY687" s="12"/>
      <c r="BZ687" s="12"/>
      <c r="CA687" s="12"/>
      <c r="CB687" s="12"/>
      <c r="CC687" s="12"/>
      <c r="CD687" s="12"/>
      <c r="CE687" s="12"/>
      <c r="CF687" s="12"/>
      <c r="CG687" s="12"/>
      <c r="CH687" s="12"/>
      <c r="CI687" s="12"/>
      <c r="CJ687" s="12"/>
      <c r="CK687" s="12"/>
      <c r="CL687" s="12"/>
      <c r="CM687" s="12"/>
      <c r="CN687" s="12"/>
      <c r="CO687" s="12"/>
      <c r="CP687" s="12"/>
      <c r="CQ687" s="12"/>
      <c r="CR687" s="12"/>
      <c r="CS687" s="12"/>
      <c r="CT687" s="12"/>
      <c r="CU687" s="12"/>
      <c r="CV687" s="12"/>
      <c r="CW687" s="12"/>
      <c r="CX687" s="12"/>
      <c r="CY687" s="12"/>
      <c r="CZ687" s="12"/>
      <c r="DA687" s="12"/>
      <c r="DB687" s="12"/>
      <c r="DC687" s="12"/>
      <c r="DD687" s="12"/>
      <c r="DE687" s="12"/>
      <c r="DF687" s="12"/>
      <c r="DG687" s="12"/>
      <c r="DH687" s="12"/>
      <c r="DI687" s="12"/>
      <c r="DJ687" s="12"/>
      <c r="DK687" s="12"/>
      <c r="DL687" s="12"/>
      <c r="DM687" s="12"/>
      <c r="DN687" s="12"/>
      <c r="DO687" s="12"/>
      <c r="DP687" s="12"/>
      <c r="DQ687" s="12"/>
      <c r="DR687" s="12"/>
      <c r="DS687" s="12"/>
      <c r="DT687" s="12"/>
      <c r="DU687" s="12"/>
      <c r="DV687" s="12"/>
      <c r="DW687" s="12"/>
      <c r="DX687" s="12"/>
      <c r="DY687" s="12"/>
      <c r="DZ687" s="12"/>
      <c r="EA687" s="12"/>
      <c r="EB687" s="12"/>
      <c r="EC687" s="12"/>
      <c r="ED687" s="12"/>
      <c r="EE687" s="12"/>
      <c r="EF687" s="12"/>
      <c r="EG687" s="12"/>
      <c r="EH687" s="12"/>
      <c r="EI687" s="12"/>
      <c r="EJ687" s="574"/>
      <c r="EK687" s="574"/>
      <c r="EL687" s="574"/>
      <c r="EM687" s="574"/>
      <c r="EN687" s="574"/>
      <c r="EO687" s="574"/>
      <c r="EP687" s="574"/>
      <c r="EQ687" s="574"/>
      <c r="ER687" s="574"/>
      <c r="ES687" s="574"/>
      <c r="ET687" s="574"/>
      <c r="EU687" s="574"/>
    </row>
    <row r="688">
      <c r="A688" s="12"/>
      <c r="B688" s="55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  <c r="AX688" s="12"/>
      <c r="AY688" s="12"/>
      <c r="AZ688" s="12"/>
      <c r="BA688" s="12"/>
      <c r="BB688" s="12"/>
      <c r="BC688" s="12"/>
      <c r="BD688" s="12"/>
      <c r="BE688" s="12"/>
      <c r="BF688" s="12"/>
      <c r="BG688" s="12"/>
      <c r="BH688" s="12"/>
      <c r="BI688" s="12"/>
      <c r="BJ688" s="12"/>
      <c r="BK688" s="12"/>
      <c r="BL688" s="12"/>
      <c r="BM688" s="12"/>
      <c r="BN688" s="12"/>
      <c r="BO688" s="12"/>
      <c r="BP688" s="12"/>
      <c r="BQ688" s="12"/>
      <c r="BR688" s="12"/>
      <c r="BS688" s="12"/>
      <c r="BT688" s="12"/>
      <c r="BU688" s="12"/>
      <c r="BV688" s="12"/>
      <c r="BW688" s="12"/>
      <c r="BX688" s="12"/>
      <c r="BY688" s="12"/>
      <c r="BZ688" s="12"/>
      <c r="CA688" s="12"/>
      <c r="CB688" s="12"/>
      <c r="CC688" s="12"/>
      <c r="CD688" s="12"/>
      <c r="CE688" s="12"/>
      <c r="CF688" s="12"/>
      <c r="CG688" s="12"/>
      <c r="CH688" s="12"/>
      <c r="CI688" s="12"/>
      <c r="CJ688" s="12"/>
      <c r="CK688" s="12"/>
      <c r="CL688" s="12"/>
      <c r="CM688" s="12"/>
      <c r="CN688" s="12"/>
      <c r="CO688" s="12"/>
      <c r="CP688" s="12"/>
      <c r="CQ688" s="12"/>
      <c r="CR688" s="12"/>
      <c r="CS688" s="12"/>
      <c r="CT688" s="12"/>
      <c r="CU688" s="12"/>
      <c r="CV688" s="12"/>
      <c r="CW688" s="12"/>
      <c r="CX688" s="12"/>
      <c r="CY688" s="12"/>
      <c r="CZ688" s="12"/>
      <c r="DA688" s="12"/>
      <c r="DB688" s="12"/>
      <c r="DC688" s="12"/>
      <c r="DD688" s="12"/>
      <c r="DE688" s="12"/>
      <c r="DF688" s="12"/>
      <c r="DG688" s="12"/>
      <c r="DH688" s="12"/>
      <c r="DI688" s="12"/>
      <c r="DJ688" s="12"/>
      <c r="DK688" s="12"/>
      <c r="DL688" s="12"/>
      <c r="DM688" s="12"/>
      <c r="DN688" s="12"/>
      <c r="DO688" s="12"/>
      <c r="DP688" s="12"/>
      <c r="DQ688" s="12"/>
      <c r="DR688" s="12"/>
      <c r="DS688" s="12"/>
      <c r="DT688" s="12"/>
      <c r="DU688" s="12"/>
      <c r="DV688" s="12"/>
      <c r="DW688" s="12"/>
      <c r="DX688" s="12"/>
      <c r="DY688" s="12"/>
      <c r="DZ688" s="12"/>
      <c r="EA688" s="12"/>
      <c r="EB688" s="12"/>
      <c r="EC688" s="12"/>
      <c r="ED688" s="12"/>
      <c r="EE688" s="12"/>
      <c r="EF688" s="12"/>
      <c r="EG688" s="12"/>
      <c r="EH688" s="12"/>
      <c r="EI688" s="12"/>
      <c r="EJ688" s="574"/>
      <c r="EK688" s="574"/>
      <c r="EL688" s="574"/>
      <c r="EM688" s="574"/>
      <c r="EN688" s="574"/>
      <c r="EO688" s="574"/>
      <c r="EP688" s="574"/>
      <c r="EQ688" s="574"/>
      <c r="ER688" s="574"/>
      <c r="ES688" s="574"/>
      <c r="ET688" s="574"/>
      <c r="EU688" s="574"/>
    </row>
    <row r="689">
      <c r="A689" s="12"/>
      <c r="B689" s="55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  <c r="AX689" s="12"/>
      <c r="AY689" s="12"/>
      <c r="AZ689" s="12"/>
      <c r="BA689" s="12"/>
      <c r="BB689" s="12"/>
      <c r="BC689" s="12"/>
      <c r="BD689" s="12"/>
      <c r="BE689" s="12"/>
      <c r="BF689" s="12"/>
      <c r="BG689" s="12"/>
      <c r="BH689" s="12"/>
      <c r="BI689" s="12"/>
      <c r="BJ689" s="12"/>
      <c r="BK689" s="12"/>
      <c r="BL689" s="12"/>
      <c r="BM689" s="12"/>
      <c r="BN689" s="12"/>
      <c r="BO689" s="12"/>
      <c r="BP689" s="12"/>
      <c r="BQ689" s="12"/>
      <c r="BR689" s="12"/>
      <c r="BS689" s="12"/>
      <c r="BT689" s="12"/>
      <c r="BU689" s="12"/>
      <c r="BV689" s="12"/>
      <c r="BW689" s="12"/>
      <c r="BX689" s="12"/>
      <c r="BY689" s="12"/>
      <c r="BZ689" s="12"/>
      <c r="CA689" s="12"/>
      <c r="CB689" s="12"/>
      <c r="CC689" s="12"/>
      <c r="CD689" s="12"/>
      <c r="CE689" s="12"/>
      <c r="CF689" s="12"/>
      <c r="CG689" s="12"/>
      <c r="CH689" s="12"/>
      <c r="CI689" s="12"/>
      <c r="CJ689" s="12"/>
      <c r="CK689" s="12"/>
      <c r="CL689" s="12"/>
      <c r="CM689" s="12"/>
      <c r="CN689" s="12"/>
      <c r="CO689" s="12"/>
      <c r="CP689" s="12"/>
      <c r="CQ689" s="12"/>
      <c r="CR689" s="12"/>
      <c r="CS689" s="12"/>
      <c r="CT689" s="12"/>
      <c r="CU689" s="12"/>
      <c r="CV689" s="12"/>
      <c r="CW689" s="12"/>
      <c r="CX689" s="12"/>
      <c r="CY689" s="12"/>
      <c r="CZ689" s="12"/>
      <c r="DA689" s="12"/>
      <c r="DB689" s="12"/>
      <c r="DC689" s="12"/>
      <c r="DD689" s="12"/>
      <c r="DE689" s="12"/>
      <c r="DF689" s="12"/>
      <c r="DG689" s="12"/>
      <c r="DH689" s="12"/>
      <c r="DI689" s="12"/>
      <c r="DJ689" s="12"/>
      <c r="DK689" s="12"/>
      <c r="DL689" s="12"/>
      <c r="DM689" s="12"/>
      <c r="DN689" s="12"/>
      <c r="DO689" s="12"/>
      <c r="DP689" s="12"/>
      <c r="DQ689" s="12"/>
      <c r="DR689" s="12"/>
      <c r="DS689" s="12"/>
      <c r="DT689" s="12"/>
      <c r="DU689" s="12"/>
      <c r="DV689" s="12"/>
      <c r="DW689" s="12"/>
      <c r="DX689" s="12"/>
      <c r="DY689" s="12"/>
      <c r="DZ689" s="12"/>
      <c r="EA689" s="12"/>
      <c r="EB689" s="12"/>
      <c r="EC689" s="12"/>
      <c r="ED689" s="12"/>
      <c r="EE689" s="12"/>
      <c r="EF689" s="12"/>
      <c r="EG689" s="12"/>
      <c r="EH689" s="12"/>
      <c r="EI689" s="12"/>
      <c r="EJ689" s="574"/>
      <c r="EK689" s="574"/>
      <c r="EL689" s="574"/>
      <c r="EM689" s="574"/>
      <c r="EN689" s="574"/>
      <c r="EO689" s="574"/>
      <c r="EP689" s="574"/>
      <c r="EQ689" s="574"/>
      <c r="ER689" s="574"/>
      <c r="ES689" s="574"/>
      <c r="ET689" s="574"/>
      <c r="EU689" s="574"/>
    </row>
    <row r="690">
      <c r="A690" s="12"/>
      <c r="B690" s="55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  <c r="AX690" s="12"/>
      <c r="AY690" s="12"/>
      <c r="AZ690" s="12"/>
      <c r="BA690" s="12"/>
      <c r="BB690" s="12"/>
      <c r="BC690" s="12"/>
      <c r="BD690" s="12"/>
      <c r="BE690" s="12"/>
      <c r="BF690" s="12"/>
      <c r="BG690" s="12"/>
      <c r="BH690" s="12"/>
      <c r="BI690" s="12"/>
      <c r="BJ690" s="12"/>
      <c r="BK690" s="12"/>
      <c r="BL690" s="12"/>
      <c r="BM690" s="12"/>
      <c r="BN690" s="12"/>
      <c r="BO690" s="12"/>
      <c r="BP690" s="12"/>
      <c r="BQ690" s="12"/>
      <c r="BR690" s="12"/>
      <c r="BS690" s="12"/>
      <c r="BT690" s="12"/>
      <c r="BU690" s="12"/>
      <c r="BV690" s="12"/>
      <c r="BW690" s="12"/>
      <c r="BX690" s="12"/>
      <c r="BY690" s="12"/>
      <c r="BZ690" s="12"/>
      <c r="CA690" s="12"/>
      <c r="CB690" s="12"/>
      <c r="CC690" s="12"/>
      <c r="CD690" s="12"/>
      <c r="CE690" s="12"/>
      <c r="CF690" s="12"/>
      <c r="CG690" s="12"/>
      <c r="CH690" s="12"/>
      <c r="CI690" s="12"/>
      <c r="CJ690" s="12"/>
      <c r="CK690" s="12"/>
      <c r="CL690" s="12"/>
      <c r="CM690" s="12"/>
      <c r="CN690" s="12"/>
      <c r="CO690" s="12"/>
      <c r="CP690" s="12"/>
      <c r="CQ690" s="12"/>
      <c r="CR690" s="12"/>
      <c r="CS690" s="12"/>
      <c r="CT690" s="12"/>
      <c r="CU690" s="12"/>
      <c r="CV690" s="12"/>
      <c r="CW690" s="12"/>
      <c r="CX690" s="12"/>
      <c r="CY690" s="12"/>
      <c r="CZ690" s="12"/>
      <c r="DA690" s="12"/>
      <c r="DB690" s="12"/>
      <c r="DC690" s="12"/>
      <c r="DD690" s="12"/>
      <c r="DE690" s="12"/>
      <c r="DF690" s="12"/>
      <c r="DG690" s="12"/>
      <c r="DH690" s="12"/>
      <c r="DI690" s="12"/>
      <c r="DJ690" s="12"/>
      <c r="DK690" s="12"/>
      <c r="DL690" s="12"/>
      <c r="DM690" s="12"/>
      <c r="DN690" s="12"/>
      <c r="DO690" s="12"/>
      <c r="DP690" s="12"/>
      <c r="DQ690" s="12"/>
      <c r="DR690" s="12"/>
      <c r="DS690" s="12"/>
      <c r="DT690" s="12"/>
      <c r="DU690" s="12"/>
      <c r="DV690" s="12"/>
      <c r="DW690" s="12"/>
      <c r="DX690" s="12"/>
      <c r="DY690" s="12"/>
      <c r="DZ690" s="12"/>
      <c r="EA690" s="12"/>
      <c r="EB690" s="12"/>
      <c r="EC690" s="12"/>
      <c r="ED690" s="12"/>
      <c r="EE690" s="12"/>
      <c r="EF690" s="12"/>
      <c r="EG690" s="12"/>
      <c r="EH690" s="12"/>
      <c r="EI690" s="12"/>
      <c r="EJ690" s="574"/>
      <c r="EK690" s="574"/>
      <c r="EL690" s="574"/>
      <c r="EM690" s="574"/>
      <c r="EN690" s="574"/>
      <c r="EO690" s="574"/>
      <c r="EP690" s="574"/>
      <c r="EQ690" s="574"/>
      <c r="ER690" s="574"/>
      <c r="ES690" s="574"/>
      <c r="ET690" s="574"/>
      <c r="EU690" s="574"/>
    </row>
    <row r="691">
      <c r="A691" s="12"/>
      <c r="B691" s="55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12"/>
      <c r="AY691" s="12"/>
      <c r="AZ691" s="12"/>
      <c r="BA691" s="12"/>
      <c r="BB691" s="12"/>
      <c r="BC691" s="12"/>
      <c r="BD691" s="12"/>
      <c r="BE691" s="12"/>
      <c r="BF691" s="12"/>
      <c r="BG691" s="12"/>
      <c r="BH691" s="12"/>
      <c r="BI691" s="12"/>
      <c r="BJ691" s="12"/>
      <c r="BK691" s="12"/>
      <c r="BL691" s="12"/>
      <c r="BM691" s="12"/>
      <c r="BN691" s="12"/>
      <c r="BO691" s="12"/>
      <c r="BP691" s="12"/>
      <c r="BQ691" s="12"/>
      <c r="BR691" s="12"/>
      <c r="BS691" s="12"/>
      <c r="BT691" s="12"/>
      <c r="BU691" s="12"/>
      <c r="BV691" s="12"/>
      <c r="BW691" s="12"/>
      <c r="BX691" s="12"/>
      <c r="BY691" s="12"/>
      <c r="BZ691" s="12"/>
      <c r="CA691" s="12"/>
      <c r="CB691" s="12"/>
      <c r="CC691" s="12"/>
      <c r="CD691" s="12"/>
      <c r="CE691" s="12"/>
      <c r="CF691" s="12"/>
      <c r="CG691" s="12"/>
      <c r="CH691" s="12"/>
      <c r="CI691" s="12"/>
      <c r="CJ691" s="12"/>
      <c r="CK691" s="12"/>
      <c r="CL691" s="12"/>
      <c r="CM691" s="12"/>
      <c r="CN691" s="12"/>
      <c r="CO691" s="12"/>
      <c r="CP691" s="12"/>
      <c r="CQ691" s="12"/>
      <c r="CR691" s="12"/>
      <c r="CS691" s="12"/>
      <c r="CT691" s="12"/>
      <c r="CU691" s="12"/>
      <c r="CV691" s="12"/>
      <c r="CW691" s="12"/>
      <c r="CX691" s="12"/>
      <c r="CY691" s="12"/>
      <c r="CZ691" s="12"/>
      <c r="DA691" s="12"/>
      <c r="DB691" s="12"/>
      <c r="DC691" s="12"/>
      <c r="DD691" s="12"/>
      <c r="DE691" s="12"/>
      <c r="DF691" s="12"/>
      <c r="DG691" s="12"/>
      <c r="DH691" s="12"/>
      <c r="DI691" s="12"/>
      <c r="DJ691" s="12"/>
      <c r="DK691" s="12"/>
      <c r="DL691" s="12"/>
      <c r="DM691" s="12"/>
      <c r="DN691" s="12"/>
      <c r="DO691" s="12"/>
      <c r="DP691" s="12"/>
      <c r="DQ691" s="12"/>
      <c r="DR691" s="12"/>
      <c r="DS691" s="12"/>
      <c r="DT691" s="12"/>
      <c r="DU691" s="12"/>
      <c r="DV691" s="12"/>
      <c r="DW691" s="12"/>
      <c r="DX691" s="12"/>
      <c r="DY691" s="12"/>
      <c r="DZ691" s="12"/>
      <c r="EA691" s="12"/>
      <c r="EB691" s="12"/>
      <c r="EC691" s="12"/>
      <c r="ED691" s="12"/>
      <c r="EE691" s="12"/>
      <c r="EF691" s="12"/>
      <c r="EG691" s="12"/>
      <c r="EH691" s="12"/>
      <c r="EI691" s="12"/>
      <c r="EJ691" s="574"/>
      <c r="EK691" s="574"/>
      <c r="EL691" s="574"/>
      <c r="EM691" s="574"/>
      <c r="EN691" s="574"/>
      <c r="EO691" s="574"/>
      <c r="EP691" s="574"/>
      <c r="EQ691" s="574"/>
      <c r="ER691" s="574"/>
      <c r="ES691" s="574"/>
      <c r="ET691" s="574"/>
      <c r="EU691" s="574"/>
    </row>
    <row r="692">
      <c r="A692" s="12"/>
      <c r="B692" s="55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12"/>
      <c r="AY692" s="12"/>
      <c r="AZ692" s="12"/>
      <c r="BA692" s="12"/>
      <c r="BB692" s="12"/>
      <c r="BC692" s="12"/>
      <c r="BD692" s="12"/>
      <c r="BE692" s="12"/>
      <c r="BF692" s="12"/>
      <c r="BG692" s="12"/>
      <c r="BH692" s="12"/>
      <c r="BI692" s="12"/>
      <c r="BJ692" s="12"/>
      <c r="BK692" s="12"/>
      <c r="BL692" s="12"/>
      <c r="BM692" s="12"/>
      <c r="BN692" s="12"/>
      <c r="BO692" s="12"/>
      <c r="BP692" s="12"/>
      <c r="BQ692" s="12"/>
      <c r="BR692" s="12"/>
      <c r="BS692" s="12"/>
      <c r="BT692" s="12"/>
      <c r="BU692" s="12"/>
      <c r="BV692" s="12"/>
      <c r="BW692" s="12"/>
      <c r="BX692" s="12"/>
      <c r="BY692" s="12"/>
      <c r="BZ692" s="12"/>
      <c r="CA692" s="12"/>
      <c r="CB692" s="12"/>
      <c r="CC692" s="12"/>
      <c r="CD692" s="12"/>
      <c r="CE692" s="12"/>
      <c r="CF692" s="12"/>
      <c r="CG692" s="12"/>
      <c r="CH692" s="12"/>
      <c r="CI692" s="12"/>
      <c r="CJ692" s="12"/>
      <c r="CK692" s="12"/>
      <c r="CL692" s="12"/>
      <c r="CM692" s="12"/>
      <c r="CN692" s="12"/>
      <c r="CO692" s="12"/>
      <c r="CP692" s="12"/>
      <c r="CQ692" s="12"/>
      <c r="CR692" s="12"/>
      <c r="CS692" s="12"/>
      <c r="CT692" s="12"/>
      <c r="CU692" s="12"/>
      <c r="CV692" s="12"/>
      <c r="CW692" s="12"/>
      <c r="CX692" s="12"/>
      <c r="CY692" s="12"/>
      <c r="CZ692" s="12"/>
      <c r="DA692" s="12"/>
      <c r="DB692" s="12"/>
      <c r="DC692" s="12"/>
      <c r="DD692" s="12"/>
      <c r="DE692" s="12"/>
      <c r="DF692" s="12"/>
      <c r="DG692" s="12"/>
      <c r="DH692" s="12"/>
      <c r="DI692" s="12"/>
      <c r="DJ692" s="12"/>
      <c r="DK692" s="12"/>
      <c r="DL692" s="12"/>
      <c r="DM692" s="12"/>
      <c r="DN692" s="12"/>
      <c r="DO692" s="12"/>
      <c r="DP692" s="12"/>
      <c r="DQ692" s="12"/>
      <c r="DR692" s="12"/>
      <c r="DS692" s="12"/>
      <c r="DT692" s="12"/>
      <c r="DU692" s="12"/>
      <c r="DV692" s="12"/>
      <c r="DW692" s="12"/>
      <c r="DX692" s="12"/>
      <c r="DY692" s="12"/>
      <c r="DZ692" s="12"/>
      <c r="EA692" s="12"/>
      <c r="EB692" s="12"/>
      <c r="EC692" s="12"/>
      <c r="ED692" s="12"/>
      <c r="EE692" s="12"/>
      <c r="EF692" s="12"/>
      <c r="EG692" s="12"/>
      <c r="EH692" s="12"/>
      <c r="EI692" s="12"/>
      <c r="EJ692" s="574"/>
      <c r="EK692" s="574"/>
      <c r="EL692" s="574"/>
      <c r="EM692" s="574"/>
      <c r="EN692" s="574"/>
      <c r="EO692" s="574"/>
      <c r="EP692" s="574"/>
      <c r="EQ692" s="574"/>
      <c r="ER692" s="574"/>
      <c r="ES692" s="574"/>
      <c r="ET692" s="574"/>
      <c r="EU692" s="574"/>
    </row>
    <row r="693">
      <c r="A693" s="12"/>
      <c r="B693" s="55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  <c r="AX693" s="12"/>
      <c r="AY693" s="12"/>
      <c r="AZ693" s="12"/>
      <c r="BA693" s="12"/>
      <c r="BB693" s="12"/>
      <c r="BC693" s="12"/>
      <c r="BD693" s="12"/>
      <c r="BE693" s="12"/>
      <c r="BF693" s="12"/>
      <c r="BG693" s="12"/>
      <c r="BH693" s="12"/>
      <c r="BI693" s="12"/>
      <c r="BJ693" s="12"/>
      <c r="BK693" s="12"/>
      <c r="BL693" s="12"/>
      <c r="BM693" s="12"/>
      <c r="BN693" s="12"/>
      <c r="BO693" s="12"/>
      <c r="BP693" s="12"/>
      <c r="BQ693" s="12"/>
      <c r="BR693" s="12"/>
      <c r="BS693" s="12"/>
      <c r="BT693" s="12"/>
      <c r="BU693" s="12"/>
      <c r="BV693" s="12"/>
      <c r="BW693" s="12"/>
      <c r="BX693" s="12"/>
      <c r="BY693" s="12"/>
      <c r="BZ693" s="12"/>
      <c r="CA693" s="12"/>
      <c r="CB693" s="12"/>
      <c r="CC693" s="12"/>
      <c r="CD693" s="12"/>
      <c r="CE693" s="12"/>
      <c r="CF693" s="12"/>
      <c r="CG693" s="12"/>
      <c r="CH693" s="12"/>
      <c r="CI693" s="12"/>
      <c r="CJ693" s="12"/>
      <c r="CK693" s="12"/>
      <c r="CL693" s="12"/>
      <c r="CM693" s="12"/>
      <c r="CN693" s="12"/>
      <c r="CO693" s="12"/>
      <c r="CP693" s="12"/>
      <c r="CQ693" s="12"/>
      <c r="CR693" s="12"/>
      <c r="CS693" s="12"/>
      <c r="CT693" s="12"/>
      <c r="CU693" s="12"/>
      <c r="CV693" s="12"/>
      <c r="CW693" s="12"/>
      <c r="CX693" s="12"/>
      <c r="CY693" s="12"/>
      <c r="CZ693" s="12"/>
      <c r="DA693" s="12"/>
      <c r="DB693" s="12"/>
      <c r="DC693" s="12"/>
      <c r="DD693" s="12"/>
      <c r="DE693" s="12"/>
      <c r="DF693" s="12"/>
      <c r="DG693" s="12"/>
      <c r="DH693" s="12"/>
      <c r="DI693" s="12"/>
      <c r="DJ693" s="12"/>
      <c r="DK693" s="12"/>
      <c r="DL693" s="12"/>
      <c r="DM693" s="12"/>
      <c r="DN693" s="12"/>
      <c r="DO693" s="12"/>
      <c r="DP693" s="12"/>
      <c r="DQ693" s="12"/>
      <c r="DR693" s="12"/>
      <c r="DS693" s="12"/>
      <c r="DT693" s="12"/>
      <c r="DU693" s="12"/>
      <c r="DV693" s="12"/>
      <c r="DW693" s="12"/>
      <c r="DX693" s="12"/>
      <c r="DY693" s="12"/>
      <c r="DZ693" s="12"/>
      <c r="EA693" s="12"/>
      <c r="EB693" s="12"/>
      <c r="EC693" s="12"/>
      <c r="ED693" s="12"/>
      <c r="EE693" s="12"/>
      <c r="EF693" s="12"/>
      <c r="EG693" s="12"/>
      <c r="EH693" s="12"/>
      <c r="EI693" s="12"/>
      <c r="EJ693" s="574"/>
      <c r="EK693" s="574"/>
      <c r="EL693" s="574"/>
      <c r="EM693" s="574"/>
      <c r="EN693" s="574"/>
      <c r="EO693" s="574"/>
      <c r="EP693" s="574"/>
      <c r="EQ693" s="574"/>
      <c r="ER693" s="574"/>
      <c r="ES693" s="574"/>
      <c r="ET693" s="574"/>
      <c r="EU693" s="574"/>
    </row>
    <row r="694">
      <c r="A694" s="12"/>
      <c r="B694" s="55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12"/>
      <c r="AY694" s="12"/>
      <c r="AZ694" s="12"/>
      <c r="BA694" s="12"/>
      <c r="BB694" s="12"/>
      <c r="BC694" s="12"/>
      <c r="BD694" s="12"/>
      <c r="BE694" s="12"/>
      <c r="BF694" s="12"/>
      <c r="BG694" s="12"/>
      <c r="BH694" s="12"/>
      <c r="BI694" s="12"/>
      <c r="BJ694" s="12"/>
      <c r="BK694" s="12"/>
      <c r="BL694" s="12"/>
      <c r="BM694" s="12"/>
      <c r="BN694" s="12"/>
      <c r="BO694" s="12"/>
      <c r="BP694" s="12"/>
      <c r="BQ694" s="12"/>
      <c r="BR694" s="12"/>
      <c r="BS694" s="12"/>
      <c r="BT694" s="12"/>
      <c r="BU694" s="12"/>
      <c r="BV694" s="12"/>
      <c r="BW694" s="12"/>
      <c r="BX694" s="12"/>
      <c r="BY694" s="12"/>
      <c r="BZ694" s="12"/>
      <c r="CA694" s="12"/>
      <c r="CB694" s="12"/>
      <c r="CC694" s="12"/>
      <c r="CD694" s="12"/>
      <c r="CE694" s="12"/>
      <c r="CF694" s="12"/>
      <c r="CG694" s="12"/>
      <c r="CH694" s="12"/>
      <c r="CI694" s="12"/>
      <c r="CJ694" s="12"/>
      <c r="CK694" s="12"/>
      <c r="CL694" s="12"/>
      <c r="CM694" s="12"/>
      <c r="CN694" s="12"/>
      <c r="CO694" s="12"/>
      <c r="CP694" s="12"/>
      <c r="CQ694" s="12"/>
      <c r="CR694" s="12"/>
      <c r="CS694" s="12"/>
      <c r="CT694" s="12"/>
      <c r="CU694" s="12"/>
      <c r="CV694" s="12"/>
      <c r="CW694" s="12"/>
      <c r="CX694" s="12"/>
      <c r="CY694" s="12"/>
      <c r="CZ694" s="12"/>
      <c r="DA694" s="12"/>
      <c r="DB694" s="12"/>
      <c r="DC694" s="12"/>
      <c r="DD694" s="12"/>
      <c r="DE694" s="12"/>
      <c r="DF694" s="12"/>
      <c r="DG694" s="12"/>
      <c r="DH694" s="12"/>
      <c r="DI694" s="12"/>
      <c r="DJ694" s="12"/>
      <c r="DK694" s="12"/>
      <c r="DL694" s="12"/>
      <c r="DM694" s="12"/>
      <c r="DN694" s="12"/>
      <c r="DO694" s="12"/>
      <c r="DP694" s="12"/>
      <c r="DQ694" s="12"/>
      <c r="DR694" s="12"/>
      <c r="DS694" s="12"/>
      <c r="DT694" s="12"/>
      <c r="DU694" s="12"/>
      <c r="DV694" s="12"/>
      <c r="DW694" s="12"/>
      <c r="DX694" s="12"/>
      <c r="DY694" s="12"/>
      <c r="DZ694" s="12"/>
      <c r="EA694" s="12"/>
      <c r="EB694" s="12"/>
      <c r="EC694" s="12"/>
      <c r="ED694" s="12"/>
      <c r="EE694" s="12"/>
      <c r="EF694" s="12"/>
      <c r="EG694" s="12"/>
      <c r="EH694" s="12"/>
      <c r="EI694" s="12"/>
      <c r="EJ694" s="574"/>
      <c r="EK694" s="574"/>
      <c r="EL694" s="574"/>
      <c r="EM694" s="574"/>
      <c r="EN694" s="574"/>
      <c r="EO694" s="574"/>
      <c r="EP694" s="574"/>
      <c r="EQ694" s="574"/>
      <c r="ER694" s="574"/>
      <c r="ES694" s="574"/>
      <c r="ET694" s="574"/>
      <c r="EU694" s="574"/>
    </row>
    <row r="695">
      <c r="A695" s="12"/>
      <c r="B695" s="55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  <c r="AX695" s="12"/>
      <c r="AY695" s="12"/>
      <c r="AZ695" s="12"/>
      <c r="BA695" s="12"/>
      <c r="BB695" s="12"/>
      <c r="BC695" s="12"/>
      <c r="BD695" s="12"/>
      <c r="BE695" s="12"/>
      <c r="BF695" s="12"/>
      <c r="BG695" s="12"/>
      <c r="BH695" s="12"/>
      <c r="BI695" s="12"/>
      <c r="BJ695" s="12"/>
      <c r="BK695" s="12"/>
      <c r="BL695" s="12"/>
      <c r="BM695" s="12"/>
      <c r="BN695" s="12"/>
      <c r="BO695" s="12"/>
      <c r="BP695" s="12"/>
      <c r="BQ695" s="12"/>
      <c r="BR695" s="12"/>
      <c r="BS695" s="12"/>
      <c r="BT695" s="12"/>
      <c r="BU695" s="12"/>
      <c r="BV695" s="12"/>
      <c r="BW695" s="12"/>
      <c r="BX695" s="12"/>
      <c r="BY695" s="12"/>
      <c r="BZ695" s="12"/>
      <c r="CA695" s="12"/>
      <c r="CB695" s="12"/>
      <c r="CC695" s="12"/>
      <c r="CD695" s="12"/>
      <c r="CE695" s="12"/>
      <c r="CF695" s="12"/>
      <c r="CG695" s="12"/>
      <c r="CH695" s="12"/>
      <c r="CI695" s="12"/>
      <c r="CJ695" s="12"/>
      <c r="CK695" s="12"/>
      <c r="CL695" s="12"/>
      <c r="CM695" s="12"/>
      <c r="CN695" s="12"/>
      <c r="CO695" s="12"/>
      <c r="CP695" s="12"/>
      <c r="CQ695" s="12"/>
      <c r="CR695" s="12"/>
      <c r="CS695" s="12"/>
      <c r="CT695" s="12"/>
      <c r="CU695" s="12"/>
      <c r="CV695" s="12"/>
      <c r="CW695" s="12"/>
      <c r="CX695" s="12"/>
      <c r="CY695" s="12"/>
      <c r="CZ695" s="12"/>
      <c r="DA695" s="12"/>
      <c r="DB695" s="12"/>
      <c r="DC695" s="12"/>
      <c r="DD695" s="12"/>
      <c r="DE695" s="12"/>
      <c r="DF695" s="12"/>
      <c r="DG695" s="12"/>
      <c r="DH695" s="12"/>
      <c r="DI695" s="12"/>
      <c r="DJ695" s="12"/>
      <c r="DK695" s="12"/>
      <c r="DL695" s="12"/>
      <c r="DM695" s="12"/>
      <c r="DN695" s="12"/>
      <c r="DO695" s="12"/>
      <c r="DP695" s="12"/>
      <c r="DQ695" s="12"/>
      <c r="DR695" s="12"/>
      <c r="DS695" s="12"/>
      <c r="DT695" s="12"/>
      <c r="DU695" s="12"/>
      <c r="DV695" s="12"/>
      <c r="DW695" s="12"/>
      <c r="DX695" s="12"/>
      <c r="DY695" s="12"/>
      <c r="DZ695" s="12"/>
      <c r="EA695" s="12"/>
      <c r="EB695" s="12"/>
      <c r="EC695" s="12"/>
      <c r="ED695" s="12"/>
      <c r="EE695" s="12"/>
      <c r="EF695" s="12"/>
      <c r="EG695" s="12"/>
      <c r="EH695" s="12"/>
      <c r="EI695" s="12"/>
      <c r="EJ695" s="574"/>
      <c r="EK695" s="574"/>
      <c r="EL695" s="574"/>
      <c r="EM695" s="574"/>
      <c r="EN695" s="574"/>
      <c r="EO695" s="574"/>
      <c r="EP695" s="574"/>
      <c r="EQ695" s="574"/>
      <c r="ER695" s="574"/>
      <c r="ES695" s="574"/>
      <c r="ET695" s="574"/>
      <c r="EU695" s="574"/>
    </row>
    <row r="696">
      <c r="A696" s="12"/>
      <c r="B696" s="55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  <c r="AX696" s="12"/>
      <c r="AY696" s="12"/>
      <c r="AZ696" s="12"/>
      <c r="BA696" s="12"/>
      <c r="BB696" s="12"/>
      <c r="BC696" s="12"/>
      <c r="BD696" s="12"/>
      <c r="BE696" s="12"/>
      <c r="BF696" s="12"/>
      <c r="BG696" s="12"/>
      <c r="BH696" s="12"/>
      <c r="BI696" s="12"/>
      <c r="BJ696" s="12"/>
      <c r="BK696" s="12"/>
      <c r="BL696" s="12"/>
      <c r="BM696" s="12"/>
      <c r="BN696" s="12"/>
      <c r="BO696" s="12"/>
      <c r="BP696" s="12"/>
      <c r="BQ696" s="12"/>
      <c r="BR696" s="12"/>
      <c r="BS696" s="12"/>
      <c r="BT696" s="12"/>
      <c r="BU696" s="12"/>
      <c r="BV696" s="12"/>
      <c r="BW696" s="12"/>
      <c r="BX696" s="12"/>
      <c r="BY696" s="12"/>
      <c r="BZ696" s="12"/>
      <c r="CA696" s="12"/>
      <c r="CB696" s="12"/>
      <c r="CC696" s="12"/>
      <c r="CD696" s="12"/>
      <c r="CE696" s="12"/>
      <c r="CF696" s="12"/>
      <c r="CG696" s="12"/>
      <c r="CH696" s="12"/>
      <c r="CI696" s="12"/>
      <c r="CJ696" s="12"/>
      <c r="CK696" s="12"/>
      <c r="CL696" s="12"/>
      <c r="CM696" s="12"/>
      <c r="CN696" s="12"/>
      <c r="CO696" s="12"/>
      <c r="CP696" s="12"/>
      <c r="CQ696" s="12"/>
      <c r="CR696" s="12"/>
      <c r="CS696" s="12"/>
      <c r="CT696" s="12"/>
      <c r="CU696" s="12"/>
      <c r="CV696" s="12"/>
      <c r="CW696" s="12"/>
      <c r="CX696" s="12"/>
      <c r="CY696" s="12"/>
      <c r="CZ696" s="12"/>
      <c r="DA696" s="12"/>
      <c r="DB696" s="12"/>
      <c r="DC696" s="12"/>
      <c r="DD696" s="12"/>
      <c r="DE696" s="12"/>
      <c r="DF696" s="12"/>
      <c r="DG696" s="12"/>
      <c r="DH696" s="12"/>
      <c r="DI696" s="12"/>
      <c r="DJ696" s="12"/>
      <c r="DK696" s="12"/>
      <c r="DL696" s="12"/>
      <c r="DM696" s="12"/>
      <c r="DN696" s="12"/>
      <c r="DO696" s="12"/>
      <c r="DP696" s="12"/>
      <c r="DQ696" s="12"/>
      <c r="DR696" s="12"/>
      <c r="DS696" s="12"/>
      <c r="DT696" s="12"/>
      <c r="DU696" s="12"/>
      <c r="DV696" s="12"/>
      <c r="DW696" s="12"/>
      <c r="DX696" s="12"/>
      <c r="DY696" s="12"/>
      <c r="DZ696" s="12"/>
      <c r="EA696" s="12"/>
      <c r="EB696" s="12"/>
      <c r="EC696" s="12"/>
      <c r="ED696" s="12"/>
      <c r="EE696" s="12"/>
      <c r="EF696" s="12"/>
      <c r="EG696" s="12"/>
      <c r="EH696" s="12"/>
      <c r="EI696" s="12"/>
      <c r="EJ696" s="574"/>
      <c r="EK696" s="574"/>
      <c r="EL696" s="574"/>
      <c r="EM696" s="574"/>
      <c r="EN696" s="574"/>
      <c r="EO696" s="574"/>
      <c r="EP696" s="574"/>
      <c r="EQ696" s="574"/>
      <c r="ER696" s="574"/>
      <c r="ES696" s="574"/>
      <c r="ET696" s="574"/>
      <c r="EU696" s="574"/>
    </row>
    <row r="697">
      <c r="A697" s="12"/>
      <c r="B697" s="55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  <c r="AX697" s="12"/>
      <c r="AY697" s="12"/>
      <c r="AZ697" s="12"/>
      <c r="BA697" s="12"/>
      <c r="BB697" s="12"/>
      <c r="BC697" s="12"/>
      <c r="BD697" s="12"/>
      <c r="BE697" s="12"/>
      <c r="BF697" s="12"/>
      <c r="BG697" s="12"/>
      <c r="BH697" s="12"/>
      <c r="BI697" s="12"/>
      <c r="BJ697" s="12"/>
      <c r="BK697" s="12"/>
      <c r="BL697" s="12"/>
      <c r="BM697" s="12"/>
      <c r="BN697" s="12"/>
      <c r="BO697" s="12"/>
      <c r="BP697" s="12"/>
      <c r="BQ697" s="12"/>
      <c r="BR697" s="12"/>
      <c r="BS697" s="12"/>
      <c r="BT697" s="12"/>
      <c r="BU697" s="12"/>
      <c r="BV697" s="12"/>
      <c r="BW697" s="12"/>
      <c r="BX697" s="12"/>
      <c r="BY697" s="12"/>
      <c r="BZ697" s="12"/>
      <c r="CA697" s="12"/>
      <c r="CB697" s="12"/>
      <c r="CC697" s="12"/>
      <c r="CD697" s="12"/>
      <c r="CE697" s="12"/>
      <c r="CF697" s="12"/>
      <c r="CG697" s="12"/>
      <c r="CH697" s="12"/>
      <c r="CI697" s="12"/>
      <c r="CJ697" s="12"/>
      <c r="CK697" s="12"/>
      <c r="CL697" s="12"/>
      <c r="CM697" s="12"/>
      <c r="CN697" s="12"/>
      <c r="CO697" s="12"/>
      <c r="CP697" s="12"/>
      <c r="CQ697" s="12"/>
      <c r="CR697" s="12"/>
      <c r="CS697" s="12"/>
      <c r="CT697" s="12"/>
      <c r="CU697" s="12"/>
      <c r="CV697" s="12"/>
      <c r="CW697" s="12"/>
      <c r="CX697" s="12"/>
      <c r="CY697" s="12"/>
      <c r="CZ697" s="12"/>
      <c r="DA697" s="12"/>
      <c r="DB697" s="12"/>
      <c r="DC697" s="12"/>
      <c r="DD697" s="12"/>
      <c r="DE697" s="12"/>
      <c r="DF697" s="12"/>
      <c r="DG697" s="12"/>
      <c r="DH697" s="12"/>
      <c r="DI697" s="12"/>
      <c r="DJ697" s="12"/>
      <c r="DK697" s="12"/>
      <c r="DL697" s="12"/>
      <c r="DM697" s="12"/>
      <c r="DN697" s="12"/>
      <c r="DO697" s="12"/>
      <c r="DP697" s="12"/>
      <c r="DQ697" s="12"/>
      <c r="DR697" s="12"/>
      <c r="DS697" s="12"/>
      <c r="DT697" s="12"/>
      <c r="DU697" s="12"/>
      <c r="DV697" s="12"/>
      <c r="DW697" s="12"/>
      <c r="DX697" s="12"/>
      <c r="DY697" s="12"/>
      <c r="DZ697" s="12"/>
      <c r="EA697" s="12"/>
      <c r="EB697" s="12"/>
      <c r="EC697" s="12"/>
      <c r="ED697" s="12"/>
      <c r="EE697" s="12"/>
      <c r="EF697" s="12"/>
      <c r="EG697" s="12"/>
      <c r="EH697" s="12"/>
      <c r="EI697" s="12"/>
      <c r="EJ697" s="574"/>
      <c r="EK697" s="574"/>
      <c r="EL697" s="574"/>
      <c r="EM697" s="574"/>
      <c r="EN697" s="574"/>
      <c r="EO697" s="574"/>
      <c r="EP697" s="574"/>
      <c r="EQ697" s="574"/>
      <c r="ER697" s="574"/>
      <c r="ES697" s="574"/>
      <c r="ET697" s="574"/>
      <c r="EU697" s="574"/>
    </row>
    <row r="698">
      <c r="A698" s="12"/>
      <c r="B698" s="55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  <c r="AX698" s="12"/>
      <c r="AY698" s="12"/>
      <c r="AZ698" s="12"/>
      <c r="BA698" s="12"/>
      <c r="BB698" s="12"/>
      <c r="BC698" s="12"/>
      <c r="BD698" s="12"/>
      <c r="BE698" s="12"/>
      <c r="BF698" s="12"/>
      <c r="BG698" s="12"/>
      <c r="BH698" s="12"/>
      <c r="BI698" s="12"/>
      <c r="BJ698" s="12"/>
      <c r="BK698" s="12"/>
      <c r="BL698" s="12"/>
      <c r="BM698" s="12"/>
      <c r="BN698" s="12"/>
      <c r="BO698" s="12"/>
      <c r="BP698" s="12"/>
      <c r="BQ698" s="12"/>
      <c r="BR698" s="12"/>
      <c r="BS698" s="12"/>
      <c r="BT698" s="12"/>
      <c r="BU698" s="12"/>
      <c r="BV698" s="12"/>
      <c r="BW698" s="12"/>
      <c r="BX698" s="12"/>
      <c r="BY698" s="12"/>
      <c r="BZ698" s="12"/>
      <c r="CA698" s="12"/>
      <c r="CB698" s="12"/>
      <c r="CC698" s="12"/>
      <c r="CD698" s="12"/>
      <c r="CE698" s="12"/>
      <c r="CF698" s="12"/>
      <c r="CG698" s="12"/>
      <c r="CH698" s="12"/>
      <c r="CI698" s="12"/>
      <c r="CJ698" s="12"/>
      <c r="CK698" s="12"/>
      <c r="CL698" s="12"/>
      <c r="CM698" s="12"/>
      <c r="CN698" s="12"/>
      <c r="CO698" s="12"/>
      <c r="CP698" s="12"/>
      <c r="CQ698" s="12"/>
      <c r="CR698" s="12"/>
      <c r="CS698" s="12"/>
      <c r="CT698" s="12"/>
      <c r="CU698" s="12"/>
      <c r="CV698" s="12"/>
      <c r="CW698" s="12"/>
      <c r="CX698" s="12"/>
      <c r="CY698" s="12"/>
      <c r="CZ698" s="12"/>
      <c r="DA698" s="12"/>
      <c r="DB698" s="12"/>
      <c r="DC698" s="12"/>
      <c r="DD698" s="12"/>
      <c r="DE698" s="12"/>
      <c r="DF698" s="12"/>
      <c r="DG698" s="12"/>
      <c r="DH698" s="12"/>
      <c r="DI698" s="12"/>
      <c r="DJ698" s="12"/>
      <c r="DK698" s="12"/>
      <c r="DL698" s="12"/>
      <c r="DM698" s="12"/>
      <c r="DN698" s="12"/>
      <c r="DO698" s="12"/>
      <c r="DP698" s="12"/>
      <c r="DQ698" s="12"/>
      <c r="DR698" s="12"/>
      <c r="DS698" s="12"/>
      <c r="DT698" s="12"/>
      <c r="DU698" s="12"/>
      <c r="DV698" s="12"/>
      <c r="DW698" s="12"/>
      <c r="DX698" s="12"/>
      <c r="DY698" s="12"/>
      <c r="DZ698" s="12"/>
      <c r="EA698" s="12"/>
      <c r="EB698" s="12"/>
      <c r="EC698" s="12"/>
      <c r="ED698" s="12"/>
      <c r="EE698" s="12"/>
      <c r="EF698" s="12"/>
      <c r="EG698" s="12"/>
      <c r="EH698" s="12"/>
      <c r="EI698" s="12"/>
      <c r="EJ698" s="574"/>
      <c r="EK698" s="574"/>
      <c r="EL698" s="574"/>
      <c r="EM698" s="574"/>
      <c r="EN698" s="574"/>
      <c r="EO698" s="574"/>
      <c r="EP698" s="574"/>
      <c r="EQ698" s="574"/>
      <c r="ER698" s="574"/>
      <c r="ES698" s="574"/>
      <c r="ET698" s="574"/>
      <c r="EU698" s="574"/>
    </row>
    <row r="699">
      <c r="A699" s="12"/>
      <c r="B699" s="55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  <c r="AX699" s="12"/>
      <c r="AY699" s="12"/>
      <c r="AZ699" s="12"/>
      <c r="BA699" s="12"/>
      <c r="BB699" s="12"/>
      <c r="BC699" s="12"/>
      <c r="BD699" s="12"/>
      <c r="BE699" s="12"/>
      <c r="BF699" s="12"/>
      <c r="BG699" s="12"/>
      <c r="BH699" s="12"/>
      <c r="BI699" s="12"/>
      <c r="BJ699" s="12"/>
      <c r="BK699" s="12"/>
      <c r="BL699" s="12"/>
      <c r="BM699" s="12"/>
      <c r="BN699" s="12"/>
      <c r="BO699" s="12"/>
      <c r="BP699" s="12"/>
      <c r="BQ699" s="12"/>
      <c r="BR699" s="12"/>
      <c r="BS699" s="12"/>
      <c r="BT699" s="12"/>
      <c r="BU699" s="12"/>
      <c r="BV699" s="12"/>
      <c r="BW699" s="12"/>
      <c r="BX699" s="12"/>
      <c r="BY699" s="12"/>
      <c r="BZ699" s="12"/>
      <c r="CA699" s="12"/>
      <c r="CB699" s="12"/>
      <c r="CC699" s="12"/>
      <c r="CD699" s="12"/>
      <c r="CE699" s="12"/>
      <c r="CF699" s="12"/>
      <c r="CG699" s="12"/>
      <c r="CH699" s="12"/>
      <c r="CI699" s="12"/>
      <c r="CJ699" s="12"/>
      <c r="CK699" s="12"/>
      <c r="CL699" s="12"/>
      <c r="CM699" s="12"/>
      <c r="CN699" s="12"/>
      <c r="CO699" s="12"/>
      <c r="CP699" s="12"/>
      <c r="CQ699" s="12"/>
      <c r="CR699" s="12"/>
      <c r="CS699" s="12"/>
      <c r="CT699" s="12"/>
      <c r="CU699" s="12"/>
      <c r="CV699" s="12"/>
      <c r="CW699" s="12"/>
      <c r="CX699" s="12"/>
      <c r="CY699" s="12"/>
      <c r="CZ699" s="12"/>
      <c r="DA699" s="12"/>
      <c r="DB699" s="12"/>
      <c r="DC699" s="12"/>
      <c r="DD699" s="12"/>
      <c r="DE699" s="12"/>
      <c r="DF699" s="12"/>
      <c r="DG699" s="12"/>
      <c r="DH699" s="12"/>
      <c r="DI699" s="12"/>
      <c r="DJ699" s="12"/>
      <c r="DK699" s="12"/>
      <c r="DL699" s="12"/>
      <c r="DM699" s="12"/>
      <c r="DN699" s="12"/>
      <c r="DO699" s="12"/>
      <c r="DP699" s="12"/>
      <c r="DQ699" s="12"/>
      <c r="DR699" s="12"/>
      <c r="DS699" s="12"/>
      <c r="DT699" s="12"/>
      <c r="DU699" s="12"/>
      <c r="DV699" s="12"/>
      <c r="DW699" s="12"/>
      <c r="DX699" s="12"/>
      <c r="DY699" s="12"/>
      <c r="DZ699" s="12"/>
      <c r="EA699" s="12"/>
      <c r="EB699" s="12"/>
      <c r="EC699" s="12"/>
      <c r="ED699" s="12"/>
      <c r="EE699" s="12"/>
      <c r="EF699" s="12"/>
      <c r="EG699" s="12"/>
      <c r="EH699" s="12"/>
      <c r="EI699" s="12"/>
      <c r="EJ699" s="574"/>
      <c r="EK699" s="574"/>
      <c r="EL699" s="574"/>
      <c r="EM699" s="574"/>
      <c r="EN699" s="574"/>
      <c r="EO699" s="574"/>
      <c r="EP699" s="574"/>
      <c r="EQ699" s="574"/>
      <c r="ER699" s="574"/>
      <c r="ES699" s="574"/>
      <c r="ET699" s="574"/>
      <c r="EU699" s="574"/>
    </row>
    <row r="700">
      <c r="A700" s="12"/>
      <c r="B700" s="55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  <c r="AX700" s="12"/>
      <c r="AY700" s="12"/>
      <c r="AZ700" s="12"/>
      <c r="BA700" s="12"/>
      <c r="BB700" s="12"/>
      <c r="BC700" s="12"/>
      <c r="BD700" s="12"/>
      <c r="BE700" s="12"/>
      <c r="BF700" s="12"/>
      <c r="BG700" s="12"/>
      <c r="BH700" s="12"/>
      <c r="BI700" s="12"/>
      <c r="BJ700" s="12"/>
      <c r="BK700" s="12"/>
      <c r="BL700" s="12"/>
      <c r="BM700" s="12"/>
      <c r="BN700" s="12"/>
      <c r="BO700" s="12"/>
      <c r="BP700" s="12"/>
      <c r="BQ700" s="12"/>
      <c r="BR700" s="12"/>
      <c r="BS700" s="12"/>
      <c r="BT700" s="12"/>
      <c r="BU700" s="12"/>
      <c r="BV700" s="12"/>
      <c r="BW700" s="12"/>
      <c r="BX700" s="12"/>
      <c r="BY700" s="12"/>
      <c r="BZ700" s="12"/>
      <c r="CA700" s="12"/>
      <c r="CB700" s="12"/>
      <c r="CC700" s="12"/>
      <c r="CD700" s="12"/>
      <c r="CE700" s="12"/>
      <c r="CF700" s="12"/>
      <c r="CG700" s="12"/>
      <c r="CH700" s="12"/>
      <c r="CI700" s="12"/>
      <c r="CJ700" s="12"/>
      <c r="CK700" s="12"/>
      <c r="CL700" s="12"/>
      <c r="CM700" s="12"/>
      <c r="CN700" s="12"/>
      <c r="CO700" s="12"/>
      <c r="CP700" s="12"/>
      <c r="CQ700" s="12"/>
      <c r="CR700" s="12"/>
      <c r="CS700" s="12"/>
      <c r="CT700" s="12"/>
      <c r="CU700" s="12"/>
      <c r="CV700" s="12"/>
      <c r="CW700" s="12"/>
      <c r="CX700" s="12"/>
      <c r="CY700" s="12"/>
      <c r="CZ700" s="12"/>
      <c r="DA700" s="12"/>
      <c r="DB700" s="12"/>
      <c r="DC700" s="12"/>
      <c r="DD700" s="12"/>
      <c r="DE700" s="12"/>
      <c r="DF700" s="12"/>
      <c r="DG700" s="12"/>
      <c r="DH700" s="12"/>
      <c r="DI700" s="12"/>
      <c r="DJ700" s="12"/>
      <c r="DK700" s="12"/>
      <c r="DL700" s="12"/>
      <c r="DM700" s="12"/>
      <c r="DN700" s="12"/>
      <c r="DO700" s="12"/>
      <c r="DP700" s="12"/>
      <c r="DQ700" s="12"/>
      <c r="DR700" s="12"/>
      <c r="DS700" s="12"/>
      <c r="DT700" s="12"/>
      <c r="DU700" s="12"/>
      <c r="DV700" s="12"/>
      <c r="DW700" s="12"/>
      <c r="DX700" s="12"/>
      <c r="DY700" s="12"/>
      <c r="DZ700" s="12"/>
      <c r="EA700" s="12"/>
      <c r="EB700" s="12"/>
      <c r="EC700" s="12"/>
      <c r="ED700" s="12"/>
      <c r="EE700" s="12"/>
      <c r="EF700" s="12"/>
      <c r="EG700" s="12"/>
      <c r="EH700" s="12"/>
      <c r="EI700" s="12"/>
      <c r="EJ700" s="574"/>
      <c r="EK700" s="574"/>
      <c r="EL700" s="574"/>
      <c r="EM700" s="574"/>
      <c r="EN700" s="574"/>
      <c r="EO700" s="574"/>
      <c r="EP700" s="574"/>
      <c r="EQ700" s="574"/>
      <c r="ER700" s="574"/>
      <c r="ES700" s="574"/>
      <c r="ET700" s="574"/>
      <c r="EU700" s="574"/>
    </row>
    <row r="701">
      <c r="A701" s="12"/>
      <c r="B701" s="55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  <c r="AX701" s="12"/>
      <c r="AY701" s="12"/>
      <c r="AZ701" s="12"/>
      <c r="BA701" s="12"/>
      <c r="BB701" s="12"/>
      <c r="BC701" s="12"/>
      <c r="BD701" s="12"/>
      <c r="BE701" s="12"/>
      <c r="BF701" s="12"/>
      <c r="BG701" s="12"/>
      <c r="BH701" s="12"/>
      <c r="BI701" s="12"/>
      <c r="BJ701" s="12"/>
      <c r="BK701" s="12"/>
      <c r="BL701" s="12"/>
      <c r="BM701" s="12"/>
      <c r="BN701" s="12"/>
      <c r="BO701" s="12"/>
      <c r="BP701" s="12"/>
      <c r="BQ701" s="12"/>
      <c r="BR701" s="12"/>
      <c r="BS701" s="12"/>
      <c r="BT701" s="12"/>
      <c r="BU701" s="12"/>
      <c r="BV701" s="12"/>
      <c r="BW701" s="12"/>
      <c r="BX701" s="12"/>
      <c r="BY701" s="12"/>
      <c r="BZ701" s="12"/>
      <c r="CA701" s="12"/>
      <c r="CB701" s="12"/>
      <c r="CC701" s="12"/>
      <c r="CD701" s="12"/>
      <c r="CE701" s="12"/>
      <c r="CF701" s="12"/>
      <c r="CG701" s="12"/>
      <c r="CH701" s="12"/>
      <c r="CI701" s="12"/>
      <c r="CJ701" s="12"/>
      <c r="CK701" s="12"/>
      <c r="CL701" s="12"/>
      <c r="CM701" s="12"/>
      <c r="CN701" s="12"/>
      <c r="CO701" s="12"/>
      <c r="CP701" s="12"/>
      <c r="CQ701" s="12"/>
      <c r="CR701" s="12"/>
      <c r="CS701" s="12"/>
      <c r="CT701" s="12"/>
      <c r="CU701" s="12"/>
      <c r="CV701" s="12"/>
      <c r="CW701" s="12"/>
      <c r="CX701" s="12"/>
      <c r="CY701" s="12"/>
      <c r="CZ701" s="12"/>
      <c r="DA701" s="12"/>
      <c r="DB701" s="12"/>
      <c r="DC701" s="12"/>
      <c r="DD701" s="12"/>
      <c r="DE701" s="12"/>
      <c r="DF701" s="12"/>
      <c r="DG701" s="12"/>
      <c r="DH701" s="12"/>
      <c r="DI701" s="12"/>
      <c r="DJ701" s="12"/>
      <c r="DK701" s="12"/>
      <c r="DL701" s="12"/>
      <c r="DM701" s="12"/>
      <c r="DN701" s="12"/>
      <c r="DO701" s="12"/>
      <c r="DP701" s="12"/>
      <c r="DQ701" s="12"/>
      <c r="DR701" s="12"/>
      <c r="DS701" s="12"/>
      <c r="DT701" s="12"/>
      <c r="DU701" s="12"/>
      <c r="DV701" s="12"/>
      <c r="DW701" s="12"/>
      <c r="DX701" s="12"/>
      <c r="DY701" s="12"/>
      <c r="DZ701" s="12"/>
      <c r="EA701" s="12"/>
      <c r="EB701" s="12"/>
      <c r="EC701" s="12"/>
      <c r="ED701" s="12"/>
      <c r="EE701" s="12"/>
      <c r="EF701" s="12"/>
      <c r="EG701" s="12"/>
      <c r="EH701" s="12"/>
      <c r="EI701" s="12"/>
      <c r="EJ701" s="574"/>
      <c r="EK701" s="574"/>
      <c r="EL701" s="574"/>
      <c r="EM701" s="574"/>
      <c r="EN701" s="574"/>
      <c r="EO701" s="574"/>
      <c r="EP701" s="574"/>
      <c r="EQ701" s="574"/>
      <c r="ER701" s="574"/>
      <c r="ES701" s="574"/>
      <c r="ET701" s="574"/>
      <c r="EU701" s="574"/>
    </row>
    <row r="702">
      <c r="A702" s="12"/>
      <c r="B702" s="55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  <c r="AX702" s="12"/>
      <c r="AY702" s="12"/>
      <c r="AZ702" s="12"/>
      <c r="BA702" s="12"/>
      <c r="BB702" s="12"/>
      <c r="BC702" s="12"/>
      <c r="BD702" s="12"/>
      <c r="BE702" s="12"/>
      <c r="BF702" s="12"/>
      <c r="BG702" s="12"/>
      <c r="BH702" s="12"/>
      <c r="BI702" s="12"/>
      <c r="BJ702" s="12"/>
      <c r="BK702" s="12"/>
      <c r="BL702" s="12"/>
      <c r="BM702" s="12"/>
      <c r="BN702" s="12"/>
      <c r="BO702" s="12"/>
      <c r="BP702" s="12"/>
      <c r="BQ702" s="12"/>
      <c r="BR702" s="12"/>
      <c r="BS702" s="12"/>
      <c r="BT702" s="12"/>
      <c r="BU702" s="12"/>
      <c r="BV702" s="12"/>
      <c r="BW702" s="12"/>
      <c r="BX702" s="12"/>
      <c r="BY702" s="12"/>
      <c r="BZ702" s="12"/>
      <c r="CA702" s="12"/>
      <c r="CB702" s="12"/>
      <c r="CC702" s="12"/>
      <c r="CD702" s="12"/>
      <c r="CE702" s="12"/>
      <c r="CF702" s="12"/>
      <c r="CG702" s="12"/>
      <c r="CH702" s="12"/>
      <c r="CI702" s="12"/>
      <c r="CJ702" s="12"/>
      <c r="CK702" s="12"/>
      <c r="CL702" s="12"/>
      <c r="CM702" s="12"/>
      <c r="CN702" s="12"/>
      <c r="CO702" s="12"/>
      <c r="CP702" s="12"/>
      <c r="CQ702" s="12"/>
      <c r="CR702" s="12"/>
      <c r="CS702" s="12"/>
      <c r="CT702" s="12"/>
      <c r="CU702" s="12"/>
      <c r="CV702" s="12"/>
      <c r="CW702" s="12"/>
      <c r="CX702" s="12"/>
      <c r="CY702" s="12"/>
      <c r="CZ702" s="12"/>
      <c r="DA702" s="12"/>
      <c r="DB702" s="12"/>
      <c r="DC702" s="12"/>
      <c r="DD702" s="12"/>
      <c r="DE702" s="12"/>
      <c r="DF702" s="12"/>
      <c r="DG702" s="12"/>
      <c r="DH702" s="12"/>
      <c r="DI702" s="12"/>
      <c r="DJ702" s="12"/>
      <c r="DK702" s="12"/>
      <c r="DL702" s="12"/>
      <c r="DM702" s="12"/>
      <c r="DN702" s="12"/>
      <c r="DO702" s="12"/>
      <c r="DP702" s="12"/>
      <c r="DQ702" s="12"/>
      <c r="DR702" s="12"/>
      <c r="DS702" s="12"/>
      <c r="DT702" s="12"/>
      <c r="DU702" s="12"/>
      <c r="DV702" s="12"/>
      <c r="DW702" s="12"/>
      <c r="DX702" s="12"/>
      <c r="DY702" s="12"/>
      <c r="DZ702" s="12"/>
      <c r="EA702" s="12"/>
      <c r="EB702" s="12"/>
      <c r="EC702" s="12"/>
      <c r="ED702" s="12"/>
      <c r="EE702" s="12"/>
      <c r="EF702" s="12"/>
      <c r="EG702" s="12"/>
      <c r="EH702" s="12"/>
      <c r="EI702" s="12"/>
      <c r="EJ702" s="574"/>
      <c r="EK702" s="574"/>
      <c r="EL702" s="574"/>
      <c r="EM702" s="574"/>
      <c r="EN702" s="574"/>
      <c r="EO702" s="574"/>
      <c r="EP702" s="574"/>
      <c r="EQ702" s="574"/>
      <c r="ER702" s="574"/>
      <c r="ES702" s="574"/>
      <c r="ET702" s="574"/>
      <c r="EU702" s="574"/>
    </row>
    <row r="703">
      <c r="A703" s="12"/>
      <c r="B703" s="55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  <c r="AX703" s="12"/>
      <c r="AY703" s="12"/>
      <c r="AZ703" s="12"/>
      <c r="BA703" s="12"/>
      <c r="BB703" s="12"/>
      <c r="BC703" s="12"/>
      <c r="BD703" s="12"/>
      <c r="BE703" s="12"/>
      <c r="BF703" s="12"/>
      <c r="BG703" s="12"/>
      <c r="BH703" s="12"/>
      <c r="BI703" s="12"/>
      <c r="BJ703" s="12"/>
      <c r="BK703" s="12"/>
      <c r="BL703" s="12"/>
      <c r="BM703" s="12"/>
      <c r="BN703" s="12"/>
      <c r="BO703" s="12"/>
      <c r="BP703" s="12"/>
      <c r="BQ703" s="12"/>
      <c r="BR703" s="12"/>
      <c r="BS703" s="12"/>
      <c r="BT703" s="12"/>
      <c r="BU703" s="12"/>
      <c r="BV703" s="12"/>
      <c r="BW703" s="12"/>
      <c r="BX703" s="12"/>
      <c r="BY703" s="12"/>
      <c r="BZ703" s="12"/>
      <c r="CA703" s="12"/>
      <c r="CB703" s="12"/>
      <c r="CC703" s="12"/>
      <c r="CD703" s="12"/>
      <c r="CE703" s="12"/>
      <c r="CF703" s="12"/>
      <c r="CG703" s="12"/>
      <c r="CH703" s="12"/>
      <c r="CI703" s="12"/>
      <c r="CJ703" s="12"/>
      <c r="CK703" s="12"/>
      <c r="CL703" s="12"/>
      <c r="CM703" s="12"/>
      <c r="CN703" s="12"/>
      <c r="CO703" s="12"/>
      <c r="CP703" s="12"/>
      <c r="CQ703" s="12"/>
      <c r="CR703" s="12"/>
      <c r="CS703" s="12"/>
      <c r="CT703" s="12"/>
      <c r="CU703" s="12"/>
      <c r="CV703" s="12"/>
      <c r="CW703" s="12"/>
      <c r="CX703" s="12"/>
      <c r="CY703" s="12"/>
      <c r="CZ703" s="12"/>
      <c r="DA703" s="12"/>
      <c r="DB703" s="12"/>
      <c r="DC703" s="12"/>
      <c r="DD703" s="12"/>
      <c r="DE703" s="12"/>
      <c r="DF703" s="12"/>
      <c r="DG703" s="12"/>
      <c r="DH703" s="12"/>
      <c r="DI703" s="12"/>
      <c r="DJ703" s="12"/>
      <c r="DK703" s="12"/>
      <c r="DL703" s="12"/>
      <c r="DM703" s="12"/>
      <c r="DN703" s="12"/>
      <c r="DO703" s="12"/>
      <c r="DP703" s="12"/>
      <c r="DQ703" s="12"/>
      <c r="DR703" s="12"/>
      <c r="DS703" s="12"/>
      <c r="DT703" s="12"/>
      <c r="DU703" s="12"/>
      <c r="DV703" s="12"/>
      <c r="DW703" s="12"/>
      <c r="DX703" s="12"/>
      <c r="DY703" s="12"/>
      <c r="DZ703" s="12"/>
      <c r="EA703" s="12"/>
      <c r="EB703" s="12"/>
      <c r="EC703" s="12"/>
      <c r="ED703" s="12"/>
      <c r="EE703" s="12"/>
      <c r="EF703" s="12"/>
      <c r="EG703" s="12"/>
      <c r="EH703" s="12"/>
      <c r="EI703" s="12"/>
      <c r="EJ703" s="574"/>
      <c r="EK703" s="574"/>
      <c r="EL703" s="574"/>
      <c r="EM703" s="574"/>
      <c r="EN703" s="574"/>
      <c r="EO703" s="574"/>
      <c r="EP703" s="574"/>
      <c r="EQ703" s="574"/>
      <c r="ER703" s="574"/>
      <c r="ES703" s="574"/>
      <c r="ET703" s="574"/>
      <c r="EU703" s="574"/>
    </row>
    <row r="704">
      <c r="A704" s="12"/>
      <c r="B704" s="55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  <c r="AX704" s="12"/>
      <c r="AY704" s="12"/>
      <c r="AZ704" s="12"/>
      <c r="BA704" s="12"/>
      <c r="BB704" s="12"/>
      <c r="BC704" s="12"/>
      <c r="BD704" s="12"/>
      <c r="BE704" s="12"/>
      <c r="BF704" s="12"/>
      <c r="BG704" s="12"/>
      <c r="BH704" s="12"/>
      <c r="BI704" s="12"/>
      <c r="BJ704" s="12"/>
      <c r="BK704" s="12"/>
      <c r="BL704" s="12"/>
      <c r="BM704" s="12"/>
      <c r="BN704" s="12"/>
      <c r="BO704" s="12"/>
      <c r="BP704" s="12"/>
      <c r="BQ704" s="12"/>
      <c r="BR704" s="12"/>
      <c r="BS704" s="12"/>
      <c r="BT704" s="12"/>
      <c r="BU704" s="12"/>
      <c r="BV704" s="12"/>
      <c r="BW704" s="12"/>
      <c r="BX704" s="12"/>
      <c r="BY704" s="12"/>
      <c r="BZ704" s="12"/>
      <c r="CA704" s="12"/>
      <c r="CB704" s="12"/>
      <c r="CC704" s="12"/>
      <c r="CD704" s="12"/>
      <c r="CE704" s="12"/>
      <c r="CF704" s="12"/>
      <c r="CG704" s="12"/>
      <c r="CH704" s="12"/>
      <c r="CI704" s="12"/>
      <c r="CJ704" s="12"/>
      <c r="CK704" s="12"/>
      <c r="CL704" s="12"/>
      <c r="CM704" s="12"/>
      <c r="CN704" s="12"/>
      <c r="CO704" s="12"/>
      <c r="CP704" s="12"/>
      <c r="CQ704" s="12"/>
      <c r="CR704" s="12"/>
      <c r="CS704" s="12"/>
      <c r="CT704" s="12"/>
      <c r="CU704" s="12"/>
      <c r="CV704" s="12"/>
      <c r="CW704" s="12"/>
      <c r="CX704" s="12"/>
      <c r="CY704" s="12"/>
      <c r="CZ704" s="12"/>
      <c r="DA704" s="12"/>
      <c r="DB704" s="12"/>
      <c r="DC704" s="12"/>
      <c r="DD704" s="12"/>
      <c r="DE704" s="12"/>
      <c r="DF704" s="12"/>
      <c r="DG704" s="12"/>
      <c r="DH704" s="12"/>
      <c r="DI704" s="12"/>
      <c r="DJ704" s="12"/>
      <c r="DK704" s="12"/>
      <c r="DL704" s="12"/>
      <c r="DM704" s="12"/>
      <c r="DN704" s="12"/>
      <c r="DO704" s="12"/>
      <c r="DP704" s="12"/>
      <c r="DQ704" s="12"/>
      <c r="DR704" s="12"/>
      <c r="DS704" s="12"/>
      <c r="DT704" s="12"/>
      <c r="DU704" s="12"/>
      <c r="DV704" s="12"/>
      <c r="DW704" s="12"/>
      <c r="DX704" s="12"/>
      <c r="DY704" s="12"/>
      <c r="DZ704" s="12"/>
      <c r="EA704" s="12"/>
      <c r="EB704" s="12"/>
      <c r="EC704" s="12"/>
      <c r="ED704" s="12"/>
      <c r="EE704" s="12"/>
      <c r="EF704" s="12"/>
      <c r="EG704" s="12"/>
      <c r="EH704" s="12"/>
      <c r="EI704" s="12"/>
      <c r="EJ704" s="574"/>
      <c r="EK704" s="574"/>
      <c r="EL704" s="574"/>
      <c r="EM704" s="574"/>
      <c r="EN704" s="574"/>
      <c r="EO704" s="574"/>
      <c r="EP704" s="574"/>
      <c r="EQ704" s="574"/>
      <c r="ER704" s="574"/>
      <c r="ES704" s="574"/>
      <c r="ET704" s="574"/>
      <c r="EU704" s="574"/>
    </row>
    <row r="705">
      <c r="A705" s="12"/>
      <c r="B705" s="55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2"/>
      <c r="AY705" s="12"/>
      <c r="AZ705" s="12"/>
      <c r="BA705" s="12"/>
      <c r="BB705" s="12"/>
      <c r="BC705" s="12"/>
      <c r="BD705" s="12"/>
      <c r="BE705" s="12"/>
      <c r="BF705" s="12"/>
      <c r="BG705" s="12"/>
      <c r="BH705" s="12"/>
      <c r="BI705" s="12"/>
      <c r="BJ705" s="12"/>
      <c r="BK705" s="12"/>
      <c r="BL705" s="12"/>
      <c r="BM705" s="12"/>
      <c r="BN705" s="12"/>
      <c r="BO705" s="12"/>
      <c r="BP705" s="12"/>
      <c r="BQ705" s="12"/>
      <c r="BR705" s="12"/>
      <c r="BS705" s="12"/>
      <c r="BT705" s="12"/>
      <c r="BU705" s="12"/>
      <c r="BV705" s="12"/>
      <c r="BW705" s="12"/>
      <c r="BX705" s="12"/>
      <c r="BY705" s="12"/>
      <c r="BZ705" s="12"/>
      <c r="CA705" s="12"/>
      <c r="CB705" s="12"/>
      <c r="CC705" s="12"/>
      <c r="CD705" s="12"/>
      <c r="CE705" s="12"/>
      <c r="CF705" s="12"/>
      <c r="CG705" s="12"/>
      <c r="CH705" s="12"/>
      <c r="CI705" s="12"/>
      <c r="CJ705" s="12"/>
      <c r="CK705" s="12"/>
      <c r="CL705" s="12"/>
      <c r="CM705" s="12"/>
      <c r="CN705" s="12"/>
      <c r="CO705" s="12"/>
      <c r="CP705" s="12"/>
      <c r="CQ705" s="12"/>
      <c r="CR705" s="12"/>
      <c r="CS705" s="12"/>
      <c r="CT705" s="12"/>
      <c r="CU705" s="12"/>
      <c r="CV705" s="12"/>
      <c r="CW705" s="12"/>
      <c r="CX705" s="12"/>
      <c r="CY705" s="12"/>
      <c r="CZ705" s="12"/>
      <c r="DA705" s="12"/>
      <c r="DB705" s="12"/>
      <c r="DC705" s="12"/>
      <c r="DD705" s="12"/>
      <c r="DE705" s="12"/>
      <c r="DF705" s="12"/>
      <c r="DG705" s="12"/>
      <c r="DH705" s="12"/>
      <c r="DI705" s="12"/>
      <c r="DJ705" s="12"/>
      <c r="DK705" s="12"/>
      <c r="DL705" s="12"/>
      <c r="DM705" s="12"/>
      <c r="DN705" s="12"/>
      <c r="DO705" s="12"/>
      <c r="DP705" s="12"/>
      <c r="DQ705" s="12"/>
      <c r="DR705" s="12"/>
      <c r="DS705" s="12"/>
      <c r="DT705" s="12"/>
      <c r="DU705" s="12"/>
      <c r="DV705" s="12"/>
      <c r="DW705" s="12"/>
      <c r="DX705" s="12"/>
      <c r="DY705" s="12"/>
      <c r="DZ705" s="12"/>
      <c r="EA705" s="12"/>
      <c r="EB705" s="12"/>
      <c r="EC705" s="12"/>
      <c r="ED705" s="12"/>
      <c r="EE705" s="12"/>
      <c r="EF705" s="12"/>
      <c r="EG705" s="12"/>
      <c r="EH705" s="12"/>
      <c r="EI705" s="12"/>
      <c r="EJ705" s="574"/>
      <c r="EK705" s="574"/>
      <c r="EL705" s="574"/>
      <c r="EM705" s="574"/>
      <c r="EN705" s="574"/>
      <c r="EO705" s="574"/>
      <c r="EP705" s="574"/>
      <c r="EQ705" s="574"/>
      <c r="ER705" s="574"/>
      <c r="ES705" s="574"/>
      <c r="ET705" s="574"/>
      <c r="EU705" s="574"/>
    </row>
    <row r="706">
      <c r="A706" s="12"/>
      <c r="B706" s="55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2"/>
      <c r="AY706" s="12"/>
      <c r="AZ706" s="12"/>
      <c r="BA706" s="12"/>
      <c r="BB706" s="12"/>
      <c r="BC706" s="12"/>
      <c r="BD706" s="12"/>
      <c r="BE706" s="12"/>
      <c r="BF706" s="12"/>
      <c r="BG706" s="12"/>
      <c r="BH706" s="12"/>
      <c r="BI706" s="12"/>
      <c r="BJ706" s="12"/>
      <c r="BK706" s="12"/>
      <c r="BL706" s="12"/>
      <c r="BM706" s="12"/>
      <c r="BN706" s="12"/>
      <c r="BO706" s="12"/>
      <c r="BP706" s="12"/>
      <c r="BQ706" s="12"/>
      <c r="BR706" s="12"/>
      <c r="BS706" s="12"/>
      <c r="BT706" s="12"/>
      <c r="BU706" s="12"/>
      <c r="BV706" s="12"/>
      <c r="BW706" s="12"/>
      <c r="BX706" s="12"/>
      <c r="BY706" s="12"/>
      <c r="BZ706" s="12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574"/>
      <c r="EK706" s="574"/>
      <c r="EL706" s="574"/>
      <c r="EM706" s="574"/>
      <c r="EN706" s="574"/>
      <c r="EO706" s="574"/>
      <c r="EP706" s="574"/>
      <c r="EQ706" s="574"/>
      <c r="ER706" s="574"/>
      <c r="ES706" s="574"/>
      <c r="ET706" s="574"/>
      <c r="EU706" s="574"/>
    </row>
    <row r="707">
      <c r="A707" s="12"/>
      <c r="B707" s="55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12"/>
      <c r="AY707" s="12"/>
      <c r="AZ707" s="12"/>
      <c r="BA707" s="12"/>
      <c r="BB707" s="12"/>
      <c r="BC707" s="12"/>
      <c r="BD707" s="12"/>
      <c r="BE707" s="12"/>
      <c r="BF707" s="12"/>
      <c r="BG707" s="12"/>
      <c r="BH707" s="12"/>
      <c r="BI707" s="12"/>
      <c r="BJ707" s="12"/>
      <c r="BK707" s="12"/>
      <c r="BL707" s="12"/>
      <c r="BM707" s="12"/>
      <c r="BN707" s="12"/>
      <c r="BO707" s="12"/>
      <c r="BP707" s="12"/>
      <c r="BQ707" s="12"/>
      <c r="BR707" s="12"/>
      <c r="BS707" s="12"/>
      <c r="BT707" s="12"/>
      <c r="BU707" s="12"/>
      <c r="BV707" s="12"/>
      <c r="BW707" s="12"/>
      <c r="BX707" s="12"/>
      <c r="BY707" s="12"/>
      <c r="BZ707" s="12"/>
      <c r="CA707" s="12"/>
      <c r="CB707" s="12"/>
      <c r="CC707" s="12"/>
      <c r="CD707" s="12"/>
      <c r="CE707" s="12"/>
      <c r="CF707" s="12"/>
      <c r="CG707" s="12"/>
      <c r="CH707" s="12"/>
      <c r="CI707" s="12"/>
      <c r="CJ707" s="12"/>
      <c r="CK707" s="12"/>
      <c r="CL707" s="12"/>
      <c r="CM707" s="12"/>
      <c r="CN707" s="12"/>
      <c r="CO707" s="12"/>
      <c r="CP707" s="12"/>
      <c r="CQ707" s="12"/>
      <c r="CR707" s="12"/>
      <c r="CS707" s="12"/>
      <c r="CT707" s="12"/>
      <c r="CU707" s="12"/>
      <c r="CV707" s="12"/>
      <c r="CW707" s="12"/>
      <c r="CX707" s="12"/>
      <c r="CY707" s="12"/>
      <c r="CZ707" s="12"/>
      <c r="DA707" s="12"/>
      <c r="DB707" s="12"/>
      <c r="DC707" s="12"/>
      <c r="DD707" s="12"/>
      <c r="DE707" s="12"/>
      <c r="DF707" s="12"/>
      <c r="DG707" s="12"/>
      <c r="DH707" s="12"/>
      <c r="DI707" s="12"/>
      <c r="DJ707" s="12"/>
      <c r="DK707" s="12"/>
      <c r="DL707" s="12"/>
      <c r="DM707" s="12"/>
      <c r="DN707" s="12"/>
      <c r="DO707" s="12"/>
      <c r="DP707" s="12"/>
      <c r="DQ707" s="12"/>
      <c r="DR707" s="12"/>
      <c r="DS707" s="12"/>
      <c r="DT707" s="12"/>
      <c r="DU707" s="12"/>
      <c r="DV707" s="12"/>
      <c r="DW707" s="12"/>
      <c r="DX707" s="12"/>
      <c r="DY707" s="12"/>
      <c r="DZ707" s="12"/>
      <c r="EA707" s="12"/>
      <c r="EB707" s="12"/>
      <c r="EC707" s="12"/>
      <c r="ED707" s="12"/>
      <c r="EE707" s="12"/>
      <c r="EF707" s="12"/>
      <c r="EG707" s="12"/>
      <c r="EH707" s="12"/>
      <c r="EI707" s="12"/>
      <c r="EJ707" s="574"/>
      <c r="EK707" s="574"/>
      <c r="EL707" s="574"/>
      <c r="EM707" s="574"/>
      <c r="EN707" s="574"/>
      <c r="EO707" s="574"/>
      <c r="EP707" s="574"/>
      <c r="EQ707" s="574"/>
      <c r="ER707" s="574"/>
      <c r="ES707" s="574"/>
      <c r="ET707" s="574"/>
      <c r="EU707" s="574"/>
    </row>
    <row r="708">
      <c r="A708" s="12"/>
      <c r="B708" s="55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  <c r="AX708" s="12"/>
      <c r="AY708" s="12"/>
      <c r="AZ708" s="12"/>
      <c r="BA708" s="12"/>
      <c r="BB708" s="12"/>
      <c r="BC708" s="12"/>
      <c r="BD708" s="12"/>
      <c r="BE708" s="12"/>
      <c r="BF708" s="12"/>
      <c r="BG708" s="12"/>
      <c r="BH708" s="12"/>
      <c r="BI708" s="12"/>
      <c r="BJ708" s="12"/>
      <c r="BK708" s="12"/>
      <c r="BL708" s="12"/>
      <c r="BM708" s="12"/>
      <c r="BN708" s="12"/>
      <c r="BO708" s="12"/>
      <c r="BP708" s="12"/>
      <c r="BQ708" s="12"/>
      <c r="BR708" s="12"/>
      <c r="BS708" s="12"/>
      <c r="BT708" s="12"/>
      <c r="BU708" s="12"/>
      <c r="BV708" s="12"/>
      <c r="BW708" s="12"/>
      <c r="BX708" s="12"/>
      <c r="BY708" s="12"/>
      <c r="BZ708" s="12"/>
      <c r="CA708" s="12"/>
      <c r="CB708" s="12"/>
      <c r="CC708" s="12"/>
      <c r="CD708" s="12"/>
      <c r="CE708" s="12"/>
      <c r="CF708" s="12"/>
      <c r="CG708" s="12"/>
      <c r="CH708" s="12"/>
      <c r="CI708" s="12"/>
      <c r="CJ708" s="12"/>
      <c r="CK708" s="12"/>
      <c r="CL708" s="12"/>
      <c r="CM708" s="12"/>
      <c r="CN708" s="12"/>
      <c r="CO708" s="12"/>
      <c r="CP708" s="12"/>
      <c r="CQ708" s="12"/>
      <c r="CR708" s="12"/>
      <c r="CS708" s="12"/>
      <c r="CT708" s="12"/>
      <c r="CU708" s="12"/>
      <c r="CV708" s="12"/>
      <c r="CW708" s="12"/>
      <c r="CX708" s="12"/>
      <c r="CY708" s="12"/>
      <c r="CZ708" s="12"/>
      <c r="DA708" s="12"/>
      <c r="DB708" s="12"/>
      <c r="DC708" s="12"/>
      <c r="DD708" s="12"/>
      <c r="DE708" s="12"/>
      <c r="DF708" s="12"/>
      <c r="DG708" s="12"/>
      <c r="DH708" s="12"/>
      <c r="DI708" s="12"/>
      <c r="DJ708" s="12"/>
      <c r="DK708" s="12"/>
      <c r="DL708" s="12"/>
      <c r="DM708" s="12"/>
      <c r="DN708" s="12"/>
      <c r="DO708" s="12"/>
      <c r="DP708" s="12"/>
      <c r="DQ708" s="12"/>
      <c r="DR708" s="12"/>
      <c r="DS708" s="12"/>
      <c r="DT708" s="12"/>
      <c r="DU708" s="12"/>
      <c r="DV708" s="12"/>
      <c r="DW708" s="12"/>
      <c r="DX708" s="12"/>
      <c r="DY708" s="12"/>
      <c r="DZ708" s="12"/>
      <c r="EA708" s="12"/>
      <c r="EB708" s="12"/>
      <c r="EC708" s="12"/>
      <c r="ED708" s="12"/>
      <c r="EE708" s="12"/>
      <c r="EF708" s="12"/>
      <c r="EG708" s="12"/>
      <c r="EH708" s="12"/>
      <c r="EI708" s="12"/>
      <c r="EJ708" s="574"/>
      <c r="EK708" s="574"/>
      <c r="EL708" s="574"/>
      <c r="EM708" s="574"/>
      <c r="EN708" s="574"/>
      <c r="EO708" s="574"/>
      <c r="EP708" s="574"/>
      <c r="EQ708" s="574"/>
      <c r="ER708" s="574"/>
      <c r="ES708" s="574"/>
      <c r="ET708" s="574"/>
      <c r="EU708" s="574"/>
    </row>
    <row r="709">
      <c r="A709" s="12"/>
      <c r="B709" s="55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12"/>
      <c r="AY709" s="12"/>
      <c r="AZ709" s="12"/>
      <c r="BA709" s="12"/>
      <c r="BB709" s="12"/>
      <c r="BC709" s="12"/>
      <c r="BD709" s="12"/>
      <c r="BE709" s="12"/>
      <c r="BF709" s="12"/>
      <c r="BG709" s="12"/>
      <c r="BH709" s="12"/>
      <c r="BI709" s="12"/>
      <c r="BJ709" s="12"/>
      <c r="BK709" s="12"/>
      <c r="BL709" s="12"/>
      <c r="BM709" s="12"/>
      <c r="BN709" s="12"/>
      <c r="BO709" s="12"/>
      <c r="BP709" s="12"/>
      <c r="BQ709" s="12"/>
      <c r="BR709" s="12"/>
      <c r="BS709" s="12"/>
      <c r="BT709" s="12"/>
      <c r="BU709" s="12"/>
      <c r="BV709" s="12"/>
      <c r="BW709" s="12"/>
      <c r="BX709" s="12"/>
      <c r="BY709" s="12"/>
      <c r="BZ709" s="12"/>
      <c r="CA709" s="12"/>
      <c r="CB709" s="12"/>
      <c r="CC709" s="12"/>
      <c r="CD709" s="12"/>
      <c r="CE709" s="12"/>
      <c r="CF709" s="12"/>
      <c r="CG709" s="12"/>
      <c r="CH709" s="12"/>
      <c r="CI709" s="12"/>
      <c r="CJ709" s="12"/>
      <c r="CK709" s="12"/>
      <c r="CL709" s="12"/>
      <c r="CM709" s="12"/>
      <c r="CN709" s="12"/>
      <c r="CO709" s="12"/>
      <c r="CP709" s="12"/>
      <c r="CQ709" s="12"/>
      <c r="CR709" s="12"/>
      <c r="CS709" s="12"/>
      <c r="CT709" s="12"/>
      <c r="CU709" s="12"/>
      <c r="CV709" s="12"/>
      <c r="CW709" s="12"/>
      <c r="CX709" s="12"/>
      <c r="CY709" s="12"/>
      <c r="CZ709" s="12"/>
      <c r="DA709" s="12"/>
      <c r="DB709" s="12"/>
      <c r="DC709" s="12"/>
      <c r="DD709" s="12"/>
      <c r="DE709" s="12"/>
      <c r="DF709" s="12"/>
      <c r="DG709" s="12"/>
      <c r="DH709" s="12"/>
      <c r="DI709" s="12"/>
      <c r="DJ709" s="12"/>
      <c r="DK709" s="12"/>
      <c r="DL709" s="12"/>
      <c r="DM709" s="12"/>
      <c r="DN709" s="12"/>
      <c r="DO709" s="12"/>
      <c r="DP709" s="12"/>
      <c r="DQ709" s="12"/>
      <c r="DR709" s="12"/>
      <c r="DS709" s="12"/>
      <c r="DT709" s="12"/>
      <c r="DU709" s="12"/>
      <c r="DV709" s="12"/>
      <c r="DW709" s="12"/>
      <c r="DX709" s="12"/>
      <c r="DY709" s="12"/>
      <c r="DZ709" s="12"/>
      <c r="EA709" s="12"/>
      <c r="EB709" s="12"/>
      <c r="EC709" s="12"/>
      <c r="ED709" s="12"/>
      <c r="EE709" s="12"/>
      <c r="EF709" s="12"/>
      <c r="EG709" s="12"/>
      <c r="EH709" s="12"/>
      <c r="EI709" s="12"/>
      <c r="EJ709" s="574"/>
      <c r="EK709" s="574"/>
      <c r="EL709" s="574"/>
      <c r="EM709" s="574"/>
      <c r="EN709" s="574"/>
      <c r="EO709" s="574"/>
      <c r="EP709" s="574"/>
      <c r="EQ709" s="574"/>
      <c r="ER709" s="574"/>
      <c r="ES709" s="574"/>
      <c r="ET709" s="574"/>
      <c r="EU709" s="574"/>
    </row>
    <row r="710">
      <c r="A710" s="12"/>
      <c r="B710" s="55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12"/>
      <c r="AY710" s="12"/>
      <c r="AZ710" s="12"/>
      <c r="BA710" s="12"/>
      <c r="BB710" s="12"/>
      <c r="BC710" s="12"/>
      <c r="BD710" s="12"/>
      <c r="BE710" s="12"/>
      <c r="BF710" s="12"/>
      <c r="BG710" s="12"/>
      <c r="BH710" s="12"/>
      <c r="BI710" s="12"/>
      <c r="BJ710" s="12"/>
      <c r="BK710" s="12"/>
      <c r="BL710" s="12"/>
      <c r="BM710" s="12"/>
      <c r="BN710" s="12"/>
      <c r="BO710" s="12"/>
      <c r="BP710" s="12"/>
      <c r="BQ710" s="12"/>
      <c r="BR710" s="12"/>
      <c r="BS710" s="12"/>
      <c r="BT710" s="12"/>
      <c r="BU710" s="12"/>
      <c r="BV710" s="12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574"/>
      <c r="EK710" s="574"/>
      <c r="EL710" s="574"/>
      <c r="EM710" s="574"/>
      <c r="EN710" s="574"/>
      <c r="EO710" s="574"/>
      <c r="EP710" s="574"/>
      <c r="EQ710" s="574"/>
      <c r="ER710" s="574"/>
      <c r="ES710" s="574"/>
      <c r="ET710" s="574"/>
      <c r="EU710" s="574"/>
    </row>
    <row r="711">
      <c r="A711" s="12"/>
      <c r="B711" s="55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  <c r="AX711" s="12"/>
      <c r="AY711" s="12"/>
      <c r="AZ711" s="12"/>
      <c r="BA711" s="12"/>
      <c r="BB711" s="12"/>
      <c r="BC711" s="12"/>
      <c r="BD711" s="12"/>
      <c r="BE711" s="12"/>
      <c r="BF711" s="12"/>
      <c r="BG711" s="12"/>
      <c r="BH711" s="12"/>
      <c r="BI711" s="12"/>
      <c r="BJ711" s="12"/>
      <c r="BK711" s="12"/>
      <c r="BL711" s="12"/>
      <c r="BM711" s="12"/>
      <c r="BN711" s="12"/>
      <c r="BO711" s="12"/>
      <c r="BP711" s="12"/>
      <c r="BQ711" s="12"/>
      <c r="BR711" s="12"/>
      <c r="BS711" s="12"/>
      <c r="BT711" s="12"/>
      <c r="BU711" s="12"/>
      <c r="BV711" s="12"/>
      <c r="BW711" s="12"/>
      <c r="BX711" s="12"/>
      <c r="BY711" s="12"/>
      <c r="BZ711" s="12"/>
      <c r="CA711" s="12"/>
      <c r="CB711" s="12"/>
      <c r="CC711" s="12"/>
      <c r="CD711" s="12"/>
      <c r="CE711" s="12"/>
      <c r="CF711" s="12"/>
      <c r="CG711" s="12"/>
      <c r="CH711" s="12"/>
      <c r="CI711" s="12"/>
      <c r="CJ711" s="12"/>
      <c r="CK711" s="12"/>
      <c r="CL711" s="12"/>
      <c r="CM711" s="12"/>
      <c r="CN711" s="12"/>
      <c r="CO711" s="12"/>
      <c r="CP711" s="12"/>
      <c r="CQ711" s="12"/>
      <c r="CR711" s="12"/>
      <c r="CS711" s="12"/>
      <c r="CT711" s="12"/>
      <c r="CU711" s="12"/>
      <c r="CV711" s="12"/>
      <c r="CW711" s="12"/>
      <c r="CX711" s="12"/>
      <c r="CY711" s="12"/>
      <c r="CZ711" s="12"/>
      <c r="DA711" s="12"/>
      <c r="DB711" s="12"/>
      <c r="DC711" s="12"/>
      <c r="DD711" s="12"/>
      <c r="DE711" s="12"/>
      <c r="DF711" s="12"/>
      <c r="DG711" s="12"/>
      <c r="DH711" s="12"/>
      <c r="DI711" s="12"/>
      <c r="DJ711" s="12"/>
      <c r="DK711" s="12"/>
      <c r="DL711" s="12"/>
      <c r="DM711" s="12"/>
      <c r="DN711" s="12"/>
      <c r="DO711" s="12"/>
      <c r="DP711" s="12"/>
      <c r="DQ711" s="12"/>
      <c r="DR711" s="12"/>
      <c r="DS711" s="12"/>
      <c r="DT711" s="12"/>
      <c r="DU711" s="12"/>
      <c r="DV711" s="12"/>
      <c r="DW711" s="12"/>
      <c r="DX711" s="12"/>
      <c r="DY711" s="12"/>
      <c r="DZ711" s="12"/>
      <c r="EA711" s="12"/>
      <c r="EB711" s="12"/>
      <c r="EC711" s="12"/>
      <c r="ED711" s="12"/>
      <c r="EE711" s="12"/>
      <c r="EF711" s="12"/>
      <c r="EG711" s="12"/>
      <c r="EH711" s="12"/>
      <c r="EI711" s="12"/>
      <c r="EJ711" s="574"/>
      <c r="EK711" s="574"/>
      <c r="EL711" s="574"/>
      <c r="EM711" s="574"/>
      <c r="EN711" s="574"/>
      <c r="EO711" s="574"/>
      <c r="EP711" s="574"/>
      <c r="EQ711" s="574"/>
      <c r="ER711" s="574"/>
      <c r="ES711" s="574"/>
      <c r="ET711" s="574"/>
      <c r="EU711" s="574"/>
    </row>
    <row r="712">
      <c r="A712" s="12"/>
      <c r="B712" s="55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12"/>
      <c r="AY712" s="12"/>
      <c r="AZ712" s="12"/>
      <c r="BA712" s="12"/>
      <c r="BB712" s="12"/>
      <c r="BC712" s="12"/>
      <c r="BD712" s="12"/>
      <c r="BE712" s="12"/>
      <c r="BF712" s="12"/>
      <c r="BG712" s="12"/>
      <c r="BH712" s="12"/>
      <c r="BI712" s="12"/>
      <c r="BJ712" s="12"/>
      <c r="BK712" s="12"/>
      <c r="BL712" s="12"/>
      <c r="BM712" s="12"/>
      <c r="BN712" s="12"/>
      <c r="BO712" s="12"/>
      <c r="BP712" s="12"/>
      <c r="BQ712" s="12"/>
      <c r="BR712" s="12"/>
      <c r="BS712" s="12"/>
      <c r="BT712" s="12"/>
      <c r="BU712" s="12"/>
      <c r="BV712" s="12"/>
      <c r="BW712" s="12"/>
      <c r="BX712" s="12"/>
      <c r="BY712" s="12"/>
      <c r="BZ712" s="12"/>
      <c r="CA712" s="12"/>
      <c r="CB712" s="12"/>
      <c r="CC712" s="12"/>
      <c r="CD712" s="12"/>
      <c r="CE712" s="12"/>
      <c r="CF712" s="12"/>
      <c r="CG712" s="12"/>
      <c r="CH712" s="12"/>
      <c r="CI712" s="12"/>
      <c r="CJ712" s="12"/>
      <c r="CK712" s="12"/>
      <c r="CL712" s="12"/>
      <c r="CM712" s="12"/>
      <c r="CN712" s="12"/>
      <c r="CO712" s="12"/>
      <c r="CP712" s="12"/>
      <c r="CQ712" s="12"/>
      <c r="CR712" s="12"/>
      <c r="CS712" s="12"/>
      <c r="CT712" s="12"/>
      <c r="CU712" s="12"/>
      <c r="CV712" s="12"/>
      <c r="CW712" s="12"/>
      <c r="CX712" s="12"/>
      <c r="CY712" s="12"/>
      <c r="CZ712" s="12"/>
      <c r="DA712" s="12"/>
      <c r="DB712" s="12"/>
      <c r="DC712" s="12"/>
      <c r="DD712" s="12"/>
      <c r="DE712" s="12"/>
      <c r="DF712" s="12"/>
      <c r="DG712" s="12"/>
      <c r="DH712" s="12"/>
      <c r="DI712" s="12"/>
      <c r="DJ712" s="12"/>
      <c r="DK712" s="12"/>
      <c r="DL712" s="12"/>
      <c r="DM712" s="12"/>
      <c r="DN712" s="12"/>
      <c r="DO712" s="12"/>
      <c r="DP712" s="12"/>
      <c r="DQ712" s="12"/>
      <c r="DR712" s="12"/>
      <c r="DS712" s="12"/>
      <c r="DT712" s="12"/>
      <c r="DU712" s="12"/>
      <c r="DV712" s="12"/>
      <c r="DW712" s="12"/>
      <c r="DX712" s="12"/>
      <c r="DY712" s="12"/>
      <c r="DZ712" s="12"/>
      <c r="EA712" s="12"/>
      <c r="EB712" s="12"/>
      <c r="EC712" s="12"/>
      <c r="ED712" s="12"/>
      <c r="EE712" s="12"/>
      <c r="EF712" s="12"/>
      <c r="EG712" s="12"/>
      <c r="EH712" s="12"/>
      <c r="EI712" s="12"/>
      <c r="EJ712" s="574"/>
      <c r="EK712" s="574"/>
      <c r="EL712" s="574"/>
      <c r="EM712" s="574"/>
      <c r="EN712" s="574"/>
      <c r="EO712" s="574"/>
      <c r="EP712" s="574"/>
      <c r="EQ712" s="574"/>
      <c r="ER712" s="574"/>
      <c r="ES712" s="574"/>
      <c r="ET712" s="574"/>
      <c r="EU712" s="574"/>
    </row>
    <row r="713">
      <c r="A713" s="12"/>
      <c r="B713" s="55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  <c r="AX713" s="12"/>
      <c r="AY713" s="12"/>
      <c r="AZ713" s="12"/>
      <c r="BA713" s="12"/>
      <c r="BB713" s="12"/>
      <c r="BC713" s="12"/>
      <c r="BD713" s="12"/>
      <c r="BE713" s="12"/>
      <c r="BF713" s="12"/>
      <c r="BG713" s="12"/>
      <c r="BH713" s="12"/>
      <c r="BI713" s="12"/>
      <c r="BJ713" s="12"/>
      <c r="BK713" s="12"/>
      <c r="BL713" s="12"/>
      <c r="BM713" s="12"/>
      <c r="BN713" s="12"/>
      <c r="BO713" s="12"/>
      <c r="BP713" s="12"/>
      <c r="BQ713" s="12"/>
      <c r="BR713" s="12"/>
      <c r="BS713" s="12"/>
      <c r="BT713" s="12"/>
      <c r="BU713" s="12"/>
      <c r="BV713" s="12"/>
      <c r="BW713" s="12"/>
      <c r="BX713" s="12"/>
      <c r="BY713" s="12"/>
      <c r="BZ713" s="12"/>
      <c r="CA713" s="12"/>
      <c r="CB713" s="12"/>
      <c r="CC713" s="12"/>
      <c r="CD713" s="12"/>
      <c r="CE713" s="12"/>
      <c r="CF713" s="12"/>
      <c r="CG713" s="12"/>
      <c r="CH713" s="12"/>
      <c r="CI713" s="12"/>
      <c r="CJ713" s="12"/>
      <c r="CK713" s="12"/>
      <c r="CL713" s="12"/>
      <c r="CM713" s="12"/>
      <c r="CN713" s="12"/>
      <c r="CO713" s="12"/>
      <c r="CP713" s="12"/>
      <c r="CQ713" s="12"/>
      <c r="CR713" s="12"/>
      <c r="CS713" s="12"/>
      <c r="CT713" s="12"/>
      <c r="CU713" s="12"/>
      <c r="CV713" s="12"/>
      <c r="CW713" s="12"/>
      <c r="CX713" s="12"/>
      <c r="CY713" s="12"/>
      <c r="CZ713" s="12"/>
      <c r="DA713" s="12"/>
      <c r="DB713" s="12"/>
      <c r="DC713" s="12"/>
      <c r="DD713" s="12"/>
      <c r="DE713" s="12"/>
      <c r="DF713" s="12"/>
      <c r="DG713" s="12"/>
      <c r="DH713" s="12"/>
      <c r="DI713" s="12"/>
      <c r="DJ713" s="12"/>
      <c r="DK713" s="12"/>
      <c r="DL713" s="12"/>
      <c r="DM713" s="12"/>
      <c r="DN713" s="12"/>
      <c r="DO713" s="12"/>
      <c r="DP713" s="12"/>
      <c r="DQ713" s="12"/>
      <c r="DR713" s="12"/>
      <c r="DS713" s="12"/>
      <c r="DT713" s="12"/>
      <c r="DU713" s="12"/>
      <c r="DV713" s="12"/>
      <c r="DW713" s="12"/>
      <c r="DX713" s="12"/>
      <c r="DY713" s="12"/>
      <c r="DZ713" s="12"/>
      <c r="EA713" s="12"/>
      <c r="EB713" s="12"/>
      <c r="EC713" s="12"/>
      <c r="ED713" s="12"/>
      <c r="EE713" s="12"/>
      <c r="EF713" s="12"/>
      <c r="EG713" s="12"/>
      <c r="EH713" s="12"/>
      <c r="EI713" s="12"/>
      <c r="EJ713" s="574"/>
      <c r="EK713" s="574"/>
      <c r="EL713" s="574"/>
      <c r="EM713" s="574"/>
      <c r="EN713" s="574"/>
      <c r="EO713" s="574"/>
      <c r="EP713" s="574"/>
      <c r="EQ713" s="574"/>
      <c r="ER713" s="574"/>
      <c r="ES713" s="574"/>
      <c r="ET713" s="574"/>
      <c r="EU713" s="574"/>
    </row>
    <row r="714">
      <c r="A714" s="12"/>
      <c r="B714" s="55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12"/>
      <c r="AY714" s="12"/>
      <c r="AZ714" s="12"/>
      <c r="BA714" s="12"/>
      <c r="BB714" s="12"/>
      <c r="BC714" s="12"/>
      <c r="BD714" s="12"/>
      <c r="BE714" s="12"/>
      <c r="BF714" s="12"/>
      <c r="BG714" s="12"/>
      <c r="BH714" s="12"/>
      <c r="BI714" s="12"/>
      <c r="BJ714" s="12"/>
      <c r="BK714" s="12"/>
      <c r="BL714" s="12"/>
      <c r="BM714" s="12"/>
      <c r="BN714" s="12"/>
      <c r="BO714" s="12"/>
      <c r="BP714" s="12"/>
      <c r="BQ714" s="12"/>
      <c r="BR714" s="12"/>
      <c r="BS714" s="12"/>
      <c r="BT714" s="12"/>
      <c r="BU714" s="12"/>
      <c r="BV714" s="12"/>
      <c r="BW714" s="12"/>
      <c r="BX714" s="12"/>
      <c r="BY714" s="12"/>
      <c r="BZ714" s="12"/>
      <c r="CA714" s="12"/>
      <c r="CB714" s="12"/>
      <c r="CC714" s="12"/>
      <c r="CD714" s="12"/>
      <c r="CE714" s="12"/>
      <c r="CF714" s="12"/>
      <c r="CG714" s="12"/>
      <c r="CH714" s="12"/>
      <c r="CI714" s="12"/>
      <c r="CJ714" s="12"/>
      <c r="CK714" s="12"/>
      <c r="CL714" s="12"/>
      <c r="CM714" s="12"/>
      <c r="CN714" s="12"/>
      <c r="CO714" s="12"/>
      <c r="CP714" s="12"/>
      <c r="CQ714" s="12"/>
      <c r="CR714" s="12"/>
      <c r="CS714" s="12"/>
      <c r="CT714" s="12"/>
      <c r="CU714" s="12"/>
      <c r="CV714" s="12"/>
      <c r="CW714" s="12"/>
      <c r="CX714" s="12"/>
      <c r="CY714" s="12"/>
      <c r="CZ714" s="12"/>
      <c r="DA714" s="12"/>
      <c r="DB714" s="12"/>
      <c r="DC714" s="12"/>
      <c r="DD714" s="12"/>
      <c r="DE714" s="12"/>
      <c r="DF714" s="12"/>
      <c r="DG714" s="12"/>
      <c r="DH714" s="12"/>
      <c r="DI714" s="12"/>
      <c r="DJ714" s="12"/>
      <c r="DK714" s="12"/>
      <c r="DL714" s="12"/>
      <c r="DM714" s="12"/>
      <c r="DN714" s="12"/>
      <c r="DO714" s="12"/>
      <c r="DP714" s="12"/>
      <c r="DQ714" s="12"/>
      <c r="DR714" s="12"/>
      <c r="DS714" s="12"/>
      <c r="DT714" s="12"/>
      <c r="DU714" s="12"/>
      <c r="DV714" s="12"/>
      <c r="DW714" s="12"/>
      <c r="DX714" s="12"/>
      <c r="DY714" s="12"/>
      <c r="DZ714" s="12"/>
      <c r="EA714" s="12"/>
      <c r="EB714" s="12"/>
      <c r="EC714" s="12"/>
      <c r="ED714" s="12"/>
      <c r="EE714" s="12"/>
      <c r="EF714" s="12"/>
      <c r="EG714" s="12"/>
      <c r="EH714" s="12"/>
      <c r="EI714" s="12"/>
      <c r="EJ714" s="574"/>
      <c r="EK714" s="574"/>
      <c r="EL714" s="574"/>
      <c r="EM714" s="574"/>
      <c r="EN714" s="574"/>
      <c r="EO714" s="574"/>
      <c r="EP714" s="574"/>
      <c r="EQ714" s="574"/>
      <c r="ER714" s="574"/>
      <c r="ES714" s="574"/>
      <c r="ET714" s="574"/>
      <c r="EU714" s="574"/>
    </row>
    <row r="715">
      <c r="A715" s="12"/>
      <c r="B715" s="55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12"/>
      <c r="AY715" s="12"/>
      <c r="AZ715" s="12"/>
      <c r="BA715" s="12"/>
      <c r="BB715" s="12"/>
      <c r="BC715" s="12"/>
      <c r="BD715" s="12"/>
      <c r="BE715" s="12"/>
      <c r="BF715" s="12"/>
      <c r="BG715" s="12"/>
      <c r="BH715" s="12"/>
      <c r="BI715" s="12"/>
      <c r="BJ715" s="12"/>
      <c r="BK715" s="12"/>
      <c r="BL715" s="12"/>
      <c r="BM715" s="12"/>
      <c r="BN715" s="12"/>
      <c r="BO715" s="12"/>
      <c r="BP715" s="12"/>
      <c r="BQ715" s="12"/>
      <c r="BR715" s="12"/>
      <c r="BS715" s="12"/>
      <c r="BT715" s="12"/>
      <c r="BU715" s="12"/>
      <c r="BV715" s="12"/>
      <c r="BW715" s="12"/>
      <c r="BX715" s="12"/>
      <c r="BY715" s="12"/>
      <c r="BZ715" s="12"/>
      <c r="CA715" s="12"/>
      <c r="CB715" s="12"/>
      <c r="CC715" s="12"/>
      <c r="CD715" s="12"/>
      <c r="CE715" s="12"/>
      <c r="CF715" s="12"/>
      <c r="CG715" s="12"/>
      <c r="CH715" s="12"/>
      <c r="CI715" s="12"/>
      <c r="CJ715" s="12"/>
      <c r="CK715" s="12"/>
      <c r="CL715" s="12"/>
      <c r="CM715" s="12"/>
      <c r="CN715" s="12"/>
      <c r="CO715" s="12"/>
      <c r="CP715" s="12"/>
      <c r="CQ715" s="12"/>
      <c r="CR715" s="12"/>
      <c r="CS715" s="12"/>
      <c r="CT715" s="12"/>
      <c r="CU715" s="12"/>
      <c r="CV715" s="12"/>
      <c r="CW715" s="12"/>
      <c r="CX715" s="12"/>
      <c r="CY715" s="12"/>
      <c r="CZ715" s="12"/>
      <c r="DA715" s="12"/>
      <c r="DB715" s="12"/>
      <c r="DC715" s="12"/>
      <c r="DD715" s="12"/>
      <c r="DE715" s="12"/>
      <c r="DF715" s="12"/>
      <c r="DG715" s="12"/>
      <c r="DH715" s="12"/>
      <c r="DI715" s="12"/>
      <c r="DJ715" s="12"/>
      <c r="DK715" s="12"/>
      <c r="DL715" s="12"/>
      <c r="DM715" s="12"/>
      <c r="DN715" s="12"/>
      <c r="DO715" s="12"/>
      <c r="DP715" s="12"/>
      <c r="DQ715" s="12"/>
      <c r="DR715" s="12"/>
      <c r="DS715" s="12"/>
      <c r="DT715" s="12"/>
      <c r="DU715" s="12"/>
      <c r="DV715" s="12"/>
      <c r="DW715" s="12"/>
      <c r="DX715" s="12"/>
      <c r="DY715" s="12"/>
      <c r="DZ715" s="12"/>
      <c r="EA715" s="12"/>
      <c r="EB715" s="12"/>
      <c r="EC715" s="12"/>
      <c r="ED715" s="12"/>
      <c r="EE715" s="12"/>
      <c r="EF715" s="12"/>
      <c r="EG715" s="12"/>
      <c r="EH715" s="12"/>
      <c r="EI715" s="12"/>
      <c r="EJ715" s="574"/>
      <c r="EK715" s="574"/>
      <c r="EL715" s="574"/>
      <c r="EM715" s="574"/>
      <c r="EN715" s="574"/>
      <c r="EO715" s="574"/>
      <c r="EP715" s="574"/>
      <c r="EQ715" s="574"/>
      <c r="ER715" s="574"/>
      <c r="ES715" s="574"/>
      <c r="ET715" s="574"/>
      <c r="EU715" s="574"/>
    </row>
    <row r="716">
      <c r="A716" s="12"/>
      <c r="B716" s="55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2"/>
      <c r="AY716" s="12"/>
      <c r="AZ716" s="12"/>
      <c r="BA716" s="12"/>
      <c r="BB716" s="12"/>
      <c r="BC716" s="12"/>
      <c r="BD716" s="12"/>
      <c r="BE716" s="12"/>
      <c r="BF716" s="12"/>
      <c r="BG716" s="12"/>
      <c r="BH716" s="12"/>
      <c r="BI716" s="12"/>
      <c r="BJ716" s="12"/>
      <c r="BK716" s="12"/>
      <c r="BL716" s="12"/>
      <c r="BM716" s="12"/>
      <c r="BN716" s="12"/>
      <c r="BO716" s="12"/>
      <c r="BP716" s="12"/>
      <c r="BQ716" s="12"/>
      <c r="BR716" s="12"/>
      <c r="BS716" s="12"/>
      <c r="BT716" s="12"/>
      <c r="BU716" s="12"/>
      <c r="BV716" s="12"/>
      <c r="BW716" s="12"/>
      <c r="BX716" s="12"/>
      <c r="BY716" s="12"/>
      <c r="BZ716" s="12"/>
      <c r="CA716" s="12"/>
      <c r="CB716" s="12"/>
      <c r="CC716" s="12"/>
      <c r="CD716" s="12"/>
      <c r="CE716" s="12"/>
      <c r="CF716" s="12"/>
      <c r="CG716" s="12"/>
      <c r="CH716" s="12"/>
      <c r="CI716" s="12"/>
      <c r="CJ716" s="12"/>
      <c r="CK716" s="12"/>
      <c r="CL716" s="12"/>
      <c r="CM716" s="12"/>
      <c r="CN716" s="12"/>
      <c r="CO716" s="12"/>
      <c r="CP716" s="12"/>
      <c r="CQ716" s="12"/>
      <c r="CR716" s="12"/>
      <c r="CS716" s="12"/>
      <c r="CT716" s="12"/>
      <c r="CU716" s="12"/>
      <c r="CV716" s="12"/>
      <c r="CW716" s="12"/>
      <c r="CX716" s="12"/>
      <c r="CY716" s="12"/>
      <c r="CZ716" s="12"/>
      <c r="DA716" s="12"/>
      <c r="DB716" s="12"/>
      <c r="DC716" s="12"/>
      <c r="DD716" s="12"/>
      <c r="DE716" s="12"/>
      <c r="DF716" s="12"/>
      <c r="DG716" s="12"/>
      <c r="DH716" s="12"/>
      <c r="DI716" s="12"/>
      <c r="DJ716" s="12"/>
      <c r="DK716" s="12"/>
      <c r="DL716" s="12"/>
      <c r="DM716" s="12"/>
      <c r="DN716" s="12"/>
      <c r="DO716" s="12"/>
      <c r="DP716" s="12"/>
      <c r="DQ716" s="12"/>
      <c r="DR716" s="12"/>
      <c r="DS716" s="12"/>
      <c r="DT716" s="12"/>
      <c r="DU716" s="12"/>
      <c r="DV716" s="12"/>
      <c r="DW716" s="12"/>
      <c r="DX716" s="12"/>
      <c r="DY716" s="12"/>
      <c r="DZ716" s="12"/>
      <c r="EA716" s="12"/>
      <c r="EB716" s="12"/>
      <c r="EC716" s="12"/>
      <c r="ED716" s="12"/>
      <c r="EE716" s="12"/>
      <c r="EF716" s="12"/>
      <c r="EG716" s="12"/>
      <c r="EH716" s="12"/>
      <c r="EI716" s="12"/>
      <c r="EJ716" s="574"/>
      <c r="EK716" s="574"/>
      <c r="EL716" s="574"/>
      <c r="EM716" s="574"/>
      <c r="EN716" s="574"/>
      <c r="EO716" s="574"/>
      <c r="EP716" s="574"/>
      <c r="EQ716" s="574"/>
      <c r="ER716" s="574"/>
      <c r="ES716" s="574"/>
      <c r="ET716" s="574"/>
      <c r="EU716" s="574"/>
    </row>
    <row r="717">
      <c r="A717" s="12"/>
      <c r="B717" s="55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2"/>
      <c r="AY717" s="12"/>
      <c r="AZ717" s="12"/>
      <c r="BA717" s="12"/>
      <c r="BB717" s="12"/>
      <c r="BC717" s="12"/>
      <c r="BD717" s="12"/>
      <c r="BE717" s="12"/>
      <c r="BF717" s="12"/>
      <c r="BG717" s="12"/>
      <c r="BH717" s="12"/>
      <c r="BI717" s="12"/>
      <c r="BJ717" s="12"/>
      <c r="BK717" s="12"/>
      <c r="BL717" s="12"/>
      <c r="BM717" s="12"/>
      <c r="BN717" s="12"/>
      <c r="BO717" s="12"/>
      <c r="BP717" s="12"/>
      <c r="BQ717" s="12"/>
      <c r="BR717" s="12"/>
      <c r="BS717" s="12"/>
      <c r="BT717" s="12"/>
      <c r="BU717" s="12"/>
      <c r="BV717" s="12"/>
      <c r="BW717" s="12"/>
      <c r="BX717" s="12"/>
      <c r="BY717" s="12"/>
      <c r="BZ717" s="12"/>
      <c r="CA717" s="12"/>
      <c r="CB717" s="12"/>
      <c r="CC717" s="12"/>
      <c r="CD717" s="12"/>
      <c r="CE717" s="12"/>
      <c r="CF717" s="12"/>
      <c r="CG717" s="12"/>
      <c r="CH717" s="12"/>
      <c r="CI717" s="12"/>
      <c r="CJ717" s="12"/>
      <c r="CK717" s="12"/>
      <c r="CL717" s="12"/>
      <c r="CM717" s="12"/>
      <c r="CN717" s="12"/>
      <c r="CO717" s="12"/>
      <c r="CP717" s="12"/>
      <c r="CQ717" s="12"/>
      <c r="CR717" s="12"/>
      <c r="CS717" s="12"/>
      <c r="CT717" s="12"/>
      <c r="CU717" s="12"/>
      <c r="CV717" s="12"/>
      <c r="CW717" s="12"/>
      <c r="CX717" s="12"/>
      <c r="CY717" s="12"/>
      <c r="CZ717" s="12"/>
      <c r="DA717" s="12"/>
      <c r="DB717" s="12"/>
      <c r="DC717" s="12"/>
      <c r="DD717" s="12"/>
      <c r="DE717" s="12"/>
      <c r="DF717" s="12"/>
      <c r="DG717" s="12"/>
      <c r="DH717" s="12"/>
      <c r="DI717" s="12"/>
      <c r="DJ717" s="12"/>
      <c r="DK717" s="12"/>
      <c r="DL717" s="12"/>
      <c r="DM717" s="12"/>
      <c r="DN717" s="12"/>
      <c r="DO717" s="12"/>
      <c r="DP717" s="12"/>
      <c r="DQ717" s="12"/>
      <c r="DR717" s="12"/>
      <c r="DS717" s="12"/>
      <c r="DT717" s="12"/>
      <c r="DU717" s="12"/>
      <c r="DV717" s="12"/>
      <c r="DW717" s="12"/>
      <c r="DX717" s="12"/>
      <c r="DY717" s="12"/>
      <c r="DZ717" s="12"/>
      <c r="EA717" s="12"/>
      <c r="EB717" s="12"/>
      <c r="EC717" s="12"/>
      <c r="ED717" s="12"/>
      <c r="EE717" s="12"/>
      <c r="EF717" s="12"/>
      <c r="EG717" s="12"/>
      <c r="EH717" s="12"/>
      <c r="EI717" s="12"/>
      <c r="EJ717" s="574"/>
      <c r="EK717" s="574"/>
      <c r="EL717" s="574"/>
      <c r="EM717" s="574"/>
      <c r="EN717" s="574"/>
      <c r="EO717" s="574"/>
      <c r="EP717" s="574"/>
      <c r="EQ717" s="574"/>
      <c r="ER717" s="574"/>
      <c r="ES717" s="574"/>
      <c r="ET717" s="574"/>
      <c r="EU717" s="574"/>
    </row>
    <row r="718">
      <c r="A718" s="12"/>
      <c r="B718" s="55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12"/>
      <c r="AY718" s="12"/>
      <c r="AZ718" s="12"/>
      <c r="BA718" s="12"/>
      <c r="BB718" s="12"/>
      <c r="BC718" s="12"/>
      <c r="BD718" s="12"/>
      <c r="BE718" s="12"/>
      <c r="BF718" s="12"/>
      <c r="BG718" s="12"/>
      <c r="BH718" s="12"/>
      <c r="BI718" s="12"/>
      <c r="BJ718" s="12"/>
      <c r="BK718" s="12"/>
      <c r="BL718" s="12"/>
      <c r="BM718" s="12"/>
      <c r="BN718" s="12"/>
      <c r="BO718" s="12"/>
      <c r="BP718" s="12"/>
      <c r="BQ718" s="12"/>
      <c r="BR718" s="12"/>
      <c r="BS718" s="12"/>
      <c r="BT718" s="12"/>
      <c r="BU718" s="12"/>
      <c r="BV718" s="12"/>
      <c r="BW718" s="12"/>
      <c r="BX718" s="12"/>
      <c r="BY718" s="12"/>
      <c r="BZ718" s="12"/>
      <c r="CA718" s="12"/>
      <c r="CB718" s="12"/>
      <c r="CC718" s="12"/>
      <c r="CD718" s="12"/>
      <c r="CE718" s="12"/>
      <c r="CF718" s="12"/>
      <c r="CG718" s="12"/>
      <c r="CH718" s="12"/>
      <c r="CI718" s="12"/>
      <c r="CJ718" s="12"/>
      <c r="CK718" s="12"/>
      <c r="CL718" s="12"/>
      <c r="CM718" s="12"/>
      <c r="CN718" s="12"/>
      <c r="CO718" s="12"/>
      <c r="CP718" s="12"/>
      <c r="CQ718" s="12"/>
      <c r="CR718" s="12"/>
      <c r="CS718" s="12"/>
      <c r="CT718" s="12"/>
      <c r="CU718" s="12"/>
      <c r="CV718" s="12"/>
      <c r="CW718" s="12"/>
      <c r="CX718" s="12"/>
      <c r="CY718" s="12"/>
      <c r="CZ718" s="12"/>
      <c r="DA718" s="12"/>
      <c r="DB718" s="12"/>
      <c r="DC718" s="12"/>
      <c r="DD718" s="12"/>
      <c r="DE718" s="12"/>
      <c r="DF718" s="12"/>
      <c r="DG718" s="12"/>
      <c r="DH718" s="12"/>
      <c r="DI718" s="12"/>
      <c r="DJ718" s="12"/>
      <c r="DK718" s="12"/>
      <c r="DL718" s="12"/>
      <c r="DM718" s="12"/>
      <c r="DN718" s="12"/>
      <c r="DO718" s="12"/>
      <c r="DP718" s="12"/>
      <c r="DQ718" s="12"/>
      <c r="DR718" s="12"/>
      <c r="DS718" s="12"/>
      <c r="DT718" s="12"/>
      <c r="DU718" s="12"/>
      <c r="DV718" s="12"/>
      <c r="DW718" s="12"/>
      <c r="DX718" s="12"/>
      <c r="DY718" s="12"/>
      <c r="DZ718" s="12"/>
      <c r="EA718" s="12"/>
      <c r="EB718" s="12"/>
      <c r="EC718" s="12"/>
      <c r="ED718" s="12"/>
      <c r="EE718" s="12"/>
      <c r="EF718" s="12"/>
      <c r="EG718" s="12"/>
      <c r="EH718" s="12"/>
      <c r="EI718" s="12"/>
      <c r="EJ718" s="574"/>
      <c r="EK718" s="574"/>
      <c r="EL718" s="574"/>
      <c r="EM718" s="574"/>
      <c r="EN718" s="574"/>
      <c r="EO718" s="574"/>
      <c r="EP718" s="574"/>
      <c r="EQ718" s="574"/>
      <c r="ER718" s="574"/>
      <c r="ES718" s="574"/>
      <c r="ET718" s="574"/>
      <c r="EU718" s="574"/>
    </row>
    <row r="719">
      <c r="A719" s="12"/>
      <c r="B719" s="55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  <c r="AX719" s="12"/>
      <c r="AY719" s="12"/>
      <c r="AZ719" s="12"/>
      <c r="BA719" s="12"/>
      <c r="BB719" s="12"/>
      <c r="BC719" s="12"/>
      <c r="BD719" s="12"/>
      <c r="BE719" s="12"/>
      <c r="BF719" s="12"/>
      <c r="BG719" s="12"/>
      <c r="BH719" s="12"/>
      <c r="BI719" s="12"/>
      <c r="BJ719" s="12"/>
      <c r="BK719" s="12"/>
      <c r="BL719" s="12"/>
      <c r="BM719" s="12"/>
      <c r="BN719" s="12"/>
      <c r="BO719" s="12"/>
      <c r="BP719" s="12"/>
      <c r="BQ719" s="12"/>
      <c r="BR719" s="12"/>
      <c r="BS719" s="12"/>
      <c r="BT719" s="12"/>
      <c r="BU719" s="12"/>
      <c r="BV719" s="12"/>
      <c r="BW719" s="12"/>
      <c r="BX719" s="12"/>
      <c r="BY719" s="12"/>
      <c r="BZ719" s="12"/>
      <c r="CA719" s="12"/>
      <c r="CB719" s="12"/>
      <c r="CC719" s="12"/>
      <c r="CD719" s="12"/>
      <c r="CE719" s="12"/>
      <c r="CF719" s="12"/>
      <c r="CG719" s="12"/>
      <c r="CH719" s="12"/>
      <c r="CI719" s="12"/>
      <c r="CJ719" s="12"/>
      <c r="CK719" s="12"/>
      <c r="CL719" s="12"/>
      <c r="CM719" s="12"/>
      <c r="CN719" s="12"/>
      <c r="CO719" s="12"/>
      <c r="CP719" s="12"/>
      <c r="CQ719" s="12"/>
      <c r="CR719" s="12"/>
      <c r="CS719" s="12"/>
      <c r="CT719" s="12"/>
      <c r="CU719" s="12"/>
      <c r="CV719" s="12"/>
      <c r="CW719" s="12"/>
      <c r="CX719" s="12"/>
      <c r="CY719" s="12"/>
      <c r="CZ719" s="12"/>
      <c r="DA719" s="12"/>
      <c r="DB719" s="12"/>
      <c r="DC719" s="12"/>
      <c r="DD719" s="12"/>
      <c r="DE719" s="12"/>
      <c r="DF719" s="12"/>
      <c r="DG719" s="12"/>
      <c r="DH719" s="12"/>
      <c r="DI719" s="12"/>
      <c r="DJ719" s="12"/>
      <c r="DK719" s="12"/>
      <c r="DL719" s="12"/>
      <c r="DM719" s="12"/>
      <c r="DN719" s="12"/>
      <c r="DO719" s="12"/>
      <c r="DP719" s="12"/>
      <c r="DQ719" s="12"/>
      <c r="DR719" s="12"/>
      <c r="DS719" s="12"/>
      <c r="DT719" s="12"/>
      <c r="DU719" s="12"/>
      <c r="DV719" s="12"/>
      <c r="DW719" s="12"/>
      <c r="DX719" s="12"/>
      <c r="DY719" s="12"/>
      <c r="DZ719" s="12"/>
      <c r="EA719" s="12"/>
      <c r="EB719" s="12"/>
      <c r="EC719" s="12"/>
      <c r="ED719" s="12"/>
      <c r="EE719" s="12"/>
      <c r="EF719" s="12"/>
      <c r="EG719" s="12"/>
      <c r="EH719" s="12"/>
      <c r="EI719" s="12"/>
      <c r="EJ719" s="574"/>
      <c r="EK719" s="574"/>
      <c r="EL719" s="574"/>
      <c r="EM719" s="574"/>
      <c r="EN719" s="574"/>
      <c r="EO719" s="574"/>
      <c r="EP719" s="574"/>
      <c r="EQ719" s="574"/>
      <c r="ER719" s="574"/>
      <c r="ES719" s="574"/>
      <c r="ET719" s="574"/>
      <c r="EU719" s="574"/>
    </row>
    <row r="720">
      <c r="A720" s="12"/>
      <c r="B720" s="55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12"/>
      <c r="AY720" s="12"/>
      <c r="AZ720" s="12"/>
      <c r="BA720" s="12"/>
      <c r="BB720" s="12"/>
      <c r="BC720" s="12"/>
      <c r="BD720" s="12"/>
      <c r="BE720" s="12"/>
      <c r="BF720" s="12"/>
      <c r="BG720" s="12"/>
      <c r="BH720" s="12"/>
      <c r="BI720" s="12"/>
      <c r="BJ720" s="12"/>
      <c r="BK720" s="12"/>
      <c r="BL720" s="12"/>
      <c r="BM720" s="12"/>
      <c r="BN720" s="12"/>
      <c r="BO720" s="12"/>
      <c r="BP720" s="12"/>
      <c r="BQ720" s="12"/>
      <c r="BR720" s="12"/>
      <c r="BS720" s="12"/>
      <c r="BT720" s="12"/>
      <c r="BU720" s="12"/>
      <c r="BV720" s="12"/>
      <c r="BW720" s="12"/>
      <c r="BX720" s="12"/>
      <c r="BY720" s="12"/>
      <c r="BZ720" s="12"/>
      <c r="CA720" s="12"/>
      <c r="CB720" s="12"/>
      <c r="CC720" s="12"/>
      <c r="CD720" s="12"/>
      <c r="CE720" s="12"/>
      <c r="CF720" s="12"/>
      <c r="CG720" s="12"/>
      <c r="CH720" s="12"/>
      <c r="CI720" s="12"/>
      <c r="CJ720" s="12"/>
      <c r="CK720" s="12"/>
      <c r="CL720" s="12"/>
      <c r="CM720" s="12"/>
      <c r="CN720" s="12"/>
      <c r="CO720" s="12"/>
      <c r="CP720" s="12"/>
      <c r="CQ720" s="12"/>
      <c r="CR720" s="12"/>
      <c r="CS720" s="12"/>
      <c r="CT720" s="12"/>
      <c r="CU720" s="12"/>
      <c r="CV720" s="12"/>
      <c r="CW720" s="12"/>
      <c r="CX720" s="12"/>
      <c r="CY720" s="12"/>
      <c r="CZ720" s="12"/>
      <c r="DA720" s="12"/>
      <c r="DB720" s="12"/>
      <c r="DC720" s="12"/>
      <c r="DD720" s="12"/>
      <c r="DE720" s="12"/>
      <c r="DF720" s="12"/>
      <c r="DG720" s="12"/>
      <c r="DH720" s="12"/>
      <c r="DI720" s="12"/>
      <c r="DJ720" s="12"/>
      <c r="DK720" s="12"/>
      <c r="DL720" s="12"/>
      <c r="DM720" s="12"/>
      <c r="DN720" s="12"/>
      <c r="DO720" s="12"/>
      <c r="DP720" s="12"/>
      <c r="DQ720" s="12"/>
      <c r="DR720" s="12"/>
      <c r="DS720" s="12"/>
      <c r="DT720" s="12"/>
      <c r="DU720" s="12"/>
      <c r="DV720" s="12"/>
      <c r="DW720" s="12"/>
      <c r="DX720" s="12"/>
      <c r="DY720" s="12"/>
      <c r="DZ720" s="12"/>
      <c r="EA720" s="12"/>
      <c r="EB720" s="12"/>
      <c r="EC720" s="12"/>
      <c r="ED720" s="12"/>
      <c r="EE720" s="12"/>
      <c r="EF720" s="12"/>
      <c r="EG720" s="12"/>
      <c r="EH720" s="12"/>
      <c r="EI720" s="12"/>
      <c r="EJ720" s="574"/>
      <c r="EK720" s="574"/>
      <c r="EL720" s="574"/>
      <c r="EM720" s="574"/>
      <c r="EN720" s="574"/>
      <c r="EO720" s="574"/>
      <c r="EP720" s="574"/>
      <c r="EQ720" s="574"/>
      <c r="ER720" s="574"/>
      <c r="ES720" s="574"/>
      <c r="ET720" s="574"/>
      <c r="EU720" s="574"/>
    </row>
    <row r="721">
      <c r="A721" s="12"/>
      <c r="B721" s="55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12"/>
      <c r="AY721" s="12"/>
      <c r="AZ721" s="12"/>
      <c r="BA721" s="12"/>
      <c r="BB721" s="12"/>
      <c r="BC721" s="12"/>
      <c r="BD721" s="12"/>
      <c r="BE721" s="12"/>
      <c r="BF721" s="12"/>
      <c r="BG721" s="12"/>
      <c r="BH721" s="12"/>
      <c r="BI721" s="12"/>
      <c r="BJ721" s="12"/>
      <c r="BK721" s="12"/>
      <c r="BL721" s="12"/>
      <c r="BM721" s="12"/>
      <c r="BN721" s="12"/>
      <c r="BO721" s="12"/>
      <c r="BP721" s="12"/>
      <c r="BQ721" s="12"/>
      <c r="BR721" s="12"/>
      <c r="BS721" s="12"/>
      <c r="BT721" s="12"/>
      <c r="BU721" s="12"/>
      <c r="BV721" s="12"/>
      <c r="BW721" s="12"/>
      <c r="BX721" s="12"/>
      <c r="BY721" s="12"/>
      <c r="BZ721" s="12"/>
      <c r="CA721" s="12"/>
      <c r="CB721" s="12"/>
      <c r="CC721" s="12"/>
      <c r="CD721" s="12"/>
      <c r="CE721" s="12"/>
      <c r="CF721" s="12"/>
      <c r="CG721" s="12"/>
      <c r="CH721" s="12"/>
      <c r="CI721" s="12"/>
      <c r="CJ721" s="12"/>
      <c r="CK721" s="12"/>
      <c r="CL721" s="12"/>
      <c r="CM721" s="12"/>
      <c r="CN721" s="12"/>
      <c r="CO721" s="12"/>
      <c r="CP721" s="12"/>
      <c r="CQ721" s="12"/>
      <c r="CR721" s="12"/>
      <c r="CS721" s="12"/>
      <c r="CT721" s="12"/>
      <c r="CU721" s="12"/>
      <c r="CV721" s="12"/>
      <c r="CW721" s="12"/>
      <c r="CX721" s="12"/>
      <c r="CY721" s="12"/>
      <c r="CZ721" s="12"/>
      <c r="DA721" s="12"/>
      <c r="DB721" s="12"/>
      <c r="DC721" s="12"/>
      <c r="DD721" s="12"/>
      <c r="DE721" s="12"/>
      <c r="DF721" s="12"/>
      <c r="DG721" s="12"/>
      <c r="DH721" s="12"/>
      <c r="DI721" s="12"/>
      <c r="DJ721" s="12"/>
      <c r="DK721" s="12"/>
      <c r="DL721" s="12"/>
      <c r="DM721" s="12"/>
      <c r="DN721" s="12"/>
      <c r="DO721" s="12"/>
      <c r="DP721" s="12"/>
      <c r="DQ721" s="12"/>
      <c r="DR721" s="12"/>
      <c r="DS721" s="12"/>
      <c r="DT721" s="12"/>
      <c r="DU721" s="12"/>
      <c r="DV721" s="12"/>
      <c r="DW721" s="12"/>
      <c r="DX721" s="12"/>
      <c r="DY721" s="12"/>
      <c r="DZ721" s="12"/>
      <c r="EA721" s="12"/>
      <c r="EB721" s="12"/>
      <c r="EC721" s="12"/>
      <c r="ED721" s="12"/>
      <c r="EE721" s="12"/>
      <c r="EF721" s="12"/>
      <c r="EG721" s="12"/>
      <c r="EH721" s="12"/>
      <c r="EI721" s="12"/>
      <c r="EJ721" s="574"/>
      <c r="EK721" s="574"/>
      <c r="EL721" s="574"/>
      <c r="EM721" s="574"/>
      <c r="EN721" s="574"/>
      <c r="EO721" s="574"/>
      <c r="EP721" s="574"/>
      <c r="EQ721" s="574"/>
      <c r="ER721" s="574"/>
      <c r="ES721" s="574"/>
      <c r="ET721" s="574"/>
      <c r="EU721" s="574"/>
    </row>
    <row r="722">
      <c r="A722" s="12"/>
      <c r="B722" s="55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12"/>
      <c r="AY722" s="12"/>
      <c r="AZ722" s="12"/>
      <c r="BA722" s="12"/>
      <c r="BB722" s="12"/>
      <c r="BC722" s="12"/>
      <c r="BD722" s="12"/>
      <c r="BE722" s="12"/>
      <c r="BF722" s="12"/>
      <c r="BG722" s="12"/>
      <c r="BH722" s="12"/>
      <c r="BI722" s="12"/>
      <c r="BJ722" s="12"/>
      <c r="BK722" s="12"/>
      <c r="BL722" s="12"/>
      <c r="BM722" s="12"/>
      <c r="BN722" s="12"/>
      <c r="BO722" s="12"/>
      <c r="BP722" s="12"/>
      <c r="BQ722" s="12"/>
      <c r="BR722" s="12"/>
      <c r="BS722" s="12"/>
      <c r="BT722" s="12"/>
      <c r="BU722" s="12"/>
      <c r="BV722" s="12"/>
      <c r="BW722" s="12"/>
      <c r="BX722" s="12"/>
      <c r="BY722" s="12"/>
      <c r="BZ722" s="12"/>
      <c r="CA722" s="12"/>
      <c r="CB722" s="12"/>
      <c r="CC722" s="12"/>
      <c r="CD722" s="12"/>
      <c r="CE722" s="12"/>
      <c r="CF722" s="12"/>
      <c r="CG722" s="12"/>
      <c r="CH722" s="12"/>
      <c r="CI722" s="12"/>
      <c r="CJ722" s="12"/>
      <c r="CK722" s="12"/>
      <c r="CL722" s="12"/>
      <c r="CM722" s="12"/>
      <c r="CN722" s="12"/>
      <c r="CO722" s="12"/>
      <c r="CP722" s="12"/>
      <c r="CQ722" s="12"/>
      <c r="CR722" s="12"/>
      <c r="CS722" s="12"/>
      <c r="CT722" s="12"/>
      <c r="CU722" s="12"/>
      <c r="CV722" s="12"/>
      <c r="CW722" s="12"/>
      <c r="CX722" s="12"/>
      <c r="CY722" s="12"/>
      <c r="CZ722" s="12"/>
      <c r="DA722" s="12"/>
      <c r="DB722" s="12"/>
      <c r="DC722" s="12"/>
      <c r="DD722" s="12"/>
      <c r="DE722" s="12"/>
      <c r="DF722" s="12"/>
      <c r="DG722" s="12"/>
      <c r="DH722" s="12"/>
      <c r="DI722" s="12"/>
      <c r="DJ722" s="12"/>
      <c r="DK722" s="12"/>
      <c r="DL722" s="12"/>
      <c r="DM722" s="12"/>
      <c r="DN722" s="12"/>
      <c r="DO722" s="12"/>
      <c r="DP722" s="12"/>
      <c r="DQ722" s="12"/>
      <c r="DR722" s="12"/>
      <c r="DS722" s="12"/>
      <c r="DT722" s="12"/>
      <c r="DU722" s="12"/>
      <c r="DV722" s="12"/>
      <c r="DW722" s="12"/>
      <c r="DX722" s="12"/>
      <c r="DY722" s="12"/>
      <c r="DZ722" s="12"/>
      <c r="EA722" s="12"/>
      <c r="EB722" s="12"/>
      <c r="EC722" s="12"/>
      <c r="ED722" s="12"/>
      <c r="EE722" s="12"/>
      <c r="EF722" s="12"/>
      <c r="EG722" s="12"/>
      <c r="EH722" s="12"/>
      <c r="EI722" s="12"/>
      <c r="EJ722" s="574"/>
      <c r="EK722" s="574"/>
      <c r="EL722" s="574"/>
      <c r="EM722" s="574"/>
      <c r="EN722" s="574"/>
      <c r="EO722" s="574"/>
      <c r="EP722" s="574"/>
      <c r="EQ722" s="574"/>
      <c r="ER722" s="574"/>
      <c r="ES722" s="574"/>
      <c r="ET722" s="574"/>
      <c r="EU722" s="574"/>
    </row>
    <row r="723">
      <c r="A723" s="12"/>
      <c r="B723" s="55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12"/>
      <c r="AY723" s="12"/>
      <c r="AZ723" s="12"/>
      <c r="BA723" s="12"/>
      <c r="BB723" s="12"/>
      <c r="BC723" s="12"/>
      <c r="BD723" s="12"/>
      <c r="BE723" s="12"/>
      <c r="BF723" s="12"/>
      <c r="BG723" s="12"/>
      <c r="BH723" s="12"/>
      <c r="BI723" s="12"/>
      <c r="BJ723" s="12"/>
      <c r="BK723" s="12"/>
      <c r="BL723" s="12"/>
      <c r="BM723" s="12"/>
      <c r="BN723" s="12"/>
      <c r="BO723" s="12"/>
      <c r="BP723" s="12"/>
      <c r="BQ723" s="12"/>
      <c r="BR723" s="12"/>
      <c r="BS723" s="12"/>
      <c r="BT723" s="12"/>
      <c r="BU723" s="12"/>
      <c r="BV723" s="12"/>
      <c r="BW723" s="12"/>
      <c r="BX723" s="12"/>
      <c r="BY723" s="12"/>
      <c r="BZ723" s="12"/>
      <c r="CA723" s="12"/>
      <c r="CB723" s="12"/>
      <c r="CC723" s="12"/>
      <c r="CD723" s="12"/>
      <c r="CE723" s="12"/>
      <c r="CF723" s="12"/>
      <c r="CG723" s="12"/>
      <c r="CH723" s="12"/>
      <c r="CI723" s="12"/>
      <c r="CJ723" s="12"/>
      <c r="CK723" s="12"/>
      <c r="CL723" s="12"/>
      <c r="CM723" s="12"/>
      <c r="CN723" s="12"/>
      <c r="CO723" s="12"/>
      <c r="CP723" s="12"/>
      <c r="CQ723" s="12"/>
      <c r="CR723" s="12"/>
      <c r="CS723" s="12"/>
      <c r="CT723" s="12"/>
      <c r="CU723" s="12"/>
      <c r="CV723" s="12"/>
      <c r="CW723" s="12"/>
      <c r="CX723" s="12"/>
      <c r="CY723" s="12"/>
      <c r="CZ723" s="12"/>
      <c r="DA723" s="12"/>
      <c r="DB723" s="12"/>
      <c r="DC723" s="12"/>
      <c r="DD723" s="12"/>
      <c r="DE723" s="12"/>
      <c r="DF723" s="12"/>
      <c r="DG723" s="12"/>
      <c r="DH723" s="12"/>
      <c r="DI723" s="12"/>
      <c r="DJ723" s="12"/>
      <c r="DK723" s="12"/>
      <c r="DL723" s="12"/>
      <c r="DM723" s="12"/>
      <c r="DN723" s="12"/>
      <c r="DO723" s="12"/>
      <c r="DP723" s="12"/>
      <c r="DQ723" s="12"/>
      <c r="DR723" s="12"/>
      <c r="DS723" s="12"/>
      <c r="DT723" s="12"/>
      <c r="DU723" s="12"/>
      <c r="DV723" s="12"/>
      <c r="DW723" s="12"/>
      <c r="DX723" s="12"/>
      <c r="DY723" s="12"/>
      <c r="DZ723" s="12"/>
      <c r="EA723" s="12"/>
      <c r="EB723" s="12"/>
      <c r="EC723" s="12"/>
      <c r="ED723" s="12"/>
      <c r="EE723" s="12"/>
      <c r="EF723" s="12"/>
      <c r="EG723" s="12"/>
      <c r="EH723" s="12"/>
      <c r="EI723" s="12"/>
      <c r="EJ723" s="574"/>
      <c r="EK723" s="574"/>
      <c r="EL723" s="574"/>
      <c r="EM723" s="574"/>
      <c r="EN723" s="574"/>
      <c r="EO723" s="574"/>
      <c r="EP723" s="574"/>
      <c r="EQ723" s="574"/>
      <c r="ER723" s="574"/>
      <c r="ES723" s="574"/>
      <c r="ET723" s="574"/>
      <c r="EU723" s="574"/>
    </row>
    <row r="724">
      <c r="A724" s="12"/>
      <c r="B724" s="55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  <c r="AX724" s="12"/>
      <c r="AY724" s="12"/>
      <c r="AZ724" s="12"/>
      <c r="BA724" s="12"/>
      <c r="BB724" s="12"/>
      <c r="BC724" s="12"/>
      <c r="BD724" s="12"/>
      <c r="BE724" s="12"/>
      <c r="BF724" s="12"/>
      <c r="BG724" s="12"/>
      <c r="BH724" s="12"/>
      <c r="BI724" s="12"/>
      <c r="BJ724" s="12"/>
      <c r="BK724" s="12"/>
      <c r="BL724" s="12"/>
      <c r="BM724" s="12"/>
      <c r="BN724" s="12"/>
      <c r="BO724" s="12"/>
      <c r="BP724" s="12"/>
      <c r="BQ724" s="12"/>
      <c r="BR724" s="12"/>
      <c r="BS724" s="12"/>
      <c r="BT724" s="12"/>
      <c r="BU724" s="12"/>
      <c r="BV724" s="12"/>
      <c r="BW724" s="12"/>
      <c r="BX724" s="12"/>
      <c r="BY724" s="12"/>
      <c r="BZ724" s="12"/>
      <c r="CA724" s="12"/>
      <c r="CB724" s="12"/>
      <c r="CC724" s="12"/>
      <c r="CD724" s="12"/>
      <c r="CE724" s="12"/>
      <c r="CF724" s="12"/>
      <c r="CG724" s="12"/>
      <c r="CH724" s="12"/>
      <c r="CI724" s="12"/>
      <c r="CJ724" s="12"/>
      <c r="CK724" s="12"/>
      <c r="CL724" s="12"/>
      <c r="CM724" s="12"/>
      <c r="CN724" s="12"/>
      <c r="CO724" s="12"/>
      <c r="CP724" s="12"/>
      <c r="CQ724" s="12"/>
      <c r="CR724" s="12"/>
      <c r="CS724" s="12"/>
      <c r="CT724" s="12"/>
      <c r="CU724" s="12"/>
      <c r="CV724" s="12"/>
      <c r="CW724" s="12"/>
      <c r="CX724" s="12"/>
      <c r="CY724" s="12"/>
      <c r="CZ724" s="12"/>
      <c r="DA724" s="12"/>
      <c r="DB724" s="12"/>
      <c r="DC724" s="12"/>
      <c r="DD724" s="12"/>
      <c r="DE724" s="12"/>
      <c r="DF724" s="12"/>
      <c r="DG724" s="12"/>
      <c r="DH724" s="12"/>
      <c r="DI724" s="12"/>
      <c r="DJ724" s="12"/>
      <c r="DK724" s="12"/>
      <c r="DL724" s="12"/>
      <c r="DM724" s="12"/>
      <c r="DN724" s="12"/>
      <c r="DO724" s="12"/>
      <c r="DP724" s="12"/>
      <c r="DQ724" s="12"/>
      <c r="DR724" s="12"/>
      <c r="DS724" s="12"/>
      <c r="DT724" s="12"/>
      <c r="DU724" s="12"/>
      <c r="DV724" s="12"/>
      <c r="DW724" s="12"/>
      <c r="DX724" s="12"/>
      <c r="DY724" s="12"/>
      <c r="DZ724" s="12"/>
      <c r="EA724" s="12"/>
      <c r="EB724" s="12"/>
      <c r="EC724" s="12"/>
      <c r="ED724" s="12"/>
      <c r="EE724" s="12"/>
      <c r="EF724" s="12"/>
      <c r="EG724" s="12"/>
      <c r="EH724" s="12"/>
      <c r="EI724" s="12"/>
      <c r="EJ724" s="574"/>
      <c r="EK724" s="574"/>
      <c r="EL724" s="574"/>
      <c r="EM724" s="574"/>
      <c r="EN724" s="574"/>
      <c r="EO724" s="574"/>
      <c r="EP724" s="574"/>
      <c r="EQ724" s="574"/>
      <c r="ER724" s="574"/>
      <c r="ES724" s="574"/>
      <c r="ET724" s="574"/>
      <c r="EU724" s="574"/>
    </row>
    <row r="725">
      <c r="A725" s="12"/>
      <c r="B725" s="55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12"/>
      <c r="AY725" s="12"/>
      <c r="AZ725" s="12"/>
      <c r="BA725" s="12"/>
      <c r="BB725" s="12"/>
      <c r="BC725" s="12"/>
      <c r="BD725" s="12"/>
      <c r="BE725" s="12"/>
      <c r="BF725" s="12"/>
      <c r="BG725" s="12"/>
      <c r="BH725" s="12"/>
      <c r="BI725" s="12"/>
      <c r="BJ725" s="12"/>
      <c r="BK725" s="12"/>
      <c r="BL725" s="12"/>
      <c r="BM725" s="12"/>
      <c r="BN725" s="12"/>
      <c r="BO725" s="12"/>
      <c r="BP725" s="12"/>
      <c r="BQ725" s="12"/>
      <c r="BR725" s="12"/>
      <c r="BS725" s="12"/>
      <c r="BT725" s="12"/>
      <c r="BU725" s="12"/>
      <c r="BV725" s="12"/>
      <c r="BW725" s="12"/>
      <c r="BX725" s="12"/>
      <c r="BY725" s="12"/>
      <c r="BZ725" s="12"/>
      <c r="CA725" s="12"/>
      <c r="CB725" s="12"/>
      <c r="CC725" s="12"/>
      <c r="CD725" s="12"/>
      <c r="CE725" s="12"/>
      <c r="CF725" s="12"/>
      <c r="CG725" s="12"/>
      <c r="CH725" s="12"/>
      <c r="CI725" s="12"/>
      <c r="CJ725" s="12"/>
      <c r="CK725" s="12"/>
      <c r="CL725" s="12"/>
      <c r="CM725" s="12"/>
      <c r="CN725" s="12"/>
      <c r="CO725" s="12"/>
      <c r="CP725" s="12"/>
      <c r="CQ725" s="12"/>
      <c r="CR725" s="12"/>
      <c r="CS725" s="12"/>
      <c r="CT725" s="12"/>
      <c r="CU725" s="12"/>
      <c r="CV725" s="12"/>
      <c r="CW725" s="12"/>
      <c r="CX725" s="12"/>
      <c r="CY725" s="12"/>
      <c r="CZ725" s="12"/>
      <c r="DA725" s="12"/>
      <c r="DB725" s="12"/>
      <c r="DC725" s="12"/>
      <c r="DD725" s="12"/>
      <c r="DE725" s="12"/>
      <c r="DF725" s="12"/>
      <c r="DG725" s="12"/>
      <c r="DH725" s="12"/>
      <c r="DI725" s="12"/>
      <c r="DJ725" s="12"/>
      <c r="DK725" s="12"/>
      <c r="DL725" s="12"/>
      <c r="DM725" s="12"/>
      <c r="DN725" s="12"/>
      <c r="DO725" s="12"/>
      <c r="DP725" s="12"/>
      <c r="DQ725" s="12"/>
      <c r="DR725" s="12"/>
      <c r="DS725" s="12"/>
      <c r="DT725" s="12"/>
      <c r="DU725" s="12"/>
      <c r="DV725" s="12"/>
      <c r="DW725" s="12"/>
      <c r="DX725" s="12"/>
      <c r="DY725" s="12"/>
      <c r="DZ725" s="12"/>
      <c r="EA725" s="12"/>
      <c r="EB725" s="12"/>
      <c r="EC725" s="12"/>
      <c r="ED725" s="12"/>
      <c r="EE725" s="12"/>
      <c r="EF725" s="12"/>
      <c r="EG725" s="12"/>
      <c r="EH725" s="12"/>
      <c r="EI725" s="12"/>
      <c r="EJ725" s="574"/>
      <c r="EK725" s="574"/>
      <c r="EL725" s="574"/>
      <c r="EM725" s="574"/>
      <c r="EN725" s="574"/>
      <c r="EO725" s="574"/>
      <c r="EP725" s="574"/>
      <c r="EQ725" s="574"/>
      <c r="ER725" s="574"/>
      <c r="ES725" s="574"/>
      <c r="ET725" s="574"/>
      <c r="EU725" s="574"/>
    </row>
    <row r="726">
      <c r="A726" s="12"/>
      <c r="B726" s="55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  <c r="AX726" s="12"/>
      <c r="AY726" s="12"/>
      <c r="AZ726" s="12"/>
      <c r="BA726" s="12"/>
      <c r="BB726" s="12"/>
      <c r="BC726" s="12"/>
      <c r="BD726" s="12"/>
      <c r="BE726" s="12"/>
      <c r="BF726" s="12"/>
      <c r="BG726" s="12"/>
      <c r="BH726" s="12"/>
      <c r="BI726" s="12"/>
      <c r="BJ726" s="12"/>
      <c r="BK726" s="12"/>
      <c r="BL726" s="12"/>
      <c r="BM726" s="12"/>
      <c r="BN726" s="12"/>
      <c r="BO726" s="12"/>
      <c r="BP726" s="12"/>
      <c r="BQ726" s="12"/>
      <c r="BR726" s="12"/>
      <c r="BS726" s="12"/>
      <c r="BT726" s="12"/>
      <c r="BU726" s="12"/>
      <c r="BV726" s="12"/>
      <c r="BW726" s="12"/>
      <c r="BX726" s="12"/>
      <c r="BY726" s="12"/>
      <c r="BZ726" s="12"/>
      <c r="CA726" s="12"/>
      <c r="CB726" s="12"/>
      <c r="CC726" s="12"/>
      <c r="CD726" s="12"/>
      <c r="CE726" s="12"/>
      <c r="CF726" s="12"/>
      <c r="CG726" s="12"/>
      <c r="CH726" s="12"/>
      <c r="CI726" s="12"/>
      <c r="CJ726" s="12"/>
      <c r="CK726" s="12"/>
      <c r="CL726" s="12"/>
      <c r="CM726" s="12"/>
      <c r="CN726" s="12"/>
      <c r="CO726" s="12"/>
      <c r="CP726" s="12"/>
      <c r="CQ726" s="12"/>
      <c r="CR726" s="12"/>
      <c r="CS726" s="12"/>
      <c r="CT726" s="12"/>
      <c r="CU726" s="12"/>
      <c r="CV726" s="12"/>
      <c r="CW726" s="12"/>
      <c r="CX726" s="12"/>
      <c r="CY726" s="12"/>
      <c r="CZ726" s="12"/>
      <c r="DA726" s="12"/>
      <c r="DB726" s="12"/>
      <c r="DC726" s="12"/>
      <c r="DD726" s="12"/>
      <c r="DE726" s="12"/>
      <c r="DF726" s="12"/>
      <c r="DG726" s="12"/>
      <c r="DH726" s="12"/>
      <c r="DI726" s="12"/>
      <c r="DJ726" s="12"/>
      <c r="DK726" s="12"/>
      <c r="DL726" s="12"/>
      <c r="DM726" s="12"/>
      <c r="DN726" s="12"/>
      <c r="DO726" s="12"/>
      <c r="DP726" s="12"/>
      <c r="DQ726" s="12"/>
      <c r="DR726" s="12"/>
      <c r="DS726" s="12"/>
      <c r="DT726" s="12"/>
      <c r="DU726" s="12"/>
      <c r="DV726" s="12"/>
      <c r="DW726" s="12"/>
      <c r="DX726" s="12"/>
      <c r="DY726" s="12"/>
      <c r="DZ726" s="12"/>
      <c r="EA726" s="12"/>
      <c r="EB726" s="12"/>
      <c r="EC726" s="12"/>
      <c r="ED726" s="12"/>
      <c r="EE726" s="12"/>
      <c r="EF726" s="12"/>
      <c r="EG726" s="12"/>
      <c r="EH726" s="12"/>
      <c r="EI726" s="12"/>
      <c r="EJ726" s="574"/>
      <c r="EK726" s="574"/>
      <c r="EL726" s="574"/>
      <c r="EM726" s="574"/>
      <c r="EN726" s="574"/>
      <c r="EO726" s="574"/>
      <c r="EP726" s="574"/>
      <c r="EQ726" s="574"/>
      <c r="ER726" s="574"/>
      <c r="ES726" s="574"/>
      <c r="ET726" s="574"/>
      <c r="EU726" s="574"/>
    </row>
    <row r="727">
      <c r="A727" s="12"/>
      <c r="B727" s="55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  <c r="AX727" s="12"/>
      <c r="AY727" s="12"/>
      <c r="AZ727" s="12"/>
      <c r="BA727" s="12"/>
      <c r="BB727" s="12"/>
      <c r="BC727" s="12"/>
      <c r="BD727" s="12"/>
      <c r="BE727" s="12"/>
      <c r="BF727" s="12"/>
      <c r="BG727" s="12"/>
      <c r="BH727" s="12"/>
      <c r="BI727" s="12"/>
      <c r="BJ727" s="12"/>
      <c r="BK727" s="12"/>
      <c r="BL727" s="12"/>
      <c r="BM727" s="12"/>
      <c r="BN727" s="12"/>
      <c r="BO727" s="12"/>
      <c r="BP727" s="12"/>
      <c r="BQ727" s="12"/>
      <c r="BR727" s="12"/>
      <c r="BS727" s="12"/>
      <c r="BT727" s="12"/>
      <c r="BU727" s="12"/>
      <c r="BV727" s="12"/>
      <c r="BW727" s="12"/>
      <c r="BX727" s="12"/>
      <c r="BY727" s="12"/>
      <c r="BZ727" s="12"/>
      <c r="CA727" s="12"/>
      <c r="CB727" s="12"/>
      <c r="CC727" s="12"/>
      <c r="CD727" s="12"/>
      <c r="CE727" s="12"/>
      <c r="CF727" s="12"/>
      <c r="CG727" s="12"/>
      <c r="CH727" s="12"/>
      <c r="CI727" s="12"/>
      <c r="CJ727" s="12"/>
      <c r="CK727" s="12"/>
      <c r="CL727" s="12"/>
      <c r="CM727" s="12"/>
      <c r="CN727" s="12"/>
      <c r="CO727" s="12"/>
      <c r="CP727" s="12"/>
      <c r="CQ727" s="12"/>
      <c r="CR727" s="12"/>
      <c r="CS727" s="12"/>
      <c r="CT727" s="12"/>
      <c r="CU727" s="12"/>
      <c r="CV727" s="12"/>
      <c r="CW727" s="12"/>
      <c r="CX727" s="12"/>
      <c r="CY727" s="12"/>
      <c r="CZ727" s="12"/>
      <c r="DA727" s="12"/>
      <c r="DB727" s="12"/>
      <c r="DC727" s="12"/>
      <c r="DD727" s="12"/>
      <c r="DE727" s="12"/>
      <c r="DF727" s="12"/>
      <c r="DG727" s="12"/>
      <c r="DH727" s="12"/>
      <c r="DI727" s="12"/>
      <c r="DJ727" s="12"/>
      <c r="DK727" s="12"/>
      <c r="DL727" s="12"/>
      <c r="DM727" s="12"/>
      <c r="DN727" s="12"/>
      <c r="DO727" s="12"/>
      <c r="DP727" s="12"/>
      <c r="DQ727" s="12"/>
      <c r="DR727" s="12"/>
      <c r="DS727" s="12"/>
      <c r="DT727" s="12"/>
      <c r="DU727" s="12"/>
      <c r="DV727" s="12"/>
      <c r="DW727" s="12"/>
      <c r="DX727" s="12"/>
      <c r="DY727" s="12"/>
      <c r="DZ727" s="12"/>
      <c r="EA727" s="12"/>
      <c r="EB727" s="12"/>
      <c r="EC727" s="12"/>
      <c r="ED727" s="12"/>
      <c r="EE727" s="12"/>
      <c r="EF727" s="12"/>
      <c r="EG727" s="12"/>
      <c r="EH727" s="12"/>
      <c r="EI727" s="12"/>
      <c r="EJ727" s="574"/>
      <c r="EK727" s="574"/>
      <c r="EL727" s="574"/>
      <c r="EM727" s="574"/>
      <c r="EN727" s="574"/>
      <c r="EO727" s="574"/>
      <c r="EP727" s="574"/>
      <c r="EQ727" s="574"/>
      <c r="ER727" s="574"/>
      <c r="ES727" s="574"/>
      <c r="ET727" s="574"/>
      <c r="EU727" s="574"/>
    </row>
    <row r="728">
      <c r="A728" s="12"/>
      <c r="B728" s="55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2"/>
      <c r="AY728" s="12"/>
      <c r="AZ728" s="12"/>
      <c r="BA728" s="12"/>
      <c r="BB728" s="12"/>
      <c r="BC728" s="12"/>
      <c r="BD728" s="12"/>
      <c r="BE728" s="12"/>
      <c r="BF728" s="12"/>
      <c r="BG728" s="12"/>
      <c r="BH728" s="12"/>
      <c r="BI728" s="12"/>
      <c r="BJ728" s="12"/>
      <c r="BK728" s="12"/>
      <c r="BL728" s="12"/>
      <c r="BM728" s="12"/>
      <c r="BN728" s="12"/>
      <c r="BO728" s="12"/>
      <c r="BP728" s="12"/>
      <c r="BQ728" s="12"/>
      <c r="BR728" s="12"/>
      <c r="BS728" s="12"/>
      <c r="BT728" s="12"/>
      <c r="BU728" s="12"/>
      <c r="BV728" s="12"/>
      <c r="BW728" s="12"/>
      <c r="BX728" s="12"/>
      <c r="BY728" s="12"/>
      <c r="BZ728" s="12"/>
      <c r="CA728" s="12"/>
      <c r="CB728" s="12"/>
      <c r="CC728" s="12"/>
      <c r="CD728" s="12"/>
      <c r="CE728" s="12"/>
      <c r="CF728" s="12"/>
      <c r="CG728" s="12"/>
      <c r="CH728" s="12"/>
      <c r="CI728" s="12"/>
      <c r="CJ728" s="12"/>
      <c r="CK728" s="12"/>
      <c r="CL728" s="12"/>
      <c r="CM728" s="12"/>
      <c r="CN728" s="12"/>
      <c r="CO728" s="12"/>
      <c r="CP728" s="12"/>
      <c r="CQ728" s="12"/>
      <c r="CR728" s="12"/>
      <c r="CS728" s="12"/>
      <c r="CT728" s="12"/>
      <c r="CU728" s="12"/>
      <c r="CV728" s="12"/>
      <c r="CW728" s="12"/>
      <c r="CX728" s="12"/>
      <c r="CY728" s="12"/>
      <c r="CZ728" s="12"/>
      <c r="DA728" s="12"/>
      <c r="DB728" s="12"/>
      <c r="DC728" s="12"/>
      <c r="DD728" s="12"/>
      <c r="DE728" s="12"/>
      <c r="DF728" s="12"/>
      <c r="DG728" s="12"/>
      <c r="DH728" s="12"/>
      <c r="DI728" s="12"/>
      <c r="DJ728" s="12"/>
      <c r="DK728" s="12"/>
      <c r="DL728" s="12"/>
      <c r="DM728" s="12"/>
      <c r="DN728" s="12"/>
      <c r="DO728" s="12"/>
      <c r="DP728" s="12"/>
      <c r="DQ728" s="12"/>
      <c r="DR728" s="12"/>
      <c r="DS728" s="12"/>
      <c r="DT728" s="12"/>
      <c r="DU728" s="12"/>
      <c r="DV728" s="12"/>
      <c r="DW728" s="12"/>
      <c r="DX728" s="12"/>
      <c r="DY728" s="12"/>
      <c r="DZ728" s="12"/>
      <c r="EA728" s="12"/>
      <c r="EB728" s="12"/>
      <c r="EC728" s="12"/>
      <c r="ED728" s="12"/>
      <c r="EE728" s="12"/>
      <c r="EF728" s="12"/>
      <c r="EG728" s="12"/>
      <c r="EH728" s="12"/>
      <c r="EI728" s="12"/>
      <c r="EJ728" s="574"/>
      <c r="EK728" s="574"/>
      <c r="EL728" s="574"/>
      <c r="EM728" s="574"/>
      <c r="EN728" s="574"/>
      <c r="EO728" s="574"/>
      <c r="EP728" s="574"/>
      <c r="EQ728" s="574"/>
      <c r="ER728" s="574"/>
      <c r="ES728" s="574"/>
      <c r="ET728" s="574"/>
      <c r="EU728" s="574"/>
    </row>
    <row r="729">
      <c r="A729" s="12"/>
      <c r="B729" s="55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12"/>
      <c r="AY729" s="12"/>
      <c r="AZ729" s="12"/>
      <c r="BA729" s="12"/>
      <c r="BB729" s="12"/>
      <c r="BC729" s="12"/>
      <c r="BD729" s="12"/>
      <c r="BE729" s="12"/>
      <c r="BF729" s="12"/>
      <c r="BG729" s="12"/>
      <c r="BH729" s="12"/>
      <c r="BI729" s="12"/>
      <c r="BJ729" s="12"/>
      <c r="BK729" s="12"/>
      <c r="BL729" s="12"/>
      <c r="BM729" s="12"/>
      <c r="BN729" s="12"/>
      <c r="BO729" s="12"/>
      <c r="BP729" s="12"/>
      <c r="BQ729" s="12"/>
      <c r="BR729" s="12"/>
      <c r="BS729" s="12"/>
      <c r="BT729" s="12"/>
      <c r="BU729" s="12"/>
      <c r="BV729" s="12"/>
      <c r="BW729" s="12"/>
      <c r="BX729" s="12"/>
      <c r="BY729" s="12"/>
      <c r="BZ729" s="12"/>
      <c r="CA729" s="12"/>
      <c r="CB729" s="12"/>
      <c r="CC729" s="12"/>
      <c r="CD729" s="12"/>
      <c r="CE729" s="12"/>
      <c r="CF729" s="12"/>
      <c r="CG729" s="12"/>
      <c r="CH729" s="12"/>
      <c r="CI729" s="12"/>
      <c r="CJ729" s="12"/>
      <c r="CK729" s="12"/>
      <c r="CL729" s="12"/>
      <c r="CM729" s="12"/>
      <c r="CN729" s="12"/>
      <c r="CO729" s="12"/>
      <c r="CP729" s="12"/>
      <c r="CQ729" s="12"/>
      <c r="CR729" s="12"/>
      <c r="CS729" s="12"/>
      <c r="CT729" s="12"/>
      <c r="CU729" s="12"/>
      <c r="CV729" s="12"/>
      <c r="CW729" s="12"/>
      <c r="CX729" s="12"/>
      <c r="CY729" s="12"/>
      <c r="CZ729" s="12"/>
      <c r="DA729" s="12"/>
      <c r="DB729" s="12"/>
      <c r="DC729" s="12"/>
      <c r="DD729" s="12"/>
      <c r="DE729" s="12"/>
      <c r="DF729" s="12"/>
      <c r="DG729" s="12"/>
      <c r="DH729" s="12"/>
      <c r="DI729" s="12"/>
      <c r="DJ729" s="12"/>
      <c r="DK729" s="12"/>
      <c r="DL729" s="12"/>
      <c r="DM729" s="12"/>
      <c r="DN729" s="12"/>
      <c r="DO729" s="12"/>
      <c r="DP729" s="12"/>
      <c r="DQ729" s="12"/>
      <c r="DR729" s="12"/>
      <c r="DS729" s="12"/>
      <c r="DT729" s="12"/>
      <c r="DU729" s="12"/>
      <c r="DV729" s="12"/>
      <c r="DW729" s="12"/>
      <c r="DX729" s="12"/>
      <c r="DY729" s="12"/>
      <c r="DZ729" s="12"/>
      <c r="EA729" s="12"/>
      <c r="EB729" s="12"/>
      <c r="EC729" s="12"/>
      <c r="ED729" s="12"/>
      <c r="EE729" s="12"/>
      <c r="EF729" s="12"/>
      <c r="EG729" s="12"/>
      <c r="EH729" s="12"/>
      <c r="EI729" s="12"/>
      <c r="EJ729" s="574"/>
      <c r="EK729" s="574"/>
      <c r="EL729" s="574"/>
      <c r="EM729" s="574"/>
      <c r="EN729" s="574"/>
      <c r="EO729" s="574"/>
      <c r="EP729" s="574"/>
      <c r="EQ729" s="574"/>
      <c r="ER729" s="574"/>
      <c r="ES729" s="574"/>
      <c r="ET729" s="574"/>
      <c r="EU729" s="574"/>
    </row>
    <row r="730">
      <c r="A730" s="12"/>
      <c r="B730" s="55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12"/>
      <c r="AY730" s="12"/>
      <c r="AZ730" s="12"/>
      <c r="BA730" s="12"/>
      <c r="BB730" s="12"/>
      <c r="BC730" s="12"/>
      <c r="BD730" s="12"/>
      <c r="BE730" s="12"/>
      <c r="BF730" s="12"/>
      <c r="BG730" s="12"/>
      <c r="BH730" s="12"/>
      <c r="BI730" s="12"/>
      <c r="BJ730" s="12"/>
      <c r="BK730" s="12"/>
      <c r="BL730" s="12"/>
      <c r="BM730" s="12"/>
      <c r="BN730" s="12"/>
      <c r="BO730" s="12"/>
      <c r="BP730" s="12"/>
      <c r="BQ730" s="12"/>
      <c r="BR730" s="12"/>
      <c r="BS730" s="12"/>
      <c r="BT730" s="12"/>
      <c r="BU730" s="12"/>
      <c r="BV730" s="12"/>
      <c r="BW730" s="12"/>
      <c r="BX730" s="12"/>
      <c r="BY730" s="12"/>
      <c r="BZ730" s="12"/>
      <c r="CA730" s="12"/>
      <c r="CB730" s="12"/>
      <c r="CC730" s="12"/>
      <c r="CD730" s="12"/>
      <c r="CE730" s="12"/>
      <c r="CF730" s="12"/>
      <c r="CG730" s="12"/>
      <c r="CH730" s="12"/>
      <c r="CI730" s="12"/>
      <c r="CJ730" s="12"/>
      <c r="CK730" s="12"/>
      <c r="CL730" s="12"/>
      <c r="CM730" s="12"/>
      <c r="CN730" s="12"/>
      <c r="CO730" s="12"/>
      <c r="CP730" s="12"/>
      <c r="CQ730" s="12"/>
      <c r="CR730" s="12"/>
      <c r="CS730" s="12"/>
      <c r="CT730" s="12"/>
      <c r="CU730" s="12"/>
      <c r="CV730" s="12"/>
      <c r="CW730" s="12"/>
      <c r="CX730" s="12"/>
      <c r="CY730" s="12"/>
      <c r="CZ730" s="12"/>
      <c r="DA730" s="12"/>
      <c r="DB730" s="12"/>
      <c r="DC730" s="12"/>
      <c r="DD730" s="12"/>
      <c r="DE730" s="12"/>
      <c r="DF730" s="12"/>
      <c r="DG730" s="12"/>
      <c r="DH730" s="12"/>
      <c r="DI730" s="12"/>
      <c r="DJ730" s="12"/>
      <c r="DK730" s="12"/>
      <c r="DL730" s="12"/>
      <c r="DM730" s="12"/>
      <c r="DN730" s="12"/>
      <c r="DO730" s="12"/>
      <c r="DP730" s="12"/>
      <c r="DQ730" s="12"/>
      <c r="DR730" s="12"/>
      <c r="DS730" s="12"/>
      <c r="DT730" s="12"/>
      <c r="DU730" s="12"/>
      <c r="DV730" s="12"/>
      <c r="DW730" s="12"/>
      <c r="DX730" s="12"/>
      <c r="DY730" s="12"/>
      <c r="DZ730" s="12"/>
      <c r="EA730" s="12"/>
      <c r="EB730" s="12"/>
      <c r="EC730" s="12"/>
      <c r="ED730" s="12"/>
      <c r="EE730" s="12"/>
      <c r="EF730" s="12"/>
      <c r="EG730" s="12"/>
      <c r="EH730" s="12"/>
      <c r="EI730" s="12"/>
      <c r="EJ730" s="574"/>
      <c r="EK730" s="574"/>
      <c r="EL730" s="574"/>
      <c r="EM730" s="574"/>
      <c r="EN730" s="574"/>
      <c r="EO730" s="574"/>
      <c r="EP730" s="574"/>
      <c r="EQ730" s="574"/>
      <c r="ER730" s="574"/>
      <c r="ES730" s="574"/>
      <c r="ET730" s="574"/>
      <c r="EU730" s="574"/>
    </row>
    <row r="731">
      <c r="A731" s="12"/>
      <c r="B731" s="55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12"/>
      <c r="AY731" s="12"/>
      <c r="AZ731" s="12"/>
      <c r="BA731" s="12"/>
      <c r="BB731" s="12"/>
      <c r="BC731" s="12"/>
      <c r="BD731" s="12"/>
      <c r="BE731" s="12"/>
      <c r="BF731" s="12"/>
      <c r="BG731" s="12"/>
      <c r="BH731" s="12"/>
      <c r="BI731" s="12"/>
      <c r="BJ731" s="12"/>
      <c r="BK731" s="12"/>
      <c r="BL731" s="12"/>
      <c r="BM731" s="12"/>
      <c r="BN731" s="12"/>
      <c r="BO731" s="12"/>
      <c r="BP731" s="12"/>
      <c r="BQ731" s="12"/>
      <c r="BR731" s="12"/>
      <c r="BS731" s="12"/>
      <c r="BT731" s="12"/>
      <c r="BU731" s="12"/>
      <c r="BV731" s="12"/>
      <c r="BW731" s="12"/>
      <c r="BX731" s="12"/>
      <c r="BY731" s="12"/>
      <c r="BZ731" s="12"/>
      <c r="CA731" s="12"/>
      <c r="CB731" s="12"/>
      <c r="CC731" s="12"/>
      <c r="CD731" s="12"/>
      <c r="CE731" s="12"/>
      <c r="CF731" s="12"/>
      <c r="CG731" s="12"/>
      <c r="CH731" s="12"/>
      <c r="CI731" s="12"/>
      <c r="CJ731" s="12"/>
      <c r="CK731" s="12"/>
      <c r="CL731" s="12"/>
      <c r="CM731" s="12"/>
      <c r="CN731" s="12"/>
      <c r="CO731" s="12"/>
      <c r="CP731" s="12"/>
      <c r="CQ731" s="12"/>
      <c r="CR731" s="12"/>
      <c r="CS731" s="12"/>
      <c r="CT731" s="12"/>
      <c r="CU731" s="12"/>
      <c r="CV731" s="12"/>
      <c r="CW731" s="12"/>
      <c r="CX731" s="12"/>
      <c r="CY731" s="12"/>
      <c r="CZ731" s="12"/>
      <c r="DA731" s="12"/>
      <c r="DB731" s="12"/>
      <c r="DC731" s="12"/>
      <c r="DD731" s="12"/>
      <c r="DE731" s="12"/>
      <c r="DF731" s="12"/>
      <c r="DG731" s="12"/>
      <c r="DH731" s="12"/>
      <c r="DI731" s="12"/>
      <c r="DJ731" s="12"/>
      <c r="DK731" s="12"/>
      <c r="DL731" s="12"/>
      <c r="DM731" s="12"/>
      <c r="DN731" s="12"/>
      <c r="DO731" s="12"/>
      <c r="DP731" s="12"/>
      <c r="DQ731" s="12"/>
      <c r="DR731" s="12"/>
      <c r="DS731" s="12"/>
      <c r="DT731" s="12"/>
      <c r="DU731" s="12"/>
      <c r="DV731" s="12"/>
      <c r="DW731" s="12"/>
      <c r="DX731" s="12"/>
      <c r="DY731" s="12"/>
      <c r="DZ731" s="12"/>
      <c r="EA731" s="12"/>
      <c r="EB731" s="12"/>
      <c r="EC731" s="12"/>
      <c r="ED731" s="12"/>
      <c r="EE731" s="12"/>
      <c r="EF731" s="12"/>
      <c r="EG731" s="12"/>
      <c r="EH731" s="12"/>
      <c r="EI731" s="12"/>
      <c r="EJ731" s="574"/>
      <c r="EK731" s="574"/>
      <c r="EL731" s="574"/>
      <c r="EM731" s="574"/>
      <c r="EN731" s="574"/>
      <c r="EO731" s="574"/>
      <c r="EP731" s="574"/>
      <c r="EQ731" s="574"/>
      <c r="ER731" s="574"/>
      <c r="ES731" s="574"/>
      <c r="ET731" s="574"/>
      <c r="EU731" s="574"/>
    </row>
    <row r="732">
      <c r="A732" s="12"/>
      <c r="B732" s="55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12"/>
      <c r="AY732" s="12"/>
      <c r="AZ732" s="12"/>
      <c r="BA732" s="12"/>
      <c r="BB732" s="12"/>
      <c r="BC732" s="12"/>
      <c r="BD732" s="12"/>
      <c r="BE732" s="12"/>
      <c r="BF732" s="12"/>
      <c r="BG732" s="12"/>
      <c r="BH732" s="12"/>
      <c r="BI732" s="12"/>
      <c r="BJ732" s="12"/>
      <c r="BK732" s="12"/>
      <c r="BL732" s="12"/>
      <c r="BM732" s="12"/>
      <c r="BN732" s="12"/>
      <c r="BO732" s="12"/>
      <c r="BP732" s="12"/>
      <c r="BQ732" s="12"/>
      <c r="BR732" s="12"/>
      <c r="BS732" s="12"/>
      <c r="BT732" s="12"/>
      <c r="BU732" s="12"/>
      <c r="BV732" s="12"/>
      <c r="BW732" s="12"/>
      <c r="BX732" s="12"/>
      <c r="BY732" s="12"/>
      <c r="BZ732" s="12"/>
      <c r="CA732" s="12"/>
      <c r="CB732" s="12"/>
      <c r="CC732" s="12"/>
      <c r="CD732" s="12"/>
      <c r="CE732" s="12"/>
      <c r="CF732" s="12"/>
      <c r="CG732" s="12"/>
      <c r="CH732" s="12"/>
      <c r="CI732" s="12"/>
      <c r="CJ732" s="12"/>
      <c r="CK732" s="12"/>
      <c r="CL732" s="12"/>
      <c r="CM732" s="12"/>
      <c r="CN732" s="12"/>
      <c r="CO732" s="12"/>
      <c r="CP732" s="12"/>
      <c r="CQ732" s="12"/>
      <c r="CR732" s="12"/>
      <c r="CS732" s="12"/>
      <c r="CT732" s="12"/>
      <c r="CU732" s="12"/>
      <c r="CV732" s="12"/>
      <c r="CW732" s="12"/>
      <c r="CX732" s="12"/>
      <c r="CY732" s="12"/>
      <c r="CZ732" s="12"/>
      <c r="DA732" s="12"/>
      <c r="DB732" s="12"/>
      <c r="DC732" s="12"/>
      <c r="DD732" s="12"/>
      <c r="DE732" s="12"/>
      <c r="DF732" s="12"/>
      <c r="DG732" s="12"/>
      <c r="DH732" s="12"/>
      <c r="DI732" s="12"/>
      <c r="DJ732" s="12"/>
      <c r="DK732" s="12"/>
      <c r="DL732" s="12"/>
      <c r="DM732" s="12"/>
      <c r="DN732" s="12"/>
      <c r="DO732" s="12"/>
      <c r="DP732" s="12"/>
      <c r="DQ732" s="12"/>
      <c r="DR732" s="12"/>
      <c r="DS732" s="12"/>
      <c r="DT732" s="12"/>
      <c r="DU732" s="12"/>
      <c r="DV732" s="12"/>
      <c r="DW732" s="12"/>
      <c r="DX732" s="12"/>
      <c r="DY732" s="12"/>
      <c r="DZ732" s="12"/>
      <c r="EA732" s="12"/>
      <c r="EB732" s="12"/>
      <c r="EC732" s="12"/>
      <c r="ED732" s="12"/>
      <c r="EE732" s="12"/>
      <c r="EF732" s="12"/>
      <c r="EG732" s="12"/>
      <c r="EH732" s="12"/>
      <c r="EI732" s="12"/>
      <c r="EJ732" s="574"/>
      <c r="EK732" s="574"/>
      <c r="EL732" s="574"/>
      <c r="EM732" s="574"/>
      <c r="EN732" s="574"/>
      <c r="EO732" s="574"/>
      <c r="EP732" s="574"/>
      <c r="EQ732" s="574"/>
      <c r="ER732" s="574"/>
      <c r="ES732" s="574"/>
      <c r="ET732" s="574"/>
      <c r="EU732" s="574"/>
    </row>
    <row r="733">
      <c r="A733" s="12"/>
      <c r="B733" s="55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12"/>
      <c r="AY733" s="12"/>
      <c r="AZ733" s="12"/>
      <c r="BA733" s="12"/>
      <c r="BB733" s="12"/>
      <c r="BC733" s="12"/>
      <c r="BD733" s="12"/>
      <c r="BE733" s="12"/>
      <c r="BF733" s="12"/>
      <c r="BG733" s="12"/>
      <c r="BH733" s="12"/>
      <c r="BI733" s="12"/>
      <c r="BJ733" s="12"/>
      <c r="BK733" s="12"/>
      <c r="BL733" s="12"/>
      <c r="BM733" s="12"/>
      <c r="BN733" s="12"/>
      <c r="BO733" s="12"/>
      <c r="BP733" s="12"/>
      <c r="BQ733" s="12"/>
      <c r="BR733" s="12"/>
      <c r="BS733" s="12"/>
      <c r="BT733" s="12"/>
      <c r="BU733" s="12"/>
      <c r="BV733" s="12"/>
      <c r="BW733" s="12"/>
      <c r="BX733" s="12"/>
      <c r="BY733" s="12"/>
      <c r="BZ733" s="12"/>
      <c r="CA733" s="12"/>
      <c r="CB733" s="12"/>
      <c r="CC733" s="12"/>
      <c r="CD733" s="12"/>
      <c r="CE733" s="12"/>
      <c r="CF733" s="12"/>
      <c r="CG733" s="12"/>
      <c r="CH733" s="12"/>
      <c r="CI733" s="12"/>
      <c r="CJ733" s="12"/>
      <c r="CK733" s="12"/>
      <c r="CL733" s="12"/>
      <c r="CM733" s="12"/>
      <c r="CN733" s="12"/>
      <c r="CO733" s="12"/>
      <c r="CP733" s="12"/>
      <c r="CQ733" s="12"/>
      <c r="CR733" s="12"/>
      <c r="CS733" s="12"/>
      <c r="CT733" s="12"/>
      <c r="CU733" s="12"/>
      <c r="CV733" s="12"/>
      <c r="CW733" s="12"/>
      <c r="CX733" s="12"/>
      <c r="CY733" s="12"/>
      <c r="CZ733" s="12"/>
      <c r="DA733" s="12"/>
      <c r="DB733" s="12"/>
      <c r="DC733" s="12"/>
      <c r="DD733" s="12"/>
      <c r="DE733" s="12"/>
      <c r="DF733" s="12"/>
      <c r="DG733" s="12"/>
      <c r="DH733" s="12"/>
      <c r="DI733" s="12"/>
      <c r="DJ733" s="12"/>
      <c r="DK733" s="12"/>
      <c r="DL733" s="12"/>
      <c r="DM733" s="12"/>
      <c r="DN733" s="12"/>
      <c r="DO733" s="12"/>
      <c r="DP733" s="12"/>
      <c r="DQ733" s="12"/>
      <c r="DR733" s="12"/>
      <c r="DS733" s="12"/>
      <c r="DT733" s="12"/>
      <c r="DU733" s="12"/>
      <c r="DV733" s="12"/>
      <c r="DW733" s="12"/>
      <c r="DX733" s="12"/>
      <c r="DY733" s="12"/>
      <c r="DZ733" s="12"/>
      <c r="EA733" s="12"/>
      <c r="EB733" s="12"/>
      <c r="EC733" s="12"/>
      <c r="ED733" s="12"/>
      <c r="EE733" s="12"/>
      <c r="EF733" s="12"/>
      <c r="EG733" s="12"/>
      <c r="EH733" s="12"/>
      <c r="EI733" s="12"/>
      <c r="EJ733" s="574"/>
      <c r="EK733" s="574"/>
      <c r="EL733" s="574"/>
      <c r="EM733" s="574"/>
      <c r="EN733" s="574"/>
      <c r="EO733" s="574"/>
      <c r="EP733" s="574"/>
      <c r="EQ733" s="574"/>
      <c r="ER733" s="574"/>
      <c r="ES733" s="574"/>
      <c r="ET733" s="574"/>
      <c r="EU733" s="574"/>
    </row>
    <row r="734">
      <c r="A734" s="12"/>
      <c r="B734" s="55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12"/>
      <c r="AY734" s="12"/>
      <c r="AZ734" s="12"/>
      <c r="BA734" s="12"/>
      <c r="BB734" s="12"/>
      <c r="BC734" s="12"/>
      <c r="BD734" s="12"/>
      <c r="BE734" s="12"/>
      <c r="BF734" s="12"/>
      <c r="BG734" s="12"/>
      <c r="BH734" s="12"/>
      <c r="BI734" s="12"/>
      <c r="BJ734" s="12"/>
      <c r="BK734" s="12"/>
      <c r="BL734" s="12"/>
      <c r="BM734" s="12"/>
      <c r="BN734" s="12"/>
      <c r="BO734" s="12"/>
      <c r="BP734" s="12"/>
      <c r="BQ734" s="12"/>
      <c r="BR734" s="12"/>
      <c r="BS734" s="12"/>
      <c r="BT734" s="12"/>
      <c r="BU734" s="12"/>
      <c r="BV734" s="12"/>
      <c r="BW734" s="12"/>
      <c r="BX734" s="12"/>
      <c r="BY734" s="12"/>
      <c r="BZ734" s="12"/>
      <c r="CA734" s="12"/>
      <c r="CB734" s="12"/>
      <c r="CC734" s="12"/>
      <c r="CD734" s="12"/>
      <c r="CE734" s="12"/>
      <c r="CF734" s="12"/>
      <c r="CG734" s="12"/>
      <c r="CH734" s="12"/>
      <c r="CI734" s="12"/>
      <c r="CJ734" s="12"/>
      <c r="CK734" s="12"/>
      <c r="CL734" s="12"/>
      <c r="CM734" s="12"/>
      <c r="CN734" s="12"/>
      <c r="CO734" s="12"/>
      <c r="CP734" s="12"/>
      <c r="CQ734" s="12"/>
      <c r="CR734" s="12"/>
      <c r="CS734" s="12"/>
      <c r="CT734" s="12"/>
      <c r="CU734" s="12"/>
      <c r="CV734" s="12"/>
      <c r="CW734" s="12"/>
      <c r="CX734" s="12"/>
      <c r="CY734" s="12"/>
      <c r="CZ734" s="12"/>
      <c r="DA734" s="12"/>
      <c r="DB734" s="12"/>
      <c r="DC734" s="12"/>
      <c r="DD734" s="12"/>
      <c r="DE734" s="12"/>
      <c r="DF734" s="12"/>
      <c r="DG734" s="12"/>
      <c r="DH734" s="12"/>
      <c r="DI734" s="12"/>
      <c r="DJ734" s="12"/>
      <c r="DK734" s="12"/>
      <c r="DL734" s="12"/>
      <c r="DM734" s="12"/>
      <c r="DN734" s="12"/>
      <c r="DO734" s="12"/>
      <c r="DP734" s="12"/>
      <c r="DQ734" s="12"/>
      <c r="DR734" s="12"/>
      <c r="DS734" s="12"/>
      <c r="DT734" s="12"/>
      <c r="DU734" s="12"/>
      <c r="DV734" s="12"/>
      <c r="DW734" s="12"/>
      <c r="DX734" s="12"/>
      <c r="DY734" s="12"/>
      <c r="DZ734" s="12"/>
      <c r="EA734" s="12"/>
      <c r="EB734" s="12"/>
      <c r="EC734" s="12"/>
      <c r="ED734" s="12"/>
      <c r="EE734" s="12"/>
      <c r="EF734" s="12"/>
      <c r="EG734" s="12"/>
      <c r="EH734" s="12"/>
      <c r="EI734" s="12"/>
      <c r="EJ734" s="574"/>
      <c r="EK734" s="574"/>
      <c r="EL734" s="574"/>
      <c r="EM734" s="574"/>
      <c r="EN734" s="574"/>
      <c r="EO734" s="574"/>
      <c r="EP734" s="574"/>
      <c r="EQ734" s="574"/>
      <c r="ER734" s="574"/>
      <c r="ES734" s="574"/>
      <c r="ET734" s="574"/>
      <c r="EU734" s="574"/>
    </row>
    <row r="735">
      <c r="A735" s="12"/>
      <c r="B735" s="55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12"/>
      <c r="AY735" s="12"/>
      <c r="AZ735" s="12"/>
      <c r="BA735" s="12"/>
      <c r="BB735" s="12"/>
      <c r="BC735" s="12"/>
      <c r="BD735" s="12"/>
      <c r="BE735" s="12"/>
      <c r="BF735" s="12"/>
      <c r="BG735" s="12"/>
      <c r="BH735" s="12"/>
      <c r="BI735" s="12"/>
      <c r="BJ735" s="12"/>
      <c r="BK735" s="12"/>
      <c r="BL735" s="12"/>
      <c r="BM735" s="12"/>
      <c r="BN735" s="12"/>
      <c r="BO735" s="12"/>
      <c r="BP735" s="12"/>
      <c r="BQ735" s="12"/>
      <c r="BR735" s="12"/>
      <c r="BS735" s="12"/>
      <c r="BT735" s="12"/>
      <c r="BU735" s="12"/>
      <c r="BV735" s="12"/>
      <c r="BW735" s="12"/>
      <c r="BX735" s="12"/>
      <c r="BY735" s="12"/>
      <c r="BZ735" s="12"/>
      <c r="CA735" s="12"/>
      <c r="CB735" s="12"/>
      <c r="CC735" s="12"/>
      <c r="CD735" s="12"/>
      <c r="CE735" s="12"/>
      <c r="CF735" s="12"/>
      <c r="CG735" s="12"/>
      <c r="CH735" s="12"/>
      <c r="CI735" s="12"/>
      <c r="CJ735" s="12"/>
      <c r="CK735" s="12"/>
      <c r="CL735" s="12"/>
      <c r="CM735" s="12"/>
      <c r="CN735" s="12"/>
      <c r="CO735" s="12"/>
      <c r="CP735" s="12"/>
      <c r="CQ735" s="12"/>
      <c r="CR735" s="12"/>
      <c r="CS735" s="12"/>
      <c r="CT735" s="12"/>
      <c r="CU735" s="12"/>
      <c r="CV735" s="12"/>
      <c r="CW735" s="12"/>
      <c r="CX735" s="12"/>
      <c r="CY735" s="12"/>
      <c r="CZ735" s="12"/>
      <c r="DA735" s="12"/>
      <c r="DB735" s="12"/>
      <c r="DC735" s="12"/>
      <c r="DD735" s="12"/>
      <c r="DE735" s="12"/>
      <c r="DF735" s="12"/>
      <c r="DG735" s="12"/>
      <c r="DH735" s="12"/>
      <c r="DI735" s="12"/>
      <c r="DJ735" s="12"/>
      <c r="DK735" s="12"/>
      <c r="DL735" s="12"/>
      <c r="DM735" s="12"/>
      <c r="DN735" s="12"/>
      <c r="DO735" s="12"/>
      <c r="DP735" s="12"/>
      <c r="DQ735" s="12"/>
      <c r="DR735" s="12"/>
      <c r="DS735" s="12"/>
      <c r="DT735" s="12"/>
      <c r="DU735" s="12"/>
      <c r="DV735" s="12"/>
      <c r="DW735" s="12"/>
      <c r="DX735" s="12"/>
      <c r="DY735" s="12"/>
      <c r="DZ735" s="12"/>
      <c r="EA735" s="12"/>
      <c r="EB735" s="12"/>
      <c r="EC735" s="12"/>
      <c r="ED735" s="12"/>
      <c r="EE735" s="12"/>
      <c r="EF735" s="12"/>
      <c r="EG735" s="12"/>
      <c r="EH735" s="12"/>
      <c r="EI735" s="12"/>
      <c r="EJ735" s="574"/>
      <c r="EK735" s="574"/>
      <c r="EL735" s="574"/>
      <c r="EM735" s="574"/>
      <c r="EN735" s="574"/>
      <c r="EO735" s="574"/>
      <c r="EP735" s="574"/>
      <c r="EQ735" s="574"/>
      <c r="ER735" s="574"/>
      <c r="ES735" s="574"/>
      <c r="ET735" s="574"/>
      <c r="EU735" s="574"/>
    </row>
    <row r="736">
      <c r="A736" s="12"/>
      <c r="B736" s="55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12"/>
      <c r="AY736" s="12"/>
      <c r="AZ736" s="12"/>
      <c r="BA736" s="12"/>
      <c r="BB736" s="12"/>
      <c r="BC736" s="12"/>
      <c r="BD736" s="12"/>
      <c r="BE736" s="12"/>
      <c r="BF736" s="12"/>
      <c r="BG736" s="12"/>
      <c r="BH736" s="12"/>
      <c r="BI736" s="12"/>
      <c r="BJ736" s="12"/>
      <c r="BK736" s="12"/>
      <c r="BL736" s="12"/>
      <c r="BM736" s="12"/>
      <c r="BN736" s="12"/>
      <c r="BO736" s="12"/>
      <c r="BP736" s="12"/>
      <c r="BQ736" s="12"/>
      <c r="BR736" s="12"/>
      <c r="BS736" s="12"/>
      <c r="BT736" s="12"/>
      <c r="BU736" s="12"/>
      <c r="BV736" s="12"/>
      <c r="BW736" s="12"/>
      <c r="BX736" s="12"/>
      <c r="BY736" s="12"/>
      <c r="BZ736" s="12"/>
      <c r="CA736" s="12"/>
      <c r="CB736" s="12"/>
      <c r="CC736" s="12"/>
      <c r="CD736" s="12"/>
      <c r="CE736" s="12"/>
      <c r="CF736" s="12"/>
      <c r="CG736" s="12"/>
      <c r="CH736" s="12"/>
      <c r="CI736" s="12"/>
      <c r="CJ736" s="12"/>
      <c r="CK736" s="12"/>
      <c r="CL736" s="12"/>
      <c r="CM736" s="12"/>
      <c r="CN736" s="12"/>
      <c r="CO736" s="12"/>
      <c r="CP736" s="12"/>
      <c r="CQ736" s="12"/>
      <c r="CR736" s="12"/>
      <c r="CS736" s="12"/>
      <c r="CT736" s="12"/>
      <c r="CU736" s="12"/>
      <c r="CV736" s="12"/>
      <c r="CW736" s="12"/>
      <c r="CX736" s="12"/>
      <c r="CY736" s="12"/>
      <c r="CZ736" s="12"/>
      <c r="DA736" s="12"/>
      <c r="DB736" s="12"/>
      <c r="DC736" s="12"/>
      <c r="DD736" s="12"/>
      <c r="DE736" s="12"/>
      <c r="DF736" s="12"/>
      <c r="DG736" s="12"/>
      <c r="DH736" s="12"/>
      <c r="DI736" s="12"/>
      <c r="DJ736" s="12"/>
      <c r="DK736" s="12"/>
      <c r="DL736" s="12"/>
      <c r="DM736" s="12"/>
      <c r="DN736" s="12"/>
      <c r="DO736" s="12"/>
      <c r="DP736" s="12"/>
      <c r="DQ736" s="12"/>
      <c r="DR736" s="12"/>
      <c r="DS736" s="12"/>
      <c r="DT736" s="12"/>
      <c r="DU736" s="12"/>
      <c r="DV736" s="12"/>
      <c r="DW736" s="12"/>
      <c r="DX736" s="12"/>
      <c r="DY736" s="12"/>
      <c r="DZ736" s="12"/>
      <c r="EA736" s="12"/>
      <c r="EB736" s="12"/>
      <c r="EC736" s="12"/>
      <c r="ED736" s="12"/>
      <c r="EE736" s="12"/>
      <c r="EF736" s="12"/>
      <c r="EG736" s="12"/>
      <c r="EH736" s="12"/>
      <c r="EI736" s="12"/>
      <c r="EJ736" s="574"/>
      <c r="EK736" s="574"/>
      <c r="EL736" s="574"/>
      <c r="EM736" s="574"/>
      <c r="EN736" s="574"/>
      <c r="EO736" s="574"/>
      <c r="EP736" s="574"/>
      <c r="EQ736" s="574"/>
      <c r="ER736" s="574"/>
      <c r="ES736" s="574"/>
      <c r="ET736" s="574"/>
      <c r="EU736" s="574"/>
    </row>
    <row r="737">
      <c r="A737" s="12"/>
      <c r="B737" s="55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12"/>
      <c r="AY737" s="12"/>
      <c r="AZ737" s="12"/>
      <c r="BA737" s="12"/>
      <c r="BB737" s="12"/>
      <c r="BC737" s="12"/>
      <c r="BD737" s="12"/>
      <c r="BE737" s="12"/>
      <c r="BF737" s="12"/>
      <c r="BG737" s="12"/>
      <c r="BH737" s="12"/>
      <c r="BI737" s="12"/>
      <c r="BJ737" s="12"/>
      <c r="BK737" s="12"/>
      <c r="BL737" s="12"/>
      <c r="BM737" s="12"/>
      <c r="BN737" s="12"/>
      <c r="BO737" s="12"/>
      <c r="BP737" s="12"/>
      <c r="BQ737" s="12"/>
      <c r="BR737" s="12"/>
      <c r="BS737" s="12"/>
      <c r="BT737" s="12"/>
      <c r="BU737" s="12"/>
      <c r="BV737" s="12"/>
      <c r="BW737" s="12"/>
      <c r="BX737" s="12"/>
      <c r="BY737" s="12"/>
      <c r="BZ737" s="12"/>
      <c r="CA737" s="12"/>
      <c r="CB737" s="12"/>
      <c r="CC737" s="12"/>
      <c r="CD737" s="12"/>
      <c r="CE737" s="12"/>
      <c r="CF737" s="12"/>
      <c r="CG737" s="12"/>
      <c r="CH737" s="12"/>
      <c r="CI737" s="12"/>
      <c r="CJ737" s="12"/>
      <c r="CK737" s="12"/>
      <c r="CL737" s="12"/>
      <c r="CM737" s="12"/>
      <c r="CN737" s="12"/>
      <c r="CO737" s="12"/>
      <c r="CP737" s="12"/>
      <c r="CQ737" s="12"/>
      <c r="CR737" s="12"/>
      <c r="CS737" s="12"/>
      <c r="CT737" s="12"/>
      <c r="CU737" s="12"/>
      <c r="CV737" s="12"/>
      <c r="CW737" s="12"/>
      <c r="CX737" s="12"/>
      <c r="CY737" s="12"/>
      <c r="CZ737" s="12"/>
      <c r="DA737" s="12"/>
      <c r="DB737" s="12"/>
      <c r="DC737" s="12"/>
      <c r="DD737" s="12"/>
      <c r="DE737" s="12"/>
      <c r="DF737" s="12"/>
      <c r="DG737" s="12"/>
      <c r="DH737" s="12"/>
      <c r="DI737" s="12"/>
      <c r="DJ737" s="12"/>
      <c r="DK737" s="12"/>
      <c r="DL737" s="12"/>
      <c r="DM737" s="12"/>
      <c r="DN737" s="12"/>
      <c r="DO737" s="12"/>
      <c r="DP737" s="12"/>
      <c r="DQ737" s="12"/>
      <c r="DR737" s="12"/>
      <c r="DS737" s="12"/>
      <c r="DT737" s="12"/>
      <c r="DU737" s="12"/>
      <c r="DV737" s="12"/>
      <c r="DW737" s="12"/>
      <c r="DX737" s="12"/>
      <c r="DY737" s="12"/>
      <c r="DZ737" s="12"/>
      <c r="EA737" s="12"/>
      <c r="EB737" s="12"/>
      <c r="EC737" s="12"/>
      <c r="ED737" s="12"/>
      <c r="EE737" s="12"/>
      <c r="EF737" s="12"/>
      <c r="EG737" s="12"/>
      <c r="EH737" s="12"/>
      <c r="EI737" s="12"/>
      <c r="EJ737" s="574"/>
      <c r="EK737" s="574"/>
      <c r="EL737" s="574"/>
      <c r="EM737" s="574"/>
      <c r="EN737" s="574"/>
      <c r="EO737" s="574"/>
      <c r="EP737" s="574"/>
      <c r="EQ737" s="574"/>
      <c r="ER737" s="574"/>
      <c r="ES737" s="574"/>
      <c r="ET737" s="574"/>
      <c r="EU737" s="574"/>
    </row>
    <row r="738">
      <c r="A738" s="12"/>
      <c r="B738" s="55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12"/>
      <c r="AY738" s="12"/>
      <c r="AZ738" s="12"/>
      <c r="BA738" s="12"/>
      <c r="BB738" s="12"/>
      <c r="BC738" s="12"/>
      <c r="BD738" s="12"/>
      <c r="BE738" s="12"/>
      <c r="BF738" s="12"/>
      <c r="BG738" s="12"/>
      <c r="BH738" s="12"/>
      <c r="BI738" s="12"/>
      <c r="BJ738" s="12"/>
      <c r="BK738" s="12"/>
      <c r="BL738" s="12"/>
      <c r="BM738" s="12"/>
      <c r="BN738" s="12"/>
      <c r="BO738" s="12"/>
      <c r="BP738" s="12"/>
      <c r="BQ738" s="12"/>
      <c r="BR738" s="12"/>
      <c r="BS738" s="12"/>
      <c r="BT738" s="12"/>
      <c r="BU738" s="12"/>
      <c r="BV738" s="12"/>
      <c r="BW738" s="12"/>
      <c r="BX738" s="12"/>
      <c r="BY738" s="12"/>
      <c r="BZ738" s="12"/>
      <c r="CA738" s="12"/>
      <c r="CB738" s="12"/>
      <c r="CC738" s="12"/>
      <c r="CD738" s="12"/>
      <c r="CE738" s="12"/>
      <c r="CF738" s="12"/>
      <c r="CG738" s="12"/>
      <c r="CH738" s="12"/>
      <c r="CI738" s="12"/>
      <c r="CJ738" s="12"/>
      <c r="CK738" s="12"/>
      <c r="CL738" s="12"/>
      <c r="CM738" s="12"/>
      <c r="CN738" s="12"/>
      <c r="CO738" s="12"/>
      <c r="CP738" s="12"/>
      <c r="CQ738" s="12"/>
      <c r="CR738" s="12"/>
      <c r="CS738" s="12"/>
      <c r="CT738" s="12"/>
      <c r="CU738" s="12"/>
      <c r="CV738" s="12"/>
      <c r="CW738" s="12"/>
      <c r="CX738" s="12"/>
      <c r="CY738" s="12"/>
      <c r="CZ738" s="12"/>
      <c r="DA738" s="12"/>
      <c r="DB738" s="12"/>
      <c r="DC738" s="12"/>
      <c r="DD738" s="12"/>
      <c r="DE738" s="12"/>
      <c r="DF738" s="12"/>
      <c r="DG738" s="12"/>
      <c r="DH738" s="12"/>
      <c r="DI738" s="12"/>
      <c r="DJ738" s="12"/>
      <c r="DK738" s="12"/>
      <c r="DL738" s="12"/>
      <c r="DM738" s="12"/>
      <c r="DN738" s="12"/>
      <c r="DO738" s="12"/>
      <c r="DP738" s="12"/>
      <c r="DQ738" s="12"/>
      <c r="DR738" s="12"/>
      <c r="DS738" s="12"/>
      <c r="DT738" s="12"/>
      <c r="DU738" s="12"/>
      <c r="DV738" s="12"/>
      <c r="DW738" s="12"/>
      <c r="DX738" s="12"/>
      <c r="DY738" s="12"/>
      <c r="DZ738" s="12"/>
      <c r="EA738" s="12"/>
      <c r="EB738" s="12"/>
      <c r="EC738" s="12"/>
      <c r="ED738" s="12"/>
      <c r="EE738" s="12"/>
      <c r="EF738" s="12"/>
      <c r="EG738" s="12"/>
      <c r="EH738" s="12"/>
      <c r="EI738" s="12"/>
      <c r="EJ738" s="574"/>
      <c r="EK738" s="574"/>
      <c r="EL738" s="574"/>
      <c r="EM738" s="574"/>
      <c r="EN738" s="574"/>
      <c r="EO738" s="574"/>
      <c r="EP738" s="574"/>
      <c r="EQ738" s="574"/>
      <c r="ER738" s="574"/>
      <c r="ES738" s="574"/>
      <c r="ET738" s="574"/>
      <c r="EU738" s="574"/>
    </row>
    <row r="739">
      <c r="A739" s="12"/>
      <c r="B739" s="55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12"/>
      <c r="AY739" s="12"/>
      <c r="AZ739" s="12"/>
      <c r="BA739" s="12"/>
      <c r="BB739" s="12"/>
      <c r="BC739" s="12"/>
      <c r="BD739" s="12"/>
      <c r="BE739" s="12"/>
      <c r="BF739" s="12"/>
      <c r="BG739" s="12"/>
      <c r="BH739" s="12"/>
      <c r="BI739" s="12"/>
      <c r="BJ739" s="12"/>
      <c r="BK739" s="12"/>
      <c r="BL739" s="12"/>
      <c r="BM739" s="12"/>
      <c r="BN739" s="12"/>
      <c r="BO739" s="12"/>
      <c r="BP739" s="12"/>
      <c r="BQ739" s="12"/>
      <c r="BR739" s="12"/>
      <c r="BS739" s="12"/>
      <c r="BT739" s="12"/>
      <c r="BU739" s="12"/>
      <c r="BV739" s="12"/>
      <c r="BW739" s="12"/>
      <c r="BX739" s="12"/>
      <c r="BY739" s="12"/>
      <c r="BZ739" s="12"/>
      <c r="CA739" s="12"/>
      <c r="CB739" s="12"/>
      <c r="CC739" s="12"/>
      <c r="CD739" s="12"/>
      <c r="CE739" s="12"/>
      <c r="CF739" s="12"/>
      <c r="CG739" s="12"/>
      <c r="CH739" s="12"/>
      <c r="CI739" s="12"/>
      <c r="CJ739" s="12"/>
      <c r="CK739" s="12"/>
      <c r="CL739" s="12"/>
      <c r="CM739" s="12"/>
      <c r="CN739" s="12"/>
      <c r="CO739" s="12"/>
      <c r="CP739" s="12"/>
      <c r="CQ739" s="12"/>
      <c r="CR739" s="12"/>
      <c r="CS739" s="12"/>
      <c r="CT739" s="12"/>
      <c r="CU739" s="12"/>
      <c r="CV739" s="12"/>
      <c r="CW739" s="12"/>
      <c r="CX739" s="12"/>
      <c r="CY739" s="12"/>
      <c r="CZ739" s="12"/>
      <c r="DA739" s="12"/>
      <c r="DB739" s="12"/>
      <c r="DC739" s="12"/>
      <c r="DD739" s="12"/>
      <c r="DE739" s="12"/>
      <c r="DF739" s="12"/>
      <c r="DG739" s="12"/>
      <c r="DH739" s="12"/>
      <c r="DI739" s="12"/>
      <c r="DJ739" s="12"/>
      <c r="DK739" s="12"/>
      <c r="DL739" s="12"/>
      <c r="DM739" s="12"/>
      <c r="DN739" s="12"/>
      <c r="DO739" s="12"/>
      <c r="DP739" s="12"/>
      <c r="DQ739" s="12"/>
      <c r="DR739" s="12"/>
      <c r="DS739" s="12"/>
      <c r="DT739" s="12"/>
      <c r="DU739" s="12"/>
      <c r="DV739" s="12"/>
      <c r="DW739" s="12"/>
      <c r="DX739" s="12"/>
      <c r="DY739" s="12"/>
      <c r="DZ739" s="12"/>
      <c r="EA739" s="12"/>
      <c r="EB739" s="12"/>
      <c r="EC739" s="12"/>
      <c r="ED739" s="12"/>
      <c r="EE739" s="12"/>
      <c r="EF739" s="12"/>
      <c r="EG739" s="12"/>
      <c r="EH739" s="12"/>
      <c r="EI739" s="12"/>
      <c r="EJ739" s="574"/>
      <c r="EK739" s="574"/>
      <c r="EL739" s="574"/>
      <c r="EM739" s="574"/>
      <c r="EN739" s="574"/>
      <c r="EO739" s="574"/>
      <c r="EP739" s="574"/>
      <c r="EQ739" s="574"/>
      <c r="ER739" s="574"/>
      <c r="ES739" s="574"/>
      <c r="ET739" s="574"/>
      <c r="EU739" s="574"/>
    </row>
    <row r="740">
      <c r="A740" s="12"/>
      <c r="B740" s="55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12"/>
      <c r="AY740" s="12"/>
      <c r="AZ740" s="12"/>
      <c r="BA740" s="12"/>
      <c r="BB740" s="12"/>
      <c r="BC740" s="12"/>
      <c r="BD740" s="12"/>
      <c r="BE740" s="12"/>
      <c r="BF740" s="12"/>
      <c r="BG740" s="12"/>
      <c r="BH740" s="12"/>
      <c r="BI740" s="12"/>
      <c r="BJ740" s="12"/>
      <c r="BK740" s="12"/>
      <c r="BL740" s="12"/>
      <c r="BM740" s="12"/>
      <c r="BN740" s="12"/>
      <c r="BO740" s="12"/>
      <c r="BP740" s="12"/>
      <c r="BQ740" s="12"/>
      <c r="BR740" s="12"/>
      <c r="BS740" s="12"/>
      <c r="BT740" s="12"/>
      <c r="BU740" s="12"/>
      <c r="BV740" s="12"/>
      <c r="BW740" s="12"/>
      <c r="BX740" s="12"/>
      <c r="BY740" s="12"/>
      <c r="BZ740" s="12"/>
      <c r="CA740" s="12"/>
      <c r="CB740" s="12"/>
      <c r="CC740" s="12"/>
      <c r="CD740" s="12"/>
      <c r="CE740" s="12"/>
      <c r="CF740" s="12"/>
      <c r="CG740" s="12"/>
      <c r="CH740" s="12"/>
      <c r="CI740" s="12"/>
      <c r="CJ740" s="12"/>
      <c r="CK740" s="12"/>
      <c r="CL740" s="12"/>
      <c r="CM740" s="12"/>
      <c r="CN740" s="12"/>
      <c r="CO740" s="12"/>
      <c r="CP740" s="12"/>
      <c r="CQ740" s="12"/>
      <c r="CR740" s="12"/>
      <c r="CS740" s="12"/>
      <c r="CT740" s="12"/>
      <c r="CU740" s="12"/>
      <c r="CV740" s="12"/>
      <c r="CW740" s="12"/>
      <c r="CX740" s="12"/>
      <c r="CY740" s="12"/>
      <c r="CZ740" s="12"/>
      <c r="DA740" s="12"/>
      <c r="DB740" s="12"/>
      <c r="DC740" s="12"/>
      <c r="DD740" s="12"/>
      <c r="DE740" s="12"/>
      <c r="DF740" s="12"/>
      <c r="DG740" s="12"/>
      <c r="DH740" s="12"/>
      <c r="DI740" s="12"/>
      <c r="DJ740" s="12"/>
      <c r="DK740" s="12"/>
      <c r="DL740" s="12"/>
      <c r="DM740" s="12"/>
      <c r="DN740" s="12"/>
      <c r="DO740" s="12"/>
      <c r="DP740" s="12"/>
      <c r="DQ740" s="12"/>
      <c r="DR740" s="12"/>
      <c r="DS740" s="12"/>
      <c r="DT740" s="12"/>
      <c r="DU740" s="12"/>
      <c r="DV740" s="12"/>
      <c r="DW740" s="12"/>
      <c r="DX740" s="12"/>
      <c r="DY740" s="12"/>
      <c r="DZ740" s="12"/>
      <c r="EA740" s="12"/>
      <c r="EB740" s="12"/>
      <c r="EC740" s="12"/>
      <c r="ED740" s="12"/>
      <c r="EE740" s="12"/>
      <c r="EF740" s="12"/>
      <c r="EG740" s="12"/>
      <c r="EH740" s="12"/>
      <c r="EI740" s="12"/>
      <c r="EJ740" s="574"/>
      <c r="EK740" s="574"/>
      <c r="EL740" s="574"/>
      <c r="EM740" s="574"/>
      <c r="EN740" s="574"/>
      <c r="EO740" s="574"/>
      <c r="EP740" s="574"/>
      <c r="EQ740" s="574"/>
      <c r="ER740" s="574"/>
      <c r="ES740" s="574"/>
      <c r="ET740" s="574"/>
      <c r="EU740" s="574"/>
    </row>
    <row r="741">
      <c r="A741" s="12"/>
      <c r="B741" s="55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12"/>
      <c r="AY741" s="12"/>
      <c r="AZ741" s="12"/>
      <c r="BA741" s="12"/>
      <c r="BB741" s="12"/>
      <c r="BC741" s="12"/>
      <c r="BD741" s="12"/>
      <c r="BE741" s="12"/>
      <c r="BF741" s="12"/>
      <c r="BG741" s="12"/>
      <c r="BH741" s="12"/>
      <c r="BI741" s="12"/>
      <c r="BJ741" s="12"/>
      <c r="BK741" s="12"/>
      <c r="BL741" s="12"/>
      <c r="BM741" s="12"/>
      <c r="BN741" s="12"/>
      <c r="BO741" s="12"/>
      <c r="BP741" s="12"/>
      <c r="BQ741" s="12"/>
      <c r="BR741" s="12"/>
      <c r="BS741" s="12"/>
      <c r="BT741" s="12"/>
      <c r="BU741" s="12"/>
      <c r="BV741" s="12"/>
      <c r="BW741" s="12"/>
      <c r="BX741" s="12"/>
      <c r="BY741" s="12"/>
      <c r="BZ741" s="12"/>
      <c r="CA741" s="12"/>
      <c r="CB741" s="12"/>
      <c r="CC741" s="12"/>
      <c r="CD741" s="12"/>
      <c r="CE741" s="12"/>
      <c r="CF741" s="12"/>
      <c r="CG741" s="12"/>
      <c r="CH741" s="12"/>
      <c r="CI741" s="12"/>
      <c r="CJ741" s="12"/>
      <c r="CK741" s="12"/>
      <c r="CL741" s="12"/>
      <c r="CM741" s="12"/>
      <c r="CN741" s="12"/>
      <c r="CO741" s="12"/>
      <c r="CP741" s="12"/>
      <c r="CQ741" s="12"/>
      <c r="CR741" s="12"/>
      <c r="CS741" s="12"/>
      <c r="CT741" s="12"/>
      <c r="CU741" s="12"/>
      <c r="CV741" s="12"/>
      <c r="CW741" s="12"/>
      <c r="CX741" s="12"/>
      <c r="CY741" s="12"/>
      <c r="CZ741" s="12"/>
      <c r="DA741" s="12"/>
      <c r="DB741" s="12"/>
      <c r="DC741" s="12"/>
      <c r="DD741" s="12"/>
      <c r="DE741" s="12"/>
      <c r="DF741" s="12"/>
      <c r="DG741" s="12"/>
      <c r="DH741" s="12"/>
      <c r="DI741" s="12"/>
      <c r="DJ741" s="12"/>
      <c r="DK741" s="12"/>
      <c r="DL741" s="12"/>
      <c r="DM741" s="12"/>
      <c r="DN741" s="12"/>
      <c r="DO741" s="12"/>
      <c r="DP741" s="12"/>
      <c r="DQ741" s="12"/>
      <c r="DR741" s="12"/>
      <c r="DS741" s="12"/>
      <c r="DT741" s="12"/>
      <c r="DU741" s="12"/>
      <c r="DV741" s="12"/>
      <c r="DW741" s="12"/>
      <c r="DX741" s="12"/>
      <c r="DY741" s="12"/>
      <c r="DZ741" s="12"/>
      <c r="EA741" s="12"/>
      <c r="EB741" s="12"/>
      <c r="EC741" s="12"/>
      <c r="ED741" s="12"/>
      <c r="EE741" s="12"/>
      <c r="EF741" s="12"/>
      <c r="EG741" s="12"/>
      <c r="EH741" s="12"/>
      <c r="EI741" s="12"/>
      <c r="EJ741" s="574"/>
      <c r="EK741" s="574"/>
      <c r="EL741" s="574"/>
      <c r="EM741" s="574"/>
      <c r="EN741" s="574"/>
      <c r="EO741" s="574"/>
      <c r="EP741" s="574"/>
      <c r="EQ741" s="574"/>
      <c r="ER741" s="574"/>
      <c r="ES741" s="574"/>
      <c r="ET741" s="574"/>
      <c r="EU741" s="574"/>
    </row>
    <row r="742">
      <c r="A742" s="12"/>
      <c r="B742" s="55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12"/>
      <c r="AY742" s="12"/>
      <c r="AZ742" s="12"/>
      <c r="BA742" s="12"/>
      <c r="BB742" s="12"/>
      <c r="BC742" s="12"/>
      <c r="BD742" s="12"/>
      <c r="BE742" s="12"/>
      <c r="BF742" s="12"/>
      <c r="BG742" s="12"/>
      <c r="BH742" s="12"/>
      <c r="BI742" s="12"/>
      <c r="BJ742" s="12"/>
      <c r="BK742" s="12"/>
      <c r="BL742" s="12"/>
      <c r="BM742" s="12"/>
      <c r="BN742" s="12"/>
      <c r="BO742" s="12"/>
      <c r="BP742" s="12"/>
      <c r="BQ742" s="12"/>
      <c r="BR742" s="12"/>
      <c r="BS742" s="12"/>
      <c r="BT742" s="12"/>
      <c r="BU742" s="12"/>
      <c r="BV742" s="12"/>
      <c r="BW742" s="12"/>
      <c r="BX742" s="12"/>
      <c r="BY742" s="12"/>
      <c r="BZ742" s="12"/>
      <c r="CA742" s="12"/>
      <c r="CB742" s="12"/>
      <c r="CC742" s="12"/>
      <c r="CD742" s="12"/>
      <c r="CE742" s="12"/>
      <c r="CF742" s="12"/>
      <c r="CG742" s="12"/>
      <c r="CH742" s="12"/>
      <c r="CI742" s="12"/>
      <c r="CJ742" s="12"/>
      <c r="CK742" s="12"/>
      <c r="CL742" s="12"/>
      <c r="CM742" s="12"/>
      <c r="CN742" s="12"/>
      <c r="CO742" s="12"/>
      <c r="CP742" s="12"/>
      <c r="CQ742" s="12"/>
      <c r="CR742" s="12"/>
      <c r="CS742" s="12"/>
      <c r="CT742" s="12"/>
      <c r="CU742" s="12"/>
      <c r="CV742" s="12"/>
      <c r="CW742" s="12"/>
      <c r="CX742" s="12"/>
      <c r="CY742" s="12"/>
      <c r="CZ742" s="12"/>
      <c r="DA742" s="12"/>
      <c r="DB742" s="12"/>
      <c r="DC742" s="12"/>
      <c r="DD742" s="12"/>
      <c r="DE742" s="12"/>
      <c r="DF742" s="12"/>
      <c r="DG742" s="12"/>
      <c r="DH742" s="12"/>
      <c r="DI742" s="12"/>
      <c r="DJ742" s="12"/>
      <c r="DK742" s="12"/>
      <c r="DL742" s="12"/>
      <c r="DM742" s="12"/>
      <c r="DN742" s="12"/>
      <c r="DO742" s="12"/>
      <c r="DP742" s="12"/>
      <c r="DQ742" s="12"/>
      <c r="DR742" s="12"/>
      <c r="DS742" s="12"/>
      <c r="DT742" s="12"/>
      <c r="DU742" s="12"/>
      <c r="DV742" s="12"/>
      <c r="DW742" s="12"/>
      <c r="DX742" s="12"/>
      <c r="DY742" s="12"/>
      <c r="DZ742" s="12"/>
      <c r="EA742" s="12"/>
      <c r="EB742" s="12"/>
      <c r="EC742" s="12"/>
      <c r="ED742" s="12"/>
      <c r="EE742" s="12"/>
      <c r="EF742" s="12"/>
      <c r="EG742" s="12"/>
      <c r="EH742" s="12"/>
      <c r="EI742" s="12"/>
      <c r="EJ742" s="574"/>
      <c r="EK742" s="574"/>
      <c r="EL742" s="574"/>
      <c r="EM742" s="574"/>
      <c r="EN742" s="574"/>
      <c r="EO742" s="574"/>
      <c r="EP742" s="574"/>
      <c r="EQ742" s="574"/>
      <c r="ER742" s="574"/>
      <c r="ES742" s="574"/>
      <c r="ET742" s="574"/>
      <c r="EU742" s="574"/>
    </row>
    <row r="743">
      <c r="A743" s="12"/>
      <c r="B743" s="55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12"/>
      <c r="AY743" s="12"/>
      <c r="AZ743" s="12"/>
      <c r="BA743" s="12"/>
      <c r="BB743" s="12"/>
      <c r="BC743" s="12"/>
      <c r="BD743" s="12"/>
      <c r="BE743" s="12"/>
      <c r="BF743" s="12"/>
      <c r="BG743" s="12"/>
      <c r="BH743" s="12"/>
      <c r="BI743" s="12"/>
      <c r="BJ743" s="12"/>
      <c r="BK743" s="12"/>
      <c r="BL743" s="12"/>
      <c r="BM743" s="12"/>
      <c r="BN743" s="12"/>
      <c r="BO743" s="12"/>
      <c r="BP743" s="12"/>
      <c r="BQ743" s="12"/>
      <c r="BR743" s="12"/>
      <c r="BS743" s="12"/>
      <c r="BT743" s="12"/>
      <c r="BU743" s="12"/>
      <c r="BV743" s="12"/>
      <c r="BW743" s="12"/>
      <c r="BX743" s="12"/>
      <c r="BY743" s="12"/>
      <c r="BZ743" s="12"/>
      <c r="CA743" s="12"/>
      <c r="CB743" s="12"/>
      <c r="CC743" s="12"/>
      <c r="CD743" s="12"/>
      <c r="CE743" s="12"/>
      <c r="CF743" s="12"/>
      <c r="CG743" s="12"/>
      <c r="CH743" s="12"/>
      <c r="CI743" s="12"/>
      <c r="CJ743" s="12"/>
      <c r="CK743" s="12"/>
      <c r="CL743" s="12"/>
      <c r="CM743" s="12"/>
      <c r="CN743" s="12"/>
      <c r="CO743" s="12"/>
      <c r="CP743" s="12"/>
      <c r="CQ743" s="12"/>
      <c r="CR743" s="12"/>
      <c r="CS743" s="12"/>
      <c r="CT743" s="12"/>
      <c r="CU743" s="12"/>
      <c r="CV743" s="12"/>
      <c r="CW743" s="12"/>
      <c r="CX743" s="12"/>
      <c r="CY743" s="12"/>
      <c r="CZ743" s="12"/>
      <c r="DA743" s="12"/>
      <c r="DB743" s="12"/>
      <c r="DC743" s="12"/>
      <c r="DD743" s="12"/>
      <c r="DE743" s="12"/>
      <c r="DF743" s="12"/>
      <c r="DG743" s="12"/>
      <c r="DH743" s="12"/>
      <c r="DI743" s="12"/>
      <c r="DJ743" s="12"/>
      <c r="DK743" s="12"/>
      <c r="DL743" s="12"/>
      <c r="DM743" s="12"/>
      <c r="DN743" s="12"/>
      <c r="DO743" s="12"/>
      <c r="DP743" s="12"/>
      <c r="DQ743" s="12"/>
      <c r="DR743" s="12"/>
      <c r="DS743" s="12"/>
      <c r="DT743" s="12"/>
      <c r="DU743" s="12"/>
      <c r="DV743" s="12"/>
      <c r="DW743" s="12"/>
      <c r="DX743" s="12"/>
      <c r="DY743" s="12"/>
      <c r="DZ743" s="12"/>
      <c r="EA743" s="12"/>
      <c r="EB743" s="12"/>
      <c r="EC743" s="12"/>
      <c r="ED743" s="12"/>
      <c r="EE743" s="12"/>
      <c r="EF743" s="12"/>
      <c r="EG743" s="12"/>
      <c r="EH743" s="12"/>
      <c r="EI743" s="12"/>
      <c r="EJ743" s="574"/>
      <c r="EK743" s="574"/>
      <c r="EL743" s="574"/>
      <c r="EM743" s="574"/>
      <c r="EN743" s="574"/>
      <c r="EO743" s="574"/>
      <c r="EP743" s="574"/>
      <c r="EQ743" s="574"/>
      <c r="ER743" s="574"/>
      <c r="ES743" s="574"/>
      <c r="ET743" s="574"/>
      <c r="EU743" s="574"/>
    </row>
    <row r="744">
      <c r="A744" s="12"/>
      <c r="B744" s="55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12"/>
      <c r="AY744" s="12"/>
      <c r="AZ744" s="12"/>
      <c r="BA744" s="12"/>
      <c r="BB744" s="12"/>
      <c r="BC744" s="12"/>
      <c r="BD744" s="12"/>
      <c r="BE744" s="12"/>
      <c r="BF744" s="12"/>
      <c r="BG744" s="12"/>
      <c r="BH744" s="12"/>
      <c r="BI744" s="12"/>
      <c r="BJ744" s="12"/>
      <c r="BK744" s="12"/>
      <c r="BL744" s="12"/>
      <c r="BM744" s="12"/>
      <c r="BN744" s="12"/>
      <c r="BO744" s="12"/>
      <c r="BP744" s="12"/>
      <c r="BQ744" s="12"/>
      <c r="BR744" s="12"/>
      <c r="BS744" s="12"/>
      <c r="BT744" s="12"/>
      <c r="BU744" s="12"/>
      <c r="BV744" s="12"/>
      <c r="BW744" s="12"/>
      <c r="BX744" s="12"/>
      <c r="BY744" s="12"/>
      <c r="BZ744" s="12"/>
      <c r="CA744" s="12"/>
      <c r="CB744" s="12"/>
      <c r="CC744" s="12"/>
      <c r="CD744" s="12"/>
      <c r="CE744" s="12"/>
      <c r="CF744" s="12"/>
      <c r="CG744" s="12"/>
      <c r="CH744" s="12"/>
      <c r="CI744" s="12"/>
      <c r="CJ744" s="12"/>
      <c r="CK744" s="12"/>
      <c r="CL744" s="12"/>
      <c r="CM744" s="12"/>
      <c r="CN744" s="12"/>
      <c r="CO744" s="12"/>
      <c r="CP744" s="12"/>
      <c r="CQ744" s="12"/>
      <c r="CR744" s="12"/>
      <c r="CS744" s="12"/>
      <c r="CT744" s="12"/>
      <c r="CU744" s="12"/>
      <c r="CV744" s="12"/>
      <c r="CW744" s="12"/>
      <c r="CX744" s="12"/>
      <c r="CY744" s="12"/>
      <c r="CZ744" s="12"/>
      <c r="DA744" s="12"/>
      <c r="DB744" s="12"/>
      <c r="DC744" s="12"/>
      <c r="DD744" s="12"/>
      <c r="DE744" s="12"/>
      <c r="DF744" s="12"/>
      <c r="DG744" s="12"/>
      <c r="DH744" s="12"/>
      <c r="DI744" s="12"/>
      <c r="DJ744" s="12"/>
      <c r="DK744" s="12"/>
      <c r="DL744" s="12"/>
      <c r="DM744" s="12"/>
      <c r="DN744" s="12"/>
      <c r="DO744" s="12"/>
      <c r="DP744" s="12"/>
      <c r="DQ744" s="12"/>
      <c r="DR744" s="12"/>
      <c r="DS744" s="12"/>
      <c r="DT744" s="12"/>
      <c r="DU744" s="12"/>
      <c r="DV744" s="12"/>
      <c r="DW744" s="12"/>
      <c r="DX744" s="12"/>
      <c r="DY744" s="12"/>
      <c r="DZ744" s="12"/>
      <c r="EA744" s="12"/>
      <c r="EB744" s="12"/>
      <c r="EC744" s="12"/>
      <c r="ED744" s="12"/>
      <c r="EE744" s="12"/>
      <c r="EF744" s="12"/>
      <c r="EG744" s="12"/>
      <c r="EH744" s="12"/>
      <c r="EI744" s="12"/>
      <c r="EJ744" s="574"/>
      <c r="EK744" s="574"/>
      <c r="EL744" s="574"/>
      <c r="EM744" s="574"/>
      <c r="EN744" s="574"/>
      <c r="EO744" s="574"/>
      <c r="EP744" s="574"/>
      <c r="EQ744" s="574"/>
      <c r="ER744" s="574"/>
      <c r="ES744" s="574"/>
      <c r="ET744" s="574"/>
      <c r="EU744" s="574"/>
    </row>
    <row r="745">
      <c r="A745" s="12"/>
      <c r="B745" s="55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12"/>
      <c r="AY745" s="12"/>
      <c r="AZ745" s="12"/>
      <c r="BA745" s="12"/>
      <c r="BB745" s="12"/>
      <c r="BC745" s="12"/>
      <c r="BD745" s="12"/>
      <c r="BE745" s="12"/>
      <c r="BF745" s="12"/>
      <c r="BG745" s="12"/>
      <c r="BH745" s="12"/>
      <c r="BI745" s="12"/>
      <c r="BJ745" s="12"/>
      <c r="BK745" s="12"/>
      <c r="BL745" s="12"/>
      <c r="BM745" s="12"/>
      <c r="BN745" s="12"/>
      <c r="BO745" s="12"/>
      <c r="BP745" s="12"/>
      <c r="BQ745" s="12"/>
      <c r="BR745" s="12"/>
      <c r="BS745" s="12"/>
      <c r="BT745" s="12"/>
      <c r="BU745" s="12"/>
      <c r="BV745" s="12"/>
      <c r="BW745" s="12"/>
      <c r="BX745" s="12"/>
      <c r="BY745" s="12"/>
      <c r="BZ745" s="12"/>
      <c r="CA745" s="12"/>
      <c r="CB745" s="12"/>
      <c r="CC745" s="12"/>
      <c r="CD745" s="12"/>
      <c r="CE745" s="12"/>
      <c r="CF745" s="12"/>
      <c r="CG745" s="12"/>
      <c r="CH745" s="12"/>
      <c r="CI745" s="12"/>
      <c r="CJ745" s="12"/>
      <c r="CK745" s="12"/>
      <c r="CL745" s="12"/>
      <c r="CM745" s="12"/>
      <c r="CN745" s="12"/>
      <c r="CO745" s="12"/>
      <c r="CP745" s="12"/>
      <c r="CQ745" s="12"/>
      <c r="CR745" s="12"/>
      <c r="CS745" s="12"/>
      <c r="CT745" s="12"/>
      <c r="CU745" s="12"/>
      <c r="CV745" s="12"/>
      <c r="CW745" s="12"/>
      <c r="CX745" s="12"/>
      <c r="CY745" s="12"/>
      <c r="CZ745" s="12"/>
      <c r="DA745" s="12"/>
      <c r="DB745" s="12"/>
      <c r="DC745" s="12"/>
      <c r="DD745" s="12"/>
      <c r="DE745" s="12"/>
      <c r="DF745" s="12"/>
      <c r="DG745" s="12"/>
      <c r="DH745" s="12"/>
      <c r="DI745" s="12"/>
      <c r="DJ745" s="12"/>
      <c r="DK745" s="12"/>
      <c r="DL745" s="12"/>
      <c r="DM745" s="12"/>
      <c r="DN745" s="12"/>
      <c r="DO745" s="12"/>
      <c r="DP745" s="12"/>
      <c r="DQ745" s="12"/>
      <c r="DR745" s="12"/>
      <c r="DS745" s="12"/>
      <c r="DT745" s="12"/>
      <c r="DU745" s="12"/>
      <c r="DV745" s="12"/>
      <c r="DW745" s="12"/>
      <c r="DX745" s="12"/>
      <c r="DY745" s="12"/>
      <c r="DZ745" s="12"/>
      <c r="EA745" s="12"/>
      <c r="EB745" s="12"/>
      <c r="EC745" s="12"/>
      <c r="ED745" s="12"/>
      <c r="EE745" s="12"/>
      <c r="EF745" s="12"/>
      <c r="EG745" s="12"/>
      <c r="EH745" s="12"/>
      <c r="EI745" s="12"/>
      <c r="EJ745" s="574"/>
      <c r="EK745" s="574"/>
      <c r="EL745" s="574"/>
      <c r="EM745" s="574"/>
      <c r="EN745" s="574"/>
      <c r="EO745" s="574"/>
      <c r="EP745" s="574"/>
      <c r="EQ745" s="574"/>
      <c r="ER745" s="574"/>
      <c r="ES745" s="574"/>
      <c r="ET745" s="574"/>
      <c r="EU745" s="574"/>
    </row>
    <row r="746">
      <c r="A746" s="12"/>
      <c r="B746" s="55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  <c r="AX746" s="12"/>
      <c r="AY746" s="12"/>
      <c r="AZ746" s="12"/>
      <c r="BA746" s="12"/>
      <c r="BB746" s="12"/>
      <c r="BC746" s="12"/>
      <c r="BD746" s="12"/>
      <c r="BE746" s="12"/>
      <c r="BF746" s="12"/>
      <c r="BG746" s="12"/>
      <c r="BH746" s="12"/>
      <c r="BI746" s="12"/>
      <c r="BJ746" s="12"/>
      <c r="BK746" s="12"/>
      <c r="BL746" s="12"/>
      <c r="BM746" s="12"/>
      <c r="BN746" s="12"/>
      <c r="BO746" s="12"/>
      <c r="BP746" s="12"/>
      <c r="BQ746" s="12"/>
      <c r="BR746" s="12"/>
      <c r="BS746" s="12"/>
      <c r="BT746" s="12"/>
      <c r="BU746" s="12"/>
      <c r="BV746" s="12"/>
      <c r="BW746" s="12"/>
      <c r="BX746" s="12"/>
      <c r="BY746" s="12"/>
      <c r="BZ746" s="12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574"/>
      <c r="EK746" s="574"/>
      <c r="EL746" s="574"/>
      <c r="EM746" s="574"/>
      <c r="EN746" s="574"/>
      <c r="EO746" s="574"/>
      <c r="EP746" s="574"/>
      <c r="EQ746" s="574"/>
      <c r="ER746" s="574"/>
      <c r="ES746" s="574"/>
      <c r="ET746" s="574"/>
      <c r="EU746" s="574"/>
    </row>
    <row r="747">
      <c r="A747" s="12"/>
      <c r="B747" s="55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  <c r="AX747" s="12"/>
      <c r="AY747" s="12"/>
      <c r="AZ747" s="12"/>
      <c r="BA747" s="12"/>
      <c r="BB747" s="12"/>
      <c r="BC747" s="12"/>
      <c r="BD747" s="12"/>
      <c r="BE747" s="12"/>
      <c r="BF747" s="12"/>
      <c r="BG747" s="12"/>
      <c r="BH747" s="12"/>
      <c r="BI747" s="12"/>
      <c r="BJ747" s="12"/>
      <c r="BK747" s="12"/>
      <c r="BL747" s="12"/>
      <c r="BM747" s="12"/>
      <c r="BN747" s="12"/>
      <c r="BO747" s="12"/>
      <c r="BP747" s="12"/>
      <c r="BQ747" s="12"/>
      <c r="BR747" s="12"/>
      <c r="BS747" s="12"/>
      <c r="BT747" s="12"/>
      <c r="BU747" s="12"/>
      <c r="BV747" s="12"/>
      <c r="BW747" s="12"/>
      <c r="BX747" s="12"/>
      <c r="BY747" s="12"/>
      <c r="BZ747" s="12"/>
      <c r="CA747" s="12"/>
      <c r="CB747" s="12"/>
      <c r="CC747" s="12"/>
      <c r="CD747" s="12"/>
      <c r="CE747" s="12"/>
      <c r="CF747" s="12"/>
      <c r="CG747" s="12"/>
      <c r="CH747" s="12"/>
      <c r="CI747" s="12"/>
      <c r="CJ747" s="12"/>
      <c r="CK747" s="12"/>
      <c r="CL747" s="12"/>
      <c r="CM747" s="12"/>
      <c r="CN747" s="12"/>
      <c r="CO747" s="12"/>
      <c r="CP747" s="12"/>
      <c r="CQ747" s="12"/>
      <c r="CR747" s="12"/>
      <c r="CS747" s="12"/>
      <c r="CT747" s="12"/>
      <c r="CU747" s="12"/>
      <c r="CV747" s="12"/>
      <c r="CW747" s="12"/>
      <c r="CX747" s="12"/>
      <c r="CY747" s="12"/>
      <c r="CZ747" s="12"/>
      <c r="DA747" s="12"/>
      <c r="DB747" s="12"/>
      <c r="DC747" s="12"/>
      <c r="DD747" s="12"/>
      <c r="DE747" s="12"/>
      <c r="DF747" s="12"/>
      <c r="DG747" s="12"/>
      <c r="DH747" s="12"/>
      <c r="DI747" s="12"/>
      <c r="DJ747" s="12"/>
      <c r="DK747" s="12"/>
      <c r="DL747" s="12"/>
      <c r="DM747" s="12"/>
      <c r="DN747" s="12"/>
      <c r="DO747" s="12"/>
      <c r="DP747" s="12"/>
      <c r="DQ747" s="12"/>
      <c r="DR747" s="12"/>
      <c r="DS747" s="12"/>
      <c r="DT747" s="12"/>
      <c r="DU747" s="12"/>
      <c r="DV747" s="12"/>
      <c r="DW747" s="12"/>
      <c r="DX747" s="12"/>
      <c r="DY747" s="12"/>
      <c r="DZ747" s="12"/>
      <c r="EA747" s="12"/>
      <c r="EB747" s="12"/>
      <c r="EC747" s="12"/>
      <c r="ED747" s="12"/>
      <c r="EE747" s="12"/>
      <c r="EF747" s="12"/>
      <c r="EG747" s="12"/>
      <c r="EH747" s="12"/>
      <c r="EI747" s="12"/>
      <c r="EJ747" s="574"/>
      <c r="EK747" s="574"/>
      <c r="EL747" s="574"/>
      <c r="EM747" s="574"/>
      <c r="EN747" s="574"/>
      <c r="EO747" s="574"/>
      <c r="EP747" s="574"/>
      <c r="EQ747" s="574"/>
      <c r="ER747" s="574"/>
      <c r="ES747" s="574"/>
      <c r="ET747" s="574"/>
      <c r="EU747" s="574"/>
    </row>
    <row r="748">
      <c r="A748" s="12"/>
      <c r="B748" s="55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  <c r="AX748" s="12"/>
      <c r="AY748" s="12"/>
      <c r="AZ748" s="12"/>
      <c r="BA748" s="12"/>
      <c r="BB748" s="12"/>
      <c r="BC748" s="12"/>
      <c r="BD748" s="12"/>
      <c r="BE748" s="12"/>
      <c r="BF748" s="12"/>
      <c r="BG748" s="12"/>
      <c r="BH748" s="12"/>
      <c r="BI748" s="12"/>
      <c r="BJ748" s="12"/>
      <c r="BK748" s="12"/>
      <c r="BL748" s="12"/>
      <c r="BM748" s="12"/>
      <c r="BN748" s="12"/>
      <c r="BO748" s="12"/>
      <c r="BP748" s="12"/>
      <c r="BQ748" s="12"/>
      <c r="BR748" s="12"/>
      <c r="BS748" s="12"/>
      <c r="BT748" s="12"/>
      <c r="BU748" s="12"/>
      <c r="BV748" s="12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574"/>
      <c r="EK748" s="574"/>
      <c r="EL748" s="574"/>
      <c r="EM748" s="574"/>
      <c r="EN748" s="574"/>
      <c r="EO748" s="574"/>
      <c r="EP748" s="574"/>
      <c r="EQ748" s="574"/>
      <c r="ER748" s="574"/>
      <c r="ES748" s="574"/>
      <c r="ET748" s="574"/>
      <c r="EU748" s="574"/>
    </row>
    <row r="749">
      <c r="A749" s="12"/>
      <c r="B749" s="55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12"/>
      <c r="AY749" s="12"/>
      <c r="AZ749" s="12"/>
      <c r="BA749" s="12"/>
      <c r="BB749" s="12"/>
      <c r="BC749" s="12"/>
      <c r="BD749" s="12"/>
      <c r="BE749" s="12"/>
      <c r="BF749" s="12"/>
      <c r="BG749" s="12"/>
      <c r="BH749" s="12"/>
      <c r="BI749" s="12"/>
      <c r="BJ749" s="12"/>
      <c r="BK749" s="12"/>
      <c r="BL749" s="12"/>
      <c r="BM749" s="12"/>
      <c r="BN749" s="12"/>
      <c r="BO749" s="12"/>
      <c r="BP749" s="12"/>
      <c r="BQ749" s="12"/>
      <c r="BR749" s="12"/>
      <c r="BS749" s="12"/>
      <c r="BT749" s="12"/>
      <c r="BU749" s="12"/>
      <c r="BV749" s="12"/>
      <c r="BW749" s="12"/>
      <c r="BX749" s="12"/>
      <c r="BY749" s="12"/>
      <c r="BZ749" s="12"/>
      <c r="CA749" s="12"/>
      <c r="CB749" s="12"/>
      <c r="CC749" s="12"/>
      <c r="CD749" s="12"/>
      <c r="CE749" s="12"/>
      <c r="CF749" s="12"/>
      <c r="CG749" s="12"/>
      <c r="CH749" s="12"/>
      <c r="CI749" s="12"/>
      <c r="CJ749" s="12"/>
      <c r="CK749" s="12"/>
      <c r="CL749" s="12"/>
      <c r="CM749" s="12"/>
      <c r="CN749" s="12"/>
      <c r="CO749" s="12"/>
      <c r="CP749" s="12"/>
      <c r="CQ749" s="12"/>
      <c r="CR749" s="12"/>
      <c r="CS749" s="12"/>
      <c r="CT749" s="12"/>
      <c r="CU749" s="12"/>
      <c r="CV749" s="12"/>
      <c r="CW749" s="12"/>
      <c r="CX749" s="12"/>
      <c r="CY749" s="12"/>
      <c r="CZ749" s="12"/>
      <c r="DA749" s="12"/>
      <c r="DB749" s="12"/>
      <c r="DC749" s="12"/>
      <c r="DD749" s="12"/>
      <c r="DE749" s="12"/>
      <c r="DF749" s="12"/>
      <c r="DG749" s="12"/>
      <c r="DH749" s="12"/>
      <c r="DI749" s="12"/>
      <c r="DJ749" s="12"/>
      <c r="DK749" s="12"/>
      <c r="DL749" s="12"/>
      <c r="DM749" s="12"/>
      <c r="DN749" s="12"/>
      <c r="DO749" s="12"/>
      <c r="DP749" s="12"/>
      <c r="DQ749" s="12"/>
      <c r="DR749" s="12"/>
      <c r="DS749" s="12"/>
      <c r="DT749" s="12"/>
      <c r="DU749" s="12"/>
      <c r="DV749" s="12"/>
      <c r="DW749" s="12"/>
      <c r="DX749" s="12"/>
      <c r="DY749" s="12"/>
      <c r="DZ749" s="12"/>
      <c r="EA749" s="12"/>
      <c r="EB749" s="12"/>
      <c r="EC749" s="12"/>
      <c r="ED749" s="12"/>
      <c r="EE749" s="12"/>
      <c r="EF749" s="12"/>
      <c r="EG749" s="12"/>
      <c r="EH749" s="12"/>
      <c r="EI749" s="12"/>
      <c r="EJ749" s="574"/>
      <c r="EK749" s="574"/>
      <c r="EL749" s="574"/>
      <c r="EM749" s="574"/>
      <c r="EN749" s="574"/>
      <c r="EO749" s="574"/>
      <c r="EP749" s="574"/>
      <c r="EQ749" s="574"/>
      <c r="ER749" s="574"/>
      <c r="ES749" s="574"/>
      <c r="ET749" s="574"/>
      <c r="EU749" s="574"/>
    </row>
    <row r="750">
      <c r="A750" s="12"/>
      <c r="B750" s="55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12"/>
      <c r="AY750" s="12"/>
      <c r="AZ750" s="12"/>
      <c r="BA750" s="12"/>
      <c r="BB750" s="12"/>
      <c r="BC750" s="12"/>
      <c r="BD750" s="12"/>
      <c r="BE750" s="12"/>
      <c r="BF750" s="12"/>
      <c r="BG750" s="12"/>
      <c r="BH750" s="12"/>
      <c r="BI750" s="12"/>
      <c r="BJ750" s="12"/>
      <c r="BK750" s="12"/>
      <c r="BL750" s="12"/>
      <c r="BM750" s="12"/>
      <c r="BN750" s="12"/>
      <c r="BO750" s="12"/>
      <c r="BP750" s="12"/>
      <c r="BQ750" s="12"/>
      <c r="BR750" s="12"/>
      <c r="BS750" s="12"/>
      <c r="BT750" s="12"/>
      <c r="BU750" s="12"/>
      <c r="BV750" s="12"/>
      <c r="BW750" s="12"/>
      <c r="BX750" s="12"/>
      <c r="BY750" s="12"/>
      <c r="BZ750" s="12"/>
      <c r="CA750" s="12"/>
      <c r="CB750" s="12"/>
      <c r="CC750" s="12"/>
      <c r="CD750" s="12"/>
      <c r="CE750" s="12"/>
      <c r="CF750" s="12"/>
      <c r="CG750" s="12"/>
      <c r="CH750" s="12"/>
      <c r="CI750" s="12"/>
      <c r="CJ750" s="12"/>
      <c r="CK750" s="12"/>
      <c r="CL750" s="12"/>
      <c r="CM750" s="12"/>
      <c r="CN750" s="12"/>
      <c r="CO750" s="12"/>
      <c r="CP750" s="12"/>
      <c r="CQ750" s="12"/>
      <c r="CR750" s="12"/>
      <c r="CS750" s="12"/>
      <c r="CT750" s="12"/>
      <c r="CU750" s="12"/>
      <c r="CV750" s="12"/>
      <c r="CW750" s="12"/>
      <c r="CX750" s="12"/>
      <c r="CY750" s="12"/>
      <c r="CZ750" s="12"/>
      <c r="DA750" s="12"/>
      <c r="DB750" s="12"/>
      <c r="DC750" s="12"/>
      <c r="DD750" s="12"/>
      <c r="DE750" s="12"/>
      <c r="DF750" s="12"/>
      <c r="DG750" s="12"/>
      <c r="DH750" s="12"/>
      <c r="DI750" s="12"/>
      <c r="DJ750" s="12"/>
      <c r="DK750" s="12"/>
      <c r="DL750" s="12"/>
      <c r="DM750" s="12"/>
      <c r="DN750" s="12"/>
      <c r="DO750" s="12"/>
      <c r="DP750" s="12"/>
      <c r="DQ750" s="12"/>
      <c r="DR750" s="12"/>
      <c r="DS750" s="12"/>
      <c r="DT750" s="12"/>
      <c r="DU750" s="12"/>
      <c r="DV750" s="12"/>
      <c r="DW750" s="12"/>
      <c r="DX750" s="12"/>
      <c r="DY750" s="12"/>
      <c r="DZ750" s="12"/>
      <c r="EA750" s="12"/>
      <c r="EB750" s="12"/>
      <c r="EC750" s="12"/>
      <c r="ED750" s="12"/>
      <c r="EE750" s="12"/>
      <c r="EF750" s="12"/>
      <c r="EG750" s="12"/>
      <c r="EH750" s="12"/>
      <c r="EI750" s="12"/>
      <c r="EJ750" s="574"/>
      <c r="EK750" s="574"/>
      <c r="EL750" s="574"/>
      <c r="EM750" s="574"/>
      <c r="EN750" s="574"/>
      <c r="EO750" s="574"/>
      <c r="EP750" s="574"/>
      <c r="EQ750" s="574"/>
      <c r="ER750" s="574"/>
      <c r="ES750" s="574"/>
      <c r="ET750" s="574"/>
      <c r="EU750" s="574"/>
    </row>
    <row r="751">
      <c r="A751" s="12"/>
      <c r="B751" s="55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  <c r="AX751" s="12"/>
      <c r="AY751" s="12"/>
      <c r="AZ751" s="12"/>
      <c r="BA751" s="12"/>
      <c r="BB751" s="12"/>
      <c r="BC751" s="12"/>
      <c r="BD751" s="12"/>
      <c r="BE751" s="12"/>
      <c r="BF751" s="12"/>
      <c r="BG751" s="12"/>
      <c r="BH751" s="12"/>
      <c r="BI751" s="12"/>
      <c r="BJ751" s="12"/>
      <c r="BK751" s="12"/>
      <c r="BL751" s="12"/>
      <c r="BM751" s="12"/>
      <c r="BN751" s="12"/>
      <c r="BO751" s="12"/>
      <c r="BP751" s="12"/>
      <c r="BQ751" s="12"/>
      <c r="BR751" s="12"/>
      <c r="BS751" s="12"/>
      <c r="BT751" s="12"/>
      <c r="BU751" s="12"/>
      <c r="BV751" s="12"/>
      <c r="BW751" s="12"/>
      <c r="BX751" s="12"/>
      <c r="BY751" s="12"/>
      <c r="BZ751" s="12"/>
      <c r="CA751" s="12"/>
      <c r="CB751" s="12"/>
      <c r="CC751" s="12"/>
      <c r="CD751" s="12"/>
      <c r="CE751" s="12"/>
      <c r="CF751" s="12"/>
      <c r="CG751" s="12"/>
      <c r="CH751" s="12"/>
      <c r="CI751" s="12"/>
      <c r="CJ751" s="12"/>
      <c r="CK751" s="12"/>
      <c r="CL751" s="12"/>
      <c r="CM751" s="12"/>
      <c r="CN751" s="12"/>
      <c r="CO751" s="12"/>
      <c r="CP751" s="12"/>
      <c r="CQ751" s="12"/>
      <c r="CR751" s="12"/>
      <c r="CS751" s="12"/>
      <c r="CT751" s="12"/>
      <c r="CU751" s="12"/>
      <c r="CV751" s="12"/>
      <c r="CW751" s="12"/>
      <c r="CX751" s="12"/>
      <c r="CY751" s="12"/>
      <c r="CZ751" s="12"/>
      <c r="DA751" s="12"/>
      <c r="DB751" s="12"/>
      <c r="DC751" s="12"/>
      <c r="DD751" s="12"/>
      <c r="DE751" s="12"/>
      <c r="DF751" s="12"/>
      <c r="DG751" s="12"/>
      <c r="DH751" s="12"/>
      <c r="DI751" s="12"/>
      <c r="DJ751" s="12"/>
      <c r="DK751" s="12"/>
      <c r="DL751" s="12"/>
      <c r="DM751" s="12"/>
      <c r="DN751" s="12"/>
      <c r="DO751" s="12"/>
      <c r="DP751" s="12"/>
      <c r="DQ751" s="12"/>
      <c r="DR751" s="12"/>
      <c r="DS751" s="12"/>
      <c r="DT751" s="12"/>
      <c r="DU751" s="12"/>
      <c r="DV751" s="12"/>
      <c r="DW751" s="12"/>
      <c r="DX751" s="12"/>
      <c r="DY751" s="12"/>
      <c r="DZ751" s="12"/>
      <c r="EA751" s="12"/>
      <c r="EB751" s="12"/>
      <c r="EC751" s="12"/>
      <c r="ED751" s="12"/>
      <c r="EE751" s="12"/>
      <c r="EF751" s="12"/>
      <c r="EG751" s="12"/>
      <c r="EH751" s="12"/>
      <c r="EI751" s="12"/>
      <c r="EJ751" s="574"/>
      <c r="EK751" s="574"/>
      <c r="EL751" s="574"/>
      <c r="EM751" s="574"/>
      <c r="EN751" s="574"/>
      <c r="EO751" s="574"/>
      <c r="EP751" s="574"/>
      <c r="EQ751" s="574"/>
      <c r="ER751" s="574"/>
      <c r="ES751" s="574"/>
      <c r="ET751" s="574"/>
      <c r="EU751" s="574"/>
    </row>
    <row r="752">
      <c r="A752" s="12"/>
      <c r="B752" s="55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12"/>
      <c r="AY752" s="12"/>
      <c r="AZ752" s="12"/>
      <c r="BA752" s="12"/>
      <c r="BB752" s="12"/>
      <c r="BC752" s="12"/>
      <c r="BD752" s="12"/>
      <c r="BE752" s="12"/>
      <c r="BF752" s="12"/>
      <c r="BG752" s="12"/>
      <c r="BH752" s="12"/>
      <c r="BI752" s="12"/>
      <c r="BJ752" s="12"/>
      <c r="BK752" s="12"/>
      <c r="BL752" s="12"/>
      <c r="BM752" s="12"/>
      <c r="BN752" s="12"/>
      <c r="BO752" s="12"/>
      <c r="BP752" s="12"/>
      <c r="BQ752" s="12"/>
      <c r="BR752" s="12"/>
      <c r="BS752" s="12"/>
      <c r="BT752" s="12"/>
      <c r="BU752" s="12"/>
      <c r="BV752" s="12"/>
      <c r="BW752" s="12"/>
      <c r="BX752" s="12"/>
      <c r="BY752" s="12"/>
      <c r="BZ752" s="12"/>
      <c r="CA752" s="12"/>
      <c r="CB752" s="12"/>
      <c r="CC752" s="12"/>
      <c r="CD752" s="12"/>
      <c r="CE752" s="12"/>
      <c r="CF752" s="12"/>
      <c r="CG752" s="12"/>
      <c r="CH752" s="12"/>
      <c r="CI752" s="12"/>
      <c r="CJ752" s="12"/>
      <c r="CK752" s="12"/>
      <c r="CL752" s="12"/>
      <c r="CM752" s="12"/>
      <c r="CN752" s="12"/>
      <c r="CO752" s="12"/>
      <c r="CP752" s="12"/>
      <c r="CQ752" s="12"/>
      <c r="CR752" s="12"/>
      <c r="CS752" s="12"/>
      <c r="CT752" s="12"/>
      <c r="CU752" s="12"/>
      <c r="CV752" s="12"/>
      <c r="CW752" s="12"/>
      <c r="CX752" s="12"/>
      <c r="CY752" s="12"/>
      <c r="CZ752" s="12"/>
      <c r="DA752" s="12"/>
      <c r="DB752" s="12"/>
      <c r="DC752" s="12"/>
      <c r="DD752" s="12"/>
      <c r="DE752" s="12"/>
      <c r="DF752" s="12"/>
      <c r="DG752" s="12"/>
      <c r="DH752" s="12"/>
      <c r="DI752" s="12"/>
      <c r="DJ752" s="12"/>
      <c r="DK752" s="12"/>
      <c r="DL752" s="12"/>
      <c r="DM752" s="12"/>
      <c r="DN752" s="12"/>
      <c r="DO752" s="12"/>
      <c r="DP752" s="12"/>
      <c r="DQ752" s="12"/>
      <c r="DR752" s="12"/>
      <c r="DS752" s="12"/>
      <c r="DT752" s="12"/>
      <c r="DU752" s="12"/>
      <c r="DV752" s="12"/>
      <c r="DW752" s="12"/>
      <c r="DX752" s="12"/>
      <c r="DY752" s="12"/>
      <c r="DZ752" s="12"/>
      <c r="EA752" s="12"/>
      <c r="EB752" s="12"/>
      <c r="EC752" s="12"/>
      <c r="ED752" s="12"/>
      <c r="EE752" s="12"/>
      <c r="EF752" s="12"/>
      <c r="EG752" s="12"/>
      <c r="EH752" s="12"/>
      <c r="EI752" s="12"/>
      <c r="EJ752" s="574"/>
      <c r="EK752" s="574"/>
      <c r="EL752" s="574"/>
      <c r="EM752" s="574"/>
      <c r="EN752" s="574"/>
      <c r="EO752" s="574"/>
      <c r="EP752" s="574"/>
      <c r="EQ752" s="574"/>
      <c r="ER752" s="574"/>
      <c r="ES752" s="574"/>
      <c r="ET752" s="574"/>
      <c r="EU752" s="574"/>
    </row>
    <row r="753">
      <c r="A753" s="12"/>
      <c r="B753" s="55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  <c r="AX753" s="12"/>
      <c r="AY753" s="12"/>
      <c r="AZ753" s="12"/>
      <c r="BA753" s="12"/>
      <c r="BB753" s="12"/>
      <c r="BC753" s="12"/>
      <c r="BD753" s="12"/>
      <c r="BE753" s="12"/>
      <c r="BF753" s="12"/>
      <c r="BG753" s="12"/>
      <c r="BH753" s="12"/>
      <c r="BI753" s="12"/>
      <c r="BJ753" s="12"/>
      <c r="BK753" s="12"/>
      <c r="BL753" s="12"/>
      <c r="BM753" s="12"/>
      <c r="BN753" s="12"/>
      <c r="BO753" s="12"/>
      <c r="BP753" s="12"/>
      <c r="BQ753" s="12"/>
      <c r="BR753" s="12"/>
      <c r="BS753" s="12"/>
      <c r="BT753" s="12"/>
      <c r="BU753" s="12"/>
      <c r="BV753" s="12"/>
      <c r="BW753" s="12"/>
      <c r="BX753" s="12"/>
      <c r="BY753" s="12"/>
      <c r="BZ753" s="12"/>
      <c r="CA753" s="12"/>
      <c r="CB753" s="12"/>
      <c r="CC753" s="12"/>
      <c r="CD753" s="12"/>
      <c r="CE753" s="12"/>
      <c r="CF753" s="12"/>
      <c r="CG753" s="12"/>
      <c r="CH753" s="12"/>
      <c r="CI753" s="12"/>
      <c r="CJ753" s="12"/>
      <c r="CK753" s="12"/>
      <c r="CL753" s="12"/>
      <c r="CM753" s="12"/>
      <c r="CN753" s="12"/>
      <c r="CO753" s="12"/>
      <c r="CP753" s="12"/>
      <c r="CQ753" s="12"/>
      <c r="CR753" s="12"/>
      <c r="CS753" s="12"/>
      <c r="CT753" s="12"/>
      <c r="CU753" s="12"/>
      <c r="CV753" s="12"/>
      <c r="CW753" s="12"/>
      <c r="CX753" s="12"/>
      <c r="CY753" s="12"/>
      <c r="CZ753" s="12"/>
      <c r="DA753" s="12"/>
      <c r="DB753" s="12"/>
      <c r="DC753" s="12"/>
      <c r="DD753" s="12"/>
      <c r="DE753" s="12"/>
      <c r="DF753" s="12"/>
      <c r="DG753" s="12"/>
      <c r="DH753" s="12"/>
      <c r="DI753" s="12"/>
      <c r="DJ753" s="12"/>
      <c r="DK753" s="12"/>
      <c r="DL753" s="12"/>
      <c r="DM753" s="12"/>
      <c r="DN753" s="12"/>
      <c r="DO753" s="12"/>
      <c r="DP753" s="12"/>
      <c r="DQ753" s="12"/>
      <c r="DR753" s="12"/>
      <c r="DS753" s="12"/>
      <c r="DT753" s="12"/>
      <c r="DU753" s="12"/>
      <c r="DV753" s="12"/>
      <c r="DW753" s="12"/>
      <c r="DX753" s="12"/>
      <c r="DY753" s="12"/>
      <c r="DZ753" s="12"/>
      <c r="EA753" s="12"/>
      <c r="EB753" s="12"/>
      <c r="EC753" s="12"/>
      <c r="ED753" s="12"/>
      <c r="EE753" s="12"/>
      <c r="EF753" s="12"/>
      <c r="EG753" s="12"/>
      <c r="EH753" s="12"/>
      <c r="EI753" s="12"/>
      <c r="EJ753" s="574"/>
      <c r="EK753" s="574"/>
      <c r="EL753" s="574"/>
      <c r="EM753" s="574"/>
      <c r="EN753" s="574"/>
      <c r="EO753" s="574"/>
      <c r="EP753" s="574"/>
      <c r="EQ753" s="574"/>
      <c r="ER753" s="574"/>
      <c r="ES753" s="574"/>
      <c r="ET753" s="574"/>
      <c r="EU753" s="574"/>
    </row>
    <row r="754">
      <c r="A754" s="12"/>
      <c r="B754" s="55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  <c r="AX754" s="12"/>
      <c r="AY754" s="12"/>
      <c r="AZ754" s="12"/>
      <c r="BA754" s="12"/>
      <c r="BB754" s="12"/>
      <c r="BC754" s="12"/>
      <c r="BD754" s="12"/>
      <c r="BE754" s="12"/>
      <c r="BF754" s="12"/>
      <c r="BG754" s="12"/>
      <c r="BH754" s="12"/>
      <c r="BI754" s="12"/>
      <c r="BJ754" s="12"/>
      <c r="BK754" s="12"/>
      <c r="BL754" s="12"/>
      <c r="BM754" s="12"/>
      <c r="BN754" s="12"/>
      <c r="BO754" s="12"/>
      <c r="BP754" s="12"/>
      <c r="BQ754" s="12"/>
      <c r="BR754" s="12"/>
      <c r="BS754" s="12"/>
      <c r="BT754" s="12"/>
      <c r="BU754" s="12"/>
      <c r="BV754" s="12"/>
      <c r="BW754" s="12"/>
      <c r="BX754" s="12"/>
      <c r="BY754" s="12"/>
      <c r="BZ754" s="12"/>
      <c r="CA754" s="12"/>
      <c r="CB754" s="12"/>
      <c r="CC754" s="12"/>
      <c r="CD754" s="12"/>
      <c r="CE754" s="12"/>
      <c r="CF754" s="12"/>
      <c r="CG754" s="12"/>
      <c r="CH754" s="12"/>
      <c r="CI754" s="12"/>
      <c r="CJ754" s="12"/>
      <c r="CK754" s="12"/>
      <c r="CL754" s="12"/>
      <c r="CM754" s="12"/>
      <c r="CN754" s="12"/>
      <c r="CO754" s="12"/>
      <c r="CP754" s="12"/>
      <c r="CQ754" s="12"/>
      <c r="CR754" s="12"/>
      <c r="CS754" s="12"/>
      <c r="CT754" s="12"/>
      <c r="CU754" s="12"/>
      <c r="CV754" s="12"/>
      <c r="CW754" s="12"/>
      <c r="CX754" s="12"/>
      <c r="CY754" s="12"/>
      <c r="CZ754" s="12"/>
      <c r="DA754" s="12"/>
      <c r="DB754" s="12"/>
      <c r="DC754" s="12"/>
      <c r="DD754" s="12"/>
      <c r="DE754" s="12"/>
      <c r="DF754" s="12"/>
      <c r="DG754" s="12"/>
      <c r="DH754" s="12"/>
      <c r="DI754" s="12"/>
      <c r="DJ754" s="12"/>
      <c r="DK754" s="12"/>
      <c r="DL754" s="12"/>
      <c r="DM754" s="12"/>
      <c r="DN754" s="12"/>
      <c r="DO754" s="12"/>
      <c r="DP754" s="12"/>
      <c r="DQ754" s="12"/>
      <c r="DR754" s="12"/>
      <c r="DS754" s="12"/>
      <c r="DT754" s="12"/>
      <c r="DU754" s="12"/>
      <c r="DV754" s="12"/>
      <c r="DW754" s="12"/>
      <c r="DX754" s="12"/>
      <c r="DY754" s="12"/>
      <c r="DZ754" s="12"/>
      <c r="EA754" s="12"/>
      <c r="EB754" s="12"/>
      <c r="EC754" s="12"/>
      <c r="ED754" s="12"/>
      <c r="EE754" s="12"/>
      <c r="EF754" s="12"/>
      <c r="EG754" s="12"/>
      <c r="EH754" s="12"/>
      <c r="EI754" s="12"/>
      <c r="EJ754" s="574"/>
      <c r="EK754" s="574"/>
      <c r="EL754" s="574"/>
      <c r="EM754" s="574"/>
      <c r="EN754" s="574"/>
      <c r="EO754" s="574"/>
      <c r="EP754" s="574"/>
      <c r="EQ754" s="574"/>
      <c r="ER754" s="574"/>
      <c r="ES754" s="574"/>
      <c r="ET754" s="574"/>
      <c r="EU754" s="574"/>
    </row>
    <row r="755">
      <c r="A755" s="12"/>
      <c r="B755" s="55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  <c r="AX755" s="12"/>
      <c r="AY755" s="12"/>
      <c r="AZ755" s="12"/>
      <c r="BA755" s="12"/>
      <c r="BB755" s="12"/>
      <c r="BC755" s="12"/>
      <c r="BD755" s="12"/>
      <c r="BE755" s="12"/>
      <c r="BF755" s="12"/>
      <c r="BG755" s="12"/>
      <c r="BH755" s="12"/>
      <c r="BI755" s="12"/>
      <c r="BJ755" s="12"/>
      <c r="BK755" s="12"/>
      <c r="BL755" s="12"/>
      <c r="BM755" s="12"/>
      <c r="BN755" s="12"/>
      <c r="BO755" s="12"/>
      <c r="BP755" s="12"/>
      <c r="BQ755" s="12"/>
      <c r="BR755" s="12"/>
      <c r="BS755" s="12"/>
      <c r="BT755" s="12"/>
      <c r="BU755" s="12"/>
      <c r="BV755" s="12"/>
      <c r="BW755" s="12"/>
      <c r="BX755" s="12"/>
      <c r="BY755" s="12"/>
      <c r="BZ755" s="12"/>
      <c r="CA755" s="12"/>
      <c r="CB755" s="12"/>
      <c r="CC755" s="12"/>
      <c r="CD755" s="12"/>
      <c r="CE755" s="12"/>
      <c r="CF755" s="12"/>
      <c r="CG755" s="12"/>
      <c r="CH755" s="12"/>
      <c r="CI755" s="12"/>
      <c r="CJ755" s="12"/>
      <c r="CK755" s="12"/>
      <c r="CL755" s="12"/>
      <c r="CM755" s="12"/>
      <c r="CN755" s="12"/>
      <c r="CO755" s="12"/>
      <c r="CP755" s="12"/>
      <c r="CQ755" s="12"/>
      <c r="CR755" s="12"/>
      <c r="CS755" s="12"/>
      <c r="CT755" s="12"/>
      <c r="CU755" s="12"/>
      <c r="CV755" s="12"/>
      <c r="CW755" s="12"/>
      <c r="CX755" s="12"/>
      <c r="CY755" s="12"/>
      <c r="CZ755" s="12"/>
      <c r="DA755" s="12"/>
      <c r="DB755" s="12"/>
      <c r="DC755" s="12"/>
      <c r="DD755" s="12"/>
      <c r="DE755" s="12"/>
      <c r="DF755" s="12"/>
      <c r="DG755" s="12"/>
      <c r="DH755" s="12"/>
      <c r="DI755" s="12"/>
      <c r="DJ755" s="12"/>
      <c r="DK755" s="12"/>
      <c r="DL755" s="12"/>
      <c r="DM755" s="12"/>
      <c r="DN755" s="12"/>
      <c r="DO755" s="12"/>
      <c r="DP755" s="12"/>
      <c r="DQ755" s="12"/>
      <c r="DR755" s="12"/>
      <c r="DS755" s="12"/>
      <c r="DT755" s="12"/>
      <c r="DU755" s="12"/>
      <c r="DV755" s="12"/>
      <c r="DW755" s="12"/>
      <c r="DX755" s="12"/>
      <c r="DY755" s="12"/>
      <c r="DZ755" s="12"/>
      <c r="EA755" s="12"/>
      <c r="EB755" s="12"/>
      <c r="EC755" s="12"/>
      <c r="ED755" s="12"/>
      <c r="EE755" s="12"/>
      <c r="EF755" s="12"/>
      <c r="EG755" s="12"/>
      <c r="EH755" s="12"/>
      <c r="EI755" s="12"/>
      <c r="EJ755" s="574"/>
      <c r="EK755" s="574"/>
      <c r="EL755" s="574"/>
      <c r="EM755" s="574"/>
      <c r="EN755" s="574"/>
      <c r="EO755" s="574"/>
      <c r="EP755" s="574"/>
      <c r="EQ755" s="574"/>
      <c r="ER755" s="574"/>
      <c r="ES755" s="574"/>
      <c r="ET755" s="574"/>
      <c r="EU755" s="574"/>
    </row>
    <row r="756">
      <c r="A756" s="12"/>
      <c r="B756" s="55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12"/>
      <c r="AY756" s="12"/>
      <c r="AZ756" s="12"/>
      <c r="BA756" s="12"/>
      <c r="BB756" s="12"/>
      <c r="BC756" s="12"/>
      <c r="BD756" s="12"/>
      <c r="BE756" s="12"/>
      <c r="BF756" s="12"/>
      <c r="BG756" s="12"/>
      <c r="BH756" s="12"/>
      <c r="BI756" s="12"/>
      <c r="BJ756" s="12"/>
      <c r="BK756" s="12"/>
      <c r="BL756" s="12"/>
      <c r="BM756" s="12"/>
      <c r="BN756" s="12"/>
      <c r="BO756" s="12"/>
      <c r="BP756" s="12"/>
      <c r="BQ756" s="12"/>
      <c r="BR756" s="12"/>
      <c r="BS756" s="12"/>
      <c r="BT756" s="12"/>
      <c r="BU756" s="12"/>
      <c r="BV756" s="12"/>
      <c r="BW756" s="12"/>
      <c r="BX756" s="12"/>
      <c r="BY756" s="12"/>
      <c r="BZ756" s="12"/>
      <c r="CA756" s="12"/>
      <c r="CB756" s="12"/>
      <c r="CC756" s="12"/>
      <c r="CD756" s="12"/>
      <c r="CE756" s="12"/>
      <c r="CF756" s="12"/>
      <c r="CG756" s="12"/>
      <c r="CH756" s="12"/>
      <c r="CI756" s="12"/>
      <c r="CJ756" s="12"/>
      <c r="CK756" s="12"/>
      <c r="CL756" s="12"/>
      <c r="CM756" s="12"/>
      <c r="CN756" s="12"/>
      <c r="CO756" s="12"/>
      <c r="CP756" s="12"/>
      <c r="CQ756" s="12"/>
      <c r="CR756" s="12"/>
      <c r="CS756" s="12"/>
      <c r="CT756" s="12"/>
      <c r="CU756" s="12"/>
      <c r="CV756" s="12"/>
      <c r="CW756" s="12"/>
      <c r="CX756" s="12"/>
      <c r="CY756" s="12"/>
      <c r="CZ756" s="12"/>
      <c r="DA756" s="12"/>
      <c r="DB756" s="12"/>
      <c r="DC756" s="12"/>
      <c r="DD756" s="12"/>
      <c r="DE756" s="12"/>
      <c r="DF756" s="12"/>
      <c r="DG756" s="12"/>
      <c r="DH756" s="12"/>
      <c r="DI756" s="12"/>
      <c r="DJ756" s="12"/>
      <c r="DK756" s="12"/>
      <c r="DL756" s="12"/>
      <c r="DM756" s="12"/>
      <c r="DN756" s="12"/>
      <c r="DO756" s="12"/>
      <c r="DP756" s="12"/>
      <c r="DQ756" s="12"/>
      <c r="DR756" s="12"/>
      <c r="DS756" s="12"/>
      <c r="DT756" s="12"/>
      <c r="DU756" s="12"/>
      <c r="DV756" s="12"/>
      <c r="DW756" s="12"/>
      <c r="DX756" s="12"/>
      <c r="DY756" s="12"/>
      <c r="DZ756" s="12"/>
      <c r="EA756" s="12"/>
      <c r="EB756" s="12"/>
      <c r="EC756" s="12"/>
      <c r="ED756" s="12"/>
      <c r="EE756" s="12"/>
      <c r="EF756" s="12"/>
      <c r="EG756" s="12"/>
      <c r="EH756" s="12"/>
      <c r="EI756" s="12"/>
      <c r="EJ756" s="574"/>
      <c r="EK756" s="574"/>
      <c r="EL756" s="574"/>
      <c r="EM756" s="574"/>
      <c r="EN756" s="574"/>
      <c r="EO756" s="574"/>
      <c r="EP756" s="574"/>
      <c r="EQ756" s="574"/>
      <c r="ER756" s="574"/>
      <c r="ES756" s="574"/>
      <c r="ET756" s="574"/>
      <c r="EU756" s="574"/>
    </row>
    <row r="757">
      <c r="A757" s="12"/>
      <c r="B757" s="55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  <c r="AX757" s="12"/>
      <c r="AY757" s="12"/>
      <c r="AZ757" s="12"/>
      <c r="BA757" s="12"/>
      <c r="BB757" s="12"/>
      <c r="BC757" s="12"/>
      <c r="BD757" s="12"/>
      <c r="BE757" s="12"/>
      <c r="BF757" s="12"/>
      <c r="BG757" s="12"/>
      <c r="BH757" s="12"/>
      <c r="BI757" s="12"/>
      <c r="BJ757" s="12"/>
      <c r="BK757" s="12"/>
      <c r="BL757" s="12"/>
      <c r="BM757" s="12"/>
      <c r="BN757" s="12"/>
      <c r="BO757" s="12"/>
      <c r="BP757" s="12"/>
      <c r="BQ757" s="12"/>
      <c r="BR757" s="12"/>
      <c r="BS757" s="12"/>
      <c r="BT757" s="12"/>
      <c r="BU757" s="12"/>
      <c r="BV757" s="12"/>
      <c r="BW757" s="12"/>
      <c r="BX757" s="12"/>
      <c r="BY757" s="12"/>
      <c r="BZ757" s="12"/>
      <c r="CA757" s="12"/>
      <c r="CB757" s="12"/>
      <c r="CC757" s="12"/>
      <c r="CD757" s="12"/>
      <c r="CE757" s="12"/>
      <c r="CF757" s="12"/>
      <c r="CG757" s="12"/>
      <c r="CH757" s="12"/>
      <c r="CI757" s="12"/>
      <c r="CJ757" s="12"/>
      <c r="CK757" s="12"/>
      <c r="CL757" s="12"/>
      <c r="CM757" s="12"/>
      <c r="CN757" s="12"/>
      <c r="CO757" s="12"/>
      <c r="CP757" s="12"/>
      <c r="CQ757" s="12"/>
      <c r="CR757" s="12"/>
      <c r="CS757" s="12"/>
      <c r="CT757" s="12"/>
      <c r="CU757" s="12"/>
      <c r="CV757" s="12"/>
      <c r="CW757" s="12"/>
      <c r="CX757" s="12"/>
      <c r="CY757" s="12"/>
      <c r="CZ757" s="12"/>
      <c r="DA757" s="12"/>
      <c r="DB757" s="12"/>
      <c r="DC757" s="12"/>
      <c r="DD757" s="12"/>
      <c r="DE757" s="12"/>
      <c r="DF757" s="12"/>
      <c r="DG757" s="12"/>
      <c r="DH757" s="12"/>
      <c r="DI757" s="12"/>
      <c r="DJ757" s="12"/>
      <c r="DK757" s="12"/>
      <c r="DL757" s="12"/>
      <c r="DM757" s="12"/>
      <c r="DN757" s="12"/>
      <c r="DO757" s="12"/>
      <c r="DP757" s="12"/>
      <c r="DQ757" s="12"/>
      <c r="DR757" s="12"/>
      <c r="DS757" s="12"/>
      <c r="DT757" s="12"/>
      <c r="DU757" s="12"/>
      <c r="DV757" s="12"/>
      <c r="DW757" s="12"/>
      <c r="DX757" s="12"/>
      <c r="DY757" s="12"/>
      <c r="DZ757" s="12"/>
      <c r="EA757" s="12"/>
      <c r="EB757" s="12"/>
      <c r="EC757" s="12"/>
      <c r="ED757" s="12"/>
      <c r="EE757" s="12"/>
      <c r="EF757" s="12"/>
      <c r="EG757" s="12"/>
      <c r="EH757" s="12"/>
      <c r="EI757" s="12"/>
      <c r="EJ757" s="574"/>
      <c r="EK757" s="574"/>
      <c r="EL757" s="574"/>
      <c r="EM757" s="574"/>
      <c r="EN757" s="574"/>
      <c r="EO757" s="574"/>
      <c r="EP757" s="574"/>
      <c r="EQ757" s="574"/>
      <c r="ER757" s="574"/>
      <c r="ES757" s="574"/>
      <c r="ET757" s="574"/>
      <c r="EU757" s="574"/>
    </row>
    <row r="758">
      <c r="A758" s="12"/>
      <c r="B758" s="55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  <c r="AX758" s="12"/>
      <c r="AY758" s="12"/>
      <c r="AZ758" s="12"/>
      <c r="BA758" s="12"/>
      <c r="BB758" s="12"/>
      <c r="BC758" s="12"/>
      <c r="BD758" s="12"/>
      <c r="BE758" s="12"/>
      <c r="BF758" s="12"/>
      <c r="BG758" s="12"/>
      <c r="BH758" s="12"/>
      <c r="BI758" s="12"/>
      <c r="BJ758" s="12"/>
      <c r="BK758" s="12"/>
      <c r="BL758" s="12"/>
      <c r="BM758" s="12"/>
      <c r="BN758" s="12"/>
      <c r="BO758" s="12"/>
      <c r="BP758" s="12"/>
      <c r="BQ758" s="12"/>
      <c r="BR758" s="12"/>
      <c r="BS758" s="12"/>
      <c r="BT758" s="12"/>
      <c r="BU758" s="12"/>
      <c r="BV758" s="12"/>
      <c r="BW758" s="12"/>
      <c r="BX758" s="12"/>
      <c r="BY758" s="12"/>
      <c r="BZ758" s="12"/>
      <c r="CA758" s="12"/>
      <c r="CB758" s="12"/>
      <c r="CC758" s="12"/>
      <c r="CD758" s="12"/>
      <c r="CE758" s="12"/>
      <c r="CF758" s="12"/>
      <c r="CG758" s="12"/>
      <c r="CH758" s="12"/>
      <c r="CI758" s="12"/>
      <c r="CJ758" s="12"/>
      <c r="CK758" s="12"/>
      <c r="CL758" s="12"/>
      <c r="CM758" s="12"/>
      <c r="CN758" s="12"/>
      <c r="CO758" s="12"/>
      <c r="CP758" s="12"/>
      <c r="CQ758" s="12"/>
      <c r="CR758" s="12"/>
      <c r="CS758" s="12"/>
      <c r="CT758" s="12"/>
      <c r="CU758" s="12"/>
      <c r="CV758" s="12"/>
      <c r="CW758" s="12"/>
      <c r="CX758" s="12"/>
      <c r="CY758" s="12"/>
      <c r="CZ758" s="12"/>
      <c r="DA758" s="12"/>
      <c r="DB758" s="12"/>
      <c r="DC758" s="12"/>
      <c r="DD758" s="12"/>
      <c r="DE758" s="12"/>
      <c r="DF758" s="12"/>
      <c r="DG758" s="12"/>
      <c r="DH758" s="12"/>
      <c r="DI758" s="12"/>
      <c r="DJ758" s="12"/>
      <c r="DK758" s="12"/>
      <c r="DL758" s="12"/>
      <c r="DM758" s="12"/>
      <c r="DN758" s="12"/>
      <c r="DO758" s="12"/>
      <c r="DP758" s="12"/>
      <c r="DQ758" s="12"/>
      <c r="DR758" s="12"/>
      <c r="DS758" s="12"/>
      <c r="DT758" s="12"/>
      <c r="DU758" s="12"/>
      <c r="DV758" s="12"/>
      <c r="DW758" s="12"/>
      <c r="DX758" s="12"/>
      <c r="DY758" s="12"/>
      <c r="DZ758" s="12"/>
      <c r="EA758" s="12"/>
      <c r="EB758" s="12"/>
      <c r="EC758" s="12"/>
      <c r="ED758" s="12"/>
      <c r="EE758" s="12"/>
      <c r="EF758" s="12"/>
      <c r="EG758" s="12"/>
      <c r="EH758" s="12"/>
      <c r="EI758" s="12"/>
      <c r="EJ758" s="574"/>
      <c r="EK758" s="574"/>
      <c r="EL758" s="574"/>
      <c r="EM758" s="574"/>
      <c r="EN758" s="574"/>
      <c r="EO758" s="574"/>
      <c r="EP758" s="574"/>
      <c r="EQ758" s="574"/>
      <c r="ER758" s="574"/>
      <c r="ES758" s="574"/>
      <c r="ET758" s="574"/>
      <c r="EU758" s="574"/>
    </row>
    <row r="759">
      <c r="A759" s="12"/>
      <c r="B759" s="55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  <c r="AX759" s="12"/>
      <c r="AY759" s="12"/>
      <c r="AZ759" s="12"/>
      <c r="BA759" s="12"/>
      <c r="BB759" s="12"/>
      <c r="BC759" s="12"/>
      <c r="BD759" s="12"/>
      <c r="BE759" s="12"/>
      <c r="BF759" s="12"/>
      <c r="BG759" s="12"/>
      <c r="BH759" s="12"/>
      <c r="BI759" s="12"/>
      <c r="BJ759" s="12"/>
      <c r="BK759" s="12"/>
      <c r="BL759" s="12"/>
      <c r="BM759" s="12"/>
      <c r="BN759" s="12"/>
      <c r="BO759" s="12"/>
      <c r="BP759" s="12"/>
      <c r="BQ759" s="12"/>
      <c r="BR759" s="12"/>
      <c r="BS759" s="12"/>
      <c r="BT759" s="12"/>
      <c r="BU759" s="12"/>
      <c r="BV759" s="12"/>
      <c r="BW759" s="12"/>
      <c r="BX759" s="12"/>
      <c r="BY759" s="12"/>
      <c r="BZ759" s="12"/>
      <c r="CA759" s="12"/>
      <c r="CB759" s="12"/>
      <c r="CC759" s="12"/>
      <c r="CD759" s="12"/>
      <c r="CE759" s="12"/>
      <c r="CF759" s="12"/>
      <c r="CG759" s="12"/>
      <c r="CH759" s="12"/>
      <c r="CI759" s="12"/>
      <c r="CJ759" s="12"/>
      <c r="CK759" s="12"/>
      <c r="CL759" s="12"/>
      <c r="CM759" s="12"/>
      <c r="CN759" s="12"/>
      <c r="CO759" s="12"/>
      <c r="CP759" s="12"/>
      <c r="CQ759" s="12"/>
      <c r="CR759" s="12"/>
      <c r="CS759" s="12"/>
      <c r="CT759" s="12"/>
      <c r="CU759" s="12"/>
      <c r="CV759" s="12"/>
      <c r="CW759" s="12"/>
      <c r="CX759" s="12"/>
      <c r="CY759" s="12"/>
      <c r="CZ759" s="12"/>
      <c r="DA759" s="12"/>
      <c r="DB759" s="12"/>
      <c r="DC759" s="12"/>
      <c r="DD759" s="12"/>
      <c r="DE759" s="12"/>
      <c r="DF759" s="12"/>
      <c r="DG759" s="12"/>
      <c r="DH759" s="12"/>
      <c r="DI759" s="12"/>
      <c r="DJ759" s="12"/>
      <c r="DK759" s="12"/>
      <c r="DL759" s="12"/>
      <c r="DM759" s="12"/>
      <c r="DN759" s="12"/>
      <c r="DO759" s="12"/>
      <c r="DP759" s="12"/>
      <c r="DQ759" s="12"/>
      <c r="DR759" s="12"/>
      <c r="DS759" s="12"/>
      <c r="DT759" s="12"/>
      <c r="DU759" s="12"/>
      <c r="DV759" s="12"/>
      <c r="DW759" s="12"/>
      <c r="DX759" s="12"/>
      <c r="DY759" s="12"/>
      <c r="DZ759" s="12"/>
      <c r="EA759" s="12"/>
      <c r="EB759" s="12"/>
      <c r="EC759" s="12"/>
      <c r="ED759" s="12"/>
      <c r="EE759" s="12"/>
      <c r="EF759" s="12"/>
      <c r="EG759" s="12"/>
      <c r="EH759" s="12"/>
      <c r="EI759" s="12"/>
      <c r="EJ759" s="574"/>
      <c r="EK759" s="574"/>
      <c r="EL759" s="574"/>
      <c r="EM759" s="574"/>
      <c r="EN759" s="574"/>
      <c r="EO759" s="574"/>
      <c r="EP759" s="574"/>
      <c r="EQ759" s="574"/>
      <c r="ER759" s="574"/>
      <c r="ES759" s="574"/>
      <c r="ET759" s="574"/>
      <c r="EU759" s="574"/>
    </row>
    <row r="760">
      <c r="A760" s="12"/>
      <c r="B760" s="55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12"/>
      <c r="AY760" s="12"/>
      <c r="AZ760" s="12"/>
      <c r="BA760" s="12"/>
      <c r="BB760" s="12"/>
      <c r="BC760" s="12"/>
      <c r="BD760" s="12"/>
      <c r="BE760" s="12"/>
      <c r="BF760" s="12"/>
      <c r="BG760" s="12"/>
      <c r="BH760" s="12"/>
      <c r="BI760" s="12"/>
      <c r="BJ760" s="12"/>
      <c r="BK760" s="12"/>
      <c r="BL760" s="12"/>
      <c r="BM760" s="12"/>
      <c r="BN760" s="12"/>
      <c r="BO760" s="12"/>
      <c r="BP760" s="12"/>
      <c r="BQ760" s="12"/>
      <c r="BR760" s="12"/>
      <c r="BS760" s="12"/>
      <c r="BT760" s="12"/>
      <c r="BU760" s="12"/>
      <c r="BV760" s="12"/>
      <c r="BW760" s="12"/>
      <c r="BX760" s="12"/>
      <c r="BY760" s="12"/>
      <c r="BZ760" s="12"/>
      <c r="CA760" s="12"/>
      <c r="CB760" s="12"/>
      <c r="CC760" s="12"/>
      <c r="CD760" s="12"/>
      <c r="CE760" s="12"/>
      <c r="CF760" s="12"/>
      <c r="CG760" s="12"/>
      <c r="CH760" s="12"/>
      <c r="CI760" s="12"/>
      <c r="CJ760" s="12"/>
      <c r="CK760" s="12"/>
      <c r="CL760" s="12"/>
      <c r="CM760" s="12"/>
      <c r="CN760" s="12"/>
      <c r="CO760" s="12"/>
      <c r="CP760" s="12"/>
      <c r="CQ760" s="12"/>
      <c r="CR760" s="12"/>
      <c r="CS760" s="12"/>
      <c r="CT760" s="12"/>
      <c r="CU760" s="12"/>
      <c r="CV760" s="12"/>
      <c r="CW760" s="12"/>
      <c r="CX760" s="12"/>
      <c r="CY760" s="12"/>
      <c r="CZ760" s="12"/>
      <c r="DA760" s="12"/>
      <c r="DB760" s="12"/>
      <c r="DC760" s="12"/>
      <c r="DD760" s="12"/>
      <c r="DE760" s="12"/>
      <c r="DF760" s="12"/>
      <c r="DG760" s="12"/>
      <c r="DH760" s="12"/>
      <c r="DI760" s="12"/>
      <c r="DJ760" s="12"/>
      <c r="DK760" s="12"/>
      <c r="DL760" s="12"/>
      <c r="DM760" s="12"/>
      <c r="DN760" s="12"/>
      <c r="DO760" s="12"/>
      <c r="DP760" s="12"/>
      <c r="DQ760" s="12"/>
      <c r="DR760" s="12"/>
      <c r="DS760" s="12"/>
      <c r="DT760" s="12"/>
      <c r="DU760" s="12"/>
      <c r="DV760" s="12"/>
      <c r="DW760" s="12"/>
      <c r="DX760" s="12"/>
      <c r="DY760" s="12"/>
      <c r="DZ760" s="12"/>
      <c r="EA760" s="12"/>
      <c r="EB760" s="12"/>
      <c r="EC760" s="12"/>
      <c r="ED760" s="12"/>
      <c r="EE760" s="12"/>
      <c r="EF760" s="12"/>
      <c r="EG760" s="12"/>
      <c r="EH760" s="12"/>
      <c r="EI760" s="12"/>
      <c r="EJ760" s="574"/>
      <c r="EK760" s="574"/>
      <c r="EL760" s="574"/>
      <c r="EM760" s="574"/>
      <c r="EN760" s="574"/>
      <c r="EO760" s="574"/>
      <c r="EP760" s="574"/>
      <c r="EQ760" s="574"/>
      <c r="ER760" s="574"/>
      <c r="ES760" s="574"/>
      <c r="ET760" s="574"/>
      <c r="EU760" s="574"/>
    </row>
    <row r="761">
      <c r="A761" s="12"/>
      <c r="B761" s="55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  <c r="AX761" s="12"/>
      <c r="AY761" s="12"/>
      <c r="AZ761" s="12"/>
      <c r="BA761" s="12"/>
      <c r="BB761" s="12"/>
      <c r="BC761" s="12"/>
      <c r="BD761" s="12"/>
      <c r="BE761" s="12"/>
      <c r="BF761" s="12"/>
      <c r="BG761" s="12"/>
      <c r="BH761" s="12"/>
      <c r="BI761" s="12"/>
      <c r="BJ761" s="12"/>
      <c r="BK761" s="12"/>
      <c r="BL761" s="12"/>
      <c r="BM761" s="12"/>
      <c r="BN761" s="12"/>
      <c r="BO761" s="12"/>
      <c r="BP761" s="12"/>
      <c r="BQ761" s="12"/>
      <c r="BR761" s="12"/>
      <c r="BS761" s="12"/>
      <c r="BT761" s="12"/>
      <c r="BU761" s="12"/>
      <c r="BV761" s="12"/>
      <c r="BW761" s="12"/>
      <c r="BX761" s="12"/>
      <c r="BY761" s="12"/>
      <c r="BZ761" s="12"/>
      <c r="CA761" s="12"/>
      <c r="CB761" s="12"/>
      <c r="CC761" s="12"/>
      <c r="CD761" s="12"/>
      <c r="CE761" s="12"/>
      <c r="CF761" s="12"/>
      <c r="CG761" s="12"/>
      <c r="CH761" s="12"/>
      <c r="CI761" s="12"/>
      <c r="CJ761" s="12"/>
      <c r="CK761" s="12"/>
      <c r="CL761" s="12"/>
      <c r="CM761" s="12"/>
      <c r="CN761" s="12"/>
      <c r="CO761" s="12"/>
      <c r="CP761" s="12"/>
      <c r="CQ761" s="12"/>
      <c r="CR761" s="12"/>
      <c r="CS761" s="12"/>
      <c r="CT761" s="12"/>
      <c r="CU761" s="12"/>
      <c r="CV761" s="12"/>
      <c r="CW761" s="12"/>
      <c r="CX761" s="12"/>
      <c r="CY761" s="12"/>
      <c r="CZ761" s="12"/>
      <c r="DA761" s="12"/>
      <c r="DB761" s="12"/>
      <c r="DC761" s="12"/>
      <c r="DD761" s="12"/>
      <c r="DE761" s="12"/>
      <c r="DF761" s="12"/>
      <c r="DG761" s="12"/>
      <c r="DH761" s="12"/>
      <c r="DI761" s="12"/>
      <c r="DJ761" s="12"/>
      <c r="DK761" s="12"/>
      <c r="DL761" s="12"/>
      <c r="DM761" s="12"/>
      <c r="DN761" s="12"/>
      <c r="DO761" s="12"/>
      <c r="DP761" s="12"/>
      <c r="DQ761" s="12"/>
      <c r="DR761" s="12"/>
      <c r="DS761" s="12"/>
      <c r="DT761" s="12"/>
      <c r="DU761" s="12"/>
      <c r="DV761" s="12"/>
      <c r="DW761" s="12"/>
      <c r="DX761" s="12"/>
      <c r="DY761" s="12"/>
      <c r="DZ761" s="12"/>
      <c r="EA761" s="12"/>
      <c r="EB761" s="12"/>
      <c r="EC761" s="12"/>
      <c r="ED761" s="12"/>
      <c r="EE761" s="12"/>
      <c r="EF761" s="12"/>
      <c r="EG761" s="12"/>
      <c r="EH761" s="12"/>
      <c r="EI761" s="12"/>
      <c r="EJ761" s="574"/>
      <c r="EK761" s="574"/>
      <c r="EL761" s="574"/>
      <c r="EM761" s="574"/>
      <c r="EN761" s="574"/>
      <c r="EO761" s="574"/>
      <c r="EP761" s="574"/>
      <c r="EQ761" s="574"/>
      <c r="ER761" s="574"/>
      <c r="ES761" s="574"/>
      <c r="ET761" s="574"/>
      <c r="EU761" s="574"/>
    </row>
    <row r="762">
      <c r="A762" s="12"/>
      <c r="B762" s="55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  <c r="AX762" s="12"/>
      <c r="AY762" s="12"/>
      <c r="AZ762" s="12"/>
      <c r="BA762" s="12"/>
      <c r="BB762" s="12"/>
      <c r="BC762" s="12"/>
      <c r="BD762" s="12"/>
      <c r="BE762" s="12"/>
      <c r="BF762" s="12"/>
      <c r="BG762" s="12"/>
      <c r="BH762" s="12"/>
      <c r="BI762" s="12"/>
      <c r="BJ762" s="12"/>
      <c r="BK762" s="12"/>
      <c r="BL762" s="12"/>
      <c r="BM762" s="12"/>
      <c r="BN762" s="12"/>
      <c r="BO762" s="12"/>
      <c r="BP762" s="12"/>
      <c r="BQ762" s="12"/>
      <c r="BR762" s="12"/>
      <c r="BS762" s="12"/>
      <c r="BT762" s="12"/>
      <c r="BU762" s="12"/>
      <c r="BV762" s="12"/>
      <c r="BW762" s="12"/>
      <c r="BX762" s="12"/>
      <c r="BY762" s="12"/>
      <c r="BZ762" s="12"/>
      <c r="CA762" s="12"/>
      <c r="CB762" s="12"/>
      <c r="CC762" s="12"/>
      <c r="CD762" s="12"/>
      <c r="CE762" s="12"/>
      <c r="CF762" s="12"/>
      <c r="CG762" s="12"/>
      <c r="CH762" s="12"/>
      <c r="CI762" s="12"/>
      <c r="CJ762" s="12"/>
      <c r="CK762" s="12"/>
      <c r="CL762" s="12"/>
      <c r="CM762" s="12"/>
      <c r="CN762" s="12"/>
      <c r="CO762" s="12"/>
      <c r="CP762" s="12"/>
      <c r="CQ762" s="12"/>
      <c r="CR762" s="12"/>
      <c r="CS762" s="12"/>
      <c r="CT762" s="12"/>
      <c r="CU762" s="12"/>
      <c r="CV762" s="12"/>
      <c r="CW762" s="12"/>
      <c r="CX762" s="12"/>
      <c r="CY762" s="12"/>
      <c r="CZ762" s="12"/>
      <c r="DA762" s="12"/>
      <c r="DB762" s="12"/>
      <c r="DC762" s="12"/>
      <c r="DD762" s="12"/>
      <c r="DE762" s="12"/>
      <c r="DF762" s="12"/>
      <c r="DG762" s="12"/>
      <c r="DH762" s="12"/>
      <c r="DI762" s="12"/>
      <c r="DJ762" s="12"/>
      <c r="DK762" s="12"/>
      <c r="DL762" s="12"/>
      <c r="DM762" s="12"/>
      <c r="DN762" s="12"/>
      <c r="DO762" s="12"/>
      <c r="DP762" s="12"/>
      <c r="DQ762" s="12"/>
      <c r="DR762" s="12"/>
      <c r="DS762" s="12"/>
      <c r="DT762" s="12"/>
      <c r="DU762" s="12"/>
      <c r="DV762" s="12"/>
      <c r="DW762" s="12"/>
      <c r="DX762" s="12"/>
      <c r="DY762" s="12"/>
      <c r="DZ762" s="12"/>
      <c r="EA762" s="12"/>
      <c r="EB762" s="12"/>
      <c r="EC762" s="12"/>
      <c r="ED762" s="12"/>
      <c r="EE762" s="12"/>
      <c r="EF762" s="12"/>
      <c r="EG762" s="12"/>
      <c r="EH762" s="12"/>
      <c r="EI762" s="12"/>
      <c r="EJ762" s="574"/>
      <c r="EK762" s="574"/>
      <c r="EL762" s="574"/>
      <c r="EM762" s="574"/>
      <c r="EN762" s="574"/>
      <c r="EO762" s="574"/>
      <c r="EP762" s="574"/>
      <c r="EQ762" s="574"/>
      <c r="ER762" s="574"/>
      <c r="ES762" s="574"/>
      <c r="ET762" s="574"/>
      <c r="EU762" s="574"/>
    </row>
    <row r="763">
      <c r="A763" s="12"/>
      <c r="B763" s="55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  <c r="AX763" s="12"/>
      <c r="AY763" s="12"/>
      <c r="AZ763" s="12"/>
      <c r="BA763" s="12"/>
      <c r="BB763" s="12"/>
      <c r="BC763" s="12"/>
      <c r="BD763" s="12"/>
      <c r="BE763" s="12"/>
      <c r="BF763" s="12"/>
      <c r="BG763" s="12"/>
      <c r="BH763" s="12"/>
      <c r="BI763" s="12"/>
      <c r="BJ763" s="12"/>
      <c r="BK763" s="12"/>
      <c r="BL763" s="12"/>
      <c r="BM763" s="12"/>
      <c r="BN763" s="12"/>
      <c r="BO763" s="12"/>
      <c r="BP763" s="12"/>
      <c r="BQ763" s="12"/>
      <c r="BR763" s="12"/>
      <c r="BS763" s="12"/>
      <c r="BT763" s="12"/>
      <c r="BU763" s="12"/>
      <c r="BV763" s="12"/>
      <c r="BW763" s="12"/>
      <c r="BX763" s="12"/>
      <c r="BY763" s="12"/>
      <c r="BZ763" s="12"/>
      <c r="CA763" s="12"/>
      <c r="CB763" s="12"/>
      <c r="CC763" s="12"/>
      <c r="CD763" s="12"/>
      <c r="CE763" s="12"/>
      <c r="CF763" s="12"/>
      <c r="CG763" s="12"/>
      <c r="CH763" s="12"/>
      <c r="CI763" s="12"/>
      <c r="CJ763" s="12"/>
      <c r="CK763" s="12"/>
      <c r="CL763" s="12"/>
      <c r="CM763" s="12"/>
      <c r="CN763" s="12"/>
      <c r="CO763" s="12"/>
      <c r="CP763" s="12"/>
      <c r="CQ763" s="12"/>
      <c r="CR763" s="12"/>
      <c r="CS763" s="12"/>
      <c r="CT763" s="12"/>
      <c r="CU763" s="12"/>
      <c r="CV763" s="12"/>
      <c r="CW763" s="12"/>
      <c r="CX763" s="12"/>
      <c r="CY763" s="12"/>
      <c r="CZ763" s="12"/>
      <c r="DA763" s="12"/>
      <c r="DB763" s="12"/>
      <c r="DC763" s="12"/>
      <c r="DD763" s="12"/>
      <c r="DE763" s="12"/>
      <c r="DF763" s="12"/>
      <c r="DG763" s="12"/>
      <c r="DH763" s="12"/>
      <c r="DI763" s="12"/>
      <c r="DJ763" s="12"/>
      <c r="DK763" s="12"/>
      <c r="DL763" s="12"/>
      <c r="DM763" s="12"/>
      <c r="DN763" s="12"/>
      <c r="DO763" s="12"/>
      <c r="DP763" s="12"/>
      <c r="DQ763" s="12"/>
      <c r="DR763" s="12"/>
      <c r="DS763" s="12"/>
      <c r="DT763" s="12"/>
      <c r="DU763" s="12"/>
      <c r="DV763" s="12"/>
      <c r="DW763" s="12"/>
      <c r="DX763" s="12"/>
      <c r="DY763" s="12"/>
      <c r="DZ763" s="12"/>
      <c r="EA763" s="12"/>
      <c r="EB763" s="12"/>
      <c r="EC763" s="12"/>
      <c r="ED763" s="12"/>
      <c r="EE763" s="12"/>
      <c r="EF763" s="12"/>
      <c r="EG763" s="12"/>
      <c r="EH763" s="12"/>
      <c r="EI763" s="12"/>
      <c r="EJ763" s="574"/>
      <c r="EK763" s="574"/>
      <c r="EL763" s="574"/>
      <c r="EM763" s="574"/>
      <c r="EN763" s="574"/>
      <c r="EO763" s="574"/>
      <c r="EP763" s="574"/>
      <c r="EQ763" s="574"/>
      <c r="ER763" s="574"/>
      <c r="ES763" s="574"/>
      <c r="ET763" s="574"/>
      <c r="EU763" s="574"/>
    </row>
    <row r="764">
      <c r="A764" s="12"/>
      <c r="B764" s="55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  <c r="AX764" s="12"/>
      <c r="AY764" s="12"/>
      <c r="AZ764" s="12"/>
      <c r="BA764" s="12"/>
      <c r="BB764" s="12"/>
      <c r="BC764" s="12"/>
      <c r="BD764" s="12"/>
      <c r="BE764" s="12"/>
      <c r="BF764" s="12"/>
      <c r="BG764" s="12"/>
      <c r="BH764" s="12"/>
      <c r="BI764" s="12"/>
      <c r="BJ764" s="12"/>
      <c r="BK764" s="12"/>
      <c r="BL764" s="12"/>
      <c r="BM764" s="12"/>
      <c r="BN764" s="12"/>
      <c r="BO764" s="12"/>
      <c r="BP764" s="12"/>
      <c r="BQ764" s="12"/>
      <c r="BR764" s="12"/>
      <c r="BS764" s="12"/>
      <c r="BT764" s="12"/>
      <c r="BU764" s="12"/>
      <c r="BV764" s="12"/>
      <c r="BW764" s="12"/>
      <c r="BX764" s="12"/>
      <c r="BY764" s="12"/>
      <c r="BZ764" s="12"/>
      <c r="CA764" s="12"/>
      <c r="CB764" s="12"/>
      <c r="CC764" s="12"/>
      <c r="CD764" s="12"/>
      <c r="CE764" s="12"/>
      <c r="CF764" s="12"/>
      <c r="CG764" s="12"/>
      <c r="CH764" s="12"/>
      <c r="CI764" s="12"/>
      <c r="CJ764" s="12"/>
      <c r="CK764" s="12"/>
      <c r="CL764" s="12"/>
      <c r="CM764" s="12"/>
      <c r="CN764" s="12"/>
      <c r="CO764" s="12"/>
      <c r="CP764" s="12"/>
      <c r="CQ764" s="12"/>
      <c r="CR764" s="12"/>
      <c r="CS764" s="12"/>
      <c r="CT764" s="12"/>
      <c r="CU764" s="12"/>
      <c r="CV764" s="12"/>
      <c r="CW764" s="12"/>
      <c r="CX764" s="12"/>
      <c r="CY764" s="12"/>
      <c r="CZ764" s="12"/>
      <c r="DA764" s="12"/>
      <c r="DB764" s="12"/>
      <c r="DC764" s="12"/>
      <c r="DD764" s="12"/>
      <c r="DE764" s="12"/>
      <c r="DF764" s="12"/>
      <c r="DG764" s="12"/>
      <c r="DH764" s="12"/>
      <c r="DI764" s="12"/>
      <c r="DJ764" s="12"/>
      <c r="DK764" s="12"/>
      <c r="DL764" s="12"/>
      <c r="DM764" s="12"/>
      <c r="DN764" s="12"/>
      <c r="DO764" s="12"/>
      <c r="DP764" s="12"/>
      <c r="DQ764" s="12"/>
      <c r="DR764" s="12"/>
      <c r="DS764" s="12"/>
      <c r="DT764" s="12"/>
      <c r="DU764" s="12"/>
      <c r="DV764" s="12"/>
      <c r="DW764" s="12"/>
      <c r="DX764" s="12"/>
      <c r="DY764" s="12"/>
      <c r="DZ764" s="12"/>
      <c r="EA764" s="12"/>
      <c r="EB764" s="12"/>
      <c r="EC764" s="12"/>
      <c r="ED764" s="12"/>
      <c r="EE764" s="12"/>
      <c r="EF764" s="12"/>
      <c r="EG764" s="12"/>
      <c r="EH764" s="12"/>
      <c r="EI764" s="12"/>
      <c r="EJ764" s="574"/>
      <c r="EK764" s="574"/>
      <c r="EL764" s="574"/>
      <c r="EM764" s="574"/>
      <c r="EN764" s="574"/>
      <c r="EO764" s="574"/>
      <c r="EP764" s="574"/>
      <c r="EQ764" s="574"/>
      <c r="ER764" s="574"/>
      <c r="ES764" s="574"/>
      <c r="ET764" s="574"/>
      <c r="EU764" s="574"/>
    </row>
    <row r="765">
      <c r="A765" s="12"/>
      <c r="B765" s="55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  <c r="AX765" s="12"/>
      <c r="AY765" s="12"/>
      <c r="AZ765" s="12"/>
      <c r="BA765" s="12"/>
      <c r="BB765" s="12"/>
      <c r="BC765" s="12"/>
      <c r="BD765" s="12"/>
      <c r="BE765" s="12"/>
      <c r="BF765" s="12"/>
      <c r="BG765" s="12"/>
      <c r="BH765" s="12"/>
      <c r="BI765" s="12"/>
      <c r="BJ765" s="12"/>
      <c r="BK765" s="12"/>
      <c r="BL765" s="12"/>
      <c r="BM765" s="12"/>
      <c r="BN765" s="12"/>
      <c r="BO765" s="12"/>
      <c r="BP765" s="12"/>
      <c r="BQ765" s="12"/>
      <c r="BR765" s="12"/>
      <c r="BS765" s="12"/>
      <c r="BT765" s="12"/>
      <c r="BU765" s="12"/>
      <c r="BV765" s="12"/>
      <c r="BW765" s="12"/>
      <c r="BX765" s="12"/>
      <c r="BY765" s="12"/>
      <c r="BZ765" s="12"/>
      <c r="CA765" s="12"/>
      <c r="CB765" s="12"/>
      <c r="CC765" s="12"/>
      <c r="CD765" s="12"/>
      <c r="CE765" s="12"/>
      <c r="CF765" s="12"/>
      <c r="CG765" s="12"/>
      <c r="CH765" s="12"/>
      <c r="CI765" s="12"/>
      <c r="CJ765" s="12"/>
      <c r="CK765" s="12"/>
      <c r="CL765" s="12"/>
      <c r="CM765" s="12"/>
      <c r="CN765" s="12"/>
      <c r="CO765" s="12"/>
      <c r="CP765" s="12"/>
      <c r="CQ765" s="12"/>
      <c r="CR765" s="12"/>
      <c r="CS765" s="12"/>
      <c r="CT765" s="12"/>
      <c r="CU765" s="12"/>
      <c r="CV765" s="12"/>
      <c r="CW765" s="12"/>
      <c r="CX765" s="12"/>
      <c r="CY765" s="12"/>
      <c r="CZ765" s="12"/>
      <c r="DA765" s="12"/>
      <c r="DB765" s="12"/>
      <c r="DC765" s="12"/>
      <c r="DD765" s="12"/>
      <c r="DE765" s="12"/>
      <c r="DF765" s="12"/>
      <c r="DG765" s="12"/>
      <c r="DH765" s="12"/>
      <c r="DI765" s="12"/>
      <c r="DJ765" s="12"/>
      <c r="DK765" s="12"/>
      <c r="DL765" s="12"/>
      <c r="DM765" s="12"/>
      <c r="DN765" s="12"/>
      <c r="DO765" s="12"/>
      <c r="DP765" s="12"/>
      <c r="DQ765" s="12"/>
      <c r="DR765" s="12"/>
      <c r="DS765" s="12"/>
      <c r="DT765" s="12"/>
      <c r="DU765" s="12"/>
      <c r="DV765" s="12"/>
      <c r="DW765" s="12"/>
      <c r="DX765" s="12"/>
      <c r="DY765" s="12"/>
      <c r="DZ765" s="12"/>
      <c r="EA765" s="12"/>
      <c r="EB765" s="12"/>
      <c r="EC765" s="12"/>
      <c r="ED765" s="12"/>
      <c r="EE765" s="12"/>
      <c r="EF765" s="12"/>
      <c r="EG765" s="12"/>
      <c r="EH765" s="12"/>
      <c r="EI765" s="12"/>
      <c r="EJ765" s="574"/>
      <c r="EK765" s="574"/>
      <c r="EL765" s="574"/>
      <c r="EM765" s="574"/>
      <c r="EN765" s="574"/>
      <c r="EO765" s="574"/>
      <c r="EP765" s="574"/>
      <c r="EQ765" s="574"/>
      <c r="ER765" s="574"/>
      <c r="ES765" s="574"/>
      <c r="ET765" s="574"/>
      <c r="EU765" s="574"/>
    </row>
    <row r="766">
      <c r="A766" s="12"/>
      <c r="B766" s="55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  <c r="AX766" s="12"/>
      <c r="AY766" s="12"/>
      <c r="AZ766" s="12"/>
      <c r="BA766" s="12"/>
      <c r="BB766" s="12"/>
      <c r="BC766" s="12"/>
      <c r="BD766" s="12"/>
      <c r="BE766" s="12"/>
      <c r="BF766" s="12"/>
      <c r="BG766" s="12"/>
      <c r="BH766" s="12"/>
      <c r="BI766" s="12"/>
      <c r="BJ766" s="12"/>
      <c r="BK766" s="12"/>
      <c r="BL766" s="12"/>
      <c r="BM766" s="12"/>
      <c r="BN766" s="12"/>
      <c r="BO766" s="12"/>
      <c r="BP766" s="12"/>
      <c r="BQ766" s="12"/>
      <c r="BR766" s="12"/>
      <c r="BS766" s="12"/>
      <c r="BT766" s="12"/>
      <c r="BU766" s="12"/>
      <c r="BV766" s="12"/>
      <c r="BW766" s="12"/>
      <c r="BX766" s="12"/>
      <c r="BY766" s="12"/>
      <c r="BZ766" s="12"/>
      <c r="CA766" s="12"/>
      <c r="CB766" s="12"/>
      <c r="CC766" s="12"/>
      <c r="CD766" s="12"/>
      <c r="CE766" s="12"/>
      <c r="CF766" s="12"/>
      <c r="CG766" s="12"/>
      <c r="CH766" s="12"/>
      <c r="CI766" s="12"/>
      <c r="CJ766" s="12"/>
      <c r="CK766" s="12"/>
      <c r="CL766" s="12"/>
      <c r="CM766" s="12"/>
      <c r="CN766" s="12"/>
      <c r="CO766" s="12"/>
      <c r="CP766" s="12"/>
      <c r="CQ766" s="12"/>
      <c r="CR766" s="12"/>
      <c r="CS766" s="12"/>
      <c r="CT766" s="12"/>
      <c r="CU766" s="12"/>
      <c r="CV766" s="12"/>
      <c r="CW766" s="12"/>
      <c r="CX766" s="12"/>
      <c r="CY766" s="12"/>
      <c r="CZ766" s="12"/>
      <c r="DA766" s="12"/>
      <c r="DB766" s="12"/>
      <c r="DC766" s="12"/>
      <c r="DD766" s="12"/>
      <c r="DE766" s="12"/>
      <c r="DF766" s="12"/>
      <c r="DG766" s="12"/>
      <c r="DH766" s="12"/>
      <c r="DI766" s="12"/>
      <c r="DJ766" s="12"/>
      <c r="DK766" s="12"/>
      <c r="DL766" s="12"/>
      <c r="DM766" s="12"/>
      <c r="DN766" s="12"/>
      <c r="DO766" s="12"/>
      <c r="DP766" s="12"/>
      <c r="DQ766" s="12"/>
      <c r="DR766" s="12"/>
      <c r="DS766" s="12"/>
      <c r="DT766" s="12"/>
      <c r="DU766" s="12"/>
      <c r="DV766" s="12"/>
      <c r="DW766" s="12"/>
      <c r="DX766" s="12"/>
      <c r="DY766" s="12"/>
      <c r="DZ766" s="12"/>
      <c r="EA766" s="12"/>
      <c r="EB766" s="12"/>
      <c r="EC766" s="12"/>
      <c r="ED766" s="12"/>
      <c r="EE766" s="12"/>
      <c r="EF766" s="12"/>
      <c r="EG766" s="12"/>
      <c r="EH766" s="12"/>
      <c r="EI766" s="12"/>
      <c r="EJ766" s="574"/>
      <c r="EK766" s="574"/>
      <c r="EL766" s="574"/>
      <c r="EM766" s="574"/>
      <c r="EN766" s="574"/>
      <c r="EO766" s="574"/>
      <c r="EP766" s="574"/>
      <c r="EQ766" s="574"/>
      <c r="ER766" s="574"/>
      <c r="ES766" s="574"/>
      <c r="ET766" s="574"/>
      <c r="EU766" s="574"/>
    </row>
    <row r="767">
      <c r="A767" s="12"/>
      <c r="B767" s="55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  <c r="AX767" s="12"/>
      <c r="AY767" s="12"/>
      <c r="AZ767" s="12"/>
      <c r="BA767" s="12"/>
      <c r="BB767" s="12"/>
      <c r="BC767" s="12"/>
      <c r="BD767" s="12"/>
      <c r="BE767" s="12"/>
      <c r="BF767" s="12"/>
      <c r="BG767" s="12"/>
      <c r="BH767" s="12"/>
      <c r="BI767" s="12"/>
      <c r="BJ767" s="12"/>
      <c r="BK767" s="12"/>
      <c r="BL767" s="12"/>
      <c r="BM767" s="12"/>
      <c r="BN767" s="12"/>
      <c r="BO767" s="12"/>
      <c r="BP767" s="12"/>
      <c r="BQ767" s="12"/>
      <c r="BR767" s="12"/>
      <c r="BS767" s="12"/>
      <c r="BT767" s="12"/>
      <c r="BU767" s="12"/>
      <c r="BV767" s="12"/>
      <c r="BW767" s="12"/>
      <c r="BX767" s="12"/>
      <c r="BY767" s="12"/>
      <c r="BZ767" s="12"/>
      <c r="CA767" s="12"/>
      <c r="CB767" s="12"/>
      <c r="CC767" s="12"/>
      <c r="CD767" s="12"/>
      <c r="CE767" s="12"/>
      <c r="CF767" s="12"/>
      <c r="CG767" s="12"/>
      <c r="CH767" s="12"/>
      <c r="CI767" s="12"/>
      <c r="CJ767" s="12"/>
      <c r="CK767" s="12"/>
      <c r="CL767" s="12"/>
      <c r="CM767" s="12"/>
      <c r="CN767" s="12"/>
      <c r="CO767" s="12"/>
      <c r="CP767" s="12"/>
      <c r="CQ767" s="12"/>
      <c r="CR767" s="12"/>
      <c r="CS767" s="12"/>
      <c r="CT767" s="12"/>
      <c r="CU767" s="12"/>
      <c r="CV767" s="12"/>
      <c r="CW767" s="12"/>
      <c r="CX767" s="12"/>
      <c r="CY767" s="12"/>
      <c r="CZ767" s="12"/>
      <c r="DA767" s="12"/>
      <c r="DB767" s="12"/>
      <c r="DC767" s="12"/>
      <c r="DD767" s="12"/>
      <c r="DE767" s="12"/>
      <c r="DF767" s="12"/>
      <c r="DG767" s="12"/>
      <c r="DH767" s="12"/>
      <c r="DI767" s="12"/>
      <c r="DJ767" s="12"/>
      <c r="DK767" s="12"/>
      <c r="DL767" s="12"/>
      <c r="DM767" s="12"/>
      <c r="DN767" s="12"/>
      <c r="DO767" s="12"/>
      <c r="DP767" s="12"/>
      <c r="DQ767" s="12"/>
      <c r="DR767" s="12"/>
      <c r="DS767" s="12"/>
      <c r="DT767" s="12"/>
      <c r="DU767" s="12"/>
      <c r="DV767" s="12"/>
      <c r="DW767" s="12"/>
      <c r="DX767" s="12"/>
      <c r="DY767" s="12"/>
      <c r="DZ767" s="12"/>
      <c r="EA767" s="12"/>
      <c r="EB767" s="12"/>
      <c r="EC767" s="12"/>
      <c r="ED767" s="12"/>
      <c r="EE767" s="12"/>
      <c r="EF767" s="12"/>
      <c r="EG767" s="12"/>
      <c r="EH767" s="12"/>
      <c r="EI767" s="12"/>
      <c r="EJ767" s="574"/>
      <c r="EK767" s="574"/>
      <c r="EL767" s="574"/>
      <c r="EM767" s="574"/>
      <c r="EN767" s="574"/>
      <c r="EO767" s="574"/>
      <c r="EP767" s="574"/>
      <c r="EQ767" s="574"/>
      <c r="ER767" s="574"/>
      <c r="ES767" s="574"/>
      <c r="ET767" s="574"/>
      <c r="EU767" s="574"/>
    </row>
    <row r="768">
      <c r="A768" s="12"/>
      <c r="B768" s="55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  <c r="AX768" s="12"/>
      <c r="AY768" s="12"/>
      <c r="AZ768" s="12"/>
      <c r="BA768" s="12"/>
      <c r="BB768" s="12"/>
      <c r="BC768" s="12"/>
      <c r="BD768" s="12"/>
      <c r="BE768" s="12"/>
      <c r="BF768" s="12"/>
      <c r="BG768" s="12"/>
      <c r="BH768" s="12"/>
      <c r="BI768" s="12"/>
      <c r="BJ768" s="12"/>
      <c r="BK768" s="12"/>
      <c r="BL768" s="12"/>
      <c r="BM768" s="12"/>
      <c r="BN768" s="12"/>
      <c r="BO768" s="12"/>
      <c r="BP768" s="12"/>
      <c r="BQ768" s="12"/>
      <c r="BR768" s="12"/>
      <c r="BS768" s="12"/>
      <c r="BT768" s="12"/>
      <c r="BU768" s="12"/>
      <c r="BV768" s="12"/>
      <c r="BW768" s="12"/>
      <c r="BX768" s="12"/>
      <c r="BY768" s="12"/>
      <c r="BZ768" s="12"/>
      <c r="CA768" s="12"/>
      <c r="CB768" s="12"/>
      <c r="CC768" s="12"/>
      <c r="CD768" s="12"/>
      <c r="CE768" s="12"/>
      <c r="CF768" s="12"/>
      <c r="CG768" s="12"/>
      <c r="CH768" s="12"/>
      <c r="CI768" s="12"/>
      <c r="CJ768" s="12"/>
      <c r="CK768" s="12"/>
      <c r="CL768" s="12"/>
      <c r="CM768" s="12"/>
      <c r="CN768" s="12"/>
      <c r="CO768" s="12"/>
      <c r="CP768" s="12"/>
      <c r="CQ768" s="12"/>
      <c r="CR768" s="12"/>
      <c r="CS768" s="12"/>
      <c r="CT768" s="12"/>
      <c r="CU768" s="12"/>
      <c r="CV768" s="12"/>
      <c r="CW768" s="12"/>
      <c r="CX768" s="12"/>
      <c r="CY768" s="12"/>
      <c r="CZ768" s="12"/>
      <c r="DA768" s="12"/>
      <c r="DB768" s="12"/>
      <c r="DC768" s="12"/>
      <c r="DD768" s="12"/>
      <c r="DE768" s="12"/>
      <c r="DF768" s="12"/>
      <c r="DG768" s="12"/>
      <c r="DH768" s="12"/>
      <c r="DI768" s="12"/>
      <c r="DJ768" s="12"/>
      <c r="DK768" s="12"/>
      <c r="DL768" s="12"/>
      <c r="DM768" s="12"/>
      <c r="DN768" s="12"/>
      <c r="DO768" s="12"/>
      <c r="DP768" s="12"/>
      <c r="DQ768" s="12"/>
      <c r="DR768" s="12"/>
      <c r="DS768" s="12"/>
      <c r="DT768" s="12"/>
      <c r="DU768" s="12"/>
      <c r="DV768" s="12"/>
      <c r="DW768" s="12"/>
      <c r="DX768" s="12"/>
      <c r="DY768" s="12"/>
      <c r="DZ768" s="12"/>
      <c r="EA768" s="12"/>
      <c r="EB768" s="12"/>
      <c r="EC768" s="12"/>
      <c r="ED768" s="12"/>
      <c r="EE768" s="12"/>
      <c r="EF768" s="12"/>
      <c r="EG768" s="12"/>
      <c r="EH768" s="12"/>
      <c r="EI768" s="12"/>
      <c r="EJ768" s="574"/>
      <c r="EK768" s="574"/>
      <c r="EL768" s="574"/>
      <c r="EM768" s="574"/>
      <c r="EN768" s="574"/>
      <c r="EO768" s="574"/>
      <c r="EP768" s="574"/>
      <c r="EQ768" s="574"/>
      <c r="ER768" s="574"/>
      <c r="ES768" s="574"/>
      <c r="ET768" s="574"/>
      <c r="EU768" s="574"/>
    </row>
    <row r="769">
      <c r="A769" s="12"/>
      <c r="B769" s="55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  <c r="AX769" s="12"/>
      <c r="AY769" s="12"/>
      <c r="AZ769" s="12"/>
      <c r="BA769" s="12"/>
      <c r="BB769" s="12"/>
      <c r="BC769" s="12"/>
      <c r="BD769" s="12"/>
      <c r="BE769" s="12"/>
      <c r="BF769" s="12"/>
      <c r="BG769" s="12"/>
      <c r="BH769" s="12"/>
      <c r="BI769" s="12"/>
      <c r="BJ769" s="12"/>
      <c r="BK769" s="12"/>
      <c r="BL769" s="12"/>
      <c r="BM769" s="12"/>
      <c r="BN769" s="12"/>
      <c r="BO769" s="12"/>
      <c r="BP769" s="12"/>
      <c r="BQ769" s="12"/>
      <c r="BR769" s="12"/>
      <c r="BS769" s="12"/>
      <c r="BT769" s="12"/>
      <c r="BU769" s="12"/>
      <c r="BV769" s="12"/>
      <c r="BW769" s="12"/>
      <c r="BX769" s="12"/>
      <c r="BY769" s="12"/>
      <c r="BZ769" s="12"/>
      <c r="CA769" s="12"/>
      <c r="CB769" s="12"/>
      <c r="CC769" s="12"/>
      <c r="CD769" s="12"/>
      <c r="CE769" s="12"/>
      <c r="CF769" s="12"/>
      <c r="CG769" s="12"/>
      <c r="CH769" s="12"/>
      <c r="CI769" s="12"/>
      <c r="CJ769" s="12"/>
      <c r="CK769" s="12"/>
      <c r="CL769" s="12"/>
      <c r="CM769" s="12"/>
      <c r="CN769" s="12"/>
      <c r="CO769" s="12"/>
      <c r="CP769" s="12"/>
      <c r="CQ769" s="12"/>
      <c r="CR769" s="12"/>
      <c r="CS769" s="12"/>
      <c r="CT769" s="12"/>
      <c r="CU769" s="12"/>
      <c r="CV769" s="12"/>
      <c r="CW769" s="12"/>
      <c r="CX769" s="12"/>
      <c r="CY769" s="12"/>
      <c r="CZ769" s="12"/>
      <c r="DA769" s="12"/>
      <c r="DB769" s="12"/>
      <c r="DC769" s="12"/>
      <c r="DD769" s="12"/>
      <c r="DE769" s="12"/>
      <c r="DF769" s="12"/>
      <c r="DG769" s="12"/>
      <c r="DH769" s="12"/>
      <c r="DI769" s="12"/>
      <c r="DJ769" s="12"/>
      <c r="DK769" s="12"/>
      <c r="DL769" s="12"/>
      <c r="DM769" s="12"/>
      <c r="DN769" s="12"/>
      <c r="DO769" s="12"/>
      <c r="DP769" s="12"/>
      <c r="DQ769" s="12"/>
      <c r="DR769" s="12"/>
      <c r="DS769" s="12"/>
      <c r="DT769" s="12"/>
      <c r="DU769" s="12"/>
      <c r="DV769" s="12"/>
      <c r="DW769" s="12"/>
      <c r="DX769" s="12"/>
      <c r="DY769" s="12"/>
      <c r="DZ769" s="12"/>
      <c r="EA769" s="12"/>
      <c r="EB769" s="12"/>
      <c r="EC769" s="12"/>
      <c r="ED769" s="12"/>
      <c r="EE769" s="12"/>
      <c r="EF769" s="12"/>
      <c r="EG769" s="12"/>
      <c r="EH769" s="12"/>
      <c r="EI769" s="12"/>
      <c r="EJ769" s="574"/>
      <c r="EK769" s="574"/>
      <c r="EL769" s="574"/>
      <c r="EM769" s="574"/>
      <c r="EN769" s="574"/>
      <c r="EO769" s="574"/>
      <c r="EP769" s="574"/>
      <c r="EQ769" s="574"/>
      <c r="ER769" s="574"/>
      <c r="ES769" s="574"/>
      <c r="ET769" s="574"/>
      <c r="EU769" s="574"/>
    </row>
    <row r="770">
      <c r="A770" s="12"/>
      <c r="B770" s="55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  <c r="AX770" s="12"/>
      <c r="AY770" s="12"/>
      <c r="AZ770" s="12"/>
      <c r="BA770" s="12"/>
      <c r="BB770" s="12"/>
      <c r="BC770" s="12"/>
      <c r="BD770" s="12"/>
      <c r="BE770" s="12"/>
      <c r="BF770" s="12"/>
      <c r="BG770" s="12"/>
      <c r="BH770" s="12"/>
      <c r="BI770" s="12"/>
      <c r="BJ770" s="12"/>
      <c r="BK770" s="12"/>
      <c r="BL770" s="12"/>
      <c r="BM770" s="12"/>
      <c r="BN770" s="12"/>
      <c r="BO770" s="12"/>
      <c r="BP770" s="12"/>
      <c r="BQ770" s="12"/>
      <c r="BR770" s="12"/>
      <c r="BS770" s="12"/>
      <c r="BT770" s="12"/>
      <c r="BU770" s="12"/>
      <c r="BV770" s="12"/>
      <c r="BW770" s="12"/>
      <c r="BX770" s="12"/>
      <c r="BY770" s="12"/>
      <c r="BZ770" s="12"/>
      <c r="CA770" s="12"/>
      <c r="CB770" s="12"/>
      <c r="CC770" s="12"/>
      <c r="CD770" s="12"/>
      <c r="CE770" s="12"/>
      <c r="CF770" s="12"/>
      <c r="CG770" s="12"/>
      <c r="CH770" s="12"/>
      <c r="CI770" s="12"/>
      <c r="CJ770" s="12"/>
      <c r="CK770" s="12"/>
      <c r="CL770" s="12"/>
      <c r="CM770" s="12"/>
      <c r="CN770" s="12"/>
      <c r="CO770" s="12"/>
      <c r="CP770" s="12"/>
      <c r="CQ770" s="12"/>
      <c r="CR770" s="12"/>
      <c r="CS770" s="12"/>
      <c r="CT770" s="12"/>
      <c r="CU770" s="12"/>
      <c r="CV770" s="12"/>
      <c r="CW770" s="12"/>
      <c r="CX770" s="12"/>
      <c r="CY770" s="12"/>
      <c r="CZ770" s="12"/>
      <c r="DA770" s="12"/>
      <c r="DB770" s="12"/>
      <c r="DC770" s="12"/>
      <c r="DD770" s="12"/>
      <c r="DE770" s="12"/>
      <c r="DF770" s="12"/>
      <c r="DG770" s="12"/>
      <c r="DH770" s="12"/>
      <c r="DI770" s="12"/>
      <c r="DJ770" s="12"/>
      <c r="DK770" s="12"/>
      <c r="DL770" s="12"/>
      <c r="DM770" s="12"/>
      <c r="DN770" s="12"/>
      <c r="DO770" s="12"/>
      <c r="DP770" s="12"/>
      <c r="DQ770" s="12"/>
      <c r="DR770" s="12"/>
      <c r="DS770" s="12"/>
      <c r="DT770" s="12"/>
      <c r="DU770" s="12"/>
      <c r="DV770" s="12"/>
      <c r="DW770" s="12"/>
      <c r="DX770" s="12"/>
      <c r="DY770" s="12"/>
      <c r="DZ770" s="12"/>
      <c r="EA770" s="12"/>
      <c r="EB770" s="12"/>
      <c r="EC770" s="12"/>
      <c r="ED770" s="12"/>
      <c r="EE770" s="12"/>
      <c r="EF770" s="12"/>
      <c r="EG770" s="12"/>
      <c r="EH770" s="12"/>
      <c r="EI770" s="12"/>
      <c r="EJ770" s="574"/>
      <c r="EK770" s="574"/>
      <c r="EL770" s="574"/>
      <c r="EM770" s="574"/>
      <c r="EN770" s="574"/>
      <c r="EO770" s="574"/>
      <c r="EP770" s="574"/>
      <c r="EQ770" s="574"/>
      <c r="ER770" s="574"/>
      <c r="ES770" s="574"/>
      <c r="ET770" s="574"/>
      <c r="EU770" s="574"/>
    </row>
    <row r="771">
      <c r="A771" s="12"/>
      <c r="B771" s="55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  <c r="AX771" s="12"/>
      <c r="AY771" s="12"/>
      <c r="AZ771" s="12"/>
      <c r="BA771" s="12"/>
      <c r="BB771" s="12"/>
      <c r="BC771" s="12"/>
      <c r="BD771" s="12"/>
      <c r="BE771" s="12"/>
      <c r="BF771" s="12"/>
      <c r="BG771" s="12"/>
      <c r="BH771" s="12"/>
      <c r="BI771" s="12"/>
      <c r="BJ771" s="12"/>
      <c r="BK771" s="12"/>
      <c r="BL771" s="12"/>
      <c r="BM771" s="12"/>
      <c r="BN771" s="12"/>
      <c r="BO771" s="12"/>
      <c r="BP771" s="12"/>
      <c r="BQ771" s="12"/>
      <c r="BR771" s="12"/>
      <c r="BS771" s="12"/>
      <c r="BT771" s="12"/>
      <c r="BU771" s="12"/>
      <c r="BV771" s="12"/>
      <c r="BW771" s="12"/>
      <c r="BX771" s="12"/>
      <c r="BY771" s="12"/>
      <c r="BZ771" s="12"/>
      <c r="CA771" s="12"/>
      <c r="CB771" s="12"/>
      <c r="CC771" s="12"/>
      <c r="CD771" s="12"/>
      <c r="CE771" s="12"/>
      <c r="CF771" s="12"/>
      <c r="CG771" s="12"/>
      <c r="CH771" s="12"/>
      <c r="CI771" s="12"/>
      <c r="CJ771" s="12"/>
      <c r="CK771" s="12"/>
      <c r="CL771" s="12"/>
      <c r="CM771" s="12"/>
      <c r="CN771" s="12"/>
      <c r="CO771" s="12"/>
      <c r="CP771" s="12"/>
      <c r="CQ771" s="12"/>
      <c r="CR771" s="12"/>
      <c r="CS771" s="12"/>
      <c r="CT771" s="12"/>
      <c r="CU771" s="12"/>
      <c r="CV771" s="12"/>
      <c r="CW771" s="12"/>
      <c r="CX771" s="12"/>
      <c r="CY771" s="12"/>
      <c r="CZ771" s="12"/>
      <c r="DA771" s="12"/>
      <c r="DB771" s="12"/>
      <c r="DC771" s="12"/>
      <c r="DD771" s="12"/>
      <c r="DE771" s="12"/>
      <c r="DF771" s="12"/>
      <c r="DG771" s="12"/>
      <c r="DH771" s="12"/>
      <c r="DI771" s="12"/>
      <c r="DJ771" s="12"/>
      <c r="DK771" s="12"/>
      <c r="DL771" s="12"/>
      <c r="DM771" s="12"/>
      <c r="DN771" s="12"/>
      <c r="DO771" s="12"/>
      <c r="DP771" s="12"/>
      <c r="DQ771" s="12"/>
      <c r="DR771" s="12"/>
      <c r="DS771" s="12"/>
      <c r="DT771" s="12"/>
      <c r="DU771" s="12"/>
      <c r="DV771" s="12"/>
      <c r="DW771" s="12"/>
      <c r="DX771" s="12"/>
      <c r="DY771" s="12"/>
      <c r="DZ771" s="12"/>
      <c r="EA771" s="12"/>
      <c r="EB771" s="12"/>
      <c r="EC771" s="12"/>
      <c r="ED771" s="12"/>
      <c r="EE771" s="12"/>
      <c r="EF771" s="12"/>
      <c r="EG771" s="12"/>
      <c r="EH771" s="12"/>
      <c r="EI771" s="12"/>
      <c r="EJ771" s="574"/>
      <c r="EK771" s="574"/>
      <c r="EL771" s="574"/>
      <c r="EM771" s="574"/>
      <c r="EN771" s="574"/>
      <c r="EO771" s="574"/>
      <c r="EP771" s="574"/>
      <c r="EQ771" s="574"/>
      <c r="ER771" s="574"/>
      <c r="ES771" s="574"/>
      <c r="ET771" s="574"/>
      <c r="EU771" s="574"/>
    </row>
    <row r="772">
      <c r="A772" s="12"/>
      <c r="B772" s="55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12"/>
      <c r="AY772" s="12"/>
      <c r="AZ772" s="12"/>
      <c r="BA772" s="12"/>
      <c r="BB772" s="12"/>
      <c r="BC772" s="12"/>
      <c r="BD772" s="12"/>
      <c r="BE772" s="12"/>
      <c r="BF772" s="12"/>
      <c r="BG772" s="12"/>
      <c r="BH772" s="12"/>
      <c r="BI772" s="12"/>
      <c r="BJ772" s="12"/>
      <c r="BK772" s="12"/>
      <c r="BL772" s="12"/>
      <c r="BM772" s="12"/>
      <c r="BN772" s="12"/>
      <c r="BO772" s="12"/>
      <c r="BP772" s="12"/>
      <c r="BQ772" s="12"/>
      <c r="BR772" s="12"/>
      <c r="BS772" s="12"/>
      <c r="BT772" s="12"/>
      <c r="BU772" s="12"/>
      <c r="BV772" s="12"/>
      <c r="BW772" s="12"/>
      <c r="BX772" s="12"/>
      <c r="BY772" s="12"/>
      <c r="BZ772" s="12"/>
      <c r="CA772" s="12"/>
      <c r="CB772" s="12"/>
      <c r="CC772" s="12"/>
      <c r="CD772" s="12"/>
      <c r="CE772" s="12"/>
      <c r="CF772" s="12"/>
      <c r="CG772" s="12"/>
      <c r="CH772" s="12"/>
      <c r="CI772" s="12"/>
      <c r="CJ772" s="12"/>
      <c r="CK772" s="12"/>
      <c r="CL772" s="12"/>
      <c r="CM772" s="12"/>
      <c r="CN772" s="12"/>
      <c r="CO772" s="12"/>
      <c r="CP772" s="12"/>
      <c r="CQ772" s="12"/>
      <c r="CR772" s="12"/>
      <c r="CS772" s="12"/>
      <c r="CT772" s="12"/>
      <c r="CU772" s="12"/>
      <c r="CV772" s="12"/>
      <c r="CW772" s="12"/>
      <c r="CX772" s="12"/>
      <c r="CY772" s="12"/>
      <c r="CZ772" s="12"/>
      <c r="DA772" s="12"/>
      <c r="DB772" s="12"/>
      <c r="DC772" s="12"/>
      <c r="DD772" s="12"/>
      <c r="DE772" s="12"/>
      <c r="DF772" s="12"/>
      <c r="DG772" s="12"/>
      <c r="DH772" s="12"/>
      <c r="DI772" s="12"/>
      <c r="DJ772" s="12"/>
      <c r="DK772" s="12"/>
      <c r="DL772" s="12"/>
      <c r="DM772" s="12"/>
      <c r="DN772" s="12"/>
      <c r="DO772" s="12"/>
      <c r="DP772" s="12"/>
      <c r="DQ772" s="12"/>
      <c r="DR772" s="12"/>
      <c r="DS772" s="12"/>
      <c r="DT772" s="12"/>
      <c r="DU772" s="12"/>
      <c r="DV772" s="12"/>
      <c r="DW772" s="12"/>
      <c r="DX772" s="12"/>
      <c r="DY772" s="12"/>
      <c r="DZ772" s="12"/>
      <c r="EA772" s="12"/>
      <c r="EB772" s="12"/>
      <c r="EC772" s="12"/>
      <c r="ED772" s="12"/>
      <c r="EE772" s="12"/>
      <c r="EF772" s="12"/>
      <c r="EG772" s="12"/>
      <c r="EH772" s="12"/>
      <c r="EI772" s="12"/>
      <c r="EJ772" s="574"/>
      <c r="EK772" s="574"/>
      <c r="EL772" s="574"/>
      <c r="EM772" s="574"/>
      <c r="EN772" s="574"/>
      <c r="EO772" s="574"/>
      <c r="EP772" s="574"/>
      <c r="EQ772" s="574"/>
      <c r="ER772" s="574"/>
      <c r="ES772" s="574"/>
      <c r="ET772" s="574"/>
      <c r="EU772" s="574"/>
    </row>
    <row r="773">
      <c r="A773" s="12"/>
      <c r="B773" s="55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  <c r="AX773" s="12"/>
      <c r="AY773" s="12"/>
      <c r="AZ773" s="12"/>
      <c r="BA773" s="12"/>
      <c r="BB773" s="12"/>
      <c r="BC773" s="12"/>
      <c r="BD773" s="12"/>
      <c r="BE773" s="12"/>
      <c r="BF773" s="12"/>
      <c r="BG773" s="12"/>
      <c r="BH773" s="12"/>
      <c r="BI773" s="12"/>
      <c r="BJ773" s="12"/>
      <c r="BK773" s="12"/>
      <c r="BL773" s="12"/>
      <c r="BM773" s="12"/>
      <c r="BN773" s="12"/>
      <c r="BO773" s="12"/>
      <c r="BP773" s="12"/>
      <c r="BQ773" s="12"/>
      <c r="BR773" s="12"/>
      <c r="BS773" s="12"/>
      <c r="BT773" s="12"/>
      <c r="BU773" s="12"/>
      <c r="BV773" s="12"/>
      <c r="BW773" s="12"/>
      <c r="BX773" s="12"/>
      <c r="BY773" s="12"/>
      <c r="BZ773" s="12"/>
      <c r="CA773" s="12"/>
      <c r="CB773" s="12"/>
      <c r="CC773" s="12"/>
      <c r="CD773" s="12"/>
      <c r="CE773" s="12"/>
      <c r="CF773" s="12"/>
      <c r="CG773" s="12"/>
      <c r="CH773" s="12"/>
      <c r="CI773" s="12"/>
      <c r="CJ773" s="12"/>
      <c r="CK773" s="12"/>
      <c r="CL773" s="12"/>
      <c r="CM773" s="12"/>
      <c r="CN773" s="12"/>
      <c r="CO773" s="12"/>
      <c r="CP773" s="12"/>
      <c r="CQ773" s="12"/>
      <c r="CR773" s="12"/>
      <c r="CS773" s="12"/>
      <c r="CT773" s="12"/>
      <c r="CU773" s="12"/>
      <c r="CV773" s="12"/>
      <c r="CW773" s="12"/>
      <c r="CX773" s="12"/>
      <c r="CY773" s="12"/>
      <c r="CZ773" s="12"/>
      <c r="DA773" s="12"/>
      <c r="DB773" s="12"/>
      <c r="DC773" s="12"/>
      <c r="DD773" s="12"/>
      <c r="DE773" s="12"/>
      <c r="DF773" s="12"/>
      <c r="DG773" s="12"/>
      <c r="DH773" s="12"/>
      <c r="DI773" s="12"/>
      <c r="DJ773" s="12"/>
      <c r="DK773" s="12"/>
      <c r="DL773" s="12"/>
      <c r="DM773" s="12"/>
      <c r="DN773" s="12"/>
      <c r="DO773" s="12"/>
      <c r="DP773" s="12"/>
      <c r="DQ773" s="12"/>
      <c r="DR773" s="12"/>
      <c r="DS773" s="12"/>
      <c r="DT773" s="12"/>
      <c r="DU773" s="12"/>
      <c r="DV773" s="12"/>
      <c r="DW773" s="12"/>
      <c r="DX773" s="12"/>
      <c r="DY773" s="12"/>
      <c r="DZ773" s="12"/>
      <c r="EA773" s="12"/>
      <c r="EB773" s="12"/>
      <c r="EC773" s="12"/>
      <c r="ED773" s="12"/>
      <c r="EE773" s="12"/>
      <c r="EF773" s="12"/>
      <c r="EG773" s="12"/>
      <c r="EH773" s="12"/>
      <c r="EI773" s="12"/>
      <c r="EJ773" s="574"/>
      <c r="EK773" s="574"/>
      <c r="EL773" s="574"/>
      <c r="EM773" s="574"/>
      <c r="EN773" s="574"/>
      <c r="EO773" s="574"/>
      <c r="EP773" s="574"/>
      <c r="EQ773" s="574"/>
      <c r="ER773" s="574"/>
      <c r="ES773" s="574"/>
      <c r="ET773" s="574"/>
      <c r="EU773" s="574"/>
    </row>
    <row r="774">
      <c r="A774" s="12"/>
      <c r="B774" s="55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  <c r="AX774" s="12"/>
      <c r="AY774" s="12"/>
      <c r="AZ774" s="12"/>
      <c r="BA774" s="12"/>
      <c r="BB774" s="12"/>
      <c r="BC774" s="12"/>
      <c r="BD774" s="12"/>
      <c r="BE774" s="12"/>
      <c r="BF774" s="12"/>
      <c r="BG774" s="12"/>
      <c r="BH774" s="12"/>
      <c r="BI774" s="12"/>
      <c r="BJ774" s="12"/>
      <c r="BK774" s="12"/>
      <c r="BL774" s="12"/>
      <c r="BM774" s="12"/>
      <c r="BN774" s="12"/>
      <c r="BO774" s="12"/>
      <c r="BP774" s="12"/>
      <c r="BQ774" s="12"/>
      <c r="BR774" s="12"/>
      <c r="BS774" s="12"/>
      <c r="BT774" s="12"/>
      <c r="BU774" s="12"/>
      <c r="BV774" s="12"/>
      <c r="BW774" s="12"/>
      <c r="BX774" s="12"/>
      <c r="BY774" s="12"/>
      <c r="BZ774" s="12"/>
      <c r="CA774" s="12"/>
      <c r="CB774" s="12"/>
      <c r="CC774" s="12"/>
      <c r="CD774" s="12"/>
      <c r="CE774" s="12"/>
      <c r="CF774" s="12"/>
      <c r="CG774" s="12"/>
      <c r="CH774" s="12"/>
      <c r="CI774" s="12"/>
      <c r="CJ774" s="12"/>
      <c r="CK774" s="12"/>
      <c r="CL774" s="12"/>
      <c r="CM774" s="12"/>
      <c r="CN774" s="12"/>
      <c r="CO774" s="12"/>
      <c r="CP774" s="12"/>
      <c r="CQ774" s="12"/>
      <c r="CR774" s="12"/>
      <c r="CS774" s="12"/>
      <c r="CT774" s="12"/>
      <c r="CU774" s="12"/>
      <c r="CV774" s="12"/>
      <c r="CW774" s="12"/>
      <c r="CX774" s="12"/>
      <c r="CY774" s="12"/>
      <c r="CZ774" s="12"/>
      <c r="DA774" s="12"/>
      <c r="DB774" s="12"/>
      <c r="DC774" s="12"/>
      <c r="DD774" s="12"/>
      <c r="DE774" s="12"/>
      <c r="DF774" s="12"/>
      <c r="DG774" s="12"/>
      <c r="DH774" s="12"/>
      <c r="DI774" s="12"/>
      <c r="DJ774" s="12"/>
      <c r="DK774" s="12"/>
      <c r="DL774" s="12"/>
      <c r="DM774" s="12"/>
      <c r="DN774" s="12"/>
      <c r="DO774" s="12"/>
      <c r="DP774" s="12"/>
      <c r="DQ774" s="12"/>
      <c r="DR774" s="12"/>
      <c r="DS774" s="12"/>
      <c r="DT774" s="12"/>
      <c r="DU774" s="12"/>
      <c r="DV774" s="12"/>
      <c r="DW774" s="12"/>
      <c r="DX774" s="12"/>
      <c r="DY774" s="12"/>
      <c r="DZ774" s="12"/>
      <c r="EA774" s="12"/>
      <c r="EB774" s="12"/>
      <c r="EC774" s="12"/>
      <c r="ED774" s="12"/>
      <c r="EE774" s="12"/>
      <c r="EF774" s="12"/>
      <c r="EG774" s="12"/>
      <c r="EH774" s="12"/>
      <c r="EI774" s="12"/>
      <c r="EJ774" s="574"/>
      <c r="EK774" s="574"/>
      <c r="EL774" s="574"/>
      <c r="EM774" s="574"/>
      <c r="EN774" s="574"/>
      <c r="EO774" s="574"/>
      <c r="EP774" s="574"/>
      <c r="EQ774" s="574"/>
      <c r="ER774" s="574"/>
      <c r="ES774" s="574"/>
      <c r="ET774" s="574"/>
      <c r="EU774" s="574"/>
    </row>
    <row r="775">
      <c r="A775" s="12"/>
      <c r="B775" s="55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  <c r="AX775" s="12"/>
      <c r="AY775" s="12"/>
      <c r="AZ775" s="12"/>
      <c r="BA775" s="12"/>
      <c r="BB775" s="12"/>
      <c r="BC775" s="12"/>
      <c r="BD775" s="12"/>
      <c r="BE775" s="12"/>
      <c r="BF775" s="12"/>
      <c r="BG775" s="12"/>
      <c r="BH775" s="12"/>
      <c r="BI775" s="12"/>
      <c r="BJ775" s="12"/>
      <c r="BK775" s="12"/>
      <c r="BL775" s="12"/>
      <c r="BM775" s="12"/>
      <c r="BN775" s="12"/>
      <c r="BO775" s="12"/>
      <c r="BP775" s="12"/>
      <c r="BQ775" s="12"/>
      <c r="BR775" s="12"/>
      <c r="BS775" s="12"/>
      <c r="BT775" s="12"/>
      <c r="BU775" s="12"/>
      <c r="BV775" s="12"/>
      <c r="BW775" s="12"/>
      <c r="BX775" s="12"/>
      <c r="BY775" s="12"/>
      <c r="BZ775" s="12"/>
      <c r="CA775" s="12"/>
      <c r="CB775" s="12"/>
      <c r="CC775" s="12"/>
      <c r="CD775" s="12"/>
      <c r="CE775" s="12"/>
      <c r="CF775" s="12"/>
      <c r="CG775" s="12"/>
      <c r="CH775" s="12"/>
      <c r="CI775" s="12"/>
      <c r="CJ775" s="12"/>
      <c r="CK775" s="12"/>
      <c r="CL775" s="12"/>
      <c r="CM775" s="12"/>
      <c r="CN775" s="12"/>
      <c r="CO775" s="12"/>
      <c r="CP775" s="12"/>
      <c r="CQ775" s="12"/>
      <c r="CR775" s="12"/>
      <c r="CS775" s="12"/>
      <c r="CT775" s="12"/>
      <c r="CU775" s="12"/>
      <c r="CV775" s="12"/>
      <c r="CW775" s="12"/>
      <c r="CX775" s="12"/>
      <c r="CY775" s="12"/>
      <c r="CZ775" s="12"/>
      <c r="DA775" s="12"/>
      <c r="DB775" s="12"/>
      <c r="DC775" s="12"/>
      <c r="DD775" s="12"/>
      <c r="DE775" s="12"/>
      <c r="DF775" s="12"/>
      <c r="DG775" s="12"/>
      <c r="DH775" s="12"/>
      <c r="DI775" s="12"/>
      <c r="DJ775" s="12"/>
      <c r="DK775" s="12"/>
      <c r="DL775" s="12"/>
      <c r="DM775" s="12"/>
      <c r="DN775" s="12"/>
      <c r="DO775" s="12"/>
      <c r="DP775" s="12"/>
      <c r="DQ775" s="12"/>
      <c r="DR775" s="12"/>
      <c r="DS775" s="12"/>
      <c r="DT775" s="12"/>
      <c r="DU775" s="12"/>
      <c r="DV775" s="12"/>
      <c r="DW775" s="12"/>
      <c r="DX775" s="12"/>
      <c r="DY775" s="12"/>
      <c r="DZ775" s="12"/>
      <c r="EA775" s="12"/>
      <c r="EB775" s="12"/>
      <c r="EC775" s="12"/>
      <c r="ED775" s="12"/>
      <c r="EE775" s="12"/>
      <c r="EF775" s="12"/>
      <c r="EG775" s="12"/>
      <c r="EH775" s="12"/>
      <c r="EI775" s="12"/>
      <c r="EJ775" s="574"/>
      <c r="EK775" s="574"/>
      <c r="EL775" s="574"/>
      <c r="EM775" s="574"/>
      <c r="EN775" s="574"/>
      <c r="EO775" s="574"/>
      <c r="EP775" s="574"/>
      <c r="EQ775" s="574"/>
      <c r="ER775" s="574"/>
      <c r="ES775" s="574"/>
      <c r="ET775" s="574"/>
      <c r="EU775" s="574"/>
    </row>
    <row r="776">
      <c r="A776" s="12"/>
      <c r="B776" s="55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  <c r="AX776" s="12"/>
      <c r="AY776" s="12"/>
      <c r="AZ776" s="12"/>
      <c r="BA776" s="12"/>
      <c r="BB776" s="12"/>
      <c r="BC776" s="12"/>
      <c r="BD776" s="12"/>
      <c r="BE776" s="12"/>
      <c r="BF776" s="12"/>
      <c r="BG776" s="12"/>
      <c r="BH776" s="12"/>
      <c r="BI776" s="12"/>
      <c r="BJ776" s="12"/>
      <c r="BK776" s="12"/>
      <c r="BL776" s="12"/>
      <c r="BM776" s="12"/>
      <c r="BN776" s="12"/>
      <c r="BO776" s="12"/>
      <c r="BP776" s="12"/>
      <c r="BQ776" s="12"/>
      <c r="BR776" s="12"/>
      <c r="BS776" s="12"/>
      <c r="BT776" s="12"/>
      <c r="BU776" s="12"/>
      <c r="BV776" s="12"/>
      <c r="BW776" s="12"/>
      <c r="BX776" s="12"/>
      <c r="BY776" s="12"/>
      <c r="BZ776" s="12"/>
      <c r="CA776" s="12"/>
      <c r="CB776" s="12"/>
      <c r="CC776" s="12"/>
      <c r="CD776" s="12"/>
      <c r="CE776" s="12"/>
      <c r="CF776" s="12"/>
      <c r="CG776" s="12"/>
      <c r="CH776" s="12"/>
      <c r="CI776" s="12"/>
      <c r="CJ776" s="12"/>
      <c r="CK776" s="12"/>
      <c r="CL776" s="12"/>
      <c r="CM776" s="12"/>
      <c r="CN776" s="12"/>
      <c r="CO776" s="12"/>
      <c r="CP776" s="12"/>
      <c r="CQ776" s="12"/>
      <c r="CR776" s="12"/>
      <c r="CS776" s="12"/>
      <c r="CT776" s="12"/>
      <c r="CU776" s="12"/>
      <c r="CV776" s="12"/>
      <c r="CW776" s="12"/>
      <c r="CX776" s="12"/>
      <c r="CY776" s="12"/>
      <c r="CZ776" s="12"/>
      <c r="DA776" s="12"/>
      <c r="DB776" s="12"/>
      <c r="DC776" s="12"/>
      <c r="DD776" s="12"/>
      <c r="DE776" s="12"/>
      <c r="DF776" s="12"/>
      <c r="DG776" s="12"/>
      <c r="DH776" s="12"/>
      <c r="DI776" s="12"/>
      <c r="DJ776" s="12"/>
      <c r="DK776" s="12"/>
      <c r="DL776" s="12"/>
      <c r="DM776" s="12"/>
      <c r="DN776" s="12"/>
      <c r="DO776" s="12"/>
      <c r="DP776" s="12"/>
      <c r="DQ776" s="12"/>
      <c r="DR776" s="12"/>
      <c r="DS776" s="12"/>
      <c r="DT776" s="12"/>
      <c r="DU776" s="12"/>
      <c r="DV776" s="12"/>
      <c r="DW776" s="12"/>
      <c r="DX776" s="12"/>
      <c r="DY776" s="12"/>
      <c r="DZ776" s="12"/>
      <c r="EA776" s="12"/>
      <c r="EB776" s="12"/>
      <c r="EC776" s="12"/>
      <c r="ED776" s="12"/>
      <c r="EE776" s="12"/>
      <c r="EF776" s="12"/>
      <c r="EG776" s="12"/>
      <c r="EH776" s="12"/>
      <c r="EI776" s="12"/>
      <c r="EJ776" s="574"/>
      <c r="EK776" s="574"/>
      <c r="EL776" s="574"/>
      <c r="EM776" s="574"/>
      <c r="EN776" s="574"/>
      <c r="EO776" s="574"/>
      <c r="EP776" s="574"/>
      <c r="EQ776" s="574"/>
      <c r="ER776" s="574"/>
      <c r="ES776" s="574"/>
      <c r="ET776" s="574"/>
      <c r="EU776" s="574"/>
    </row>
    <row r="777">
      <c r="A777" s="12"/>
      <c r="B777" s="55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  <c r="AX777" s="12"/>
      <c r="AY777" s="12"/>
      <c r="AZ777" s="12"/>
      <c r="BA777" s="12"/>
      <c r="BB777" s="12"/>
      <c r="BC777" s="12"/>
      <c r="BD777" s="12"/>
      <c r="BE777" s="12"/>
      <c r="BF777" s="12"/>
      <c r="BG777" s="12"/>
      <c r="BH777" s="12"/>
      <c r="BI777" s="12"/>
      <c r="BJ777" s="12"/>
      <c r="BK777" s="12"/>
      <c r="BL777" s="12"/>
      <c r="BM777" s="12"/>
      <c r="BN777" s="12"/>
      <c r="BO777" s="12"/>
      <c r="BP777" s="12"/>
      <c r="BQ777" s="12"/>
      <c r="BR777" s="12"/>
      <c r="BS777" s="12"/>
      <c r="BT777" s="12"/>
      <c r="BU777" s="12"/>
      <c r="BV777" s="12"/>
      <c r="BW777" s="12"/>
      <c r="BX777" s="12"/>
      <c r="BY777" s="12"/>
      <c r="BZ777" s="12"/>
      <c r="CA777" s="12"/>
      <c r="CB777" s="12"/>
      <c r="CC777" s="12"/>
      <c r="CD777" s="12"/>
      <c r="CE777" s="12"/>
      <c r="CF777" s="12"/>
      <c r="CG777" s="12"/>
      <c r="CH777" s="12"/>
      <c r="CI777" s="12"/>
      <c r="CJ777" s="12"/>
      <c r="CK777" s="12"/>
      <c r="CL777" s="12"/>
      <c r="CM777" s="12"/>
      <c r="CN777" s="12"/>
      <c r="CO777" s="12"/>
      <c r="CP777" s="12"/>
      <c r="CQ777" s="12"/>
      <c r="CR777" s="12"/>
      <c r="CS777" s="12"/>
      <c r="CT777" s="12"/>
      <c r="CU777" s="12"/>
      <c r="CV777" s="12"/>
      <c r="CW777" s="12"/>
      <c r="CX777" s="12"/>
      <c r="CY777" s="12"/>
      <c r="CZ777" s="12"/>
      <c r="DA777" s="12"/>
      <c r="DB777" s="12"/>
      <c r="DC777" s="12"/>
      <c r="DD777" s="12"/>
      <c r="DE777" s="12"/>
      <c r="DF777" s="12"/>
      <c r="DG777" s="12"/>
      <c r="DH777" s="12"/>
      <c r="DI777" s="12"/>
      <c r="DJ777" s="12"/>
      <c r="DK777" s="12"/>
      <c r="DL777" s="12"/>
      <c r="DM777" s="12"/>
      <c r="DN777" s="12"/>
      <c r="DO777" s="12"/>
      <c r="DP777" s="12"/>
      <c r="DQ777" s="12"/>
      <c r="DR777" s="12"/>
      <c r="DS777" s="12"/>
      <c r="DT777" s="12"/>
      <c r="DU777" s="12"/>
      <c r="DV777" s="12"/>
      <c r="DW777" s="12"/>
      <c r="DX777" s="12"/>
      <c r="DY777" s="12"/>
      <c r="DZ777" s="12"/>
      <c r="EA777" s="12"/>
      <c r="EB777" s="12"/>
      <c r="EC777" s="12"/>
      <c r="ED777" s="12"/>
      <c r="EE777" s="12"/>
      <c r="EF777" s="12"/>
      <c r="EG777" s="12"/>
      <c r="EH777" s="12"/>
      <c r="EI777" s="12"/>
      <c r="EJ777" s="574"/>
      <c r="EK777" s="574"/>
      <c r="EL777" s="574"/>
      <c r="EM777" s="574"/>
      <c r="EN777" s="574"/>
      <c r="EO777" s="574"/>
      <c r="EP777" s="574"/>
      <c r="EQ777" s="574"/>
      <c r="ER777" s="574"/>
      <c r="ES777" s="574"/>
      <c r="ET777" s="574"/>
      <c r="EU777" s="574"/>
    </row>
    <row r="778">
      <c r="A778" s="12"/>
      <c r="B778" s="55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  <c r="AX778" s="12"/>
      <c r="AY778" s="12"/>
      <c r="AZ778" s="12"/>
      <c r="BA778" s="12"/>
      <c r="BB778" s="12"/>
      <c r="BC778" s="12"/>
      <c r="BD778" s="12"/>
      <c r="BE778" s="12"/>
      <c r="BF778" s="12"/>
      <c r="BG778" s="12"/>
      <c r="BH778" s="12"/>
      <c r="BI778" s="12"/>
      <c r="BJ778" s="12"/>
      <c r="BK778" s="12"/>
      <c r="BL778" s="12"/>
      <c r="BM778" s="12"/>
      <c r="BN778" s="12"/>
      <c r="BO778" s="12"/>
      <c r="BP778" s="12"/>
      <c r="BQ778" s="12"/>
      <c r="BR778" s="12"/>
      <c r="BS778" s="12"/>
      <c r="BT778" s="12"/>
      <c r="BU778" s="12"/>
      <c r="BV778" s="12"/>
      <c r="BW778" s="12"/>
      <c r="BX778" s="12"/>
      <c r="BY778" s="12"/>
      <c r="BZ778" s="12"/>
      <c r="CA778" s="12"/>
      <c r="CB778" s="12"/>
      <c r="CC778" s="12"/>
      <c r="CD778" s="12"/>
      <c r="CE778" s="12"/>
      <c r="CF778" s="12"/>
      <c r="CG778" s="12"/>
      <c r="CH778" s="12"/>
      <c r="CI778" s="12"/>
      <c r="CJ778" s="12"/>
      <c r="CK778" s="12"/>
      <c r="CL778" s="12"/>
      <c r="CM778" s="12"/>
      <c r="CN778" s="12"/>
      <c r="CO778" s="12"/>
      <c r="CP778" s="12"/>
      <c r="CQ778" s="12"/>
      <c r="CR778" s="12"/>
      <c r="CS778" s="12"/>
      <c r="CT778" s="12"/>
      <c r="CU778" s="12"/>
      <c r="CV778" s="12"/>
      <c r="CW778" s="12"/>
      <c r="CX778" s="12"/>
      <c r="CY778" s="12"/>
      <c r="CZ778" s="12"/>
      <c r="DA778" s="12"/>
      <c r="DB778" s="12"/>
      <c r="DC778" s="12"/>
      <c r="DD778" s="12"/>
      <c r="DE778" s="12"/>
      <c r="DF778" s="12"/>
      <c r="DG778" s="12"/>
      <c r="DH778" s="12"/>
      <c r="DI778" s="12"/>
      <c r="DJ778" s="12"/>
      <c r="DK778" s="12"/>
      <c r="DL778" s="12"/>
      <c r="DM778" s="12"/>
      <c r="DN778" s="12"/>
      <c r="DO778" s="12"/>
      <c r="DP778" s="12"/>
      <c r="DQ778" s="12"/>
      <c r="DR778" s="12"/>
      <c r="DS778" s="12"/>
      <c r="DT778" s="12"/>
      <c r="DU778" s="12"/>
      <c r="DV778" s="12"/>
      <c r="DW778" s="12"/>
      <c r="DX778" s="12"/>
      <c r="DY778" s="12"/>
      <c r="DZ778" s="12"/>
      <c r="EA778" s="12"/>
      <c r="EB778" s="12"/>
      <c r="EC778" s="12"/>
      <c r="ED778" s="12"/>
      <c r="EE778" s="12"/>
      <c r="EF778" s="12"/>
      <c r="EG778" s="12"/>
      <c r="EH778" s="12"/>
      <c r="EI778" s="12"/>
      <c r="EJ778" s="574"/>
      <c r="EK778" s="574"/>
      <c r="EL778" s="574"/>
      <c r="EM778" s="574"/>
      <c r="EN778" s="574"/>
      <c r="EO778" s="574"/>
      <c r="EP778" s="574"/>
      <c r="EQ778" s="574"/>
      <c r="ER778" s="574"/>
      <c r="ES778" s="574"/>
      <c r="ET778" s="574"/>
      <c r="EU778" s="574"/>
    </row>
    <row r="779">
      <c r="A779" s="12"/>
      <c r="B779" s="55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  <c r="AX779" s="12"/>
      <c r="AY779" s="12"/>
      <c r="AZ779" s="12"/>
      <c r="BA779" s="12"/>
      <c r="BB779" s="12"/>
      <c r="BC779" s="12"/>
      <c r="BD779" s="12"/>
      <c r="BE779" s="12"/>
      <c r="BF779" s="12"/>
      <c r="BG779" s="12"/>
      <c r="BH779" s="12"/>
      <c r="BI779" s="12"/>
      <c r="BJ779" s="12"/>
      <c r="BK779" s="12"/>
      <c r="BL779" s="12"/>
      <c r="BM779" s="12"/>
      <c r="BN779" s="12"/>
      <c r="BO779" s="12"/>
      <c r="BP779" s="12"/>
      <c r="BQ779" s="12"/>
      <c r="BR779" s="12"/>
      <c r="BS779" s="12"/>
      <c r="BT779" s="12"/>
      <c r="BU779" s="12"/>
      <c r="BV779" s="12"/>
      <c r="BW779" s="12"/>
      <c r="BX779" s="12"/>
      <c r="BY779" s="12"/>
      <c r="BZ779" s="12"/>
      <c r="CA779" s="12"/>
      <c r="CB779" s="12"/>
      <c r="CC779" s="12"/>
      <c r="CD779" s="12"/>
      <c r="CE779" s="12"/>
      <c r="CF779" s="12"/>
      <c r="CG779" s="12"/>
      <c r="CH779" s="12"/>
      <c r="CI779" s="12"/>
      <c r="CJ779" s="12"/>
      <c r="CK779" s="12"/>
      <c r="CL779" s="12"/>
      <c r="CM779" s="12"/>
      <c r="CN779" s="12"/>
      <c r="CO779" s="12"/>
      <c r="CP779" s="12"/>
      <c r="CQ779" s="12"/>
      <c r="CR779" s="12"/>
      <c r="CS779" s="12"/>
      <c r="CT779" s="12"/>
      <c r="CU779" s="12"/>
      <c r="CV779" s="12"/>
      <c r="CW779" s="12"/>
      <c r="CX779" s="12"/>
      <c r="CY779" s="12"/>
      <c r="CZ779" s="12"/>
      <c r="DA779" s="12"/>
      <c r="DB779" s="12"/>
      <c r="DC779" s="12"/>
      <c r="DD779" s="12"/>
      <c r="DE779" s="12"/>
      <c r="DF779" s="12"/>
      <c r="DG779" s="12"/>
      <c r="DH779" s="12"/>
      <c r="DI779" s="12"/>
      <c r="DJ779" s="12"/>
      <c r="DK779" s="12"/>
      <c r="DL779" s="12"/>
      <c r="DM779" s="12"/>
      <c r="DN779" s="12"/>
      <c r="DO779" s="12"/>
      <c r="DP779" s="12"/>
      <c r="DQ779" s="12"/>
      <c r="DR779" s="12"/>
      <c r="DS779" s="12"/>
      <c r="DT779" s="12"/>
      <c r="DU779" s="12"/>
      <c r="DV779" s="12"/>
      <c r="DW779" s="12"/>
      <c r="DX779" s="12"/>
      <c r="DY779" s="12"/>
      <c r="DZ779" s="12"/>
      <c r="EA779" s="12"/>
      <c r="EB779" s="12"/>
      <c r="EC779" s="12"/>
      <c r="ED779" s="12"/>
      <c r="EE779" s="12"/>
      <c r="EF779" s="12"/>
      <c r="EG779" s="12"/>
      <c r="EH779" s="12"/>
      <c r="EI779" s="12"/>
      <c r="EJ779" s="574"/>
      <c r="EK779" s="574"/>
      <c r="EL779" s="574"/>
      <c r="EM779" s="574"/>
      <c r="EN779" s="574"/>
      <c r="EO779" s="574"/>
      <c r="EP779" s="574"/>
      <c r="EQ779" s="574"/>
      <c r="ER779" s="574"/>
      <c r="ES779" s="574"/>
      <c r="ET779" s="574"/>
      <c r="EU779" s="574"/>
    </row>
    <row r="780">
      <c r="A780" s="12"/>
      <c r="B780" s="55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  <c r="AX780" s="12"/>
      <c r="AY780" s="12"/>
      <c r="AZ780" s="12"/>
      <c r="BA780" s="12"/>
      <c r="BB780" s="12"/>
      <c r="BC780" s="12"/>
      <c r="BD780" s="12"/>
      <c r="BE780" s="12"/>
      <c r="BF780" s="12"/>
      <c r="BG780" s="12"/>
      <c r="BH780" s="12"/>
      <c r="BI780" s="12"/>
      <c r="BJ780" s="12"/>
      <c r="BK780" s="12"/>
      <c r="BL780" s="12"/>
      <c r="BM780" s="12"/>
      <c r="BN780" s="12"/>
      <c r="BO780" s="12"/>
      <c r="BP780" s="12"/>
      <c r="BQ780" s="12"/>
      <c r="BR780" s="12"/>
      <c r="BS780" s="12"/>
      <c r="BT780" s="12"/>
      <c r="BU780" s="12"/>
      <c r="BV780" s="12"/>
      <c r="BW780" s="12"/>
      <c r="BX780" s="12"/>
      <c r="BY780" s="12"/>
      <c r="BZ780" s="12"/>
      <c r="CA780" s="12"/>
      <c r="CB780" s="12"/>
      <c r="CC780" s="12"/>
      <c r="CD780" s="12"/>
      <c r="CE780" s="12"/>
      <c r="CF780" s="12"/>
      <c r="CG780" s="12"/>
      <c r="CH780" s="12"/>
      <c r="CI780" s="12"/>
      <c r="CJ780" s="12"/>
      <c r="CK780" s="12"/>
      <c r="CL780" s="12"/>
      <c r="CM780" s="12"/>
      <c r="CN780" s="12"/>
      <c r="CO780" s="12"/>
      <c r="CP780" s="12"/>
      <c r="CQ780" s="12"/>
      <c r="CR780" s="12"/>
      <c r="CS780" s="12"/>
      <c r="CT780" s="12"/>
      <c r="CU780" s="12"/>
      <c r="CV780" s="12"/>
      <c r="CW780" s="12"/>
      <c r="CX780" s="12"/>
      <c r="CY780" s="12"/>
      <c r="CZ780" s="12"/>
      <c r="DA780" s="12"/>
      <c r="DB780" s="12"/>
      <c r="DC780" s="12"/>
      <c r="DD780" s="12"/>
      <c r="DE780" s="12"/>
      <c r="DF780" s="12"/>
      <c r="DG780" s="12"/>
      <c r="DH780" s="12"/>
      <c r="DI780" s="12"/>
      <c r="DJ780" s="12"/>
      <c r="DK780" s="12"/>
      <c r="DL780" s="12"/>
      <c r="DM780" s="12"/>
      <c r="DN780" s="12"/>
      <c r="DO780" s="12"/>
      <c r="DP780" s="12"/>
      <c r="DQ780" s="12"/>
      <c r="DR780" s="12"/>
      <c r="DS780" s="12"/>
      <c r="DT780" s="12"/>
      <c r="DU780" s="12"/>
      <c r="DV780" s="12"/>
      <c r="DW780" s="12"/>
      <c r="DX780" s="12"/>
      <c r="DY780" s="12"/>
      <c r="DZ780" s="12"/>
      <c r="EA780" s="12"/>
      <c r="EB780" s="12"/>
      <c r="EC780" s="12"/>
      <c r="ED780" s="12"/>
      <c r="EE780" s="12"/>
      <c r="EF780" s="12"/>
      <c r="EG780" s="12"/>
      <c r="EH780" s="12"/>
      <c r="EI780" s="12"/>
      <c r="EJ780" s="574"/>
      <c r="EK780" s="574"/>
      <c r="EL780" s="574"/>
      <c r="EM780" s="574"/>
      <c r="EN780" s="574"/>
      <c r="EO780" s="574"/>
      <c r="EP780" s="574"/>
      <c r="EQ780" s="574"/>
      <c r="ER780" s="574"/>
      <c r="ES780" s="574"/>
      <c r="ET780" s="574"/>
      <c r="EU780" s="574"/>
    </row>
    <row r="781">
      <c r="A781" s="12"/>
      <c r="B781" s="55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  <c r="AX781" s="12"/>
      <c r="AY781" s="12"/>
      <c r="AZ781" s="12"/>
      <c r="BA781" s="12"/>
      <c r="BB781" s="12"/>
      <c r="BC781" s="12"/>
      <c r="BD781" s="12"/>
      <c r="BE781" s="12"/>
      <c r="BF781" s="12"/>
      <c r="BG781" s="12"/>
      <c r="BH781" s="12"/>
      <c r="BI781" s="12"/>
      <c r="BJ781" s="12"/>
      <c r="BK781" s="12"/>
      <c r="BL781" s="12"/>
      <c r="BM781" s="12"/>
      <c r="BN781" s="12"/>
      <c r="BO781" s="12"/>
      <c r="BP781" s="12"/>
      <c r="BQ781" s="12"/>
      <c r="BR781" s="12"/>
      <c r="BS781" s="12"/>
      <c r="BT781" s="12"/>
      <c r="BU781" s="12"/>
      <c r="BV781" s="12"/>
      <c r="BW781" s="12"/>
      <c r="BX781" s="12"/>
      <c r="BY781" s="12"/>
      <c r="BZ781" s="12"/>
      <c r="CA781" s="12"/>
      <c r="CB781" s="12"/>
      <c r="CC781" s="12"/>
      <c r="CD781" s="12"/>
      <c r="CE781" s="12"/>
      <c r="CF781" s="12"/>
      <c r="CG781" s="12"/>
      <c r="CH781" s="12"/>
      <c r="CI781" s="12"/>
      <c r="CJ781" s="12"/>
      <c r="CK781" s="12"/>
      <c r="CL781" s="12"/>
      <c r="CM781" s="12"/>
      <c r="CN781" s="12"/>
      <c r="CO781" s="12"/>
      <c r="CP781" s="12"/>
      <c r="CQ781" s="12"/>
      <c r="CR781" s="12"/>
      <c r="CS781" s="12"/>
      <c r="CT781" s="12"/>
      <c r="CU781" s="12"/>
      <c r="CV781" s="12"/>
      <c r="CW781" s="12"/>
      <c r="CX781" s="12"/>
      <c r="CY781" s="12"/>
      <c r="CZ781" s="12"/>
      <c r="DA781" s="12"/>
      <c r="DB781" s="12"/>
      <c r="DC781" s="12"/>
      <c r="DD781" s="12"/>
      <c r="DE781" s="12"/>
      <c r="DF781" s="12"/>
      <c r="DG781" s="12"/>
      <c r="DH781" s="12"/>
      <c r="DI781" s="12"/>
      <c r="DJ781" s="12"/>
      <c r="DK781" s="12"/>
      <c r="DL781" s="12"/>
      <c r="DM781" s="12"/>
      <c r="DN781" s="12"/>
      <c r="DO781" s="12"/>
      <c r="DP781" s="12"/>
      <c r="DQ781" s="12"/>
      <c r="DR781" s="12"/>
      <c r="DS781" s="12"/>
      <c r="DT781" s="12"/>
      <c r="DU781" s="12"/>
      <c r="DV781" s="12"/>
      <c r="DW781" s="12"/>
      <c r="DX781" s="12"/>
      <c r="DY781" s="12"/>
      <c r="DZ781" s="12"/>
      <c r="EA781" s="12"/>
      <c r="EB781" s="12"/>
      <c r="EC781" s="12"/>
      <c r="ED781" s="12"/>
      <c r="EE781" s="12"/>
      <c r="EF781" s="12"/>
      <c r="EG781" s="12"/>
      <c r="EH781" s="12"/>
      <c r="EI781" s="12"/>
      <c r="EJ781" s="574"/>
      <c r="EK781" s="574"/>
      <c r="EL781" s="574"/>
      <c r="EM781" s="574"/>
      <c r="EN781" s="574"/>
      <c r="EO781" s="574"/>
      <c r="EP781" s="574"/>
      <c r="EQ781" s="574"/>
      <c r="ER781" s="574"/>
      <c r="ES781" s="574"/>
      <c r="ET781" s="574"/>
      <c r="EU781" s="574"/>
    </row>
    <row r="782">
      <c r="A782" s="12"/>
      <c r="B782" s="55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12"/>
      <c r="AY782" s="12"/>
      <c r="AZ782" s="12"/>
      <c r="BA782" s="12"/>
      <c r="BB782" s="12"/>
      <c r="BC782" s="12"/>
      <c r="BD782" s="12"/>
      <c r="BE782" s="12"/>
      <c r="BF782" s="12"/>
      <c r="BG782" s="12"/>
      <c r="BH782" s="12"/>
      <c r="BI782" s="12"/>
      <c r="BJ782" s="12"/>
      <c r="BK782" s="12"/>
      <c r="BL782" s="12"/>
      <c r="BM782" s="12"/>
      <c r="BN782" s="12"/>
      <c r="BO782" s="12"/>
      <c r="BP782" s="12"/>
      <c r="BQ782" s="12"/>
      <c r="BR782" s="12"/>
      <c r="BS782" s="12"/>
      <c r="BT782" s="12"/>
      <c r="BU782" s="12"/>
      <c r="BV782" s="12"/>
      <c r="BW782" s="12"/>
      <c r="BX782" s="12"/>
      <c r="BY782" s="12"/>
      <c r="BZ782" s="12"/>
      <c r="CA782" s="12"/>
      <c r="CB782" s="12"/>
      <c r="CC782" s="12"/>
      <c r="CD782" s="12"/>
      <c r="CE782" s="12"/>
      <c r="CF782" s="12"/>
      <c r="CG782" s="12"/>
      <c r="CH782" s="12"/>
      <c r="CI782" s="12"/>
      <c r="CJ782" s="12"/>
      <c r="CK782" s="12"/>
      <c r="CL782" s="12"/>
      <c r="CM782" s="12"/>
      <c r="CN782" s="12"/>
      <c r="CO782" s="12"/>
      <c r="CP782" s="12"/>
      <c r="CQ782" s="12"/>
      <c r="CR782" s="12"/>
      <c r="CS782" s="12"/>
      <c r="CT782" s="12"/>
      <c r="CU782" s="12"/>
      <c r="CV782" s="12"/>
      <c r="CW782" s="12"/>
      <c r="CX782" s="12"/>
      <c r="CY782" s="12"/>
      <c r="CZ782" s="12"/>
      <c r="DA782" s="12"/>
      <c r="DB782" s="12"/>
      <c r="DC782" s="12"/>
      <c r="DD782" s="12"/>
      <c r="DE782" s="12"/>
      <c r="DF782" s="12"/>
      <c r="DG782" s="12"/>
      <c r="DH782" s="12"/>
      <c r="DI782" s="12"/>
      <c r="DJ782" s="12"/>
      <c r="DK782" s="12"/>
      <c r="DL782" s="12"/>
      <c r="DM782" s="12"/>
      <c r="DN782" s="12"/>
      <c r="DO782" s="12"/>
      <c r="DP782" s="12"/>
      <c r="DQ782" s="12"/>
      <c r="DR782" s="12"/>
      <c r="DS782" s="12"/>
      <c r="DT782" s="12"/>
      <c r="DU782" s="12"/>
      <c r="DV782" s="12"/>
      <c r="DW782" s="12"/>
      <c r="DX782" s="12"/>
      <c r="DY782" s="12"/>
      <c r="DZ782" s="12"/>
      <c r="EA782" s="12"/>
      <c r="EB782" s="12"/>
      <c r="EC782" s="12"/>
      <c r="ED782" s="12"/>
      <c r="EE782" s="12"/>
      <c r="EF782" s="12"/>
      <c r="EG782" s="12"/>
      <c r="EH782" s="12"/>
      <c r="EI782" s="12"/>
      <c r="EJ782" s="574"/>
      <c r="EK782" s="574"/>
      <c r="EL782" s="574"/>
      <c r="EM782" s="574"/>
      <c r="EN782" s="574"/>
      <c r="EO782" s="574"/>
      <c r="EP782" s="574"/>
      <c r="EQ782" s="574"/>
      <c r="ER782" s="574"/>
      <c r="ES782" s="574"/>
      <c r="ET782" s="574"/>
      <c r="EU782" s="574"/>
    </row>
    <row r="783">
      <c r="A783" s="12"/>
      <c r="B783" s="55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  <c r="AX783" s="12"/>
      <c r="AY783" s="12"/>
      <c r="AZ783" s="12"/>
      <c r="BA783" s="12"/>
      <c r="BB783" s="12"/>
      <c r="BC783" s="12"/>
      <c r="BD783" s="12"/>
      <c r="BE783" s="12"/>
      <c r="BF783" s="12"/>
      <c r="BG783" s="12"/>
      <c r="BH783" s="12"/>
      <c r="BI783" s="12"/>
      <c r="BJ783" s="12"/>
      <c r="BK783" s="12"/>
      <c r="BL783" s="12"/>
      <c r="BM783" s="12"/>
      <c r="BN783" s="12"/>
      <c r="BO783" s="12"/>
      <c r="BP783" s="12"/>
      <c r="BQ783" s="12"/>
      <c r="BR783" s="12"/>
      <c r="BS783" s="12"/>
      <c r="BT783" s="12"/>
      <c r="BU783" s="12"/>
      <c r="BV783" s="12"/>
      <c r="BW783" s="12"/>
      <c r="BX783" s="12"/>
      <c r="BY783" s="12"/>
      <c r="BZ783" s="12"/>
      <c r="CA783" s="12"/>
      <c r="CB783" s="12"/>
      <c r="CC783" s="12"/>
      <c r="CD783" s="12"/>
      <c r="CE783" s="12"/>
      <c r="CF783" s="12"/>
      <c r="CG783" s="12"/>
      <c r="CH783" s="12"/>
      <c r="CI783" s="12"/>
      <c r="CJ783" s="12"/>
      <c r="CK783" s="12"/>
      <c r="CL783" s="12"/>
      <c r="CM783" s="12"/>
      <c r="CN783" s="12"/>
      <c r="CO783" s="12"/>
      <c r="CP783" s="12"/>
      <c r="CQ783" s="12"/>
      <c r="CR783" s="12"/>
      <c r="CS783" s="12"/>
      <c r="CT783" s="12"/>
      <c r="CU783" s="12"/>
      <c r="CV783" s="12"/>
      <c r="CW783" s="12"/>
      <c r="CX783" s="12"/>
      <c r="CY783" s="12"/>
      <c r="CZ783" s="12"/>
      <c r="DA783" s="12"/>
      <c r="DB783" s="12"/>
      <c r="DC783" s="12"/>
      <c r="DD783" s="12"/>
      <c r="DE783" s="12"/>
      <c r="DF783" s="12"/>
      <c r="DG783" s="12"/>
      <c r="DH783" s="12"/>
      <c r="DI783" s="12"/>
      <c r="DJ783" s="12"/>
      <c r="DK783" s="12"/>
      <c r="DL783" s="12"/>
      <c r="DM783" s="12"/>
      <c r="DN783" s="12"/>
      <c r="DO783" s="12"/>
      <c r="DP783" s="12"/>
      <c r="DQ783" s="12"/>
      <c r="DR783" s="12"/>
      <c r="DS783" s="12"/>
      <c r="DT783" s="12"/>
      <c r="DU783" s="12"/>
      <c r="DV783" s="12"/>
      <c r="DW783" s="12"/>
      <c r="DX783" s="12"/>
      <c r="DY783" s="12"/>
      <c r="DZ783" s="12"/>
      <c r="EA783" s="12"/>
      <c r="EB783" s="12"/>
      <c r="EC783" s="12"/>
      <c r="ED783" s="12"/>
      <c r="EE783" s="12"/>
      <c r="EF783" s="12"/>
      <c r="EG783" s="12"/>
      <c r="EH783" s="12"/>
      <c r="EI783" s="12"/>
      <c r="EJ783" s="574"/>
      <c r="EK783" s="574"/>
      <c r="EL783" s="574"/>
      <c r="EM783" s="574"/>
      <c r="EN783" s="574"/>
      <c r="EO783" s="574"/>
      <c r="EP783" s="574"/>
      <c r="EQ783" s="574"/>
      <c r="ER783" s="574"/>
      <c r="ES783" s="574"/>
      <c r="ET783" s="574"/>
      <c r="EU783" s="574"/>
    </row>
    <row r="784">
      <c r="A784" s="12"/>
      <c r="B784" s="55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  <c r="AX784" s="12"/>
      <c r="AY784" s="12"/>
      <c r="AZ784" s="12"/>
      <c r="BA784" s="12"/>
      <c r="BB784" s="12"/>
      <c r="BC784" s="12"/>
      <c r="BD784" s="12"/>
      <c r="BE784" s="12"/>
      <c r="BF784" s="12"/>
      <c r="BG784" s="12"/>
      <c r="BH784" s="12"/>
      <c r="BI784" s="12"/>
      <c r="BJ784" s="12"/>
      <c r="BK784" s="12"/>
      <c r="BL784" s="12"/>
      <c r="BM784" s="12"/>
      <c r="BN784" s="12"/>
      <c r="BO784" s="12"/>
      <c r="BP784" s="12"/>
      <c r="BQ784" s="12"/>
      <c r="BR784" s="12"/>
      <c r="BS784" s="12"/>
      <c r="BT784" s="12"/>
      <c r="BU784" s="12"/>
      <c r="BV784" s="12"/>
      <c r="BW784" s="12"/>
      <c r="BX784" s="12"/>
      <c r="BY784" s="12"/>
      <c r="BZ784" s="12"/>
      <c r="CA784" s="12"/>
      <c r="CB784" s="12"/>
      <c r="CC784" s="12"/>
      <c r="CD784" s="12"/>
      <c r="CE784" s="12"/>
      <c r="CF784" s="12"/>
      <c r="CG784" s="12"/>
      <c r="CH784" s="12"/>
      <c r="CI784" s="12"/>
      <c r="CJ784" s="12"/>
      <c r="CK784" s="12"/>
      <c r="CL784" s="12"/>
      <c r="CM784" s="12"/>
      <c r="CN784" s="12"/>
      <c r="CO784" s="12"/>
      <c r="CP784" s="12"/>
      <c r="CQ784" s="12"/>
      <c r="CR784" s="12"/>
      <c r="CS784" s="12"/>
      <c r="CT784" s="12"/>
      <c r="CU784" s="12"/>
      <c r="CV784" s="12"/>
      <c r="CW784" s="12"/>
      <c r="CX784" s="12"/>
      <c r="CY784" s="12"/>
      <c r="CZ784" s="12"/>
      <c r="DA784" s="12"/>
      <c r="DB784" s="12"/>
      <c r="DC784" s="12"/>
      <c r="DD784" s="12"/>
      <c r="DE784" s="12"/>
      <c r="DF784" s="12"/>
      <c r="DG784" s="12"/>
      <c r="DH784" s="12"/>
      <c r="DI784" s="12"/>
      <c r="DJ784" s="12"/>
      <c r="DK784" s="12"/>
      <c r="DL784" s="12"/>
      <c r="DM784" s="12"/>
      <c r="DN784" s="12"/>
      <c r="DO784" s="12"/>
      <c r="DP784" s="12"/>
      <c r="DQ784" s="12"/>
      <c r="DR784" s="12"/>
      <c r="DS784" s="12"/>
      <c r="DT784" s="12"/>
      <c r="DU784" s="12"/>
      <c r="DV784" s="12"/>
      <c r="DW784" s="12"/>
      <c r="DX784" s="12"/>
      <c r="DY784" s="12"/>
      <c r="DZ784" s="12"/>
      <c r="EA784" s="12"/>
      <c r="EB784" s="12"/>
      <c r="EC784" s="12"/>
      <c r="ED784" s="12"/>
      <c r="EE784" s="12"/>
      <c r="EF784" s="12"/>
      <c r="EG784" s="12"/>
      <c r="EH784" s="12"/>
      <c r="EI784" s="12"/>
      <c r="EJ784" s="574"/>
      <c r="EK784" s="574"/>
      <c r="EL784" s="574"/>
      <c r="EM784" s="574"/>
      <c r="EN784" s="574"/>
      <c r="EO784" s="574"/>
      <c r="EP784" s="574"/>
      <c r="EQ784" s="574"/>
      <c r="ER784" s="574"/>
      <c r="ES784" s="574"/>
      <c r="ET784" s="574"/>
      <c r="EU784" s="574"/>
    </row>
    <row r="785">
      <c r="A785" s="12"/>
      <c r="B785" s="55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12"/>
      <c r="AY785" s="12"/>
      <c r="AZ785" s="12"/>
      <c r="BA785" s="12"/>
      <c r="BB785" s="12"/>
      <c r="BC785" s="12"/>
      <c r="BD785" s="12"/>
      <c r="BE785" s="12"/>
      <c r="BF785" s="12"/>
      <c r="BG785" s="12"/>
      <c r="BH785" s="12"/>
      <c r="BI785" s="12"/>
      <c r="BJ785" s="12"/>
      <c r="BK785" s="12"/>
      <c r="BL785" s="12"/>
      <c r="BM785" s="12"/>
      <c r="BN785" s="12"/>
      <c r="BO785" s="12"/>
      <c r="BP785" s="12"/>
      <c r="BQ785" s="12"/>
      <c r="BR785" s="12"/>
      <c r="BS785" s="12"/>
      <c r="BT785" s="12"/>
      <c r="BU785" s="12"/>
      <c r="BV785" s="12"/>
      <c r="BW785" s="12"/>
      <c r="BX785" s="12"/>
      <c r="BY785" s="12"/>
      <c r="BZ785" s="12"/>
      <c r="CA785" s="12"/>
      <c r="CB785" s="12"/>
      <c r="CC785" s="12"/>
      <c r="CD785" s="12"/>
      <c r="CE785" s="12"/>
      <c r="CF785" s="12"/>
      <c r="CG785" s="12"/>
      <c r="CH785" s="12"/>
      <c r="CI785" s="12"/>
      <c r="CJ785" s="12"/>
      <c r="CK785" s="12"/>
      <c r="CL785" s="12"/>
      <c r="CM785" s="12"/>
      <c r="CN785" s="12"/>
      <c r="CO785" s="12"/>
      <c r="CP785" s="12"/>
      <c r="CQ785" s="12"/>
      <c r="CR785" s="12"/>
      <c r="CS785" s="12"/>
      <c r="CT785" s="12"/>
      <c r="CU785" s="12"/>
      <c r="CV785" s="12"/>
      <c r="CW785" s="12"/>
      <c r="CX785" s="12"/>
      <c r="CY785" s="12"/>
      <c r="CZ785" s="12"/>
      <c r="DA785" s="12"/>
      <c r="DB785" s="12"/>
      <c r="DC785" s="12"/>
      <c r="DD785" s="12"/>
      <c r="DE785" s="12"/>
      <c r="DF785" s="12"/>
      <c r="DG785" s="12"/>
      <c r="DH785" s="12"/>
      <c r="DI785" s="12"/>
      <c r="DJ785" s="12"/>
      <c r="DK785" s="12"/>
      <c r="DL785" s="12"/>
      <c r="DM785" s="12"/>
      <c r="DN785" s="12"/>
      <c r="DO785" s="12"/>
      <c r="DP785" s="12"/>
      <c r="DQ785" s="12"/>
      <c r="DR785" s="12"/>
      <c r="DS785" s="12"/>
      <c r="DT785" s="12"/>
      <c r="DU785" s="12"/>
      <c r="DV785" s="12"/>
      <c r="DW785" s="12"/>
      <c r="DX785" s="12"/>
      <c r="DY785" s="12"/>
      <c r="DZ785" s="12"/>
      <c r="EA785" s="12"/>
      <c r="EB785" s="12"/>
      <c r="EC785" s="12"/>
      <c r="ED785" s="12"/>
      <c r="EE785" s="12"/>
      <c r="EF785" s="12"/>
      <c r="EG785" s="12"/>
      <c r="EH785" s="12"/>
      <c r="EI785" s="12"/>
      <c r="EJ785" s="574"/>
      <c r="EK785" s="574"/>
      <c r="EL785" s="574"/>
      <c r="EM785" s="574"/>
      <c r="EN785" s="574"/>
      <c r="EO785" s="574"/>
      <c r="EP785" s="574"/>
      <c r="EQ785" s="574"/>
      <c r="ER785" s="574"/>
      <c r="ES785" s="574"/>
      <c r="ET785" s="574"/>
      <c r="EU785" s="574"/>
    </row>
    <row r="786">
      <c r="A786" s="12"/>
      <c r="B786" s="55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  <c r="AX786" s="12"/>
      <c r="AY786" s="12"/>
      <c r="AZ786" s="12"/>
      <c r="BA786" s="12"/>
      <c r="BB786" s="12"/>
      <c r="BC786" s="12"/>
      <c r="BD786" s="12"/>
      <c r="BE786" s="12"/>
      <c r="BF786" s="12"/>
      <c r="BG786" s="12"/>
      <c r="BH786" s="12"/>
      <c r="BI786" s="12"/>
      <c r="BJ786" s="12"/>
      <c r="BK786" s="12"/>
      <c r="BL786" s="12"/>
      <c r="BM786" s="12"/>
      <c r="BN786" s="12"/>
      <c r="BO786" s="12"/>
      <c r="BP786" s="12"/>
      <c r="BQ786" s="12"/>
      <c r="BR786" s="12"/>
      <c r="BS786" s="12"/>
      <c r="BT786" s="12"/>
      <c r="BU786" s="12"/>
      <c r="BV786" s="12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574"/>
      <c r="EK786" s="574"/>
      <c r="EL786" s="574"/>
      <c r="EM786" s="574"/>
      <c r="EN786" s="574"/>
      <c r="EO786" s="574"/>
      <c r="EP786" s="574"/>
      <c r="EQ786" s="574"/>
      <c r="ER786" s="574"/>
      <c r="ES786" s="574"/>
      <c r="ET786" s="574"/>
      <c r="EU786" s="574"/>
    </row>
    <row r="787">
      <c r="A787" s="12"/>
      <c r="B787" s="55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  <c r="AX787" s="12"/>
      <c r="AY787" s="12"/>
      <c r="AZ787" s="12"/>
      <c r="BA787" s="12"/>
      <c r="BB787" s="12"/>
      <c r="BC787" s="12"/>
      <c r="BD787" s="12"/>
      <c r="BE787" s="12"/>
      <c r="BF787" s="12"/>
      <c r="BG787" s="12"/>
      <c r="BH787" s="12"/>
      <c r="BI787" s="12"/>
      <c r="BJ787" s="12"/>
      <c r="BK787" s="12"/>
      <c r="BL787" s="12"/>
      <c r="BM787" s="12"/>
      <c r="BN787" s="12"/>
      <c r="BO787" s="12"/>
      <c r="BP787" s="12"/>
      <c r="BQ787" s="12"/>
      <c r="BR787" s="12"/>
      <c r="BS787" s="12"/>
      <c r="BT787" s="12"/>
      <c r="BU787" s="12"/>
      <c r="BV787" s="12"/>
      <c r="BW787" s="12"/>
      <c r="BX787" s="12"/>
      <c r="BY787" s="12"/>
      <c r="BZ787" s="12"/>
      <c r="CA787" s="12"/>
      <c r="CB787" s="12"/>
      <c r="CC787" s="12"/>
      <c r="CD787" s="12"/>
      <c r="CE787" s="12"/>
      <c r="CF787" s="12"/>
      <c r="CG787" s="12"/>
      <c r="CH787" s="12"/>
      <c r="CI787" s="12"/>
      <c r="CJ787" s="12"/>
      <c r="CK787" s="12"/>
      <c r="CL787" s="12"/>
      <c r="CM787" s="12"/>
      <c r="CN787" s="12"/>
      <c r="CO787" s="12"/>
      <c r="CP787" s="12"/>
      <c r="CQ787" s="12"/>
      <c r="CR787" s="12"/>
      <c r="CS787" s="12"/>
      <c r="CT787" s="12"/>
      <c r="CU787" s="12"/>
      <c r="CV787" s="12"/>
      <c r="CW787" s="12"/>
      <c r="CX787" s="12"/>
      <c r="CY787" s="12"/>
      <c r="CZ787" s="12"/>
      <c r="DA787" s="12"/>
      <c r="DB787" s="12"/>
      <c r="DC787" s="12"/>
      <c r="DD787" s="12"/>
      <c r="DE787" s="12"/>
      <c r="DF787" s="12"/>
      <c r="DG787" s="12"/>
      <c r="DH787" s="12"/>
      <c r="DI787" s="12"/>
      <c r="DJ787" s="12"/>
      <c r="DK787" s="12"/>
      <c r="DL787" s="12"/>
      <c r="DM787" s="12"/>
      <c r="DN787" s="12"/>
      <c r="DO787" s="12"/>
      <c r="DP787" s="12"/>
      <c r="DQ787" s="12"/>
      <c r="DR787" s="12"/>
      <c r="DS787" s="12"/>
      <c r="DT787" s="12"/>
      <c r="DU787" s="12"/>
      <c r="DV787" s="12"/>
      <c r="DW787" s="12"/>
      <c r="DX787" s="12"/>
      <c r="DY787" s="12"/>
      <c r="DZ787" s="12"/>
      <c r="EA787" s="12"/>
      <c r="EB787" s="12"/>
      <c r="EC787" s="12"/>
      <c r="ED787" s="12"/>
      <c r="EE787" s="12"/>
      <c r="EF787" s="12"/>
      <c r="EG787" s="12"/>
      <c r="EH787" s="12"/>
      <c r="EI787" s="12"/>
      <c r="EJ787" s="574"/>
      <c r="EK787" s="574"/>
      <c r="EL787" s="574"/>
      <c r="EM787" s="574"/>
      <c r="EN787" s="574"/>
      <c r="EO787" s="574"/>
      <c r="EP787" s="574"/>
      <c r="EQ787" s="574"/>
      <c r="ER787" s="574"/>
      <c r="ES787" s="574"/>
      <c r="ET787" s="574"/>
      <c r="EU787" s="574"/>
    </row>
    <row r="788">
      <c r="A788" s="12"/>
      <c r="B788" s="55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2"/>
      <c r="AY788" s="12"/>
      <c r="AZ788" s="12"/>
      <c r="BA788" s="12"/>
      <c r="BB788" s="12"/>
      <c r="BC788" s="12"/>
      <c r="BD788" s="12"/>
      <c r="BE788" s="12"/>
      <c r="BF788" s="12"/>
      <c r="BG788" s="12"/>
      <c r="BH788" s="12"/>
      <c r="BI788" s="12"/>
      <c r="BJ788" s="12"/>
      <c r="BK788" s="12"/>
      <c r="BL788" s="12"/>
      <c r="BM788" s="12"/>
      <c r="BN788" s="12"/>
      <c r="BO788" s="12"/>
      <c r="BP788" s="12"/>
      <c r="BQ788" s="12"/>
      <c r="BR788" s="12"/>
      <c r="BS788" s="12"/>
      <c r="BT788" s="12"/>
      <c r="BU788" s="12"/>
      <c r="BV788" s="12"/>
      <c r="BW788" s="12"/>
      <c r="BX788" s="12"/>
      <c r="BY788" s="12"/>
      <c r="BZ788" s="12"/>
      <c r="CA788" s="12"/>
      <c r="CB788" s="12"/>
      <c r="CC788" s="12"/>
      <c r="CD788" s="12"/>
      <c r="CE788" s="12"/>
      <c r="CF788" s="12"/>
      <c r="CG788" s="12"/>
      <c r="CH788" s="12"/>
      <c r="CI788" s="12"/>
      <c r="CJ788" s="12"/>
      <c r="CK788" s="12"/>
      <c r="CL788" s="12"/>
      <c r="CM788" s="12"/>
      <c r="CN788" s="12"/>
      <c r="CO788" s="12"/>
      <c r="CP788" s="12"/>
      <c r="CQ788" s="12"/>
      <c r="CR788" s="12"/>
      <c r="CS788" s="12"/>
      <c r="CT788" s="12"/>
      <c r="CU788" s="12"/>
      <c r="CV788" s="12"/>
      <c r="CW788" s="12"/>
      <c r="CX788" s="12"/>
      <c r="CY788" s="12"/>
      <c r="CZ788" s="12"/>
      <c r="DA788" s="12"/>
      <c r="DB788" s="12"/>
      <c r="DC788" s="12"/>
      <c r="DD788" s="12"/>
      <c r="DE788" s="12"/>
      <c r="DF788" s="12"/>
      <c r="DG788" s="12"/>
      <c r="DH788" s="12"/>
      <c r="DI788" s="12"/>
      <c r="DJ788" s="12"/>
      <c r="DK788" s="12"/>
      <c r="DL788" s="12"/>
      <c r="DM788" s="12"/>
      <c r="DN788" s="12"/>
      <c r="DO788" s="12"/>
      <c r="DP788" s="12"/>
      <c r="DQ788" s="12"/>
      <c r="DR788" s="12"/>
      <c r="DS788" s="12"/>
      <c r="DT788" s="12"/>
      <c r="DU788" s="12"/>
      <c r="DV788" s="12"/>
      <c r="DW788" s="12"/>
      <c r="DX788" s="12"/>
      <c r="DY788" s="12"/>
      <c r="DZ788" s="12"/>
      <c r="EA788" s="12"/>
      <c r="EB788" s="12"/>
      <c r="EC788" s="12"/>
      <c r="ED788" s="12"/>
      <c r="EE788" s="12"/>
      <c r="EF788" s="12"/>
      <c r="EG788" s="12"/>
      <c r="EH788" s="12"/>
      <c r="EI788" s="12"/>
      <c r="EJ788" s="574"/>
      <c r="EK788" s="574"/>
      <c r="EL788" s="574"/>
      <c r="EM788" s="574"/>
      <c r="EN788" s="574"/>
      <c r="EO788" s="574"/>
      <c r="EP788" s="574"/>
      <c r="EQ788" s="574"/>
      <c r="ER788" s="574"/>
      <c r="ES788" s="574"/>
      <c r="ET788" s="574"/>
      <c r="EU788" s="574"/>
    </row>
    <row r="789">
      <c r="A789" s="12"/>
      <c r="B789" s="55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  <c r="AX789" s="12"/>
      <c r="AY789" s="12"/>
      <c r="AZ789" s="12"/>
      <c r="BA789" s="12"/>
      <c r="BB789" s="12"/>
      <c r="BC789" s="12"/>
      <c r="BD789" s="12"/>
      <c r="BE789" s="12"/>
      <c r="BF789" s="12"/>
      <c r="BG789" s="12"/>
      <c r="BH789" s="12"/>
      <c r="BI789" s="12"/>
      <c r="BJ789" s="12"/>
      <c r="BK789" s="12"/>
      <c r="BL789" s="12"/>
      <c r="BM789" s="12"/>
      <c r="BN789" s="12"/>
      <c r="BO789" s="12"/>
      <c r="BP789" s="12"/>
      <c r="BQ789" s="12"/>
      <c r="BR789" s="12"/>
      <c r="BS789" s="12"/>
      <c r="BT789" s="12"/>
      <c r="BU789" s="12"/>
      <c r="BV789" s="12"/>
      <c r="BW789" s="12"/>
      <c r="BX789" s="12"/>
      <c r="BY789" s="12"/>
      <c r="BZ789" s="12"/>
      <c r="CA789" s="12"/>
      <c r="CB789" s="12"/>
      <c r="CC789" s="12"/>
      <c r="CD789" s="12"/>
      <c r="CE789" s="12"/>
      <c r="CF789" s="12"/>
      <c r="CG789" s="12"/>
      <c r="CH789" s="12"/>
      <c r="CI789" s="12"/>
      <c r="CJ789" s="12"/>
      <c r="CK789" s="12"/>
      <c r="CL789" s="12"/>
      <c r="CM789" s="12"/>
      <c r="CN789" s="12"/>
      <c r="CO789" s="12"/>
      <c r="CP789" s="12"/>
      <c r="CQ789" s="12"/>
      <c r="CR789" s="12"/>
      <c r="CS789" s="12"/>
      <c r="CT789" s="12"/>
      <c r="CU789" s="12"/>
      <c r="CV789" s="12"/>
      <c r="CW789" s="12"/>
      <c r="CX789" s="12"/>
      <c r="CY789" s="12"/>
      <c r="CZ789" s="12"/>
      <c r="DA789" s="12"/>
      <c r="DB789" s="12"/>
      <c r="DC789" s="12"/>
      <c r="DD789" s="12"/>
      <c r="DE789" s="12"/>
      <c r="DF789" s="12"/>
      <c r="DG789" s="12"/>
      <c r="DH789" s="12"/>
      <c r="DI789" s="12"/>
      <c r="DJ789" s="12"/>
      <c r="DK789" s="12"/>
      <c r="DL789" s="12"/>
      <c r="DM789" s="12"/>
      <c r="DN789" s="12"/>
      <c r="DO789" s="12"/>
      <c r="DP789" s="12"/>
      <c r="DQ789" s="12"/>
      <c r="DR789" s="12"/>
      <c r="DS789" s="12"/>
      <c r="DT789" s="12"/>
      <c r="DU789" s="12"/>
      <c r="DV789" s="12"/>
      <c r="DW789" s="12"/>
      <c r="DX789" s="12"/>
      <c r="DY789" s="12"/>
      <c r="DZ789" s="12"/>
      <c r="EA789" s="12"/>
      <c r="EB789" s="12"/>
      <c r="EC789" s="12"/>
      <c r="ED789" s="12"/>
      <c r="EE789" s="12"/>
      <c r="EF789" s="12"/>
      <c r="EG789" s="12"/>
      <c r="EH789" s="12"/>
      <c r="EI789" s="12"/>
      <c r="EJ789" s="574"/>
      <c r="EK789" s="574"/>
      <c r="EL789" s="574"/>
      <c r="EM789" s="574"/>
      <c r="EN789" s="574"/>
      <c r="EO789" s="574"/>
      <c r="EP789" s="574"/>
      <c r="EQ789" s="574"/>
      <c r="ER789" s="574"/>
      <c r="ES789" s="574"/>
      <c r="ET789" s="574"/>
      <c r="EU789" s="574"/>
    </row>
    <row r="790">
      <c r="A790" s="12"/>
      <c r="B790" s="55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  <c r="AX790" s="12"/>
      <c r="AY790" s="12"/>
      <c r="AZ790" s="12"/>
      <c r="BA790" s="12"/>
      <c r="BB790" s="12"/>
      <c r="BC790" s="12"/>
      <c r="BD790" s="12"/>
      <c r="BE790" s="12"/>
      <c r="BF790" s="12"/>
      <c r="BG790" s="12"/>
      <c r="BH790" s="12"/>
      <c r="BI790" s="12"/>
      <c r="BJ790" s="12"/>
      <c r="BK790" s="12"/>
      <c r="BL790" s="12"/>
      <c r="BM790" s="12"/>
      <c r="BN790" s="12"/>
      <c r="BO790" s="12"/>
      <c r="BP790" s="12"/>
      <c r="BQ790" s="12"/>
      <c r="BR790" s="12"/>
      <c r="BS790" s="12"/>
      <c r="BT790" s="12"/>
      <c r="BU790" s="12"/>
      <c r="BV790" s="12"/>
      <c r="BW790" s="12"/>
      <c r="BX790" s="12"/>
      <c r="BY790" s="12"/>
      <c r="BZ790" s="12"/>
      <c r="CA790" s="12"/>
      <c r="CB790" s="12"/>
      <c r="CC790" s="12"/>
      <c r="CD790" s="12"/>
      <c r="CE790" s="12"/>
      <c r="CF790" s="12"/>
      <c r="CG790" s="12"/>
      <c r="CH790" s="12"/>
      <c r="CI790" s="12"/>
      <c r="CJ790" s="12"/>
      <c r="CK790" s="12"/>
      <c r="CL790" s="12"/>
      <c r="CM790" s="12"/>
      <c r="CN790" s="12"/>
      <c r="CO790" s="12"/>
      <c r="CP790" s="12"/>
      <c r="CQ790" s="12"/>
      <c r="CR790" s="12"/>
      <c r="CS790" s="12"/>
      <c r="CT790" s="12"/>
      <c r="CU790" s="12"/>
      <c r="CV790" s="12"/>
      <c r="CW790" s="12"/>
      <c r="CX790" s="12"/>
      <c r="CY790" s="12"/>
      <c r="CZ790" s="12"/>
      <c r="DA790" s="12"/>
      <c r="DB790" s="12"/>
      <c r="DC790" s="12"/>
      <c r="DD790" s="12"/>
      <c r="DE790" s="12"/>
      <c r="DF790" s="12"/>
      <c r="DG790" s="12"/>
      <c r="DH790" s="12"/>
      <c r="DI790" s="12"/>
      <c r="DJ790" s="12"/>
      <c r="DK790" s="12"/>
      <c r="DL790" s="12"/>
      <c r="DM790" s="12"/>
      <c r="DN790" s="12"/>
      <c r="DO790" s="12"/>
      <c r="DP790" s="12"/>
      <c r="DQ790" s="12"/>
      <c r="DR790" s="12"/>
      <c r="DS790" s="12"/>
      <c r="DT790" s="12"/>
      <c r="DU790" s="12"/>
      <c r="DV790" s="12"/>
      <c r="DW790" s="12"/>
      <c r="DX790" s="12"/>
      <c r="DY790" s="12"/>
      <c r="DZ790" s="12"/>
      <c r="EA790" s="12"/>
      <c r="EB790" s="12"/>
      <c r="EC790" s="12"/>
      <c r="ED790" s="12"/>
      <c r="EE790" s="12"/>
      <c r="EF790" s="12"/>
      <c r="EG790" s="12"/>
      <c r="EH790" s="12"/>
      <c r="EI790" s="12"/>
      <c r="EJ790" s="574"/>
      <c r="EK790" s="574"/>
      <c r="EL790" s="574"/>
      <c r="EM790" s="574"/>
      <c r="EN790" s="574"/>
      <c r="EO790" s="574"/>
      <c r="EP790" s="574"/>
      <c r="EQ790" s="574"/>
      <c r="ER790" s="574"/>
      <c r="ES790" s="574"/>
      <c r="ET790" s="574"/>
      <c r="EU790" s="574"/>
    </row>
    <row r="791">
      <c r="A791" s="12"/>
      <c r="B791" s="55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  <c r="AX791" s="12"/>
      <c r="AY791" s="12"/>
      <c r="AZ791" s="12"/>
      <c r="BA791" s="12"/>
      <c r="BB791" s="12"/>
      <c r="BC791" s="12"/>
      <c r="BD791" s="12"/>
      <c r="BE791" s="12"/>
      <c r="BF791" s="12"/>
      <c r="BG791" s="12"/>
      <c r="BH791" s="12"/>
      <c r="BI791" s="12"/>
      <c r="BJ791" s="12"/>
      <c r="BK791" s="12"/>
      <c r="BL791" s="12"/>
      <c r="BM791" s="12"/>
      <c r="BN791" s="12"/>
      <c r="BO791" s="12"/>
      <c r="BP791" s="12"/>
      <c r="BQ791" s="12"/>
      <c r="BR791" s="12"/>
      <c r="BS791" s="12"/>
      <c r="BT791" s="12"/>
      <c r="BU791" s="12"/>
      <c r="BV791" s="12"/>
      <c r="BW791" s="12"/>
      <c r="BX791" s="12"/>
      <c r="BY791" s="12"/>
      <c r="BZ791" s="12"/>
      <c r="CA791" s="12"/>
      <c r="CB791" s="12"/>
      <c r="CC791" s="12"/>
      <c r="CD791" s="12"/>
      <c r="CE791" s="12"/>
      <c r="CF791" s="12"/>
      <c r="CG791" s="12"/>
      <c r="CH791" s="12"/>
      <c r="CI791" s="12"/>
      <c r="CJ791" s="12"/>
      <c r="CK791" s="12"/>
      <c r="CL791" s="12"/>
      <c r="CM791" s="12"/>
      <c r="CN791" s="12"/>
      <c r="CO791" s="12"/>
      <c r="CP791" s="12"/>
      <c r="CQ791" s="12"/>
      <c r="CR791" s="12"/>
      <c r="CS791" s="12"/>
      <c r="CT791" s="12"/>
      <c r="CU791" s="12"/>
      <c r="CV791" s="12"/>
      <c r="CW791" s="12"/>
      <c r="CX791" s="12"/>
      <c r="CY791" s="12"/>
      <c r="CZ791" s="12"/>
      <c r="DA791" s="12"/>
      <c r="DB791" s="12"/>
      <c r="DC791" s="12"/>
      <c r="DD791" s="12"/>
      <c r="DE791" s="12"/>
      <c r="DF791" s="12"/>
      <c r="DG791" s="12"/>
      <c r="DH791" s="12"/>
      <c r="DI791" s="12"/>
      <c r="DJ791" s="12"/>
      <c r="DK791" s="12"/>
      <c r="DL791" s="12"/>
      <c r="DM791" s="12"/>
      <c r="DN791" s="12"/>
      <c r="DO791" s="12"/>
      <c r="DP791" s="12"/>
      <c r="DQ791" s="12"/>
      <c r="DR791" s="12"/>
      <c r="DS791" s="12"/>
      <c r="DT791" s="12"/>
      <c r="DU791" s="12"/>
      <c r="DV791" s="12"/>
      <c r="DW791" s="12"/>
      <c r="DX791" s="12"/>
      <c r="DY791" s="12"/>
      <c r="DZ791" s="12"/>
      <c r="EA791" s="12"/>
      <c r="EB791" s="12"/>
      <c r="EC791" s="12"/>
      <c r="ED791" s="12"/>
      <c r="EE791" s="12"/>
      <c r="EF791" s="12"/>
      <c r="EG791" s="12"/>
      <c r="EH791" s="12"/>
      <c r="EI791" s="12"/>
      <c r="EJ791" s="574"/>
      <c r="EK791" s="574"/>
      <c r="EL791" s="574"/>
      <c r="EM791" s="574"/>
      <c r="EN791" s="574"/>
      <c r="EO791" s="574"/>
      <c r="EP791" s="574"/>
      <c r="EQ791" s="574"/>
      <c r="ER791" s="574"/>
      <c r="ES791" s="574"/>
      <c r="ET791" s="574"/>
      <c r="EU791" s="574"/>
    </row>
    <row r="792">
      <c r="A792" s="12"/>
      <c r="B792" s="55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  <c r="AX792" s="12"/>
      <c r="AY792" s="12"/>
      <c r="AZ792" s="12"/>
      <c r="BA792" s="12"/>
      <c r="BB792" s="12"/>
      <c r="BC792" s="12"/>
      <c r="BD792" s="12"/>
      <c r="BE792" s="12"/>
      <c r="BF792" s="12"/>
      <c r="BG792" s="12"/>
      <c r="BH792" s="12"/>
      <c r="BI792" s="12"/>
      <c r="BJ792" s="12"/>
      <c r="BK792" s="12"/>
      <c r="BL792" s="12"/>
      <c r="BM792" s="12"/>
      <c r="BN792" s="12"/>
      <c r="BO792" s="12"/>
      <c r="BP792" s="12"/>
      <c r="BQ792" s="12"/>
      <c r="BR792" s="12"/>
      <c r="BS792" s="12"/>
      <c r="BT792" s="12"/>
      <c r="BU792" s="12"/>
      <c r="BV792" s="12"/>
      <c r="BW792" s="12"/>
      <c r="BX792" s="12"/>
      <c r="BY792" s="12"/>
      <c r="BZ792" s="12"/>
      <c r="CA792" s="12"/>
      <c r="CB792" s="12"/>
      <c r="CC792" s="12"/>
      <c r="CD792" s="12"/>
      <c r="CE792" s="12"/>
      <c r="CF792" s="12"/>
      <c r="CG792" s="12"/>
      <c r="CH792" s="12"/>
      <c r="CI792" s="12"/>
      <c r="CJ792" s="12"/>
      <c r="CK792" s="12"/>
      <c r="CL792" s="12"/>
      <c r="CM792" s="12"/>
      <c r="CN792" s="12"/>
      <c r="CO792" s="12"/>
      <c r="CP792" s="12"/>
      <c r="CQ792" s="12"/>
      <c r="CR792" s="12"/>
      <c r="CS792" s="12"/>
      <c r="CT792" s="12"/>
      <c r="CU792" s="12"/>
      <c r="CV792" s="12"/>
      <c r="CW792" s="12"/>
      <c r="CX792" s="12"/>
      <c r="CY792" s="12"/>
      <c r="CZ792" s="12"/>
      <c r="DA792" s="12"/>
      <c r="DB792" s="12"/>
      <c r="DC792" s="12"/>
      <c r="DD792" s="12"/>
      <c r="DE792" s="12"/>
      <c r="DF792" s="12"/>
      <c r="DG792" s="12"/>
      <c r="DH792" s="12"/>
      <c r="DI792" s="12"/>
      <c r="DJ792" s="12"/>
      <c r="DK792" s="12"/>
      <c r="DL792" s="12"/>
      <c r="DM792" s="12"/>
      <c r="DN792" s="12"/>
      <c r="DO792" s="12"/>
      <c r="DP792" s="12"/>
      <c r="DQ792" s="12"/>
      <c r="DR792" s="12"/>
      <c r="DS792" s="12"/>
      <c r="DT792" s="12"/>
      <c r="DU792" s="12"/>
      <c r="DV792" s="12"/>
      <c r="DW792" s="12"/>
      <c r="DX792" s="12"/>
      <c r="DY792" s="12"/>
      <c r="DZ792" s="12"/>
      <c r="EA792" s="12"/>
      <c r="EB792" s="12"/>
      <c r="EC792" s="12"/>
      <c r="ED792" s="12"/>
      <c r="EE792" s="12"/>
      <c r="EF792" s="12"/>
      <c r="EG792" s="12"/>
      <c r="EH792" s="12"/>
      <c r="EI792" s="12"/>
      <c r="EJ792" s="574"/>
      <c r="EK792" s="574"/>
      <c r="EL792" s="574"/>
      <c r="EM792" s="574"/>
      <c r="EN792" s="574"/>
      <c r="EO792" s="574"/>
      <c r="EP792" s="574"/>
      <c r="EQ792" s="574"/>
      <c r="ER792" s="574"/>
      <c r="ES792" s="574"/>
      <c r="ET792" s="574"/>
      <c r="EU792" s="574"/>
    </row>
    <row r="793">
      <c r="A793" s="12"/>
      <c r="B793" s="55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  <c r="AX793" s="12"/>
      <c r="AY793" s="12"/>
      <c r="AZ793" s="12"/>
      <c r="BA793" s="12"/>
      <c r="BB793" s="12"/>
      <c r="BC793" s="12"/>
      <c r="BD793" s="12"/>
      <c r="BE793" s="12"/>
      <c r="BF793" s="12"/>
      <c r="BG793" s="12"/>
      <c r="BH793" s="12"/>
      <c r="BI793" s="12"/>
      <c r="BJ793" s="12"/>
      <c r="BK793" s="12"/>
      <c r="BL793" s="12"/>
      <c r="BM793" s="12"/>
      <c r="BN793" s="12"/>
      <c r="BO793" s="12"/>
      <c r="BP793" s="12"/>
      <c r="BQ793" s="12"/>
      <c r="BR793" s="12"/>
      <c r="BS793" s="12"/>
      <c r="BT793" s="12"/>
      <c r="BU793" s="12"/>
      <c r="BV793" s="12"/>
      <c r="BW793" s="12"/>
      <c r="BX793" s="12"/>
      <c r="BY793" s="12"/>
      <c r="BZ793" s="12"/>
      <c r="CA793" s="12"/>
      <c r="CB793" s="12"/>
      <c r="CC793" s="12"/>
      <c r="CD793" s="12"/>
      <c r="CE793" s="12"/>
      <c r="CF793" s="12"/>
      <c r="CG793" s="12"/>
      <c r="CH793" s="12"/>
      <c r="CI793" s="12"/>
      <c r="CJ793" s="12"/>
      <c r="CK793" s="12"/>
      <c r="CL793" s="12"/>
      <c r="CM793" s="12"/>
      <c r="CN793" s="12"/>
      <c r="CO793" s="12"/>
      <c r="CP793" s="12"/>
      <c r="CQ793" s="12"/>
      <c r="CR793" s="12"/>
      <c r="CS793" s="12"/>
      <c r="CT793" s="12"/>
      <c r="CU793" s="12"/>
      <c r="CV793" s="12"/>
      <c r="CW793" s="12"/>
      <c r="CX793" s="12"/>
      <c r="CY793" s="12"/>
      <c r="CZ793" s="12"/>
      <c r="DA793" s="12"/>
      <c r="DB793" s="12"/>
      <c r="DC793" s="12"/>
      <c r="DD793" s="12"/>
      <c r="DE793" s="12"/>
      <c r="DF793" s="12"/>
      <c r="DG793" s="12"/>
      <c r="DH793" s="12"/>
      <c r="DI793" s="12"/>
      <c r="DJ793" s="12"/>
      <c r="DK793" s="12"/>
      <c r="DL793" s="12"/>
      <c r="DM793" s="12"/>
      <c r="DN793" s="12"/>
      <c r="DO793" s="12"/>
      <c r="DP793" s="12"/>
      <c r="DQ793" s="12"/>
      <c r="DR793" s="12"/>
      <c r="DS793" s="12"/>
      <c r="DT793" s="12"/>
      <c r="DU793" s="12"/>
      <c r="DV793" s="12"/>
      <c r="DW793" s="12"/>
      <c r="DX793" s="12"/>
      <c r="DY793" s="12"/>
      <c r="DZ793" s="12"/>
      <c r="EA793" s="12"/>
      <c r="EB793" s="12"/>
      <c r="EC793" s="12"/>
      <c r="ED793" s="12"/>
      <c r="EE793" s="12"/>
      <c r="EF793" s="12"/>
      <c r="EG793" s="12"/>
      <c r="EH793" s="12"/>
      <c r="EI793" s="12"/>
      <c r="EJ793" s="574"/>
      <c r="EK793" s="574"/>
      <c r="EL793" s="574"/>
      <c r="EM793" s="574"/>
      <c r="EN793" s="574"/>
      <c r="EO793" s="574"/>
      <c r="EP793" s="574"/>
      <c r="EQ793" s="574"/>
      <c r="ER793" s="574"/>
      <c r="ES793" s="574"/>
      <c r="ET793" s="574"/>
      <c r="EU793" s="574"/>
    </row>
    <row r="794">
      <c r="A794" s="12"/>
      <c r="B794" s="55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  <c r="AX794" s="12"/>
      <c r="AY794" s="12"/>
      <c r="AZ794" s="12"/>
      <c r="BA794" s="12"/>
      <c r="BB794" s="12"/>
      <c r="BC794" s="12"/>
      <c r="BD794" s="12"/>
      <c r="BE794" s="12"/>
      <c r="BF794" s="12"/>
      <c r="BG794" s="12"/>
      <c r="BH794" s="12"/>
      <c r="BI794" s="12"/>
      <c r="BJ794" s="12"/>
      <c r="BK794" s="12"/>
      <c r="BL794" s="12"/>
      <c r="BM794" s="12"/>
      <c r="BN794" s="12"/>
      <c r="BO794" s="12"/>
      <c r="BP794" s="12"/>
      <c r="BQ794" s="12"/>
      <c r="BR794" s="12"/>
      <c r="BS794" s="12"/>
      <c r="BT794" s="12"/>
      <c r="BU794" s="12"/>
      <c r="BV794" s="12"/>
      <c r="BW794" s="12"/>
      <c r="BX794" s="12"/>
      <c r="BY794" s="12"/>
      <c r="BZ794" s="12"/>
      <c r="CA794" s="12"/>
      <c r="CB794" s="12"/>
      <c r="CC794" s="12"/>
      <c r="CD794" s="12"/>
      <c r="CE794" s="12"/>
      <c r="CF794" s="12"/>
      <c r="CG794" s="12"/>
      <c r="CH794" s="12"/>
      <c r="CI794" s="12"/>
      <c r="CJ794" s="12"/>
      <c r="CK794" s="12"/>
      <c r="CL794" s="12"/>
      <c r="CM794" s="12"/>
      <c r="CN794" s="12"/>
      <c r="CO794" s="12"/>
      <c r="CP794" s="12"/>
      <c r="CQ794" s="12"/>
      <c r="CR794" s="12"/>
      <c r="CS794" s="12"/>
      <c r="CT794" s="12"/>
      <c r="CU794" s="12"/>
      <c r="CV794" s="12"/>
      <c r="CW794" s="12"/>
      <c r="CX794" s="12"/>
      <c r="CY794" s="12"/>
      <c r="CZ794" s="12"/>
      <c r="DA794" s="12"/>
      <c r="DB794" s="12"/>
      <c r="DC794" s="12"/>
      <c r="DD794" s="12"/>
      <c r="DE794" s="12"/>
      <c r="DF794" s="12"/>
      <c r="DG794" s="12"/>
      <c r="DH794" s="12"/>
      <c r="DI794" s="12"/>
      <c r="DJ794" s="12"/>
      <c r="DK794" s="12"/>
      <c r="DL794" s="12"/>
      <c r="DM794" s="12"/>
      <c r="DN794" s="12"/>
      <c r="DO794" s="12"/>
      <c r="DP794" s="12"/>
      <c r="DQ794" s="12"/>
      <c r="DR794" s="12"/>
      <c r="DS794" s="12"/>
      <c r="DT794" s="12"/>
      <c r="DU794" s="12"/>
      <c r="DV794" s="12"/>
      <c r="DW794" s="12"/>
      <c r="DX794" s="12"/>
      <c r="DY794" s="12"/>
      <c r="DZ794" s="12"/>
      <c r="EA794" s="12"/>
      <c r="EB794" s="12"/>
      <c r="EC794" s="12"/>
      <c r="ED794" s="12"/>
      <c r="EE794" s="12"/>
      <c r="EF794" s="12"/>
      <c r="EG794" s="12"/>
      <c r="EH794" s="12"/>
      <c r="EI794" s="12"/>
      <c r="EJ794" s="574"/>
      <c r="EK794" s="574"/>
      <c r="EL794" s="574"/>
      <c r="EM794" s="574"/>
      <c r="EN794" s="574"/>
      <c r="EO794" s="574"/>
      <c r="EP794" s="574"/>
      <c r="EQ794" s="574"/>
      <c r="ER794" s="574"/>
      <c r="ES794" s="574"/>
      <c r="ET794" s="574"/>
      <c r="EU794" s="574"/>
    </row>
    <row r="795">
      <c r="A795" s="12"/>
      <c r="B795" s="55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  <c r="AX795" s="12"/>
      <c r="AY795" s="12"/>
      <c r="AZ795" s="12"/>
      <c r="BA795" s="12"/>
      <c r="BB795" s="12"/>
      <c r="BC795" s="12"/>
      <c r="BD795" s="12"/>
      <c r="BE795" s="12"/>
      <c r="BF795" s="12"/>
      <c r="BG795" s="12"/>
      <c r="BH795" s="12"/>
      <c r="BI795" s="12"/>
      <c r="BJ795" s="12"/>
      <c r="BK795" s="12"/>
      <c r="BL795" s="12"/>
      <c r="BM795" s="12"/>
      <c r="BN795" s="12"/>
      <c r="BO795" s="12"/>
      <c r="BP795" s="12"/>
      <c r="BQ795" s="12"/>
      <c r="BR795" s="12"/>
      <c r="BS795" s="12"/>
      <c r="BT795" s="12"/>
      <c r="BU795" s="12"/>
      <c r="BV795" s="12"/>
      <c r="BW795" s="12"/>
      <c r="BX795" s="12"/>
      <c r="BY795" s="12"/>
      <c r="BZ795" s="12"/>
      <c r="CA795" s="12"/>
      <c r="CB795" s="12"/>
      <c r="CC795" s="12"/>
      <c r="CD795" s="12"/>
      <c r="CE795" s="12"/>
      <c r="CF795" s="12"/>
      <c r="CG795" s="12"/>
      <c r="CH795" s="12"/>
      <c r="CI795" s="12"/>
      <c r="CJ795" s="12"/>
      <c r="CK795" s="12"/>
      <c r="CL795" s="12"/>
      <c r="CM795" s="12"/>
      <c r="CN795" s="12"/>
      <c r="CO795" s="12"/>
      <c r="CP795" s="12"/>
      <c r="CQ795" s="12"/>
      <c r="CR795" s="12"/>
      <c r="CS795" s="12"/>
      <c r="CT795" s="12"/>
      <c r="CU795" s="12"/>
      <c r="CV795" s="12"/>
      <c r="CW795" s="12"/>
      <c r="CX795" s="12"/>
      <c r="CY795" s="12"/>
      <c r="CZ795" s="12"/>
      <c r="DA795" s="12"/>
      <c r="DB795" s="12"/>
      <c r="DC795" s="12"/>
      <c r="DD795" s="12"/>
      <c r="DE795" s="12"/>
      <c r="DF795" s="12"/>
      <c r="DG795" s="12"/>
      <c r="DH795" s="12"/>
      <c r="DI795" s="12"/>
      <c r="DJ795" s="12"/>
      <c r="DK795" s="12"/>
      <c r="DL795" s="12"/>
      <c r="DM795" s="12"/>
      <c r="DN795" s="12"/>
      <c r="DO795" s="12"/>
      <c r="DP795" s="12"/>
      <c r="DQ795" s="12"/>
      <c r="DR795" s="12"/>
      <c r="DS795" s="12"/>
      <c r="DT795" s="12"/>
      <c r="DU795" s="12"/>
      <c r="DV795" s="12"/>
      <c r="DW795" s="12"/>
      <c r="DX795" s="12"/>
      <c r="DY795" s="12"/>
      <c r="DZ795" s="12"/>
      <c r="EA795" s="12"/>
      <c r="EB795" s="12"/>
      <c r="EC795" s="12"/>
      <c r="ED795" s="12"/>
      <c r="EE795" s="12"/>
      <c r="EF795" s="12"/>
      <c r="EG795" s="12"/>
      <c r="EH795" s="12"/>
      <c r="EI795" s="12"/>
      <c r="EJ795" s="574"/>
      <c r="EK795" s="574"/>
      <c r="EL795" s="574"/>
      <c r="EM795" s="574"/>
      <c r="EN795" s="574"/>
      <c r="EO795" s="574"/>
      <c r="EP795" s="574"/>
      <c r="EQ795" s="574"/>
      <c r="ER795" s="574"/>
      <c r="ES795" s="574"/>
      <c r="ET795" s="574"/>
      <c r="EU795" s="574"/>
    </row>
    <row r="796">
      <c r="A796" s="12"/>
      <c r="B796" s="55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  <c r="AX796" s="12"/>
      <c r="AY796" s="12"/>
      <c r="AZ796" s="12"/>
      <c r="BA796" s="12"/>
      <c r="BB796" s="12"/>
      <c r="BC796" s="12"/>
      <c r="BD796" s="12"/>
      <c r="BE796" s="12"/>
      <c r="BF796" s="12"/>
      <c r="BG796" s="12"/>
      <c r="BH796" s="12"/>
      <c r="BI796" s="12"/>
      <c r="BJ796" s="12"/>
      <c r="BK796" s="12"/>
      <c r="BL796" s="12"/>
      <c r="BM796" s="12"/>
      <c r="BN796" s="12"/>
      <c r="BO796" s="12"/>
      <c r="BP796" s="12"/>
      <c r="BQ796" s="12"/>
      <c r="BR796" s="12"/>
      <c r="BS796" s="12"/>
      <c r="BT796" s="12"/>
      <c r="BU796" s="12"/>
      <c r="BV796" s="12"/>
      <c r="BW796" s="12"/>
      <c r="BX796" s="12"/>
      <c r="BY796" s="12"/>
      <c r="BZ796" s="12"/>
      <c r="CA796" s="12"/>
      <c r="CB796" s="12"/>
      <c r="CC796" s="12"/>
      <c r="CD796" s="12"/>
      <c r="CE796" s="12"/>
      <c r="CF796" s="12"/>
      <c r="CG796" s="12"/>
      <c r="CH796" s="12"/>
      <c r="CI796" s="12"/>
      <c r="CJ796" s="12"/>
      <c r="CK796" s="12"/>
      <c r="CL796" s="12"/>
      <c r="CM796" s="12"/>
      <c r="CN796" s="12"/>
      <c r="CO796" s="12"/>
      <c r="CP796" s="12"/>
      <c r="CQ796" s="12"/>
      <c r="CR796" s="12"/>
      <c r="CS796" s="12"/>
      <c r="CT796" s="12"/>
      <c r="CU796" s="12"/>
      <c r="CV796" s="12"/>
      <c r="CW796" s="12"/>
      <c r="CX796" s="12"/>
      <c r="CY796" s="12"/>
      <c r="CZ796" s="12"/>
      <c r="DA796" s="12"/>
      <c r="DB796" s="12"/>
      <c r="DC796" s="12"/>
      <c r="DD796" s="12"/>
      <c r="DE796" s="12"/>
      <c r="DF796" s="12"/>
      <c r="DG796" s="12"/>
      <c r="DH796" s="12"/>
      <c r="DI796" s="12"/>
      <c r="DJ796" s="12"/>
      <c r="DK796" s="12"/>
      <c r="DL796" s="12"/>
      <c r="DM796" s="12"/>
      <c r="DN796" s="12"/>
      <c r="DO796" s="12"/>
      <c r="DP796" s="12"/>
      <c r="DQ796" s="12"/>
      <c r="DR796" s="12"/>
      <c r="DS796" s="12"/>
      <c r="DT796" s="12"/>
      <c r="DU796" s="12"/>
      <c r="DV796" s="12"/>
      <c r="DW796" s="12"/>
      <c r="DX796" s="12"/>
      <c r="DY796" s="12"/>
      <c r="DZ796" s="12"/>
      <c r="EA796" s="12"/>
      <c r="EB796" s="12"/>
      <c r="EC796" s="12"/>
      <c r="ED796" s="12"/>
      <c r="EE796" s="12"/>
      <c r="EF796" s="12"/>
      <c r="EG796" s="12"/>
      <c r="EH796" s="12"/>
      <c r="EI796" s="12"/>
      <c r="EJ796" s="574"/>
      <c r="EK796" s="574"/>
      <c r="EL796" s="574"/>
      <c r="EM796" s="574"/>
      <c r="EN796" s="574"/>
      <c r="EO796" s="574"/>
      <c r="EP796" s="574"/>
      <c r="EQ796" s="574"/>
      <c r="ER796" s="574"/>
      <c r="ES796" s="574"/>
      <c r="ET796" s="574"/>
      <c r="EU796" s="574"/>
    </row>
    <row r="797">
      <c r="A797" s="12"/>
      <c r="B797" s="55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  <c r="AX797" s="12"/>
      <c r="AY797" s="12"/>
      <c r="AZ797" s="12"/>
      <c r="BA797" s="12"/>
      <c r="BB797" s="12"/>
      <c r="BC797" s="12"/>
      <c r="BD797" s="12"/>
      <c r="BE797" s="12"/>
      <c r="BF797" s="12"/>
      <c r="BG797" s="12"/>
      <c r="BH797" s="12"/>
      <c r="BI797" s="12"/>
      <c r="BJ797" s="12"/>
      <c r="BK797" s="12"/>
      <c r="BL797" s="12"/>
      <c r="BM797" s="12"/>
      <c r="BN797" s="12"/>
      <c r="BO797" s="12"/>
      <c r="BP797" s="12"/>
      <c r="BQ797" s="12"/>
      <c r="BR797" s="12"/>
      <c r="BS797" s="12"/>
      <c r="BT797" s="12"/>
      <c r="BU797" s="12"/>
      <c r="BV797" s="12"/>
      <c r="BW797" s="12"/>
      <c r="BX797" s="12"/>
      <c r="BY797" s="12"/>
      <c r="BZ797" s="12"/>
      <c r="CA797" s="12"/>
      <c r="CB797" s="12"/>
      <c r="CC797" s="12"/>
      <c r="CD797" s="12"/>
      <c r="CE797" s="12"/>
      <c r="CF797" s="12"/>
      <c r="CG797" s="12"/>
      <c r="CH797" s="12"/>
      <c r="CI797" s="12"/>
      <c r="CJ797" s="12"/>
      <c r="CK797" s="12"/>
      <c r="CL797" s="12"/>
      <c r="CM797" s="12"/>
      <c r="CN797" s="12"/>
      <c r="CO797" s="12"/>
      <c r="CP797" s="12"/>
      <c r="CQ797" s="12"/>
      <c r="CR797" s="12"/>
      <c r="CS797" s="12"/>
      <c r="CT797" s="12"/>
      <c r="CU797" s="12"/>
      <c r="CV797" s="12"/>
      <c r="CW797" s="12"/>
      <c r="CX797" s="12"/>
      <c r="CY797" s="12"/>
      <c r="CZ797" s="12"/>
      <c r="DA797" s="12"/>
      <c r="DB797" s="12"/>
      <c r="DC797" s="12"/>
      <c r="DD797" s="12"/>
      <c r="DE797" s="12"/>
      <c r="DF797" s="12"/>
      <c r="DG797" s="12"/>
      <c r="DH797" s="12"/>
      <c r="DI797" s="12"/>
      <c r="DJ797" s="12"/>
      <c r="DK797" s="12"/>
      <c r="DL797" s="12"/>
      <c r="DM797" s="12"/>
      <c r="DN797" s="12"/>
      <c r="DO797" s="12"/>
      <c r="DP797" s="12"/>
      <c r="DQ797" s="12"/>
      <c r="DR797" s="12"/>
      <c r="DS797" s="12"/>
      <c r="DT797" s="12"/>
      <c r="DU797" s="12"/>
      <c r="DV797" s="12"/>
      <c r="DW797" s="12"/>
      <c r="DX797" s="12"/>
      <c r="DY797" s="12"/>
      <c r="DZ797" s="12"/>
      <c r="EA797" s="12"/>
      <c r="EB797" s="12"/>
      <c r="EC797" s="12"/>
      <c r="ED797" s="12"/>
      <c r="EE797" s="12"/>
      <c r="EF797" s="12"/>
      <c r="EG797" s="12"/>
      <c r="EH797" s="12"/>
      <c r="EI797" s="12"/>
      <c r="EJ797" s="574"/>
      <c r="EK797" s="574"/>
      <c r="EL797" s="574"/>
      <c r="EM797" s="574"/>
      <c r="EN797" s="574"/>
      <c r="EO797" s="574"/>
      <c r="EP797" s="574"/>
      <c r="EQ797" s="574"/>
      <c r="ER797" s="574"/>
      <c r="ES797" s="574"/>
      <c r="ET797" s="574"/>
      <c r="EU797" s="574"/>
    </row>
    <row r="798">
      <c r="A798" s="12"/>
      <c r="B798" s="55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  <c r="AX798" s="12"/>
      <c r="AY798" s="12"/>
      <c r="AZ798" s="12"/>
      <c r="BA798" s="12"/>
      <c r="BB798" s="12"/>
      <c r="BC798" s="12"/>
      <c r="BD798" s="12"/>
      <c r="BE798" s="12"/>
      <c r="BF798" s="12"/>
      <c r="BG798" s="12"/>
      <c r="BH798" s="12"/>
      <c r="BI798" s="12"/>
      <c r="BJ798" s="12"/>
      <c r="BK798" s="12"/>
      <c r="BL798" s="12"/>
      <c r="BM798" s="12"/>
      <c r="BN798" s="12"/>
      <c r="BO798" s="12"/>
      <c r="BP798" s="12"/>
      <c r="BQ798" s="12"/>
      <c r="BR798" s="12"/>
      <c r="BS798" s="12"/>
      <c r="BT798" s="12"/>
      <c r="BU798" s="12"/>
      <c r="BV798" s="12"/>
      <c r="BW798" s="12"/>
      <c r="BX798" s="12"/>
      <c r="BY798" s="12"/>
      <c r="BZ798" s="12"/>
      <c r="CA798" s="12"/>
      <c r="CB798" s="12"/>
      <c r="CC798" s="12"/>
      <c r="CD798" s="12"/>
      <c r="CE798" s="12"/>
      <c r="CF798" s="12"/>
      <c r="CG798" s="12"/>
      <c r="CH798" s="12"/>
      <c r="CI798" s="12"/>
      <c r="CJ798" s="12"/>
      <c r="CK798" s="12"/>
      <c r="CL798" s="12"/>
      <c r="CM798" s="12"/>
      <c r="CN798" s="12"/>
      <c r="CO798" s="12"/>
      <c r="CP798" s="12"/>
      <c r="CQ798" s="12"/>
      <c r="CR798" s="12"/>
      <c r="CS798" s="12"/>
      <c r="CT798" s="12"/>
      <c r="CU798" s="12"/>
      <c r="CV798" s="12"/>
      <c r="CW798" s="12"/>
      <c r="CX798" s="12"/>
      <c r="CY798" s="12"/>
      <c r="CZ798" s="12"/>
      <c r="DA798" s="12"/>
      <c r="DB798" s="12"/>
      <c r="DC798" s="12"/>
      <c r="DD798" s="12"/>
      <c r="DE798" s="12"/>
      <c r="DF798" s="12"/>
      <c r="DG798" s="12"/>
      <c r="DH798" s="12"/>
      <c r="DI798" s="12"/>
      <c r="DJ798" s="12"/>
      <c r="DK798" s="12"/>
      <c r="DL798" s="12"/>
      <c r="DM798" s="12"/>
      <c r="DN798" s="12"/>
      <c r="DO798" s="12"/>
      <c r="DP798" s="12"/>
      <c r="DQ798" s="12"/>
      <c r="DR798" s="12"/>
      <c r="DS798" s="12"/>
      <c r="DT798" s="12"/>
      <c r="DU798" s="12"/>
      <c r="DV798" s="12"/>
      <c r="DW798" s="12"/>
      <c r="DX798" s="12"/>
      <c r="DY798" s="12"/>
      <c r="DZ798" s="12"/>
      <c r="EA798" s="12"/>
      <c r="EB798" s="12"/>
      <c r="EC798" s="12"/>
      <c r="ED798" s="12"/>
      <c r="EE798" s="12"/>
      <c r="EF798" s="12"/>
      <c r="EG798" s="12"/>
      <c r="EH798" s="12"/>
      <c r="EI798" s="12"/>
      <c r="EJ798" s="574"/>
      <c r="EK798" s="574"/>
      <c r="EL798" s="574"/>
      <c r="EM798" s="574"/>
      <c r="EN798" s="574"/>
      <c r="EO798" s="574"/>
      <c r="EP798" s="574"/>
      <c r="EQ798" s="574"/>
      <c r="ER798" s="574"/>
      <c r="ES798" s="574"/>
      <c r="ET798" s="574"/>
      <c r="EU798" s="574"/>
    </row>
    <row r="799">
      <c r="A799" s="12"/>
      <c r="B799" s="55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  <c r="AX799" s="12"/>
      <c r="AY799" s="12"/>
      <c r="AZ799" s="12"/>
      <c r="BA799" s="12"/>
      <c r="BB799" s="12"/>
      <c r="BC799" s="12"/>
      <c r="BD799" s="12"/>
      <c r="BE799" s="12"/>
      <c r="BF799" s="12"/>
      <c r="BG799" s="12"/>
      <c r="BH799" s="12"/>
      <c r="BI799" s="12"/>
      <c r="BJ799" s="12"/>
      <c r="BK799" s="12"/>
      <c r="BL799" s="12"/>
      <c r="BM799" s="12"/>
      <c r="BN799" s="12"/>
      <c r="BO799" s="12"/>
      <c r="BP799" s="12"/>
      <c r="BQ799" s="12"/>
      <c r="BR799" s="12"/>
      <c r="BS799" s="12"/>
      <c r="BT799" s="12"/>
      <c r="BU799" s="12"/>
      <c r="BV799" s="12"/>
      <c r="BW799" s="12"/>
      <c r="BX799" s="12"/>
      <c r="BY799" s="12"/>
      <c r="BZ799" s="12"/>
      <c r="CA799" s="12"/>
      <c r="CB799" s="12"/>
      <c r="CC799" s="12"/>
      <c r="CD799" s="12"/>
      <c r="CE799" s="12"/>
      <c r="CF799" s="12"/>
      <c r="CG799" s="12"/>
      <c r="CH799" s="12"/>
      <c r="CI799" s="12"/>
      <c r="CJ799" s="12"/>
      <c r="CK799" s="12"/>
      <c r="CL799" s="12"/>
      <c r="CM799" s="12"/>
      <c r="CN799" s="12"/>
      <c r="CO799" s="12"/>
      <c r="CP799" s="12"/>
      <c r="CQ799" s="12"/>
      <c r="CR799" s="12"/>
      <c r="CS799" s="12"/>
      <c r="CT799" s="12"/>
      <c r="CU799" s="12"/>
      <c r="CV799" s="12"/>
      <c r="CW799" s="12"/>
      <c r="CX799" s="12"/>
      <c r="CY799" s="12"/>
      <c r="CZ799" s="12"/>
      <c r="DA799" s="12"/>
      <c r="DB799" s="12"/>
      <c r="DC799" s="12"/>
      <c r="DD799" s="12"/>
      <c r="DE799" s="12"/>
      <c r="DF799" s="12"/>
      <c r="DG799" s="12"/>
      <c r="DH799" s="12"/>
      <c r="DI799" s="12"/>
      <c r="DJ799" s="12"/>
      <c r="DK799" s="12"/>
      <c r="DL799" s="12"/>
      <c r="DM799" s="12"/>
      <c r="DN799" s="12"/>
      <c r="DO799" s="12"/>
      <c r="DP799" s="12"/>
      <c r="DQ799" s="12"/>
      <c r="DR799" s="12"/>
      <c r="DS799" s="12"/>
      <c r="DT799" s="12"/>
      <c r="DU799" s="12"/>
      <c r="DV799" s="12"/>
      <c r="DW799" s="12"/>
      <c r="DX799" s="12"/>
      <c r="DY799" s="12"/>
      <c r="DZ799" s="12"/>
      <c r="EA799" s="12"/>
      <c r="EB799" s="12"/>
      <c r="EC799" s="12"/>
      <c r="ED799" s="12"/>
      <c r="EE799" s="12"/>
      <c r="EF799" s="12"/>
      <c r="EG799" s="12"/>
      <c r="EH799" s="12"/>
      <c r="EI799" s="12"/>
      <c r="EJ799" s="574"/>
      <c r="EK799" s="574"/>
      <c r="EL799" s="574"/>
      <c r="EM799" s="574"/>
      <c r="EN799" s="574"/>
      <c r="EO799" s="574"/>
      <c r="EP799" s="574"/>
      <c r="EQ799" s="574"/>
      <c r="ER799" s="574"/>
      <c r="ES799" s="574"/>
      <c r="ET799" s="574"/>
      <c r="EU799" s="574"/>
    </row>
    <row r="800">
      <c r="A800" s="12"/>
      <c r="B800" s="55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  <c r="AX800" s="12"/>
      <c r="AY800" s="12"/>
      <c r="AZ800" s="12"/>
      <c r="BA800" s="12"/>
      <c r="BB800" s="12"/>
      <c r="BC800" s="12"/>
      <c r="BD800" s="12"/>
      <c r="BE800" s="12"/>
      <c r="BF800" s="12"/>
      <c r="BG800" s="12"/>
      <c r="BH800" s="12"/>
      <c r="BI800" s="12"/>
      <c r="BJ800" s="12"/>
      <c r="BK800" s="12"/>
      <c r="BL800" s="12"/>
      <c r="BM800" s="12"/>
      <c r="BN800" s="12"/>
      <c r="BO800" s="12"/>
      <c r="BP800" s="12"/>
      <c r="BQ800" s="12"/>
      <c r="BR800" s="12"/>
      <c r="BS800" s="12"/>
      <c r="BT800" s="12"/>
      <c r="BU800" s="12"/>
      <c r="BV800" s="12"/>
      <c r="BW800" s="12"/>
      <c r="BX800" s="12"/>
      <c r="BY800" s="12"/>
      <c r="BZ800" s="12"/>
      <c r="CA800" s="12"/>
      <c r="CB800" s="12"/>
      <c r="CC800" s="12"/>
      <c r="CD800" s="12"/>
      <c r="CE800" s="12"/>
      <c r="CF800" s="12"/>
      <c r="CG800" s="12"/>
      <c r="CH800" s="12"/>
      <c r="CI800" s="12"/>
      <c r="CJ800" s="12"/>
      <c r="CK800" s="12"/>
      <c r="CL800" s="12"/>
      <c r="CM800" s="12"/>
      <c r="CN800" s="12"/>
      <c r="CO800" s="12"/>
      <c r="CP800" s="12"/>
      <c r="CQ800" s="12"/>
      <c r="CR800" s="12"/>
      <c r="CS800" s="12"/>
      <c r="CT800" s="12"/>
      <c r="CU800" s="12"/>
      <c r="CV800" s="12"/>
      <c r="CW800" s="12"/>
      <c r="CX800" s="12"/>
      <c r="CY800" s="12"/>
      <c r="CZ800" s="12"/>
      <c r="DA800" s="12"/>
      <c r="DB800" s="12"/>
      <c r="DC800" s="12"/>
      <c r="DD800" s="12"/>
      <c r="DE800" s="12"/>
      <c r="DF800" s="12"/>
      <c r="DG800" s="12"/>
      <c r="DH800" s="12"/>
      <c r="DI800" s="12"/>
      <c r="DJ800" s="12"/>
      <c r="DK800" s="12"/>
      <c r="DL800" s="12"/>
      <c r="DM800" s="12"/>
      <c r="DN800" s="12"/>
      <c r="DO800" s="12"/>
      <c r="DP800" s="12"/>
      <c r="DQ800" s="12"/>
      <c r="DR800" s="12"/>
      <c r="DS800" s="12"/>
      <c r="DT800" s="12"/>
      <c r="DU800" s="12"/>
      <c r="DV800" s="12"/>
      <c r="DW800" s="12"/>
      <c r="DX800" s="12"/>
      <c r="DY800" s="12"/>
      <c r="DZ800" s="12"/>
      <c r="EA800" s="12"/>
      <c r="EB800" s="12"/>
      <c r="EC800" s="12"/>
      <c r="ED800" s="12"/>
      <c r="EE800" s="12"/>
      <c r="EF800" s="12"/>
      <c r="EG800" s="12"/>
      <c r="EH800" s="12"/>
      <c r="EI800" s="12"/>
      <c r="EJ800" s="574"/>
      <c r="EK800" s="574"/>
      <c r="EL800" s="574"/>
      <c r="EM800" s="574"/>
      <c r="EN800" s="574"/>
      <c r="EO800" s="574"/>
      <c r="EP800" s="574"/>
      <c r="EQ800" s="574"/>
      <c r="ER800" s="574"/>
      <c r="ES800" s="574"/>
      <c r="ET800" s="574"/>
      <c r="EU800" s="574"/>
    </row>
    <row r="801">
      <c r="A801" s="12"/>
      <c r="B801" s="55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  <c r="AX801" s="12"/>
      <c r="AY801" s="12"/>
      <c r="AZ801" s="12"/>
      <c r="BA801" s="12"/>
      <c r="BB801" s="12"/>
      <c r="BC801" s="12"/>
      <c r="BD801" s="12"/>
      <c r="BE801" s="12"/>
      <c r="BF801" s="12"/>
      <c r="BG801" s="12"/>
      <c r="BH801" s="12"/>
      <c r="BI801" s="12"/>
      <c r="BJ801" s="12"/>
      <c r="BK801" s="12"/>
      <c r="BL801" s="12"/>
      <c r="BM801" s="12"/>
      <c r="BN801" s="12"/>
      <c r="BO801" s="12"/>
      <c r="BP801" s="12"/>
      <c r="BQ801" s="12"/>
      <c r="BR801" s="12"/>
      <c r="BS801" s="12"/>
      <c r="BT801" s="12"/>
      <c r="BU801" s="12"/>
      <c r="BV801" s="12"/>
      <c r="BW801" s="12"/>
      <c r="BX801" s="12"/>
      <c r="BY801" s="12"/>
      <c r="BZ801" s="12"/>
      <c r="CA801" s="12"/>
      <c r="CB801" s="12"/>
      <c r="CC801" s="12"/>
      <c r="CD801" s="12"/>
      <c r="CE801" s="12"/>
      <c r="CF801" s="12"/>
      <c r="CG801" s="12"/>
      <c r="CH801" s="12"/>
      <c r="CI801" s="12"/>
      <c r="CJ801" s="12"/>
      <c r="CK801" s="12"/>
      <c r="CL801" s="12"/>
      <c r="CM801" s="12"/>
      <c r="CN801" s="12"/>
      <c r="CO801" s="12"/>
      <c r="CP801" s="12"/>
      <c r="CQ801" s="12"/>
      <c r="CR801" s="12"/>
      <c r="CS801" s="12"/>
      <c r="CT801" s="12"/>
      <c r="CU801" s="12"/>
      <c r="CV801" s="12"/>
      <c r="CW801" s="12"/>
      <c r="CX801" s="12"/>
      <c r="CY801" s="12"/>
      <c r="CZ801" s="12"/>
      <c r="DA801" s="12"/>
      <c r="DB801" s="12"/>
      <c r="DC801" s="12"/>
      <c r="DD801" s="12"/>
      <c r="DE801" s="12"/>
      <c r="DF801" s="12"/>
      <c r="DG801" s="12"/>
      <c r="DH801" s="12"/>
      <c r="DI801" s="12"/>
      <c r="DJ801" s="12"/>
      <c r="DK801" s="12"/>
      <c r="DL801" s="12"/>
      <c r="DM801" s="12"/>
      <c r="DN801" s="12"/>
      <c r="DO801" s="12"/>
      <c r="DP801" s="12"/>
      <c r="DQ801" s="12"/>
      <c r="DR801" s="12"/>
      <c r="DS801" s="12"/>
      <c r="DT801" s="12"/>
      <c r="DU801" s="12"/>
      <c r="DV801" s="12"/>
      <c r="DW801" s="12"/>
      <c r="DX801" s="12"/>
      <c r="DY801" s="12"/>
      <c r="DZ801" s="12"/>
      <c r="EA801" s="12"/>
      <c r="EB801" s="12"/>
      <c r="EC801" s="12"/>
      <c r="ED801" s="12"/>
      <c r="EE801" s="12"/>
      <c r="EF801" s="12"/>
      <c r="EG801" s="12"/>
      <c r="EH801" s="12"/>
      <c r="EI801" s="12"/>
      <c r="EJ801" s="574"/>
      <c r="EK801" s="574"/>
      <c r="EL801" s="574"/>
      <c r="EM801" s="574"/>
      <c r="EN801" s="574"/>
      <c r="EO801" s="574"/>
      <c r="EP801" s="574"/>
      <c r="EQ801" s="574"/>
      <c r="ER801" s="574"/>
      <c r="ES801" s="574"/>
      <c r="ET801" s="574"/>
      <c r="EU801" s="574"/>
    </row>
    <row r="802">
      <c r="A802" s="12"/>
      <c r="B802" s="55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  <c r="AX802" s="12"/>
      <c r="AY802" s="12"/>
      <c r="AZ802" s="12"/>
      <c r="BA802" s="12"/>
      <c r="BB802" s="12"/>
      <c r="BC802" s="12"/>
      <c r="BD802" s="12"/>
      <c r="BE802" s="12"/>
      <c r="BF802" s="12"/>
      <c r="BG802" s="12"/>
      <c r="BH802" s="12"/>
      <c r="BI802" s="12"/>
      <c r="BJ802" s="12"/>
      <c r="BK802" s="12"/>
      <c r="BL802" s="12"/>
      <c r="BM802" s="12"/>
      <c r="BN802" s="12"/>
      <c r="BO802" s="12"/>
      <c r="BP802" s="12"/>
      <c r="BQ802" s="12"/>
      <c r="BR802" s="12"/>
      <c r="BS802" s="12"/>
      <c r="BT802" s="12"/>
      <c r="BU802" s="12"/>
      <c r="BV802" s="12"/>
      <c r="BW802" s="12"/>
      <c r="BX802" s="12"/>
      <c r="BY802" s="12"/>
      <c r="BZ802" s="12"/>
      <c r="CA802" s="12"/>
      <c r="CB802" s="12"/>
      <c r="CC802" s="12"/>
      <c r="CD802" s="12"/>
      <c r="CE802" s="12"/>
      <c r="CF802" s="12"/>
      <c r="CG802" s="12"/>
      <c r="CH802" s="12"/>
      <c r="CI802" s="12"/>
      <c r="CJ802" s="12"/>
      <c r="CK802" s="12"/>
      <c r="CL802" s="12"/>
      <c r="CM802" s="12"/>
      <c r="CN802" s="12"/>
      <c r="CO802" s="12"/>
      <c r="CP802" s="12"/>
      <c r="CQ802" s="12"/>
      <c r="CR802" s="12"/>
      <c r="CS802" s="12"/>
      <c r="CT802" s="12"/>
      <c r="CU802" s="12"/>
      <c r="CV802" s="12"/>
      <c r="CW802" s="12"/>
      <c r="CX802" s="12"/>
      <c r="CY802" s="12"/>
      <c r="CZ802" s="12"/>
      <c r="DA802" s="12"/>
      <c r="DB802" s="12"/>
      <c r="DC802" s="12"/>
      <c r="DD802" s="12"/>
      <c r="DE802" s="12"/>
      <c r="DF802" s="12"/>
      <c r="DG802" s="12"/>
      <c r="DH802" s="12"/>
      <c r="DI802" s="12"/>
      <c r="DJ802" s="12"/>
      <c r="DK802" s="12"/>
      <c r="DL802" s="12"/>
      <c r="DM802" s="12"/>
      <c r="DN802" s="12"/>
      <c r="DO802" s="12"/>
      <c r="DP802" s="12"/>
      <c r="DQ802" s="12"/>
      <c r="DR802" s="12"/>
      <c r="DS802" s="12"/>
      <c r="DT802" s="12"/>
      <c r="DU802" s="12"/>
      <c r="DV802" s="12"/>
      <c r="DW802" s="12"/>
      <c r="DX802" s="12"/>
      <c r="DY802" s="12"/>
      <c r="DZ802" s="12"/>
      <c r="EA802" s="12"/>
      <c r="EB802" s="12"/>
      <c r="EC802" s="12"/>
      <c r="ED802" s="12"/>
      <c r="EE802" s="12"/>
      <c r="EF802" s="12"/>
      <c r="EG802" s="12"/>
      <c r="EH802" s="12"/>
      <c r="EI802" s="12"/>
      <c r="EJ802" s="574"/>
      <c r="EK802" s="574"/>
      <c r="EL802" s="574"/>
      <c r="EM802" s="574"/>
      <c r="EN802" s="574"/>
      <c r="EO802" s="574"/>
      <c r="EP802" s="574"/>
      <c r="EQ802" s="574"/>
      <c r="ER802" s="574"/>
      <c r="ES802" s="574"/>
      <c r="ET802" s="574"/>
      <c r="EU802" s="574"/>
    </row>
    <row r="803">
      <c r="A803" s="12"/>
      <c r="B803" s="55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  <c r="AX803" s="12"/>
      <c r="AY803" s="12"/>
      <c r="AZ803" s="12"/>
      <c r="BA803" s="12"/>
      <c r="BB803" s="12"/>
      <c r="BC803" s="12"/>
      <c r="BD803" s="12"/>
      <c r="BE803" s="12"/>
      <c r="BF803" s="12"/>
      <c r="BG803" s="12"/>
      <c r="BH803" s="12"/>
      <c r="BI803" s="12"/>
      <c r="BJ803" s="12"/>
      <c r="BK803" s="12"/>
      <c r="BL803" s="12"/>
      <c r="BM803" s="12"/>
      <c r="BN803" s="12"/>
      <c r="BO803" s="12"/>
      <c r="BP803" s="12"/>
      <c r="BQ803" s="12"/>
      <c r="BR803" s="12"/>
      <c r="BS803" s="12"/>
      <c r="BT803" s="12"/>
      <c r="BU803" s="12"/>
      <c r="BV803" s="12"/>
      <c r="BW803" s="12"/>
      <c r="BX803" s="12"/>
      <c r="BY803" s="12"/>
      <c r="BZ803" s="12"/>
      <c r="CA803" s="12"/>
      <c r="CB803" s="12"/>
      <c r="CC803" s="12"/>
      <c r="CD803" s="12"/>
      <c r="CE803" s="12"/>
      <c r="CF803" s="12"/>
      <c r="CG803" s="12"/>
      <c r="CH803" s="12"/>
      <c r="CI803" s="12"/>
      <c r="CJ803" s="12"/>
      <c r="CK803" s="12"/>
      <c r="CL803" s="12"/>
      <c r="CM803" s="12"/>
      <c r="CN803" s="12"/>
      <c r="CO803" s="12"/>
      <c r="CP803" s="12"/>
      <c r="CQ803" s="12"/>
      <c r="CR803" s="12"/>
      <c r="CS803" s="12"/>
      <c r="CT803" s="12"/>
      <c r="CU803" s="12"/>
      <c r="CV803" s="12"/>
      <c r="CW803" s="12"/>
      <c r="CX803" s="12"/>
      <c r="CY803" s="12"/>
      <c r="CZ803" s="12"/>
      <c r="DA803" s="12"/>
      <c r="DB803" s="12"/>
      <c r="DC803" s="12"/>
      <c r="DD803" s="12"/>
      <c r="DE803" s="12"/>
      <c r="DF803" s="12"/>
      <c r="DG803" s="12"/>
      <c r="DH803" s="12"/>
      <c r="DI803" s="12"/>
      <c r="DJ803" s="12"/>
      <c r="DK803" s="12"/>
      <c r="DL803" s="12"/>
      <c r="DM803" s="12"/>
      <c r="DN803" s="12"/>
      <c r="DO803" s="12"/>
      <c r="DP803" s="12"/>
      <c r="DQ803" s="12"/>
      <c r="DR803" s="12"/>
      <c r="DS803" s="12"/>
      <c r="DT803" s="12"/>
      <c r="DU803" s="12"/>
      <c r="DV803" s="12"/>
      <c r="DW803" s="12"/>
      <c r="DX803" s="12"/>
      <c r="DY803" s="12"/>
      <c r="DZ803" s="12"/>
      <c r="EA803" s="12"/>
      <c r="EB803" s="12"/>
      <c r="EC803" s="12"/>
      <c r="ED803" s="12"/>
      <c r="EE803" s="12"/>
      <c r="EF803" s="12"/>
      <c r="EG803" s="12"/>
      <c r="EH803" s="12"/>
      <c r="EI803" s="12"/>
      <c r="EJ803" s="574"/>
      <c r="EK803" s="574"/>
      <c r="EL803" s="574"/>
      <c r="EM803" s="574"/>
      <c r="EN803" s="574"/>
      <c r="EO803" s="574"/>
      <c r="EP803" s="574"/>
      <c r="EQ803" s="574"/>
      <c r="ER803" s="574"/>
      <c r="ES803" s="574"/>
      <c r="ET803" s="574"/>
      <c r="EU803" s="574"/>
    </row>
    <row r="804">
      <c r="A804" s="12"/>
      <c r="B804" s="55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  <c r="AX804" s="12"/>
      <c r="AY804" s="12"/>
      <c r="AZ804" s="12"/>
      <c r="BA804" s="12"/>
      <c r="BB804" s="12"/>
      <c r="BC804" s="12"/>
      <c r="BD804" s="12"/>
      <c r="BE804" s="12"/>
      <c r="BF804" s="12"/>
      <c r="BG804" s="12"/>
      <c r="BH804" s="12"/>
      <c r="BI804" s="12"/>
      <c r="BJ804" s="12"/>
      <c r="BK804" s="12"/>
      <c r="BL804" s="12"/>
      <c r="BM804" s="12"/>
      <c r="BN804" s="12"/>
      <c r="BO804" s="12"/>
      <c r="BP804" s="12"/>
      <c r="BQ804" s="12"/>
      <c r="BR804" s="12"/>
      <c r="BS804" s="12"/>
      <c r="BT804" s="12"/>
      <c r="BU804" s="12"/>
      <c r="BV804" s="12"/>
      <c r="BW804" s="12"/>
      <c r="BX804" s="12"/>
      <c r="BY804" s="12"/>
      <c r="BZ804" s="12"/>
      <c r="CA804" s="12"/>
      <c r="CB804" s="12"/>
      <c r="CC804" s="12"/>
      <c r="CD804" s="12"/>
      <c r="CE804" s="12"/>
      <c r="CF804" s="12"/>
      <c r="CG804" s="12"/>
      <c r="CH804" s="12"/>
      <c r="CI804" s="12"/>
      <c r="CJ804" s="12"/>
      <c r="CK804" s="12"/>
      <c r="CL804" s="12"/>
      <c r="CM804" s="12"/>
      <c r="CN804" s="12"/>
      <c r="CO804" s="12"/>
      <c r="CP804" s="12"/>
      <c r="CQ804" s="12"/>
      <c r="CR804" s="12"/>
      <c r="CS804" s="12"/>
      <c r="CT804" s="12"/>
      <c r="CU804" s="12"/>
      <c r="CV804" s="12"/>
      <c r="CW804" s="12"/>
      <c r="CX804" s="12"/>
      <c r="CY804" s="12"/>
      <c r="CZ804" s="12"/>
      <c r="DA804" s="12"/>
      <c r="DB804" s="12"/>
      <c r="DC804" s="12"/>
      <c r="DD804" s="12"/>
      <c r="DE804" s="12"/>
      <c r="DF804" s="12"/>
      <c r="DG804" s="12"/>
      <c r="DH804" s="12"/>
      <c r="DI804" s="12"/>
      <c r="DJ804" s="12"/>
      <c r="DK804" s="12"/>
      <c r="DL804" s="12"/>
      <c r="DM804" s="12"/>
      <c r="DN804" s="12"/>
      <c r="DO804" s="12"/>
      <c r="DP804" s="12"/>
      <c r="DQ804" s="12"/>
      <c r="DR804" s="12"/>
      <c r="DS804" s="12"/>
      <c r="DT804" s="12"/>
      <c r="DU804" s="12"/>
      <c r="DV804" s="12"/>
      <c r="DW804" s="12"/>
      <c r="DX804" s="12"/>
      <c r="DY804" s="12"/>
      <c r="DZ804" s="12"/>
      <c r="EA804" s="12"/>
      <c r="EB804" s="12"/>
      <c r="EC804" s="12"/>
      <c r="ED804" s="12"/>
      <c r="EE804" s="12"/>
      <c r="EF804" s="12"/>
      <c r="EG804" s="12"/>
      <c r="EH804" s="12"/>
      <c r="EI804" s="12"/>
      <c r="EJ804" s="574"/>
      <c r="EK804" s="574"/>
      <c r="EL804" s="574"/>
      <c r="EM804" s="574"/>
      <c r="EN804" s="574"/>
      <c r="EO804" s="574"/>
      <c r="EP804" s="574"/>
      <c r="EQ804" s="574"/>
      <c r="ER804" s="574"/>
      <c r="ES804" s="574"/>
      <c r="ET804" s="574"/>
      <c r="EU804" s="574"/>
    </row>
    <row r="805">
      <c r="A805" s="12"/>
      <c r="B805" s="55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  <c r="AX805" s="12"/>
      <c r="AY805" s="12"/>
      <c r="AZ805" s="12"/>
      <c r="BA805" s="12"/>
      <c r="BB805" s="12"/>
      <c r="BC805" s="12"/>
      <c r="BD805" s="12"/>
      <c r="BE805" s="12"/>
      <c r="BF805" s="12"/>
      <c r="BG805" s="12"/>
      <c r="BH805" s="12"/>
      <c r="BI805" s="12"/>
      <c r="BJ805" s="12"/>
      <c r="BK805" s="12"/>
      <c r="BL805" s="12"/>
      <c r="BM805" s="12"/>
      <c r="BN805" s="12"/>
      <c r="BO805" s="12"/>
      <c r="BP805" s="12"/>
      <c r="BQ805" s="12"/>
      <c r="BR805" s="12"/>
      <c r="BS805" s="12"/>
      <c r="BT805" s="12"/>
      <c r="BU805" s="12"/>
      <c r="BV805" s="12"/>
      <c r="BW805" s="12"/>
      <c r="BX805" s="12"/>
      <c r="BY805" s="12"/>
      <c r="BZ805" s="12"/>
      <c r="CA805" s="12"/>
      <c r="CB805" s="12"/>
      <c r="CC805" s="12"/>
      <c r="CD805" s="12"/>
      <c r="CE805" s="12"/>
      <c r="CF805" s="12"/>
      <c r="CG805" s="12"/>
      <c r="CH805" s="12"/>
      <c r="CI805" s="12"/>
      <c r="CJ805" s="12"/>
      <c r="CK805" s="12"/>
      <c r="CL805" s="12"/>
      <c r="CM805" s="12"/>
      <c r="CN805" s="12"/>
      <c r="CO805" s="12"/>
      <c r="CP805" s="12"/>
      <c r="CQ805" s="12"/>
      <c r="CR805" s="12"/>
      <c r="CS805" s="12"/>
      <c r="CT805" s="12"/>
      <c r="CU805" s="12"/>
      <c r="CV805" s="12"/>
      <c r="CW805" s="12"/>
      <c r="CX805" s="12"/>
      <c r="CY805" s="12"/>
      <c r="CZ805" s="12"/>
      <c r="DA805" s="12"/>
      <c r="DB805" s="12"/>
      <c r="DC805" s="12"/>
      <c r="DD805" s="12"/>
      <c r="DE805" s="12"/>
      <c r="DF805" s="12"/>
      <c r="DG805" s="12"/>
      <c r="DH805" s="12"/>
      <c r="DI805" s="12"/>
      <c r="DJ805" s="12"/>
      <c r="DK805" s="12"/>
      <c r="DL805" s="12"/>
      <c r="DM805" s="12"/>
      <c r="DN805" s="12"/>
      <c r="DO805" s="12"/>
      <c r="DP805" s="12"/>
      <c r="DQ805" s="12"/>
      <c r="DR805" s="12"/>
      <c r="DS805" s="12"/>
      <c r="DT805" s="12"/>
      <c r="DU805" s="12"/>
      <c r="DV805" s="12"/>
      <c r="DW805" s="12"/>
      <c r="DX805" s="12"/>
      <c r="DY805" s="12"/>
      <c r="DZ805" s="12"/>
      <c r="EA805" s="12"/>
      <c r="EB805" s="12"/>
      <c r="EC805" s="12"/>
      <c r="ED805" s="12"/>
      <c r="EE805" s="12"/>
      <c r="EF805" s="12"/>
      <c r="EG805" s="12"/>
      <c r="EH805" s="12"/>
      <c r="EI805" s="12"/>
      <c r="EJ805" s="574"/>
      <c r="EK805" s="574"/>
      <c r="EL805" s="574"/>
      <c r="EM805" s="574"/>
      <c r="EN805" s="574"/>
      <c r="EO805" s="574"/>
      <c r="EP805" s="574"/>
      <c r="EQ805" s="574"/>
      <c r="ER805" s="574"/>
      <c r="ES805" s="574"/>
      <c r="ET805" s="574"/>
      <c r="EU805" s="574"/>
    </row>
    <row r="806">
      <c r="A806" s="12"/>
      <c r="B806" s="55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  <c r="AX806" s="12"/>
      <c r="AY806" s="12"/>
      <c r="AZ806" s="12"/>
      <c r="BA806" s="12"/>
      <c r="BB806" s="12"/>
      <c r="BC806" s="12"/>
      <c r="BD806" s="12"/>
      <c r="BE806" s="12"/>
      <c r="BF806" s="12"/>
      <c r="BG806" s="12"/>
      <c r="BH806" s="12"/>
      <c r="BI806" s="12"/>
      <c r="BJ806" s="12"/>
      <c r="BK806" s="12"/>
      <c r="BL806" s="12"/>
      <c r="BM806" s="12"/>
      <c r="BN806" s="12"/>
      <c r="BO806" s="12"/>
      <c r="BP806" s="12"/>
      <c r="BQ806" s="12"/>
      <c r="BR806" s="12"/>
      <c r="BS806" s="12"/>
      <c r="BT806" s="12"/>
      <c r="BU806" s="12"/>
      <c r="BV806" s="12"/>
      <c r="BW806" s="12"/>
      <c r="BX806" s="12"/>
      <c r="BY806" s="12"/>
      <c r="BZ806" s="12"/>
      <c r="CA806" s="12"/>
      <c r="CB806" s="12"/>
      <c r="CC806" s="12"/>
      <c r="CD806" s="12"/>
      <c r="CE806" s="12"/>
      <c r="CF806" s="12"/>
      <c r="CG806" s="12"/>
      <c r="CH806" s="12"/>
      <c r="CI806" s="12"/>
      <c r="CJ806" s="12"/>
      <c r="CK806" s="12"/>
      <c r="CL806" s="12"/>
      <c r="CM806" s="12"/>
      <c r="CN806" s="12"/>
      <c r="CO806" s="12"/>
      <c r="CP806" s="12"/>
      <c r="CQ806" s="12"/>
      <c r="CR806" s="12"/>
      <c r="CS806" s="12"/>
      <c r="CT806" s="12"/>
      <c r="CU806" s="12"/>
      <c r="CV806" s="12"/>
      <c r="CW806" s="12"/>
      <c r="CX806" s="12"/>
      <c r="CY806" s="12"/>
      <c r="CZ806" s="12"/>
      <c r="DA806" s="12"/>
      <c r="DB806" s="12"/>
      <c r="DC806" s="12"/>
      <c r="DD806" s="12"/>
      <c r="DE806" s="12"/>
      <c r="DF806" s="12"/>
      <c r="DG806" s="12"/>
      <c r="DH806" s="12"/>
      <c r="DI806" s="12"/>
      <c r="DJ806" s="12"/>
      <c r="DK806" s="12"/>
      <c r="DL806" s="12"/>
      <c r="DM806" s="12"/>
      <c r="DN806" s="12"/>
      <c r="DO806" s="12"/>
      <c r="DP806" s="12"/>
      <c r="DQ806" s="12"/>
      <c r="DR806" s="12"/>
      <c r="DS806" s="12"/>
      <c r="DT806" s="12"/>
      <c r="DU806" s="12"/>
      <c r="DV806" s="12"/>
      <c r="DW806" s="12"/>
      <c r="DX806" s="12"/>
      <c r="DY806" s="12"/>
      <c r="DZ806" s="12"/>
      <c r="EA806" s="12"/>
      <c r="EB806" s="12"/>
      <c r="EC806" s="12"/>
      <c r="ED806" s="12"/>
      <c r="EE806" s="12"/>
      <c r="EF806" s="12"/>
      <c r="EG806" s="12"/>
      <c r="EH806" s="12"/>
      <c r="EI806" s="12"/>
      <c r="EJ806" s="574"/>
      <c r="EK806" s="574"/>
      <c r="EL806" s="574"/>
      <c r="EM806" s="574"/>
      <c r="EN806" s="574"/>
      <c r="EO806" s="574"/>
      <c r="EP806" s="574"/>
      <c r="EQ806" s="574"/>
      <c r="ER806" s="574"/>
      <c r="ES806" s="574"/>
      <c r="ET806" s="574"/>
      <c r="EU806" s="574"/>
    </row>
    <row r="807">
      <c r="A807" s="12"/>
      <c r="B807" s="55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  <c r="AX807" s="12"/>
      <c r="AY807" s="12"/>
      <c r="AZ807" s="12"/>
      <c r="BA807" s="12"/>
      <c r="BB807" s="12"/>
      <c r="BC807" s="12"/>
      <c r="BD807" s="12"/>
      <c r="BE807" s="12"/>
      <c r="BF807" s="12"/>
      <c r="BG807" s="12"/>
      <c r="BH807" s="12"/>
      <c r="BI807" s="12"/>
      <c r="BJ807" s="12"/>
      <c r="BK807" s="12"/>
      <c r="BL807" s="12"/>
      <c r="BM807" s="12"/>
      <c r="BN807" s="12"/>
      <c r="BO807" s="12"/>
      <c r="BP807" s="12"/>
      <c r="BQ807" s="12"/>
      <c r="BR807" s="12"/>
      <c r="BS807" s="12"/>
      <c r="BT807" s="12"/>
      <c r="BU807" s="12"/>
      <c r="BV807" s="12"/>
      <c r="BW807" s="12"/>
      <c r="BX807" s="12"/>
      <c r="BY807" s="12"/>
      <c r="BZ807" s="12"/>
      <c r="CA807" s="12"/>
      <c r="CB807" s="12"/>
      <c r="CC807" s="12"/>
      <c r="CD807" s="12"/>
      <c r="CE807" s="12"/>
      <c r="CF807" s="12"/>
      <c r="CG807" s="12"/>
      <c r="CH807" s="12"/>
      <c r="CI807" s="12"/>
      <c r="CJ807" s="12"/>
      <c r="CK807" s="12"/>
      <c r="CL807" s="12"/>
      <c r="CM807" s="12"/>
      <c r="CN807" s="12"/>
      <c r="CO807" s="12"/>
      <c r="CP807" s="12"/>
      <c r="CQ807" s="12"/>
      <c r="CR807" s="12"/>
      <c r="CS807" s="12"/>
      <c r="CT807" s="12"/>
      <c r="CU807" s="12"/>
      <c r="CV807" s="12"/>
      <c r="CW807" s="12"/>
      <c r="CX807" s="12"/>
      <c r="CY807" s="12"/>
      <c r="CZ807" s="12"/>
      <c r="DA807" s="12"/>
      <c r="DB807" s="12"/>
      <c r="DC807" s="12"/>
      <c r="DD807" s="12"/>
      <c r="DE807" s="12"/>
      <c r="DF807" s="12"/>
      <c r="DG807" s="12"/>
      <c r="DH807" s="12"/>
      <c r="DI807" s="12"/>
      <c r="DJ807" s="12"/>
      <c r="DK807" s="12"/>
      <c r="DL807" s="12"/>
      <c r="DM807" s="12"/>
      <c r="DN807" s="12"/>
      <c r="DO807" s="12"/>
      <c r="DP807" s="12"/>
      <c r="DQ807" s="12"/>
      <c r="DR807" s="12"/>
      <c r="DS807" s="12"/>
      <c r="DT807" s="12"/>
      <c r="DU807" s="12"/>
      <c r="DV807" s="12"/>
      <c r="DW807" s="12"/>
      <c r="DX807" s="12"/>
      <c r="DY807" s="12"/>
      <c r="DZ807" s="12"/>
      <c r="EA807" s="12"/>
      <c r="EB807" s="12"/>
      <c r="EC807" s="12"/>
      <c r="ED807" s="12"/>
      <c r="EE807" s="12"/>
      <c r="EF807" s="12"/>
      <c r="EG807" s="12"/>
      <c r="EH807" s="12"/>
      <c r="EI807" s="12"/>
      <c r="EJ807" s="574"/>
      <c r="EK807" s="574"/>
      <c r="EL807" s="574"/>
      <c r="EM807" s="574"/>
      <c r="EN807" s="574"/>
      <c r="EO807" s="574"/>
      <c r="EP807" s="574"/>
      <c r="EQ807" s="574"/>
      <c r="ER807" s="574"/>
      <c r="ES807" s="574"/>
      <c r="ET807" s="574"/>
      <c r="EU807" s="574"/>
    </row>
    <row r="808">
      <c r="A808" s="12"/>
      <c r="B808" s="55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  <c r="AX808" s="12"/>
      <c r="AY808" s="12"/>
      <c r="AZ808" s="12"/>
      <c r="BA808" s="12"/>
      <c r="BB808" s="12"/>
      <c r="BC808" s="12"/>
      <c r="BD808" s="12"/>
      <c r="BE808" s="12"/>
      <c r="BF808" s="12"/>
      <c r="BG808" s="12"/>
      <c r="BH808" s="12"/>
      <c r="BI808" s="12"/>
      <c r="BJ808" s="12"/>
      <c r="BK808" s="12"/>
      <c r="BL808" s="12"/>
      <c r="BM808" s="12"/>
      <c r="BN808" s="12"/>
      <c r="BO808" s="12"/>
      <c r="BP808" s="12"/>
      <c r="BQ808" s="12"/>
      <c r="BR808" s="12"/>
      <c r="BS808" s="12"/>
      <c r="BT808" s="12"/>
      <c r="BU808" s="12"/>
      <c r="BV808" s="12"/>
      <c r="BW808" s="12"/>
      <c r="BX808" s="12"/>
      <c r="BY808" s="12"/>
      <c r="BZ808" s="12"/>
      <c r="CA808" s="12"/>
      <c r="CB808" s="12"/>
      <c r="CC808" s="12"/>
      <c r="CD808" s="12"/>
      <c r="CE808" s="12"/>
      <c r="CF808" s="12"/>
      <c r="CG808" s="12"/>
      <c r="CH808" s="12"/>
      <c r="CI808" s="12"/>
      <c r="CJ808" s="12"/>
      <c r="CK808" s="12"/>
      <c r="CL808" s="12"/>
      <c r="CM808" s="12"/>
      <c r="CN808" s="12"/>
      <c r="CO808" s="12"/>
      <c r="CP808" s="12"/>
      <c r="CQ808" s="12"/>
      <c r="CR808" s="12"/>
      <c r="CS808" s="12"/>
      <c r="CT808" s="12"/>
      <c r="CU808" s="12"/>
      <c r="CV808" s="12"/>
      <c r="CW808" s="12"/>
      <c r="CX808" s="12"/>
      <c r="CY808" s="12"/>
      <c r="CZ808" s="12"/>
      <c r="DA808" s="12"/>
      <c r="DB808" s="12"/>
      <c r="DC808" s="12"/>
      <c r="DD808" s="12"/>
      <c r="DE808" s="12"/>
      <c r="DF808" s="12"/>
      <c r="DG808" s="12"/>
      <c r="DH808" s="12"/>
      <c r="DI808" s="12"/>
      <c r="DJ808" s="12"/>
      <c r="DK808" s="12"/>
      <c r="DL808" s="12"/>
      <c r="DM808" s="12"/>
      <c r="DN808" s="12"/>
      <c r="DO808" s="12"/>
      <c r="DP808" s="12"/>
      <c r="DQ808" s="12"/>
      <c r="DR808" s="12"/>
      <c r="DS808" s="12"/>
      <c r="DT808" s="12"/>
      <c r="DU808" s="12"/>
      <c r="DV808" s="12"/>
      <c r="DW808" s="12"/>
      <c r="DX808" s="12"/>
      <c r="DY808" s="12"/>
      <c r="DZ808" s="12"/>
      <c r="EA808" s="12"/>
      <c r="EB808" s="12"/>
      <c r="EC808" s="12"/>
      <c r="ED808" s="12"/>
      <c r="EE808" s="12"/>
      <c r="EF808" s="12"/>
      <c r="EG808" s="12"/>
      <c r="EH808" s="12"/>
      <c r="EI808" s="12"/>
      <c r="EJ808" s="574"/>
      <c r="EK808" s="574"/>
      <c r="EL808" s="574"/>
      <c r="EM808" s="574"/>
      <c r="EN808" s="574"/>
      <c r="EO808" s="574"/>
      <c r="EP808" s="574"/>
      <c r="EQ808" s="574"/>
      <c r="ER808" s="574"/>
      <c r="ES808" s="574"/>
      <c r="ET808" s="574"/>
      <c r="EU808" s="574"/>
    </row>
    <row r="809">
      <c r="A809" s="12"/>
      <c r="B809" s="55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  <c r="AX809" s="12"/>
      <c r="AY809" s="12"/>
      <c r="AZ809" s="12"/>
      <c r="BA809" s="12"/>
      <c r="BB809" s="12"/>
      <c r="BC809" s="12"/>
      <c r="BD809" s="12"/>
      <c r="BE809" s="12"/>
      <c r="BF809" s="12"/>
      <c r="BG809" s="12"/>
      <c r="BH809" s="12"/>
      <c r="BI809" s="12"/>
      <c r="BJ809" s="12"/>
      <c r="BK809" s="12"/>
      <c r="BL809" s="12"/>
      <c r="BM809" s="12"/>
      <c r="BN809" s="12"/>
      <c r="BO809" s="12"/>
      <c r="BP809" s="12"/>
      <c r="BQ809" s="12"/>
      <c r="BR809" s="12"/>
      <c r="BS809" s="12"/>
      <c r="BT809" s="12"/>
      <c r="BU809" s="12"/>
      <c r="BV809" s="12"/>
      <c r="BW809" s="12"/>
      <c r="BX809" s="12"/>
      <c r="BY809" s="12"/>
      <c r="BZ809" s="12"/>
      <c r="CA809" s="12"/>
      <c r="CB809" s="12"/>
      <c r="CC809" s="12"/>
      <c r="CD809" s="12"/>
      <c r="CE809" s="12"/>
      <c r="CF809" s="12"/>
      <c r="CG809" s="12"/>
      <c r="CH809" s="12"/>
      <c r="CI809" s="12"/>
      <c r="CJ809" s="12"/>
      <c r="CK809" s="12"/>
      <c r="CL809" s="12"/>
      <c r="CM809" s="12"/>
      <c r="CN809" s="12"/>
      <c r="CO809" s="12"/>
      <c r="CP809" s="12"/>
      <c r="CQ809" s="12"/>
      <c r="CR809" s="12"/>
      <c r="CS809" s="12"/>
      <c r="CT809" s="12"/>
      <c r="CU809" s="12"/>
      <c r="CV809" s="12"/>
      <c r="CW809" s="12"/>
      <c r="CX809" s="12"/>
      <c r="CY809" s="12"/>
      <c r="CZ809" s="12"/>
      <c r="DA809" s="12"/>
      <c r="DB809" s="12"/>
      <c r="DC809" s="12"/>
      <c r="DD809" s="12"/>
      <c r="DE809" s="12"/>
      <c r="DF809" s="12"/>
      <c r="DG809" s="12"/>
      <c r="DH809" s="12"/>
      <c r="DI809" s="12"/>
      <c r="DJ809" s="12"/>
      <c r="DK809" s="12"/>
      <c r="DL809" s="12"/>
      <c r="DM809" s="12"/>
      <c r="DN809" s="12"/>
      <c r="DO809" s="12"/>
      <c r="DP809" s="12"/>
      <c r="DQ809" s="12"/>
      <c r="DR809" s="12"/>
      <c r="DS809" s="12"/>
      <c r="DT809" s="12"/>
      <c r="DU809" s="12"/>
      <c r="DV809" s="12"/>
      <c r="DW809" s="12"/>
      <c r="DX809" s="12"/>
      <c r="DY809" s="12"/>
      <c r="DZ809" s="12"/>
      <c r="EA809" s="12"/>
      <c r="EB809" s="12"/>
      <c r="EC809" s="12"/>
      <c r="ED809" s="12"/>
      <c r="EE809" s="12"/>
      <c r="EF809" s="12"/>
      <c r="EG809" s="12"/>
      <c r="EH809" s="12"/>
      <c r="EI809" s="12"/>
      <c r="EJ809" s="574"/>
      <c r="EK809" s="574"/>
      <c r="EL809" s="574"/>
      <c r="EM809" s="574"/>
      <c r="EN809" s="574"/>
      <c r="EO809" s="574"/>
      <c r="EP809" s="574"/>
      <c r="EQ809" s="574"/>
      <c r="ER809" s="574"/>
      <c r="ES809" s="574"/>
      <c r="ET809" s="574"/>
      <c r="EU809" s="574"/>
    </row>
    <row r="810">
      <c r="A810" s="12"/>
      <c r="B810" s="55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  <c r="AX810" s="12"/>
      <c r="AY810" s="12"/>
      <c r="AZ810" s="12"/>
      <c r="BA810" s="12"/>
      <c r="BB810" s="12"/>
      <c r="BC810" s="12"/>
      <c r="BD810" s="12"/>
      <c r="BE810" s="12"/>
      <c r="BF810" s="12"/>
      <c r="BG810" s="12"/>
      <c r="BH810" s="12"/>
      <c r="BI810" s="12"/>
      <c r="BJ810" s="12"/>
      <c r="BK810" s="12"/>
      <c r="BL810" s="12"/>
      <c r="BM810" s="12"/>
      <c r="BN810" s="12"/>
      <c r="BO810" s="12"/>
      <c r="BP810" s="12"/>
      <c r="BQ810" s="12"/>
      <c r="BR810" s="12"/>
      <c r="BS810" s="12"/>
      <c r="BT810" s="12"/>
      <c r="BU810" s="12"/>
      <c r="BV810" s="12"/>
      <c r="BW810" s="12"/>
      <c r="BX810" s="12"/>
      <c r="BY810" s="12"/>
      <c r="BZ810" s="12"/>
      <c r="CA810" s="12"/>
      <c r="CB810" s="12"/>
      <c r="CC810" s="12"/>
      <c r="CD810" s="12"/>
      <c r="CE810" s="12"/>
      <c r="CF810" s="12"/>
      <c r="CG810" s="12"/>
      <c r="CH810" s="12"/>
      <c r="CI810" s="12"/>
      <c r="CJ810" s="12"/>
      <c r="CK810" s="12"/>
      <c r="CL810" s="12"/>
      <c r="CM810" s="12"/>
      <c r="CN810" s="12"/>
      <c r="CO810" s="12"/>
      <c r="CP810" s="12"/>
      <c r="CQ810" s="12"/>
      <c r="CR810" s="12"/>
      <c r="CS810" s="12"/>
      <c r="CT810" s="12"/>
      <c r="CU810" s="12"/>
      <c r="CV810" s="12"/>
      <c r="CW810" s="12"/>
      <c r="CX810" s="12"/>
      <c r="CY810" s="12"/>
      <c r="CZ810" s="12"/>
      <c r="DA810" s="12"/>
      <c r="DB810" s="12"/>
      <c r="DC810" s="12"/>
      <c r="DD810" s="12"/>
      <c r="DE810" s="12"/>
      <c r="DF810" s="12"/>
      <c r="DG810" s="12"/>
      <c r="DH810" s="12"/>
      <c r="DI810" s="12"/>
      <c r="DJ810" s="12"/>
      <c r="DK810" s="12"/>
      <c r="DL810" s="12"/>
      <c r="DM810" s="12"/>
      <c r="DN810" s="12"/>
      <c r="DO810" s="12"/>
      <c r="DP810" s="12"/>
      <c r="DQ810" s="12"/>
      <c r="DR810" s="12"/>
      <c r="DS810" s="12"/>
      <c r="DT810" s="12"/>
      <c r="DU810" s="12"/>
      <c r="DV810" s="12"/>
      <c r="DW810" s="12"/>
      <c r="DX810" s="12"/>
      <c r="DY810" s="12"/>
      <c r="DZ810" s="12"/>
      <c r="EA810" s="12"/>
      <c r="EB810" s="12"/>
      <c r="EC810" s="12"/>
      <c r="ED810" s="12"/>
      <c r="EE810" s="12"/>
      <c r="EF810" s="12"/>
      <c r="EG810" s="12"/>
      <c r="EH810" s="12"/>
      <c r="EI810" s="12"/>
      <c r="EJ810" s="574"/>
      <c r="EK810" s="574"/>
      <c r="EL810" s="574"/>
      <c r="EM810" s="574"/>
      <c r="EN810" s="574"/>
      <c r="EO810" s="574"/>
      <c r="EP810" s="574"/>
      <c r="EQ810" s="574"/>
      <c r="ER810" s="574"/>
      <c r="ES810" s="574"/>
      <c r="ET810" s="574"/>
      <c r="EU810" s="574"/>
    </row>
    <row r="811">
      <c r="A811" s="12"/>
      <c r="B811" s="55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  <c r="AX811" s="12"/>
      <c r="AY811" s="12"/>
      <c r="AZ811" s="12"/>
      <c r="BA811" s="12"/>
      <c r="BB811" s="12"/>
      <c r="BC811" s="12"/>
      <c r="BD811" s="12"/>
      <c r="BE811" s="12"/>
      <c r="BF811" s="12"/>
      <c r="BG811" s="12"/>
      <c r="BH811" s="12"/>
      <c r="BI811" s="12"/>
      <c r="BJ811" s="12"/>
      <c r="BK811" s="12"/>
      <c r="BL811" s="12"/>
      <c r="BM811" s="12"/>
      <c r="BN811" s="12"/>
      <c r="BO811" s="12"/>
      <c r="BP811" s="12"/>
      <c r="BQ811" s="12"/>
      <c r="BR811" s="12"/>
      <c r="BS811" s="12"/>
      <c r="BT811" s="12"/>
      <c r="BU811" s="12"/>
      <c r="BV811" s="12"/>
      <c r="BW811" s="12"/>
      <c r="BX811" s="12"/>
      <c r="BY811" s="12"/>
      <c r="BZ811" s="12"/>
      <c r="CA811" s="12"/>
      <c r="CB811" s="12"/>
      <c r="CC811" s="12"/>
      <c r="CD811" s="12"/>
      <c r="CE811" s="12"/>
      <c r="CF811" s="12"/>
      <c r="CG811" s="12"/>
      <c r="CH811" s="12"/>
      <c r="CI811" s="12"/>
      <c r="CJ811" s="12"/>
      <c r="CK811" s="12"/>
      <c r="CL811" s="12"/>
      <c r="CM811" s="12"/>
      <c r="CN811" s="12"/>
      <c r="CO811" s="12"/>
      <c r="CP811" s="12"/>
      <c r="CQ811" s="12"/>
      <c r="CR811" s="12"/>
      <c r="CS811" s="12"/>
      <c r="CT811" s="12"/>
      <c r="CU811" s="12"/>
      <c r="CV811" s="12"/>
      <c r="CW811" s="12"/>
      <c r="CX811" s="12"/>
      <c r="CY811" s="12"/>
      <c r="CZ811" s="12"/>
      <c r="DA811" s="12"/>
      <c r="DB811" s="12"/>
      <c r="DC811" s="12"/>
      <c r="DD811" s="12"/>
      <c r="DE811" s="12"/>
      <c r="DF811" s="12"/>
      <c r="DG811" s="12"/>
      <c r="DH811" s="12"/>
      <c r="DI811" s="12"/>
      <c r="DJ811" s="12"/>
      <c r="DK811" s="12"/>
      <c r="DL811" s="12"/>
      <c r="DM811" s="12"/>
      <c r="DN811" s="12"/>
      <c r="DO811" s="12"/>
      <c r="DP811" s="12"/>
      <c r="DQ811" s="12"/>
      <c r="DR811" s="12"/>
      <c r="DS811" s="12"/>
      <c r="DT811" s="12"/>
      <c r="DU811" s="12"/>
      <c r="DV811" s="12"/>
      <c r="DW811" s="12"/>
      <c r="DX811" s="12"/>
      <c r="DY811" s="12"/>
      <c r="DZ811" s="12"/>
      <c r="EA811" s="12"/>
      <c r="EB811" s="12"/>
      <c r="EC811" s="12"/>
      <c r="ED811" s="12"/>
      <c r="EE811" s="12"/>
      <c r="EF811" s="12"/>
      <c r="EG811" s="12"/>
      <c r="EH811" s="12"/>
      <c r="EI811" s="12"/>
      <c r="EJ811" s="574"/>
      <c r="EK811" s="574"/>
      <c r="EL811" s="574"/>
      <c r="EM811" s="574"/>
      <c r="EN811" s="574"/>
      <c r="EO811" s="574"/>
      <c r="EP811" s="574"/>
      <c r="EQ811" s="574"/>
      <c r="ER811" s="574"/>
      <c r="ES811" s="574"/>
      <c r="ET811" s="574"/>
      <c r="EU811" s="574"/>
    </row>
    <row r="812">
      <c r="A812" s="12"/>
      <c r="B812" s="55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2"/>
      <c r="AX812" s="12"/>
      <c r="AY812" s="12"/>
      <c r="AZ812" s="12"/>
      <c r="BA812" s="12"/>
      <c r="BB812" s="12"/>
      <c r="BC812" s="12"/>
      <c r="BD812" s="12"/>
      <c r="BE812" s="12"/>
      <c r="BF812" s="12"/>
      <c r="BG812" s="12"/>
      <c r="BH812" s="12"/>
      <c r="BI812" s="12"/>
      <c r="BJ812" s="12"/>
      <c r="BK812" s="12"/>
      <c r="BL812" s="12"/>
      <c r="BM812" s="12"/>
      <c r="BN812" s="12"/>
      <c r="BO812" s="12"/>
      <c r="BP812" s="12"/>
      <c r="BQ812" s="12"/>
      <c r="BR812" s="12"/>
      <c r="BS812" s="12"/>
      <c r="BT812" s="12"/>
      <c r="BU812" s="12"/>
      <c r="BV812" s="12"/>
      <c r="BW812" s="12"/>
      <c r="BX812" s="12"/>
      <c r="BY812" s="12"/>
      <c r="BZ812" s="12"/>
      <c r="CA812" s="12"/>
      <c r="CB812" s="12"/>
      <c r="CC812" s="12"/>
      <c r="CD812" s="12"/>
      <c r="CE812" s="12"/>
      <c r="CF812" s="12"/>
      <c r="CG812" s="12"/>
      <c r="CH812" s="12"/>
      <c r="CI812" s="12"/>
      <c r="CJ812" s="12"/>
      <c r="CK812" s="12"/>
      <c r="CL812" s="12"/>
      <c r="CM812" s="12"/>
      <c r="CN812" s="12"/>
      <c r="CO812" s="12"/>
      <c r="CP812" s="12"/>
      <c r="CQ812" s="12"/>
      <c r="CR812" s="12"/>
      <c r="CS812" s="12"/>
      <c r="CT812" s="12"/>
      <c r="CU812" s="12"/>
      <c r="CV812" s="12"/>
      <c r="CW812" s="12"/>
      <c r="CX812" s="12"/>
      <c r="CY812" s="12"/>
      <c r="CZ812" s="12"/>
      <c r="DA812" s="12"/>
      <c r="DB812" s="12"/>
      <c r="DC812" s="12"/>
      <c r="DD812" s="12"/>
      <c r="DE812" s="12"/>
      <c r="DF812" s="12"/>
      <c r="DG812" s="12"/>
      <c r="DH812" s="12"/>
      <c r="DI812" s="12"/>
      <c r="DJ812" s="12"/>
      <c r="DK812" s="12"/>
      <c r="DL812" s="12"/>
      <c r="DM812" s="12"/>
      <c r="DN812" s="12"/>
      <c r="DO812" s="12"/>
      <c r="DP812" s="12"/>
      <c r="DQ812" s="12"/>
      <c r="DR812" s="12"/>
      <c r="DS812" s="12"/>
      <c r="DT812" s="12"/>
      <c r="DU812" s="12"/>
      <c r="DV812" s="12"/>
      <c r="DW812" s="12"/>
      <c r="DX812" s="12"/>
      <c r="DY812" s="12"/>
      <c r="DZ812" s="12"/>
      <c r="EA812" s="12"/>
      <c r="EB812" s="12"/>
      <c r="EC812" s="12"/>
      <c r="ED812" s="12"/>
      <c r="EE812" s="12"/>
      <c r="EF812" s="12"/>
      <c r="EG812" s="12"/>
      <c r="EH812" s="12"/>
      <c r="EI812" s="12"/>
      <c r="EJ812" s="574"/>
      <c r="EK812" s="574"/>
      <c r="EL812" s="574"/>
      <c r="EM812" s="574"/>
      <c r="EN812" s="574"/>
      <c r="EO812" s="574"/>
      <c r="EP812" s="574"/>
      <c r="EQ812" s="574"/>
      <c r="ER812" s="574"/>
      <c r="ES812" s="574"/>
      <c r="ET812" s="574"/>
      <c r="EU812" s="574"/>
    </row>
    <row r="813">
      <c r="A813" s="12"/>
      <c r="B813" s="55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  <c r="AX813" s="12"/>
      <c r="AY813" s="12"/>
      <c r="AZ813" s="12"/>
      <c r="BA813" s="12"/>
      <c r="BB813" s="12"/>
      <c r="BC813" s="12"/>
      <c r="BD813" s="12"/>
      <c r="BE813" s="12"/>
      <c r="BF813" s="12"/>
      <c r="BG813" s="12"/>
      <c r="BH813" s="12"/>
      <c r="BI813" s="12"/>
      <c r="BJ813" s="12"/>
      <c r="BK813" s="12"/>
      <c r="BL813" s="12"/>
      <c r="BM813" s="12"/>
      <c r="BN813" s="12"/>
      <c r="BO813" s="12"/>
      <c r="BP813" s="12"/>
      <c r="BQ813" s="12"/>
      <c r="BR813" s="12"/>
      <c r="BS813" s="12"/>
      <c r="BT813" s="12"/>
      <c r="BU813" s="12"/>
      <c r="BV813" s="12"/>
      <c r="BW813" s="12"/>
      <c r="BX813" s="12"/>
      <c r="BY813" s="12"/>
      <c r="BZ813" s="12"/>
      <c r="CA813" s="12"/>
      <c r="CB813" s="12"/>
      <c r="CC813" s="12"/>
      <c r="CD813" s="12"/>
      <c r="CE813" s="12"/>
      <c r="CF813" s="12"/>
      <c r="CG813" s="12"/>
      <c r="CH813" s="12"/>
      <c r="CI813" s="12"/>
      <c r="CJ813" s="12"/>
      <c r="CK813" s="12"/>
      <c r="CL813" s="12"/>
      <c r="CM813" s="12"/>
      <c r="CN813" s="12"/>
      <c r="CO813" s="12"/>
      <c r="CP813" s="12"/>
      <c r="CQ813" s="12"/>
      <c r="CR813" s="12"/>
      <c r="CS813" s="12"/>
      <c r="CT813" s="12"/>
      <c r="CU813" s="12"/>
      <c r="CV813" s="12"/>
      <c r="CW813" s="12"/>
      <c r="CX813" s="12"/>
      <c r="CY813" s="12"/>
      <c r="CZ813" s="12"/>
      <c r="DA813" s="12"/>
      <c r="DB813" s="12"/>
      <c r="DC813" s="12"/>
      <c r="DD813" s="12"/>
      <c r="DE813" s="12"/>
      <c r="DF813" s="12"/>
      <c r="DG813" s="12"/>
      <c r="DH813" s="12"/>
      <c r="DI813" s="12"/>
      <c r="DJ813" s="12"/>
      <c r="DK813" s="12"/>
      <c r="DL813" s="12"/>
      <c r="DM813" s="12"/>
      <c r="DN813" s="12"/>
      <c r="DO813" s="12"/>
      <c r="DP813" s="12"/>
      <c r="DQ813" s="12"/>
      <c r="DR813" s="12"/>
      <c r="DS813" s="12"/>
      <c r="DT813" s="12"/>
      <c r="DU813" s="12"/>
      <c r="DV813" s="12"/>
      <c r="DW813" s="12"/>
      <c r="DX813" s="12"/>
      <c r="DY813" s="12"/>
      <c r="DZ813" s="12"/>
      <c r="EA813" s="12"/>
      <c r="EB813" s="12"/>
      <c r="EC813" s="12"/>
      <c r="ED813" s="12"/>
      <c r="EE813" s="12"/>
      <c r="EF813" s="12"/>
      <c r="EG813" s="12"/>
      <c r="EH813" s="12"/>
      <c r="EI813" s="12"/>
      <c r="EJ813" s="574"/>
      <c r="EK813" s="574"/>
      <c r="EL813" s="574"/>
      <c r="EM813" s="574"/>
      <c r="EN813" s="574"/>
      <c r="EO813" s="574"/>
      <c r="EP813" s="574"/>
      <c r="EQ813" s="574"/>
      <c r="ER813" s="574"/>
      <c r="ES813" s="574"/>
      <c r="ET813" s="574"/>
      <c r="EU813" s="574"/>
    </row>
    <row r="814">
      <c r="A814" s="12"/>
      <c r="B814" s="55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  <c r="AX814" s="12"/>
      <c r="AY814" s="12"/>
      <c r="AZ814" s="12"/>
      <c r="BA814" s="12"/>
      <c r="BB814" s="12"/>
      <c r="BC814" s="12"/>
      <c r="BD814" s="12"/>
      <c r="BE814" s="12"/>
      <c r="BF814" s="12"/>
      <c r="BG814" s="12"/>
      <c r="BH814" s="12"/>
      <c r="BI814" s="12"/>
      <c r="BJ814" s="12"/>
      <c r="BK814" s="12"/>
      <c r="BL814" s="12"/>
      <c r="BM814" s="12"/>
      <c r="BN814" s="12"/>
      <c r="BO814" s="12"/>
      <c r="BP814" s="12"/>
      <c r="BQ814" s="12"/>
      <c r="BR814" s="12"/>
      <c r="BS814" s="12"/>
      <c r="BT814" s="12"/>
      <c r="BU814" s="12"/>
      <c r="BV814" s="12"/>
      <c r="BW814" s="12"/>
      <c r="BX814" s="12"/>
      <c r="BY814" s="12"/>
      <c r="BZ814" s="12"/>
      <c r="CA814" s="12"/>
      <c r="CB814" s="12"/>
      <c r="CC814" s="12"/>
      <c r="CD814" s="12"/>
      <c r="CE814" s="12"/>
      <c r="CF814" s="12"/>
      <c r="CG814" s="12"/>
      <c r="CH814" s="12"/>
      <c r="CI814" s="12"/>
      <c r="CJ814" s="12"/>
      <c r="CK814" s="12"/>
      <c r="CL814" s="12"/>
      <c r="CM814" s="12"/>
      <c r="CN814" s="12"/>
      <c r="CO814" s="12"/>
      <c r="CP814" s="12"/>
      <c r="CQ814" s="12"/>
      <c r="CR814" s="12"/>
      <c r="CS814" s="12"/>
      <c r="CT814" s="12"/>
      <c r="CU814" s="12"/>
      <c r="CV814" s="12"/>
      <c r="CW814" s="12"/>
      <c r="CX814" s="12"/>
      <c r="CY814" s="12"/>
      <c r="CZ814" s="12"/>
      <c r="DA814" s="12"/>
      <c r="DB814" s="12"/>
      <c r="DC814" s="12"/>
      <c r="DD814" s="12"/>
      <c r="DE814" s="12"/>
      <c r="DF814" s="12"/>
      <c r="DG814" s="12"/>
      <c r="DH814" s="12"/>
      <c r="DI814" s="12"/>
      <c r="DJ814" s="12"/>
      <c r="DK814" s="12"/>
      <c r="DL814" s="12"/>
      <c r="DM814" s="12"/>
      <c r="DN814" s="12"/>
      <c r="DO814" s="12"/>
      <c r="DP814" s="12"/>
      <c r="DQ814" s="12"/>
      <c r="DR814" s="12"/>
      <c r="DS814" s="12"/>
      <c r="DT814" s="12"/>
      <c r="DU814" s="12"/>
      <c r="DV814" s="12"/>
      <c r="DW814" s="12"/>
      <c r="DX814" s="12"/>
      <c r="DY814" s="12"/>
      <c r="DZ814" s="12"/>
      <c r="EA814" s="12"/>
      <c r="EB814" s="12"/>
      <c r="EC814" s="12"/>
      <c r="ED814" s="12"/>
      <c r="EE814" s="12"/>
      <c r="EF814" s="12"/>
      <c r="EG814" s="12"/>
      <c r="EH814" s="12"/>
      <c r="EI814" s="12"/>
      <c r="EJ814" s="574"/>
      <c r="EK814" s="574"/>
      <c r="EL814" s="574"/>
      <c r="EM814" s="574"/>
      <c r="EN814" s="574"/>
      <c r="EO814" s="574"/>
      <c r="EP814" s="574"/>
      <c r="EQ814" s="574"/>
      <c r="ER814" s="574"/>
      <c r="ES814" s="574"/>
      <c r="ET814" s="574"/>
      <c r="EU814" s="574"/>
    </row>
    <row r="815">
      <c r="A815" s="12"/>
      <c r="B815" s="55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  <c r="AX815" s="12"/>
      <c r="AY815" s="12"/>
      <c r="AZ815" s="12"/>
      <c r="BA815" s="12"/>
      <c r="BB815" s="12"/>
      <c r="BC815" s="12"/>
      <c r="BD815" s="12"/>
      <c r="BE815" s="12"/>
      <c r="BF815" s="12"/>
      <c r="BG815" s="12"/>
      <c r="BH815" s="12"/>
      <c r="BI815" s="12"/>
      <c r="BJ815" s="12"/>
      <c r="BK815" s="12"/>
      <c r="BL815" s="12"/>
      <c r="BM815" s="12"/>
      <c r="BN815" s="12"/>
      <c r="BO815" s="12"/>
      <c r="BP815" s="12"/>
      <c r="BQ815" s="12"/>
      <c r="BR815" s="12"/>
      <c r="BS815" s="12"/>
      <c r="BT815" s="12"/>
      <c r="BU815" s="12"/>
      <c r="BV815" s="12"/>
      <c r="BW815" s="12"/>
      <c r="BX815" s="12"/>
      <c r="BY815" s="12"/>
      <c r="BZ815" s="12"/>
      <c r="CA815" s="12"/>
      <c r="CB815" s="12"/>
      <c r="CC815" s="12"/>
      <c r="CD815" s="12"/>
      <c r="CE815" s="12"/>
      <c r="CF815" s="12"/>
      <c r="CG815" s="12"/>
      <c r="CH815" s="12"/>
      <c r="CI815" s="12"/>
      <c r="CJ815" s="12"/>
      <c r="CK815" s="12"/>
      <c r="CL815" s="12"/>
      <c r="CM815" s="12"/>
      <c r="CN815" s="12"/>
      <c r="CO815" s="12"/>
      <c r="CP815" s="12"/>
      <c r="CQ815" s="12"/>
      <c r="CR815" s="12"/>
      <c r="CS815" s="12"/>
      <c r="CT815" s="12"/>
      <c r="CU815" s="12"/>
      <c r="CV815" s="12"/>
      <c r="CW815" s="12"/>
      <c r="CX815" s="12"/>
      <c r="CY815" s="12"/>
      <c r="CZ815" s="12"/>
      <c r="DA815" s="12"/>
      <c r="DB815" s="12"/>
      <c r="DC815" s="12"/>
      <c r="DD815" s="12"/>
      <c r="DE815" s="12"/>
      <c r="DF815" s="12"/>
      <c r="DG815" s="12"/>
      <c r="DH815" s="12"/>
      <c r="DI815" s="12"/>
      <c r="DJ815" s="12"/>
      <c r="DK815" s="12"/>
      <c r="DL815" s="12"/>
      <c r="DM815" s="12"/>
      <c r="DN815" s="12"/>
      <c r="DO815" s="12"/>
      <c r="DP815" s="12"/>
      <c r="DQ815" s="12"/>
      <c r="DR815" s="12"/>
      <c r="DS815" s="12"/>
      <c r="DT815" s="12"/>
      <c r="DU815" s="12"/>
      <c r="DV815" s="12"/>
      <c r="DW815" s="12"/>
      <c r="DX815" s="12"/>
      <c r="DY815" s="12"/>
      <c r="DZ815" s="12"/>
      <c r="EA815" s="12"/>
      <c r="EB815" s="12"/>
      <c r="EC815" s="12"/>
      <c r="ED815" s="12"/>
      <c r="EE815" s="12"/>
      <c r="EF815" s="12"/>
      <c r="EG815" s="12"/>
      <c r="EH815" s="12"/>
      <c r="EI815" s="12"/>
      <c r="EJ815" s="574"/>
      <c r="EK815" s="574"/>
      <c r="EL815" s="574"/>
      <c r="EM815" s="574"/>
      <c r="EN815" s="574"/>
      <c r="EO815" s="574"/>
      <c r="EP815" s="574"/>
      <c r="EQ815" s="574"/>
      <c r="ER815" s="574"/>
      <c r="ES815" s="574"/>
      <c r="ET815" s="574"/>
      <c r="EU815" s="574"/>
    </row>
    <row r="816">
      <c r="A816" s="12"/>
      <c r="B816" s="55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2"/>
      <c r="AX816" s="12"/>
      <c r="AY816" s="12"/>
      <c r="AZ816" s="12"/>
      <c r="BA816" s="12"/>
      <c r="BB816" s="12"/>
      <c r="BC816" s="12"/>
      <c r="BD816" s="12"/>
      <c r="BE816" s="12"/>
      <c r="BF816" s="12"/>
      <c r="BG816" s="12"/>
      <c r="BH816" s="12"/>
      <c r="BI816" s="12"/>
      <c r="BJ816" s="12"/>
      <c r="BK816" s="12"/>
      <c r="BL816" s="12"/>
      <c r="BM816" s="12"/>
      <c r="BN816" s="12"/>
      <c r="BO816" s="12"/>
      <c r="BP816" s="12"/>
      <c r="BQ816" s="12"/>
      <c r="BR816" s="12"/>
      <c r="BS816" s="12"/>
      <c r="BT816" s="12"/>
      <c r="BU816" s="12"/>
      <c r="BV816" s="12"/>
      <c r="BW816" s="12"/>
      <c r="BX816" s="12"/>
      <c r="BY816" s="12"/>
      <c r="BZ816" s="12"/>
      <c r="CA816" s="12"/>
      <c r="CB816" s="12"/>
      <c r="CC816" s="12"/>
      <c r="CD816" s="12"/>
      <c r="CE816" s="12"/>
      <c r="CF816" s="12"/>
      <c r="CG816" s="12"/>
      <c r="CH816" s="12"/>
      <c r="CI816" s="12"/>
      <c r="CJ816" s="12"/>
      <c r="CK816" s="12"/>
      <c r="CL816" s="12"/>
      <c r="CM816" s="12"/>
      <c r="CN816" s="12"/>
      <c r="CO816" s="12"/>
      <c r="CP816" s="12"/>
      <c r="CQ816" s="12"/>
      <c r="CR816" s="12"/>
      <c r="CS816" s="12"/>
      <c r="CT816" s="12"/>
      <c r="CU816" s="12"/>
      <c r="CV816" s="12"/>
      <c r="CW816" s="12"/>
      <c r="CX816" s="12"/>
      <c r="CY816" s="12"/>
      <c r="CZ816" s="12"/>
      <c r="DA816" s="12"/>
      <c r="DB816" s="12"/>
      <c r="DC816" s="12"/>
      <c r="DD816" s="12"/>
      <c r="DE816" s="12"/>
      <c r="DF816" s="12"/>
      <c r="DG816" s="12"/>
      <c r="DH816" s="12"/>
      <c r="DI816" s="12"/>
      <c r="DJ816" s="12"/>
      <c r="DK816" s="12"/>
      <c r="DL816" s="12"/>
      <c r="DM816" s="12"/>
      <c r="DN816" s="12"/>
      <c r="DO816" s="12"/>
      <c r="DP816" s="12"/>
      <c r="DQ816" s="12"/>
      <c r="DR816" s="12"/>
      <c r="DS816" s="12"/>
      <c r="DT816" s="12"/>
      <c r="DU816" s="12"/>
      <c r="DV816" s="12"/>
      <c r="DW816" s="12"/>
      <c r="DX816" s="12"/>
      <c r="DY816" s="12"/>
      <c r="DZ816" s="12"/>
      <c r="EA816" s="12"/>
      <c r="EB816" s="12"/>
      <c r="EC816" s="12"/>
      <c r="ED816" s="12"/>
      <c r="EE816" s="12"/>
      <c r="EF816" s="12"/>
      <c r="EG816" s="12"/>
      <c r="EH816" s="12"/>
      <c r="EI816" s="12"/>
      <c r="EJ816" s="574"/>
      <c r="EK816" s="574"/>
      <c r="EL816" s="574"/>
      <c r="EM816" s="574"/>
      <c r="EN816" s="574"/>
      <c r="EO816" s="574"/>
      <c r="EP816" s="574"/>
      <c r="EQ816" s="574"/>
      <c r="ER816" s="574"/>
      <c r="ES816" s="574"/>
      <c r="ET816" s="574"/>
      <c r="EU816" s="574"/>
    </row>
    <row r="817">
      <c r="A817" s="12"/>
      <c r="B817" s="55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  <c r="AX817" s="12"/>
      <c r="AY817" s="12"/>
      <c r="AZ817" s="12"/>
      <c r="BA817" s="12"/>
      <c r="BB817" s="12"/>
      <c r="BC817" s="12"/>
      <c r="BD817" s="12"/>
      <c r="BE817" s="12"/>
      <c r="BF817" s="12"/>
      <c r="BG817" s="12"/>
      <c r="BH817" s="12"/>
      <c r="BI817" s="12"/>
      <c r="BJ817" s="12"/>
      <c r="BK817" s="12"/>
      <c r="BL817" s="12"/>
      <c r="BM817" s="12"/>
      <c r="BN817" s="12"/>
      <c r="BO817" s="12"/>
      <c r="BP817" s="12"/>
      <c r="BQ817" s="12"/>
      <c r="BR817" s="12"/>
      <c r="BS817" s="12"/>
      <c r="BT817" s="12"/>
      <c r="BU817" s="12"/>
      <c r="BV817" s="12"/>
      <c r="BW817" s="12"/>
      <c r="BX817" s="12"/>
      <c r="BY817" s="12"/>
      <c r="BZ817" s="12"/>
      <c r="CA817" s="12"/>
      <c r="CB817" s="12"/>
      <c r="CC817" s="12"/>
      <c r="CD817" s="12"/>
      <c r="CE817" s="12"/>
      <c r="CF817" s="12"/>
      <c r="CG817" s="12"/>
      <c r="CH817" s="12"/>
      <c r="CI817" s="12"/>
      <c r="CJ817" s="12"/>
      <c r="CK817" s="12"/>
      <c r="CL817" s="12"/>
      <c r="CM817" s="12"/>
      <c r="CN817" s="12"/>
      <c r="CO817" s="12"/>
      <c r="CP817" s="12"/>
      <c r="CQ817" s="12"/>
      <c r="CR817" s="12"/>
      <c r="CS817" s="12"/>
      <c r="CT817" s="12"/>
      <c r="CU817" s="12"/>
      <c r="CV817" s="12"/>
      <c r="CW817" s="12"/>
      <c r="CX817" s="12"/>
      <c r="CY817" s="12"/>
      <c r="CZ817" s="12"/>
      <c r="DA817" s="12"/>
      <c r="DB817" s="12"/>
      <c r="DC817" s="12"/>
      <c r="DD817" s="12"/>
      <c r="DE817" s="12"/>
      <c r="DF817" s="12"/>
      <c r="DG817" s="12"/>
      <c r="DH817" s="12"/>
      <c r="DI817" s="12"/>
      <c r="DJ817" s="12"/>
      <c r="DK817" s="12"/>
      <c r="DL817" s="12"/>
      <c r="DM817" s="12"/>
      <c r="DN817" s="12"/>
      <c r="DO817" s="12"/>
      <c r="DP817" s="12"/>
      <c r="DQ817" s="12"/>
      <c r="DR817" s="12"/>
      <c r="DS817" s="12"/>
      <c r="DT817" s="12"/>
      <c r="DU817" s="12"/>
      <c r="DV817" s="12"/>
      <c r="DW817" s="12"/>
      <c r="DX817" s="12"/>
      <c r="DY817" s="12"/>
      <c r="DZ817" s="12"/>
      <c r="EA817" s="12"/>
      <c r="EB817" s="12"/>
      <c r="EC817" s="12"/>
      <c r="ED817" s="12"/>
      <c r="EE817" s="12"/>
      <c r="EF817" s="12"/>
      <c r="EG817" s="12"/>
      <c r="EH817" s="12"/>
      <c r="EI817" s="12"/>
      <c r="EJ817" s="574"/>
      <c r="EK817" s="574"/>
      <c r="EL817" s="574"/>
      <c r="EM817" s="574"/>
      <c r="EN817" s="574"/>
      <c r="EO817" s="574"/>
      <c r="EP817" s="574"/>
      <c r="EQ817" s="574"/>
      <c r="ER817" s="574"/>
      <c r="ES817" s="574"/>
      <c r="ET817" s="574"/>
      <c r="EU817" s="574"/>
    </row>
    <row r="818">
      <c r="A818" s="12"/>
      <c r="B818" s="55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  <c r="AX818" s="12"/>
      <c r="AY818" s="12"/>
      <c r="AZ818" s="12"/>
      <c r="BA818" s="12"/>
      <c r="BB818" s="12"/>
      <c r="BC818" s="12"/>
      <c r="BD818" s="12"/>
      <c r="BE818" s="12"/>
      <c r="BF818" s="12"/>
      <c r="BG818" s="12"/>
      <c r="BH818" s="12"/>
      <c r="BI818" s="12"/>
      <c r="BJ818" s="12"/>
      <c r="BK818" s="12"/>
      <c r="BL818" s="12"/>
      <c r="BM818" s="12"/>
      <c r="BN818" s="12"/>
      <c r="BO818" s="12"/>
      <c r="BP818" s="12"/>
      <c r="BQ818" s="12"/>
      <c r="BR818" s="12"/>
      <c r="BS818" s="12"/>
      <c r="BT818" s="12"/>
      <c r="BU818" s="12"/>
      <c r="BV818" s="12"/>
      <c r="BW818" s="12"/>
      <c r="BX818" s="12"/>
      <c r="BY818" s="12"/>
      <c r="BZ818" s="12"/>
      <c r="CA818" s="12"/>
      <c r="CB818" s="12"/>
      <c r="CC818" s="12"/>
      <c r="CD818" s="12"/>
      <c r="CE818" s="12"/>
      <c r="CF818" s="12"/>
      <c r="CG818" s="12"/>
      <c r="CH818" s="12"/>
      <c r="CI818" s="12"/>
      <c r="CJ818" s="12"/>
      <c r="CK818" s="12"/>
      <c r="CL818" s="12"/>
      <c r="CM818" s="12"/>
      <c r="CN818" s="12"/>
      <c r="CO818" s="12"/>
      <c r="CP818" s="12"/>
      <c r="CQ818" s="12"/>
      <c r="CR818" s="12"/>
      <c r="CS818" s="12"/>
      <c r="CT818" s="12"/>
      <c r="CU818" s="12"/>
      <c r="CV818" s="12"/>
      <c r="CW818" s="12"/>
      <c r="CX818" s="12"/>
      <c r="CY818" s="12"/>
      <c r="CZ818" s="12"/>
      <c r="DA818" s="12"/>
      <c r="DB818" s="12"/>
      <c r="DC818" s="12"/>
      <c r="DD818" s="12"/>
      <c r="DE818" s="12"/>
      <c r="DF818" s="12"/>
      <c r="DG818" s="12"/>
      <c r="DH818" s="12"/>
      <c r="DI818" s="12"/>
      <c r="DJ818" s="12"/>
      <c r="DK818" s="12"/>
      <c r="DL818" s="12"/>
      <c r="DM818" s="12"/>
      <c r="DN818" s="12"/>
      <c r="DO818" s="12"/>
      <c r="DP818" s="12"/>
      <c r="DQ818" s="12"/>
      <c r="DR818" s="12"/>
      <c r="DS818" s="12"/>
      <c r="DT818" s="12"/>
      <c r="DU818" s="12"/>
      <c r="DV818" s="12"/>
      <c r="DW818" s="12"/>
      <c r="DX818" s="12"/>
      <c r="DY818" s="12"/>
      <c r="DZ818" s="12"/>
      <c r="EA818" s="12"/>
      <c r="EB818" s="12"/>
      <c r="EC818" s="12"/>
      <c r="ED818" s="12"/>
      <c r="EE818" s="12"/>
      <c r="EF818" s="12"/>
      <c r="EG818" s="12"/>
      <c r="EH818" s="12"/>
      <c r="EI818" s="12"/>
      <c r="EJ818" s="574"/>
      <c r="EK818" s="574"/>
      <c r="EL818" s="574"/>
      <c r="EM818" s="574"/>
      <c r="EN818" s="574"/>
      <c r="EO818" s="574"/>
      <c r="EP818" s="574"/>
      <c r="EQ818" s="574"/>
      <c r="ER818" s="574"/>
      <c r="ES818" s="574"/>
      <c r="ET818" s="574"/>
      <c r="EU818" s="574"/>
    </row>
    <row r="819">
      <c r="A819" s="12"/>
      <c r="B819" s="55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  <c r="AX819" s="12"/>
      <c r="AY819" s="12"/>
      <c r="AZ819" s="12"/>
      <c r="BA819" s="12"/>
      <c r="BB819" s="12"/>
      <c r="BC819" s="12"/>
      <c r="BD819" s="12"/>
      <c r="BE819" s="12"/>
      <c r="BF819" s="12"/>
      <c r="BG819" s="12"/>
      <c r="BH819" s="12"/>
      <c r="BI819" s="12"/>
      <c r="BJ819" s="12"/>
      <c r="BK819" s="12"/>
      <c r="BL819" s="12"/>
      <c r="BM819" s="12"/>
      <c r="BN819" s="12"/>
      <c r="BO819" s="12"/>
      <c r="BP819" s="12"/>
      <c r="BQ819" s="12"/>
      <c r="BR819" s="12"/>
      <c r="BS819" s="12"/>
      <c r="BT819" s="12"/>
      <c r="BU819" s="12"/>
      <c r="BV819" s="12"/>
      <c r="BW819" s="12"/>
      <c r="BX819" s="12"/>
      <c r="BY819" s="12"/>
      <c r="BZ819" s="12"/>
      <c r="CA819" s="12"/>
      <c r="CB819" s="12"/>
      <c r="CC819" s="12"/>
      <c r="CD819" s="12"/>
      <c r="CE819" s="12"/>
      <c r="CF819" s="12"/>
      <c r="CG819" s="12"/>
      <c r="CH819" s="12"/>
      <c r="CI819" s="12"/>
      <c r="CJ819" s="12"/>
      <c r="CK819" s="12"/>
      <c r="CL819" s="12"/>
      <c r="CM819" s="12"/>
      <c r="CN819" s="12"/>
      <c r="CO819" s="12"/>
      <c r="CP819" s="12"/>
      <c r="CQ819" s="12"/>
      <c r="CR819" s="12"/>
      <c r="CS819" s="12"/>
      <c r="CT819" s="12"/>
      <c r="CU819" s="12"/>
      <c r="CV819" s="12"/>
      <c r="CW819" s="12"/>
      <c r="CX819" s="12"/>
      <c r="CY819" s="12"/>
      <c r="CZ819" s="12"/>
      <c r="DA819" s="12"/>
      <c r="DB819" s="12"/>
      <c r="DC819" s="12"/>
      <c r="DD819" s="12"/>
      <c r="DE819" s="12"/>
      <c r="DF819" s="12"/>
      <c r="DG819" s="12"/>
      <c r="DH819" s="12"/>
      <c r="DI819" s="12"/>
      <c r="DJ819" s="12"/>
      <c r="DK819" s="12"/>
      <c r="DL819" s="12"/>
      <c r="DM819" s="12"/>
      <c r="DN819" s="12"/>
      <c r="DO819" s="12"/>
      <c r="DP819" s="12"/>
      <c r="DQ819" s="12"/>
      <c r="DR819" s="12"/>
      <c r="DS819" s="12"/>
      <c r="DT819" s="12"/>
      <c r="DU819" s="12"/>
      <c r="DV819" s="12"/>
      <c r="DW819" s="12"/>
      <c r="DX819" s="12"/>
      <c r="DY819" s="12"/>
      <c r="DZ819" s="12"/>
      <c r="EA819" s="12"/>
      <c r="EB819" s="12"/>
      <c r="EC819" s="12"/>
      <c r="ED819" s="12"/>
      <c r="EE819" s="12"/>
      <c r="EF819" s="12"/>
      <c r="EG819" s="12"/>
      <c r="EH819" s="12"/>
      <c r="EI819" s="12"/>
      <c r="EJ819" s="574"/>
      <c r="EK819" s="574"/>
      <c r="EL819" s="574"/>
      <c r="EM819" s="574"/>
      <c r="EN819" s="574"/>
      <c r="EO819" s="574"/>
      <c r="EP819" s="574"/>
      <c r="EQ819" s="574"/>
      <c r="ER819" s="574"/>
      <c r="ES819" s="574"/>
      <c r="ET819" s="574"/>
      <c r="EU819" s="574"/>
    </row>
    <row r="820">
      <c r="A820" s="12"/>
      <c r="B820" s="55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  <c r="AX820" s="12"/>
      <c r="AY820" s="12"/>
      <c r="AZ820" s="12"/>
      <c r="BA820" s="12"/>
      <c r="BB820" s="12"/>
      <c r="BC820" s="12"/>
      <c r="BD820" s="12"/>
      <c r="BE820" s="12"/>
      <c r="BF820" s="12"/>
      <c r="BG820" s="12"/>
      <c r="BH820" s="12"/>
      <c r="BI820" s="12"/>
      <c r="BJ820" s="12"/>
      <c r="BK820" s="12"/>
      <c r="BL820" s="12"/>
      <c r="BM820" s="12"/>
      <c r="BN820" s="12"/>
      <c r="BO820" s="12"/>
      <c r="BP820" s="12"/>
      <c r="BQ820" s="12"/>
      <c r="BR820" s="12"/>
      <c r="BS820" s="12"/>
      <c r="BT820" s="12"/>
      <c r="BU820" s="12"/>
      <c r="BV820" s="12"/>
      <c r="BW820" s="12"/>
      <c r="BX820" s="12"/>
      <c r="BY820" s="12"/>
      <c r="BZ820" s="12"/>
      <c r="CA820" s="12"/>
      <c r="CB820" s="12"/>
      <c r="CC820" s="12"/>
      <c r="CD820" s="12"/>
      <c r="CE820" s="12"/>
      <c r="CF820" s="12"/>
      <c r="CG820" s="12"/>
      <c r="CH820" s="12"/>
      <c r="CI820" s="12"/>
      <c r="CJ820" s="12"/>
      <c r="CK820" s="12"/>
      <c r="CL820" s="12"/>
      <c r="CM820" s="12"/>
      <c r="CN820" s="12"/>
      <c r="CO820" s="12"/>
      <c r="CP820" s="12"/>
      <c r="CQ820" s="12"/>
      <c r="CR820" s="12"/>
      <c r="CS820" s="12"/>
      <c r="CT820" s="12"/>
      <c r="CU820" s="12"/>
      <c r="CV820" s="12"/>
      <c r="CW820" s="12"/>
      <c r="CX820" s="12"/>
      <c r="CY820" s="12"/>
      <c r="CZ820" s="12"/>
      <c r="DA820" s="12"/>
      <c r="DB820" s="12"/>
      <c r="DC820" s="12"/>
      <c r="DD820" s="12"/>
      <c r="DE820" s="12"/>
      <c r="DF820" s="12"/>
      <c r="DG820" s="12"/>
      <c r="DH820" s="12"/>
      <c r="DI820" s="12"/>
      <c r="DJ820" s="12"/>
      <c r="DK820" s="12"/>
      <c r="DL820" s="12"/>
      <c r="DM820" s="12"/>
      <c r="DN820" s="12"/>
      <c r="DO820" s="12"/>
      <c r="DP820" s="12"/>
      <c r="DQ820" s="12"/>
      <c r="DR820" s="12"/>
      <c r="DS820" s="12"/>
      <c r="DT820" s="12"/>
      <c r="DU820" s="12"/>
      <c r="DV820" s="12"/>
      <c r="DW820" s="12"/>
      <c r="DX820" s="12"/>
      <c r="DY820" s="12"/>
      <c r="DZ820" s="12"/>
      <c r="EA820" s="12"/>
      <c r="EB820" s="12"/>
      <c r="EC820" s="12"/>
      <c r="ED820" s="12"/>
      <c r="EE820" s="12"/>
      <c r="EF820" s="12"/>
      <c r="EG820" s="12"/>
      <c r="EH820" s="12"/>
      <c r="EI820" s="12"/>
      <c r="EJ820" s="574"/>
      <c r="EK820" s="574"/>
      <c r="EL820" s="574"/>
      <c r="EM820" s="574"/>
      <c r="EN820" s="574"/>
      <c r="EO820" s="574"/>
      <c r="EP820" s="574"/>
      <c r="EQ820" s="574"/>
      <c r="ER820" s="574"/>
      <c r="ES820" s="574"/>
      <c r="ET820" s="574"/>
      <c r="EU820" s="574"/>
    </row>
    <row r="821">
      <c r="A821" s="12"/>
      <c r="B821" s="55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  <c r="AX821" s="12"/>
      <c r="AY821" s="12"/>
      <c r="AZ821" s="12"/>
      <c r="BA821" s="12"/>
      <c r="BB821" s="12"/>
      <c r="BC821" s="12"/>
      <c r="BD821" s="12"/>
      <c r="BE821" s="12"/>
      <c r="BF821" s="12"/>
      <c r="BG821" s="12"/>
      <c r="BH821" s="12"/>
      <c r="BI821" s="12"/>
      <c r="BJ821" s="12"/>
      <c r="BK821" s="12"/>
      <c r="BL821" s="12"/>
      <c r="BM821" s="12"/>
      <c r="BN821" s="12"/>
      <c r="BO821" s="12"/>
      <c r="BP821" s="12"/>
      <c r="BQ821" s="12"/>
      <c r="BR821" s="12"/>
      <c r="BS821" s="12"/>
      <c r="BT821" s="12"/>
      <c r="BU821" s="12"/>
      <c r="BV821" s="12"/>
      <c r="BW821" s="12"/>
      <c r="BX821" s="12"/>
      <c r="BY821" s="12"/>
      <c r="BZ821" s="12"/>
      <c r="CA821" s="12"/>
      <c r="CB821" s="12"/>
      <c r="CC821" s="12"/>
      <c r="CD821" s="12"/>
      <c r="CE821" s="12"/>
      <c r="CF821" s="12"/>
      <c r="CG821" s="12"/>
      <c r="CH821" s="12"/>
      <c r="CI821" s="12"/>
      <c r="CJ821" s="12"/>
      <c r="CK821" s="12"/>
      <c r="CL821" s="12"/>
      <c r="CM821" s="12"/>
      <c r="CN821" s="12"/>
      <c r="CO821" s="12"/>
      <c r="CP821" s="12"/>
      <c r="CQ821" s="12"/>
      <c r="CR821" s="12"/>
      <c r="CS821" s="12"/>
      <c r="CT821" s="12"/>
      <c r="CU821" s="12"/>
      <c r="CV821" s="12"/>
      <c r="CW821" s="12"/>
      <c r="CX821" s="12"/>
      <c r="CY821" s="12"/>
      <c r="CZ821" s="12"/>
      <c r="DA821" s="12"/>
      <c r="DB821" s="12"/>
      <c r="DC821" s="12"/>
      <c r="DD821" s="12"/>
      <c r="DE821" s="12"/>
      <c r="DF821" s="12"/>
      <c r="DG821" s="12"/>
      <c r="DH821" s="12"/>
      <c r="DI821" s="12"/>
      <c r="DJ821" s="12"/>
      <c r="DK821" s="12"/>
      <c r="DL821" s="12"/>
      <c r="DM821" s="12"/>
      <c r="DN821" s="12"/>
      <c r="DO821" s="12"/>
      <c r="DP821" s="12"/>
      <c r="DQ821" s="12"/>
      <c r="DR821" s="12"/>
      <c r="DS821" s="12"/>
      <c r="DT821" s="12"/>
      <c r="DU821" s="12"/>
      <c r="DV821" s="12"/>
      <c r="DW821" s="12"/>
      <c r="DX821" s="12"/>
      <c r="DY821" s="12"/>
      <c r="DZ821" s="12"/>
      <c r="EA821" s="12"/>
      <c r="EB821" s="12"/>
      <c r="EC821" s="12"/>
      <c r="ED821" s="12"/>
      <c r="EE821" s="12"/>
      <c r="EF821" s="12"/>
      <c r="EG821" s="12"/>
      <c r="EH821" s="12"/>
      <c r="EI821" s="12"/>
      <c r="EJ821" s="574"/>
      <c r="EK821" s="574"/>
      <c r="EL821" s="574"/>
      <c r="EM821" s="574"/>
      <c r="EN821" s="574"/>
      <c r="EO821" s="574"/>
      <c r="EP821" s="574"/>
      <c r="EQ821" s="574"/>
      <c r="ER821" s="574"/>
      <c r="ES821" s="574"/>
      <c r="ET821" s="574"/>
      <c r="EU821" s="574"/>
    </row>
    <row r="822">
      <c r="A822" s="12"/>
      <c r="B822" s="55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  <c r="AX822" s="12"/>
      <c r="AY822" s="12"/>
      <c r="AZ822" s="12"/>
      <c r="BA822" s="12"/>
      <c r="BB822" s="12"/>
      <c r="BC822" s="12"/>
      <c r="BD822" s="12"/>
      <c r="BE822" s="12"/>
      <c r="BF822" s="12"/>
      <c r="BG822" s="12"/>
      <c r="BH822" s="12"/>
      <c r="BI822" s="12"/>
      <c r="BJ822" s="12"/>
      <c r="BK822" s="12"/>
      <c r="BL822" s="12"/>
      <c r="BM822" s="12"/>
      <c r="BN822" s="12"/>
      <c r="BO822" s="12"/>
      <c r="BP822" s="12"/>
      <c r="BQ822" s="12"/>
      <c r="BR822" s="12"/>
      <c r="BS822" s="12"/>
      <c r="BT822" s="12"/>
      <c r="BU822" s="12"/>
      <c r="BV822" s="12"/>
      <c r="BW822" s="12"/>
      <c r="BX822" s="12"/>
      <c r="BY822" s="12"/>
      <c r="BZ822" s="12"/>
      <c r="CA822" s="12"/>
      <c r="CB822" s="12"/>
      <c r="CC822" s="12"/>
      <c r="CD822" s="12"/>
      <c r="CE822" s="12"/>
      <c r="CF822" s="12"/>
      <c r="CG822" s="12"/>
      <c r="CH822" s="12"/>
      <c r="CI822" s="12"/>
      <c r="CJ822" s="12"/>
      <c r="CK822" s="12"/>
      <c r="CL822" s="12"/>
      <c r="CM822" s="12"/>
      <c r="CN822" s="12"/>
      <c r="CO822" s="12"/>
      <c r="CP822" s="12"/>
      <c r="CQ822" s="12"/>
      <c r="CR822" s="12"/>
      <c r="CS822" s="12"/>
      <c r="CT822" s="12"/>
      <c r="CU822" s="12"/>
      <c r="CV822" s="12"/>
      <c r="CW822" s="12"/>
      <c r="CX822" s="12"/>
      <c r="CY822" s="12"/>
      <c r="CZ822" s="12"/>
      <c r="DA822" s="12"/>
      <c r="DB822" s="12"/>
      <c r="DC822" s="12"/>
      <c r="DD822" s="12"/>
      <c r="DE822" s="12"/>
      <c r="DF822" s="12"/>
      <c r="DG822" s="12"/>
      <c r="DH822" s="12"/>
      <c r="DI822" s="12"/>
      <c r="DJ822" s="12"/>
      <c r="DK822" s="12"/>
      <c r="DL822" s="12"/>
      <c r="DM822" s="12"/>
      <c r="DN822" s="12"/>
      <c r="DO822" s="12"/>
      <c r="DP822" s="12"/>
      <c r="DQ822" s="12"/>
      <c r="DR822" s="12"/>
      <c r="DS822" s="12"/>
      <c r="DT822" s="12"/>
      <c r="DU822" s="12"/>
      <c r="DV822" s="12"/>
      <c r="DW822" s="12"/>
      <c r="DX822" s="12"/>
      <c r="DY822" s="12"/>
      <c r="DZ822" s="12"/>
      <c r="EA822" s="12"/>
      <c r="EB822" s="12"/>
      <c r="EC822" s="12"/>
      <c r="ED822" s="12"/>
      <c r="EE822" s="12"/>
      <c r="EF822" s="12"/>
      <c r="EG822" s="12"/>
      <c r="EH822" s="12"/>
      <c r="EI822" s="12"/>
      <c r="EJ822" s="574"/>
      <c r="EK822" s="574"/>
      <c r="EL822" s="574"/>
      <c r="EM822" s="574"/>
      <c r="EN822" s="574"/>
      <c r="EO822" s="574"/>
      <c r="EP822" s="574"/>
      <c r="EQ822" s="574"/>
      <c r="ER822" s="574"/>
      <c r="ES822" s="574"/>
      <c r="ET822" s="574"/>
      <c r="EU822" s="574"/>
    </row>
    <row r="823">
      <c r="A823" s="12"/>
      <c r="B823" s="55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  <c r="AX823" s="12"/>
      <c r="AY823" s="12"/>
      <c r="AZ823" s="12"/>
      <c r="BA823" s="12"/>
      <c r="BB823" s="12"/>
      <c r="BC823" s="12"/>
      <c r="BD823" s="12"/>
      <c r="BE823" s="12"/>
      <c r="BF823" s="12"/>
      <c r="BG823" s="12"/>
      <c r="BH823" s="12"/>
      <c r="BI823" s="12"/>
      <c r="BJ823" s="12"/>
      <c r="BK823" s="12"/>
      <c r="BL823" s="12"/>
      <c r="BM823" s="12"/>
      <c r="BN823" s="12"/>
      <c r="BO823" s="12"/>
      <c r="BP823" s="12"/>
      <c r="BQ823" s="12"/>
      <c r="BR823" s="12"/>
      <c r="BS823" s="12"/>
      <c r="BT823" s="12"/>
      <c r="BU823" s="12"/>
      <c r="BV823" s="12"/>
      <c r="BW823" s="12"/>
      <c r="BX823" s="12"/>
      <c r="BY823" s="12"/>
      <c r="BZ823" s="12"/>
      <c r="CA823" s="12"/>
      <c r="CB823" s="12"/>
      <c r="CC823" s="12"/>
      <c r="CD823" s="12"/>
      <c r="CE823" s="12"/>
      <c r="CF823" s="12"/>
      <c r="CG823" s="12"/>
      <c r="CH823" s="12"/>
      <c r="CI823" s="12"/>
      <c r="CJ823" s="12"/>
      <c r="CK823" s="12"/>
      <c r="CL823" s="12"/>
      <c r="CM823" s="12"/>
      <c r="CN823" s="12"/>
      <c r="CO823" s="12"/>
      <c r="CP823" s="12"/>
      <c r="CQ823" s="12"/>
      <c r="CR823" s="12"/>
      <c r="CS823" s="12"/>
      <c r="CT823" s="12"/>
      <c r="CU823" s="12"/>
      <c r="CV823" s="12"/>
      <c r="CW823" s="12"/>
      <c r="CX823" s="12"/>
      <c r="CY823" s="12"/>
      <c r="CZ823" s="12"/>
      <c r="DA823" s="12"/>
      <c r="DB823" s="12"/>
      <c r="DC823" s="12"/>
      <c r="DD823" s="12"/>
      <c r="DE823" s="12"/>
      <c r="DF823" s="12"/>
      <c r="DG823" s="12"/>
      <c r="DH823" s="12"/>
      <c r="DI823" s="12"/>
      <c r="DJ823" s="12"/>
      <c r="DK823" s="12"/>
      <c r="DL823" s="12"/>
      <c r="DM823" s="12"/>
      <c r="DN823" s="12"/>
      <c r="DO823" s="12"/>
      <c r="DP823" s="12"/>
      <c r="DQ823" s="12"/>
      <c r="DR823" s="12"/>
      <c r="DS823" s="12"/>
      <c r="DT823" s="12"/>
      <c r="DU823" s="12"/>
      <c r="DV823" s="12"/>
      <c r="DW823" s="12"/>
      <c r="DX823" s="12"/>
      <c r="DY823" s="12"/>
      <c r="DZ823" s="12"/>
      <c r="EA823" s="12"/>
      <c r="EB823" s="12"/>
      <c r="EC823" s="12"/>
      <c r="ED823" s="12"/>
      <c r="EE823" s="12"/>
      <c r="EF823" s="12"/>
      <c r="EG823" s="12"/>
      <c r="EH823" s="12"/>
      <c r="EI823" s="12"/>
      <c r="EJ823" s="574"/>
      <c r="EK823" s="574"/>
      <c r="EL823" s="574"/>
      <c r="EM823" s="574"/>
      <c r="EN823" s="574"/>
      <c r="EO823" s="574"/>
      <c r="EP823" s="574"/>
      <c r="EQ823" s="574"/>
      <c r="ER823" s="574"/>
      <c r="ES823" s="574"/>
      <c r="ET823" s="574"/>
      <c r="EU823" s="574"/>
    </row>
    <row r="824">
      <c r="A824" s="12"/>
      <c r="B824" s="55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  <c r="AX824" s="12"/>
      <c r="AY824" s="12"/>
      <c r="AZ824" s="12"/>
      <c r="BA824" s="12"/>
      <c r="BB824" s="12"/>
      <c r="BC824" s="12"/>
      <c r="BD824" s="12"/>
      <c r="BE824" s="12"/>
      <c r="BF824" s="12"/>
      <c r="BG824" s="12"/>
      <c r="BH824" s="12"/>
      <c r="BI824" s="12"/>
      <c r="BJ824" s="12"/>
      <c r="BK824" s="12"/>
      <c r="BL824" s="12"/>
      <c r="BM824" s="12"/>
      <c r="BN824" s="12"/>
      <c r="BO824" s="12"/>
      <c r="BP824" s="12"/>
      <c r="BQ824" s="12"/>
      <c r="BR824" s="12"/>
      <c r="BS824" s="12"/>
      <c r="BT824" s="12"/>
      <c r="BU824" s="12"/>
      <c r="BV824" s="12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574"/>
      <c r="EK824" s="574"/>
      <c r="EL824" s="574"/>
      <c r="EM824" s="574"/>
      <c r="EN824" s="574"/>
      <c r="EO824" s="574"/>
      <c r="EP824" s="574"/>
      <c r="EQ824" s="574"/>
      <c r="ER824" s="574"/>
      <c r="ES824" s="574"/>
      <c r="ET824" s="574"/>
      <c r="EU824" s="574"/>
    </row>
    <row r="825">
      <c r="A825" s="12"/>
      <c r="B825" s="55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  <c r="AX825" s="12"/>
      <c r="AY825" s="12"/>
      <c r="AZ825" s="12"/>
      <c r="BA825" s="12"/>
      <c r="BB825" s="12"/>
      <c r="BC825" s="12"/>
      <c r="BD825" s="12"/>
      <c r="BE825" s="12"/>
      <c r="BF825" s="12"/>
      <c r="BG825" s="12"/>
      <c r="BH825" s="12"/>
      <c r="BI825" s="12"/>
      <c r="BJ825" s="12"/>
      <c r="BK825" s="12"/>
      <c r="BL825" s="12"/>
      <c r="BM825" s="12"/>
      <c r="BN825" s="12"/>
      <c r="BO825" s="12"/>
      <c r="BP825" s="12"/>
      <c r="BQ825" s="12"/>
      <c r="BR825" s="12"/>
      <c r="BS825" s="12"/>
      <c r="BT825" s="12"/>
      <c r="BU825" s="12"/>
      <c r="BV825" s="12"/>
      <c r="BW825" s="12"/>
      <c r="BX825" s="12"/>
      <c r="BY825" s="12"/>
      <c r="BZ825" s="12"/>
      <c r="CA825" s="12"/>
      <c r="CB825" s="12"/>
      <c r="CC825" s="12"/>
      <c r="CD825" s="12"/>
      <c r="CE825" s="12"/>
      <c r="CF825" s="12"/>
      <c r="CG825" s="12"/>
      <c r="CH825" s="12"/>
      <c r="CI825" s="12"/>
      <c r="CJ825" s="12"/>
      <c r="CK825" s="12"/>
      <c r="CL825" s="12"/>
      <c r="CM825" s="12"/>
      <c r="CN825" s="12"/>
      <c r="CO825" s="12"/>
      <c r="CP825" s="12"/>
      <c r="CQ825" s="12"/>
      <c r="CR825" s="12"/>
      <c r="CS825" s="12"/>
      <c r="CT825" s="12"/>
      <c r="CU825" s="12"/>
      <c r="CV825" s="12"/>
      <c r="CW825" s="12"/>
      <c r="CX825" s="12"/>
      <c r="CY825" s="12"/>
      <c r="CZ825" s="12"/>
      <c r="DA825" s="12"/>
      <c r="DB825" s="12"/>
      <c r="DC825" s="12"/>
      <c r="DD825" s="12"/>
      <c r="DE825" s="12"/>
      <c r="DF825" s="12"/>
      <c r="DG825" s="12"/>
      <c r="DH825" s="12"/>
      <c r="DI825" s="12"/>
      <c r="DJ825" s="12"/>
      <c r="DK825" s="12"/>
      <c r="DL825" s="12"/>
      <c r="DM825" s="12"/>
      <c r="DN825" s="12"/>
      <c r="DO825" s="12"/>
      <c r="DP825" s="12"/>
      <c r="DQ825" s="12"/>
      <c r="DR825" s="12"/>
      <c r="DS825" s="12"/>
      <c r="DT825" s="12"/>
      <c r="DU825" s="12"/>
      <c r="DV825" s="12"/>
      <c r="DW825" s="12"/>
      <c r="DX825" s="12"/>
      <c r="DY825" s="12"/>
      <c r="DZ825" s="12"/>
      <c r="EA825" s="12"/>
      <c r="EB825" s="12"/>
      <c r="EC825" s="12"/>
      <c r="ED825" s="12"/>
      <c r="EE825" s="12"/>
      <c r="EF825" s="12"/>
      <c r="EG825" s="12"/>
      <c r="EH825" s="12"/>
      <c r="EI825" s="12"/>
      <c r="EJ825" s="574"/>
      <c r="EK825" s="574"/>
      <c r="EL825" s="574"/>
      <c r="EM825" s="574"/>
      <c r="EN825" s="574"/>
      <c r="EO825" s="574"/>
      <c r="EP825" s="574"/>
      <c r="EQ825" s="574"/>
      <c r="ER825" s="574"/>
      <c r="ES825" s="574"/>
      <c r="ET825" s="574"/>
      <c r="EU825" s="574"/>
    </row>
    <row r="826">
      <c r="A826" s="12"/>
      <c r="B826" s="55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  <c r="AX826" s="12"/>
      <c r="AY826" s="12"/>
      <c r="AZ826" s="12"/>
      <c r="BA826" s="12"/>
      <c r="BB826" s="12"/>
      <c r="BC826" s="12"/>
      <c r="BD826" s="12"/>
      <c r="BE826" s="12"/>
      <c r="BF826" s="12"/>
      <c r="BG826" s="12"/>
      <c r="BH826" s="12"/>
      <c r="BI826" s="12"/>
      <c r="BJ826" s="12"/>
      <c r="BK826" s="12"/>
      <c r="BL826" s="12"/>
      <c r="BM826" s="12"/>
      <c r="BN826" s="12"/>
      <c r="BO826" s="12"/>
      <c r="BP826" s="12"/>
      <c r="BQ826" s="12"/>
      <c r="BR826" s="12"/>
      <c r="BS826" s="12"/>
      <c r="BT826" s="12"/>
      <c r="BU826" s="12"/>
      <c r="BV826" s="12"/>
      <c r="BW826" s="12"/>
      <c r="BX826" s="12"/>
      <c r="BY826" s="12"/>
      <c r="BZ826" s="12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574"/>
      <c r="EK826" s="574"/>
      <c r="EL826" s="574"/>
      <c r="EM826" s="574"/>
      <c r="EN826" s="574"/>
      <c r="EO826" s="574"/>
      <c r="EP826" s="574"/>
      <c r="EQ826" s="574"/>
      <c r="ER826" s="574"/>
      <c r="ES826" s="574"/>
      <c r="ET826" s="574"/>
      <c r="EU826" s="574"/>
    </row>
    <row r="827">
      <c r="A827" s="12"/>
      <c r="B827" s="55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12"/>
      <c r="AY827" s="12"/>
      <c r="AZ827" s="12"/>
      <c r="BA827" s="12"/>
      <c r="BB827" s="12"/>
      <c r="BC827" s="12"/>
      <c r="BD827" s="12"/>
      <c r="BE827" s="12"/>
      <c r="BF827" s="12"/>
      <c r="BG827" s="12"/>
      <c r="BH827" s="12"/>
      <c r="BI827" s="12"/>
      <c r="BJ827" s="12"/>
      <c r="BK827" s="12"/>
      <c r="BL827" s="12"/>
      <c r="BM827" s="12"/>
      <c r="BN827" s="12"/>
      <c r="BO827" s="12"/>
      <c r="BP827" s="12"/>
      <c r="BQ827" s="12"/>
      <c r="BR827" s="12"/>
      <c r="BS827" s="12"/>
      <c r="BT827" s="12"/>
      <c r="BU827" s="12"/>
      <c r="BV827" s="12"/>
      <c r="BW827" s="12"/>
      <c r="BX827" s="12"/>
      <c r="BY827" s="12"/>
      <c r="BZ827" s="12"/>
      <c r="CA827" s="12"/>
      <c r="CB827" s="12"/>
      <c r="CC827" s="12"/>
      <c r="CD827" s="12"/>
      <c r="CE827" s="12"/>
      <c r="CF827" s="12"/>
      <c r="CG827" s="12"/>
      <c r="CH827" s="12"/>
      <c r="CI827" s="12"/>
      <c r="CJ827" s="12"/>
      <c r="CK827" s="12"/>
      <c r="CL827" s="12"/>
      <c r="CM827" s="12"/>
      <c r="CN827" s="12"/>
      <c r="CO827" s="12"/>
      <c r="CP827" s="12"/>
      <c r="CQ827" s="12"/>
      <c r="CR827" s="12"/>
      <c r="CS827" s="12"/>
      <c r="CT827" s="12"/>
      <c r="CU827" s="12"/>
      <c r="CV827" s="12"/>
      <c r="CW827" s="12"/>
      <c r="CX827" s="12"/>
      <c r="CY827" s="12"/>
      <c r="CZ827" s="12"/>
      <c r="DA827" s="12"/>
      <c r="DB827" s="12"/>
      <c r="DC827" s="12"/>
      <c r="DD827" s="12"/>
      <c r="DE827" s="12"/>
      <c r="DF827" s="12"/>
      <c r="DG827" s="12"/>
      <c r="DH827" s="12"/>
      <c r="DI827" s="12"/>
      <c r="DJ827" s="12"/>
      <c r="DK827" s="12"/>
      <c r="DL827" s="12"/>
      <c r="DM827" s="12"/>
      <c r="DN827" s="12"/>
      <c r="DO827" s="12"/>
      <c r="DP827" s="12"/>
      <c r="DQ827" s="12"/>
      <c r="DR827" s="12"/>
      <c r="DS827" s="12"/>
      <c r="DT827" s="12"/>
      <c r="DU827" s="12"/>
      <c r="DV827" s="12"/>
      <c r="DW827" s="12"/>
      <c r="DX827" s="12"/>
      <c r="DY827" s="12"/>
      <c r="DZ827" s="12"/>
      <c r="EA827" s="12"/>
      <c r="EB827" s="12"/>
      <c r="EC827" s="12"/>
      <c r="ED827" s="12"/>
      <c r="EE827" s="12"/>
      <c r="EF827" s="12"/>
      <c r="EG827" s="12"/>
      <c r="EH827" s="12"/>
      <c r="EI827" s="12"/>
      <c r="EJ827" s="574"/>
      <c r="EK827" s="574"/>
      <c r="EL827" s="574"/>
      <c r="EM827" s="574"/>
      <c r="EN827" s="574"/>
      <c r="EO827" s="574"/>
      <c r="EP827" s="574"/>
      <c r="EQ827" s="574"/>
      <c r="ER827" s="574"/>
      <c r="ES827" s="574"/>
      <c r="ET827" s="574"/>
      <c r="EU827" s="574"/>
    </row>
    <row r="828">
      <c r="A828" s="12"/>
      <c r="B828" s="55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  <c r="AX828" s="12"/>
      <c r="AY828" s="12"/>
      <c r="AZ828" s="12"/>
      <c r="BA828" s="12"/>
      <c r="BB828" s="12"/>
      <c r="BC828" s="12"/>
      <c r="BD828" s="12"/>
      <c r="BE828" s="12"/>
      <c r="BF828" s="12"/>
      <c r="BG828" s="12"/>
      <c r="BH828" s="12"/>
      <c r="BI828" s="12"/>
      <c r="BJ828" s="12"/>
      <c r="BK828" s="12"/>
      <c r="BL828" s="12"/>
      <c r="BM828" s="12"/>
      <c r="BN828" s="12"/>
      <c r="BO828" s="12"/>
      <c r="BP828" s="12"/>
      <c r="BQ828" s="12"/>
      <c r="BR828" s="12"/>
      <c r="BS828" s="12"/>
      <c r="BT828" s="12"/>
      <c r="BU828" s="12"/>
      <c r="BV828" s="12"/>
      <c r="BW828" s="12"/>
      <c r="BX828" s="12"/>
      <c r="BY828" s="12"/>
      <c r="BZ828" s="12"/>
      <c r="CA828" s="12"/>
      <c r="CB828" s="12"/>
      <c r="CC828" s="12"/>
      <c r="CD828" s="12"/>
      <c r="CE828" s="12"/>
      <c r="CF828" s="12"/>
      <c r="CG828" s="12"/>
      <c r="CH828" s="12"/>
      <c r="CI828" s="12"/>
      <c r="CJ828" s="12"/>
      <c r="CK828" s="12"/>
      <c r="CL828" s="12"/>
      <c r="CM828" s="12"/>
      <c r="CN828" s="12"/>
      <c r="CO828" s="12"/>
      <c r="CP828" s="12"/>
      <c r="CQ828" s="12"/>
      <c r="CR828" s="12"/>
      <c r="CS828" s="12"/>
      <c r="CT828" s="12"/>
      <c r="CU828" s="12"/>
      <c r="CV828" s="12"/>
      <c r="CW828" s="12"/>
      <c r="CX828" s="12"/>
      <c r="CY828" s="12"/>
      <c r="CZ828" s="12"/>
      <c r="DA828" s="12"/>
      <c r="DB828" s="12"/>
      <c r="DC828" s="12"/>
      <c r="DD828" s="12"/>
      <c r="DE828" s="12"/>
      <c r="DF828" s="12"/>
      <c r="DG828" s="12"/>
      <c r="DH828" s="12"/>
      <c r="DI828" s="12"/>
      <c r="DJ828" s="12"/>
      <c r="DK828" s="12"/>
      <c r="DL828" s="12"/>
      <c r="DM828" s="12"/>
      <c r="DN828" s="12"/>
      <c r="DO828" s="12"/>
      <c r="DP828" s="12"/>
      <c r="DQ828" s="12"/>
      <c r="DR828" s="12"/>
      <c r="DS828" s="12"/>
      <c r="DT828" s="12"/>
      <c r="DU828" s="12"/>
      <c r="DV828" s="12"/>
      <c r="DW828" s="12"/>
      <c r="DX828" s="12"/>
      <c r="DY828" s="12"/>
      <c r="DZ828" s="12"/>
      <c r="EA828" s="12"/>
      <c r="EB828" s="12"/>
      <c r="EC828" s="12"/>
      <c r="ED828" s="12"/>
      <c r="EE828" s="12"/>
      <c r="EF828" s="12"/>
      <c r="EG828" s="12"/>
      <c r="EH828" s="12"/>
      <c r="EI828" s="12"/>
      <c r="EJ828" s="574"/>
      <c r="EK828" s="574"/>
      <c r="EL828" s="574"/>
      <c r="EM828" s="574"/>
      <c r="EN828" s="574"/>
      <c r="EO828" s="574"/>
      <c r="EP828" s="574"/>
      <c r="EQ828" s="574"/>
      <c r="ER828" s="574"/>
      <c r="ES828" s="574"/>
      <c r="ET828" s="574"/>
      <c r="EU828" s="574"/>
    </row>
    <row r="829">
      <c r="A829" s="12"/>
      <c r="B829" s="55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  <c r="AX829" s="12"/>
      <c r="AY829" s="12"/>
      <c r="AZ829" s="12"/>
      <c r="BA829" s="12"/>
      <c r="BB829" s="12"/>
      <c r="BC829" s="12"/>
      <c r="BD829" s="12"/>
      <c r="BE829" s="12"/>
      <c r="BF829" s="12"/>
      <c r="BG829" s="12"/>
      <c r="BH829" s="12"/>
      <c r="BI829" s="12"/>
      <c r="BJ829" s="12"/>
      <c r="BK829" s="12"/>
      <c r="BL829" s="12"/>
      <c r="BM829" s="12"/>
      <c r="BN829" s="12"/>
      <c r="BO829" s="12"/>
      <c r="BP829" s="12"/>
      <c r="BQ829" s="12"/>
      <c r="BR829" s="12"/>
      <c r="BS829" s="12"/>
      <c r="BT829" s="12"/>
      <c r="BU829" s="12"/>
      <c r="BV829" s="12"/>
      <c r="BW829" s="12"/>
      <c r="BX829" s="12"/>
      <c r="BY829" s="12"/>
      <c r="BZ829" s="12"/>
      <c r="CA829" s="12"/>
      <c r="CB829" s="12"/>
      <c r="CC829" s="12"/>
      <c r="CD829" s="12"/>
      <c r="CE829" s="12"/>
      <c r="CF829" s="12"/>
      <c r="CG829" s="12"/>
      <c r="CH829" s="12"/>
      <c r="CI829" s="12"/>
      <c r="CJ829" s="12"/>
      <c r="CK829" s="12"/>
      <c r="CL829" s="12"/>
      <c r="CM829" s="12"/>
      <c r="CN829" s="12"/>
      <c r="CO829" s="12"/>
      <c r="CP829" s="12"/>
      <c r="CQ829" s="12"/>
      <c r="CR829" s="12"/>
      <c r="CS829" s="12"/>
      <c r="CT829" s="12"/>
      <c r="CU829" s="12"/>
      <c r="CV829" s="12"/>
      <c r="CW829" s="12"/>
      <c r="CX829" s="12"/>
      <c r="CY829" s="12"/>
      <c r="CZ829" s="12"/>
      <c r="DA829" s="12"/>
      <c r="DB829" s="12"/>
      <c r="DC829" s="12"/>
      <c r="DD829" s="12"/>
      <c r="DE829" s="12"/>
      <c r="DF829" s="12"/>
      <c r="DG829" s="12"/>
      <c r="DH829" s="12"/>
      <c r="DI829" s="12"/>
      <c r="DJ829" s="12"/>
      <c r="DK829" s="12"/>
      <c r="DL829" s="12"/>
      <c r="DM829" s="12"/>
      <c r="DN829" s="12"/>
      <c r="DO829" s="12"/>
      <c r="DP829" s="12"/>
      <c r="DQ829" s="12"/>
      <c r="DR829" s="12"/>
      <c r="DS829" s="12"/>
      <c r="DT829" s="12"/>
      <c r="DU829" s="12"/>
      <c r="DV829" s="12"/>
      <c r="DW829" s="12"/>
      <c r="DX829" s="12"/>
      <c r="DY829" s="12"/>
      <c r="DZ829" s="12"/>
      <c r="EA829" s="12"/>
      <c r="EB829" s="12"/>
      <c r="EC829" s="12"/>
      <c r="ED829" s="12"/>
      <c r="EE829" s="12"/>
      <c r="EF829" s="12"/>
      <c r="EG829" s="12"/>
      <c r="EH829" s="12"/>
      <c r="EI829" s="12"/>
      <c r="EJ829" s="574"/>
      <c r="EK829" s="574"/>
      <c r="EL829" s="574"/>
      <c r="EM829" s="574"/>
      <c r="EN829" s="574"/>
      <c r="EO829" s="574"/>
      <c r="EP829" s="574"/>
      <c r="EQ829" s="574"/>
      <c r="ER829" s="574"/>
      <c r="ES829" s="574"/>
      <c r="ET829" s="574"/>
      <c r="EU829" s="574"/>
    </row>
    <row r="830">
      <c r="A830" s="12"/>
      <c r="B830" s="55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  <c r="AX830" s="12"/>
      <c r="AY830" s="12"/>
      <c r="AZ830" s="12"/>
      <c r="BA830" s="12"/>
      <c r="BB830" s="12"/>
      <c r="BC830" s="12"/>
      <c r="BD830" s="12"/>
      <c r="BE830" s="12"/>
      <c r="BF830" s="12"/>
      <c r="BG830" s="12"/>
      <c r="BH830" s="12"/>
      <c r="BI830" s="12"/>
      <c r="BJ830" s="12"/>
      <c r="BK830" s="12"/>
      <c r="BL830" s="12"/>
      <c r="BM830" s="12"/>
      <c r="BN830" s="12"/>
      <c r="BO830" s="12"/>
      <c r="BP830" s="12"/>
      <c r="BQ830" s="12"/>
      <c r="BR830" s="12"/>
      <c r="BS830" s="12"/>
      <c r="BT830" s="12"/>
      <c r="BU830" s="12"/>
      <c r="BV830" s="12"/>
      <c r="BW830" s="12"/>
      <c r="BX830" s="12"/>
      <c r="BY830" s="12"/>
      <c r="BZ830" s="12"/>
      <c r="CA830" s="12"/>
      <c r="CB830" s="12"/>
      <c r="CC830" s="12"/>
      <c r="CD830" s="12"/>
      <c r="CE830" s="12"/>
      <c r="CF830" s="12"/>
      <c r="CG830" s="12"/>
      <c r="CH830" s="12"/>
      <c r="CI830" s="12"/>
      <c r="CJ830" s="12"/>
      <c r="CK830" s="12"/>
      <c r="CL830" s="12"/>
      <c r="CM830" s="12"/>
      <c r="CN830" s="12"/>
      <c r="CO830" s="12"/>
      <c r="CP830" s="12"/>
      <c r="CQ830" s="12"/>
      <c r="CR830" s="12"/>
      <c r="CS830" s="12"/>
      <c r="CT830" s="12"/>
      <c r="CU830" s="12"/>
      <c r="CV830" s="12"/>
      <c r="CW830" s="12"/>
      <c r="CX830" s="12"/>
      <c r="CY830" s="12"/>
      <c r="CZ830" s="12"/>
      <c r="DA830" s="12"/>
      <c r="DB830" s="12"/>
      <c r="DC830" s="12"/>
      <c r="DD830" s="12"/>
      <c r="DE830" s="12"/>
      <c r="DF830" s="12"/>
      <c r="DG830" s="12"/>
      <c r="DH830" s="12"/>
      <c r="DI830" s="12"/>
      <c r="DJ830" s="12"/>
      <c r="DK830" s="12"/>
      <c r="DL830" s="12"/>
      <c r="DM830" s="12"/>
      <c r="DN830" s="12"/>
      <c r="DO830" s="12"/>
      <c r="DP830" s="12"/>
      <c r="DQ830" s="12"/>
      <c r="DR830" s="12"/>
      <c r="DS830" s="12"/>
      <c r="DT830" s="12"/>
      <c r="DU830" s="12"/>
      <c r="DV830" s="12"/>
      <c r="DW830" s="12"/>
      <c r="DX830" s="12"/>
      <c r="DY830" s="12"/>
      <c r="DZ830" s="12"/>
      <c r="EA830" s="12"/>
      <c r="EB830" s="12"/>
      <c r="EC830" s="12"/>
      <c r="ED830" s="12"/>
      <c r="EE830" s="12"/>
      <c r="EF830" s="12"/>
      <c r="EG830" s="12"/>
      <c r="EH830" s="12"/>
      <c r="EI830" s="12"/>
      <c r="EJ830" s="574"/>
      <c r="EK830" s="574"/>
      <c r="EL830" s="574"/>
      <c r="EM830" s="574"/>
      <c r="EN830" s="574"/>
      <c r="EO830" s="574"/>
      <c r="EP830" s="574"/>
      <c r="EQ830" s="574"/>
      <c r="ER830" s="574"/>
      <c r="ES830" s="574"/>
      <c r="ET830" s="574"/>
      <c r="EU830" s="574"/>
    </row>
    <row r="831">
      <c r="A831" s="12"/>
      <c r="B831" s="55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  <c r="AX831" s="12"/>
      <c r="AY831" s="12"/>
      <c r="AZ831" s="12"/>
      <c r="BA831" s="12"/>
      <c r="BB831" s="12"/>
      <c r="BC831" s="12"/>
      <c r="BD831" s="12"/>
      <c r="BE831" s="12"/>
      <c r="BF831" s="12"/>
      <c r="BG831" s="12"/>
      <c r="BH831" s="12"/>
      <c r="BI831" s="12"/>
      <c r="BJ831" s="12"/>
      <c r="BK831" s="12"/>
      <c r="BL831" s="12"/>
      <c r="BM831" s="12"/>
      <c r="BN831" s="12"/>
      <c r="BO831" s="12"/>
      <c r="BP831" s="12"/>
      <c r="BQ831" s="12"/>
      <c r="BR831" s="12"/>
      <c r="BS831" s="12"/>
      <c r="BT831" s="12"/>
      <c r="BU831" s="12"/>
      <c r="BV831" s="12"/>
      <c r="BW831" s="12"/>
      <c r="BX831" s="12"/>
      <c r="BY831" s="12"/>
      <c r="BZ831" s="12"/>
      <c r="CA831" s="12"/>
      <c r="CB831" s="12"/>
      <c r="CC831" s="12"/>
      <c r="CD831" s="12"/>
      <c r="CE831" s="12"/>
      <c r="CF831" s="12"/>
      <c r="CG831" s="12"/>
      <c r="CH831" s="12"/>
      <c r="CI831" s="12"/>
      <c r="CJ831" s="12"/>
      <c r="CK831" s="12"/>
      <c r="CL831" s="12"/>
      <c r="CM831" s="12"/>
      <c r="CN831" s="12"/>
      <c r="CO831" s="12"/>
      <c r="CP831" s="12"/>
      <c r="CQ831" s="12"/>
      <c r="CR831" s="12"/>
      <c r="CS831" s="12"/>
      <c r="CT831" s="12"/>
      <c r="CU831" s="12"/>
      <c r="CV831" s="12"/>
      <c r="CW831" s="12"/>
      <c r="CX831" s="12"/>
      <c r="CY831" s="12"/>
      <c r="CZ831" s="12"/>
      <c r="DA831" s="12"/>
      <c r="DB831" s="12"/>
      <c r="DC831" s="12"/>
      <c r="DD831" s="12"/>
      <c r="DE831" s="12"/>
      <c r="DF831" s="12"/>
      <c r="DG831" s="12"/>
      <c r="DH831" s="12"/>
      <c r="DI831" s="12"/>
      <c r="DJ831" s="12"/>
      <c r="DK831" s="12"/>
      <c r="DL831" s="12"/>
      <c r="DM831" s="12"/>
      <c r="DN831" s="12"/>
      <c r="DO831" s="12"/>
      <c r="DP831" s="12"/>
      <c r="DQ831" s="12"/>
      <c r="DR831" s="12"/>
      <c r="DS831" s="12"/>
      <c r="DT831" s="12"/>
      <c r="DU831" s="12"/>
      <c r="DV831" s="12"/>
      <c r="DW831" s="12"/>
      <c r="DX831" s="12"/>
      <c r="DY831" s="12"/>
      <c r="DZ831" s="12"/>
      <c r="EA831" s="12"/>
      <c r="EB831" s="12"/>
      <c r="EC831" s="12"/>
      <c r="ED831" s="12"/>
      <c r="EE831" s="12"/>
      <c r="EF831" s="12"/>
      <c r="EG831" s="12"/>
      <c r="EH831" s="12"/>
      <c r="EI831" s="12"/>
      <c r="EJ831" s="574"/>
      <c r="EK831" s="574"/>
      <c r="EL831" s="574"/>
      <c r="EM831" s="574"/>
      <c r="EN831" s="574"/>
      <c r="EO831" s="574"/>
      <c r="EP831" s="574"/>
      <c r="EQ831" s="574"/>
      <c r="ER831" s="574"/>
      <c r="ES831" s="574"/>
      <c r="ET831" s="574"/>
      <c r="EU831" s="574"/>
    </row>
    <row r="832">
      <c r="A832" s="12"/>
      <c r="B832" s="55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  <c r="AX832" s="12"/>
      <c r="AY832" s="12"/>
      <c r="AZ832" s="12"/>
      <c r="BA832" s="12"/>
      <c r="BB832" s="12"/>
      <c r="BC832" s="12"/>
      <c r="BD832" s="12"/>
      <c r="BE832" s="12"/>
      <c r="BF832" s="12"/>
      <c r="BG832" s="12"/>
      <c r="BH832" s="12"/>
      <c r="BI832" s="12"/>
      <c r="BJ832" s="12"/>
      <c r="BK832" s="12"/>
      <c r="BL832" s="12"/>
      <c r="BM832" s="12"/>
      <c r="BN832" s="12"/>
      <c r="BO832" s="12"/>
      <c r="BP832" s="12"/>
      <c r="BQ832" s="12"/>
      <c r="BR832" s="12"/>
      <c r="BS832" s="12"/>
      <c r="BT832" s="12"/>
      <c r="BU832" s="12"/>
      <c r="BV832" s="12"/>
      <c r="BW832" s="12"/>
      <c r="BX832" s="12"/>
      <c r="BY832" s="12"/>
      <c r="BZ832" s="12"/>
      <c r="CA832" s="12"/>
      <c r="CB832" s="12"/>
      <c r="CC832" s="12"/>
      <c r="CD832" s="12"/>
      <c r="CE832" s="12"/>
      <c r="CF832" s="12"/>
      <c r="CG832" s="12"/>
      <c r="CH832" s="12"/>
      <c r="CI832" s="12"/>
      <c r="CJ832" s="12"/>
      <c r="CK832" s="12"/>
      <c r="CL832" s="12"/>
      <c r="CM832" s="12"/>
      <c r="CN832" s="12"/>
      <c r="CO832" s="12"/>
      <c r="CP832" s="12"/>
      <c r="CQ832" s="12"/>
      <c r="CR832" s="12"/>
      <c r="CS832" s="12"/>
      <c r="CT832" s="12"/>
      <c r="CU832" s="12"/>
      <c r="CV832" s="12"/>
      <c r="CW832" s="12"/>
      <c r="CX832" s="12"/>
      <c r="CY832" s="12"/>
      <c r="CZ832" s="12"/>
      <c r="DA832" s="12"/>
      <c r="DB832" s="12"/>
      <c r="DC832" s="12"/>
      <c r="DD832" s="12"/>
      <c r="DE832" s="12"/>
      <c r="DF832" s="12"/>
      <c r="DG832" s="12"/>
      <c r="DH832" s="12"/>
      <c r="DI832" s="12"/>
      <c r="DJ832" s="12"/>
      <c r="DK832" s="12"/>
      <c r="DL832" s="12"/>
      <c r="DM832" s="12"/>
      <c r="DN832" s="12"/>
      <c r="DO832" s="12"/>
      <c r="DP832" s="12"/>
      <c r="DQ832" s="12"/>
      <c r="DR832" s="12"/>
      <c r="DS832" s="12"/>
      <c r="DT832" s="12"/>
      <c r="DU832" s="12"/>
      <c r="DV832" s="12"/>
      <c r="DW832" s="12"/>
      <c r="DX832" s="12"/>
      <c r="DY832" s="12"/>
      <c r="DZ832" s="12"/>
      <c r="EA832" s="12"/>
      <c r="EB832" s="12"/>
      <c r="EC832" s="12"/>
      <c r="ED832" s="12"/>
      <c r="EE832" s="12"/>
      <c r="EF832" s="12"/>
      <c r="EG832" s="12"/>
      <c r="EH832" s="12"/>
      <c r="EI832" s="12"/>
      <c r="EJ832" s="574"/>
      <c r="EK832" s="574"/>
      <c r="EL832" s="574"/>
      <c r="EM832" s="574"/>
      <c r="EN832" s="574"/>
      <c r="EO832" s="574"/>
      <c r="EP832" s="574"/>
      <c r="EQ832" s="574"/>
      <c r="ER832" s="574"/>
      <c r="ES832" s="574"/>
      <c r="ET832" s="574"/>
      <c r="EU832" s="574"/>
    </row>
    <row r="833">
      <c r="A833" s="12"/>
      <c r="B833" s="55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  <c r="AX833" s="12"/>
      <c r="AY833" s="12"/>
      <c r="AZ833" s="12"/>
      <c r="BA833" s="12"/>
      <c r="BB833" s="12"/>
      <c r="BC833" s="12"/>
      <c r="BD833" s="12"/>
      <c r="BE833" s="12"/>
      <c r="BF833" s="12"/>
      <c r="BG833" s="12"/>
      <c r="BH833" s="12"/>
      <c r="BI833" s="12"/>
      <c r="BJ833" s="12"/>
      <c r="BK833" s="12"/>
      <c r="BL833" s="12"/>
      <c r="BM833" s="12"/>
      <c r="BN833" s="12"/>
      <c r="BO833" s="12"/>
      <c r="BP833" s="12"/>
      <c r="BQ833" s="12"/>
      <c r="BR833" s="12"/>
      <c r="BS833" s="12"/>
      <c r="BT833" s="12"/>
      <c r="BU833" s="12"/>
      <c r="BV833" s="12"/>
      <c r="BW833" s="12"/>
      <c r="BX833" s="12"/>
      <c r="BY833" s="12"/>
      <c r="BZ833" s="12"/>
      <c r="CA833" s="12"/>
      <c r="CB833" s="12"/>
      <c r="CC833" s="12"/>
      <c r="CD833" s="12"/>
      <c r="CE833" s="12"/>
      <c r="CF833" s="12"/>
      <c r="CG833" s="12"/>
      <c r="CH833" s="12"/>
      <c r="CI833" s="12"/>
      <c r="CJ833" s="12"/>
      <c r="CK833" s="12"/>
      <c r="CL833" s="12"/>
      <c r="CM833" s="12"/>
      <c r="CN833" s="12"/>
      <c r="CO833" s="12"/>
      <c r="CP833" s="12"/>
      <c r="CQ833" s="12"/>
      <c r="CR833" s="12"/>
      <c r="CS833" s="12"/>
      <c r="CT833" s="12"/>
      <c r="CU833" s="12"/>
      <c r="CV833" s="12"/>
      <c r="CW833" s="12"/>
      <c r="CX833" s="12"/>
      <c r="CY833" s="12"/>
      <c r="CZ833" s="12"/>
      <c r="DA833" s="12"/>
      <c r="DB833" s="12"/>
      <c r="DC833" s="12"/>
      <c r="DD833" s="12"/>
      <c r="DE833" s="12"/>
      <c r="DF833" s="12"/>
      <c r="DG833" s="12"/>
      <c r="DH833" s="12"/>
      <c r="DI833" s="12"/>
      <c r="DJ833" s="12"/>
      <c r="DK833" s="12"/>
      <c r="DL833" s="12"/>
      <c r="DM833" s="12"/>
      <c r="DN833" s="12"/>
      <c r="DO833" s="12"/>
      <c r="DP833" s="12"/>
      <c r="DQ833" s="12"/>
      <c r="DR833" s="12"/>
      <c r="DS833" s="12"/>
      <c r="DT833" s="12"/>
      <c r="DU833" s="12"/>
      <c r="DV833" s="12"/>
      <c r="DW833" s="12"/>
      <c r="DX833" s="12"/>
      <c r="DY833" s="12"/>
      <c r="DZ833" s="12"/>
      <c r="EA833" s="12"/>
      <c r="EB833" s="12"/>
      <c r="EC833" s="12"/>
      <c r="ED833" s="12"/>
      <c r="EE833" s="12"/>
      <c r="EF833" s="12"/>
      <c r="EG833" s="12"/>
      <c r="EH833" s="12"/>
      <c r="EI833" s="12"/>
      <c r="EJ833" s="574"/>
      <c r="EK833" s="574"/>
      <c r="EL833" s="574"/>
      <c r="EM833" s="574"/>
      <c r="EN833" s="574"/>
      <c r="EO833" s="574"/>
      <c r="EP833" s="574"/>
      <c r="EQ833" s="574"/>
      <c r="ER833" s="574"/>
      <c r="ES833" s="574"/>
      <c r="ET833" s="574"/>
      <c r="EU833" s="574"/>
    </row>
    <row r="834">
      <c r="A834" s="12"/>
      <c r="B834" s="55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  <c r="AX834" s="12"/>
      <c r="AY834" s="12"/>
      <c r="AZ834" s="12"/>
      <c r="BA834" s="12"/>
      <c r="BB834" s="12"/>
      <c r="BC834" s="12"/>
      <c r="BD834" s="12"/>
      <c r="BE834" s="12"/>
      <c r="BF834" s="12"/>
      <c r="BG834" s="12"/>
      <c r="BH834" s="12"/>
      <c r="BI834" s="12"/>
      <c r="BJ834" s="12"/>
      <c r="BK834" s="12"/>
      <c r="BL834" s="12"/>
      <c r="BM834" s="12"/>
      <c r="BN834" s="12"/>
      <c r="BO834" s="12"/>
      <c r="BP834" s="12"/>
      <c r="BQ834" s="12"/>
      <c r="BR834" s="12"/>
      <c r="BS834" s="12"/>
      <c r="BT834" s="12"/>
      <c r="BU834" s="12"/>
      <c r="BV834" s="12"/>
      <c r="BW834" s="12"/>
      <c r="BX834" s="12"/>
      <c r="BY834" s="12"/>
      <c r="BZ834" s="12"/>
      <c r="CA834" s="12"/>
      <c r="CB834" s="12"/>
      <c r="CC834" s="12"/>
      <c r="CD834" s="12"/>
      <c r="CE834" s="12"/>
      <c r="CF834" s="12"/>
      <c r="CG834" s="12"/>
      <c r="CH834" s="12"/>
      <c r="CI834" s="12"/>
      <c r="CJ834" s="12"/>
      <c r="CK834" s="12"/>
      <c r="CL834" s="12"/>
      <c r="CM834" s="12"/>
      <c r="CN834" s="12"/>
      <c r="CO834" s="12"/>
      <c r="CP834" s="12"/>
      <c r="CQ834" s="12"/>
      <c r="CR834" s="12"/>
      <c r="CS834" s="12"/>
      <c r="CT834" s="12"/>
      <c r="CU834" s="12"/>
      <c r="CV834" s="12"/>
      <c r="CW834" s="12"/>
      <c r="CX834" s="12"/>
      <c r="CY834" s="12"/>
      <c r="CZ834" s="12"/>
      <c r="DA834" s="12"/>
      <c r="DB834" s="12"/>
      <c r="DC834" s="12"/>
      <c r="DD834" s="12"/>
      <c r="DE834" s="12"/>
      <c r="DF834" s="12"/>
      <c r="DG834" s="12"/>
      <c r="DH834" s="12"/>
      <c r="DI834" s="12"/>
      <c r="DJ834" s="12"/>
      <c r="DK834" s="12"/>
      <c r="DL834" s="12"/>
      <c r="DM834" s="12"/>
      <c r="DN834" s="12"/>
      <c r="DO834" s="12"/>
      <c r="DP834" s="12"/>
      <c r="DQ834" s="12"/>
      <c r="DR834" s="12"/>
      <c r="DS834" s="12"/>
      <c r="DT834" s="12"/>
      <c r="DU834" s="12"/>
      <c r="DV834" s="12"/>
      <c r="DW834" s="12"/>
      <c r="DX834" s="12"/>
      <c r="DY834" s="12"/>
      <c r="DZ834" s="12"/>
      <c r="EA834" s="12"/>
      <c r="EB834" s="12"/>
      <c r="EC834" s="12"/>
      <c r="ED834" s="12"/>
      <c r="EE834" s="12"/>
      <c r="EF834" s="12"/>
      <c r="EG834" s="12"/>
      <c r="EH834" s="12"/>
      <c r="EI834" s="12"/>
      <c r="EJ834" s="574"/>
      <c r="EK834" s="574"/>
      <c r="EL834" s="574"/>
      <c r="EM834" s="574"/>
      <c r="EN834" s="574"/>
      <c r="EO834" s="574"/>
      <c r="EP834" s="574"/>
      <c r="EQ834" s="574"/>
      <c r="ER834" s="574"/>
      <c r="ES834" s="574"/>
      <c r="ET834" s="574"/>
      <c r="EU834" s="574"/>
    </row>
    <row r="835">
      <c r="A835" s="12"/>
      <c r="B835" s="55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  <c r="AX835" s="12"/>
      <c r="AY835" s="12"/>
      <c r="AZ835" s="12"/>
      <c r="BA835" s="12"/>
      <c r="BB835" s="12"/>
      <c r="BC835" s="12"/>
      <c r="BD835" s="12"/>
      <c r="BE835" s="12"/>
      <c r="BF835" s="12"/>
      <c r="BG835" s="12"/>
      <c r="BH835" s="12"/>
      <c r="BI835" s="12"/>
      <c r="BJ835" s="12"/>
      <c r="BK835" s="12"/>
      <c r="BL835" s="12"/>
      <c r="BM835" s="12"/>
      <c r="BN835" s="12"/>
      <c r="BO835" s="12"/>
      <c r="BP835" s="12"/>
      <c r="BQ835" s="12"/>
      <c r="BR835" s="12"/>
      <c r="BS835" s="12"/>
      <c r="BT835" s="12"/>
      <c r="BU835" s="12"/>
      <c r="BV835" s="12"/>
      <c r="BW835" s="12"/>
      <c r="BX835" s="12"/>
      <c r="BY835" s="12"/>
      <c r="BZ835" s="12"/>
      <c r="CA835" s="12"/>
      <c r="CB835" s="12"/>
      <c r="CC835" s="12"/>
      <c r="CD835" s="12"/>
      <c r="CE835" s="12"/>
      <c r="CF835" s="12"/>
      <c r="CG835" s="12"/>
      <c r="CH835" s="12"/>
      <c r="CI835" s="12"/>
      <c r="CJ835" s="12"/>
      <c r="CK835" s="12"/>
      <c r="CL835" s="12"/>
      <c r="CM835" s="12"/>
      <c r="CN835" s="12"/>
      <c r="CO835" s="12"/>
      <c r="CP835" s="12"/>
      <c r="CQ835" s="12"/>
      <c r="CR835" s="12"/>
      <c r="CS835" s="12"/>
      <c r="CT835" s="12"/>
      <c r="CU835" s="12"/>
      <c r="CV835" s="12"/>
      <c r="CW835" s="12"/>
      <c r="CX835" s="12"/>
      <c r="CY835" s="12"/>
      <c r="CZ835" s="12"/>
      <c r="DA835" s="12"/>
      <c r="DB835" s="12"/>
      <c r="DC835" s="12"/>
      <c r="DD835" s="12"/>
      <c r="DE835" s="12"/>
      <c r="DF835" s="12"/>
      <c r="DG835" s="12"/>
      <c r="DH835" s="12"/>
      <c r="DI835" s="12"/>
      <c r="DJ835" s="12"/>
      <c r="DK835" s="12"/>
      <c r="DL835" s="12"/>
      <c r="DM835" s="12"/>
      <c r="DN835" s="12"/>
      <c r="DO835" s="12"/>
      <c r="DP835" s="12"/>
      <c r="DQ835" s="12"/>
      <c r="DR835" s="12"/>
      <c r="DS835" s="12"/>
      <c r="DT835" s="12"/>
      <c r="DU835" s="12"/>
      <c r="DV835" s="12"/>
      <c r="DW835" s="12"/>
      <c r="DX835" s="12"/>
      <c r="DY835" s="12"/>
      <c r="DZ835" s="12"/>
      <c r="EA835" s="12"/>
      <c r="EB835" s="12"/>
      <c r="EC835" s="12"/>
      <c r="ED835" s="12"/>
      <c r="EE835" s="12"/>
      <c r="EF835" s="12"/>
      <c r="EG835" s="12"/>
      <c r="EH835" s="12"/>
      <c r="EI835" s="12"/>
      <c r="EJ835" s="574"/>
      <c r="EK835" s="574"/>
      <c r="EL835" s="574"/>
      <c r="EM835" s="574"/>
      <c r="EN835" s="574"/>
      <c r="EO835" s="574"/>
      <c r="EP835" s="574"/>
      <c r="EQ835" s="574"/>
      <c r="ER835" s="574"/>
      <c r="ES835" s="574"/>
      <c r="ET835" s="574"/>
      <c r="EU835" s="574"/>
    </row>
    <row r="836">
      <c r="A836" s="12"/>
      <c r="B836" s="55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  <c r="AX836" s="12"/>
      <c r="AY836" s="12"/>
      <c r="AZ836" s="12"/>
      <c r="BA836" s="12"/>
      <c r="BB836" s="12"/>
      <c r="BC836" s="12"/>
      <c r="BD836" s="12"/>
      <c r="BE836" s="12"/>
      <c r="BF836" s="12"/>
      <c r="BG836" s="12"/>
      <c r="BH836" s="12"/>
      <c r="BI836" s="12"/>
      <c r="BJ836" s="12"/>
      <c r="BK836" s="12"/>
      <c r="BL836" s="12"/>
      <c r="BM836" s="12"/>
      <c r="BN836" s="12"/>
      <c r="BO836" s="12"/>
      <c r="BP836" s="12"/>
      <c r="BQ836" s="12"/>
      <c r="BR836" s="12"/>
      <c r="BS836" s="12"/>
      <c r="BT836" s="12"/>
      <c r="BU836" s="12"/>
      <c r="BV836" s="12"/>
      <c r="BW836" s="12"/>
      <c r="BX836" s="12"/>
      <c r="BY836" s="12"/>
      <c r="BZ836" s="12"/>
      <c r="CA836" s="12"/>
      <c r="CB836" s="12"/>
      <c r="CC836" s="12"/>
      <c r="CD836" s="12"/>
      <c r="CE836" s="12"/>
      <c r="CF836" s="12"/>
      <c r="CG836" s="12"/>
      <c r="CH836" s="12"/>
      <c r="CI836" s="12"/>
      <c r="CJ836" s="12"/>
      <c r="CK836" s="12"/>
      <c r="CL836" s="12"/>
      <c r="CM836" s="12"/>
      <c r="CN836" s="12"/>
      <c r="CO836" s="12"/>
      <c r="CP836" s="12"/>
      <c r="CQ836" s="12"/>
      <c r="CR836" s="12"/>
      <c r="CS836" s="12"/>
      <c r="CT836" s="12"/>
      <c r="CU836" s="12"/>
      <c r="CV836" s="12"/>
      <c r="CW836" s="12"/>
      <c r="CX836" s="12"/>
      <c r="CY836" s="12"/>
      <c r="CZ836" s="12"/>
      <c r="DA836" s="12"/>
      <c r="DB836" s="12"/>
      <c r="DC836" s="12"/>
      <c r="DD836" s="12"/>
      <c r="DE836" s="12"/>
      <c r="DF836" s="12"/>
      <c r="DG836" s="12"/>
      <c r="DH836" s="12"/>
      <c r="DI836" s="12"/>
      <c r="DJ836" s="12"/>
      <c r="DK836" s="12"/>
      <c r="DL836" s="12"/>
      <c r="DM836" s="12"/>
      <c r="DN836" s="12"/>
      <c r="DO836" s="12"/>
      <c r="DP836" s="12"/>
      <c r="DQ836" s="12"/>
      <c r="DR836" s="12"/>
      <c r="DS836" s="12"/>
      <c r="DT836" s="12"/>
      <c r="DU836" s="12"/>
      <c r="DV836" s="12"/>
      <c r="DW836" s="12"/>
      <c r="DX836" s="12"/>
      <c r="DY836" s="12"/>
      <c r="DZ836" s="12"/>
      <c r="EA836" s="12"/>
      <c r="EB836" s="12"/>
      <c r="EC836" s="12"/>
      <c r="ED836" s="12"/>
      <c r="EE836" s="12"/>
      <c r="EF836" s="12"/>
      <c r="EG836" s="12"/>
      <c r="EH836" s="12"/>
      <c r="EI836" s="12"/>
      <c r="EJ836" s="574"/>
      <c r="EK836" s="574"/>
      <c r="EL836" s="574"/>
      <c r="EM836" s="574"/>
      <c r="EN836" s="574"/>
      <c r="EO836" s="574"/>
      <c r="EP836" s="574"/>
      <c r="EQ836" s="574"/>
      <c r="ER836" s="574"/>
      <c r="ES836" s="574"/>
      <c r="ET836" s="574"/>
      <c r="EU836" s="574"/>
    </row>
    <row r="837">
      <c r="A837" s="12"/>
      <c r="B837" s="55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  <c r="AX837" s="12"/>
      <c r="AY837" s="12"/>
      <c r="AZ837" s="12"/>
      <c r="BA837" s="12"/>
      <c r="BB837" s="12"/>
      <c r="BC837" s="12"/>
      <c r="BD837" s="12"/>
      <c r="BE837" s="12"/>
      <c r="BF837" s="12"/>
      <c r="BG837" s="12"/>
      <c r="BH837" s="12"/>
      <c r="BI837" s="12"/>
      <c r="BJ837" s="12"/>
      <c r="BK837" s="12"/>
      <c r="BL837" s="12"/>
      <c r="BM837" s="12"/>
      <c r="BN837" s="12"/>
      <c r="BO837" s="12"/>
      <c r="BP837" s="12"/>
      <c r="BQ837" s="12"/>
      <c r="BR837" s="12"/>
      <c r="BS837" s="12"/>
      <c r="BT837" s="12"/>
      <c r="BU837" s="12"/>
      <c r="BV837" s="12"/>
      <c r="BW837" s="12"/>
      <c r="BX837" s="12"/>
      <c r="BY837" s="12"/>
      <c r="BZ837" s="12"/>
      <c r="CA837" s="12"/>
      <c r="CB837" s="12"/>
      <c r="CC837" s="12"/>
      <c r="CD837" s="12"/>
      <c r="CE837" s="12"/>
      <c r="CF837" s="12"/>
      <c r="CG837" s="12"/>
      <c r="CH837" s="12"/>
      <c r="CI837" s="12"/>
      <c r="CJ837" s="12"/>
      <c r="CK837" s="12"/>
      <c r="CL837" s="12"/>
      <c r="CM837" s="12"/>
      <c r="CN837" s="12"/>
      <c r="CO837" s="12"/>
      <c r="CP837" s="12"/>
      <c r="CQ837" s="12"/>
      <c r="CR837" s="12"/>
      <c r="CS837" s="12"/>
      <c r="CT837" s="12"/>
      <c r="CU837" s="12"/>
      <c r="CV837" s="12"/>
      <c r="CW837" s="12"/>
      <c r="CX837" s="12"/>
      <c r="CY837" s="12"/>
      <c r="CZ837" s="12"/>
      <c r="DA837" s="12"/>
      <c r="DB837" s="12"/>
      <c r="DC837" s="12"/>
      <c r="DD837" s="12"/>
      <c r="DE837" s="12"/>
      <c r="DF837" s="12"/>
      <c r="DG837" s="12"/>
      <c r="DH837" s="12"/>
      <c r="DI837" s="12"/>
      <c r="DJ837" s="12"/>
      <c r="DK837" s="12"/>
      <c r="DL837" s="12"/>
      <c r="DM837" s="12"/>
      <c r="DN837" s="12"/>
      <c r="DO837" s="12"/>
      <c r="DP837" s="12"/>
      <c r="DQ837" s="12"/>
      <c r="DR837" s="12"/>
      <c r="DS837" s="12"/>
      <c r="DT837" s="12"/>
      <c r="DU837" s="12"/>
      <c r="DV837" s="12"/>
      <c r="DW837" s="12"/>
      <c r="DX837" s="12"/>
      <c r="DY837" s="12"/>
      <c r="DZ837" s="12"/>
      <c r="EA837" s="12"/>
      <c r="EB837" s="12"/>
      <c r="EC837" s="12"/>
      <c r="ED837" s="12"/>
      <c r="EE837" s="12"/>
      <c r="EF837" s="12"/>
      <c r="EG837" s="12"/>
      <c r="EH837" s="12"/>
      <c r="EI837" s="12"/>
      <c r="EJ837" s="574"/>
      <c r="EK837" s="574"/>
      <c r="EL837" s="574"/>
      <c r="EM837" s="574"/>
      <c r="EN837" s="574"/>
      <c r="EO837" s="574"/>
      <c r="EP837" s="574"/>
      <c r="EQ837" s="574"/>
      <c r="ER837" s="574"/>
      <c r="ES837" s="574"/>
      <c r="ET837" s="574"/>
      <c r="EU837" s="574"/>
    </row>
    <row r="838">
      <c r="A838" s="12"/>
      <c r="B838" s="55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  <c r="AX838" s="12"/>
      <c r="AY838" s="12"/>
      <c r="AZ838" s="12"/>
      <c r="BA838" s="12"/>
      <c r="BB838" s="12"/>
      <c r="BC838" s="12"/>
      <c r="BD838" s="12"/>
      <c r="BE838" s="12"/>
      <c r="BF838" s="12"/>
      <c r="BG838" s="12"/>
      <c r="BH838" s="12"/>
      <c r="BI838" s="12"/>
      <c r="BJ838" s="12"/>
      <c r="BK838" s="12"/>
      <c r="BL838" s="12"/>
      <c r="BM838" s="12"/>
      <c r="BN838" s="12"/>
      <c r="BO838" s="12"/>
      <c r="BP838" s="12"/>
      <c r="BQ838" s="12"/>
      <c r="BR838" s="12"/>
      <c r="BS838" s="12"/>
      <c r="BT838" s="12"/>
      <c r="BU838" s="12"/>
      <c r="BV838" s="12"/>
      <c r="BW838" s="12"/>
      <c r="BX838" s="12"/>
      <c r="BY838" s="12"/>
      <c r="BZ838" s="12"/>
      <c r="CA838" s="12"/>
      <c r="CB838" s="12"/>
      <c r="CC838" s="12"/>
      <c r="CD838" s="12"/>
      <c r="CE838" s="12"/>
      <c r="CF838" s="12"/>
      <c r="CG838" s="12"/>
      <c r="CH838" s="12"/>
      <c r="CI838" s="12"/>
      <c r="CJ838" s="12"/>
      <c r="CK838" s="12"/>
      <c r="CL838" s="12"/>
      <c r="CM838" s="12"/>
      <c r="CN838" s="12"/>
      <c r="CO838" s="12"/>
      <c r="CP838" s="12"/>
      <c r="CQ838" s="12"/>
      <c r="CR838" s="12"/>
      <c r="CS838" s="12"/>
      <c r="CT838" s="12"/>
      <c r="CU838" s="12"/>
      <c r="CV838" s="12"/>
      <c r="CW838" s="12"/>
      <c r="CX838" s="12"/>
      <c r="CY838" s="12"/>
      <c r="CZ838" s="12"/>
      <c r="DA838" s="12"/>
      <c r="DB838" s="12"/>
      <c r="DC838" s="12"/>
      <c r="DD838" s="12"/>
      <c r="DE838" s="12"/>
      <c r="DF838" s="12"/>
      <c r="DG838" s="12"/>
      <c r="DH838" s="12"/>
      <c r="DI838" s="12"/>
      <c r="DJ838" s="12"/>
      <c r="DK838" s="12"/>
      <c r="DL838" s="12"/>
      <c r="DM838" s="12"/>
      <c r="DN838" s="12"/>
      <c r="DO838" s="12"/>
      <c r="DP838" s="12"/>
      <c r="DQ838" s="12"/>
      <c r="DR838" s="12"/>
      <c r="DS838" s="12"/>
      <c r="DT838" s="12"/>
      <c r="DU838" s="12"/>
      <c r="DV838" s="12"/>
      <c r="DW838" s="12"/>
      <c r="DX838" s="12"/>
      <c r="DY838" s="12"/>
      <c r="DZ838" s="12"/>
      <c r="EA838" s="12"/>
      <c r="EB838" s="12"/>
      <c r="EC838" s="12"/>
      <c r="ED838" s="12"/>
      <c r="EE838" s="12"/>
      <c r="EF838" s="12"/>
      <c r="EG838" s="12"/>
      <c r="EH838" s="12"/>
      <c r="EI838" s="12"/>
      <c r="EJ838" s="574"/>
      <c r="EK838" s="574"/>
      <c r="EL838" s="574"/>
      <c r="EM838" s="574"/>
      <c r="EN838" s="574"/>
      <c r="EO838" s="574"/>
      <c r="EP838" s="574"/>
      <c r="EQ838" s="574"/>
      <c r="ER838" s="574"/>
      <c r="ES838" s="574"/>
      <c r="ET838" s="574"/>
      <c r="EU838" s="574"/>
    </row>
    <row r="839">
      <c r="A839" s="12"/>
      <c r="B839" s="55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  <c r="AX839" s="12"/>
      <c r="AY839" s="12"/>
      <c r="AZ839" s="12"/>
      <c r="BA839" s="12"/>
      <c r="BB839" s="12"/>
      <c r="BC839" s="12"/>
      <c r="BD839" s="12"/>
      <c r="BE839" s="12"/>
      <c r="BF839" s="12"/>
      <c r="BG839" s="12"/>
      <c r="BH839" s="12"/>
      <c r="BI839" s="12"/>
      <c r="BJ839" s="12"/>
      <c r="BK839" s="12"/>
      <c r="BL839" s="12"/>
      <c r="BM839" s="12"/>
      <c r="BN839" s="12"/>
      <c r="BO839" s="12"/>
      <c r="BP839" s="12"/>
      <c r="BQ839" s="12"/>
      <c r="BR839" s="12"/>
      <c r="BS839" s="12"/>
      <c r="BT839" s="12"/>
      <c r="BU839" s="12"/>
      <c r="BV839" s="12"/>
      <c r="BW839" s="12"/>
      <c r="BX839" s="12"/>
      <c r="BY839" s="12"/>
      <c r="BZ839" s="12"/>
      <c r="CA839" s="12"/>
      <c r="CB839" s="12"/>
      <c r="CC839" s="12"/>
      <c r="CD839" s="12"/>
      <c r="CE839" s="12"/>
      <c r="CF839" s="12"/>
      <c r="CG839" s="12"/>
      <c r="CH839" s="12"/>
      <c r="CI839" s="12"/>
      <c r="CJ839" s="12"/>
      <c r="CK839" s="12"/>
      <c r="CL839" s="12"/>
      <c r="CM839" s="12"/>
      <c r="CN839" s="12"/>
      <c r="CO839" s="12"/>
      <c r="CP839" s="12"/>
      <c r="CQ839" s="12"/>
      <c r="CR839" s="12"/>
      <c r="CS839" s="12"/>
      <c r="CT839" s="12"/>
      <c r="CU839" s="12"/>
      <c r="CV839" s="12"/>
      <c r="CW839" s="12"/>
      <c r="CX839" s="12"/>
      <c r="CY839" s="12"/>
      <c r="CZ839" s="12"/>
      <c r="DA839" s="12"/>
      <c r="DB839" s="12"/>
      <c r="DC839" s="12"/>
      <c r="DD839" s="12"/>
      <c r="DE839" s="12"/>
      <c r="DF839" s="12"/>
      <c r="DG839" s="12"/>
      <c r="DH839" s="12"/>
      <c r="DI839" s="12"/>
      <c r="DJ839" s="12"/>
      <c r="DK839" s="12"/>
      <c r="DL839" s="12"/>
      <c r="DM839" s="12"/>
      <c r="DN839" s="12"/>
      <c r="DO839" s="12"/>
      <c r="DP839" s="12"/>
      <c r="DQ839" s="12"/>
      <c r="DR839" s="12"/>
      <c r="DS839" s="12"/>
      <c r="DT839" s="12"/>
      <c r="DU839" s="12"/>
      <c r="DV839" s="12"/>
      <c r="DW839" s="12"/>
      <c r="DX839" s="12"/>
      <c r="DY839" s="12"/>
      <c r="DZ839" s="12"/>
      <c r="EA839" s="12"/>
      <c r="EB839" s="12"/>
      <c r="EC839" s="12"/>
      <c r="ED839" s="12"/>
      <c r="EE839" s="12"/>
      <c r="EF839" s="12"/>
      <c r="EG839" s="12"/>
      <c r="EH839" s="12"/>
      <c r="EI839" s="12"/>
      <c r="EJ839" s="574"/>
      <c r="EK839" s="574"/>
      <c r="EL839" s="574"/>
      <c r="EM839" s="574"/>
      <c r="EN839" s="574"/>
      <c r="EO839" s="574"/>
      <c r="EP839" s="574"/>
      <c r="EQ839" s="574"/>
      <c r="ER839" s="574"/>
      <c r="ES839" s="574"/>
      <c r="ET839" s="574"/>
      <c r="EU839" s="574"/>
    </row>
    <row r="840">
      <c r="A840" s="12"/>
      <c r="B840" s="55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  <c r="AX840" s="12"/>
      <c r="AY840" s="12"/>
      <c r="AZ840" s="12"/>
      <c r="BA840" s="12"/>
      <c r="BB840" s="12"/>
      <c r="BC840" s="12"/>
      <c r="BD840" s="12"/>
      <c r="BE840" s="12"/>
      <c r="BF840" s="12"/>
      <c r="BG840" s="12"/>
      <c r="BH840" s="12"/>
      <c r="BI840" s="12"/>
      <c r="BJ840" s="12"/>
      <c r="BK840" s="12"/>
      <c r="BL840" s="12"/>
      <c r="BM840" s="12"/>
      <c r="BN840" s="12"/>
      <c r="BO840" s="12"/>
      <c r="BP840" s="12"/>
      <c r="BQ840" s="12"/>
      <c r="BR840" s="12"/>
      <c r="BS840" s="12"/>
      <c r="BT840" s="12"/>
      <c r="BU840" s="12"/>
      <c r="BV840" s="12"/>
      <c r="BW840" s="12"/>
      <c r="BX840" s="12"/>
      <c r="BY840" s="12"/>
      <c r="BZ840" s="12"/>
      <c r="CA840" s="12"/>
      <c r="CB840" s="12"/>
      <c r="CC840" s="12"/>
      <c r="CD840" s="12"/>
      <c r="CE840" s="12"/>
      <c r="CF840" s="12"/>
      <c r="CG840" s="12"/>
      <c r="CH840" s="12"/>
      <c r="CI840" s="12"/>
      <c r="CJ840" s="12"/>
      <c r="CK840" s="12"/>
      <c r="CL840" s="12"/>
      <c r="CM840" s="12"/>
      <c r="CN840" s="12"/>
      <c r="CO840" s="12"/>
      <c r="CP840" s="12"/>
      <c r="CQ840" s="12"/>
      <c r="CR840" s="12"/>
      <c r="CS840" s="12"/>
      <c r="CT840" s="12"/>
      <c r="CU840" s="12"/>
      <c r="CV840" s="12"/>
      <c r="CW840" s="12"/>
      <c r="CX840" s="12"/>
      <c r="CY840" s="12"/>
      <c r="CZ840" s="12"/>
      <c r="DA840" s="12"/>
      <c r="DB840" s="12"/>
      <c r="DC840" s="12"/>
      <c r="DD840" s="12"/>
      <c r="DE840" s="12"/>
      <c r="DF840" s="12"/>
      <c r="DG840" s="12"/>
      <c r="DH840" s="12"/>
      <c r="DI840" s="12"/>
      <c r="DJ840" s="12"/>
      <c r="DK840" s="12"/>
      <c r="DL840" s="12"/>
      <c r="DM840" s="12"/>
      <c r="DN840" s="12"/>
      <c r="DO840" s="12"/>
      <c r="DP840" s="12"/>
      <c r="DQ840" s="12"/>
      <c r="DR840" s="12"/>
      <c r="DS840" s="12"/>
      <c r="DT840" s="12"/>
      <c r="DU840" s="12"/>
      <c r="DV840" s="12"/>
      <c r="DW840" s="12"/>
      <c r="DX840" s="12"/>
      <c r="DY840" s="12"/>
      <c r="DZ840" s="12"/>
      <c r="EA840" s="12"/>
      <c r="EB840" s="12"/>
      <c r="EC840" s="12"/>
      <c r="ED840" s="12"/>
      <c r="EE840" s="12"/>
      <c r="EF840" s="12"/>
      <c r="EG840" s="12"/>
      <c r="EH840" s="12"/>
      <c r="EI840" s="12"/>
      <c r="EJ840" s="574"/>
      <c r="EK840" s="574"/>
      <c r="EL840" s="574"/>
      <c r="EM840" s="574"/>
      <c r="EN840" s="574"/>
      <c r="EO840" s="574"/>
      <c r="EP840" s="574"/>
      <c r="EQ840" s="574"/>
      <c r="ER840" s="574"/>
      <c r="ES840" s="574"/>
      <c r="ET840" s="574"/>
      <c r="EU840" s="574"/>
    </row>
    <row r="841">
      <c r="A841" s="12"/>
      <c r="B841" s="55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  <c r="AX841" s="12"/>
      <c r="AY841" s="12"/>
      <c r="AZ841" s="12"/>
      <c r="BA841" s="12"/>
      <c r="BB841" s="12"/>
      <c r="BC841" s="12"/>
      <c r="BD841" s="12"/>
      <c r="BE841" s="12"/>
      <c r="BF841" s="12"/>
      <c r="BG841" s="12"/>
      <c r="BH841" s="12"/>
      <c r="BI841" s="12"/>
      <c r="BJ841" s="12"/>
      <c r="BK841" s="12"/>
      <c r="BL841" s="12"/>
      <c r="BM841" s="12"/>
      <c r="BN841" s="12"/>
      <c r="BO841" s="12"/>
      <c r="BP841" s="12"/>
      <c r="BQ841" s="12"/>
      <c r="BR841" s="12"/>
      <c r="BS841" s="12"/>
      <c r="BT841" s="12"/>
      <c r="BU841" s="12"/>
      <c r="BV841" s="12"/>
      <c r="BW841" s="12"/>
      <c r="BX841" s="12"/>
      <c r="BY841" s="12"/>
      <c r="BZ841" s="12"/>
      <c r="CA841" s="12"/>
      <c r="CB841" s="12"/>
      <c r="CC841" s="12"/>
      <c r="CD841" s="12"/>
      <c r="CE841" s="12"/>
      <c r="CF841" s="12"/>
      <c r="CG841" s="12"/>
      <c r="CH841" s="12"/>
      <c r="CI841" s="12"/>
      <c r="CJ841" s="12"/>
      <c r="CK841" s="12"/>
      <c r="CL841" s="12"/>
      <c r="CM841" s="12"/>
      <c r="CN841" s="12"/>
      <c r="CO841" s="12"/>
      <c r="CP841" s="12"/>
      <c r="CQ841" s="12"/>
      <c r="CR841" s="12"/>
      <c r="CS841" s="12"/>
      <c r="CT841" s="12"/>
      <c r="CU841" s="12"/>
      <c r="CV841" s="12"/>
      <c r="CW841" s="12"/>
      <c r="CX841" s="12"/>
      <c r="CY841" s="12"/>
      <c r="CZ841" s="12"/>
      <c r="DA841" s="12"/>
      <c r="DB841" s="12"/>
      <c r="DC841" s="12"/>
      <c r="DD841" s="12"/>
      <c r="DE841" s="12"/>
      <c r="DF841" s="12"/>
      <c r="DG841" s="12"/>
      <c r="DH841" s="12"/>
      <c r="DI841" s="12"/>
      <c r="DJ841" s="12"/>
      <c r="DK841" s="12"/>
      <c r="DL841" s="12"/>
      <c r="DM841" s="12"/>
      <c r="DN841" s="12"/>
      <c r="DO841" s="12"/>
      <c r="DP841" s="12"/>
      <c r="DQ841" s="12"/>
      <c r="DR841" s="12"/>
      <c r="DS841" s="12"/>
      <c r="DT841" s="12"/>
      <c r="DU841" s="12"/>
      <c r="DV841" s="12"/>
      <c r="DW841" s="12"/>
      <c r="DX841" s="12"/>
      <c r="DY841" s="12"/>
      <c r="DZ841" s="12"/>
      <c r="EA841" s="12"/>
      <c r="EB841" s="12"/>
      <c r="EC841" s="12"/>
      <c r="ED841" s="12"/>
      <c r="EE841" s="12"/>
      <c r="EF841" s="12"/>
      <c r="EG841" s="12"/>
      <c r="EH841" s="12"/>
      <c r="EI841" s="12"/>
      <c r="EJ841" s="574"/>
      <c r="EK841" s="574"/>
      <c r="EL841" s="574"/>
      <c r="EM841" s="574"/>
      <c r="EN841" s="574"/>
      <c r="EO841" s="574"/>
      <c r="EP841" s="574"/>
      <c r="EQ841" s="574"/>
      <c r="ER841" s="574"/>
      <c r="ES841" s="574"/>
      <c r="ET841" s="574"/>
      <c r="EU841" s="574"/>
    </row>
    <row r="842">
      <c r="A842" s="12"/>
      <c r="B842" s="55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  <c r="AX842" s="12"/>
      <c r="AY842" s="12"/>
      <c r="AZ842" s="12"/>
      <c r="BA842" s="12"/>
      <c r="BB842" s="12"/>
      <c r="BC842" s="12"/>
      <c r="BD842" s="12"/>
      <c r="BE842" s="12"/>
      <c r="BF842" s="12"/>
      <c r="BG842" s="12"/>
      <c r="BH842" s="12"/>
      <c r="BI842" s="12"/>
      <c r="BJ842" s="12"/>
      <c r="BK842" s="12"/>
      <c r="BL842" s="12"/>
      <c r="BM842" s="12"/>
      <c r="BN842" s="12"/>
      <c r="BO842" s="12"/>
      <c r="BP842" s="12"/>
      <c r="BQ842" s="12"/>
      <c r="BR842" s="12"/>
      <c r="BS842" s="12"/>
      <c r="BT842" s="12"/>
      <c r="BU842" s="12"/>
      <c r="BV842" s="12"/>
      <c r="BW842" s="12"/>
      <c r="BX842" s="12"/>
      <c r="BY842" s="12"/>
      <c r="BZ842" s="12"/>
      <c r="CA842" s="12"/>
      <c r="CB842" s="12"/>
      <c r="CC842" s="12"/>
      <c r="CD842" s="12"/>
      <c r="CE842" s="12"/>
      <c r="CF842" s="12"/>
      <c r="CG842" s="12"/>
      <c r="CH842" s="12"/>
      <c r="CI842" s="12"/>
      <c r="CJ842" s="12"/>
      <c r="CK842" s="12"/>
      <c r="CL842" s="12"/>
      <c r="CM842" s="12"/>
      <c r="CN842" s="12"/>
      <c r="CO842" s="12"/>
      <c r="CP842" s="12"/>
      <c r="CQ842" s="12"/>
      <c r="CR842" s="12"/>
      <c r="CS842" s="12"/>
      <c r="CT842" s="12"/>
      <c r="CU842" s="12"/>
      <c r="CV842" s="12"/>
      <c r="CW842" s="12"/>
      <c r="CX842" s="12"/>
      <c r="CY842" s="12"/>
      <c r="CZ842" s="12"/>
      <c r="DA842" s="12"/>
      <c r="DB842" s="12"/>
      <c r="DC842" s="12"/>
      <c r="DD842" s="12"/>
      <c r="DE842" s="12"/>
      <c r="DF842" s="12"/>
      <c r="DG842" s="12"/>
      <c r="DH842" s="12"/>
      <c r="DI842" s="12"/>
      <c r="DJ842" s="12"/>
      <c r="DK842" s="12"/>
      <c r="DL842" s="12"/>
      <c r="DM842" s="12"/>
      <c r="DN842" s="12"/>
      <c r="DO842" s="12"/>
      <c r="DP842" s="12"/>
      <c r="DQ842" s="12"/>
      <c r="DR842" s="12"/>
      <c r="DS842" s="12"/>
      <c r="DT842" s="12"/>
      <c r="DU842" s="12"/>
      <c r="DV842" s="12"/>
      <c r="DW842" s="12"/>
      <c r="DX842" s="12"/>
      <c r="DY842" s="12"/>
      <c r="DZ842" s="12"/>
      <c r="EA842" s="12"/>
      <c r="EB842" s="12"/>
      <c r="EC842" s="12"/>
      <c r="ED842" s="12"/>
      <c r="EE842" s="12"/>
      <c r="EF842" s="12"/>
      <c r="EG842" s="12"/>
      <c r="EH842" s="12"/>
      <c r="EI842" s="12"/>
      <c r="EJ842" s="574"/>
      <c r="EK842" s="574"/>
      <c r="EL842" s="574"/>
      <c r="EM842" s="574"/>
      <c r="EN842" s="574"/>
      <c r="EO842" s="574"/>
      <c r="EP842" s="574"/>
      <c r="EQ842" s="574"/>
      <c r="ER842" s="574"/>
      <c r="ES842" s="574"/>
      <c r="ET842" s="574"/>
      <c r="EU842" s="574"/>
    </row>
    <row r="843">
      <c r="A843" s="12"/>
      <c r="B843" s="55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  <c r="AX843" s="12"/>
      <c r="AY843" s="12"/>
      <c r="AZ843" s="12"/>
      <c r="BA843" s="12"/>
      <c r="BB843" s="12"/>
      <c r="BC843" s="12"/>
      <c r="BD843" s="12"/>
      <c r="BE843" s="12"/>
      <c r="BF843" s="12"/>
      <c r="BG843" s="12"/>
      <c r="BH843" s="12"/>
      <c r="BI843" s="12"/>
      <c r="BJ843" s="12"/>
      <c r="BK843" s="12"/>
      <c r="BL843" s="12"/>
      <c r="BM843" s="12"/>
      <c r="BN843" s="12"/>
      <c r="BO843" s="12"/>
      <c r="BP843" s="12"/>
      <c r="BQ843" s="12"/>
      <c r="BR843" s="12"/>
      <c r="BS843" s="12"/>
      <c r="BT843" s="12"/>
      <c r="BU843" s="12"/>
      <c r="BV843" s="12"/>
      <c r="BW843" s="12"/>
      <c r="BX843" s="12"/>
      <c r="BY843" s="12"/>
      <c r="BZ843" s="12"/>
      <c r="CA843" s="12"/>
      <c r="CB843" s="12"/>
      <c r="CC843" s="12"/>
      <c r="CD843" s="12"/>
      <c r="CE843" s="12"/>
      <c r="CF843" s="12"/>
      <c r="CG843" s="12"/>
      <c r="CH843" s="12"/>
      <c r="CI843" s="12"/>
      <c r="CJ843" s="12"/>
      <c r="CK843" s="12"/>
      <c r="CL843" s="12"/>
      <c r="CM843" s="12"/>
      <c r="CN843" s="12"/>
      <c r="CO843" s="12"/>
      <c r="CP843" s="12"/>
      <c r="CQ843" s="12"/>
      <c r="CR843" s="12"/>
      <c r="CS843" s="12"/>
      <c r="CT843" s="12"/>
      <c r="CU843" s="12"/>
      <c r="CV843" s="12"/>
      <c r="CW843" s="12"/>
      <c r="CX843" s="12"/>
      <c r="CY843" s="12"/>
      <c r="CZ843" s="12"/>
      <c r="DA843" s="12"/>
      <c r="DB843" s="12"/>
      <c r="DC843" s="12"/>
      <c r="DD843" s="12"/>
      <c r="DE843" s="12"/>
      <c r="DF843" s="12"/>
      <c r="DG843" s="12"/>
      <c r="DH843" s="12"/>
      <c r="DI843" s="12"/>
      <c r="DJ843" s="12"/>
      <c r="DK843" s="12"/>
      <c r="DL843" s="12"/>
      <c r="DM843" s="12"/>
      <c r="DN843" s="12"/>
      <c r="DO843" s="12"/>
      <c r="DP843" s="12"/>
      <c r="DQ843" s="12"/>
      <c r="DR843" s="12"/>
      <c r="DS843" s="12"/>
      <c r="DT843" s="12"/>
      <c r="DU843" s="12"/>
      <c r="DV843" s="12"/>
      <c r="DW843" s="12"/>
      <c r="DX843" s="12"/>
      <c r="DY843" s="12"/>
      <c r="DZ843" s="12"/>
      <c r="EA843" s="12"/>
      <c r="EB843" s="12"/>
      <c r="EC843" s="12"/>
      <c r="ED843" s="12"/>
      <c r="EE843" s="12"/>
      <c r="EF843" s="12"/>
      <c r="EG843" s="12"/>
      <c r="EH843" s="12"/>
      <c r="EI843" s="12"/>
      <c r="EJ843" s="574"/>
      <c r="EK843" s="574"/>
      <c r="EL843" s="574"/>
      <c r="EM843" s="574"/>
      <c r="EN843" s="574"/>
      <c r="EO843" s="574"/>
      <c r="EP843" s="574"/>
      <c r="EQ843" s="574"/>
      <c r="ER843" s="574"/>
      <c r="ES843" s="574"/>
      <c r="ET843" s="574"/>
      <c r="EU843" s="574"/>
    </row>
    <row r="844">
      <c r="A844" s="12"/>
      <c r="B844" s="55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  <c r="AX844" s="12"/>
      <c r="AY844" s="12"/>
      <c r="AZ844" s="12"/>
      <c r="BA844" s="12"/>
      <c r="BB844" s="12"/>
      <c r="BC844" s="12"/>
      <c r="BD844" s="12"/>
      <c r="BE844" s="12"/>
      <c r="BF844" s="12"/>
      <c r="BG844" s="12"/>
      <c r="BH844" s="12"/>
      <c r="BI844" s="12"/>
      <c r="BJ844" s="12"/>
      <c r="BK844" s="12"/>
      <c r="BL844" s="12"/>
      <c r="BM844" s="12"/>
      <c r="BN844" s="12"/>
      <c r="BO844" s="12"/>
      <c r="BP844" s="12"/>
      <c r="BQ844" s="12"/>
      <c r="BR844" s="12"/>
      <c r="BS844" s="12"/>
      <c r="BT844" s="12"/>
      <c r="BU844" s="12"/>
      <c r="BV844" s="12"/>
      <c r="BW844" s="12"/>
      <c r="BX844" s="12"/>
      <c r="BY844" s="12"/>
      <c r="BZ844" s="12"/>
      <c r="CA844" s="12"/>
      <c r="CB844" s="12"/>
      <c r="CC844" s="12"/>
      <c r="CD844" s="12"/>
      <c r="CE844" s="12"/>
      <c r="CF844" s="12"/>
      <c r="CG844" s="12"/>
      <c r="CH844" s="12"/>
      <c r="CI844" s="12"/>
      <c r="CJ844" s="12"/>
      <c r="CK844" s="12"/>
      <c r="CL844" s="12"/>
      <c r="CM844" s="12"/>
      <c r="CN844" s="12"/>
      <c r="CO844" s="12"/>
      <c r="CP844" s="12"/>
      <c r="CQ844" s="12"/>
      <c r="CR844" s="12"/>
      <c r="CS844" s="12"/>
      <c r="CT844" s="12"/>
      <c r="CU844" s="12"/>
      <c r="CV844" s="12"/>
      <c r="CW844" s="12"/>
      <c r="CX844" s="12"/>
      <c r="CY844" s="12"/>
      <c r="CZ844" s="12"/>
      <c r="DA844" s="12"/>
      <c r="DB844" s="12"/>
      <c r="DC844" s="12"/>
      <c r="DD844" s="12"/>
      <c r="DE844" s="12"/>
      <c r="DF844" s="12"/>
      <c r="DG844" s="12"/>
      <c r="DH844" s="12"/>
      <c r="DI844" s="12"/>
      <c r="DJ844" s="12"/>
      <c r="DK844" s="12"/>
      <c r="DL844" s="12"/>
      <c r="DM844" s="12"/>
      <c r="DN844" s="12"/>
      <c r="DO844" s="12"/>
      <c r="DP844" s="12"/>
      <c r="DQ844" s="12"/>
      <c r="DR844" s="12"/>
      <c r="DS844" s="12"/>
      <c r="DT844" s="12"/>
      <c r="DU844" s="12"/>
      <c r="DV844" s="12"/>
      <c r="DW844" s="12"/>
      <c r="DX844" s="12"/>
      <c r="DY844" s="12"/>
      <c r="DZ844" s="12"/>
      <c r="EA844" s="12"/>
      <c r="EB844" s="12"/>
      <c r="EC844" s="12"/>
      <c r="ED844" s="12"/>
      <c r="EE844" s="12"/>
      <c r="EF844" s="12"/>
      <c r="EG844" s="12"/>
      <c r="EH844" s="12"/>
      <c r="EI844" s="12"/>
      <c r="EJ844" s="574"/>
      <c r="EK844" s="574"/>
      <c r="EL844" s="574"/>
      <c r="EM844" s="574"/>
      <c r="EN844" s="574"/>
      <c r="EO844" s="574"/>
      <c r="EP844" s="574"/>
      <c r="EQ844" s="574"/>
      <c r="ER844" s="574"/>
      <c r="ES844" s="574"/>
      <c r="ET844" s="574"/>
      <c r="EU844" s="574"/>
    </row>
    <row r="845">
      <c r="A845" s="12"/>
      <c r="B845" s="55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  <c r="AX845" s="12"/>
      <c r="AY845" s="12"/>
      <c r="AZ845" s="12"/>
      <c r="BA845" s="12"/>
      <c r="BB845" s="12"/>
      <c r="BC845" s="12"/>
      <c r="BD845" s="12"/>
      <c r="BE845" s="12"/>
      <c r="BF845" s="12"/>
      <c r="BG845" s="12"/>
      <c r="BH845" s="12"/>
      <c r="BI845" s="12"/>
      <c r="BJ845" s="12"/>
      <c r="BK845" s="12"/>
      <c r="BL845" s="12"/>
      <c r="BM845" s="12"/>
      <c r="BN845" s="12"/>
      <c r="BO845" s="12"/>
      <c r="BP845" s="12"/>
      <c r="BQ845" s="12"/>
      <c r="BR845" s="12"/>
      <c r="BS845" s="12"/>
      <c r="BT845" s="12"/>
      <c r="BU845" s="12"/>
      <c r="BV845" s="12"/>
      <c r="BW845" s="12"/>
      <c r="BX845" s="12"/>
      <c r="BY845" s="12"/>
      <c r="BZ845" s="12"/>
      <c r="CA845" s="12"/>
      <c r="CB845" s="12"/>
      <c r="CC845" s="12"/>
      <c r="CD845" s="12"/>
      <c r="CE845" s="12"/>
      <c r="CF845" s="12"/>
      <c r="CG845" s="12"/>
      <c r="CH845" s="12"/>
      <c r="CI845" s="12"/>
      <c r="CJ845" s="12"/>
      <c r="CK845" s="12"/>
      <c r="CL845" s="12"/>
      <c r="CM845" s="12"/>
      <c r="CN845" s="12"/>
      <c r="CO845" s="12"/>
      <c r="CP845" s="12"/>
      <c r="CQ845" s="12"/>
      <c r="CR845" s="12"/>
      <c r="CS845" s="12"/>
      <c r="CT845" s="12"/>
      <c r="CU845" s="12"/>
      <c r="CV845" s="12"/>
      <c r="CW845" s="12"/>
      <c r="CX845" s="12"/>
      <c r="CY845" s="12"/>
      <c r="CZ845" s="12"/>
      <c r="DA845" s="12"/>
      <c r="DB845" s="12"/>
      <c r="DC845" s="12"/>
      <c r="DD845" s="12"/>
      <c r="DE845" s="12"/>
      <c r="DF845" s="12"/>
      <c r="DG845" s="12"/>
      <c r="DH845" s="12"/>
      <c r="DI845" s="12"/>
      <c r="DJ845" s="12"/>
      <c r="DK845" s="12"/>
      <c r="DL845" s="12"/>
      <c r="DM845" s="12"/>
      <c r="DN845" s="12"/>
      <c r="DO845" s="12"/>
      <c r="DP845" s="12"/>
      <c r="DQ845" s="12"/>
      <c r="DR845" s="12"/>
      <c r="DS845" s="12"/>
      <c r="DT845" s="12"/>
      <c r="DU845" s="12"/>
      <c r="DV845" s="12"/>
      <c r="DW845" s="12"/>
      <c r="DX845" s="12"/>
      <c r="DY845" s="12"/>
      <c r="DZ845" s="12"/>
      <c r="EA845" s="12"/>
      <c r="EB845" s="12"/>
      <c r="EC845" s="12"/>
      <c r="ED845" s="12"/>
      <c r="EE845" s="12"/>
      <c r="EF845" s="12"/>
      <c r="EG845" s="12"/>
      <c r="EH845" s="12"/>
      <c r="EI845" s="12"/>
      <c r="EJ845" s="574"/>
      <c r="EK845" s="574"/>
      <c r="EL845" s="574"/>
      <c r="EM845" s="574"/>
      <c r="EN845" s="574"/>
      <c r="EO845" s="574"/>
      <c r="EP845" s="574"/>
      <c r="EQ845" s="574"/>
      <c r="ER845" s="574"/>
      <c r="ES845" s="574"/>
      <c r="ET845" s="574"/>
      <c r="EU845" s="574"/>
    </row>
    <row r="846">
      <c r="A846" s="12"/>
      <c r="B846" s="55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  <c r="AX846" s="12"/>
      <c r="AY846" s="12"/>
      <c r="AZ846" s="12"/>
      <c r="BA846" s="12"/>
      <c r="BB846" s="12"/>
      <c r="BC846" s="12"/>
      <c r="BD846" s="12"/>
      <c r="BE846" s="12"/>
      <c r="BF846" s="12"/>
      <c r="BG846" s="12"/>
      <c r="BH846" s="12"/>
      <c r="BI846" s="12"/>
      <c r="BJ846" s="12"/>
      <c r="BK846" s="12"/>
      <c r="BL846" s="12"/>
      <c r="BM846" s="12"/>
      <c r="BN846" s="12"/>
      <c r="BO846" s="12"/>
      <c r="BP846" s="12"/>
      <c r="BQ846" s="12"/>
      <c r="BR846" s="12"/>
      <c r="BS846" s="12"/>
      <c r="BT846" s="12"/>
      <c r="BU846" s="12"/>
      <c r="BV846" s="12"/>
      <c r="BW846" s="12"/>
      <c r="BX846" s="12"/>
      <c r="BY846" s="12"/>
      <c r="BZ846" s="12"/>
      <c r="CA846" s="12"/>
      <c r="CB846" s="12"/>
      <c r="CC846" s="12"/>
      <c r="CD846" s="12"/>
      <c r="CE846" s="12"/>
      <c r="CF846" s="12"/>
      <c r="CG846" s="12"/>
      <c r="CH846" s="12"/>
      <c r="CI846" s="12"/>
      <c r="CJ846" s="12"/>
      <c r="CK846" s="12"/>
      <c r="CL846" s="12"/>
      <c r="CM846" s="12"/>
      <c r="CN846" s="12"/>
      <c r="CO846" s="12"/>
      <c r="CP846" s="12"/>
      <c r="CQ846" s="12"/>
      <c r="CR846" s="12"/>
      <c r="CS846" s="12"/>
      <c r="CT846" s="12"/>
      <c r="CU846" s="12"/>
      <c r="CV846" s="12"/>
      <c r="CW846" s="12"/>
      <c r="CX846" s="12"/>
      <c r="CY846" s="12"/>
      <c r="CZ846" s="12"/>
      <c r="DA846" s="12"/>
      <c r="DB846" s="12"/>
      <c r="DC846" s="12"/>
      <c r="DD846" s="12"/>
      <c r="DE846" s="12"/>
      <c r="DF846" s="12"/>
      <c r="DG846" s="12"/>
      <c r="DH846" s="12"/>
      <c r="DI846" s="12"/>
      <c r="DJ846" s="12"/>
      <c r="DK846" s="12"/>
      <c r="DL846" s="12"/>
      <c r="DM846" s="12"/>
      <c r="DN846" s="12"/>
      <c r="DO846" s="12"/>
      <c r="DP846" s="12"/>
      <c r="DQ846" s="12"/>
      <c r="DR846" s="12"/>
      <c r="DS846" s="12"/>
      <c r="DT846" s="12"/>
      <c r="DU846" s="12"/>
      <c r="DV846" s="12"/>
      <c r="DW846" s="12"/>
      <c r="DX846" s="12"/>
      <c r="DY846" s="12"/>
      <c r="DZ846" s="12"/>
      <c r="EA846" s="12"/>
      <c r="EB846" s="12"/>
      <c r="EC846" s="12"/>
      <c r="ED846" s="12"/>
      <c r="EE846" s="12"/>
      <c r="EF846" s="12"/>
      <c r="EG846" s="12"/>
      <c r="EH846" s="12"/>
      <c r="EI846" s="12"/>
      <c r="EJ846" s="574"/>
      <c r="EK846" s="574"/>
      <c r="EL846" s="574"/>
      <c r="EM846" s="574"/>
      <c r="EN846" s="574"/>
      <c r="EO846" s="574"/>
      <c r="EP846" s="574"/>
      <c r="EQ846" s="574"/>
      <c r="ER846" s="574"/>
      <c r="ES846" s="574"/>
      <c r="ET846" s="574"/>
      <c r="EU846" s="574"/>
    </row>
    <row r="847">
      <c r="A847" s="12"/>
      <c r="B847" s="55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  <c r="AX847" s="12"/>
      <c r="AY847" s="12"/>
      <c r="AZ847" s="12"/>
      <c r="BA847" s="12"/>
      <c r="BB847" s="12"/>
      <c r="BC847" s="12"/>
      <c r="BD847" s="12"/>
      <c r="BE847" s="12"/>
      <c r="BF847" s="12"/>
      <c r="BG847" s="12"/>
      <c r="BH847" s="12"/>
      <c r="BI847" s="12"/>
      <c r="BJ847" s="12"/>
      <c r="BK847" s="12"/>
      <c r="BL847" s="12"/>
      <c r="BM847" s="12"/>
      <c r="BN847" s="12"/>
      <c r="BO847" s="12"/>
      <c r="BP847" s="12"/>
      <c r="BQ847" s="12"/>
      <c r="BR847" s="12"/>
      <c r="BS847" s="12"/>
      <c r="BT847" s="12"/>
      <c r="BU847" s="12"/>
      <c r="BV847" s="12"/>
      <c r="BW847" s="12"/>
      <c r="BX847" s="12"/>
      <c r="BY847" s="12"/>
      <c r="BZ847" s="12"/>
      <c r="CA847" s="12"/>
      <c r="CB847" s="12"/>
      <c r="CC847" s="12"/>
      <c r="CD847" s="12"/>
      <c r="CE847" s="12"/>
      <c r="CF847" s="12"/>
      <c r="CG847" s="12"/>
      <c r="CH847" s="12"/>
      <c r="CI847" s="12"/>
      <c r="CJ847" s="12"/>
      <c r="CK847" s="12"/>
      <c r="CL847" s="12"/>
      <c r="CM847" s="12"/>
      <c r="CN847" s="12"/>
      <c r="CO847" s="12"/>
      <c r="CP847" s="12"/>
      <c r="CQ847" s="12"/>
      <c r="CR847" s="12"/>
      <c r="CS847" s="12"/>
      <c r="CT847" s="12"/>
      <c r="CU847" s="12"/>
      <c r="CV847" s="12"/>
      <c r="CW847" s="12"/>
      <c r="CX847" s="12"/>
      <c r="CY847" s="12"/>
      <c r="CZ847" s="12"/>
      <c r="DA847" s="12"/>
      <c r="DB847" s="12"/>
      <c r="DC847" s="12"/>
      <c r="DD847" s="12"/>
      <c r="DE847" s="12"/>
      <c r="DF847" s="12"/>
      <c r="DG847" s="12"/>
      <c r="DH847" s="12"/>
      <c r="DI847" s="12"/>
      <c r="DJ847" s="12"/>
      <c r="DK847" s="12"/>
      <c r="DL847" s="12"/>
      <c r="DM847" s="12"/>
      <c r="DN847" s="12"/>
      <c r="DO847" s="12"/>
      <c r="DP847" s="12"/>
      <c r="DQ847" s="12"/>
      <c r="DR847" s="12"/>
      <c r="DS847" s="12"/>
      <c r="DT847" s="12"/>
      <c r="DU847" s="12"/>
      <c r="DV847" s="12"/>
      <c r="DW847" s="12"/>
      <c r="DX847" s="12"/>
      <c r="DY847" s="12"/>
      <c r="DZ847" s="12"/>
      <c r="EA847" s="12"/>
      <c r="EB847" s="12"/>
      <c r="EC847" s="12"/>
      <c r="ED847" s="12"/>
      <c r="EE847" s="12"/>
      <c r="EF847" s="12"/>
      <c r="EG847" s="12"/>
      <c r="EH847" s="12"/>
      <c r="EI847" s="12"/>
      <c r="EJ847" s="574"/>
      <c r="EK847" s="574"/>
      <c r="EL847" s="574"/>
      <c r="EM847" s="574"/>
      <c r="EN847" s="574"/>
      <c r="EO847" s="574"/>
      <c r="EP847" s="574"/>
      <c r="EQ847" s="574"/>
      <c r="ER847" s="574"/>
      <c r="ES847" s="574"/>
      <c r="ET847" s="574"/>
      <c r="EU847" s="574"/>
    </row>
    <row r="848">
      <c r="A848" s="12"/>
      <c r="B848" s="55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  <c r="AX848" s="12"/>
      <c r="AY848" s="12"/>
      <c r="AZ848" s="12"/>
      <c r="BA848" s="12"/>
      <c r="BB848" s="12"/>
      <c r="BC848" s="12"/>
      <c r="BD848" s="12"/>
      <c r="BE848" s="12"/>
      <c r="BF848" s="12"/>
      <c r="BG848" s="12"/>
      <c r="BH848" s="12"/>
      <c r="BI848" s="12"/>
      <c r="BJ848" s="12"/>
      <c r="BK848" s="12"/>
      <c r="BL848" s="12"/>
      <c r="BM848" s="12"/>
      <c r="BN848" s="12"/>
      <c r="BO848" s="12"/>
      <c r="BP848" s="12"/>
      <c r="BQ848" s="12"/>
      <c r="BR848" s="12"/>
      <c r="BS848" s="12"/>
      <c r="BT848" s="12"/>
      <c r="BU848" s="12"/>
      <c r="BV848" s="12"/>
      <c r="BW848" s="12"/>
      <c r="BX848" s="12"/>
      <c r="BY848" s="12"/>
      <c r="BZ848" s="12"/>
      <c r="CA848" s="12"/>
      <c r="CB848" s="12"/>
      <c r="CC848" s="12"/>
      <c r="CD848" s="12"/>
      <c r="CE848" s="12"/>
      <c r="CF848" s="12"/>
      <c r="CG848" s="12"/>
      <c r="CH848" s="12"/>
      <c r="CI848" s="12"/>
      <c r="CJ848" s="12"/>
      <c r="CK848" s="12"/>
      <c r="CL848" s="12"/>
      <c r="CM848" s="12"/>
      <c r="CN848" s="12"/>
      <c r="CO848" s="12"/>
      <c r="CP848" s="12"/>
      <c r="CQ848" s="12"/>
      <c r="CR848" s="12"/>
      <c r="CS848" s="12"/>
      <c r="CT848" s="12"/>
      <c r="CU848" s="12"/>
      <c r="CV848" s="12"/>
      <c r="CW848" s="12"/>
      <c r="CX848" s="12"/>
      <c r="CY848" s="12"/>
      <c r="CZ848" s="12"/>
      <c r="DA848" s="12"/>
      <c r="DB848" s="12"/>
      <c r="DC848" s="12"/>
      <c r="DD848" s="12"/>
      <c r="DE848" s="12"/>
      <c r="DF848" s="12"/>
      <c r="DG848" s="12"/>
      <c r="DH848" s="12"/>
      <c r="DI848" s="12"/>
      <c r="DJ848" s="12"/>
      <c r="DK848" s="12"/>
      <c r="DL848" s="12"/>
      <c r="DM848" s="12"/>
      <c r="DN848" s="12"/>
      <c r="DO848" s="12"/>
      <c r="DP848" s="12"/>
      <c r="DQ848" s="12"/>
      <c r="DR848" s="12"/>
      <c r="DS848" s="12"/>
      <c r="DT848" s="12"/>
      <c r="DU848" s="12"/>
      <c r="DV848" s="12"/>
      <c r="DW848" s="12"/>
      <c r="DX848" s="12"/>
      <c r="DY848" s="12"/>
      <c r="DZ848" s="12"/>
      <c r="EA848" s="12"/>
      <c r="EB848" s="12"/>
      <c r="EC848" s="12"/>
      <c r="ED848" s="12"/>
      <c r="EE848" s="12"/>
      <c r="EF848" s="12"/>
      <c r="EG848" s="12"/>
      <c r="EH848" s="12"/>
      <c r="EI848" s="12"/>
      <c r="EJ848" s="574"/>
      <c r="EK848" s="574"/>
      <c r="EL848" s="574"/>
      <c r="EM848" s="574"/>
      <c r="EN848" s="574"/>
      <c r="EO848" s="574"/>
      <c r="EP848" s="574"/>
      <c r="EQ848" s="574"/>
      <c r="ER848" s="574"/>
      <c r="ES848" s="574"/>
      <c r="ET848" s="574"/>
      <c r="EU848" s="574"/>
    </row>
    <row r="849">
      <c r="A849" s="12"/>
      <c r="B849" s="55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  <c r="AX849" s="12"/>
      <c r="AY849" s="12"/>
      <c r="AZ849" s="12"/>
      <c r="BA849" s="12"/>
      <c r="BB849" s="12"/>
      <c r="BC849" s="12"/>
      <c r="BD849" s="12"/>
      <c r="BE849" s="12"/>
      <c r="BF849" s="12"/>
      <c r="BG849" s="12"/>
      <c r="BH849" s="12"/>
      <c r="BI849" s="12"/>
      <c r="BJ849" s="12"/>
      <c r="BK849" s="12"/>
      <c r="BL849" s="12"/>
      <c r="BM849" s="12"/>
      <c r="BN849" s="12"/>
      <c r="BO849" s="12"/>
      <c r="BP849" s="12"/>
      <c r="BQ849" s="12"/>
      <c r="BR849" s="12"/>
      <c r="BS849" s="12"/>
      <c r="BT849" s="12"/>
      <c r="BU849" s="12"/>
      <c r="BV849" s="12"/>
      <c r="BW849" s="12"/>
      <c r="BX849" s="12"/>
      <c r="BY849" s="12"/>
      <c r="BZ849" s="12"/>
      <c r="CA849" s="12"/>
      <c r="CB849" s="12"/>
      <c r="CC849" s="12"/>
      <c r="CD849" s="12"/>
      <c r="CE849" s="12"/>
      <c r="CF849" s="12"/>
      <c r="CG849" s="12"/>
      <c r="CH849" s="12"/>
      <c r="CI849" s="12"/>
      <c r="CJ849" s="12"/>
      <c r="CK849" s="12"/>
      <c r="CL849" s="12"/>
      <c r="CM849" s="12"/>
      <c r="CN849" s="12"/>
      <c r="CO849" s="12"/>
      <c r="CP849" s="12"/>
      <c r="CQ849" s="12"/>
      <c r="CR849" s="12"/>
      <c r="CS849" s="12"/>
      <c r="CT849" s="12"/>
      <c r="CU849" s="12"/>
      <c r="CV849" s="12"/>
      <c r="CW849" s="12"/>
      <c r="CX849" s="12"/>
      <c r="CY849" s="12"/>
      <c r="CZ849" s="12"/>
      <c r="DA849" s="12"/>
      <c r="DB849" s="12"/>
      <c r="DC849" s="12"/>
      <c r="DD849" s="12"/>
      <c r="DE849" s="12"/>
      <c r="DF849" s="12"/>
      <c r="DG849" s="12"/>
      <c r="DH849" s="12"/>
      <c r="DI849" s="12"/>
      <c r="DJ849" s="12"/>
      <c r="DK849" s="12"/>
      <c r="DL849" s="12"/>
      <c r="DM849" s="12"/>
      <c r="DN849" s="12"/>
      <c r="DO849" s="12"/>
      <c r="DP849" s="12"/>
      <c r="DQ849" s="12"/>
      <c r="DR849" s="12"/>
      <c r="DS849" s="12"/>
      <c r="DT849" s="12"/>
      <c r="DU849" s="12"/>
      <c r="DV849" s="12"/>
      <c r="DW849" s="12"/>
      <c r="DX849" s="12"/>
      <c r="DY849" s="12"/>
      <c r="DZ849" s="12"/>
      <c r="EA849" s="12"/>
      <c r="EB849" s="12"/>
      <c r="EC849" s="12"/>
      <c r="ED849" s="12"/>
      <c r="EE849" s="12"/>
      <c r="EF849" s="12"/>
      <c r="EG849" s="12"/>
      <c r="EH849" s="12"/>
      <c r="EI849" s="12"/>
      <c r="EJ849" s="574"/>
      <c r="EK849" s="574"/>
      <c r="EL849" s="574"/>
      <c r="EM849" s="574"/>
      <c r="EN849" s="574"/>
      <c r="EO849" s="574"/>
      <c r="EP849" s="574"/>
      <c r="EQ849" s="574"/>
      <c r="ER849" s="574"/>
      <c r="ES849" s="574"/>
      <c r="ET849" s="574"/>
      <c r="EU849" s="574"/>
    </row>
    <row r="850">
      <c r="A850" s="12"/>
      <c r="B850" s="55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  <c r="AX850" s="12"/>
      <c r="AY850" s="12"/>
      <c r="AZ850" s="12"/>
      <c r="BA850" s="12"/>
      <c r="BB850" s="12"/>
      <c r="BC850" s="12"/>
      <c r="BD850" s="12"/>
      <c r="BE850" s="12"/>
      <c r="BF850" s="12"/>
      <c r="BG850" s="12"/>
      <c r="BH850" s="12"/>
      <c r="BI850" s="12"/>
      <c r="BJ850" s="12"/>
      <c r="BK850" s="12"/>
      <c r="BL850" s="12"/>
      <c r="BM850" s="12"/>
      <c r="BN850" s="12"/>
      <c r="BO850" s="12"/>
      <c r="BP850" s="12"/>
      <c r="BQ850" s="12"/>
      <c r="BR850" s="12"/>
      <c r="BS850" s="12"/>
      <c r="BT850" s="12"/>
      <c r="BU850" s="12"/>
      <c r="BV850" s="12"/>
      <c r="BW850" s="12"/>
      <c r="BX850" s="12"/>
      <c r="BY850" s="12"/>
      <c r="BZ850" s="12"/>
      <c r="CA850" s="12"/>
      <c r="CB850" s="12"/>
      <c r="CC850" s="12"/>
      <c r="CD850" s="12"/>
      <c r="CE850" s="12"/>
      <c r="CF850" s="12"/>
      <c r="CG850" s="12"/>
      <c r="CH850" s="12"/>
      <c r="CI850" s="12"/>
      <c r="CJ850" s="12"/>
      <c r="CK850" s="12"/>
      <c r="CL850" s="12"/>
      <c r="CM850" s="12"/>
      <c r="CN850" s="12"/>
      <c r="CO850" s="12"/>
      <c r="CP850" s="12"/>
      <c r="CQ850" s="12"/>
      <c r="CR850" s="12"/>
      <c r="CS850" s="12"/>
      <c r="CT850" s="12"/>
      <c r="CU850" s="12"/>
      <c r="CV850" s="12"/>
      <c r="CW850" s="12"/>
      <c r="CX850" s="12"/>
      <c r="CY850" s="12"/>
      <c r="CZ850" s="12"/>
      <c r="DA850" s="12"/>
      <c r="DB850" s="12"/>
      <c r="DC850" s="12"/>
      <c r="DD850" s="12"/>
      <c r="DE850" s="12"/>
      <c r="DF850" s="12"/>
      <c r="DG850" s="12"/>
      <c r="DH850" s="12"/>
      <c r="DI850" s="12"/>
      <c r="DJ850" s="12"/>
      <c r="DK850" s="12"/>
      <c r="DL850" s="12"/>
      <c r="DM850" s="12"/>
      <c r="DN850" s="12"/>
      <c r="DO850" s="12"/>
      <c r="DP850" s="12"/>
      <c r="DQ850" s="12"/>
      <c r="DR850" s="12"/>
      <c r="DS850" s="12"/>
      <c r="DT850" s="12"/>
      <c r="DU850" s="12"/>
      <c r="DV850" s="12"/>
      <c r="DW850" s="12"/>
      <c r="DX850" s="12"/>
      <c r="DY850" s="12"/>
      <c r="DZ850" s="12"/>
      <c r="EA850" s="12"/>
      <c r="EB850" s="12"/>
      <c r="EC850" s="12"/>
      <c r="ED850" s="12"/>
      <c r="EE850" s="12"/>
      <c r="EF850" s="12"/>
      <c r="EG850" s="12"/>
      <c r="EH850" s="12"/>
      <c r="EI850" s="12"/>
      <c r="EJ850" s="574"/>
      <c r="EK850" s="574"/>
      <c r="EL850" s="574"/>
      <c r="EM850" s="574"/>
      <c r="EN850" s="574"/>
      <c r="EO850" s="574"/>
      <c r="EP850" s="574"/>
      <c r="EQ850" s="574"/>
      <c r="ER850" s="574"/>
      <c r="ES850" s="574"/>
      <c r="ET850" s="574"/>
      <c r="EU850" s="574"/>
    </row>
    <row r="851">
      <c r="A851" s="12"/>
      <c r="B851" s="55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  <c r="AX851" s="12"/>
      <c r="AY851" s="12"/>
      <c r="AZ851" s="12"/>
      <c r="BA851" s="12"/>
      <c r="BB851" s="12"/>
      <c r="BC851" s="12"/>
      <c r="BD851" s="12"/>
      <c r="BE851" s="12"/>
      <c r="BF851" s="12"/>
      <c r="BG851" s="12"/>
      <c r="BH851" s="12"/>
      <c r="BI851" s="12"/>
      <c r="BJ851" s="12"/>
      <c r="BK851" s="12"/>
      <c r="BL851" s="12"/>
      <c r="BM851" s="12"/>
      <c r="BN851" s="12"/>
      <c r="BO851" s="12"/>
      <c r="BP851" s="12"/>
      <c r="BQ851" s="12"/>
      <c r="BR851" s="12"/>
      <c r="BS851" s="12"/>
      <c r="BT851" s="12"/>
      <c r="BU851" s="12"/>
      <c r="BV851" s="12"/>
      <c r="BW851" s="12"/>
      <c r="BX851" s="12"/>
      <c r="BY851" s="12"/>
      <c r="BZ851" s="12"/>
      <c r="CA851" s="12"/>
      <c r="CB851" s="12"/>
      <c r="CC851" s="12"/>
      <c r="CD851" s="12"/>
      <c r="CE851" s="12"/>
      <c r="CF851" s="12"/>
      <c r="CG851" s="12"/>
      <c r="CH851" s="12"/>
      <c r="CI851" s="12"/>
      <c r="CJ851" s="12"/>
      <c r="CK851" s="12"/>
      <c r="CL851" s="12"/>
      <c r="CM851" s="12"/>
      <c r="CN851" s="12"/>
      <c r="CO851" s="12"/>
      <c r="CP851" s="12"/>
      <c r="CQ851" s="12"/>
      <c r="CR851" s="12"/>
      <c r="CS851" s="12"/>
      <c r="CT851" s="12"/>
      <c r="CU851" s="12"/>
      <c r="CV851" s="12"/>
      <c r="CW851" s="12"/>
      <c r="CX851" s="12"/>
      <c r="CY851" s="12"/>
      <c r="CZ851" s="12"/>
      <c r="DA851" s="12"/>
      <c r="DB851" s="12"/>
      <c r="DC851" s="12"/>
      <c r="DD851" s="12"/>
      <c r="DE851" s="12"/>
      <c r="DF851" s="12"/>
      <c r="DG851" s="12"/>
      <c r="DH851" s="12"/>
      <c r="DI851" s="12"/>
      <c r="DJ851" s="12"/>
      <c r="DK851" s="12"/>
      <c r="DL851" s="12"/>
      <c r="DM851" s="12"/>
      <c r="DN851" s="12"/>
      <c r="DO851" s="12"/>
      <c r="DP851" s="12"/>
      <c r="DQ851" s="12"/>
      <c r="DR851" s="12"/>
      <c r="DS851" s="12"/>
      <c r="DT851" s="12"/>
      <c r="DU851" s="12"/>
      <c r="DV851" s="12"/>
      <c r="DW851" s="12"/>
      <c r="DX851" s="12"/>
      <c r="DY851" s="12"/>
      <c r="DZ851" s="12"/>
      <c r="EA851" s="12"/>
      <c r="EB851" s="12"/>
      <c r="EC851" s="12"/>
      <c r="ED851" s="12"/>
      <c r="EE851" s="12"/>
      <c r="EF851" s="12"/>
      <c r="EG851" s="12"/>
      <c r="EH851" s="12"/>
      <c r="EI851" s="12"/>
      <c r="EJ851" s="574"/>
      <c r="EK851" s="574"/>
      <c r="EL851" s="574"/>
      <c r="EM851" s="574"/>
      <c r="EN851" s="574"/>
      <c r="EO851" s="574"/>
      <c r="EP851" s="574"/>
      <c r="EQ851" s="574"/>
      <c r="ER851" s="574"/>
      <c r="ES851" s="574"/>
      <c r="ET851" s="574"/>
      <c r="EU851" s="574"/>
    </row>
    <row r="852">
      <c r="A852" s="12"/>
      <c r="B852" s="55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  <c r="AX852" s="12"/>
      <c r="AY852" s="12"/>
      <c r="AZ852" s="12"/>
      <c r="BA852" s="12"/>
      <c r="BB852" s="12"/>
      <c r="BC852" s="12"/>
      <c r="BD852" s="12"/>
      <c r="BE852" s="12"/>
      <c r="BF852" s="12"/>
      <c r="BG852" s="12"/>
      <c r="BH852" s="12"/>
      <c r="BI852" s="12"/>
      <c r="BJ852" s="12"/>
      <c r="BK852" s="12"/>
      <c r="BL852" s="12"/>
      <c r="BM852" s="12"/>
      <c r="BN852" s="12"/>
      <c r="BO852" s="12"/>
      <c r="BP852" s="12"/>
      <c r="BQ852" s="12"/>
      <c r="BR852" s="12"/>
      <c r="BS852" s="12"/>
      <c r="BT852" s="12"/>
      <c r="BU852" s="12"/>
      <c r="BV852" s="12"/>
      <c r="BW852" s="12"/>
      <c r="BX852" s="12"/>
      <c r="BY852" s="12"/>
      <c r="BZ852" s="12"/>
      <c r="CA852" s="12"/>
      <c r="CB852" s="12"/>
      <c r="CC852" s="12"/>
      <c r="CD852" s="12"/>
      <c r="CE852" s="12"/>
      <c r="CF852" s="12"/>
      <c r="CG852" s="12"/>
      <c r="CH852" s="12"/>
      <c r="CI852" s="12"/>
      <c r="CJ852" s="12"/>
      <c r="CK852" s="12"/>
      <c r="CL852" s="12"/>
      <c r="CM852" s="12"/>
      <c r="CN852" s="12"/>
      <c r="CO852" s="12"/>
      <c r="CP852" s="12"/>
      <c r="CQ852" s="12"/>
      <c r="CR852" s="12"/>
      <c r="CS852" s="12"/>
      <c r="CT852" s="12"/>
      <c r="CU852" s="12"/>
      <c r="CV852" s="12"/>
      <c r="CW852" s="12"/>
      <c r="CX852" s="12"/>
      <c r="CY852" s="12"/>
      <c r="CZ852" s="12"/>
      <c r="DA852" s="12"/>
      <c r="DB852" s="12"/>
      <c r="DC852" s="12"/>
      <c r="DD852" s="12"/>
      <c r="DE852" s="12"/>
      <c r="DF852" s="12"/>
      <c r="DG852" s="12"/>
      <c r="DH852" s="12"/>
      <c r="DI852" s="12"/>
      <c r="DJ852" s="12"/>
      <c r="DK852" s="12"/>
      <c r="DL852" s="12"/>
      <c r="DM852" s="12"/>
      <c r="DN852" s="12"/>
      <c r="DO852" s="12"/>
      <c r="DP852" s="12"/>
      <c r="DQ852" s="12"/>
      <c r="DR852" s="12"/>
      <c r="DS852" s="12"/>
      <c r="DT852" s="12"/>
      <c r="DU852" s="12"/>
      <c r="DV852" s="12"/>
      <c r="DW852" s="12"/>
      <c r="DX852" s="12"/>
      <c r="DY852" s="12"/>
      <c r="DZ852" s="12"/>
      <c r="EA852" s="12"/>
      <c r="EB852" s="12"/>
      <c r="EC852" s="12"/>
      <c r="ED852" s="12"/>
      <c r="EE852" s="12"/>
      <c r="EF852" s="12"/>
      <c r="EG852" s="12"/>
      <c r="EH852" s="12"/>
      <c r="EI852" s="12"/>
      <c r="EJ852" s="574"/>
      <c r="EK852" s="574"/>
      <c r="EL852" s="574"/>
      <c r="EM852" s="574"/>
      <c r="EN852" s="574"/>
      <c r="EO852" s="574"/>
      <c r="EP852" s="574"/>
      <c r="EQ852" s="574"/>
      <c r="ER852" s="574"/>
      <c r="ES852" s="574"/>
      <c r="ET852" s="574"/>
      <c r="EU852" s="574"/>
    </row>
    <row r="853">
      <c r="A853" s="12"/>
      <c r="B853" s="55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  <c r="AX853" s="12"/>
      <c r="AY853" s="12"/>
      <c r="AZ853" s="12"/>
      <c r="BA853" s="12"/>
      <c r="BB853" s="12"/>
      <c r="BC853" s="12"/>
      <c r="BD853" s="12"/>
      <c r="BE853" s="12"/>
      <c r="BF853" s="12"/>
      <c r="BG853" s="12"/>
      <c r="BH853" s="12"/>
      <c r="BI853" s="12"/>
      <c r="BJ853" s="12"/>
      <c r="BK853" s="12"/>
      <c r="BL853" s="12"/>
      <c r="BM853" s="12"/>
      <c r="BN853" s="12"/>
      <c r="BO853" s="12"/>
      <c r="BP853" s="12"/>
      <c r="BQ853" s="12"/>
      <c r="BR853" s="12"/>
      <c r="BS853" s="12"/>
      <c r="BT853" s="12"/>
      <c r="BU853" s="12"/>
      <c r="BV853" s="12"/>
      <c r="BW853" s="12"/>
      <c r="BX853" s="12"/>
      <c r="BY853" s="12"/>
      <c r="BZ853" s="12"/>
      <c r="CA853" s="12"/>
      <c r="CB853" s="12"/>
      <c r="CC853" s="12"/>
      <c r="CD853" s="12"/>
      <c r="CE853" s="12"/>
      <c r="CF853" s="12"/>
      <c r="CG853" s="12"/>
      <c r="CH853" s="12"/>
      <c r="CI853" s="12"/>
      <c r="CJ853" s="12"/>
      <c r="CK853" s="12"/>
      <c r="CL853" s="12"/>
      <c r="CM853" s="12"/>
      <c r="CN853" s="12"/>
      <c r="CO853" s="12"/>
      <c r="CP853" s="12"/>
      <c r="CQ853" s="12"/>
      <c r="CR853" s="12"/>
      <c r="CS853" s="12"/>
      <c r="CT853" s="12"/>
      <c r="CU853" s="12"/>
      <c r="CV853" s="12"/>
      <c r="CW853" s="12"/>
      <c r="CX853" s="12"/>
      <c r="CY853" s="12"/>
      <c r="CZ853" s="12"/>
      <c r="DA853" s="12"/>
      <c r="DB853" s="12"/>
      <c r="DC853" s="12"/>
      <c r="DD853" s="12"/>
      <c r="DE853" s="12"/>
      <c r="DF853" s="12"/>
      <c r="DG853" s="12"/>
      <c r="DH853" s="12"/>
      <c r="DI853" s="12"/>
      <c r="DJ853" s="12"/>
      <c r="DK853" s="12"/>
      <c r="DL853" s="12"/>
      <c r="DM853" s="12"/>
      <c r="DN853" s="12"/>
      <c r="DO853" s="12"/>
      <c r="DP853" s="12"/>
      <c r="DQ853" s="12"/>
      <c r="DR853" s="12"/>
      <c r="DS853" s="12"/>
      <c r="DT853" s="12"/>
      <c r="DU853" s="12"/>
      <c r="DV853" s="12"/>
      <c r="DW853" s="12"/>
      <c r="DX853" s="12"/>
      <c r="DY853" s="12"/>
      <c r="DZ853" s="12"/>
      <c r="EA853" s="12"/>
      <c r="EB853" s="12"/>
      <c r="EC853" s="12"/>
      <c r="ED853" s="12"/>
      <c r="EE853" s="12"/>
      <c r="EF853" s="12"/>
      <c r="EG853" s="12"/>
      <c r="EH853" s="12"/>
      <c r="EI853" s="12"/>
      <c r="EJ853" s="574"/>
      <c r="EK853" s="574"/>
      <c r="EL853" s="574"/>
      <c r="EM853" s="574"/>
      <c r="EN853" s="574"/>
      <c r="EO853" s="574"/>
      <c r="EP853" s="574"/>
      <c r="EQ853" s="574"/>
      <c r="ER853" s="574"/>
      <c r="ES853" s="574"/>
      <c r="ET853" s="574"/>
      <c r="EU853" s="574"/>
    </row>
    <row r="854">
      <c r="A854" s="12"/>
      <c r="B854" s="55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  <c r="AX854" s="12"/>
      <c r="AY854" s="12"/>
      <c r="AZ854" s="12"/>
      <c r="BA854" s="12"/>
      <c r="BB854" s="12"/>
      <c r="BC854" s="12"/>
      <c r="BD854" s="12"/>
      <c r="BE854" s="12"/>
      <c r="BF854" s="12"/>
      <c r="BG854" s="12"/>
      <c r="BH854" s="12"/>
      <c r="BI854" s="12"/>
      <c r="BJ854" s="12"/>
      <c r="BK854" s="12"/>
      <c r="BL854" s="12"/>
      <c r="BM854" s="12"/>
      <c r="BN854" s="12"/>
      <c r="BO854" s="12"/>
      <c r="BP854" s="12"/>
      <c r="BQ854" s="12"/>
      <c r="BR854" s="12"/>
      <c r="BS854" s="12"/>
      <c r="BT854" s="12"/>
      <c r="BU854" s="12"/>
      <c r="BV854" s="12"/>
      <c r="BW854" s="12"/>
      <c r="BX854" s="12"/>
      <c r="BY854" s="12"/>
      <c r="BZ854" s="12"/>
      <c r="CA854" s="12"/>
      <c r="CB854" s="12"/>
      <c r="CC854" s="12"/>
      <c r="CD854" s="12"/>
      <c r="CE854" s="12"/>
      <c r="CF854" s="12"/>
      <c r="CG854" s="12"/>
      <c r="CH854" s="12"/>
      <c r="CI854" s="12"/>
      <c r="CJ854" s="12"/>
      <c r="CK854" s="12"/>
      <c r="CL854" s="12"/>
      <c r="CM854" s="12"/>
      <c r="CN854" s="12"/>
      <c r="CO854" s="12"/>
      <c r="CP854" s="12"/>
      <c r="CQ854" s="12"/>
      <c r="CR854" s="12"/>
      <c r="CS854" s="12"/>
      <c r="CT854" s="12"/>
      <c r="CU854" s="12"/>
      <c r="CV854" s="12"/>
      <c r="CW854" s="12"/>
      <c r="CX854" s="12"/>
      <c r="CY854" s="12"/>
      <c r="CZ854" s="12"/>
      <c r="DA854" s="12"/>
      <c r="DB854" s="12"/>
      <c r="DC854" s="12"/>
      <c r="DD854" s="12"/>
      <c r="DE854" s="12"/>
      <c r="DF854" s="12"/>
      <c r="DG854" s="12"/>
      <c r="DH854" s="12"/>
      <c r="DI854" s="12"/>
      <c r="DJ854" s="12"/>
      <c r="DK854" s="12"/>
      <c r="DL854" s="12"/>
      <c r="DM854" s="12"/>
      <c r="DN854" s="12"/>
      <c r="DO854" s="12"/>
      <c r="DP854" s="12"/>
      <c r="DQ854" s="12"/>
      <c r="DR854" s="12"/>
      <c r="DS854" s="12"/>
      <c r="DT854" s="12"/>
      <c r="DU854" s="12"/>
      <c r="DV854" s="12"/>
      <c r="DW854" s="12"/>
      <c r="DX854" s="12"/>
      <c r="DY854" s="12"/>
      <c r="DZ854" s="12"/>
      <c r="EA854" s="12"/>
      <c r="EB854" s="12"/>
      <c r="EC854" s="12"/>
      <c r="ED854" s="12"/>
      <c r="EE854" s="12"/>
      <c r="EF854" s="12"/>
      <c r="EG854" s="12"/>
      <c r="EH854" s="12"/>
      <c r="EI854" s="12"/>
      <c r="EJ854" s="574"/>
      <c r="EK854" s="574"/>
      <c r="EL854" s="574"/>
      <c r="EM854" s="574"/>
      <c r="EN854" s="574"/>
      <c r="EO854" s="574"/>
      <c r="EP854" s="574"/>
      <c r="EQ854" s="574"/>
      <c r="ER854" s="574"/>
      <c r="ES854" s="574"/>
      <c r="ET854" s="574"/>
      <c r="EU854" s="574"/>
    </row>
    <row r="855">
      <c r="A855" s="12"/>
      <c r="B855" s="55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  <c r="AX855" s="12"/>
      <c r="AY855" s="12"/>
      <c r="AZ855" s="12"/>
      <c r="BA855" s="12"/>
      <c r="BB855" s="12"/>
      <c r="BC855" s="12"/>
      <c r="BD855" s="12"/>
      <c r="BE855" s="12"/>
      <c r="BF855" s="12"/>
      <c r="BG855" s="12"/>
      <c r="BH855" s="12"/>
      <c r="BI855" s="12"/>
      <c r="BJ855" s="12"/>
      <c r="BK855" s="12"/>
      <c r="BL855" s="12"/>
      <c r="BM855" s="12"/>
      <c r="BN855" s="12"/>
      <c r="BO855" s="12"/>
      <c r="BP855" s="12"/>
      <c r="BQ855" s="12"/>
      <c r="BR855" s="12"/>
      <c r="BS855" s="12"/>
      <c r="BT855" s="12"/>
      <c r="BU855" s="12"/>
      <c r="BV855" s="12"/>
      <c r="BW855" s="12"/>
      <c r="BX855" s="12"/>
      <c r="BY855" s="12"/>
      <c r="BZ855" s="12"/>
      <c r="CA855" s="12"/>
      <c r="CB855" s="12"/>
      <c r="CC855" s="12"/>
      <c r="CD855" s="12"/>
      <c r="CE855" s="12"/>
      <c r="CF855" s="12"/>
      <c r="CG855" s="12"/>
      <c r="CH855" s="12"/>
      <c r="CI855" s="12"/>
      <c r="CJ855" s="12"/>
      <c r="CK855" s="12"/>
      <c r="CL855" s="12"/>
      <c r="CM855" s="12"/>
      <c r="CN855" s="12"/>
      <c r="CO855" s="12"/>
      <c r="CP855" s="12"/>
      <c r="CQ855" s="12"/>
      <c r="CR855" s="12"/>
      <c r="CS855" s="12"/>
      <c r="CT855" s="12"/>
      <c r="CU855" s="12"/>
      <c r="CV855" s="12"/>
      <c r="CW855" s="12"/>
      <c r="CX855" s="12"/>
      <c r="CY855" s="12"/>
      <c r="CZ855" s="12"/>
      <c r="DA855" s="12"/>
      <c r="DB855" s="12"/>
      <c r="DC855" s="12"/>
      <c r="DD855" s="12"/>
      <c r="DE855" s="12"/>
      <c r="DF855" s="12"/>
      <c r="DG855" s="12"/>
      <c r="DH855" s="12"/>
      <c r="DI855" s="12"/>
      <c r="DJ855" s="12"/>
      <c r="DK855" s="12"/>
      <c r="DL855" s="12"/>
      <c r="DM855" s="12"/>
      <c r="DN855" s="12"/>
      <c r="DO855" s="12"/>
      <c r="DP855" s="12"/>
      <c r="DQ855" s="12"/>
      <c r="DR855" s="12"/>
      <c r="DS855" s="12"/>
      <c r="DT855" s="12"/>
      <c r="DU855" s="12"/>
      <c r="DV855" s="12"/>
      <c r="DW855" s="12"/>
      <c r="DX855" s="12"/>
      <c r="DY855" s="12"/>
      <c r="DZ855" s="12"/>
      <c r="EA855" s="12"/>
      <c r="EB855" s="12"/>
      <c r="EC855" s="12"/>
      <c r="ED855" s="12"/>
      <c r="EE855" s="12"/>
      <c r="EF855" s="12"/>
      <c r="EG855" s="12"/>
      <c r="EH855" s="12"/>
      <c r="EI855" s="12"/>
      <c r="EJ855" s="574"/>
      <c r="EK855" s="574"/>
      <c r="EL855" s="574"/>
      <c r="EM855" s="574"/>
      <c r="EN855" s="574"/>
      <c r="EO855" s="574"/>
      <c r="EP855" s="574"/>
      <c r="EQ855" s="574"/>
      <c r="ER855" s="574"/>
      <c r="ES855" s="574"/>
      <c r="ET855" s="574"/>
      <c r="EU855" s="574"/>
    </row>
    <row r="856">
      <c r="A856" s="12"/>
      <c r="B856" s="55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  <c r="AX856" s="12"/>
      <c r="AY856" s="12"/>
      <c r="AZ856" s="12"/>
      <c r="BA856" s="12"/>
      <c r="BB856" s="12"/>
      <c r="BC856" s="12"/>
      <c r="BD856" s="12"/>
      <c r="BE856" s="12"/>
      <c r="BF856" s="12"/>
      <c r="BG856" s="12"/>
      <c r="BH856" s="12"/>
      <c r="BI856" s="12"/>
      <c r="BJ856" s="12"/>
      <c r="BK856" s="12"/>
      <c r="BL856" s="12"/>
      <c r="BM856" s="12"/>
      <c r="BN856" s="12"/>
      <c r="BO856" s="12"/>
      <c r="BP856" s="12"/>
      <c r="BQ856" s="12"/>
      <c r="BR856" s="12"/>
      <c r="BS856" s="12"/>
      <c r="BT856" s="12"/>
      <c r="BU856" s="12"/>
      <c r="BV856" s="12"/>
      <c r="BW856" s="12"/>
      <c r="BX856" s="12"/>
      <c r="BY856" s="12"/>
      <c r="BZ856" s="12"/>
      <c r="CA856" s="12"/>
      <c r="CB856" s="12"/>
      <c r="CC856" s="12"/>
      <c r="CD856" s="12"/>
      <c r="CE856" s="12"/>
      <c r="CF856" s="12"/>
      <c r="CG856" s="12"/>
      <c r="CH856" s="12"/>
      <c r="CI856" s="12"/>
      <c r="CJ856" s="12"/>
      <c r="CK856" s="12"/>
      <c r="CL856" s="12"/>
      <c r="CM856" s="12"/>
      <c r="CN856" s="12"/>
      <c r="CO856" s="12"/>
      <c r="CP856" s="12"/>
      <c r="CQ856" s="12"/>
      <c r="CR856" s="12"/>
      <c r="CS856" s="12"/>
      <c r="CT856" s="12"/>
      <c r="CU856" s="12"/>
      <c r="CV856" s="12"/>
      <c r="CW856" s="12"/>
      <c r="CX856" s="12"/>
      <c r="CY856" s="12"/>
      <c r="CZ856" s="12"/>
      <c r="DA856" s="12"/>
      <c r="DB856" s="12"/>
      <c r="DC856" s="12"/>
      <c r="DD856" s="12"/>
      <c r="DE856" s="12"/>
      <c r="DF856" s="12"/>
      <c r="DG856" s="12"/>
      <c r="DH856" s="12"/>
      <c r="DI856" s="12"/>
      <c r="DJ856" s="12"/>
      <c r="DK856" s="12"/>
      <c r="DL856" s="12"/>
      <c r="DM856" s="12"/>
      <c r="DN856" s="12"/>
      <c r="DO856" s="12"/>
      <c r="DP856" s="12"/>
      <c r="DQ856" s="12"/>
      <c r="DR856" s="12"/>
      <c r="DS856" s="12"/>
      <c r="DT856" s="12"/>
      <c r="DU856" s="12"/>
      <c r="DV856" s="12"/>
      <c r="DW856" s="12"/>
      <c r="DX856" s="12"/>
      <c r="DY856" s="12"/>
      <c r="DZ856" s="12"/>
      <c r="EA856" s="12"/>
      <c r="EB856" s="12"/>
      <c r="EC856" s="12"/>
      <c r="ED856" s="12"/>
      <c r="EE856" s="12"/>
      <c r="EF856" s="12"/>
      <c r="EG856" s="12"/>
      <c r="EH856" s="12"/>
      <c r="EI856" s="12"/>
      <c r="EJ856" s="574"/>
      <c r="EK856" s="574"/>
      <c r="EL856" s="574"/>
      <c r="EM856" s="574"/>
      <c r="EN856" s="574"/>
      <c r="EO856" s="574"/>
      <c r="EP856" s="574"/>
      <c r="EQ856" s="574"/>
      <c r="ER856" s="574"/>
      <c r="ES856" s="574"/>
      <c r="ET856" s="574"/>
      <c r="EU856" s="574"/>
    </row>
    <row r="857">
      <c r="A857" s="12"/>
      <c r="B857" s="55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"/>
      <c r="AX857" s="12"/>
      <c r="AY857" s="12"/>
      <c r="AZ857" s="12"/>
      <c r="BA857" s="12"/>
      <c r="BB857" s="12"/>
      <c r="BC857" s="12"/>
      <c r="BD857" s="12"/>
      <c r="BE857" s="12"/>
      <c r="BF857" s="12"/>
      <c r="BG857" s="12"/>
      <c r="BH857" s="12"/>
      <c r="BI857" s="12"/>
      <c r="BJ857" s="12"/>
      <c r="BK857" s="12"/>
      <c r="BL857" s="12"/>
      <c r="BM857" s="12"/>
      <c r="BN857" s="12"/>
      <c r="BO857" s="12"/>
      <c r="BP857" s="12"/>
      <c r="BQ857" s="12"/>
      <c r="BR857" s="12"/>
      <c r="BS857" s="12"/>
      <c r="BT857" s="12"/>
      <c r="BU857" s="12"/>
      <c r="BV857" s="12"/>
      <c r="BW857" s="12"/>
      <c r="BX857" s="12"/>
      <c r="BY857" s="12"/>
      <c r="BZ857" s="12"/>
      <c r="CA857" s="12"/>
      <c r="CB857" s="12"/>
      <c r="CC857" s="12"/>
      <c r="CD857" s="12"/>
      <c r="CE857" s="12"/>
      <c r="CF857" s="12"/>
      <c r="CG857" s="12"/>
      <c r="CH857" s="12"/>
      <c r="CI857" s="12"/>
      <c r="CJ857" s="12"/>
      <c r="CK857" s="12"/>
      <c r="CL857" s="12"/>
      <c r="CM857" s="12"/>
      <c r="CN857" s="12"/>
      <c r="CO857" s="12"/>
      <c r="CP857" s="12"/>
      <c r="CQ857" s="12"/>
      <c r="CR857" s="12"/>
      <c r="CS857" s="12"/>
      <c r="CT857" s="12"/>
      <c r="CU857" s="12"/>
      <c r="CV857" s="12"/>
      <c r="CW857" s="12"/>
      <c r="CX857" s="12"/>
      <c r="CY857" s="12"/>
      <c r="CZ857" s="12"/>
      <c r="DA857" s="12"/>
      <c r="DB857" s="12"/>
      <c r="DC857" s="12"/>
      <c r="DD857" s="12"/>
      <c r="DE857" s="12"/>
      <c r="DF857" s="12"/>
      <c r="DG857" s="12"/>
      <c r="DH857" s="12"/>
      <c r="DI857" s="12"/>
      <c r="DJ857" s="12"/>
      <c r="DK857" s="12"/>
      <c r="DL857" s="12"/>
      <c r="DM857" s="12"/>
      <c r="DN857" s="12"/>
      <c r="DO857" s="12"/>
      <c r="DP857" s="12"/>
      <c r="DQ857" s="12"/>
      <c r="DR857" s="12"/>
      <c r="DS857" s="12"/>
      <c r="DT857" s="12"/>
      <c r="DU857" s="12"/>
      <c r="DV857" s="12"/>
      <c r="DW857" s="12"/>
      <c r="DX857" s="12"/>
      <c r="DY857" s="12"/>
      <c r="DZ857" s="12"/>
      <c r="EA857" s="12"/>
      <c r="EB857" s="12"/>
      <c r="EC857" s="12"/>
      <c r="ED857" s="12"/>
      <c r="EE857" s="12"/>
      <c r="EF857" s="12"/>
      <c r="EG857" s="12"/>
      <c r="EH857" s="12"/>
      <c r="EI857" s="12"/>
      <c r="EJ857" s="574"/>
      <c r="EK857" s="574"/>
      <c r="EL857" s="574"/>
      <c r="EM857" s="574"/>
      <c r="EN857" s="574"/>
      <c r="EO857" s="574"/>
      <c r="EP857" s="574"/>
      <c r="EQ857" s="574"/>
      <c r="ER857" s="574"/>
      <c r="ES857" s="574"/>
      <c r="ET857" s="574"/>
      <c r="EU857" s="574"/>
    </row>
    <row r="858">
      <c r="A858" s="12"/>
      <c r="B858" s="55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  <c r="AW858" s="12"/>
      <c r="AX858" s="12"/>
      <c r="AY858" s="12"/>
      <c r="AZ858" s="12"/>
      <c r="BA858" s="12"/>
      <c r="BB858" s="12"/>
      <c r="BC858" s="12"/>
      <c r="BD858" s="12"/>
      <c r="BE858" s="12"/>
      <c r="BF858" s="12"/>
      <c r="BG858" s="12"/>
      <c r="BH858" s="12"/>
      <c r="BI858" s="12"/>
      <c r="BJ858" s="12"/>
      <c r="BK858" s="12"/>
      <c r="BL858" s="12"/>
      <c r="BM858" s="12"/>
      <c r="BN858" s="12"/>
      <c r="BO858" s="12"/>
      <c r="BP858" s="12"/>
      <c r="BQ858" s="12"/>
      <c r="BR858" s="12"/>
      <c r="BS858" s="12"/>
      <c r="BT858" s="12"/>
      <c r="BU858" s="12"/>
      <c r="BV858" s="12"/>
      <c r="BW858" s="12"/>
      <c r="BX858" s="12"/>
      <c r="BY858" s="12"/>
      <c r="BZ858" s="12"/>
      <c r="CA858" s="12"/>
      <c r="CB858" s="12"/>
      <c r="CC858" s="12"/>
      <c r="CD858" s="12"/>
      <c r="CE858" s="12"/>
      <c r="CF858" s="12"/>
      <c r="CG858" s="12"/>
      <c r="CH858" s="12"/>
      <c r="CI858" s="12"/>
      <c r="CJ858" s="12"/>
      <c r="CK858" s="12"/>
      <c r="CL858" s="12"/>
      <c r="CM858" s="12"/>
      <c r="CN858" s="12"/>
      <c r="CO858" s="12"/>
      <c r="CP858" s="12"/>
      <c r="CQ858" s="12"/>
      <c r="CR858" s="12"/>
      <c r="CS858" s="12"/>
      <c r="CT858" s="12"/>
      <c r="CU858" s="12"/>
      <c r="CV858" s="12"/>
      <c r="CW858" s="12"/>
      <c r="CX858" s="12"/>
      <c r="CY858" s="12"/>
      <c r="CZ858" s="12"/>
      <c r="DA858" s="12"/>
      <c r="DB858" s="12"/>
      <c r="DC858" s="12"/>
      <c r="DD858" s="12"/>
      <c r="DE858" s="12"/>
      <c r="DF858" s="12"/>
      <c r="DG858" s="12"/>
      <c r="DH858" s="12"/>
      <c r="DI858" s="12"/>
      <c r="DJ858" s="12"/>
      <c r="DK858" s="12"/>
      <c r="DL858" s="12"/>
      <c r="DM858" s="12"/>
      <c r="DN858" s="12"/>
      <c r="DO858" s="12"/>
      <c r="DP858" s="12"/>
      <c r="DQ858" s="12"/>
      <c r="DR858" s="12"/>
      <c r="DS858" s="12"/>
      <c r="DT858" s="12"/>
      <c r="DU858" s="12"/>
      <c r="DV858" s="12"/>
      <c r="DW858" s="12"/>
      <c r="DX858" s="12"/>
      <c r="DY858" s="12"/>
      <c r="DZ858" s="12"/>
      <c r="EA858" s="12"/>
      <c r="EB858" s="12"/>
      <c r="EC858" s="12"/>
      <c r="ED858" s="12"/>
      <c r="EE858" s="12"/>
      <c r="EF858" s="12"/>
      <c r="EG858" s="12"/>
      <c r="EH858" s="12"/>
      <c r="EI858" s="12"/>
      <c r="EJ858" s="574"/>
      <c r="EK858" s="574"/>
      <c r="EL858" s="574"/>
      <c r="EM858" s="574"/>
      <c r="EN858" s="574"/>
      <c r="EO858" s="574"/>
      <c r="EP858" s="574"/>
      <c r="EQ858" s="574"/>
      <c r="ER858" s="574"/>
      <c r="ES858" s="574"/>
      <c r="ET858" s="574"/>
      <c r="EU858" s="574"/>
    </row>
    <row r="859">
      <c r="A859" s="12"/>
      <c r="B859" s="55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  <c r="AW859" s="12"/>
      <c r="AX859" s="12"/>
      <c r="AY859" s="12"/>
      <c r="AZ859" s="12"/>
      <c r="BA859" s="12"/>
      <c r="BB859" s="12"/>
      <c r="BC859" s="12"/>
      <c r="BD859" s="12"/>
      <c r="BE859" s="12"/>
      <c r="BF859" s="12"/>
      <c r="BG859" s="12"/>
      <c r="BH859" s="12"/>
      <c r="BI859" s="12"/>
      <c r="BJ859" s="12"/>
      <c r="BK859" s="12"/>
      <c r="BL859" s="12"/>
      <c r="BM859" s="12"/>
      <c r="BN859" s="12"/>
      <c r="BO859" s="12"/>
      <c r="BP859" s="12"/>
      <c r="BQ859" s="12"/>
      <c r="BR859" s="12"/>
      <c r="BS859" s="12"/>
      <c r="BT859" s="12"/>
      <c r="BU859" s="12"/>
      <c r="BV859" s="12"/>
      <c r="BW859" s="12"/>
      <c r="BX859" s="12"/>
      <c r="BY859" s="12"/>
      <c r="BZ859" s="12"/>
      <c r="CA859" s="12"/>
      <c r="CB859" s="12"/>
      <c r="CC859" s="12"/>
      <c r="CD859" s="12"/>
      <c r="CE859" s="12"/>
      <c r="CF859" s="12"/>
      <c r="CG859" s="12"/>
      <c r="CH859" s="12"/>
      <c r="CI859" s="12"/>
      <c r="CJ859" s="12"/>
      <c r="CK859" s="12"/>
      <c r="CL859" s="12"/>
      <c r="CM859" s="12"/>
      <c r="CN859" s="12"/>
      <c r="CO859" s="12"/>
      <c r="CP859" s="12"/>
      <c r="CQ859" s="12"/>
      <c r="CR859" s="12"/>
      <c r="CS859" s="12"/>
      <c r="CT859" s="12"/>
      <c r="CU859" s="12"/>
      <c r="CV859" s="12"/>
      <c r="CW859" s="12"/>
      <c r="CX859" s="12"/>
      <c r="CY859" s="12"/>
      <c r="CZ859" s="12"/>
      <c r="DA859" s="12"/>
      <c r="DB859" s="12"/>
      <c r="DC859" s="12"/>
      <c r="DD859" s="12"/>
      <c r="DE859" s="12"/>
      <c r="DF859" s="12"/>
      <c r="DG859" s="12"/>
      <c r="DH859" s="12"/>
      <c r="DI859" s="12"/>
      <c r="DJ859" s="12"/>
      <c r="DK859" s="12"/>
      <c r="DL859" s="12"/>
      <c r="DM859" s="12"/>
      <c r="DN859" s="12"/>
      <c r="DO859" s="12"/>
      <c r="DP859" s="12"/>
      <c r="DQ859" s="12"/>
      <c r="DR859" s="12"/>
      <c r="DS859" s="12"/>
      <c r="DT859" s="12"/>
      <c r="DU859" s="12"/>
      <c r="DV859" s="12"/>
      <c r="DW859" s="12"/>
      <c r="DX859" s="12"/>
      <c r="DY859" s="12"/>
      <c r="DZ859" s="12"/>
      <c r="EA859" s="12"/>
      <c r="EB859" s="12"/>
      <c r="EC859" s="12"/>
      <c r="ED859" s="12"/>
      <c r="EE859" s="12"/>
      <c r="EF859" s="12"/>
      <c r="EG859" s="12"/>
      <c r="EH859" s="12"/>
      <c r="EI859" s="12"/>
      <c r="EJ859" s="574"/>
      <c r="EK859" s="574"/>
      <c r="EL859" s="574"/>
      <c r="EM859" s="574"/>
      <c r="EN859" s="574"/>
      <c r="EO859" s="574"/>
      <c r="EP859" s="574"/>
      <c r="EQ859" s="574"/>
      <c r="ER859" s="574"/>
      <c r="ES859" s="574"/>
      <c r="ET859" s="574"/>
      <c r="EU859" s="574"/>
    </row>
    <row r="860">
      <c r="A860" s="12"/>
      <c r="B860" s="55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  <c r="AX860" s="12"/>
      <c r="AY860" s="12"/>
      <c r="AZ860" s="12"/>
      <c r="BA860" s="12"/>
      <c r="BB860" s="12"/>
      <c r="BC860" s="12"/>
      <c r="BD860" s="12"/>
      <c r="BE860" s="12"/>
      <c r="BF860" s="12"/>
      <c r="BG860" s="12"/>
      <c r="BH860" s="12"/>
      <c r="BI860" s="12"/>
      <c r="BJ860" s="12"/>
      <c r="BK860" s="12"/>
      <c r="BL860" s="12"/>
      <c r="BM860" s="12"/>
      <c r="BN860" s="12"/>
      <c r="BO860" s="12"/>
      <c r="BP860" s="12"/>
      <c r="BQ860" s="12"/>
      <c r="BR860" s="12"/>
      <c r="BS860" s="12"/>
      <c r="BT860" s="12"/>
      <c r="BU860" s="12"/>
      <c r="BV860" s="12"/>
      <c r="BW860" s="12"/>
      <c r="BX860" s="12"/>
      <c r="BY860" s="12"/>
      <c r="BZ860" s="12"/>
      <c r="CA860" s="12"/>
      <c r="CB860" s="12"/>
      <c r="CC860" s="12"/>
      <c r="CD860" s="12"/>
      <c r="CE860" s="12"/>
      <c r="CF860" s="12"/>
      <c r="CG860" s="12"/>
      <c r="CH860" s="12"/>
      <c r="CI860" s="12"/>
      <c r="CJ860" s="12"/>
      <c r="CK860" s="12"/>
      <c r="CL860" s="12"/>
      <c r="CM860" s="12"/>
      <c r="CN860" s="12"/>
      <c r="CO860" s="12"/>
      <c r="CP860" s="12"/>
      <c r="CQ860" s="12"/>
      <c r="CR860" s="12"/>
      <c r="CS860" s="12"/>
      <c r="CT860" s="12"/>
      <c r="CU860" s="12"/>
      <c r="CV860" s="12"/>
      <c r="CW860" s="12"/>
      <c r="CX860" s="12"/>
      <c r="CY860" s="12"/>
      <c r="CZ860" s="12"/>
      <c r="DA860" s="12"/>
      <c r="DB860" s="12"/>
      <c r="DC860" s="12"/>
      <c r="DD860" s="12"/>
      <c r="DE860" s="12"/>
      <c r="DF860" s="12"/>
      <c r="DG860" s="12"/>
      <c r="DH860" s="12"/>
      <c r="DI860" s="12"/>
      <c r="DJ860" s="12"/>
      <c r="DK860" s="12"/>
      <c r="DL860" s="12"/>
      <c r="DM860" s="12"/>
      <c r="DN860" s="12"/>
      <c r="DO860" s="12"/>
      <c r="DP860" s="12"/>
      <c r="DQ860" s="12"/>
      <c r="DR860" s="12"/>
      <c r="DS860" s="12"/>
      <c r="DT860" s="12"/>
      <c r="DU860" s="12"/>
      <c r="DV860" s="12"/>
      <c r="DW860" s="12"/>
      <c r="DX860" s="12"/>
      <c r="DY860" s="12"/>
      <c r="DZ860" s="12"/>
      <c r="EA860" s="12"/>
      <c r="EB860" s="12"/>
      <c r="EC860" s="12"/>
      <c r="ED860" s="12"/>
      <c r="EE860" s="12"/>
      <c r="EF860" s="12"/>
      <c r="EG860" s="12"/>
      <c r="EH860" s="12"/>
      <c r="EI860" s="12"/>
      <c r="EJ860" s="574"/>
      <c r="EK860" s="574"/>
      <c r="EL860" s="574"/>
      <c r="EM860" s="574"/>
      <c r="EN860" s="574"/>
      <c r="EO860" s="574"/>
      <c r="EP860" s="574"/>
      <c r="EQ860" s="574"/>
      <c r="ER860" s="574"/>
      <c r="ES860" s="574"/>
      <c r="ET860" s="574"/>
      <c r="EU860" s="574"/>
    </row>
    <row r="861">
      <c r="A861" s="12"/>
      <c r="B861" s="55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  <c r="AX861" s="12"/>
      <c r="AY861" s="12"/>
      <c r="AZ861" s="12"/>
      <c r="BA861" s="12"/>
      <c r="BB861" s="12"/>
      <c r="BC861" s="12"/>
      <c r="BD861" s="12"/>
      <c r="BE861" s="12"/>
      <c r="BF861" s="12"/>
      <c r="BG861" s="12"/>
      <c r="BH861" s="12"/>
      <c r="BI861" s="12"/>
      <c r="BJ861" s="12"/>
      <c r="BK861" s="12"/>
      <c r="BL861" s="12"/>
      <c r="BM861" s="12"/>
      <c r="BN861" s="12"/>
      <c r="BO861" s="12"/>
      <c r="BP861" s="12"/>
      <c r="BQ861" s="12"/>
      <c r="BR861" s="12"/>
      <c r="BS861" s="12"/>
      <c r="BT861" s="12"/>
      <c r="BU861" s="12"/>
      <c r="BV861" s="12"/>
      <c r="BW861" s="12"/>
      <c r="BX861" s="12"/>
      <c r="BY861" s="12"/>
      <c r="BZ861" s="12"/>
      <c r="CA861" s="12"/>
      <c r="CB861" s="12"/>
      <c r="CC861" s="12"/>
      <c r="CD861" s="12"/>
      <c r="CE861" s="12"/>
      <c r="CF861" s="12"/>
      <c r="CG861" s="12"/>
      <c r="CH861" s="12"/>
      <c r="CI861" s="12"/>
      <c r="CJ861" s="12"/>
      <c r="CK861" s="12"/>
      <c r="CL861" s="12"/>
      <c r="CM861" s="12"/>
      <c r="CN861" s="12"/>
      <c r="CO861" s="12"/>
      <c r="CP861" s="12"/>
      <c r="CQ861" s="12"/>
      <c r="CR861" s="12"/>
      <c r="CS861" s="12"/>
      <c r="CT861" s="12"/>
      <c r="CU861" s="12"/>
      <c r="CV861" s="12"/>
      <c r="CW861" s="12"/>
      <c r="CX861" s="12"/>
      <c r="CY861" s="12"/>
      <c r="CZ861" s="12"/>
      <c r="DA861" s="12"/>
      <c r="DB861" s="12"/>
      <c r="DC861" s="12"/>
      <c r="DD861" s="12"/>
      <c r="DE861" s="12"/>
      <c r="DF861" s="12"/>
      <c r="DG861" s="12"/>
      <c r="DH861" s="12"/>
      <c r="DI861" s="12"/>
      <c r="DJ861" s="12"/>
      <c r="DK861" s="12"/>
      <c r="DL861" s="12"/>
      <c r="DM861" s="12"/>
      <c r="DN861" s="12"/>
      <c r="DO861" s="12"/>
      <c r="DP861" s="12"/>
      <c r="DQ861" s="12"/>
      <c r="DR861" s="12"/>
      <c r="DS861" s="12"/>
      <c r="DT861" s="12"/>
      <c r="DU861" s="12"/>
      <c r="DV861" s="12"/>
      <c r="DW861" s="12"/>
      <c r="DX861" s="12"/>
      <c r="DY861" s="12"/>
      <c r="DZ861" s="12"/>
      <c r="EA861" s="12"/>
      <c r="EB861" s="12"/>
      <c r="EC861" s="12"/>
      <c r="ED861" s="12"/>
      <c r="EE861" s="12"/>
      <c r="EF861" s="12"/>
      <c r="EG861" s="12"/>
      <c r="EH861" s="12"/>
      <c r="EI861" s="12"/>
      <c r="EJ861" s="574"/>
      <c r="EK861" s="574"/>
      <c r="EL861" s="574"/>
      <c r="EM861" s="574"/>
      <c r="EN861" s="574"/>
      <c r="EO861" s="574"/>
      <c r="EP861" s="574"/>
      <c r="EQ861" s="574"/>
      <c r="ER861" s="574"/>
      <c r="ES861" s="574"/>
      <c r="ET861" s="574"/>
      <c r="EU861" s="574"/>
    </row>
    <row r="862">
      <c r="A862" s="12"/>
      <c r="B862" s="55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  <c r="AW862" s="12"/>
      <c r="AX862" s="12"/>
      <c r="AY862" s="12"/>
      <c r="AZ862" s="12"/>
      <c r="BA862" s="12"/>
      <c r="BB862" s="12"/>
      <c r="BC862" s="12"/>
      <c r="BD862" s="12"/>
      <c r="BE862" s="12"/>
      <c r="BF862" s="12"/>
      <c r="BG862" s="12"/>
      <c r="BH862" s="12"/>
      <c r="BI862" s="12"/>
      <c r="BJ862" s="12"/>
      <c r="BK862" s="12"/>
      <c r="BL862" s="12"/>
      <c r="BM862" s="12"/>
      <c r="BN862" s="12"/>
      <c r="BO862" s="12"/>
      <c r="BP862" s="12"/>
      <c r="BQ862" s="12"/>
      <c r="BR862" s="12"/>
      <c r="BS862" s="12"/>
      <c r="BT862" s="12"/>
      <c r="BU862" s="12"/>
      <c r="BV862" s="12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574"/>
      <c r="EK862" s="574"/>
      <c r="EL862" s="574"/>
      <c r="EM862" s="574"/>
      <c r="EN862" s="574"/>
      <c r="EO862" s="574"/>
      <c r="EP862" s="574"/>
      <c r="EQ862" s="574"/>
      <c r="ER862" s="574"/>
      <c r="ES862" s="574"/>
      <c r="ET862" s="574"/>
      <c r="EU862" s="574"/>
    </row>
    <row r="863">
      <c r="A863" s="12"/>
      <c r="B863" s="55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  <c r="AW863" s="12"/>
      <c r="AX863" s="12"/>
      <c r="AY863" s="12"/>
      <c r="AZ863" s="12"/>
      <c r="BA863" s="12"/>
      <c r="BB863" s="12"/>
      <c r="BC863" s="12"/>
      <c r="BD863" s="12"/>
      <c r="BE863" s="12"/>
      <c r="BF863" s="12"/>
      <c r="BG863" s="12"/>
      <c r="BH863" s="12"/>
      <c r="BI863" s="12"/>
      <c r="BJ863" s="12"/>
      <c r="BK863" s="12"/>
      <c r="BL863" s="12"/>
      <c r="BM863" s="12"/>
      <c r="BN863" s="12"/>
      <c r="BO863" s="12"/>
      <c r="BP863" s="12"/>
      <c r="BQ863" s="12"/>
      <c r="BR863" s="12"/>
      <c r="BS863" s="12"/>
      <c r="BT863" s="12"/>
      <c r="BU863" s="12"/>
      <c r="BV863" s="12"/>
      <c r="BW863" s="12"/>
      <c r="BX863" s="12"/>
      <c r="BY863" s="12"/>
      <c r="BZ863" s="12"/>
      <c r="CA863" s="12"/>
      <c r="CB863" s="12"/>
      <c r="CC863" s="12"/>
      <c r="CD863" s="12"/>
      <c r="CE863" s="12"/>
      <c r="CF863" s="12"/>
      <c r="CG863" s="12"/>
      <c r="CH863" s="12"/>
      <c r="CI863" s="12"/>
      <c r="CJ863" s="12"/>
      <c r="CK863" s="12"/>
      <c r="CL863" s="12"/>
      <c r="CM863" s="12"/>
      <c r="CN863" s="12"/>
      <c r="CO863" s="12"/>
      <c r="CP863" s="12"/>
      <c r="CQ863" s="12"/>
      <c r="CR863" s="12"/>
      <c r="CS863" s="12"/>
      <c r="CT863" s="12"/>
      <c r="CU863" s="12"/>
      <c r="CV863" s="12"/>
      <c r="CW863" s="12"/>
      <c r="CX863" s="12"/>
      <c r="CY863" s="12"/>
      <c r="CZ863" s="12"/>
      <c r="DA863" s="12"/>
      <c r="DB863" s="12"/>
      <c r="DC863" s="12"/>
      <c r="DD863" s="12"/>
      <c r="DE863" s="12"/>
      <c r="DF863" s="12"/>
      <c r="DG863" s="12"/>
      <c r="DH863" s="12"/>
      <c r="DI863" s="12"/>
      <c r="DJ863" s="12"/>
      <c r="DK863" s="12"/>
      <c r="DL863" s="12"/>
      <c r="DM863" s="12"/>
      <c r="DN863" s="12"/>
      <c r="DO863" s="12"/>
      <c r="DP863" s="12"/>
      <c r="DQ863" s="12"/>
      <c r="DR863" s="12"/>
      <c r="DS863" s="12"/>
      <c r="DT863" s="12"/>
      <c r="DU863" s="12"/>
      <c r="DV863" s="12"/>
      <c r="DW863" s="12"/>
      <c r="DX863" s="12"/>
      <c r="DY863" s="12"/>
      <c r="DZ863" s="12"/>
      <c r="EA863" s="12"/>
      <c r="EB863" s="12"/>
      <c r="EC863" s="12"/>
      <c r="ED863" s="12"/>
      <c r="EE863" s="12"/>
      <c r="EF863" s="12"/>
      <c r="EG863" s="12"/>
      <c r="EH863" s="12"/>
      <c r="EI863" s="12"/>
      <c r="EJ863" s="574"/>
      <c r="EK863" s="574"/>
      <c r="EL863" s="574"/>
      <c r="EM863" s="574"/>
      <c r="EN863" s="574"/>
      <c r="EO863" s="574"/>
      <c r="EP863" s="574"/>
      <c r="EQ863" s="574"/>
      <c r="ER863" s="574"/>
      <c r="ES863" s="574"/>
      <c r="ET863" s="574"/>
      <c r="EU863" s="574"/>
    </row>
    <row r="864">
      <c r="A864" s="12"/>
      <c r="B864" s="55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  <c r="AX864" s="12"/>
      <c r="AY864" s="12"/>
      <c r="AZ864" s="12"/>
      <c r="BA864" s="12"/>
      <c r="BB864" s="12"/>
      <c r="BC864" s="12"/>
      <c r="BD864" s="12"/>
      <c r="BE864" s="12"/>
      <c r="BF864" s="12"/>
      <c r="BG864" s="12"/>
      <c r="BH864" s="12"/>
      <c r="BI864" s="12"/>
      <c r="BJ864" s="12"/>
      <c r="BK864" s="12"/>
      <c r="BL864" s="12"/>
      <c r="BM864" s="12"/>
      <c r="BN864" s="12"/>
      <c r="BO864" s="12"/>
      <c r="BP864" s="12"/>
      <c r="BQ864" s="12"/>
      <c r="BR864" s="12"/>
      <c r="BS864" s="12"/>
      <c r="BT864" s="12"/>
      <c r="BU864" s="12"/>
      <c r="BV864" s="12"/>
      <c r="BW864" s="12"/>
      <c r="BX864" s="12"/>
      <c r="BY864" s="12"/>
      <c r="BZ864" s="12"/>
      <c r="CA864" s="12"/>
      <c r="CB864" s="12"/>
      <c r="CC864" s="12"/>
      <c r="CD864" s="12"/>
      <c r="CE864" s="12"/>
      <c r="CF864" s="12"/>
      <c r="CG864" s="12"/>
      <c r="CH864" s="12"/>
      <c r="CI864" s="12"/>
      <c r="CJ864" s="12"/>
      <c r="CK864" s="12"/>
      <c r="CL864" s="12"/>
      <c r="CM864" s="12"/>
      <c r="CN864" s="12"/>
      <c r="CO864" s="12"/>
      <c r="CP864" s="12"/>
      <c r="CQ864" s="12"/>
      <c r="CR864" s="12"/>
      <c r="CS864" s="12"/>
      <c r="CT864" s="12"/>
      <c r="CU864" s="12"/>
      <c r="CV864" s="12"/>
      <c r="CW864" s="12"/>
      <c r="CX864" s="12"/>
      <c r="CY864" s="12"/>
      <c r="CZ864" s="12"/>
      <c r="DA864" s="12"/>
      <c r="DB864" s="12"/>
      <c r="DC864" s="12"/>
      <c r="DD864" s="12"/>
      <c r="DE864" s="12"/>
      <c r="DF864" s="12"/>
      <c r="DG864" s="12"/>
      <c r="DH864" s="12"/>
      <c r="DI864" s="12"/>
      <c r="DJ864" s="12"/>
      <c r="DK864" s="12"/>
      <c r="DL864" s="12"/>
      <c r="DM864" s="12"/>
      <c r="DN864" s="12"/>
      <c r="DO864" s="12"/>
      <c r="DP864" s="12"/>
      <c r="DQ864" s="12"/>
      <c r="DR864" s="12"/>
      <c r="DS864" s="12"/>
      <c r="DT864" s="12"/>
      <c r="DU864" s="12"/>
      <c r="DV864" s="12"/>
      <c r="DW864" s="12"/>
      <c r="DX864" s="12"/>
      <c r="DY864" s="12"/>
      <c r="DZ864" s="12"/>
      <c r="EA864" s="12"/>
      <c r="EB864" s="12"/>
      <c r="EC864" s="12"/>
      <c r="ED864" s="12"/>
      <c r="EE864" s="12"/>
      <c r="EF864" s="12"/>
      <c r="EG864" s="12"/>
      <c r="EH864" s="12"/>
      <c r="EI864" s="12"/>
      <c r="EJ864" s="574"/>
      <c r="EK864" s="574"/>
      <c r="EL864" s="574"/>
      <c r="EM864" s="574"/>
      <c r="EN864" s="574"/>
      <c r="EO864" s="574"/>
      <c r="EP864" s="574"/>
      <c r="EQ864" s="574"/>
      <c r="ER864" s="574"/>
      <c r="ES864" s="574"/>
      <c r="ET864" s="574"/>
      <c r="EU864" s="574"/>
    </row>
    <row r="865">
      <c r="A865" s="12"/>
      <c r="B865" s="55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  <c r="AW865" s="12"/>
      <c r="AX865" s="12"/>
      <c r="AY865" s="12"/>
      <c r="AZ865" s="12"/>
      <c r="BA865" s="12"/>
      <c r="BB865" s="12"/>
      <c r="BC865" s="12"/>
      <c r="BD865" s="12"/>
      <c r="BE865" s="12"/>
      <c r="BF865" s="12"/>
      <c r="BG865" s="12"/>
      <c r="BH865" s="12"/>
      <c r="BI865" s="12"/>
      <c r="BJ865" s="12"/>
      <c r="BK865" s="12"/>
      <c r="BL865" s="12"/>
      <c r="BM865" s="12"/>
      <c r="BN865" s="12"/>
      <c r="BO865" s="12"/>
      <c r="BP865" s="12"/>
      <c r="BQ865" s="12"/>
      <c r="BR865" s="12"/>
      <c r="BS865" s="12"/>
      <c r="BT865" s="12"/>
      <c r="BU865" s="12"/>
      <c r="BV865" s="12"/>
      <c r="BW865" s="12"/>
      <c r="BX865" s="12"/>
      <c r="BY865" s="12"/>
      <c r="BZ865" s="12"/>
      <c r="CA865" s="12"/>
      <c r="CB865" s="12"/>
      <c r="CC865" s="12"/>
      <c r="CD865" s="12"/>
      <c r="CE865" s="12"/>
      <c r="CF865" s="12"/>
      <c r="CG865" s="12"/>
      <c r="CH865" s="12"/>
      <c r="CI865" s="12"/>
      <c r="CJ865" s="12"/>
      <c r="CK865" s="12"/>
      <c r="CL865" s="12"/>
      <c r="CM865" s="12"/>
      <c r="CN865" s="12"/>
      <c r="CO865" s="12"/>
      <c r="CP865" s="12"/>
      <c r="CQ865" s="12"/>
      <c r="CR865" s="12"/>
      <c r="CS865" s="12"/>
      <c r="CT865" s="12"/>
      <c r="CU865" s="12"/>
      <c r="CV865" s="12"/>
      <c r="CW865" s="12"/>
      <c r="CX865" s="12"/>
      <c r="CY865" s="12"/>
      <c r="CZ865" s="12"/>
      <c r="DA865" s="12"/>
      <c r="DB865" s="12"/>
      <c r="DC865" s="12"/>
      <c r="DD865" s="12"/>
      <c r="DE865" s="12"/>
      <c r="DF865" s="12"/>
      <c r="DG865" s="12"/>
      <c r="DH865" s="12"/>
      <c r="DI865" s="12"/>
      <c r="DJ865" s="12"/>
      <c r="DK865" s="12"/>
      <c r="DL865" s="12"/>
      <c r="DM865" s="12"/>
      <c r="DN865" s="12"/>
      <c r="DO865" s="12"/>
      <c r="DP865" s="12"/>
      <c r="DQ865" s="12"/>
      <c r="DR865" s="12"/>
      <c r="DS865" s="12"/>
      <c r="DT865" s="12"/>
      <c r="DU865" s="12"/>
      <c r="DV865" s="12"/>
      <c r="DW865" s="12"/>
      <c r="DX865" s="12"/>
      <c r="DY865" s="12"/>
      <c r="DZ865" s="12"/>
      <c r="EA865" s="12"/>
      <c r="EB865" s="12"/>
      <c r="EC865" s="12"/>
      <c r="ED865" s="12"/>
      <c r="EE865" s="12"/>
      <c r="EF865" s="12"/>
      <c r="EG865" s="12"/>
      <c r="EH865" s="12"/>
      <c r="EI865" s="12"/>
      <c r="EJ865" s="574"/>
      <c r="EK865" s="574"/>
      <c r="EL865" s="574"/>
      <c r="EM865" s="574"/>
      <c r="EN865" s="574"/>
      <c r="EO865" s="574"/>
      <c r="EP865" s="574"/>
      <c r="EQ865" s="574"/>
      <c r="ER865" s="574"/>
      <c r="ES865" s="574"/>
      <c r="ET865" s="574"/>
      <c r="EU865" s="574"/>
    </row>
    <row r="866">
      <c r="A866" s="12"/>
      <c r="B866" s="55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  <c r="AW866" s="12"/>
      <c r="AX866" s="12"/>
      <c r="AY866" s="12"/>
      <c r="AZ866" s="12"/>
      <c r="BA866" s="12"/>
      <c r="BB866" s="12"/>
      <c r="BC866" s="12"/>
      <c r="BD866" s="12"/>
      <c r="BE866" s="12"/>
      <c r="BF866" s="12"/>
      <c r="BG866" s="12"/>
      <c r="BH866" s="12"/>
      <c r="BI866" s="12"/>
      <c r="BJ866" s="12"/>
      <c r="BK866" s="12"/>
      <c r="BL866" s="12"/>
      <c r="BM866" s="12"/>
      <c r="BN866" s="12"/>
      <c r="BO866" s="12"/>
      <c r="BP866" s="12"/>
      <c r="BQ866" s="12"/>
      <c r="BR866" s="12"/>
      <c r="BS866" s="12"/>
      <c r="BT866" s="12"/>
      <c r="BU866" s="12"/>
      <c r="BV866" s="12"/>
      <c r="BW866" s="12"/>
      <c r="BX866" s="12"/>
      <c r="BY866" s="12"/>
      <c r="BZ866" s="12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574"/>
      <c r="EK866" s="574"/>
      <c r="EL866" s="574"/>
      <c r="EM866" s="574"/>
      <c r="EN866" s="574"/>
      <c r="EO866" s="574"/>
      <c r="EP866" s="574"/>
      <c r="EQ866" s="574"/>
      <c r="ER866" s="574"/>
      <c r="ES866" s="574"/>
      <c r="ET866" s="574"/>
      <c r="EU866" s="574"/>
    </row>
    <row r="867">
      <c r="A867" s="12"/>
      <c r="B867" s="55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  <c r="AW867" s="12"/>
      <c r="AX867" s="12"/>
      <c r="AY867" s="12"/>
      <c r="AZ867" s="12"/>
      <c r="BA867" s="12"/>
      <c r="BB867" s="12"/>
      <c r="BC867" s="12"/>
      <c r="BD867" s="12"/>
      <c r="BE867" s="12"/>
      <c r="BF867" s="12"/>
      <c r="BG867" s="12"/>
      <c r="BH867" s="12"/>
      <c r="BI867" s="12"/>
      <c r="BJ867" s="12"/>
      <c r="BK867" s="12"/>
      <c r="BL867" s="12"/>
      <c r="BM867" s="12"/>
      <c r="BN867" s="12"/>
      <c r="BO867" s="12"/>
      <c r="BP867" s="12"/>
      <c r="BQ867" s="12"/>
      <c r="BR867" s="12"/>
      <c r="BS867" s="12"/>
      <c r="BT867" s="12"/>
      <c r="BU867" s="12"/>
      <c r="BV867" s="12"/>
      <c r="BW867" s="12"/>
      <c r="BX867" s="12"/>
      <c r="BY867" s="12"/>
      <c r="BZ867" s="12"/>
      <c r="CA867" s="12"/>
      <c r="CB867" s="12"/>
      <c r="CC867" s="12"/>
      <c r="CD867" s="12"/>
      <c r="CE867" s="12"/>
      <c r="CF867" s="12"/>
      <c r="CG867" s="12"/>
      <c r="CH867" s="12"/>
      <c r="CI867" s="12"/>
      <c r="CJ867" s="12"/>
      <c r="CK867" s="12"/>
      <c r="CL867" s="12"/>
      <c r="CM867" s="12"/>
      <c r="CN867" s="12"/>
      <c r="CO867" s="12"/>
      <c r="CP867" s="12"/>
      <c r="CQ867" s="12"/>
      <c r="CR867" s="12"/>
      <c r="CS867" s="12"/>
      <c r="CT867" s="12"/>
      <c r="CU867" s="12"/>
      <c r="CV867" s="12"/>
      <c r="CW867" s="12"/>
      <c r="CX867" s="12"/>
      <c r="CY867" s="12"/>
      <c r="CZ867" s="12"/>
      <c r="DA867" s="12"/>
      <c r="DB867" s="12"/>
      <c r="DC867" s="12"/>
      <c r="DD867" s="12"/>
      <c r="DE867" s="12"/>
      <c r="DF867" s="12"/>
      <c r="DG867" s="12"/>
      <c r="DH867" s="12"/>
      <c r="DI867" s="12"/>
      <c r="DJ867" s="12"/>
      <c r="DK867" s="12"/>
      <c r="DL867" s="12"/>
      <c r="DM867" s="12"/>
      <c r="DN867" s="12"/>
      <c r="DO867" s="12"/>
      <c r="DP867" s="12"/>
      <c r="DQ867" s="12"/>
      <c r="DR867" s="12"/>
      <c r="DS867" s="12"/>
      <c r="DT867" s="12"/>
      <c r="DU867" s="12"/>
      <c r="DV867" s="12"/>
      <c r="DW867" s="12"/>
      <c r="DX867" s="12"/>
      <c r="DY867" s="12"/>
      <c r="DZ867" s="12"/>
      <c r="EA867" s="12"/>
      <c r="EB867" s="12"/>
      <c r="EC867" s="12"/>
      <c r="ED867" s="12"/>
      <c r="EE867" s="12"/>
      <c r="EF867" s="12"/>
      <c r="EG867" s="12"/>
      <c r="EH867" s="12"/>
      <c r="EI867" s="12"/>
      <c r="EJ867" s="574"/>
      <c r="EK867" s="574"/>
      <c r="EL867" s="574"/>
      <c r="EM867" s="574"/>
      <c r="EN867" s="574"/>
      <c r="EO867" s="574"/>
      <c r="EP867" s="574"/>
      <c r="EQ867" s="574"/>
      <c r="ER867" s="574"/>
      <c r="ES867" s="574"/>
      <c r="ET867" s="574"/>
      <c r="EU867" s="574"/>
    </row>
    <row r="868">
      <c r="A868" s="12"/>
      <c r="B868" s="55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2"/>
      <c r="AX868" s="12"/>
      <c r="AY868" s="12"/>
      <c r="AZ868" s="12"/>
      <c r="BA868" s="12"/>
      <c r="BB868" s="12"/>
      <c r="BC868" s="12"/>
      <c r="BD868" s="12"/>
      <c r="BE868" s="12"/>
      <c r="BF868" s="12"/>
      <c r="BG868" s="12"/>
      <c r="BH868" s="12"/>
      <c r="BI868" s="12"/>
      <c r="BJ868" s="12"/>
      <c r="BK868" s="12"/>
      <c r="BL868" s="12"/>
      <c r="BM868" s="12"/>
      <c r="BN868" s="12"/>
      <c r="BO868" s="12"/>
      <c r="BP868" s="12"/>
      <c r="BQ868" s="12"/>
      <c r="BR868" s="12"/>
      <c r="BS868" s="12"/>
      <c r="BT868" s="12"/>
      <c r="BU868" s="12"/>
      <c r="BV868" s="12"/>
      <c r="BW868" s="12"/>
      <c r="BX868" s="12"/>
      <c r="BY868" s="12"/>
      <c r="BZ868" s="12"/>
      <c r="CA868" s="12"/>
      <c r="CB868" s="12"/>
      <c r="CC868" s="12"/>
      <c r="CD868" s="12"/>
      <c r="CE868" s="12"/>
      <c r="CF868" s="12"/>
      <c r="CG868" s="12"/>
      <c r="CH868" s="12"/>
      <c r="CI868" s="12"/>
      <c r="CJ868" s="12"/>
      <c r="CK868" s="12"/>
      <c r="CL868" s="12"/>
      <c r="CM868" s="12"/>
      <c r="CN868" s="12"/>
      <c r="CO868" s="12"/>
      <c r="CP868" s="12"/>
      <c r="CQ868" s="12"/>
      <c r="CR868" s="12"/>
      <c r="CS868" s="12"/>
      <c r="CT868" s="12"/>
      <c r="CU868" s="12"/>
      <c r="CV868" s="12"/>
      <c r="CW868" s="12"/>
      <c r="CX868" s="12"/>
      <c r="CY868" s="12"/>
      <c r="CZ868" s="12"/>
      <c r="DA868" s="12"/>
      <c r="DB868" s="12"/>
      <c r="DC868" s="12"/>
      <c r="DD868" s="12"/>
      <c r="DE868" s="12"/>
      <c r="DF868" s="12"/>
      <c r="DG868" s="12"/>
      <c r="DH868" s="12"/>
      <c r="DI868" s="12"/>
      <c r="DJ868" s="12"/>
      <c r="DK868" s="12"/>
      <c r="DL868" s="12"/>
      <c r="DM868" s="12"/>
      <c r="DN868" s="12"/>
      <c r="DO868" s="12"/>
      <c r="DP868" s="12"/>
      <c r="DQ868" s="12"/>
      <c r="DR868" s="12"/>
      <c r="DS868" s="12"/>
      <c r="DT868" s="12"/>
      <c r="DU868" s="12"/>
      <c r="DV868" s="12"/>
      <c r="DW868" s="12"/>
      <c r="DX868" s="12"/>
      <c r="DY868" s="12"/>
      <c r="DZ868" s="12"/>
      <c r="EA868" s="12"/>
      <c r="EB868" s="12"/>
      <c r="EC868" s="12"/>
      <c r="ED868" s="12"/>
      <c r="EE868" s="12"/>
      <c r="EF868" s="12"/>
      <c r="EG868" s="12"/>
      <c r="EH868" s="12"/>
      <c r="EI868" s="12"/>
      <c r="EJ868" s="574"/>
      <c r="EK868" s="574"/>
      <c r="EL868" s="574"/>
      <c r="EM868" s="574"/>
      <c r="EN868" s="574"/>
      <c r="EO868" s="574"/>
      <c r="EP868" s="574"/>
      <c r="EQ868" s="574"/>
      <c r="ER868" s="574"/>
      <c r="ES868" s="574"/>
      <c r="ET868" s="574"/>
      <c r="EU868" s="574"/>
    </row>
    <row r="869">
      <c r="A869" s="12"/>
      <c r="B869" s="55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  <c r="AX869" s="12"/>
      <c r="AY869" s="12"/>
      <c r="AZ869" s="12"/>
      <c r="BA869" s="12"/>
      <c r="BB869" s="12"/>
      <c r="BC869" s="12"/>
      <c r="BD869" s="12"/>
      <c r="BE869" s="12"/>
      <c r="BF869" s="12"/>
      <c r="BG869" s="12"/>
      <c r="BH869" s="12"/>
      <c r="BI869" s="12"/>
      <c r="BJ869" s="12"/>
      <c r="BK869" s="12"/>
      <c r="BL869" s="12"/>
      <c r="BM869" s="12"/>
      <c r="BN869" s="12"/>
      <c r="BO869" s="12"/>
      <c r="BP869" s="12"/>
      <c r="BQ869" s="12"/>
      <c r="BR869" s="12"/>
      <c r="BS869" s="12"/>
      <c r="BT869" s="12"/>
      <c r="BU869" s="12"/>
      <c r="BV869" s="12"/>
      <c r="BW869" s="12"/>
      <c r="BX869" s="12"/>
      <c r="BY869" s="12"/>
      <c r="BZ869" s="12"/>
      <c r="CA869" s="12"/>
      <c r="CB869" s="12"/>
      <c r="CC869" s="12"/>
      <c r="CD869" s="12"/>
      <c r="CE869" s="12"/>
      <c r="CF869" s="12"/>
      <c r="CG869" s="12"/>
      <c r="CH869" s="12"/>
      <c r="CI869" s="12"/>
      <c r="CJ869" s="12"/>
      <c r="CK869" s="12"/>
      <c r="CL869" s="12"/>
      <c r="CM869" s="12"/>
      <c r="CN869" s="12"/>
      <c r="CO869" s="12"/>
      <c r="CP869" s="12"/>
      <c r="CQ869" s="12"/>
      <c r="CR869" s="12"/>
      <c r="CS869" s="12"/>
      <c r="CT869" s="12"/>
      <c r="CU869" s="12"/>
      <c r="CV869" s="12"/>
      <c r="CW869" s="12"/>
      <c r="CX869" s="12"/>
      <c r="CY869" s="12"/>
      <c r="CZ869" s="12"/>
      <c r="DA869" s="12"/>
      <c r="DB869" s="12"/>
      <c r="DC869" s="12"/>
      <c r="DD869" s="12"/>
      <c r="DE869" s="12"/>
      <c r="DF869" s="12"/>
      <c r="DG869" s="12"/>
      <c r="DH869" s="12"/>
      <c r="DI869" s="12"/>
      <c r="DJ869" s="12"/>
      <c r="DK869" s="12"/>
      <c r="DL869" s="12"/>
      <c r="DM869" s="12"/>
      <c r="DN869" s="12"/>
      <c r="DO869" s="12"/>
      <c r="DP869" s="12"/>
      <c r="DQ869" s="12"/>
      <c r="DR869" s="12"/>
      <c r="DS869" s="12"/>
      <c r="DT869" s="12"/>
      <c r="DU869" s="12"/>
      <c r="DV869" s="12"/>
      <c r="DW869" s="12"/>
      <c r="DX869" s="12"/>
      <c r="DY869" s="12"/>
      <c r="DZ869" s="12"/>
      <c r="EA869" s="12"/>
      <c r="EB869" s="12"/>
      <c r="EC869" s="12"/>
      <c r="ED869" s="12"/>
      <c r="EE869" s="12"/>
      <c r="EF869" s="12"/>
      <c r="EG869" s="12"/>
      <c r="EH869" s="12"/>
      <c r="EI869" s="12"/>
      <c r="EJ869" s="574"/>
      <c r="EK869" s="574"/>
      <c r="EL869" s="574"/>
      <c r="EM869" s="574"/>
      <c r="EN869" s="574"/>
      <c r="EO869" s="574"/>
      <c r="EP869" s="574"/>
      <c r="EQ869" s="574"/>
      <c r="ER869" s="574"/>
      <c r="ES869" s="574"/>
      <c r="ET869" s="574"/>
      <c r="EU869" s="574"/>
    </row>
    <row r="870">
      <c r="A870" s="12"/>
      <c r="B870" s="55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  <c r="AW870" s="12"/>
      <c r="AX870" s="12"/>
      <c r="AY870" s="12"/>
      <c r="AZ870" s="12"/>
      <c r="BA870" s="12"/>
      <c r="BB870" s="12"/>
      <c r="BC870" s="12"/>
      <c r="BD870" s="12"/>
      <c r="BE870" s="12"/>
      <c r="BF870" s="12"/>
      <c r="BG870" s="12"/>
      <c r="BH870" s="12"/>
      <c r="BI870" s="12"/>
      <c r="BJ870" s="12"/>
      <c r="BK870" s="12"/>
      <c r="BL870" s="12"/>
      <c r="BM870" s="12"/>
      <c r="BN870" s="12"/>
      <c r="BO870" s="12"/>
      <c r="BP870" s="12"/>
      <c r="BQ870" s="12"/>
      <c r="BR870" s="12"/>
      <c r="BS870" s="12"/>
      <c r="BT870" s="12"/>
      <c r="BU870" s="12"/>
      <c r="BV870" s="12"/>
      <c r="BW870" s="12"/>
      <c r="BX870" s="12"/>
      <c r="BY870" s="12"/>
      <c r="BZ870" s="12"/>
      <c r="CA870" s="12"/>
      <c r="CB870" s="12"/>
      <c r="CC870" s="12"/>
      <c r="CD870" s="12"/>
      <c r="CE870" s="12"/>
      <c r="CF870" s="12"/>
      <c r="CG870" s="12"/>
      <c r="CH870" s="12"/>
      <c r="CI870" s="12"/>
      <c r="CJ870" s="12"/>
      <c r="CK870" s="12"/>
      <c r="CL870" s="12"/>
      <c r="CM870" s="12"/>
      <c r="CN870" s="12"/>
      <c r="CO870" s="12"/>
      <c r="CP870" s="12"/>
      <c r="CQ870" s="12"/>
      <c r="CR870" s="12"/>
      <c r="CS870" s="12"/>
      <c r="CT870" s="12"/>
      <c r="CU870" s="12"/>
      <c r="CV870" s="12"/>
      <c r="CW870" s="12"/>
      <c r="CX870" s="12"/>
      <c r="CY870" s="12"/>
      <c r="CZ870" s="12"/>
      <c r="DA870" s="12"/>
      <c r="DB870" s="12"/>
      <c r="DC870" s="12"/>
      <c r="DD870" s="12"/>
      <c r="DE870" s="12"/>
      <c r="DF870" s="12"/>
      <c r="DG870" s="12"/>
      <c r="DH870" s="12"/>
      <c r="DI870" s="12"/>
      <c r="DJ870" s="12"/>
      <c r="DK870" s="12"/>
      <c r="DL870" s="12"/>
      <c r="DM870" s="12"/>
      <c r="DN870" s="12"/>
      <c r="DO870" s="12"/>
      <c r="DP870" s="12"/>
      <c r="DQ870" s="12"/>
      <c r="DR870" s="12"/>
      <c r="DS870" s="12"/>
      <c r="DT870" s="12"/>
      <c r="DU870" s="12"/>
      <c r="DV870" s="12"/>
      <c r="DW870" s="12"/>
      <c r="DX870" s="12"/>
      <c r="DY870" s="12"/>
      <c r="DZ870" s="12"/>
      <c r="EA870" s="12"/>
      <c r="EB870" s="12"/>
      <c r="EC870" s="12"/>
      <c r="ED870" s="12"/>
      <c r="EE870" s="12"/>
      <c r="EF870" s="12"/>
      <c r="EG870" s="12"/>
      <c r="EH870" s="12"/>
      <c r="EI870" s="12"/>
      <c r="EJ870" s="574"/>
      <c r="EK870" s="574"/>
      <c r="EL870" s="574"/>
      <c r="EM870" s="574"/>
      <c r="EN870" s="574"/>
      <c r="EO870" s="574"/>
      <c r="EP870" s="574"/>
      <c r="EQ870" s="574"/>
      <c r="ER870" s="574"/>
      <c r="ES870" s="574"/>
      <c r="ET870" s="574"/>
      <c r="EU870" s="574"/>
    </row>
    <row r="871">
      <c r="A871" s="12"/>
      <c r="B871" s="55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  <c r="AW871" s="12"/>
      <c r="AX871" s="12"/>
      <c r="AY871" s="12"/>
      <c r="AZ871" s="12"/>
      <c r="BA871" s="12"/>
      <c r="BB871" s="12"/>
      <c r="BC871" s="12"/>
      <c r="BD871" s="12"/>
      <c r="BE871" s="12"/>
      <c r="BF871" s="12"/>
      <c r="BG871" s="12"/>
      <c r="BH871" s="12"/>
      <c r="BI871" s="12"/>
      <c r="BJ871" s="12"/>
      <c r="BK871" s="12"/>
      <c r="BL871" s="12"/>
      <c r="BM871" s="12"/>
      <c r="BN871" s="12"/>
      <c r="BO871" s="12"/>
      <c r="BP871" s="12"/>
      <c r="BQ871" s="12"/>
      <c r="BR871" s="12"/>
      <c r="BS871" s="12"/>
      <c r="BT871" s="12"/>
      <c r="BU871" s="12"/>
      <c r="BV871" s="12"/>
      <c r="BW871" s="12"/>
      <c r="BX871" s="12"/>
      <c r="BY871" s="12"/>
      <c r="BZ871" s="12"/>
      <c r="CA871" s="12"/>
      <c r="CB871" s="12"/>
      <c r="CC871" s="12"/>
      <c r="CD871" s="12"/>
      <c r="CE871" s="12"/>
      <c r="CF871" s="12"/>
      <c r="CG871" s="12"/>
      <c r="CH871" s="12"/>
      <c r="CI871" s="12"/>
      <c r="CJ871" s="12"/>
      <c r="CK871" s="12"/>
      <c r="CL871" s="12"/>
      <c r="CM871" s="12"/>
      <c r="CN871" s="12"/>
      <c r="CO871" s="12"/>
      <c r="CP871" s="12"/>
      <c r="CQ871" s="12"/>
      <c r="CR871" s="12"/>
      <c r="CS871" s="12"/>
      <c r="CT871" s="12"/>
      <c r="CU871" s="12"/>
      <c r="CV871" s="12"/>
      <c r="CW871" s="12"/>
      <c r="CX871" s="12"/>
      <c r="CY871" s="12"/>
      <c r="CZ871" s="12"/>
      <c r="DA871" s="12"/>
      <c r="DB871" s="12"/>
      <c r="DC871" s="12"/>
      <c r="DD871" s="12"/>
      <c r="DE871" s="12"/>
      <c r="DF871" s="12"/>
      <c r="DG871" s="12"/>
      <c r="DH871" s="12"/>
      <c r="DI871" s="12"/>
      <c r="DJ871" s="12"/>
      <c r="DK871" s="12"/>
      <c r="DL871" s="12"/>
      <c r="DM871" s="12"/>
      <c r="DN871" s="12"/>
      <c r="DO871" s="12"/>
      <c r="DP871" s="12"/>
      <c r="DQ871" s="12"/>
      <c r="DR871" s="12"/>
      <c r="DS871" s="12"/>
      <c r="DT871" s="12"/>
      <c r="DU871" s="12"/>
      <c r="DV871" s="12"/>
      <c r="DW871" s="12"/>
      <c r="DX871" s="12"/>
      <c r="DY871" s="12"/>
      <c r="DZ871" s="12"/>
      <c r="EA871" s="12"/>
      <c r="EB871" s="12"/>
      <c r="EC871" s="12"/>
      <c r="ED871" s="12"/>
      <c r="EE871" s="12"/>
      <c r="EF871" s="12"/>
      <c r="EG871" s="12"/>
      <c r="EH871" s="12"/>
      <c r="EI871" s="12"/>
      <c r="EJ871" s="574"/>
      <c r="EK871" s="574"/>
      <c r="EL871" s="574"/>
      <c r="EM871" s="574"/>
      <c r="EN871" s="574"/>
      <c r="EO871" s="574"/>
      <c r="EP871" s="574"/>
      <c r="EQ871" s="574"/>
      <c r="ER871" s="574"/>
      <c r="ES871" s="574"/>
      <c r="ET871" s="574"/>
      <c r="EU871" s="574"/>
    </row>
    <row r="872">
      <c r="A872" s="12"/>
      <c r="B872" s="55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  <c r="AX872" s="12"/>
      <c r="AY872" s="12"/>
      <c r="AZ872" s="12"/>
      <c r="BA872" s="12"/>
      <c r="BB872" s="12"/>
      <c r="BC872" s="12"/>
      <c r="BD872" s="12"/>
      <c r="BE872" s="12"/>
      <c r="BF872" s="12"/>
      <c r="BG872" s="12"/>
      <c r="BH872" s="12"/>
      <c r="BI872" s="12"/>
      <c r="BJ872" s="12"/>
      <c r="BK872" s="12"/>
      <c r="BL872" s="12"/>
      <c r="BM872" s="12"/>
      <c r="BN872" s="12"/>
      <c r="BO872" s="12"/>
      <c r="BP872" s="12"/>
      <c r="BQ872" s="12"/>
      <c r="BR872" s="12"/>
      <c r="BS872" s="12"/>
      <c r="BT872" s="12"/>
      <c r="BU872" s="12"/>
      <c r="BV872" s="12"/>
      <c r="BW872" s="12"/>
      <c r="BX872" s="12"/>
      <c r="BY872" s="12"/>
      <c r="BZ872" s="12"/>
      <c r="CA872" s="12"/>
      <c r="CB872" s="12"/>
      <c r="CC872" s="12"/>
      <c r="CD872" s="12"/>
      <c r="CE872" s="12"/>
      <c r="CF872" s="12"/>
      <c r="CG872" s="12"/>
      <c r="CH872" s="12"/>
      <c r="CI872" s="12"/>
      <c r="CJ872" s="12"/>
      <c r="CK872" s="12"/>
      <c r="CL872" s="12"/>
      <c r="CM872" s="12"/>
      <c r="CN872" s="12"/>
      <c r="CO872" s="12"/>
      <c r="CP872" s="12"/>
      <c r="CQ872" s="12"/>
      <c r="CR872" s="12"/>
      <c r="CS872" s="12"/>
      <c r="CT872" s="12"/>
      <c r="CU872" s="12"/>
      <c r="CV872" s="12"/>
      <c r="CW872" s="12"/>
      <c r="CX872" s="12"/>
      <c r="CY872" s="12"/>
      <c r="CZ872" s="12"/>
      <c r="DA872" s="12"/>
      <c r="DB872" s="12"/>
      <c r="DC872" s="12"/>
      <c r="DD872" s="12"/>
      <c r="DE872" s="12"/>
      <c r="DF872" s="12"/>
      <c r="DG872" s="12"/>
      <c r="DH872" s="12"/>
      <c r="DI872" s="12"/>
      <c r="DJ872" s="12"/>
      <c r="DK872" s="12"/>
      <c r="DL872" s="12"/>
      <c r="DM872" s="12"/>
      <c r="DN872" s="12"/>
      <c r="DO872" s="12"/>
      <c r="DP872" s="12"/>
      <c r="DQ872" s="12"/>
      <c r="DR872" s="12"/>
      <c r="DS872" s="12"/>
      <c r="DT872" s="12"/>
      <c r="DU872" s="12"/>
      <c r="DV872" s="12"/>
      <c r="DW872" s="12"/>
      <c r="DX872" s="12"/>
      <c r="DY872" s="12"/>
      <c r="DZ872" s="12"/>
      <c r="EA872" s="12"/>
      <c r="EB872" s="12"/>
      <c r="EC872" s="12"/>
      <c r="ED872" s="12"/>
      <c r="EE872" s="12"/>
      <c r="EF872" s="12"/>
      <c r="EG872" s="12"/>
      <c r="EH872" s="12"/>
      <c r="EI872" s="12"/>
      <c r="EJ872" s="574"/>
      <c r="EK872" s="574"/>
      <c r="EL872" s="574"/>
      <c r="EM872" s="574"/>
      <c r="EN872" s="574"/>
      <c r="EO872" s="574"/>
      <c r="EP872" s="574"/>
      <c r="EQ872" s="574"/>
      <c r="ER872" s="574"/>
      <c r="ES872" s="574"/>
      <c r="ET872" s="574"/>
      <c r="EU872" s="574"/>
    </row>
    <row r="873">
      <c r="A873" s="12"/>
      <c r="B873" s="55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  <c r="AW873" s="12"/>
      <c r="AX873" s="12"/>
      <c r="AY873" s="12"/>
      <c r="AZ873" s="12"/>
      <c r="BA873" s="12"/>
      <c r="BB873" s="12"/>
      <c r="BC873" s="12"/>
      <c r="BD873" s="12"/>
      <c r="BE873" s="12"/>
      <c r="BF873" s="12"/>
      <c r="BG873" s="12"/>
      <c r="BH873" s="12"/>
      <c r="BI873" s="12"/>
      <c r="BJ873" s="12"/>
      <c r="BK873" s="12"/>
      <c r="BL873" s="12"/>
      <c r="BM873" s="12"/>
      <c r="BN873" s="12"/>
      <c r="BO873" s="12"/>
      <c r="BP873" s="12"/>
      <c r="BQ873" s="12"/>
      <c r="BR873" s="12"/>
      <c r="BS873" s="12"/>
      <c r="BT873" s="12"/>
      <c r="BU873" s="12"/>
      <c r="BV873" s="12"/>
      <c r="BW873" s="12"/>
      <c r="BX873" s="12"/>
      <c r="BY873" s="12"/>
      <c r="BZ873" s="12"/>
      <c r="CA873" s="12"/>
      <c r="CB873" s="12"/>
      <c r="CC873" s="12"/>
      <c r="CD873" s="12"/>
      <c r="CE873" s="12"/>
      <c r="CF873" s="12"/>
      <c r="CG873" s="12"/>
      <c r="CH873" s="12"/>
      <c r="CI873" s="12"/>
      <c r="CJ873" s="12"/>
      <c r="CK873" s="12"/>
      <c r="CL873" s="12"/>
      <c r="CM873" s="12"/>
      <c r="CN873" s="12"/>
      <c r="CO873" s="12"/>
      <c r="CP873" s="12"/>
      <c r="CQ873" s="12"/>
      <c r="CR873" s="12"/>
      <c r="CS873" s="12"/>
      <c r="CT873" s="12"/>
      <c r="CU873" s="12"/>
      <c r="CV873" s="12"/>
      <c r="CW873" s="12"/>
      <c r="CX873" s="12"/>
      <c r="CY873" s="12"/>
      <c r="CZ873" s="12"/>
      <c r="DA873" s="12"/>
      <c r="DB873" s="12"/>
      <c r="DC873" s="12"/>
      <c r="DD873" s="12"/>
      <c r="DE873" s="12"/>
      <c r="DF873" s="12"/>
      <c r="DG873" s="12"/>
      <c r="DH873" s="12"/>
      <c r="DI873" s="12"/>
      <c r="DJ873" s="12"/>
      <c r="DK873" s="12"/>
      <c r="DL873" s="12"/>
      <c r="DM873" s="12"/>
      <c r="DN873" s="12"/>
      <c r="DO873" s="12"/>
      <c r="DP873" s="12"/>
      <c r="DQ873" s="12"/>
      <c r="DR873" s="12"/>
      <c r="DS873" s="12"/>
      <c r="DT873" s="12"/>
      <c r="DU873" s="12"/>
      <c r="DV873" s="12"/>
      <c r="DW873" s="12"/>
      <c r="DX873" s="12"/>
      <c r="DY873" s="12"/>
      <c r="DZ873" s="12"/>
      <c r="EA873" s="12"/>
      <c r="EB873" s="12"/>
      <c r="EC873" s="12"/>
      <c r="ED873" s="12"/>
      <c r="EE873" s="12"/>
      <c r="EF873" s="12"/>
      <c r="EG873" s="12"/>
      <c r="EH873" s="12"/>
      <c r="EI873" s="12"/>
      <c r="EJ873" s="574"/>
      <c r="EK873" s="574"/>
      <c r="EL873" s="574"/>
      <c r="EM873" s="574"/>
      <c r="EN873" s="574"/>
      <c r="EO873" s="574"/>
      <c r="EP873" s="574"/>
      <c r="EQ873" s="574"/>
      <c r="ER873" s="574"/>
      <c r="ES873" s="574"/>
      <c r="ET873" s="574"/>
      <c r="EU873" s="574"/>
    </row>
    <row r="874">
      <c r="A874" s="12"/>
      <c r="B874" s="55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  <c r="AX874" s="12"/>
      <c r="AY874" s="12"/>
      <c r="AZ874" s="12"/>
      <c r="BA874" s="12"/>
      <c r="BB874" s="12"/>
      <c r="BC874" s="12"/>
      <c r="BD874" s="12"/>
      <c r="BE874" s="12"/>
      <c r="BF874" s="12"/>
      <c r="BG874" s="12"/>
      <c r="BH874" s="12"/>
      <c r="BI874" s="12"/>
      <c r="BJ874" s="12"/>
      <c r="BK874" s="12"/>
      <c r="BL874" s="12"/>
      <c r="BM874" s="12"/>
      <c r="BN874" s="12"/>
      <c r="BO874" s="12"/>
      <c r="BP874" s="12"/>
      <c r="BQ874" s="12"/>
      <c r="BR874" s="12"/>
      <c r="BS874" s="12"/>
      <c r="BT874" s="12"/>
      <c r="BU874" s="12"/>
      <c r="BV874" s="12"/>
      <c r="BW874" s="12"/>
      <c r="BX874" s="12"/>
      <c r="BY874" s="12"/>
      <c r="BZ874" s="12"/>
      <c r="CA874" s="12"/>
      <c r="CB874" s="12"/>
      <c r="CC874" s="12"/>
      <c r="CD874" s="12"/>
      <c r="CE874" s="12"/>
      <c r="CF874" s="12"/>
      <c r="CG874" s="12"/>
      <c r="CH874" s="12"/>
      <c r="CI874" s="12"/>
      <c r="CJ874" s="12"/>
      <c r="CK874" s="12"/>
      <c r="CL874" s="12"/>
      <c r="CM874" s="12"/>
      <c r="CN874" s="12"/>
      <c r="CO874" s="12"/>
      <c r="CP874" s="12"/>
      <c r="CQ874" s="12"/>
      <c r="CR874" s="12"/>
      <c r="CS874" s="12"/>
      <c r="CT874" s="12"/>
      <c r="CU874" s="12"/>
      <c r="CV874" s="12"/>
      <c r="CW874" s="12"/>
      <c r="CX874" s="12"/>
      <c r="CY874" s="12"/>
      <c r="CZ874" s="12"/>
      <c r="DA874" s="12"/>
      <c r="DB874" s="12"/>
      <c r="DC874" s="12"/>
      <c r="DD874" s="12"/>
      <c r="DE874" s="12"/>
      <c r="DF874" s="12"/>
      <c r="DG874" s="12"/>
      <c r="DH874" s="12"/>
      <c r="DI874" s="12"/>
      <c r="DJ874" s="12"/>
      <c r="DK874" s="12"/>
      <c r="DL874" s="12"/>
      <c r="DM874" s="12"/>
      <c r="DN874" s="12"/>
      <c r="DO874" s="12"/>
      <c r="DP874" s="12"/>
      <c r="DQ874" s="12"/>
      <c r="DR874" s="12"/>
      <c r="DS874" s="12"/>
      <c r="DT874" s="12"/>
      <c r="DU874" s="12"/>
      <c r="DV874" s="12"/>
      <c r="DW874" s="12"/>
      <c r="DX874" s="12"/>
      <c r="DY874" s="12"/>
      <c r="DZ874" s="12"/>
      <c r="EA874" s="12"/>
      <c r="EB874" s="12"/>
      <c r="EC874" s="12"/>
      <c r="ED874" s="12"/>
      <c r="EE874" s="12"/>
      <c r="EF874" s="12"/>
      <c r="EG874" s="12"/>
      <c r="EH874" s="12"/>
      <c r="EI874" s="12"/>
      <c r="EJ874" s="574"/>
      <c r="EK874" s="574"/>
      <c r="EL874" s="574"/>
      <c r="EM874" s="574"/>
      <c r="EN874" s="574"/>
      <c r="EO874" s="574"/>
      <c r="EP874" s="574"/>
      <c r="EQ874" s="574"/>
      <c r="ER874" s="574"/>
      <c r="ES874" s="574"/>
      <c r="ET874" s="574"/>
      <c r="EU874" s="574"/>
    </row>
    <row r="875">
      <c r="A875" s="12"/>
      <c r="B875" s="55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  <c r="AW875" s="12"/>
      <c r="AX875" s="12"/>
      <c r="AY875" s="12"/>
      <c r="AZ875" s="12"/>
      <c r="BA875" s="12"/>
      <c r="BB875" s="12"/>
      <c r="BC875" s="12"/>
      <c r="BD875" s="12"/>
      <c r="BE875" s="12"/>
      <c r="BF875" s="12"/>
      <c r="BG875" s="12"/>
      <c r="BH875" s="12"/>
      <c r="BI875" s="12"/>
      <c r="BJ875" s="12"/>
      <c r="BK875" s="12"/>
      <c r="BL875" s="12"/>
      <c r="BM875" s="12"/>
      <c r="BN875" s="12"/>
      <c r="BO875" s="12"/>
      <c r="BP875" s="12"/>
      <c r="BQ875" s="12"/>
      <c r="BR875" s="12"/>
      <c r="BS875" s="12"/>
      <c r="BT875" s="12"/>
      <c r="BU875" s="12"/>
      <c r="BV875" s="12"/>
      <c r="BW875" s="12"/>
      <c r="BX875" s="12"/>
      <c r="BY875" s="12"/>
      <c r="BZ875" s="12"/>
      <c r="CA875" s="12"/>
      <c r="CB875" s="12"/>
      <c r="CC875" s="12"/>
      <c r="CD875" s="12"/>
      <c r="CE875" s="12"/>
      <c r="CF875" s="12"/>
      <c r="CG875" s="12"/>
      <c r="CH875" s="12"/>
      <c r="CI875" s="12"/>
      <c r="CJ875" s="12"/>
      <c r="CK875" s="12"/>
      <c r="CL875" s="12"/>
      <c r="CM875" s="12"/>
      <c r="CN875" s="12"/>
      <c r="CO875" s="12"/>
      <c r="CP875" s="12"/>
      <c r="CQ875" s="12"/>
      <c r="CR875" s="12"/>
      <c r="CS875" s="12"/>
      <c r="CT875" s="12"/>
      <c r="CU875" s="12"/>
      <c r="CV875" s="12"/>
      <c r="CW875" s="12"/>
      <c r="CX875" s="12"/>
      <c r="CY875" s="12"/>
      <c r="CZ875" s="12"/>
      <c r="DA875" s="12"/>
      <c r="DB875" s="12"/>
      <c r="DC875" s="12"/>
      <c r="DD875" s="12"/>
      <c r="DE875" s="12"/>
      <c r="DF875" s="12"/>
      <c r="DG875" s="12"/>
      <c r="DH875" s="12"/>
      <c r="DI875" s="12"/>
      <c r="DJ875" s="12"/>
      <c r="DK875" s="12"/>
      <c r="DL875" s="12"/>
      <c r="DM875" s="12"/>
      <c r="DN875" s="12"/>
      <c r="DO875" s="12"/>
      <c r="DP875" s="12"/>
      <c r="DQ875" s="12"/>
      <c r="DR875" s="12"/>
      <c r="DS875" s="12"/>
      <c r="DT875" s="12"/>
      <c r="DU875" s="12"/>
      <c r="DV875" s="12"/>
      <c r="DW875" s="12"/>
      <c r="DX875" s="12"/>
      <c r="DY875" s="12"/>
      <c r="DZ875" s="12"/>
      <c r="EA875" s="12"/>
      <c r="EB875" s="12"/>
      <c r="EC875" s="12"/>
      <c r="ED875" s="12"/>
      <c r="EE875" s="12"/>
      <c r="EF875" s="12"/>
      <c r="EG875" s="12"/>
      <c r="EH875" s="12"/>
      <c r="EI875" s="12"/>
      <c r="EJ875" s="574"/>
      <c r="EK875" s="574"/>
      <c r="EL875" s="574"/>
      <c r="EM875" s="574"/>
      <c r="EN875" s="574"/>
      <c r="EO875" s="574"/>
      <c r="EP875" s="574"/>
      <c r="EQ875" s="574"/>
      <c r="ER875" s="574"/>
      <c r="ES875" s="574"/>
      <c r="ET875" s="574"/>
      <c r="EU875" s="574"/>
    </row>
    <row r="876">
      <c r="A876" s="12"/>
      <c r="B876" s="55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  <c r="AW876" s="12"/>
      <c r="AX876" s="12"/>
      <c r="AY876" s="12"/>
      <c r="AZ876" s="12"/>
      <c r="BA876" s="12"/>
      <c r="BB876" s="12"/>
      <c r="BC876" s="12"/>
      <c r="BD876" s="12"/>
      <c r="BE876" s="12"/>
      <c r="BF876" s="12"/>
      <c r="BG876" s="12"/>
      <c r="BH876" s="12"/>
      <c r="BI876" s="12"/>
      <c r="BJ876" s="12"/>
      <c r="BK876" s="12"/>
      <c r="BL876" s="12"/>
      <c r="BM876" s="12"/>
      <c r="BN876" s="12"/>
      <c r="BO876" s="12"/>
      <c r="BP876" s="12"/>
      <c r="BQ876" s="12"/>
      <c r="BR876" s="12"/>
      <c r="BS876" s="12"/>
      <c r="BT876" s="12"/>
      <c r="BU876" s="12"/>
      <c r="BV876" s="12"/>
      <c r="BW876" s="12"/>
      <c r="BX876" s="12"/>
      <c r="BY876" s="12"/>
      <c r="BZ876" s="12"/>
      <c r="CA876" s="12"/>
      <c r="CB876" s="12"/>
      <c r="CC876" s="12"/>
      <c r="CD876" s="12"/>
      <c r="CE876" s="12"/>
      <c r="CF876" s="12"/>
      <c r="CG876" s="12"/>
      <c r="CH876" s="12"/>
      <c r="CI876" s="12"/>
      <c r="CJ876" s="12"/>
      <c r="CK876" s="12"/>
      <c r="CL876" s="12"/>
      <c r="CM876" s="12"/>
      <c r="CN876" s="12"/>
      <c r="CO876" s="12"/>
      <c r="CP876" s="12"/>
      <c r="CQ876" s="12"/>
      <c r="CR876" s="12"/>
      <c r="CS876" s="12"/>
      <c r="CT876" s="12"/>
      <c r="CU876" s="12"/>
      <c r="CV876" s="12"/>
      <c r="CW876" s="12"/>
      <c r="CX876" s="12"/>
      <c r="CY876" s="12"/>
      <c r="CZ876" s="12"/>
      <c r="DA876" s="12"/>
      <c r="DB876" s="12"/>
      <c r="DC876" s="12"/>
      <c r="DD876" s="12"/>
      <c r="DE876" s="12"/>
      <c r="DF876" s="12"/>
      <c r="DG876" s="12"/>
      <c r="DH876" s="12"/>
      <c r="DI876" s="12"/>
      <c r="DJ876" s="12"/>
      <c r="DK876" s="12"/>
      <c r="DL876" s="12"/>
      <c r="DM876" s="12"/>
      <c r="DN876" s="12"/>
      <c r="DO876" s="12"/>
      <c r="DP876" s="12"/>
      <c r="DQ876" s="12"/>
      <c r="DR876" s="12"/>
      <c r="DS876" s="12"/>
      <c r="DT876" s="12"/>
      <c r="DU876" s="12"/>
      <c r="DV876" s="12"/>
      <c r="DW876" s="12"/>
      <c r="DX876" s="12"/>
      <c r="DY876" s="12"/>
      <c r="DZ876" s="12"/>
      <c r="EA876" s="12"/>
      <c r="EB876" s="12"/>
      <c r="EC876" s="12"/>
      <c r="ED876" s="12"/>
      <c r="EE876" s="12"/>
      <c r="EF876" s="12"/>
      <c r="EG876" s="12"/>
      <c r="EH876" s="12"/>
      <c r="EI876" s="12"/>
      <c r="EJ876" s="574"/>
      <c r="EK876" s="574"/>
      <c r="EL876" s="574"/>
      <c r="EM876" s="574"/>
      <c r="EN876" s="574"/>
      <c r="EO876" s="574"/>
      <c r="EP876" s="574"/>
      <c r="EQ876" s="574"/>
      <c r="ER876" s="574"/>
      <c r="ES876" s="574"/>
      <c r="ET876" s="574"/>
      <c r="EU876" s="574"/>
    </row>
    <row r="877">
      <c r="A877" s="12"/>
      <c r="B877" s="55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  <c r="AW877" s="12"/>
      <c r="AX877" s="12"/>
      <c r="AY877" s="12"/>
      <c r="AZ877" s="12"/>
      <c r="BA877" s="12"/>
      <c r="BB877" s="12"/>
      <c r="BC877" s="12"/>
      <c r="BD877" s="12"/>
      <c r="BE877" s="12"/>
      <c r="BF877" s="12"/>
      <c r="BG877" s="12"/>
      <c r="BH877" s="12"/>
      <c r="BI877" s="12"/>
      <c r="BJ877" s="12"/>
      <c r="BK877" s="12"/>
      <c r="BL877" s="12"/>
      <c r="BM877" s="12"/>
      <c r="BN877" s="12"/>
      <c r="BO877" s="12"/>
      <c r="BP877" s="12"/>
      <c r="BQ877" s="12"/>
      <c r="BR877" s="12"/>
      <c r="BS877" s="12"/>
      <c r="BT877" s="12"/>
      <c r="BU877" s="12"/>
      <c r="BV877" s="12"/>
      <c r="BW877" s="12"/>
      <c r="BX877" s="12"/>
      <c r="BY877" s="12"/>
      <c r="BZ877" s="12"/>
      <c r="CA877" s="12"/>
      <c r="CB877" s="12"/>
      <c r="CC877" s="12"/>
      <c r="CD877" s="12"/>
      <c r="CE877" s="12"/>
      <c r="CF877" s="12"/>
      <c r="CG877" s="12"/>
      <c r="CH877" s="12"/>
      <c r="CI877" s="12"/>
      <c r="CJ877" s="12"/>
      <c r="CK877" s="12"/>
      <c r="CL877" s="12"/>
      <c r="CM877" s="12"/>
      <c r="CN877" s="12"/>
      <c r="CO877" s="12"/>
      <c r="CP877" s="12"/>
      <c r="CQ877" s="12"/>
      <c r="CR877" s="12"/>
      <c r="CS877" s="12"/>
      <c r="CT877" s="12"/>
      <c r="CU877" s="12"/>
      <c r="CV877" s="12"/>
      <c r="CW877" s="12"/>
      <c r="CX877" s="12"/>
      <c r="CY877" s="12"/>
      <c r="CZ877" s="12"/>
      <c r="DA877" s="12"/>
      <c r="DB877" s="12"/>
      <c r="DC877" s="12"/>
      <c r="DD877" s="12"/>
      <c r="DE877" s="12"/>
      <c r="DF877" s="12"/>
      <c r="DG877" s="12"/>
      <c r="DH877" s="12"/>
      <c r="DI877" s="12"/>
      <c r="DJ877" s="12"/>
      <c r="DK877" s="12"/>
      <c r="DL877" s="12"/>
      <c r="DM877" s="12"/>
      <c r="DN877" s="12"/>
      <c r="DO877" s="12"/>
      <c r="DP877" s="12"/>
      <c r="DQ877" s="12"/>
      <c r="DR877" s="12"/>
      <c r="DS877" s="12"/>
      <c r="DT877" s="12"/>
      <c r="DU877" s="12"/>
      <c r="DV877" s="12"/>
      <c r="DW877" s="12"/>
      <c r="DX877" s="12"/>
      <c r="DY877" s="12"/>
      <c r="DZ877" s="12"/>
      <c r="EA877" s="12"/>
      <c r="EB877" s="12"/>
      <c r="EC877" s="12"/>
      <c r="ED877" s="12"/>
      <c r="EE877" s="12"/>
      <c r="EF877" s="12"/>
      <c r="EG877" s="12"/>
      <c r="EH877" s="12"/>
      <c r="EI877" s="12"/>
      <c r="EJ877" s="574"/>
      <c r="EK877" s="574"/>
      <c r="EL877" s="574"/>
      <c r="EM877" s="574"/>
      <c r="EN877" s="574"/>
      <c r="EO877" s="574"/>
      <c r="EP877" s="574"/>
      <c r="EQ877" s="574"/>
      <c r="ER877" s="574"/>
      <c r="ES877" s="574"/>
      <c r="ET877" s="574"/>
      <c r="EU877" s="574"/>
    </row>
    <row r="878">
      <c r="A878" s="12"/>
      <c r="B878" s="55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  <c r="AW878" s="12"/>
      <c r="AX878" s="12"/>
      <c r="AY878" s="12"/>
      <c r="AZ878" s="12"/>
      <c r="BA878" s="12"/>
      <c r="BB878" s="12"/>
      <c r="BC878" s="12"/>
      <c r="BD878" s="12"/>
      <c r="BE878" s="12"/>
      <c r="BF878" s="12"/>
      <c r="BG878" s="12"/>
      <c r="BH878" s="12"/>
      <c r="BI878" s="12"/>
      <c r="BJ878" s="12"/>
      <c r="BK878" s="12"/>
      <c r="BL878" s="12"/>
      <c r="BM878" s="12"/>
      <c r="BN878" s="12"/>
      <c r="BO878" s="12"/>
      <c r="BP878" s="12"/>
      <c r="BQ878" s="12"/>
      <c r="BR878" s="12"/>
      <c r="BS878" s="12"/>
      <c r="BT878" s="12"/>
      <c r="BU878" s="12"/>
      <c r="BV878" s="12"/>
      <c r="BW878" s="12"/>
      <c r="BX878" s="12"/>
      <c r="BY878" s="12"/>
      <c r="BZ878" s="12"/>
      <c r="CA878" s="12"/>
      <c r="CB878" s="12"/>
      <c r="CC878" s="12"/>
      <c r="CD878" s="12"/>
      <c r="CE878" s="12"/>
      <c r="CF878" s="12"/>
      <c r="CG878" s="12"/>
      <c r="CH878" s="12"/>
      <c r="CI878" s="12"/>
      <c r="CJ878" s="12"/>
      <c r="CK878" s="12"/>
      <c r="CL878" s="12"/>
      <c r="CM878" s="12"/>
      <c r="CN878" s="12"/>
      <c r="CO878" s="12"/>
      <c r="CP878" s="12"/>
      <c r="CQ878" s="12"/>
      <c r="CR878" s="12"/>
      <c r="CS878" s="12"/>
      <c r="CT878" s="12"/>
      <c r="CU878" s="12"/>
      <c r="CV878" s="12"/>
      <c r="CW878" s="12"/>
      <c r="CX878" s="12"/>
      <c r="CY878" s="12"/>
      <c r="CZ878" s="12"/>
      <c r="DA878" s="12"/>
      <c r="DB878" s="12"/>
      <c r="DC878" s="12"/>
      <c r="DD878" s="12"/>
      <c r="DE878" s="12"/>
      <c r="DF878" s="12"/>
      <c r="DG878" s="12"/>
      <c r="DH878" s="12"/>
      <c r="DI878" s="12"/>
      <c r="DJ878" s="12"/>
      <c r="DK878" s="12"/>
      <c r="DL878" s="12"/>
      <c r="DM878" s="12"/>
      <c r="DN878" s="12"/>
      <c r="DO878" s="12"/>
      <c r="DP878" s="12"/>
      <c r="DQ878" s="12"/>
      <c r="DR878" s="12"/>
      <c r="DS878" s="12"/>
      <c r="DT878" s="12"/>
      <c r="DU878" s="12"/>
      <c r="DV878" s="12"/>
      <c r="DW878" s="12"/>
      <c r="DX878" s="12"/>
      <c r="DY878" s="12"/>
      <c r="DZ878" s="12"/>
      <c r="EA878" s="12"/>
      <c r="EB878" s="12"/>
      <c r="EC878" s="12"/>
      <c r="ED878" s="12"/>
      <c r="EE878" s="12"/>
      <c r="EF878" s="12"/>
      <c r="EG878" s="12"/>
      <c r="EH878" s="12"/>
      <c r="EI878" s="12"/>
      <c r="EJ878" s="574"/>
      <c r="EK878" s="574"/>
      <c r="EL878" s="574"/>
      <c r="EM878" s="574"/>
      <c r="EN878" s="574"/>
      <c r="EO878" s="574"/>
      <c r="EP878" s="574"/>
      <c r="EQ878" s="574"/>
      <c r="ER878" s="574"/>
      <c r="ES878" s="574"/>
      <c r="ET878" s="574"/>
      <c r="EU878" s="574"/>
    </row>
    <row r="879">
      <c r="A879" s="12"/>
      <c r="B879" s="55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  <c r="AX879" s="12"/>
      <c r="AY879" s="12"/>
      <c r="AZ879" s="12"/>
      <c r="BA879" s="12"/>
      <c r="BB879" s="12"/>
      <c r="BC879" s="12"/>
      <c r="BD879" s="12"/>
      <c r="BE879" s="12"/>
      <c r="BF879" s="12"/>
      <c r="BG879" s="12"/>
      <c r="BH879" s="12"/>
      <c r="BI879" s="12"/>
      <c r="BJ879" s="12"/>
      <c r="BK879" s="12"/>
      <c r="BL879" s="12"/>
      <c r="BM879" s="12"/>
      <c r="BN879" s="12"/>
      <c r="BO879" s="12"/>
      <c r="BP879" s="12"/>
      <c r="BQ879" s="12"/>
      <c r="BR879" s="12"/>
      <c r="BS879" s="12"/>
      <c r="BT879" s="12"/>
      <c r="BU879" s="12"/>
      <c r="BV879" s="12"/>
      <c r="BW879" s="12"/>
      <c r="BX879" s="12"/>
      <c r="BY879" s="12"/>
      <c r="BZ879" s="12"/>
      <c r="CA879" s="12"/>
      <c r="CB879" s="12"/>
      <c r="CC879" s="12"/>
      <c r="CD879" s="12"/>
      <c r="CE879" s="12"/>
      <c r="CF879" s="12"/>
      <c r="CG879" s="12"/>
      <c r="CH879" s="12"/>
      <c r="CI879" s="12"/>
      <c r="CJ879" s="12"/>
      <c r="CK879" s="12"/>
      <c r="CL879" s="12"/>
      <c r="CM879" s="12"/>
      <c r="CN879" s="12"/>
      <c r="CO879" s="12"/>
      <c r="CP879" s="12"/>
      <c r="CQ879" s="12"/>
      <c r="CR879" s="12"/>
      <c r="CS879" s="12"/>
      <c r="CT879" s="12"/>
      <c r="CU879" s="12"/>
      <c r="CV879" s="12"/>
      <c r="CW879" s="12"/>
      <c r="CX879" s="12"/>
      <c r="CY879" s="12"/>
      <c r="CZ879" s="12"/>
      <c r="DA879" s="12"/>
      <c r="DB879" s="12"/>
      <c r="DC879" s="12"/>
      <c r="DD879" s="12"/>
      <c r="DE879" s="12"/>
      <c r="DF879" s="12"/>
      <c r="DG879" s="12"/>
      <c r="DH879" s="12"/>
      <c r="DI879" s="12"/>
      <c r="DJ879" s="12"/>
      <c r="DK879" s="12"/>
      <c r="DL879" s="12"/>
      <c r="DM879" s="12"/>
      <c r="DN879" s="12"/>
      <c r="DO879" s="12"/>
      <c r="DP879" s="12"/>
      <c r="DQ879" s="12"/>
      <c r="DR879" s="12"/>
      <c r="DS879" s="12"/>
      <c r="DT879" s="12"/>
      <c r="DU879" s="12"/>
      <c r="DV879" s="12"/>
      <c r="DW879" s="12"/>
      <c r="DX879" s="12"/>
      <c r="DY879" s="12"/>
      <c r="DZ879" s="12"/>
      <c r="EA879" s="12"/>
      <c r="EB879" s="12"/>
      <c r="EC879" s="12"/>
      <c r="ED879" s="12"/>
      <c r="EE879" s="12"/>
      <c r="EF879" s="12"/>
      <c r="EG879" s="12"/>
      <c r="EH879" s="12"/>
      <c r="EI879" s="12"/>
      <c r="EJ879" s="574"/>
      <c r="EK879" s="574"/>
      <c r="EL879" s="574"/>
      <c r="EM879" s="574"/>
      <c r="EN879" s="574"/>
      <c r="EO879" s="574"/>
      <c r="EP879" s="574"/>
      <c r="EQ879" s="574"/>
      <c r="ER879" s="574"/>
      <c r="ES879" s="574"/>
      <c r="ET879" s="574"/>
      <c r="EU879" s="574"/>
    </row>
    <row r="880">
      <c r="A880" s="12"/>
      <c r="B880" s="55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  <c r="AX880" s="12"/>
      <c r="AY880" s="12"/>
      <c r="AZ880" s="12"/>
      <c r="BA880" s="12"/>
      <c r="BB880" s="12"/>
      <c r="BC880" s="12"/>
      <c r="BD880" s="12"/>
      <c r="BE880" s="12"/>
      <c r="BF880" s="12"/>
      <c r="BG880" s="12"/>
      <c r="BH880" s="12"/>
      <c r="BI880" s="12"/>
      <c r="BJ880" s="12"/>
      <c r="BK880" s="12"/>
      <c r="BL880" s="12"/>
      <c r="BM880" s="12"/>
      <c r="BN880" s="12"/>
      <c r="BO880" s="12"/>
      <c r="BP880" s="12"/>
      <c r="BQ880" s="12"/>
      <c r="BR880" s="12"/>
      <c r="BS880" s="12"/>
      <c r="BT880" s="12"/>
      <c r="BU880" s="12"/>
      <c r="BV880" s="12"/>
      <c r="BW880" s="12"/>
      <c r="BX880" s="12"/>
      <c r="BY880" s="12"/>
      <c r="BZ880" s="12"/>
      <c r="CA880" s="12"/>
      <c r="CB880" s="12"/>
      <c r="CC880" s="12"/>
      <c r="CD880" s="12"/>
      <c r="CE880" s="12"/>
      <c r="CF880" s="12"/>
      <c r="CG880" s="12"/>
      <c r="CH880" s="12"/>
      <c r="CI880" s="12"/>
      <c r="CJ880" s="12"/>
      <c r="CK880" s="12"/>
      <c r="CL880" s="12"/>
      <c r="CM880" s="12"/>
      <c r="CN880" s="12"/>
      <c r="CO880" s="12"/>
      <c r="CP880" s="12"/>
      <c r="CQ880" s="12"/>
      <c r="CR880" s="12"/>
      <c r="CS880" s="12"/>
      <c r="CT880" s="12"/>
      <c r="CU880" s="12"/>
      <c r="CV880" s="12"/>
      <c r="CW880" s="12"/>
      <c r="CX880" s="12"/>
      <c r="CY880" s="12"/>
      <c r="CZ880" s="12"/>
      <c r="DA880" s="12"/>
      <c r="DB880" s="12"/>
      <c r="DC880" s="12"/>
      <c r="DD880" s="12"/>
      <c r="DE880" s="12"/>
      <c r="DF880" s="12"/>
      <c r="DG880" s="12"/>
      <c r="DH880" s="12"/>
      <c r="DI880" s="12"/>
      <c r="DJ880" s="12"/>
      <c r="DK880" s="12"/>
      <c r="DL880" s="12"/>
      <c r="DM880" s="12"/>
      <c r="DN880" s="12"/>
      <c r="DO880" s="12"/>
      <c r="DP880" s="12"/>
      <c r="DQ880" s="12"/>
      <c r="DR880" s="12"/>
      <c r="DS880" s="12"/>
      <c r="DT880" s="12"/>
      <c r="DU880" s="12"/>
      <c r="DV880" s="12"/>
      <c r="DW880" s="12"/>
      <c r="DX880" s="12"/>
      <c r="DY880" s="12"/>
      <c r="DZ880" s="12"/>
      <c r="EA880" s="12"/>
      <c r="EB880" s="12"/>
      <c r="EC880" s="12"/>
      <c r="ED880" s="12"/>
      <c r="EE880" s="12"/>
      <c r="EF880" s="12"/>
      <c r="EG880" s="12"/>
      <c r="EH880" s="12"/>
      <c r="EI880" s="12"/>
      <c r="EJ880" s="574"/>
      <c r="EK880" s="574"/>
      <c r="EL880" s="574"/>
      <c r="EM880" s="574"/>
      <c r="EN880" s="574"/>
      <c r="EO880" s="574"/>
      <c r="EP880" s="574"/>
      <c r="EQ880" s="574"/>
      <c r="ER880" s="574"/>
      <c r="ES880" s="574"/>
      <c r="ET880" s="574"/>
      <c r="EU880" s="574"/>
    </row>
    <row r="881">
      <c r="A881" s="12"/>
      <c r="B881" s="55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  <c r="AX881" s="12"/>
      <c r="AY881" s="12"/>
      <c r="AZ881" s="12"/>
      <c r="BA881" s="12"/>
      <c r="BB881" s="12"/>
      <c r="BC881" s="12"/>
      <c r="BD881" s="12"/>
      <c r="BE881" s="12"/>
      <c r="BF881" s="12"/>
      <c r="BG881" s="12"/>
      <c r="BH881" s="12"/>
      <c r="BI881" s="12"/>
      <c r="BJ881" s="12"/>
      <c r="BK881" s="12"/>
      <c r="BL881" s="12"/>
      <c r="BM881" s="12"/>
      <c r="BN881" s="12"/>
      <c r="BO881" s="12"/>
      <c r="BP881" s="12"/>
      <c r="BQ881" s="12"/>
      <c r="BR881" s="12"/>
      <c r="BS881" s="12"/>
      <c r="BT881" s="12"/>
      <c r="BU881" s="12"/>
      <c r="BV881" s="12"/>
      <c r="BW881" s="12"/>
      <c r="BX881" s="12"/>
      <c r="BY881" s="12"/>
      <c r="BZ881" s="12"/>
      <c r="CA881" s="12"/>
      <c r="CB881" s="12"/>
      <c r="CC881" s="12"/>
      <c r="CD881" s="12"/>
      <c r="CE881" s="12"/>
      <c r="CF881" s="12"/>
      <c r="CG881" s="12"/>
      <c r="CH881" s="12"/>
      <c r="CI881" s="12"/>
      <c r="CJ881" s="12"/>
      <c r="CK881" s="12"/>
      <c r="CL881" s="12"/>
      <c r="CM881" s="12"/>
      <c r="CN881" s="12"/>
      <c r="CO881" s="12"/>
      <c r="CP881" s="12"/>
      <c r="CQ881" s="12"/>
      <c r="CR881" s="12"/>
      <c r="CS881" s="12"/>
      <c r="CT881" s="12"/>
      <c r="CU881" s="12"/>
      <c r="CV881" s="12"/>
      <c r="CW881" s="12"/>
      <c r="CX881" s="12"/>
      <c r="CY881" s="12"/>
      <c r="CZ881" s="12"/>
      <c r="DA881" s="12"/>
      <c r="DB881" s="12"/>
      <c r="DC881" s="12"/>
      <c r="DD881" s="12"/>
      <c r="DE881" s="12"/>
      <c r="DF881" s="12"/>
      <c r="DG881" s="12"/>
      <c r="DH881" s="12"/>
      <c r="DI881" s="12"/>
      <c r="DJ881" s="12"/>
      <c r="DK881" s="12"/>
      <c r="DL881" s="12"/>
      <c r="DM881" s="12"/>
      <c r="DN881" s="12"/>
      <c r="DO881" s="12"/>
      <c r="DP881" s="12"/>
      <c r="DQ881" s="12"/>
      <c r="DR881" s="12"/>
      <c r="DS881" s="12"/>
      <c r="DT881" s="12"/>
      <c r="DU881" s="12"/>
      <c r="DV881" s="12"/>
      <c r="DW881" s="12"/>
      <c r="DX881" s="12"/>
      <c r="DY881" s="12"/>
      <c r="DZ881" s="12"/>
      <c r="EA881" s="12"/>
      <c r="EB881" s="12"/>
      <c r="EC881" s="12"/>
      <c r="ED881" s="12"/>
      <c r="EE881" s="12"/>
      <c r="EF881" s="12"/>
      <c r="EG881" s="12"/>
      <c r="EH881" s="12"/>
      <c r="EI881" s="12"/>
      <c r="EJ881" s="574"/>
      <c r="EK881" s="574"/>
      <c r="EL881" s="574"/>
      <c r="EM881" s="574"/>
      <c r="EN881" s="574"/>
      <c r="EO881" s="574"/>
      <c r="EP881" s="574"/>
      <c r="EQ881" s="574"/>
      <c r="ER881" s="574"/>
      <c r="ES881" s="574"/>
      <c r="ET881" s="574"/>
      <c r="EU881" s="574"/>
    </row>
    <row r="882">
      <c r="A882" s="12"/>
      <c r="B882" s="55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  <c r="AX882" s="12"/>
      <c r="AY882" s="12"/>
      <c r="AZ882" s="12"/>
      <c r="BA882" s="12"/>
      <c r="BB882" s="12"/>
      <c r="BC882" s="12"/>
      <c r="BD882" s="12"/>
      <c r="BE882" s="12"/>
      <c r="BF882" s="12"/>
      <c r="BG882" s="12"/>
      <c r="BH882" s="12"/>
      <c r="BI882" s="12"/>
      <c r="BJ882" s="12"/>
      <c r="BK882" s="12"/>
      <c r="BL882" s="12"/>
      <c r="BM882" s="12"/>
      <c r="BN882" s="12"/>
      <c r="BO882" s="12"/>
      <c r="BP882" s="12"/>
      <c r="BQ882" s="12"/>
      <c r="BR882" s="12"/>
      <c r="BS882" s="12"/>
      <c r="BT882" s="12"/>
      <c r="BU882" s="12"/>
      <c r="BV882" s="12"/>
      <c r="BW882" s="12"/>
      <c r="BX882" s="12"/>
      <c r="BY882" s="12"/>
      <c r="BZ882" s="12"/>
      <c r="CA882" s="12"/>
      <c r="CB882" s="12"/>
      <c r="CC882" s="12"/>
      <c r="CD882" s="12"/>
      <c r="CE882" s="12"/>
      <c r="CF882" s="12"/>
      <c r="CG882" s="12"/>
      <c r="CH882" s="12"/>
      <c r="CI882" s="12"/>
      <c r="CJ882" s="12"/>
      <c r="CK882" s="12"/>
      <c r="CL882" s="12"/>
      <c r="CM882" s="12"/>
      <c r="CN882" s="12"/>
      <c r="CO882" s="12"/>
      <c r="CP882" s="12"/>
      <c r="CQ882" s="12"/>
      <c r="CR882" s="12"/>
      <c r="CS882" s="12"/>
      <c r="CT882" s="12"/>
      <c r="CU882" s="12"/>
      <c r="CV882" s="12"/>
      <c r="CW882" s="12"/>
      <c r="CX882" s="12"/>
      <c r="CY882" s="12"/>
      <c r="CZ882" s="12"/>
      <c r="DA882" s="12"/>
      <c r="DB882" s="12"/>
      <c r="DC882" s="12"/>
      <c r="DD882" s="12"/>
      <c r="DE882" s="12"/>
      <c r="DF882" s="12"/>
      <c r="DG882" s="12"/>
      <c r="DH882" s="12"/>
      <c r="DI882" s="12"/>
      <c r="DJ882" s="12"/>
      <c r="DK882" s="12"/>
      <c r="DL882" s="12"/>
      <c r="DM882" s="12"/>
      <c r="DN882" s="12"/>
      <c r="DO882" s="12"/>
      <c r="DP882" s="12"/>
      <c r="DQ882" s="12"/>
      <c r="DR882" s="12"/>
      <c r="DS882" s="12"/>
      <c r="DT882" s="12"/>
      <c r="DU882" s="12"/>
      <c r="DV882" s="12"/>
      <c r="DW882" s="12"/>
      <c r="DX882" s="12"/>
      <c r="DY882" s="12"/>
      <c r="DZ882" s="12"/>
      <c r="EA882" s="12"/>
      <c r="EB882" s="12"/>
      <c r="EC882" s="12"/>
      <c r="ED882" s="12"/>
      <c r="EE882" s="12"/>
      <c r="EF882" s="12"/>
      <c r="EG882" s="12"/>
      <c r="EH882" s="12"/>
      <c r="EI882" s="12"/>
      <c r="EJ882" s="574"/>
      <c r="EK882" s="574"/>
      <c r="EL882" s="574"/>
      <c r="EM882" s="574"/>
      <c r="EN882" s="574"/>
      <c r="EO882" s="574"/>
      <c r="EP882" s="574"/>
      <c r="EQ882" s="574"/>
      <c r="ER882" s="574"/>
      <c r="ES882" s="574"/>
      <c r="ET882" s="574"/>
      <c r="EU882" s="574"/>
    </row>
    <row r="883">
      <c r="A883" s="12"/>
      <c r="B883" s="55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  <c r="AX883" s="12"/>
      <c r="AY883" s="12"/>
      <c r="AZ883" s="12"/>
      <c r="BA883" s="12"/>
      <c r="BB883" s="12"/>
      <c r="BC883" s="12"/>
      <c r="BD883" s="12"/>
      <c r="BE883" s="12"/>
      <c r="BF883" s="12"/>
      <c r="BG883" s="12"/>
      <c r="BH883" s="12"/>
      <c r="BI883" s="12"/>
      <c r="BJ883" s="12"/>
      <c r="BK883" s="12"/>
      <c r="BL883" s="12"/>
      <c r="BM883" s="12"/>
      <c r="BN883" s="12"/>
      <c r="BO883" s="12"/>
      <c r="BP883" s="12"/>
      <c r="BQ883" s="12"/>
      <c r="BR883" s="12"/>
      <c r="BS883" s="12"/>
      <c r="BT883" s="12"/>
      <c r="BU883" s="12"/>
      <c r="BV883" s="12"/>
      <c r="BW883" s="12"/>
      <c r="BX883" s="12"/>
      <c r="BY883" s="12"/>
      <c r="BZ883" s="12"/>
      <c r="CA883" s="12"/>
      <c r="CB883" s="12"/>
      <c r="CC883" s="12"/>
      <c r="CD883" s="12"/>
      <c r="CE883" s="12"/>
      <c r="CF883" s="12"/>
      <c r="CG883" s="12"/>
      <c r="CH883" s="12"/>
      <c r="CI883" s="12"/>
      <c r="CJ883" s="12"/>
      <c r="CK883" s="12"/>
      <c r="CL883" s="12"/>
      <c r="CM883" s="12"/>
      <c r="CN883" s="12"/>
      <c r="CO883" s="12"/>
      <c r="CP883" s="12"/>
      <c r="CQ883" s="12"/>
      <c r="CR883" s="12"/>
      <c r="CS883" s="12"/>
      <c r="CT883" s="12"/>
      <c r="CU883" s="12"/>
      <c r="CV883" s="12"/>
      <c r="CW883" s="12"/>
      <c r="CX883" s="12"/>
      <c r="CY883" s="12"/>
      <c r="CZ883" s="12"/>
      <c r="DA883" s="12"/>
      <c r="DB883" s="12"/>
      <c r="DC883" s="12"/>
      <c r="DD883" s="12"/>
      <c r="DE883" s="12"/>
      <c r="DF883" s="12"/>
      <c r="DG883" s="12"/>
      <c r="DH883" s="12"/>
      <c r="DI883" s="12"/>
      <c r="DJ883" s="12"/>
      <c r="DK883" s="12"/>
      <c r="DL883" s="12"/>
      <c r="DM883" s="12"/>
      <c r="DN883" s="12"/>
      <c r="DO883" s="12"/>
      <c r="DP883" s="12"/>
      <c r="DQ883" s="12"/>
      <c r="DR883" s="12"/>
      <c r="DS883" s="12"/>
      <c r="DT883" s="12"/>
      <c r="DU883" s="12"/>
      <c r="DV883" s="12"/>
      <c r="DW883" s="12"/>
      <c r="DX883" s="12"/>
      <c r="DY883" s="12"/>
      <c r="DZ883" s="12"/>
      <c r="EA883" s="12"/>
      <c r="EB883" s="12"/>
      <c r="EC883" s="12"/>
      <c r="ED883" s="12"/>
      <c r="EE883" s="12"/>
      <c r="EF883" s="12"/>
      <c r="EG883" s="12"/>
      <c r="EH883" s="12"/>
      <c r="EI883" s="12"/>
      <c r="EJ883" s="574"/>
      <c r="EK883" s="574"/>
      <c r="EL883" s="574"/>
      <c r="EM883" s="574"/>
      <c r="EN883" s="574"/>
      <c r="EO883" s="574"/>
      <c r="EP883" s="574"/>
      <c r="EQ883" s="574"/>
      <c r="ER883" s="574"/>
      <c r="ES883" s="574"/>
      <c r="ET883" s="574"/>
      <c r="EU883" s="574"/>
    </row>
    <row r="884">
      <c r="A884" s="12"/>
      <c r="B884" s="55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2"/>
      <c r="AX884" s="12"/>
      <c r="AY884" s="12"/>
      <c r="AZ884" s="12"/>
      <c r="BA884" s="12"/>
      <c r="BB884" s="12"/>
      <c r="BC884" s="12"/>
      <c r="BD884" s="12"/>
      <c r="BE884" s="12"/>
      <c r="BF884" s="12"/>
      <c r="BG884" s="12"/>
      <c r="BH884" s="12"/>
      <c r="BI884" s="12"/>
      <c r="BJ884" s="12"/>
      <c r="BK884" s="12"/>
      <c r="BL884" s="12"/>
      <c r="BM884" s="12"/>
      <c r="BN884" s="12"/>
      <c r="BO884" s="12"/>
      <c r="BP884" s="12"/>
      <c r="BQ884" s="12"/>
      <c r="BR884" s="12"/>
      <c r="BS884" s="12"/>
      <c r="BT884" s="12"/>
      <c r="BU884" s="12"/>
      <c r="BV884" s="12"/>
      <c r="BW884" s="12"/>
      <c r="BX884" s="12"/>
      <c r="BY884" s="12"/>
      <c r="BZ884" s="12"/>
      <c r="CA884" s="12"/>
      <c r="CB884" s="12"/>
      <c r="CC884" s="12"/>
      <c r="CD884" s="12"/>
      <c r="CE884" s="12"/>
      <c r="CF884" s="12"/>
      <c r="CG884" s="12"/>
      <c r="CH884" s="12"/>
      <c r="CI884" s="12"/>
      <c r="CJ884" s="12"/>
      <c r="CK884" s="12"/>
      <c r="CL884" s="12"/>
      <c r="CM884" s="12"/>
      <c r="CN884" s="12"/>
      <c r="CO884" s="12"/>
      <c r="CP884" s="12"/>
      <c r="CQ884" s="12"/>
      <c r="CR884" s="12"/>
      <c r="CS884" s="12"/>
      <c r="CT884" s="12"/>
      <c r="CU884" s="12"/>
      <c r="CV884" s="12"/>
      <c r="CW884" s="12"/>
      <c r="CX884" s="12"/>
      <c r="CY884" s="12"/>
      <c r="CZ884" s="12"/>
      <c r="DA884" s="12"/>
      <c r="DB884" s="12"/>
      <c r="DC884" s="12"/>
      <c r="DD884" s="12"/>
      <c r="DE884" s="12"/>
      <c r="DF884" s="12"/>
      <c r="DG884" s="12"/>
      <c r="DH884" s="12"/>
      <c r="DI884" s="12"/>
      <c r="DJ884" s="12"/>
      <c r="DK884" s="12"/>
      <c r="DL884" s="12"/>
      <c r="DM884" s="12"/>
      <c r="DN884" s="12"/>
      <c r="DO884" s="12"/>
      <c r="DP884" s="12"/>
      <c r="DQ884" s="12"/>
      <c r="DR884" s="12"/>
      <c r="DS884" s="12"/>
      <c r="DT884" s="12"/>
      <c r="DU884" s="12"/>
      <c r="DV884" s="12"/>
      <c r="DW884" s="12"/>
      <c r="DX884" s="12"/>
      <c r="DY884" s="12"/>
      <c r="DZ884" s="12"/>
      <c r="EA884" s="12"/>
      <c r="EB884" s="12"/>
      <c r="EC884" s="12"/>
      <c r="ED884" s="12"/>
      <c r="EE884" s="12"/>
      <c r="EF884" s="12"/>
      <c r="EG884" s="12"/>
      <c r="EH884" s="12"/>
      <c r="EI884" s="12"/>
      <c r="EJ884" s="574"/>
      <c r="EK884" s="574"/>
      <c r="EL884" s="574"/>
      <c r="EM884" s="574"/>
      <c r="EN884" s="574"/>
      <c r="EO884" s="574"/>
      <c r="EP884" s="574"/>
      <c r="EQ884" s="574"/>
      <c r="ER884" s="574"/>
      <c r="ES884" s="574"/>
      <c r="ET884" s="574"/>
      <c r="EU884" s="574"/>
    </row>
    <row r="885">
      <c r="A885" s="12"/>
      <c r="B885" s="55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  <c r="AX885" s="12"/>
      <c r="AY885" s="12"/>
      <c r="AZ885" s="12"/>
      <c r="BA885" s="12"/>
      <c r="BB885" s="12"/>
      <c r="BC885" s="12"/>
      <c r="BD885" s="12"/>
      <c r="BE885" s="12"/>
      <c r="BF885" s="12"/>
      <c r="BG885" s="12"/>
      <c r="BH885" s="12"/>
      <c r="BI885" s="12"/>
      <c r="BJ885" s="12"/>
      <c r="BK885" s="12"/>
      <c r="BL885" s="12"/>
      <c r="BM885" s="12"/>
      <c r="BN885" s="12"/>
      <c r="BO885" s="12"/>
      <c r="BP885" s="12"/>
      <c r="BQ885" s="12"/>
      <c r="BR885" s="12"/>
      <c r="BS885" s="12"/>
      <c r="BT885" s="12"/>
      <c r="BU885" s="12"/>
      <c r="BV885" s="12"/>
      <c r="BW885" s="12"/>
      <c r="BX885" s="12"/>
      <c r="BY885" s="12"/>
      <c r="BZ885" s="12"/>
      <c r="CA885" s="12"/>
      <c r="CB885" s="12"/>
      <c r="CC885" s="12"/>
      <c r="CD885" s="12"/>
      <c r="CE885" s="12"/>
      <c r="CF885" s="12"/>
      <c r="CG885" s="12"/>
      <c r="CH885" s="12"/>
      <c r="CI885" s="12"/>
      <c r="CJ885" s="12"/>
      <c r="CK885" s="12"/>
      <c r="CL885" s="12"/>
      <c r="CM885" s="12"/>
      <c r="CN885" s="12"/>
      <c r="CO885" s="12"/>
      <c r="CP885" s="12"/>
      <c r="CQ885" s="12"/>
      <c r="CR885" s="12"/>
      <c r="CS885" s="12"/>
      <c r="CT885" s="12"/>
      <c r="CU885" s="12"/>
      <c r="CV885" s="12"/>
      <c r="CW885" s="12"/>
      <c r="CX885" s="12"/>
      <c r="CY885" s="12"/>
      <c r="CZ885" s="12"/>
      <c r="DA885" s="12"/>
      <c r="DB885" s="12"/>
      <c r="DC885" s="12"/>
      <c r="DD885" s="12"/>
      <c r="DE885" s="12"/>
      <c r="DF885" s="12"/>
      <c r="DG885" s="12"/>
      <c r="DH885" s="12"/>
      <c r="DI885" s="12"/>
      <c r="DJ885" s="12"/>
      <c r="DK885" s="12"/>
      <c r="DL885" s="12"/>
      <c r="DM885" s="12"/>
      <c r="DN885" s="12"/>
      <c r="DO885" s="12"/>
      <c r="DP885" s="12"/>
      <c r="DQ885" s="12"/>
      <c r="DR885" s="12"/>
      <c r="DS885" s="12"/>
      <c r="DT885" s="12"/>
      <c r="DU885" s="12"/>
      <c r="DV885" s="12"/>
      <c r="DW885" s="12"/>
      <c r="DX885" s="12"/>
      <c r="DY885" s="12"/>
      <c r="DZ885" s="12"/>
      <c r="EA885" s="12"/>
      <c r="EB885" s="12"/>
      <c r="EC885" s="12"/>
      <c r="ED885" s="12"/>
      <c r="EE885" s="12"/>
      <c r="EF885" s="12"/>
      <c r="EG885" s="12"/>
      <c r="EH885" s="12"/>
      <c r="EI885" s="12"/>
      <c r="EJ885" s="574"/>
      <c r="EK885" s="574"/>
      <c r="EL885" s="574"/>
      <c r="EM885" s="574"/>
      <c r="EN885" s="574"/>
      <c r="EO885" s="574"/>
      <c r="EP885" s="574"/>
      <c r="EQ885" s="574"/>
      <c r="ER885" s="574"/>
      <c r="ES885" s="574"/>
      <c r="ET885" s="574"/>
      <c r="EU885" s="574"/>
    </row>
    <row r="886">
      <c r="A886" s="12"/>
      <c r="B886" s="55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2"/>
      <c r="AX886" s="12"/>
      <c r="AY886" s="12"/>
      <c r="AZ886" s="12"/>
      <c r="BA886" s="12"/>
      <c r="BB886" s="12"/>
      <c r="BC886" s="12"/>
      <c r="BD886" s="12"/>
      <c r="BE886" s="12"/>
      <c r="BF886" s="12"/>
      <c r="BG886" s="12"/>
      <c r="BH886" s="12"/>
      <c r="BI886" s="12"/>
      <c r="BJ886" s="12"/>
      <c r="BK886" s="12"/>
      <c r="BL886" s="12"/>
      <c r="BM886" s="12"/>
      <c r="BN886" s="12"/>
      <c r="BO886" s="12"/>
      <c r="BP886" s="12"/>
      <c r="BQ886" s="12"/>
      <c r="BR886" s="12"/>
      <c r="BS886" s="12"/>
      <c r="BT886" s="12"/>
      <c r="BU886" s="12"/>
      <c r="BV886" s="12"/>
      <c r="BW886" s="12"/>
      <c r="BX886" s="12"/>
      <c r="BY886" s="12"/>
      <c r="BZ886" s="12"/>
      <c r="CA886" s="12"/>
      <c r="CB886" s="12"/>
      <c r="CC886" s="12"/>
      <c r="CD886" s="12"/>
      <c r="CE886" s="12"/>
      <c r="CF886" s="12"/>
      <c r="CG886" s="12"/>
      <c r="CH886" s="12"/>
      <c r="CI886" s="12"/>
      <c r="CJ886" s="12"/>
      <c r="CK886" s="12"/>
      <c r="CL886" s="12"/>
      <c r="CM886" s="12"/>
      <c r="CN886" s="12"/>
      <c r="CO886" s="12"/>
      <c r="CP886" s="12"/>
      <c r="CQ886" s="12"/>
      <c r="CR886" s="12"/>
      <c r="CS886" s="12"/>
      <c r="CT886" s="12"/>
      <c r="CU886" s="12"/>
      <c r="CV886" s="12"/>
      <c r="CW886" s="12"/>
      <c r="CX886" s="12"/>
      <c r="CY886" s="12"/>
      <c r="CZ886" s="12"/>
      <c r="DA886" s="12"/>
      <c r="DB886" s="12"/>
      <c r="DC886" s="12"/>
      <c r="DD886" s="12"/>
      <c r="DE886" s="12"/>
      <c r="DF886" s="12"/>
      <c r="DG886" s="12"/>
      <c r="DH886" s="12"/>
      <c r="DI886" s="12"/>
      <c r="DJ886" s="12"/>
      <c r="DK886" s="12"/>
      <c r="DL886" s="12"/>
      <c r="DM886" s="12"/>
      <c r="DN886" s="12"/>
      <c r="DO886" s="12"/>
      <c r="DP886" s="12"/>
      <c r="DQ886" s="12"/>
      <c r="DR886" s="12"/>
      <c r="DS886" s="12"/>
      <c r="DT886" s="12"/>
      <c r="DU886" s="12"/>
      <c r="DV886" s="12"/>
      <c r="DW886" s="12"/>
      <c r="DX886" s="12"/>
      <c r="DY886" s="12"/>
      <c r="DZ886" s="12"/>
      <c r="EA886" s="12"/>
      <c r="EB886" s="12"/>
      <c r="EC886" s="12"/>
      <c r="ED886" s="12"/>
      <c r="EE886" s="12"/>
      <c r="EF886" s="12"/>
      <c r="EG886" s="12"/>
      <c r="EH886" s="12"/>
      <c r="EI886" s="12"/>
      <c r="EJ886" s="574"/>
      <c r="EK886" s="574"/>
      <c r="EL886" s="574"/>
      <c r="EM886" s="574"/>
      <c r="EN886" s="574"/>
      <c r="EO886" s="574"/>
      <c r="EP886" s="574"/>
      <c r="EQ886" s="574"/>
      <c r="ER886" s="574"/>
      <c r="ES886" s="574"/>
      <c r="ET886" s="574"/>
      <c r="EU886" s="574"/>
    </row>
    <row r="887">
      <c r="A887" s="12"/>
      <c r="B887" s="55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  <c r="AW887" s="12"/>
      <c r="AX887" s="12"/>
      <c r="AY887" s="12"/>
      <c r="AZ887" s="12"/>
      <c r="BA887" s="12"/>
      <c r="BB887" s="12"/>
      <c r="BC887" s="12"/>
      <c r="BD887" s="12"/>
      <c r="BE887" s="12"/>
      <c r="BF887" s="12"/>
      <c r="BG887" s="12"/>
      <c r="BH887" s="12"/>
      <c r="BI887" s="12"/>
      <c r="BJ887" s="12"/>
      <c r="BK887" s="12"/>
      <c r="BL887" s="12"/>
      <c r="BM887" s="12"/>
      <c r="BN887" s="12"/>
      <c r="BO887" s="12"/>
      <c r="BP887" s="12"/>
      <c r="BQ887" s="12"/>
      <c r="BR887" s="12"/>
      <c r="BS887" s="12"/>
      <c r="BT887" s="12"/>
      <c r="BU887" s="12"/>
      <c r="BV887" s="12"/>
      <c r="BW887" s="12"/>
      <c r="BX887" s="12"/>
      <c r="BY887" s="12"/>
      <c r="BZ887" s="12"/>
      <c r="CA887" s="12"/>
      <c r="CB887" s="12"/>
      <c r="CC887" s="12"/>
      <c r="CD887" s="12"/>
      <c r="CE887" s="12"/>
      <c r="CF887" s="12"/>
      <c r="CG887" s="12"/>
      <c r="CH887" s="12"/>
      <c r="CI887" s="12"/>
      <c r="CJ887" s="12"/>
      <c r="CK887" s="12"/>
      <c r="CL887" s="12"/>
      <c r="CM887" s="12"/>
      <c r="CN887" s="12"/>
      <c r="CO887" s="12"/>
      <c r="CP887" s="12"/>
      <c r="CQ887" s="12"/>
      <c r="CR887" s="12"/>
      <c r="CS887" s="12"/>
      <c r="CT887" s="12"/>
      <c r="CU887" s="12"/>
      <c r="CV887" s="12"/>
      <c r="CW887" s="12"/>
      <c r="CX887" s="12"/>
      <c r="CY887" s="12"/>
      <c r="CZ887" s="12"/>
      <c r="DA887" s="12"/>
      <c r="DB887" s="12"/>
      <c r="DC887" s="12"/>
      <c r="DD887" s="12"/>
      <c r="DE887" s="12"/>
      <c r="DF887" s="12"/>
      <c r="DG887" s="12"/>
      <c r="DH887" s="12"/>
      <c r="DI887" s="12"/>
      <c r="DJ887" s="12"/>
      <c r="DK887" s="12"/>
      <c r="DL887" s="12"/>
      <c r="DM887" s="12"/>
      <c r="DN887" s="12"/>
      <c r="DO887" s="12"/>
      <c r="DP887" s="12"/>
      <c r="DQ887" s="12"/>
      <c r="DR887" s="12"/>
      <c r="DS887" s="12"/>
      <c r="DT887" s="12"/>
      <c r="DU887" s="12"/>
      <c r="DV887" s="12"/>
      <c r="DW887" s="12"/>
      <c r="DX887" s="12"/>
      <c r="DY887" s="12"/>
      <c r="DZ887" s="12"/>
      <c r="EA887" s="12"/>
      <c r="EB887" s="12"/>
      <c r="EC887" s="12"/>
      <c r="ED887" s="12"/>
      <c r="EE887" s="12"/>
      <c r="EF887" s="12"/>
      <c r="EG887" s="12"/>
      <c r="EH887" s="12"/>
      <c r="EI887" s="12"/>
      <c r="EJ887" s="574"/>
      <c r="EK887" s="574"/>
      <c r="EL887" s="574"/>
      <c r="EM887" s="574"/>
      <c r="EN887" s="574"/>
      <c r="EO887" s="574"/>
      <c r="EP887" s="574"/>
      <c r="EQ887" s="574"/>
      <c r="ER887" s="574"/>
      <c r="ES887" s="574"/>
      <c r="ET887" s="574"/>
      <c r="EU887" s="574"/>
    </row>
    <row r="888">
      <c r="A888" s="12"/>
      <c r="B888" s="55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  <c r="AW888" s="12"/>
      <c r="AX888" s="12"/>
      <c r="AY888" s="12"/>
      <c r="AZ888" s="12"/>
      <c r="BA888" s="12"/>
      <c r="BB888" s="12"/>
      <c r="BC888" s="12"/>
      <c r="BD888" s="12"/>
      <c r="BE888" s="12"/>
      <c r="BF888" s="12"/>
      <c r="BG888" s="12"/>
      <c r="BH888" s="12"/>
      <c r="BI888" s="12"/>
      <c r="BJ888" s="12"/>
      <c r="BK888" s="12"/>
      <c r="BL888" s="12"/>
      <c r="BM888" s="12"/>
      <c r="BN888" s="12"/>
      <c r="BO888" s="12"/>
      <c r="BP888" s="12"/>
      <c r="BQ888" s="12"/>
      <c r="BR888" s="12"/>
      <c r="BS888" s="12"/>
      <c r="BT888" s="12"/>
      <c r="BU888" s="12"/>
      <c r="BV888" s="12"/>
      <c r="BW888" s="12"/>
      <c r="BX888" s="12"/>
      <c r="BY888" s="12"/>
      <c r="BZ888" s="12"/>
      <c r="CA888" s="12"/>
      <c r="CB888" s="12"/>
      <c r="CC888" s="12"/>
      <c r="CD888" s="12"/>
      <c r="CE888" s="12"/>
      <c r="CF888" s="12"/>
      <c r="CG888" s="12"/>
      <c r="CH888" s="12"/>
      <c r="CI888" s="12"/>
      <c r="CJ888" s="12"/>
      <c r="CK888" s="12"/>
      <c r="CL888" s="12"/>
      <c r="CM888" s="12"/>
      <c r="CN888" s="12"/>
      <c r="CO888" s="12"/>
      <c r="CP888" s="12"/>
      <c r="CQ888" s="12"/>
      <c r="CR888" s="12"/>
      <c r="CS888" s="12"/>
      <c r="CT888" s="12"/>
      <c r="CU888" s="12"/>
      <c r="CV888" s="12"/>
      <c r="CW888" s="12"/>
      <c r="CX888" s="12"/>
      <c r="CY888" s="12"/>
      <c r="CZ888" s="12"/>
      <c r="DA888" s="12"/>
      <c r="DB888" s="12"/>
      <c r="DC888" s="12"/>
      <c r="DD888" s="12"/>
      <c r="DE888" s="12"/>
      <c r="DF888" s="12"/>
      <c r="DG888" s="12"/>
      <c r="DH888" s="12"/>
      <c r="DI888" s="12"/>
      <c r="DJ888" s="12"/>
      <c r="DK888" s="12"/>
      <c r="DL888" s="12"/>
      <c r="DM888" s="12"/>
      <c r="DN888" s="12"/>
      <c r="DO888" s="12"/>
      <c r="DP888" s="12"/>
      <c r="DQ888" s="12"/>
      <c r="DR888" s="12"/>
      <c r="DS888" s="12"/>
      <c r="DT888" s="12"/>
      <c r="DU888" s="12"/>
      <c r="DV888" s="12"/>
      <c r="DW888" s="12"/>
      <c r="DX888" s="12"/>
      <c r="DY888" s="12"/>
      <c r="DZ888" s="12"/>
      <c r="EA888" s="12"/>
      <c r="EB888" s="12"/>
      <c r="EC888" s="12"/>
      <c r="ED888" s="12"/>
      <c r="EE888" s="12"/>
      <c r="EF888" s="12"/>
      <c r="EG888" s="12"/>
      <c r="EH888" s="12"/>
      <c r="EI888" s="12"/>
      <c r="EJ888" s="574"/>
      <c r="EK888" s="574"/>
      <c r="EL888" s="574"/>
      <c r="EM888" s="574"/>
      <c r="EN888" s="574"/>
      <c r="EO888" s="574"/>
      <c r="EP888" s="574"/>
      <c r="EQ888" s="574"/>
      <c r="ER888" s="574"/>
      <c r="ES888" s="574"/>
      <c r="ET888" s="574"/>
      <c r="EU888" s="574"/>
    </row>
    <row r="889">
      <c r="A889" s="12"/>
      <c r="B889" s="55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  <c r="AW889" s="12"/>
      <c r="AX889" s="12"/>
      <c r="AY889" s="12"/>
      <c r="AZ889" s="12"/>
      <c r="BA889" s="12"/>
      <c r="BB889" s="12"/>
      <c r="BC889" s="12"/>
      <c r="BD889" s="12"/>
      <c r="BE889" s="12"/>
      <c r="BF889" s="12"/>
      <c r="BG889" s="12"/>
      <c r="BH889" s="12"/>
      <c r="BI889" s="12"/>
      <c r="BJ889" s="12"/>
      <c r="BK889" s="12"/>
      <c r="BL889" s="12"/>
      <c r="BM889" s="12"/>
      <c r="BN889" s="12"/>
      <c r="BO889" s="12"/>
      <c r="BP889" s="12"/>
      <c r="BQ889" s="12"/>
      <c r="BR889" s="12"/>
      <c r="BS889" s="12"/>
      <c r="BT889" s="12"/>
      <c r="BU889" s="12"/>
      <c r="BV889" s="12"/>
      <c r="BW889" s="12"/>
      <c r="BX889" s="12"/>
      <c r="BY889" s="12"/>
      <c r="BZ889" s="12"/>
      <c r="CA889" s="12"/>
      <c r="CB889" s="12"/>
      <c r="CC889" s="12"/>
      <c r="CD889" s="12"/>
      <c r="CE889" s="12"/>
      <c r="CF889" s="12"/>
      <c r="CG889" s="12"/>
      <c r="CH889" s="12"/>
      <c r="CI889" s="12"/>
      <c r="CJ889" s="12"/>
      <c r="CK889" s="12"/>
      <c r="CL889" s="12"/>
      <c r="CM889" s="12"/>
      <c r="CN889" s="12"/>
      <c r="CO889" s="12"/>
      <c r="CP889" s="12"/>
      <c r="CQ889" s="12"/>
      <c r="CR889" s="12"/>
      <c r="CS889" s="12"/>
      <c r="CT889" s="12"/>
      <c r="CU889" s="12"/>
      <c r="CV889" s="12"/>
      <c r="CW889" s="12"/>
      <c r="CX889" s="12"/>
      <c r="CY889" s="12"/>
      <c r="CZ889" s="12"/>
      <c r="DA889" s="12"/>
      <c r="DB889" s="12"/>
      <c r="DC889" s="12"/>
      <c r="DD889" s="12"/>
      <c r="DE889" s="12"/>
      <c r="DF889" s="12"/>
      <c r="DG889" s="12"/>
      <c r="DH889" s="12"/>
      <c r="DI889" s="12"/>
      <c r="DJ889" s="12"/>
      <c r="DK889" s="12"/>
      <c r="DL889" s="12"/>
      <c r="DM889" s="12"/>
      <c r="DN889" s="12"/>
      <c r="DO889" s="12"/>
      <c r="DP889" s="12"/>
      <c r="DQ889" s="12"/>
      <c r="DR889" s="12"/>
      <c r="DS889" s="12"/>
      <c r="DT889" s="12"/>
      <c r="DU889" s="12"/>
      <c r="DV889" s="12"/>
      <c r="DW889" s="12"/>
      <c r="DX889" s="12"/>
      <c r="DY889" s="12"/>
      <c r="DZ889" s="12"/>
      <c r="EA889" s="12"/>
      <c r="EB889" s="12"/>
      <c r="EC889" s="12"/>
      <c r="ED889" s="12"/>
      <c r="EE889" s="12"/>
      <c r="EF889" s="12"/>
      <c r="EG889" s="12"/>
      <c r="EH889" s="12"/>
      <c r="EI889" s="12"/>
      <c r="EJ889" s="574"/>
      <c r="EK889" s="574"/>
      <c r="EL889" s="574"/>
      <c r="EM889" s="574"/>
      <c r="EN889" s="574"/>
      <c r="EO889" s="574"/>
      <c r="EP889" s="574"/>
      <c r="EQ889" s="574"/>
      <c r="ER889" s="574"/>
      <c r="ES889" s="574"/>
      <c r="ET889" s="574"/>
      <c r="EU889" s="574"/>
    </row>
    <row r="890">
      <c r="A890" s="12"/>
      <c r="B890" s="55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  <c r="AX890" s="12"/>
      <c r="AY890" s="12"/>
      <c r="AZ890" s="12"/>
      <c r="BA890" s="12"/>
      <c r="BB890" s="12"/>
      <c r="BC890" s="12"/>
      <c r="BD890" s="12"/>
      <c r="BE890" s="12"/>
      <c r="BF890" s="12"/>
      <c r="BG890" s="12"/>
      <c r="BH890" s="12"/>
      <c r="BI890" s="12"/>
      <c r="BJ890" s="12"/>
      <c r="BK890" s="12"/>
      <c r="BL890" s="12"/>
      <c r="BM890" s="12"/>
      <c r="BN890" s="12"/>
      <c r="BO890" s="12"/>
      <c r="BP890" s="12"/>
      <c r="BQ890" s="12"/>
      <c r="BR890" s="12"/>
      <c r="BS890" s="12"/>
      <c r="BT890" s="12"/>
      <c r="BU890" s="12"/>
      <c r="BV890" s="12"/>
      <c r="BW890" s="12"/>
      <c r="BX890" s="12"/>
      <c r="BY890" s="12"/>
      <c r="BZ890" s="12"/>
      <c r="CA890" s="12"/>
      <c r="CB890" s="12"/>
      <c r="CC890" s="12"/>
      <c r="CD890" s="12"/>
      <c r="CE890" s="12"/>
      <c r="CF890" s="12"/>
      <c r="CG890" s="12"/>
      <c r="CH890" s="12"/>
      <c r="CI890" s="12"/>
      <c r="CJ890" s="12"/>
      <c r="CK890" s="12"/>
      <c r="CL890" s="12"/>
      <c r="CM890" s="12"/>
      <c r="CN890" s="12"/>
      <c r="CO890" s="12"/>
      <c r="CP890" s="12"/>
      <c r="CQ890" s="12"/>
      <c r="CR890" s="12"/>
      <c r="CS890" s="12"/>
      <c r="CT890" s="12"/>
      <c r="CU890" s="12"/>
      <c r="CV890" s="12"/>
      <c r="CW890" s="12"/>
      <c r="CX890" s="12"/>
      <c r="CY890" s="12"/>
      <c r="CZ890" s="12"/>
      <c r="DA890" s="12"/>
      <c r="DB890" s="12"/>
      <c r="DC890" s="12"/>
      <c r="DD890" s="12"/>
      <c r="DE890" s="12"/>
      <c r="DF890" s="12"/>
      <c r="DG890" s="12"/>
      <c r="DH890" s="12"/>
      <c r="DI890" s="12"/>
      <c r="DJ890" s="12"/>
      <c r="DK890" s="12"/>
      <c r="DL890" s="12"/>
      <c r="DM890" s="12"/>
      <c r="DN890" s="12"/>
      <c r="DO890" s="12"/>
      <c r="DP890" s="12"/>
      <c r="DQ890" s="12"/>
      <c r="DR890" s="12"/>
      <c r="DS890" s="12"/>
      <c r="DT890" s="12"/>
      <c r="DU890" s="12"/>
      <c r="DV890" s="12"/>
      <c r="DW890" s="12"/>
      <c r="DX890" s="12"/>
      <c r="DY890" s="12"/>
      <c r="DZ890" s="12"/>
      <c r="EA890" s="12"/>
      <c r="EB890" s="12"/>
      <c r="EC890" s="12"/>
      <c r="ED890" s="12"/>
      <c r="EE890" s="12"/>
      <c r="EF890" s="12"/>
      <c r="EG890" s="12"/>
      <c r="EH890" s="12"/>
      <c r="EI890" s="12"/>
      <c r="EJ890" s="574"/>
      <c r="EK890" s="574"/>
      <c r="EL890" s="574"/>
      <c r="EM890" s="574"/>
      <c r="EN890" s="574"/>
      <c r="EO890" s="574"/>
      <c r="EP890" s="574"/>
      <c r="EQ890" s="574"/>
      <c r="ER890" s="574"/>
      <c r="ES890" s="574"/>
      <c r="ET890" s="574"/>
      <c r="EU890" s="574"/>
    </row>
    <row r="891">
      <c r="A891" s="12"/>
      <c r="B891" s="55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  <c r="AX891" s="12"/>
      <c r="AY891" s="12"/>
      <c r="AZ891" s="12"/>
      <c r="BA891" s="12"/>
      <c r="BB891" s="12"/>
      <c r="BC891" s="12"/>
      <c r="BD891" s="12"/>
      <c r="BE891" s="12"/>
      <c r="BF891" s="12"/>
      <c r="BG891" s="12"/>
      <c r="BH891" s="12"/>
      <c r="BI891" s="12"/>
      <c r="BJ891" s="12"/>
      <c r="BK891" s="12"/>
      <c r="BL891" s="12"/>
      <c r="BM891" s="12"/>
      <c r="BN891" s="12"/>
      <c r="BO891" s="12"/>
      <c r="BP891" s="12"/>
      <c r="BQ891" s="12"/>
      <c r="BR891" s="12"/>
      <c r="BS891" s="12"/>
      <c r="BT891" s="12"/>
      <c r="BU891" s="12"/>
      <c r="BV891" s="12"/>
      <c r="BW891" s="12"/>
      <c r="BX891" s="12"/>
      <c r="BY891" s="12"/>
      <c r="BZ891" s="12"/>
      <c r="CA891" s="12"/>
      <c r="CB891" s="12"/>
      <c r="CC891" s="12"/>
      <c r="CD891" s="12"/>
      <c r="CE891" s="12"/>
      <c r="CF891" s="12"/>
      <c r="CG891" s="12"/>
      <c r="CH891" s="12"/>
      <c r="CI891" s="12"/>
      <c r="CJ891" s="12"/>
      <c r="CK891" s="12"/>
      <c r="CL891" s="12"/>
      <c r="CM891" s="12"/>
      <c r="CN891" s="12"/>
      <c r="CO891" s="12"/>
      <c r="CP891" s="12"/>
      <c r="CQ891" s="12"/>
      <c r="CR891" s="12"/>
      <c r="CS891" s="12"/>
      <c r="CT891" s="12"/>
      <c r="CU891" s="12"/>
      <c r="CV891" s="12"/>
      <c r="CW891" s="12"/>
      <c r="CX891" s="12"/>
      <c r="CY891" s="12"/>
      <c r="CZ891" s="12"/>
      <c r="DA891" s="12"/>
      <c r="DB891" s="12"/>
      <c r="DC891" s="12"/>
      <c r="DD891" s="12"/>
      <c r="DE891" s="12"/>
      <c r="DF891" s="12"/>
      <c r="DG891" s="12"/>
      <c r="DH891" s="12"/>
      <c r="DI891" s="12"/>
      <c r="DJ891" s="12"/>
      <c r="DK891" s="12"/>
      <c r="DL891" s="12"/>
      <c r="DM891" s="12"/>
      <c r="DN891" s="12"/>
      <c r="DO891" s="12"/>
      <c r="DP891" s="12"/>
      <c r="DQ891" s="12"/>
      <c r="DR891" s="12"/>
      <c r="DS891" s="12"/>
      <c r="DT891" s="12"/>
      <c r="DU891" s="12"/>
      <c r="DV891" s="12"/>
      <c r="DW891" s="12"/>
      <c r="DX891" s="12"/>
      <c r="DY891" s="12"/>
      <c r="DZ891" s="12"/>
      <c r="EA891" s="12"/>
      <c r="EB891" s="12"/>
      <c r="EC891" s="12"/>
      <c r="ED891" s="12"/>
      <c r="EE891" s="12"/>
      <c r="EF891" s="12"/>
      <c r="EG891" s="12"/>
      <c r="EH891" s="12"/>
      <c r="EI891" s="12"/>
      <c r="EJ891" s="574"/>
      <c r="EK891" s="574"/>
      <c r="EL891" s="574"/>
      <c r="EM891" s="574"/>
      <c r="EN891" s="574"/>
      <c r="EO891" s="574"/>
      <c r="EP891" s="574"/>
      <c r="EQ891" s="574"/>
      <c r="ER891" s="574"/>
      <c r="ES891" s="574"/>
      <c r="ET891" s="574"/>
      <c r="EU891" s="574"/>
    </row>
    <row r="892">
      <c r="A892" s="12"/>
      <c r="B892" s="55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  <c r="AX892" s="12"/>
      <c r="AY892" s="12"/>
      <c r="AZ892" s="12"/>
      <c r="BA892" s="12"/>
      <c r="BB892" s="12"/>
      <c r="BC892" s="12"/>
      <c r="BD892" s="12"/>
      <c r="BE892" s="12"/>
      <c r="BF892" s="12"/>
      <c r="BG892" s="12"/>
      <c r="BH892" s="12"/>
      <c r="BI892" s="12"/>
      <c r="BJ892" s="12"/>
      <c r="BK892" s="12"/>
      <c r="BL892" s="12"/>
      <c r="BM892" s="12"/>
      <c r="BN892" s="12"/>
      <c r="BO892" s="12"/>
      <c r="BP892" s="12"/>
      <c r="BQ892" s="12"/>
      <c r="BR892" s="12"/>
      <c r="BS892" s="12"/>
      <c r="BT892" s="12"/>
      <c r="BU892" s="12"/>
      <c r="BV892" s="12"/>
      <c r="BW892" s="12"/>
      <c r="BX892" s="12"/>
      <c r="BY892" s="12"/>
      <c r="BZ892" s="12"/>
      <c r="CA892" s="12"/>
      <c r="CB892" s="12"/>
      <c r="CC892" s="12"/>
      <c r="CD892" s="12"/>
      <c r="CE892" s="12"/>
      <c r="CF892" s="12"/>
      <c r="CG892" s="12"/>
      <c r="CH892" s="12"/>
      <c r="CI892" s="12"/>
      <c r="CJ892" s="12"/>
      <c r="CK892" s="12"/>
      <c r="CL892" s="12"/>
      <c r="CM892" s="12"/>
      <c r="CN892" s="12"/>
      <c r="CO892" s="12"/>
      <c r="CP892" s="12"/>
      <c r="CQ892" s="12"/>
      <c r="CR892" s="12"/>
      <c r="CS892" s="12"/>
      <c r="CT892" s="12"/>
      <c r="CU892" s="12"/>
      <c r="CV892" s="12"/>
      <c r="CW892" s="12"/>
      <c r="CX892" s="12"/>
      <c r="CY892" s="12"/>
      <c r="CZ892" s="12"/>
      <c r="DA892" s="12"/>
      <c r="DB892" s="12"/>
      <c r="DC892" s="12"/>
      <c r="DD892" s="12"/>
      <c r="DE892" s="12"/>
      <c r="DF892" s="12"/>
      <c r="DG892" s="12"/>
      <c r="DH892" s="12"/>
      <c r="DI892" s="12"/>
      <c r="DJ892" s="12"/>
      <c r="DK892" s="12"/>
      <c r="DL892" s="12"/>
      <c r="DM892" s="12"/>
      <c r="DN892" s="12"/>
      <c r="DO892" s="12"/>
      <c r="DP892" s="12"/>
      <c r="DQ892" s="12"/>
      <c r="DR892" s="12"/>
      <c r="DS892" s="12"/>
      <c r="DT892" s="12"/>
      <c r="DU892" s="12"/>
      <c r="DV892" s="12"/>
      <c r="DW892" s="12"/>
      <c r="DX892" s="12"/>
      <c r="DY892" s="12"/>
      <c r="DZ892" s="12"/>
      <c r="EA892" s="12"/>
      <c r="EB892" s="12"/>
      <c r="EC892" s="12"/>
      <c r="ED892" s="12"/>
      <c r="EE892" s="12"/>
      <c r="EF892" s="12"/>
      <c r="EG892" s="12"/>
      <c r="EH892" s="12"/>
      <c r="EI892" s="12"/>
      <c r="EJ892" s="574"/>
      <c r="EK892" s="574"/>
      <c r="EL892" s="574"/>
      <c r="EM892" s="574"/>
      <c r="EN892" s="574"/>
      <c r="EO892" s="574"/>
      <c r="EP892" s="574"/>
      <c r="EQ892" s="574"/>
      <c r="ER892" s="574"/>
      <c r="ES892" s="574"/>
      <c r="ET892" s="574"/>
      <c r="EU892" s="574"/>
    </row>
    <row r="893">
      <c r="A893" s="12"/>
      <c r="B893" s="55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  <c r="AX893" s="12"/>
      <c r="AY893" s="12"/>
      <c r="AZ893" s="12"/>
      <c r="BA893" s="12"/>
      <c r="BB893" s="12"/>
      <c r="BC893" s="12"/>
      <c r="BD893" s="12"/>
      <c r="BE893" s="12"/>
      <c r="BF893" s="12"/>
      <c r="BG893" s="12"/>
      <c r="BH893" s="12"/>
      <c r="BI893" s="12"/>
      <c r="BJ893" s="12"/>
      <c r="BK893" s="12"/>
      <c r="BL893" s="12"/>
      <c r="BM893" s="12"/>
      <c r="BN893" s="12"/>
      <c r="BO893" s="12"/>
      <c r="BP893" s="12"/>
      <c r="BQ893" s="12"/>
      <c r="BR893" s="12"/>
      <c r="BS893" s="12"/>
      <c r="BT893" s="12"/>
      <c r="BU893" s="12"/>
      <c r="BV893" s="12"/>
      <c r="BW893" s="12"/>
      <c r="BX893" s="12"/>
      <c r="BY893" s="12"/>
      <c r="BZ893" s="12"/>
      <c r="CA893" s="12"/>
      <c r="CB893" s="12"/>
      <c r="CC893" s="12"/>
      <c r="CD893" s="12"/>
      <c r="CE893" s="12"/>
      <c r="CF893" s="12"/>
      <c r="CG893" s="12"/>
      <c r="CH893" s="12"/>
      <c r="CI893" s="12"/>
      <c r="CJ893" s="12"/>
      <c r="CK893" s="12"/>
      <c r="CL893" s="12"/>
      <c r="CM893" s="12"/>
      <c r="CN893" s="12"/>
      <c r="CO893" s="12"/>
      <c r="CP893" s="12"/>
      <c r="CQ893" s="12"/>
      <c r="CR893" s="12"/>
      <c r="CS893" s="12"/>
      <c r="CT893" s="12"/>
      <c r="CU893" s="12"/>
      <c r="CV893" s="12"/>
      <c r="CW893" s="12"/>
      <c r="CX893" s="12"/>
      <c r="CY893" s="12"/>
      <c r="CZ893" s="12"/>
      <c r="DA893" s="12"/>
      <c r="DB893" s="12"/>
      <c r="DC893" s="12"/>
      <c r="DD893" s="12"/>
      <c r="DE893" s="12"/>
      <c r="DF893" s="12"/>
      <c r="DG893" s="12"/>
      <c r="DH893" s="12"/>
      <c r="DI893" s="12"/>
      <c r="DJ893" s="12"/>
      <c r="DK893" s="12"/>
      <c r="DL893" s="12"/>
      <c r="DM893" s="12"/>
      <c r="DN893" s="12"/>
      <c r="DO893" s="12"/>
      <c r="DP893" s="12"/>
      <c r="DQ893" s="12"/>
      <c r="DR893" s="12"/>
      <c r="DS893" s="12"/>
      <c r="DT893" s="12"/>
      <c r="DU893" s="12"/>
      <c r="DV893" s="12"/>
      <c r="DW893" s="12"/>
      <c r="DX893" s="12"/>
      <c r="DY893" s="12"/>
      <c r="DZ893" s="12"/>
      <c r="EA893" s="12"/>
      <c r="EB893" s="12"/>
      <c r="EC893" s="12"/>
      <c r="ED893" s="12"/>
      <c r="EE893" s="12"/>
      <c r="EF893" s="12"/>
      <c r="EG893" s="12"/>
      <c r="EH893" s="12"/>
      <c r="EI893" s="12"/>
      <c r="EJ893" s="574"/>
      <c r="EK893" s="574"/>
      <c r="EL893" s="574"/>
      <c r="EM893" s="574"/>
      <c r="EN893" s="574"/>
      <c r="EO893" s="574"/>
      <c r="EP893" s="574"/>
      <c r="EQ893" s="574"/>
      <c r="ER893" s="574"/>
      <c r="ES893" s="574"/>
      <c r="ET893" s="574"/>
      <c r="EU893" s="574"/>
    </row>
    <row r="894">
      <c r="A894" s="12"/>
      <c r="B894" s="55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  <c r="AX894" s="12"/>
      <c r="AY894" s="12"/>
      <c r="AZ894" s="12"/>
      <c r="BA894" s="12"/>
      <c r="BB894" s="12"/>
      <c r="BC894" s="12"/>
      <c r="BD894" s="12"/>
      <c r="BE894" s="12"/>
      <c r="BF894" s="12"/>
      <c r="BG894" s="12"/>
      <c r="BH894" s="12"/>
      <c r="BI894" s="12"/>
      <c r="BJ894" s="12"/>
      <c r="BK894" s="12"/>
      <c r="BL894" s="12"/>
      <c r="BM894" s="12"/>
      <c r="BN894" s="12"/>
      <c r="BO894" s="12"/>
      <c r="BP894" s="12"/>
      <c r="BQ894" s="12"/>
      <c r="BR894" s="12"/>
      <c r="BS894" s="12"/>
      <c r="BT894" s="12"/>
      <c r="BU894" s="12"/>
      <c r="BV894" s="12"/>
      <c r="BW894" s="12"/>
      <c r="BX894" s="12"/>
      <c r="BY894" s="12"/>
      <c r="BZ894" s="12"/>
      <c r="CA894" s="12"/>
      <c r="CB894" s="12"/>
      <c r="CC894" s="12"/>
      <c r="CD894" s="12"/>
      <c r="CE894" s="12"/>
      <c r="CF894" s="12"/>
      <c r="CG894" s="12"/>
      <c r="CH894" s="12"/>
      <c r="CI894" s="12"/>
      <c r="CJ894" s="12"/>
      <c r="CK894" s="12"/>
      <c r="CL894" s="12"/>
      <c r="CM894" s="12"/>
      <c r="CN894" s="12"/>
      <c r="CO894" s="12"/>
      <c r="CP894" s="12"/>
      <c r="CQ894" s="12"/>
      <c r="CR894" s="12"/>
      <c r="CS894" s="12"/>
      <c r="CT894" s="12"/>
      <c r="CU894" s="12"/>
      <c r="CV894" s="12"/>
      <c r="CW894" s="12"/>
      <c r="CX894" s="12"/>
      <c r="CY894" s="12"/>
      <c r="CZ894" s="12"/>
      <c r="DA894" s="12"/>
      <c r="DB894" s="12"/>
      <c r="DC894" s="12"/>
      <c r="DD894" s="12"/>
      <c r="DE894" s="12"/>
      <c r="DF894" s="12"/>
      <c r="DG894" s="12"/>
      <c r="DH894" s="12"/>
      <c r="DI894" s="12"/>
      <c r="DJ894" s="12"/>
      <c r="DK894" s="12"/>
      <c r="DL894" s="12"/>
      <c r="DM894" s="12"/>
      <c r="DN894" s="12"/>
      <c r="DO894" s="12"/>
      <c r="DP894" s="12"/>
      <c r="DQ894" s="12"/>
      <c r="DR894" s="12"/>
      <c r="DS894" s="12"/>
      <c r="DT894" s="12"/>
      <c r="DU894" s="12"/>
      <c r="DV894" s="12"/>
      <c r="DW894" s="12"/>
      <c r="DX894" s="12"/>
      <c r="DY894" s="12"/>
      <c r="DZ894" s="12"/>
      <c r="EA894" s="12"/>
      <c r="EB894" s="12"/>
      <c r="EC894" s="12"/>
      <c r="ED894" s="12"/>
      <c r="EE894" s="12"/>
      <c r="EF894" s="12"/>
      <c r="EG894" s="12"/>
      <c r="EH894" s="12"/>
      <c r="EI894" s="12"/>
      <c r="EJ894" s="574"/>
      <c r="EK894" s="574"/>
      <c r="EL894" s="574"/>
      <c r="EM894" s="574"/>
      <c r="EN894" s="574"/>
      <c r="EO894" s="574"/>
      <c r="EP894" s="574"/>
      <c r="EQ894" s="574"/>
      <c r="ER894" s="574"/>
      <c r="ES894" s="574"/>
      <c r="ET894" s="574"/>
      <c r="EU894" s="574"/>
    </row>
    <row r="895">
      <c r="A895" s="12"/>
      <c r="B895" s="55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  <c r="AX895" s="12"/>
      <c r="AY895" s="12"/>
      <c r="AZ895" s="12"/>
      <c r="BA895" s="12"/>
      <c r="BB895" s="12"/>
      <c r="BC895" s="12"/>
      <c r="BD895" s="12"/>
      <c r="BE895" s="12"/>
      <c r="BF895" s="12"/>
      <c r="BG895" s="12"/>
      <c r="BH895" s="12"/>
      <c r="BI895" s="12"/>
      <c r="BJ895" s="12"/>
      <c r="BK895" s="12"/>
      <c r="BL895" s="12"/>
      <c r="BM895" s="12"/>
      <c r="BN895" s="12"/>
      <c r="BO895" s="12"/>
      <c r="BP895" s="12"/>
      <c r="BQ895" s="12"/>
      <c r="BR895" s="12"/>
      <c r="BS895" s="12"/>
      <c r="BT895" s="12"/>
      <c r="BU895" s="12"/>
      <c r="BV895" s="12"/>
      <c r="BW895" s="12"/>
      <c r="BX895" s="12"/>
      <c r="BY895" s="12"/>
      <c r="BZ895" s="12"/>
      <c r="CA895" s="12"/>
      <c r="CB895" s="12"/>
      <c r="CC895" s="12"/>
      <c r="CD895" s="12"/>
      <c r="CE895" s="12"/>
      <c r="CF895" s="12"/>
      <c r="CG895" s="12"/>
      <c r="CH895" s="12"/>
      <c r="CI895" s="12"/>
      <c r="CJ895" s="12"/>
      <c r="CK895" s="12"/>
      <c r="CL895" s="12"/>
      <c r="CM895" s="12"/>
      <c r="CN895" s="12"/>
      <c r="CO895" s="12"/>
      <c r="CP895" s="12"/>
      <c r="CQ895" s="12"/>
      <c r="CR895" s="12"/>
      <c r="CS895" s="12"/>
      <c r="CT895" s="12"/>
      <c r="CU895" s="12"/>
      <c r="CV895" s="12"/>
      <c r="CW895" s="12"/>
      <c r="CX895" s="12"/>
      <c r="CY895" s="12"/>
      <c r="CZ895" s="12"/>
      <c r="DA895" s="12"/>
      <c r="DB895" s="12"/>
      <c r="DC895" s="12"/>
      <c r="DD895" s="12"/>
      <c r="DE895" s="12"/>
      <c r="DF895" s="12"/>
      <c r="DG895" s="12"/>
      <c r="DH895" s="12"/>
      <c r="DI895" s="12"/>
      <c r="DJ895" s="12"/>
      <c r="DK895" s="12"/>
      <c r="DL895" s="12"/>
      <c r="DM895" s="12"/>
      <c r="DN895" s="12"/>
      <c r="DO895" s="12"/>
      <c r="DP895" s="12"/>
      <c r="DQ895" s="12"/>
      <c r="DR895" s="12"/>
      <c r="DS895" s="12"/>
      <c r="DT895" s="12"/>
      <c r="DU895" s="12"/>
      <c r="DV895" s="12"/>
      <c r="DW895" s="12"/>
      <c r="DX895" s="12"/>
      <c r="DY895" s="12"/>
      <c r="DZ895" s="12"/>
      <c r="EA895" s="12"/>
      <c r="EB895" s="12"/>
      <c r="EC895" s="12"/>
      <c r="ED895" s="12"/>
      <c r="EE895" s="12"/>
      <c r="EF895" s="12"/>
      <c r="EG895" s="12"/>
      <c r="EH895" s="12"/>
      <c r="EI895" s="12"/>
      <c r="EJ895" s="574"/>
      <c r="EK895" s="574"/>
      <c r="EL895" s="574"/>
      <c r="EM895" s="574"/>
      <c r="EN895" s="574"/>
      <c r="EO895" s="574"/>
      <c r="EP895" s="574"/>
      <c r="EQ895" s="574"/>
      <c r="ER895" s="574"/>
      <c r="ES895" s="574"/>
      <c r="ET895" s="574"/>
      <c r="EU895" s="574"/>
    </row>
    <row r="896">
      <c r="A896" s="12"/>
      <c r="B896" s="55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  <c r="AX896" s="12"/>
      <c r="AY896" s="12"/>
      <c r="AZ896" s="12"/>
      <c r="BA896" s="12"/>
      <c r="BB896" s="12"/>
      <c r="BC896" s="12"/>
      <c r="BD896" s="12"/>
      <c r="BE896" s="12"/>
      <c r="BF896" s="12"/>
      <c r="BG896" s="12"/>
      <c r="BH896" s="12"/>
      <c r="BI896" s="12"/>
      <c r="BJ896" s="12"/>
      <c r="BK896" s="12"/>
      <c r="BL896" s="12"/>
      <c r="BM896" s="12"/>
      <c r="BN896" s="12"/>
      <c r="BO896" s="12"/>
      <c r="BP896" s="12"/>
      <c r="BQ896" s="12"/>
      <c r="BR896" s="12"/>
      <c r="BS896" s="12"/>
      <c r="BT896" s="12"/>
      <c r="BU896" s="12"/>
      <c r="BV896" s="12"/>
      <c r="BW896" s="12"/>
      <c r="BX896" s="12"/>
      <c r="BY896" s="12"/>
      <c r="BZ896" s="12"/>
      <c r="CA896" s="12"/>
      <c r="CB896" s="12"/>
      <c r="CC896" s="12"/>
      <c r="CD896" s="12"/>
      <c r="CE896" s="12"/>
      <c r="CF896" s="12"/>
      <c r="CG896" s="12"/>
      <c r="CH896" s="12"/>
      <c r="CI896" s="12"/>
      <c r="CJ896" s="12"/>
      <c r="CK896" s="12"/>
      <c r="CL896" s="12"/>
      <c r="CM896" s="12"/>
      <c r="CN896" s="12"/>
      <c r="CO896" s="12"/>
      <c r="CP896" s="12"/>
      <c r="CQ896" s="12"/>
      <c r="CR896" s="12"/>
      <c r="CS896" s="12"/>
      <c r="CT896" s="12"/>
      <c r="CU896" s="12"/>
      <c r="CV896" s="12"/>
      <c r="CW896" s="12"/>
      <c r="CX896" s="12"/>
      <c r="CY896" s="12"/>
      <c r="CZ896" s="12"/>
      <c r="DA896" s="12"/>
      <c r="DB896" s="12"/>
      <c r="DC896" s="12"/>
      <c r="DD896" s="12"/>
      <c r="DE896" s="12"/>
      <c r="DF896" s="12"/>
      <c r="DG896" s="12"/>
      <c r="DH896" s="12"/>
      <c r="DI896" s="12"/>
      <c r="DJ896" s="12"/>
      <c r="DK896" s="12"/>
      <c r="DL896" s="12"/>
      <c r="DM896" s="12"/>
      <c r="DN896" s="12"/>
      <c r="DO896" s="12"/>
      <c r="DP896" s="12"/>
      <c r="DQ896" s="12"/>
      <c r="DR896" s="12"/>
      <c r="DS896" s="12"/>
      <c r="DT896" s="12"/>
      <c r="DU896" s="12"/>
      <c r="DV896" s="12"/>
      <c r="DW896" s="12"/>
      <c r="DX896" s="12"/>
      <c r="DY896" s="12"/>
      <c r="DZ896" s="12"/>
      <c r="EA896" s="12"/>
      <c r="EB896" s="12"/>
      <c r="EC896" s="12"/>
      <c r="ED896" s="12"/>
      <c r="EE896" s="12"/>
      <c r="EF896" s="12"/>
      <c r="EG896" s="12"/>
      <c r="EH896" s="12"/>
      <c r="EI896" s="12"/>
      <c r="EJ896" s="574"/>
      <c r="EK896" s="574"/>
      <c r="EL896" s="574"/>
      <c r="EM896" s="574"/>
      <c r="EN896" s="574"/>
      <c r="EO896" s="574"/>
      <c r="EP896" s="574"/>
      <c r="EQ896" s="574"/>
      <c r="ER896" s="574"/>
      <c r="ES896" s="574"/>
      <c r="ET896" s="574"/>
      <c r="EU896" s="574"/>
    </row>
    <row r="897">
      <c r="A897" s="12"/>
      <c r="B897" s="55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  <c r="AX897" s="12"/>
      <c r="AY897" s="12"/>
      <c r="AZ897" s="12"/>
      <c r="BA897" s="12"/>
      <c r="BB897" s="12"/>
      <c r="BC897" s="12"/>
      <c r="BD897" s="12"/>
      <c r="BE897" s="12"/>
      <c r="BF897" s="12"/>
      <c r="BG897" s="12"/>
      <c r="BH897" s="12"/>
      <c r="BI897" s="12"/>
      <c r="BJ897" s="12"/>
      <c r="BK897" s="12"/>
      <c r="BL897" s="12"/>
      <c r="BM897" s="12"/>
      <c r="BN897" s="12"/>
      <c r="BO897" s="12"/>
      <c r="BP897" s="12"/>
      <c r="BQ897" s="12"/>
      <c r="BR897" s="12"/>
      <c r="BS897" s="12"/>
      <c r="BT897" s="12"/>
      <c r="BU897" s="12"/>
      <c r="BV897" s="12"/>
      <c r="BW897" s="12"/>
      <c r="BX897" s="12"/>
      <c r="BY897" s="12"/>
      <c r="BZ897" s="12"/>
      <c r="CA897" s="12"/>
      <c r="CB897" s="12"/>
      <c r="CC897" s="12"/>
      <c r="CD897" s="12"/>
      <c r="CE897" s="12"/>
      <c r="CF897" s="12"/>
      <c r="CG897" s="12"/>
      <c r="CH897" s="12"/>
      <c r="CI897" s="12"/>
      <c r="CJ897" s="12"/>
      <c r="CK897" s="12"/>
      <c r="CL897" s="12"/>
      <c r="CM897" s="12"/>
      <c r="CN897" s="12"/>
      <c r="CO897" s="12"/>
      <c r="CP897" s="12"/>
      <c r="CQ897" s="12"/>
      <c r="CR897" s="12"/>
      <c r="CS897" s="12"/>
      <c r="CT897" s="12"/>
      <c r="CU897" s="12"/>
      <c r="CV897" s="12"/>
      <c r="CW897" s="12"/>
      <c r="CX897" s="12"/>
      <c r="CY897" s="12"/>
      <c r="CZ897" s="12"/>
      <c r="DA897" s="12"/>
      <c r="DB897" s="12"/>
      <c r="DC897" s="12"/>
      <c r="DD897" s="12"/>
      <c r="DE897" s="12"/>
      <c r="DF897" s="12"/>
      <c r="DG897" s="12"/>
      <c r="DH897" s="12"/>
      <c r="DI897" s="12"/>
      <c r="DJ897" s="12"/>
      <c r="DK897" s="12"/>
      <c r="DL897" s="12"/>
      <c r="DM897" s="12"/>
      <c r="DN897" s="12"/>
      <c r="DO897" s="12"/>
      <c r="DP897" s="12"/>
      <c r="DQ897" s="12"/>
      <c r="DR897" s="12"/>
      <c r="DS897" s="12"/>
      <c r="DT897" s="12"/>
      <c r="DU897" s="12"/>
      <c r="DV897" s="12"/>
      <c r="DW897" s="12"/>
      <c r="DX897" s="12"/>
      <c r="DY897" s="12"/>
      <c r="DZ897" s="12"/>
      <c r="EA897" s="12"/>
      <c r="EB897" s="12"/>
      <c r="EC897" s="12"/>
      <c r="ED897" s="12"/>
      <c r="EE897" s="12"/>
      <c r="EF897" s="12"/>
      <c r="EG897" s="12"/>
      <c r="EH897" s="12"/>
      <c r="EI897" s="12"/>
      <c r="EJ897" s="574"/>
      <c r="EK897" s="574"/>
      <c r="EL897" s="574"/>
      <c r="EM897" s="574"/>
      <c r="EN897" s="574"/>
      <c r="EO897" s="574"/>
      <c r="EP897" s="574"/>
      <c r="EQ897" s="574"/>
      <c r="ER897" s="574"/>
      <c r="ES897" s="574"/>
      <c r="ET897" s="574"/>
      <c r="EU897" s="574"/>
    </row>
    <row r="898">
      <c r="A898" s="12"/>
      <c r="B898" s="55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  <c r="AX898" s="12"/>
      <c r="AY898" s="12"/>
      <c r="AZ898" s="12"/>
      <c r="BA898" s="12"/>
      <c r="BB898" s="12"/>
      <c r="BC898" s="12"/>
      <c r="BD898" s="12"/>
      <c r="BE898" s="12"/>
      <c r="BF898" s="12"/>
      <c r="BG898" s="12"/>
      <c r="BH898" s="12"/>
      <c r="BI898" s="12"/>
      <c r="BJ898" s="12"/>
      <c r="BK898" s="12"/>
      <c r="BL898" s="12"/>
      <c r="BM898" s="12"/>
      <c r="BN898" s="12"/>
      <c r="BO898" s="12"/>
      <c r="BP898" s="12"/>
      <c r="BQ898" s="12"/>
      <c r="BR898" s="12"/>
      <c r="BS898" s="12"/>
      <c r="BT898" s="12"/>
      <c r="BU898" s="12"/>
      <c r="BV898" s="12"/>
      <c r="BW898" s="12"/>
      <c r="BX898" s="12"/>
      <c r="BY898" s="12"/>
      <c r="BZ898" s="12"/>
      <c r="CA898" s="12"/>
      <c r="CB898" s="12"/>
      <c r="CC898" s="12"/>
      <c r="CD898" s="12"/>
      <c r="CE898" s="12"/>
      <c r="CF898" s="12"/>
      <c r="CG898" s="12"/>
      <c r="CH898" s="12"/>
      <c r="CI898" s="12"/>
      <c r="CJ898" s="12"/>
      <c r="CK898" s="12"/>
      <c r="CL898" s="12"/>
      <c r="CM898" s="12"/>
      <c r="CN898" s="12"/>
      <c r="CO898" s="12"/>
      <c r="CP898" s="12"/>
      <c r="CQ898" s="12"/>
      <c r="CR898" s="12"/>
      <c r="CS898" s="12"/>
      <c r="CT898" s="12"/>
      <c r="CU898" s="12"/>
      <c r="CV898" s="12"/>
      <c r="CW898" s="12"/>
      <c r="CX898" s="12"/>
      <c r="CY898" s="12"/>
      <c r="CZ898" s="12"/>
      <c r="DA898" s="12"/>
      <c r="DB898" s="12"/>
      <c r="DC898" s="12"/>
      <c r="DD898" s="12"/>
      <c r="DE898" s="12"/>
      <c r="DF898" s="12"/>
      <c r="DG898" s="12"/>
      <c r="DH898" s="12"/>
      <c r="DI898" s="12"/>
      <c r="DJ898" s="12"/>
      <c r="DK898" s="12"/>
      <c r="DL898" s="12"/>
      <c r="DM898" s="12"/>
      <c r="DN898" s="12"/>
      <c r="DO898" s="12"/>
      <c r="DP898" s="12"/>
      <c r="DQ898" s="12"/>
      <c r="DR898" s="12"/>
      <c r="DS898" s="12"/>
      <c r="DT898" s="12"/>
      <c r="DU898" s="12"/>
      <c r="DV898" s="12"/>
      <c r="DW898" s="12"/>
      <c r="DX898" s="12"/>
      <c r="DY898" s="12"/>
      <c r="DZ898" s="12"/>
      <c r="EA898" s="12"/>
      <c r="EB898" s="12"/>
      <c r="EC898" s="12"/>
      <c r="ED898" s="12"/>
      <c r="EE898" s="12"/>
      <c r="EF898" s="12"/>
      <c r="EG898" s="12"/>
      <c r="EH898" s="12"/>
      <c r="EI898" s="12"/>
      <c r="EJ898" s="574"/>
      <c r="EK898" s="574"/>
      <c r="EL898" s="574"/>
      <c r="EM898" s="574"/>
      <c r="EN898" s="574"/>
      <c r="EO898" s="574"/>
      <c r="EP898" s="574"/>
      <c r="EQ898" s="574"/>
      <c r="ER898" s="574"/>
      <c r="ES898" s="574"/>
      <c r="ET898" s="574"/>
      <c r="EU898" s="574"/>
    </row>
    <row r="899">
      <c r="A899" s="12"/>
      <c r="B899" s="55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  <c r="AX899" s="12"/>
      <c r="AY899" s="12"/>
      <c r="AZ899" s="12"/>
      <c r="BA899" s="12"/>
      <c r="BB899" s="12"/>
      <c r="BC899" s="12"/>
      <c r="BD899" s="12"/>
      <c r="BE899" s="12"/>
      <c r="BF899" s="12"/>
      <c r="BG899" s="12"/>
      <c r="BH899" s="12"/>
      <c r="BI899" s="12"/>
      <c r="BJ899" s="12"/>
      <c r="BK899" s="12"/>
      <c r="BL899" s="12"/>
      <c r="BM899" s="12"/>
      <c r="BN899" s="12"/>
      <c r="BO899" s="12"/>
      <c r="BP899" s="12"/>
      <c r="BQ899" s="12"/>
      <c r="BR899" s="12"/>
      <c r="BS899" s="12"/>
      <c r="BT899" s="12"/>
      <c r="BU899" s="12"/>
      <c r="BV899" s="12"/>
      <c r="BW899" s="12"/>
      <c r="BX899" s="12"/>
      <c r="BY899" s="12"/>
      <c r="BZ899" s="12"/>
      <c r="CA899" s="12"/>
      <c r="CB899" s="12"/>
      <c r="CC899" s="12"/>
      <c r="CD899" s="12"/>
      <c r="CE899" s="12"/>
      <c r="CF899" s="12"/>
      <c r="CG899" s="12"/>
      <c r="CH899" s="12"/>
      <c r="CI899" s="12"/>
      <c r="CJ899" s="12"/>
      <c r="CK899" s="12"/>
      <c r="CL899" s="12"/>
      <c r="CM899" s="12"/>
      <c r="CN899" s="12"/>
      <c r="CO899" s="12"/>
      <c r="CP899" s="12"/>
      <c r="CQ899" s="12"/>
      <c r="CR899" s="12"/>
      <c r="CS899" s="12"/>
      <c r="CT899" s="12"/>
      <c r="CU899" s="12"/>
      <c r="CV899" s="12"/>
      <c r="CW899" s="12"/>
      <c r="CX899" s="12"/>
      <c r="CY899" s="12"/>
      <c r="CZ899" s="12"/>
      <c r="DA899" s="12"/>
      <c r="DB899" s="12"/>
      <c r="DC899" s="12"/>
      <c r="DD899" s="12"/>
      <c r="DE899" s="12"/>
      <c r="DF899" s="12"/>
      <c r="DG899" s="12"/>
      <c r="DH899" s="12"/>
      <c r="DI899" s="12"/>
      <c r="DJ899" s="12"/>
      <c r="DK899" s="12"/>
      <c r="DL899" s="12"/>
      <c r="DM899" s="12"/>
      <c r="DN899" s="12"/>
      <c r="DO899" s="12"/>
      <c r="DP899" s="12"/>
      <c r="DQ899" s="12"/>
      <c r="DR899" s="12"/>
      <c r="DS899" s="12"/>
      <c r="DT899" s="12"/>
      <c r="DU899" s="12"/>
      <c r="DV899" s="12"/>
      <c r="DW899" s="12"/>
      <c r="DX899" s="12"/>
      <c r="DY899" s="12"/>
      <c r="DZ899" s="12"/>
      <c r="EA899" s="12"/>
      <c r="EB899" s="12"/>
      <c r="EC899" s="12"/>
      <c r="ED899" s="12"/>
      <c r="EE899" s="12"/>
      <c r="EF899" s="12"/>
      <c r="EG899" s="12"/>
      <c r="EH899" s="12"/>
      <c r="EI899" s="12"/>
      <c r="EJ899" s="574"/>
      <c r="EK899" s="574"/>
      <c r="EL899" s="574"/>
      <c r="EM899" s="574"/>
      <c r="EN899" s="574"/>
      <c r="EO899" s="574"/>
      <c r="EP899" s="574"/>
      <c r="EQ899" s="574"/>
      <c r="ER899" s="574"/>
      <c r="ES899" s="574"/>
      <c r="ET899" s="574"/>
      <c r="EU899" s="574"/>
    </row>
    <row r="900">
      <c r="A900" s="12"/>
      <c r="B900" s="55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  <c r="AX900" s="12"/>
      <c r="AY900" s="12"/>
      <c r="AZ900" s="12"/>
      <c r="BA900" s="12"/>
      <c r="BB900" s="12"/>
      <c r="BC900" s="12"/>
      <c r="BD900" s="12"/>
      <c r="BE900" s="12"/>
      <c r="BF900" s="12"/>
      <c r="BG900" s="12"/>
      <c r="BH900" s="12"/>
      <c r="BI900" s="12"/>
      <c r="BJ900" s="12"/>
      <c r="BK900" s="12"/>
      <c r="BL900" s="12"/>
      <c r="BM900" s="12"/>
      <c r="BN900" s="12"/>
      <c r="BO900" s="12"/>
      <c r="BP900" s="12"/>
      <c r="BQ900" s="12"/>
      <c r="BR900" s="12"/>
      <c r="BS900" s="12"/>
      <c r="BT900" s="12"/>
      <c r="BU900" s="12"/>
      <c r="BV900" s="12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574"/>
      <c r="EK900" s="574"/>
      <c r="EL900" s="574"/>
      <c r="EM900" s="574"/>
      <c r="EN900" s="574"/>
      <c r="EO900" s="574"/>
      <c r="EP900" s="574"/>
      <c r="EQ900" s="574"/>
      <c r="ER900" s="574"/>
      <c r="ES900" s="574"/>
      <c r="ET900" s="574"/>
      <c r="EU900" s="574"/>
    </row>
    <row r="901">
      <c r="A901" s="12"/>
      <c r="B901" s="55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  <c r="AX901" s="12"/>
      <c r="AY901" s="12"/>
      <c r="AZ901" s="12"/>
      <c r="BA901" s="12"/>
      <c r="BB901" s="12"/>
      <c r="BC901" s="12"/>
      <c r="BD901" s="12"/>
      <c r="BE901" s="12"/>
      <c r="BF901" s="12"/>
      <c r="BG901" s="12"/>
      <c r="BH901" s="12"/>
      <c r="BI901" s="12"/>
      <c r="BJ901" s="12"/>
      <c r="BK901" s="12"/>
      <c r="BL901" s="12"/>
      <c r="BM901" s="12"/>
      <c r="BN901" s="12"/>
      <c r="BO901" s="12"/>
      <c r="BP901" s="12"/>
      <c r="BQ901" s="12"/>
      <c r="BR901" s="12"/>
      <c r="BS901" s="12"/>
      <c r="BT901" s="12"/>
      <c r="BU901" s="12"/>
      <c r="BV901" s="12"/>
      <c r="BW901" s="12"/>
      <c r="BX901" s="12"/>
      <c r="BY901" s="12"/>
      <c r="BZ901" s="12"/>
      <c r="CA901" s="12"/>
      <c r="CB901" s="12"/>
      <c r="CC901" s="12"/>
      <c r="CD901" s="12"/>
      <c r="CE901" s="12"/>
      <c r="CF901" s="12"/>
      <c r="CG901" s="12"/>
      <c r="CH901" s="12"/>
      <c r="CI901" s="12"/>
      <c r="CJ901" s="12"/>
      <c r="CK901" s="12"/>
      <c r="CL901" s="12"/>
      <c r="CM901" s="12"/>
      <c r="CN901" s="12"/>
      <c r="CO901" s="12"/>
      <c r="CP901" s="12"/>
      <c r="CQ901" s="12"/>
      <c r="CR901" s="12"/>
      <c r="CS901" s="12"/>
      <c r="CT901" s="12"/>
      <c r="CU901" s="12"/>
      <c r="CV901" s="12"/>
      <c r="CW901" s="12"/>
      <c r="CX901" s="12"/>
      <c r="CY901" s="12"/>
      <c r="CZ901" s="12"/>
      <c r="DA901" s="12"/>
      <c r="DB901" s="12"/>
      <c r="DC901" s="12"/>
      <c r="DD901" s="12"/>
      <c r="DE901" s="12"/>
      <c r="DF901" s="12"/>
      <c r="DG901" s="12"/>
      <c r="DH901" s="12"/>
      <c r="DI901" s="12"/>
      <c r="DJ901" s="12"/>
      <c r="DK901" s="12"/>
      <c r="DL901" s="12"/>
      <c r="DM901" s="12"/>
      <c r="DN901" s="12"/>
      <c r="DO901" s="12"/>
      <c r="DP901" s="12"/>
      <c r="DQ901" s="12"/>
      <c r="DR901" s="12"/>
      <c r="DS901" s="12"/>
      <c r="DT901" s="12"/>
      <c r="DU901" s="12"/>
      <c r="DV901" s="12"/>
      <c r="DW901" s="12"/>
      <c r="DX901" s="12"/>
      <c r="DY901" s="12"/>
      <c r="DZ901" s="12"/>
      <c r="EA901" s="12"/>
      <c r="EB901" s="12"/>
      <c r="EC901" s="12"/>
      <c r="ED901" s="12"/>
      <c r="EE901" s="12"/>
      <c r="EF901" s="12"/>
      <c r="EG901" s="12"/>
      <c r="EH901" s="12"/>
      <c r="EI901" s="12"/>
      <c r="EJ901" s="574"/>
      <c r="EK901" s="574"/>
      <c r="EL901" s="574"/>
      <c r="EM901" s="574"/>
      <c r="EN901" s="574"/>
      <c r="EO901" s="574"/>
      <c r="EP901" s="574"/>
      <c r="EQ901" s="574"/>
      <c r="ER901" s="574"/>
      <c r="ES901" s="574"/>
      <c r="ET901" s="574"/>
      <c r="EU901" s="574"/>
    </row>
    <row r="902">
      <c r="A902" s="12"/>
      <c r="B902" s="55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  <c r="AX902" s="12"/>
      <c r="AY902" s="12"/>
      <c r="AZ902" s="12"/>
      <c r="BA902" s="12"/>
      <c r="BB902" s="12"/>
      <c r="BC902" s="12"/>
      <c r="BD902" s="12"/>
      <c r="BE902" s="12"/>
      <c r="BF902" s="12"/>
      <c r="BG902" s="12"/>
      <c r="BH902" s="12"/>
      <c r="BI902" s="12"/>
      <c r="BJ902" s="12"/>
      <c r="BK902" s="12"/>
      <c r="BL902" s="12"/>
      <c r="BM902" s="12"/>
      <c r="BN902" s="12"/>
      <c r="BO902" s="12"/>
      <c r="BP902" s="12"/>
      <c r="BQ902" s="12"/>
      <c r="BR902" s="12"/>
      <c r="BS902" s="12"/>
      <c r="BT902" s="12"/>
      <c r="BU902" s="12"/>
      <c r="BV902" s="12"/>
      <c r="BW902" s="12"/>
      <c r="BX902" s="12"/>
      <c r="BY902" s="12"/>
      <c r="BZ902" s="12"/>
      <c r="CA902" s="12"/>
      <c r="CB902" s="12"/>
      <c r="CC902" s="12"/>
      <c r="CD902" s="12"/>
      <c r="CE902" s="12"/>
      <c r="CF902" s="12"/>
      <c r="CG902" s="12"/>
      <c r="CH902" s="12"/>
      <c r="CI902" s="12"/>
      <c r="CJ902" s="12"/>
      <c r="CK902" s="12"/>
      <c r="CL902" s="12"/>
      <c r="CM902" s="12"/>
      <c r="CN902" s="12"/>
      <c r="CO902" s="12"/>
      <c r="CP902" s="12"/>
      <c r="CQ902" s="12"/>
      <c r="CR902" s="12"/>
      <c r="CS902" s="12"/>
      <c r="CT902" s="12"/>
      <c r="CU902" s="12"/>
      <c r="CV902" s="12"/>
      <c r="CW902" s="12"/>
      <c r="CX902" s="12"/>
      <c r="CY902" s="12"/>
      <c r="CZ902" s="12"/>
      <c r="DA902" s="12"/>
      <c r="DB902" s="12"/>
      <c r="DC902" s="12"/>
      <c r="DD902" s="12"/>
      <c r="DE902" s="12"/>
      <c r="DF902" s="12"/>
      <c r="DG902" s="12"/>
      <c r="DH902" s="12"/>
      <c r="DI902" s="12"/>
      <c r="DJ902" s="12"/>
      <c r="DK902" s="12"/>
      <c r="DL902" s="12"/>
      <c r="DM902" s="12"/>
      <c r="DN902" s="12"/>
      <c r="DO902" s="12"/>
      <c r="DP902" s="12"/>
      <c r="DQ902" s="12"/>
      <c r="DR902" s="12"/>
      <c r="DS902" s="12"/>
      <c r="DT902" s="12"/>
      <c r="DU902" s="12"/>
      <c r="DV902" s="12"/>
      <c r="DW902" s="12"/>
      <c r="DX902" s="12"/>
      <c r="DY902" s="12"/>
      <c r="DZ902" s="12"/>
      <c r="EA902" s="12"/>
      <c r="EB902" s="12"/>
      <c r="EC902" s="12"/>
      <c r="ED902" s="12"/>
      <c r="EE902" s="12"/>
      <c r="EF902" s="12"/>
      <c r="EG902" s="12"/>
      <c r="EH902" s="12"/>
      <c r="EI902" s="12"/>
      <c r="EJ902" s="574"/>
      <c r="EK902" s="574"/>
      <c r="EL902" s="574"/>
      <c r="EM902" s="574"/>
      <c r="EN902" s="574"/>
      <c r="EO902" s="574"/>
      <c r="EP902" s="574"/>
      <c r="EQ902" s="574"/>
      <c r="ER902" s="574"/>
      <c r="ES902" s="574"/>
      <c r="ET902" s="574"/>
      <c r="EU902" s="574"/>
    </row>
    <row r="903">
      <c r="A903" s="12"/>
      <c r="B903" s="55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  <c r="AX903" s="12"/>
      <c r="AY903" s="12"/>
      <c r="AZ903" s="12"/>
      <c r="BA903" s="12"/>
      <c r="BB903" s="12"/>
      <c r="BC903" s="12"/>
      <c r="BD903" s="12"/>
      <c r="BE903" s="12"/>
      <c r="BF903" s="12"/>
      <c r="BG903" s="12"/>
      <c r="BH903" s="12"/>
      <c r="BI903" s="12"/>
      <c r="BJ903" s="12"/>
      <c r="BK903" s="12"/>
      <c r="BL903" s="12"/>
      <c r="BM903" s="12"/>
      <c r="BN903" s="12"/>
      <c r="BO903" s="12"/>
      <c r="BP903" s="12"/>
      <c r="BQ903" s="12"/>
      <c r="BR903" s="12"/>
      <c r="BS903" s="12"/>
      <c r="BT903" s="12"/>
      <c r="BU903" s="12"/>
      <c r="BV903" s="12"/>
      <c r="BW903" s="12"/>
      <c r="BX903" s="12"/>
      <c r="BY903" s="12"/>
      <c r="BZ903" s="12"/>
      <c r="CA903" s="12"/>
      <c r="CB903" s="12"/>
      <c r="CC903" s="12"/>
      <c r="CD903" s="12"/>
      <c r="CE903" s="12"/>
      <c r="CF903" s="12"/>
      <c r="CG903" s="12"/>
      <c r="CH903" s="12"/>
      <c r="CI903" s="12"/>
      <c r="CJ903" s="12"/>
      <c r="CK903" s="12"/>
      <c r="CL903" s="12"/>
      <c r="CM903" s="12"/>
      <c r="CN903" s="12"/>
      <c r="CO903" s="12"/>
      <c r="CP903" s="12"/>
      <c r="CQ903" s="12"/>
      <c r="CR903" s="12"/>
      <c r="CS903" s="12"/>
      <c r="CT903" s="12"/>
      <c r="CU903" s="12"/>
      <c r="CV903" s="12"/>
      <c r="CW903" s="12"/>
      <c r="CX903" s="12"/>
      <c r="CY903" s="12"/>
      <c r="CZ903" s="12"/>
      <c r="DA903" s="12"/>
      <c r="DB903" s="12"/>
      <c r="DC903" s="12"/>
      <c r="DD903" s="12"/>
      <c r="DE903" s="12"/>
      <c r="DF903" s="12"/>
      <c r="DG903" s="12"/>
      <c r="DH903" s="12"/>
      <c r="DI903" s="12"/>
      <c r="DJ903" s="12"/>
      <c r="DK903" s="12"/>
      <c r="DL903" s="12"/>
      <c r="DM903" s="12"/>
      <c r="DN903" s="12"/>
      <c r="DO903" s="12"/>
      <c r="DP903" s="12"/>
      <c r="DQ903" s="12"/>
      <c r="DR903" s="12"/>
      <c r="DS903" s="12"/>
      <c r="DT903" s="12"/>
      <c r="DU903" s="12"/>
      <c r="DV903" s="12"/>
      <c r="DW903" s="12"/>
      <c r="DX903" s="12"/>
      <c r="DY903" s="12"/>
      <c r="DZ903" s="12"/>
      <c r="EA903" s="12"/>
      <c r="EB903" s="12"/>
      <c r="EC903" s="12"/>
      <c r="ED903" s="12"/>
      <c r="EE903" s="12"/>
      <c r="EF903" s="12"/>
      <c r="EG903" s="12"/>
      <c r="EH903" s="12"/>
      <c r="EI903" s="12"/>
      <c r="EJ903" s="574"/>
      <c r="EK903" s="574"/>
      <c r="EL903" s="574"/>
      <c r="EM903" s="574"/>
      <c r="EN903" s="574"/>
      <c r="EO903" s="574"/>
      <c r="EP903" s="574"/>
      <c r="EQ903" s="574"/>
      <c r="ER903" s="574"/>
      <c r="ES903" s="574"/>
      <c r="ET903" s="574"/>
      <c r="EU903" s="574"/>
    </row>
    <row r="904">
      <c r="A904" s="12"/>
      <c r="B904" s="55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  <c r="AX904" s="12"/>
      <c r="AY904" s="12"/>
      <c r="AZ904" s="12"/>
      <c r="BA904" s="12"/>
      <c r="BB904" s="12"/>
      <c r="BC904" s="12"/>
      <c r="BD904" s="12"/>
      <c r="BE904" s="12"/>
      <c r="BF904" s="12"/>
      <c r="BG904" s="12"/>
      <c r="BH904" s="12"/>
      <c r="BI904" s="12"/>
      <c r="BJ904" s="12"/>
      <c r="BK904" s="12"/>
      <c r="BL904" s="12"/>
      <c r="BM904" s="12"/>
      <c r="BN904" s="12"/>
      <c r="BO904" s="12"/>
      <c r="BP904" s="12"/>
      <c r="BQ904" s="12"/>
      <c r="BR904" s="12"/>
      <c r="BS904" s="12"/>
      <c r="BT904" s="12"/>
      <c r="BU904" s="12"/>
      <c r="BV904" s="12"/>
      <c r="BW904" s="12"/>
      <c r="BX904" s="12"/>
      <c r="BY904" s="12"/>
      <c r="BZ904" s="12"/>
      <c r="CA904" s="12"/>
      <c r="CB904" s="12"/>
      <c r="CC904" s="12"/>
      <c r="CD904" s="12"/>
      <c r="CE904" s="12"/>
      <c r="CF904" s="12"/>
      <c r="CG904" s="12"/>
      <c r="CH904" s="12"/>
      <c r="CI904" s="12"/>
      <c r="CJ904" s="12"/>
      <c r="CK904" s="12"/>
      <c r="CL904" s="12"/>
      <c r="CM904" s="12"/>
      <c r="CN904" s="12"/>
      <c r="CO904" s="12"/>
      <c r="CP904" s="12"/>
      <c r="CQ904" s="12"/>
      <c r="CR904" s="12"/>
      <c r="CS904" s="12"/>
      <c r="CT904" s="12"/>
      <c r="CU904" s="12"/>
      <c r="CV904" s="12"/>
      <c r="CW904" s="12"/>
      <c r="CX904" s="12"/>
      <c r="CY904" s="12"/>
      <c r="CZ904" s="12"/>
      <c r="DA904" s="12"/>
      <c r="DB904" s="12"/>
      <c r="DC904" s="12"/>
      <c r="DD904" s="12"/>
      <c r="DE904" s="12"/>
      <c r="DF904" s="12"/>
      <c r="DG904" s="12"/>
      <c r="DH904" s="12"/>
      <c r="DI904" s="12"/>
      <c r="DJ904" s="12"/>
      <c r="DK904" s="12"/>
      <c r="DL904" s="12"/>
      <c r="DM904" s="12"/>
      <c r="DN904" s="12"/>
      <c r="DO904" s="12"/>
      <c r="DP904" s="12"/>
      <c r="DQ904" s="12"/>
      <c r="DR904" s="12"/>
      <c r="DS904" s="12"/>
      <c r="DT904" s="12"/>
      <c r="DU904" s="12"/>
      <c r="DV904" s="12"/>
      <c r="DW904" s="12"/>
      <c r="DX904" s="12"/>
      <c r="DY904" s="12"/>
      <c r="DZ904" s="12"/>
      <c r="EA904" s="12"/>
      <c r="EB904" s="12"/>
      <c r="EC904" s="12"/>
      <c r="ED904" s="12"/>
      <c r="EE904" s="12"/>
      <c r="EF904" s="12"/>
      <c r="EG904" s="12"/>
      <c r="EH904" s="12"/>
      <c r="EI904" s="12"/>
      <c r="EJ904" s="574"/>
      <c r="EK904" s="574"/>
      <c r="EL904" s="574"/>
      <c r="EM904" s="574"/>
      <c r="EN904" s="574"/>
      <c r="EO904" s="574"/>
      <c r="EP904" s="574"/>
      <c r="EQ904" s="574"/>
      <c r="ER904" s="574"/>
      <c r="ES904" s="574"/>
      <c r="ET904" s="574"/>
      <c r="EU904" s="574"/>
    </row>
    <row r="905">
      <c r="A905" s="12"/>
      <c r="B905" s="55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  <c r="AX905" s="12"/>
      <c r="AY905" s="12"/>
      <c r="AZ905" s="12"/>
      <c r="BA905" s="12"/>
      <c r="BB905" s="12"/>
      <c r="BC905" s="12"/>
      <c r="BD905" s="12"/>
      <c r="BE905" s="12"/>
      <c r="BF905" s="12"/>
      <c r="BG905" s="12"/>
      <c r="BH905" s="12"/>
      <c r="BI905" s="12"/>
      <c r="BJ905" s="12"/>
      <c r="BK905" s="12"/>
      <c r="BL905" s="12"/>
      <c r="BM905" s="12"/>
      <c r="BN905" s="12"/>
      <c r="BO905" s="12"/>
      <c r="BP905" s="12"/>
      <c r="BQ905" s="12"/>
      <c r="BR905" s="12"/>
      <c r="BS905" s="12"/>
      <c r="BT905" s="12"/>
      <c r="BU905" s="12"/>
      <c r="BV905" s="12"/>
      <c r="BW905" s="12"/>
      <c r="BX905" s="12"/>
      <c r="BY905" s="12"/>
      <c r="BZ905" s="12"/>
      <c r="CA905" s="12"/>
      <c r="CB905" s="12"/>
      <c r="CC905" s="12"/>
      <c r="CD905" s="12"/>
      <c r="CE905" s="12"/>
      <c r="CF905" s="12"/>
      <c r="CG905" s="12"/>
      <c r="CH905" s="12"/>
      <c r="CI905" s="12"/>
      <c r="CJ905" s="12"/>
      <c r="CK905" s="12"/>
      <c r="CL905" s="12"/>
      <c r="CM905" s="12"/>
      <c r="CN905" s="12"/>
      <c r="CO905" s="12"/>
      <c r="CP905" s="12"/>
      <c r="CQ905" s="12"/>
      <c r="CR905" s="12"/>
      <c r="CS905" s="12"/>
      <c r="CT905" s="12"/>
      <c r="CU905" s="12"/>
      <c r="CV905" s="12"/>
      <c r="CW905" s="12"/>
      <c r="CX905" s="12"/>
      <c r="CY905" s="12"/>
      <c r="CZ905" s="12"/>
      <c r="DA905" s="12"/>
      <c r="DB905" s="12"/>
      <c r="DC905" s="12"/>
      <c r="DD905" s="12"/>
      <c r="DE905" s="12"/>
      <c r="DF905" s="12"/>
      <c r="DG905" s="12"/>
      <c r="DH905" s="12"/>
      <c r="DI905" s="12"/>
      <c r="DJ905" s="12"/>
      <c r="DK905" s="12"/>
      <c r="DL905" s="12"/>
      <c r="DM905" s="12"/>
      <c r="DN905" s="12"/>
      <c r="DO905" s="12"/>
      <c r="DP905" s="12"/>
      <c r="DQ905" s="12"/>
      <c r="DR905" s="12"/>
      <c r="DS905" s="12"/>
      <c r="DT905" s="12"/>
      <c r="DU905" s="12"/>
      <c r="DV905" s="12"/>
      <c r="DW905" s="12"/>
      <c r="DX905" s="12"/>
      <c r="DY905" s="12"/>
      <c r="DZ905" s="12"/>
      <c r="EA905" s="12"/>
      <c r="EB905" s="12"/>
      <c r="EC905" s="12"/>
      <c r="ED905" s="12"/>
      <c r="EE905" s="12"/>
      <c r="EF905" s="12"/>
      <c r="EG905" s="12"/>
      <c r="EH905" s="12"/>
      <c r="EI905" s="12"/>
      <c r="EJ905" s="574"/>
      <c r="EK905" s="574"/>
      <c r="EL905" s="574"/>
      <c r="EM905" s="574"/>
      <c r="EN905" s="574"/>
      <c r="EO905" s="574"/>
      <c r="EP905" s="574"/>
      <c r="EQ905" s="574"/>
      <c r="ER905" s="574"/>
      <c r="ES905" s="574"/>
      <c r="ET905" s="574"/>
      <c r="EU905" s="574"/>
    </row>
    <row r="906">
      <c r="A906" s="12"/>
      <c r="B906" s="55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  <c r="AX906" s="12"/>
      <c r="AY906" s="12"/>
      <c r="AZ906" s="12"/>
      <c r="BA906" s="12"/>
      <c r="BB906" s="12"/>
      <c r="BC906" s="12"/>
      <c r="BD906" s="12"/>
      <c r="BE906" s="12"/>
      <c r="BF906" s="12"/>
      <c r="BG906" s="12"/>
      <c r="BH906" s="12"/>
      <c r="BI906" s="12"/>
      <c r="BJ906" s="12"/>
      <c r="BK906" s="12"/>
      <c r="BL906" s="12"/>
      <c r="BM906" s="12"/>
      <c r="BN906" s="12"/>
      <c r="BO906" s="12"/>
      <c r="BP906" s="12"/>
      <c r="BQ906" s="12"/>
      <c r="BR906" s="12"/>
      <c r="BS906" s="12"/>
      <c r="BT906" s="12"/>
      <c r="BU906" s="12"/>
      <c r="BV906" s="12"/>
      <c r="BW906" s="12"/>
      <c r="BX906" s="12"/>
      <c r="BY906" s="12"/>
      <c r="BZ906" s="12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574"/>
      <c r="EK906" s="574"/>
      <c r="EL906" s="574"/>
      <c r="EM906" s="574"/>
      <c r="EN906" s="574"/>
      <c r="EO906" s="574"/>
      <c r="EP906" s="574"/>
      <c r="EQ906" s="574"/>
      <c r="ER906" s="574"/>
      <c r="ES906" s="574"/>
      <c r="ET906" s="574"/>
      <c r="EU906" s="574"/>
    </row>
    <row r="907">
      <c r="A907" s="12"/>
      <c r="B907" s="55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  <c r="AX907" s="12"/>
      <c r="AY907" s="12"/>
      <c r="AZ907" s="12"/>
      <c r="BA907" s="12"/>
      <c r="BB907" s="12"/>
      <c r="BC907" s="12"/>
      <c r="BD907" s="12"/>
      <c r="BE907" s="12"/>
      <c r="BF907" s="12"/>
      <c r="BG907" s="12"/>
      <c r="BH907" s="12"/>
      <c r="BI907" s="12"/>
      <c r="BJ907" s="12"/>
      <c r="BK907" s="12"/>
      <c r="BL907" s="12"/>
      <c r="BM907" s="12"/>
      <c r="BN907" s="12"/>
      <c r="BO907" s="12"/>
      <c r="BP907" s="12"/>
      <c r="BQ907" s="12"/>
      <c r="BR907" s="12"/>
      <c r="BS907" s="12"/>
      <c r="BT907" s="12"/>
      <c r="BU907" s="12"/>
      <c r="BV907" s="12"/>
      <c r="BW907" s="12"/>
      <c r="BX907" s="12"/>
      <c r="BY907" s="12"/>
      <c r="BZ907" s="12"/>
      <c r="CA907" s="12"/>
      <c r="CB907" s="12"/>
      <c r="CC907" s="12"/>
      <c r="CD907" s="12"/>
      <c r="CE907" s="12"/>
      <c r="CF907" s="12"/>
      <c r="CG907" s="12"/>
      <c r="CH907" s="12"/>
      <c r="CI907" s="12"/>
      <c r="CJ907" s="12"/>
      <c r="CK907" s="12"/>
      <c r="CL907" s="12"/>
      <c r="CM907" s="12"/>
      <c r="CN907" s="12"/>
      <c r="CO907" s="12"/>
      <c r="CP907" s="12"/>
      <c r="CQ907" s="12"/>
      <c r="CR907" s="12"/>
      <c r="CS907" s="12"/>
      <c r="CT907" s="12"/>
      <c r="CU907" s="12"/>
      <c r="CV907" s="12"/>
      <c r="CW907" s="12"/>
      <c r="CX907" s="12"/>
      <c r="CY907" s="12"/>
      <c r="CZ907" s="12"/>
      <c r="DA907" s="12"/>
      <c r="DB907" s="12"/>
      <c r="DC907" s="12"/>
      <c r="DD907" s="12"/>
      <c r="DE907" s="12"/>
      <c r="DF907" s="12"/>
      <c r="DG907" s="12"/>
      <c r="DH907" s="12"/>
      <c r="DI907" s="12"/>
      <c r="DJ907" s="12"/>
      <c r="DK907" s="12"/>
      <c r="DL907" s="12"/>
      <c r="DM907" s="12"/>
      <c r="DN907" s="12"/>
      <c r="DO907" s="12"/>
      <c r="DP907" s="12"/>
      <c r="DQ907" s="12"/>
      <c r="DR907" s="12"/>
      <c r="DS907" s="12"/>
      <c r="DT907" s="12"/>
      <c r="DU907" s="12"/>
      <c r="DV907" s="12"/>
      <c r="DW907" s="12"/>
      <c r="DX907" s="12"/>
      <c r="DY907" s="12"/>
      <c r="DZ907" s="12"/>
      <c r="EA907" s="12"/>
      <c r="EB907" s="12"/>
      <c r="EC907" s="12"/>
      <c r="ED907" s="12"/>
      <c r="EE907" s="12"/>
      <c r="EF907" s="12"/>
      <c r="EG907" s="12"/>
      <c r="EH907" s="12"/>
      <c r="EI907" s="12"/>
      <c r="EJ907" s="574"/>
      <c r="EK907" s="574"/>
      <c r="EL907" s="574"/>
      <c r="EM907" s="574"/>
      <c r="EN907" s="574"/>
      <c r="EO907" s="574"/>
      <c r="EP907" s="574"/>
      <c r="EQ907" s="574"/>
      <c r="ER907" s="574"/>
      <c r="ES907" s="574"/>
      <c r="ET907" s="574"/>
      <c r="EU907" s="574"/>
    </row>
    <row r="908">
      <c r="A908" s="12"/>
      <c r="B908" s="55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  <c r="AX908" s="12"/>
      <c r="AY908" s="12"/>
      <c r="AZ908" s="12"/>
      <c r="BA908" s="12"/>
      <c r="BB908" s="12"/>
      <c r="BC908" s="12"/>
      <c r="BD908" s="12"/>
      <c r="BE908" s="12"/>
      <c r="BF908" s="12"/>
      <c r="BG908" s="12"/>
      <c r="BH908" s="12"/>
      <c r="BI908" s="12"/>
      <c r="BJ908" s="12"/>
      <c r="BK908" s="12"/>
      <c r="BL908" s="12"/>
      <c r="BM908" s="12"/>
      <c r="BN908" s="12"/>
      <c r="BO908" s="12"/>
      <c r="BP908" s="12"/>
      <c r="BQ908" s="12"/>
      <c r="BR908" s="12"/>
      <c r="BS908" s="12"/>
      <c r="BT908" s="12"/>
      <c r="BU908" s="12"/>
      <c r="BV908" s="12"/>
      <c r="BW908" s="12"/>
      <c r="BX908" s="12"/>
      <c r="BY908" s="12"/>
      <c r="BZ908" s="12"/>
      <c r="CA908" s="12"/>
      <c r="CB908" s="12"/>
      <c r="CC908" s="12"/>
      <c r="CD908" s="12"/>
      <c r="CE908" s="12"/>
      <c r="CF908" s="12"/>
      <c r="CG908" s="12"/>
      <c r="CH908" s="12"/>
      <c r="CI908" s="12"/>
      <c r="CJ908" s="12"/>
      <c r="CK908" s="12"/>
      <c r="CL908" s="12"/>
      <c r="CM908" s="12"/>
      <c r="CN908" s="12"/>
      <c r="CO908" s="12"/>
      <c r="CP908" s="12"/>
      <c r="CQ908" s="12"/>
      <c r="CR908" s="12"/>
      <c r="CS908" s="12"/>
      <c r="CT908" s="12"/>
      <c r="CU908" s="12"/>
      <c r="CV908" s="12"/>
      <c r="CW908" s="12"/>
      <c r="CX908" s="12"/>
      <c r="CY908" s="12"/>
      <c r="CZ908" s="12"/>
      <c r="DA908" s="12"/>
      <c r="DB908" s="12"/>
      <c r="DC908" s="12"/>
      <c r="DD908" s="12"/>
      <c r="DE908" s="12"/>
      <c r="DF908" s="12"/>
      <c r="DG908" s="12"/>
      <c r="DH908" s="12"/>
      <c r="DI908" s="12"/>
      <c r="DJ908" s="12"/>
      <c r="DK908" s="12"/>
      <c r="DL908" s="12"/>
      <c r="DM908" s="12"/>
      <c r="DN908" s="12"/>
      <c r="DO908" s="12"/>
      <c r="DP908" s="12"/>
      <c r="DQ908" s="12"/>
      <c r="DR908" s="12"/>
      <c r="DS908" s="12"/>
      <c r="DT908" s="12"/>
      <c r="DU908" s="12"/>
      <c r="DV908" s="12"/>
      <c r="DW908" s="12"/>
      <c r="DX908" s="12"/>
      <c r="DY908" s="12"/>
      <c r="DZ908" s="12"/>
      <c r="EA908" s="12"/>
      <c r="EB908" s="12"/>
      <c r="EC908" s="12"/>
      <c r="ED908" s="12"/>
      <c r="EE908" s="12"/>
      <c r="EF908" s="12"/>
      <c r="EG908" s="12"/>
      <c r="EH908" s="12"/>
      <c r="EI908" s="12"/>
      <c r="EJ908" s="574"/>
      <c r="EK908" s="574"/>
      <c r="EL908" s="574"/>
      <c r="EM908" s="574"/>
      <c r="EN908" s="574"/>
      <c r="EO908" s="574"/>
      <c r="EP908" s="574"/>
      <c r="EQ908" s="574"/>
      <c r="ER908" s="574"/>
      <c r="ES908" s="574"/>
      <c r="ET908" s="574"/>
      <c r="EU908" s="574"/>
    </row>
    <row r="909">
      <c r="A909" s="12"/>
      <c r="B909" s="55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  <c r="AX909" s="12"/>
      <c r="AY909" s="12"/>
      <c r="AZ909" s="12"/>
      <c r="BA909" s="12"/>
      <c r="BB909" s="12"/>
      <c r="BC909" s="12"/>
      <c r="BD909" s="12"/>
      <c r="BE909" s="12"/>
      <c r="BF909" s="12"/>
      <c r="BG909" s="12"/>
      <c r="BH909" s="12"/>
      <c r="BI909" s="12"/>
      <c r="BJ909" s="12"/>
      <c r="BK909" s="12"/>
      <c r="BL909" s="12"/>
      <c r="BM909" s="12"/>
      <c r="BN909" s="12"/>
      <c r="BO909" s="12"/>
      <c r="BP909" s="12"/>
      <c r="BQ909" s="12"/>
      <c r="BR909" s="12"/>
      <c r="BS909" s="12"/>
      <c r="BT909" s="12"/>
      <c r="BU909" s="12"/>
      <c r="BV909" s="12"/>
      <c r="BW909" s="12"/>
      <c r="BX909" s="12"/>
      <c r="BY909" s="12"/>
      <c r="BZ909" s="12"/>
      <c r="CA909" s="12"/>
      <c r="CB909" s="12"/>
      <c r="CC909" s="12"/>
      <c r="CD909" s="12"/>
      <c r="CE909" s="12"/>
      <c r="CF909" s="12"/>
      <c r="CG909" s="12"/>
      <c r="CH909" s="12"/>
      <c r="CI909" s="12"/>
      <c r="CJ909" s="12"/>
      <c r="CK909" s="12"/>
      <c r="CL909" s="12"/>
      <c r="CM909" s="12"/>
      <c r="CN909" s="12"/>
      <c r="CO909" s="12"/>
      <c r="CP909" s="12"/>
      <c r="CQ909" s="12"/>
      <c r="CR909" s="12"/>
      <c r="CS909" s="12"/>
      <c r="CT909" s="12"/>
      <c r="CU909" s="12"/>
      <c r="CV909" s="12"/>
      <c r="CW909" s="12"/>
      <c r="CX909" s="12"/>
      <c r="CY909" s="12"/>
      <c r="CZ909" s="12"/>
      <c r="DA909" s="12"/>
      <c r="DB909" s="12"/>
      <c r="DC909" s="12"/>
      <c r="DD909" s="12"/>
      <c r="DE909" s="12"/>
      <c r="DF909" s="12"/>
      <c r="DG909" s="12"/>
      <c r="DH909" s="12"/>
      <c r="DI909" s="12"/>
      <c r="DJ909" s="12"/>
      <c r="DK909" s="12"/>
      <c r="DL909" s="12"/>
      <c r="DM909" s="12"/>
      <c r="DN909" s="12"/>
      <c r="DO909" s="12"/>
      <c r="DP909" s="12"/>
      <c r="DQ909" s="12"/>
      <c r="DR909" s="12"/>
      <c r="DS909" s="12"/>
      <c r="DT909" s="12"/>
      <c r="DU909" s="12"/>
      <c r="DV909" s="12"/>
      <c r="DW909" s="12"/>
      <c r="DX909" s="12"/>
      <c r="DY909" s="12"/>
      <c r="DZ909" s="12"/>
      <c r="EA909" s="12"/>
      <c r="EB909" s="12"/>
      <c r="EC909" s="12"/>
      <c r="ED909" s="12"/>
      <c r="EE909" s="12"/>
      <c r="EF909" s="12"/>
      <c r="EG909" s="12"/>
      <c r="EH909" s="12"/>
      <c r="EI909" s="12"/>
      <c r="EJ909" s="574"/>
      <c r="EK909" s="574"/>
      <c r="EL909" s="574"/>
      <c r="EM909" s="574"/>
      <c r="EN909" s="574"/>
      <c r="EO909" s="574"/>
      <c r="EP909" s="574"/>
      <c r="EQ909" s="574"/>
      <c r="ER909" s="574"/>
      <c r="ES909" s="574"/>
      <c r="ET909" s="574"/>
      <c r="EU909" s="574"/>
    </row>
    <row r="910">
      <c r="A910" s="12"/>
      <c r="B910" s="55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  <c r="AX910" s="12"/>
      <c r="AY910" s="12"/>
      <c r="AZ910" s="12"/>
      <c r="BA910" s="12"/>
      <c r="BB910" s="12"/>
      <c r="BC910" s="12"/>
      <c r="BD910" s="12"/>
      <c r="BE910" s="12"/>
      <c r="BF910" s="12"/>
      <c r="BG910" s="12"/>
      <c r="BH910" s="12"/>
      <c r="BI910" s="12"/>
      <c r="BJ910" s="12"/>
      <c r="BK910" s="12"/>
      <c r="BL910" s="12"/>
      <c r="BM910" s="12"/>
      <c r="BN910" s="12"/>
      <c r="BO910" s="12"/>
      <c r="BP910" s="12"/>
      <c r="BQ910" s="12"/>
      <c r="BR910" s="12"/>
      <c r="BS910" s="12"/>
      <c r="BT910" s="12"/>
      <c r="BU910" s="12"/>
      <c r="BV910" s="12"/>
      <c r="BW910" s="12"/>
      <c r="BX910" s="12"/>
      <c r="BY910" s="12"/>
      <c r="BZ910" s="12"/>
      <c r="CA910" s="12"/>
      <c r="CB910" s="12"/>
      <c r="CC910" s="12"/>
      <c r="CD910" s="12"/>
      <c r="CE910" s="12"/>
      <c r="CF910" s="12"/>
      <c r="CG910" s="12"/>
      <c r="CH910" s="12"/>
      <c r="CI910" s="12"/>
      <c r="CJ910" s="12"/>
      <c r="CK910" s="12"/>
      <c r="CL910" s="12"/>
      <c r="CM910" s="12"/>
      <c r="CN910" s="12"/>
      <c r="CO910" s="12"/>
      <c r="CP910" s="12"/>
      <c r="CQ910" s="12"/>
      <c r="CR910" s="12"/>
      <c r="CS910" s="12"/>
      <c r="CT910" s="12"/>
      <c r="CU910" s="12"/>
      <c r="CV910" s="12"/>
      <c r="CW910" s="12"/>
      <c r="CX910" s="12"/>
      <c r="CY910" s="12"/>
      <c r="CZ910" s="12"/>
      <c r="DA910" s="12"/>
      <c r="DB910" s="12"/>
      <c r="DC910" s="12"/>
      <c r="DD910" s="12"/>
      <c r="DE910" s="12"/>
      <c r="DF910" s="12"/>
      <c r="DG910" s="12"/>
      <c r="DH910" s="12"/>
      <c r="DI910" s="12"/>
      <c r="DJ910" s="12"/>
      <c r="DK910" s="12"/>
      <c r="DL910" s="12"/>
      <c r="DM910" s="12"/>
      <c r="DN910" s="12"/>
      <c r="DO910" s="12"/>
      <c r="DP910" s="12"/>
      <c r="DQ910" s="12"/>
      <c r="DR910" s="12"/>
      <c r="DS910" s="12"/>
      <c r="DT910" s="12"/>
      <c r="DU910" s="12"/>
      <c r="DV910" s="12"/>
      <c r="DW910" s="12"/>
      <c r="DX910" s="12"/>
      <c r="DY910" s="12"/>
      <c r="DZ910" s="12"/>
      <c r="EA910" s="12"/>
      <c r="EB910" s="12"/>
      <c r="EC910" s="12"/>
      <c r="ED910" s="12"/>
      <c r="EE910" s="12"/>
      <c r="EF910" s="12"/>
      <c r="EG910" s="12"/>
      <c r="EH910" s="12"/>
      <c r="EI910" s="12"/>
      <c r="EJ910" s="574"/>
      <c r="EK910" s="574"/>
      <c r="EL910" s="574"/>
      <c r="EM910" s="574"/>
      <c r="EN910" s="574"/>
      <c r="EO910" s="574"/>
      <c r="EP910" s="574"/>
      <c r="EQ910" s="574"/>
      <c r="ER910" s="574"/>
      <c r="ES910" s="574"/>
      <c r="ET910" s="574"/>
      <c r="EU910" s="574"/>
    </row>
    <row r="911">
      <c r="A911" s="12"/>
      <c r="B911" s="55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  <c r="AX911" s="12"/>
      <c r="AY911" s="12"/>
      <c r="AZ911" s="12"/>
      <c r="BA911" s="12"/>
      <c r="BB911" s="12"/>
      <c r="BC911" s="12"/>
      <c r="BD911" s="12"/>
      <c r="BE911" s="12"/>
      <c r="BF911" s="12"/>
      <c r="BG911" s="12"/>
      <c r="BH911" s="12"/>
      <c r="BI911" s="12"/>
      <c r="BJ911" s="12"/>
      <c r="BK911" s="12"/>
      <c r="BL911" s="12"/>
      <c r="BM911" s="12"/>
      <c r="BN911" s="12"/>
      <c r="BO911" s="12"/>
      <c r="BP911" s="12"/>
      <c r="BQ911" s="12"/>
      <c r="BR911" s="12"/>
      <c r="BS911" s="12"/>
      <c r="BT911" s="12"/>
      <c r="BU911" s="12"/>
      <c r="BV911" s="12"/>
      <c r="BW911" s="12"/>
      <c r="BX911" s="12"/>
      <c r="BY911" s="12"/>
      <c r="BZ911" s="12"/>
      <c r="CA911" s="12"/>
      <c r="CB911" s="12"/>
      <c r="CC911" s="12"/>
      <c r="CD911" s="12"/>
      <c r="CE911" s="12"/>
      <c r="CF911" s="12"/>
      <c r="CG911" s="12"/>
      <c r="CH911" s="12"/>
      <c r="CI911" s="12"/>
      <c r="CJ911" s="12"/>
      <c r="CK911" s="12"/>
      <c r="CL911" s="12"/>
      <c r="CM911" s="12"/>
      <c r="CN911" s="12"/>
      <c r="CO911" s="12"/>
      <c r="CP911" s="12"/>
      <c r="CQ911" s="12"/>
      <c r="CR911" s="12"/>
      <c r="CS911" s="12"/>
      <c r="CT911" s="12"/>
      <c r="CU911" s="12"/>
      <c r="CV911" s="12"/>
      <c r="CW911" s="12"/>
      <c r="CX911" s="12"/>
      <c r="CY911" s="12"/>
      <c r="CZ911" s="12"/>
      <c r="DA911" s="12"/>
      <c r="DB911" s="12"/>
      <c r="DC911" s="12"/>
      <c r="DD911" s="12"/>
      <c r="DE911" s="12"/>
      <c r="DF911" s="12"/>
      <c r="DG911" s="12"/>
      <c r="DH911" s="12"/>
      <c r="DI911" s="12"/>
      <c r="DJ911" s="12"/>
      <c r="DK911" s="12"/>
      <c r="DL911" s="12"/>
      <c r="DM911" s="12"/>
      <c r="DN911" s="12"/>
      <c r="DO911" s="12"/>
      <c r="DP911" s="12"/>
      <c r="DQ911" s="12"/>
      <c r="DR911" s="12"/>
      <c r="DS911" s="12"/>
      <c r="DT911" s="12"/>
      <c r="DU911" s="12"/>
      <c r="DV911" s="12"/>
      <c r="DW911" s="12"/>
      <c r="DX911" s="12"/>
      <c r="DY911" s="12"/>
      <c r="DZ911" s="12"/>
      <c r="EA911" s="12"/>
      <c r="EB911" s="12"/>
      <c r="EC911" s="12"/>
      <c r="ED911" s="12"/>
      <c r="EE911" s="12"/>
      <c r="EF911" s="12"/>
      <c r="EG911" s="12"/>
      <c r="EH911" s="12"/>
      <c r="EI911" s="12"/>
      <c r="EJ911" s="574"/>
      <c r="EK911" s="574"/>
      <c r="EL911" s="574"/>
      <c r="EM911" s="574"/>
      <c r="EN911" s="574"/>
      <c r="EO911" s="574"/>
      <c r="EP911" s="574"/>
      <c r="EQ911" s="574"/>
      <c r="ER911" s="574"/>
      <c r="ES911" s="574"/>
      <c r="ET911" s="574"/>
      <c r="EU911" s="574"/>
    </row>
    <row r="912">
      <c r="A912" s="12"/>
      <c r="B912" s="55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  <c r="AX912" s="12"/>
      <c r="AY912" s="12"/>
      <c r="AZ912" s="12"/>
      <c r="BA912" s="12"/>
      <c r="BB912" s="12"/>
      <c r="BC912" s="12"/>
      <c r="BD912" s="12"/>
      <c r="BE912" s="12"/>
      <c r="BF912" s="12"/>
      <c r="BG912" s="12"/>
      <c r="BH912" s="12"/>
      <c r="BI912" s="12"/>
      <c r="BJ912" s="12"/>
      <c r="BK912" s="12"/>
      <c r="BL912" s="12"/>
      <c r="BM912" s="12"/>
      <c r="BN912" s="12"/>
      <c r="BO912" s="12"/>
      <c r="BP912" s="12"/>
      <c r="BQ912" s="12"/>
      <c r="BR912" s="12"/>
      <c r="BS912" s="12"/>
      <c r="BT912" s="12"/>
      <c r="BU912" s="12"/>
      <c r="BV912" s="12"/>
      <c r="BW912" s="12"/>
      <c r="BX912" s="12"/>
      <c r="BY912" s="12"/>
      <c r="BZ912" s="12"/>
      <c r="CA912" s="12"/>
      <c r="CB912" s="12"/>
      <c r="CC912" s="12"/>
      <c r="CD912" s="12"/>
      <c r="CE912" s="12"/>
      <c r="CF912" s="12"/>
      <c r="CG912" s="12"/>
      <c r="CH912" s="12"/>
      <c r="CI912" s="12"/>
      <c r="CJ912" s="12"/>
      <c r="CK912" s="12"/>
      <c r="CL912" s="12"/>
      <c r="CM912" s="12"/>
      <c r="CN912" s="12"/>
      <c r="CO912" s="12"/>
      <c r="CP912" s="12"/>
      <c r="CQ912" s="12"/>
      <c r="CR912" s="12"/>
      <c r="CS912" s="12"/>
      <c r="CT912" s="12"/>
      <c r="CU912" s="12"/>
      <c r="CV912" s="12"/>
      <c r="CW912" s="12"/>
      <c r="CX912" s="12"/>
      <c r="CY912" s="12"/>
      <c r="CZ912" s="12"/>
      <c r="DA912" s="12"/>
      <c r="DB912" s="12"/>
      <c r="DC912" s="12"/>
      <c r="DD912" s="12"/>
      <c r="DE912" s="12"/>
      <c r="DF912" s="12"/>
      <c r="DG912" s="12"/>
      <c r="DH912" s="12"/>
      <c r="DI912" s="12"/>
      <c r="DJ912" s="12"/>
      <c r="DK912" s="12"/>
      <c r="DL912" s="12"/>
      <c r="DM912" s="12"/>
      <c r="DN912" s="12"/>
      <c r="DO912" s="12"/>
      <c r="DP912" s="12"/>
      <c r="DQ912" s="12"/>
      <c r="DR912" s="12"/>
      <c r="DS912" s="12"/>
      <c r="DT912" s="12"/>
      <c r="DU912" s="12"/>
      <c r="DV912" s="12"/>
      <c r="DW912" s="12"/>
      <c r="DX912" s="12"/>
      <c r="DY912" s="12"/>
      <c r="DZ912" s="12"/>
      <c r="EA912" s="12"/>
      <c r="EB912" s="12"/>
      <c r="EC912" s="12"/>
      <c r="ED912" s="12"/>
      <c r="EE912" s="12"/>
      <c r="EF912" s="12"/>
      <c r="EG912" s="12"/>
      <c r="EH912" s="12"/>
      <c r="EI912" s="12"/>
      <c r="EJ912" s="574"/>
      <c r="EK912" s="574"/>
      <c r="EL912" s="574"/>
      <c r="EM912" s="574"/>
      <c r="EN912" s="574"/>
      <c r="EO912" s="574"/>
      <c r="EP912" s="574"/>
      <c r="EQ912" s="574"/>
      <c r="ER912" s="574"/>
      <c r="ES912" s="574"/>
      <c r="ET912" s="574"/>
      <c r="EU912" s="574"/>
    </row>
    <row r="913">
      <c r="A913" s="12"/>
      <c r="B913" s="55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  <c r="AX913" s="12"/>
      <c r="AY913" s="12"/>
      <c r="AZ913" s="12"/>
      <c r="BA913" s="12"/>
      <c r="BB913" s="12"/>
      <c r="BC913" s="12"/>
      <c r="BD913" s="12"/>
      <c r="BE913" s="12"/>
      <c r="BF913" s="12"/>
      <c r="BG913" s="12"/>
      <c r="BH913" s="12"/>
      <c r="BI913" s="12"/>
      <c r="BJ913" s="12"/>
      <c r="BK913" s="12"/>
      <c r="BL913" s="12"/>
      <c r="BM913" s="12"/>
      <c r="BN913" s="12"/>
      <c r="BO913" s="12"/>
      <c r="BP913" s="12"/>
      <c r="BQ913" s="12"/>
      <c r="BR913" s="12"/>
      <c r="BS913" s="12"/>
      <c r="BT913" s="12"/>
      <c r="BU913" s="12"/>
      <c r="BV913" s="12"/>
      <c r="BW913" s="12"/>
      <c r="BX913" s="12"/>
      <c r="BY913" s="12"/>
      <c r="BZ913" s="12"/>
      <c r="CA913" s="12"/>
      <c r="CB913" s="12"/>
      <c r="CC913" s="12"/>
      <c r="CD913" s="12"/>
      <c r="CE913" s="12"/>
      <c r="CF913" s="12"/>
      <c r="CG913" s="12"/>
      <c r="CH913" s="12"/>
      <c r="CI913" s="12"/>
      <c r="CJ913" s="12"/>
      <c r="CK913" s="12"/>
      <c r="CL913" s="12"/>
      <c r="CM913" s="12"/>
      <c r="CN913" s="12"/>
      <c r="CO913" s="12"/>
      <c r="CP913" s="12"/>
      <c r="CQ913" s="12"/>
      <c r="CR913" s="12"/>
      <c r="CS913" s="12"/>
      <c r="CT913" s="12"/>
      <c r="CU913" s="12"/>
      <c r="CV913" s="12"/>
      <c r="CW913" s="12"/>
      <c r="CX913" s="12"/>
      <c r="CY913" s="12"/>
      <c r="CZ913" s="12"/>
      <c r="DA913" s="12"/>
      <c r="DB913" s="12"/>
      <c r="DC913" s="12"/>
      <c r="DD913" s="12"/>
      <c r="DE913" s="12"/>
      <c r="DF913" s="12"/>
      <c r="DG913" s="12"/>
      <c r="DH913" s="12"/>
      <c r="DI913" s="12"/>
      <c r="DJ913" s="12"/>
      <c r="DK913" s="12"/>
      <c r="DL913" s="12"/>
      <c r="DM913" s="12"/>
      <c r="DN913" s="12"/>
      <c r="DO913" s="12"/>
      <c r="DP913" s="12"/>
      <c r="DQ913" s="12"/>
      <c r="DR913" s="12"/>
      <c r="DS913" s="12"/>
      <c r="DT913" s="12"/>
      <c r="DU913" s="12"/>
      <c r="DV913" s="12"/>
      <c r="DW913" s="12"/>
      <c r="DX913" s="12"/>
      <c r="DY913" s="12"/>
      <c r="DZ913" s="12"/>
      <c r="EA913" s="12"/>
      <c r="EB913" s="12"/>
      <c r="EC913" s="12"/>
      <c r="ED913" s="12"/>
      <c r="EE913" s="12"/>
      <c r="EF913" s="12"/>
      <c r="EG913" s="12"/>
      <c r="EH913" s="12"/>
      <c r="EI913" s="12"/>
      <c r="EJ913" s="574"/>
      <c r="EK913" s="574"/>
      <c r="EL913" s="574"/>
      <c r="EM913" s="574"/>
      <c r="EN913" s="574"/>
      <c r="EO913" s="574"/>
      <c r="EP913" s="574"/>
      <c r="EQ913" s="574"/>
      <c r="ER913" s="574"/>
      <c r="ES913" s="574"/>
      <c r="ET913" s="574"/>
      <c r="EU913" s="574"/>
    </row>
    <row r="914">
      <c r="A914" s="12"/>
      <c r="B914" s="55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  <c r="AX914" s="12"/>
      <c r="AY914" s="12"/>
      <c r="AZ914" s="12"/>
      <c r="BA914" s="12"/>
      <c r="BB914" s="12"/>
      <c r="BC914" s="12"/>
      <c r="BD914" s="12"/>
      <c r="BE914" s="12"/>
      <c r="BF914" s="12"/>
      <c r="BG914" s="12"/>
      <c r="BH914" s="12"/>
      <c r="BI914" s="12"/>
      <c r="BJ914" s="12"/>
      <c r="BK914" s="12"/>
      <c r="BL914" s="12"/>
      <c r="BM914" s="12"/>
      <c r="BN914" s="12"/>
      <c r="BO914" s="12"/>
      <c r="BP914" s="12"/>
      <c r="BQ914" s="12"/>
      <c r="BR914" s="12"/>
      <c r="BS914" s="12"/>
      <c r="BT914" s="12"/>
      <c r="BU914" s="12"/>
      <c r="BV914" s="12"/>
      <c r="BW914" s="12"/>
      <c r="BX914" s="12"/>
      <c r="BY914" s="12"/>
      <c r="BZ914" s="12"/>
      <c r="CA914" s="12"/>
      <c r="CB914" s="12"/>
      <c r="CC914" s="12"/>
      <c r="CD914" s="12"/>
      <c r="CE914" s="12"/>
      <c r="CF914" s="12"/>
      <c r="CG914" s="12"/>
      <c r="CH914" s="12"/>
      <c r="CI914" s="12"/>
      <c r="CJ914" s="12"/>
      <c r="CK914" s="12"/>
      <c r="CL914" s="12"/>
      <c r="CM914" s="12"/>
      <c r="CN914" s="12"/>
      <c r="CO914" s="12"/>
      <c r="CP914" s="12"/>
      <c r="CQ914" s="12"/>
      <c r="CR914" s="12"/>
      <c r="CS914" s="12"/>
      <c r="CT914" s="12"/>
      <c r="CU914" s="12"/>
      <c r="CV914" s="12"/>
      <c r="CW914" s="12"/>
      <c r="CX914" s="12"/>
      <c r="CY914" s="12"/>
      <c r="CZ914" s="12"/>
      <c r="DA914" s="12"/>
      <c r="DB914" s="12"/>
      <c r="DC914" s="12"/>
      <c r="DD914" s="12"/>
      <c r="DE914" s="12"/>
      <c r="DF914" s="12"/>
      <c r="DG914" s="12"/>
      <c r="DH914" s="12"/>
      <c r="DI914" s="12"/>
      <c r="DJ914" s="12"/>
      <c r="DK914" s="12"/>
      <c r="DL914" s="12"/>
      <c r="DM914" s="12"/>
      <c r="DN914" s="12"/>
      <c r="DO914" s="12"/>
      <c r="DP914" s="12"/>
      <c r="DQ914" s="12"/>
      <c r="DR914" s="12"/>
      <c r="DS914" s="12"/>
      <c r="DT914" s="12"/>
      <c r="DU914" s="12"/>
      <c r="DV914" s="12"/>
      <c r="DW914" s="12"/>
      <c r="DX914" s="12"/>
      <c r="DY914" s="12"/>
      <c r="DZ914" s="12"/>
      <c r="EA914" s="12"/>
      <c r="EB914" s="12"/>
      <c r="EC914" s="12"/>
      <c r="ED914" s="12"/>
      <c r="EE914" s="12"/>
      <c r="EF914" s="12"/>
      <c r="EG914" s="12"/>
      <c r="EH914" s="12"/>
      <c r="EI914" s="12"/>
      <c r="EJ914" s="574"/>
      <c r="EK914" s="574"/>
      <c r="EL914" s="574"/>
      <c r="EM914" s="574"/>
      <c r="EN914" s="574"/>
      <c r="EO914" s="574"/>
      <c r="EP914" s="574"/>
      <c r="EQ914" s="574"/>
      <c r="ER914" s="574"/>
      <c r="ES914" s="574"/>
      <c r="ET914" s="574"/>
      <c r="EU914" s="574"/>
    </row>
    <row r="915">
      <c r="A915" s="12"/>
      <c r="B915" s="55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  <c r="AX915" s="12"/>
      <c r="AY915" s="12"/>
      <c r="AZ915" s="12"/>
      <c r="BA915" s="12"/>
      <c r="BB915" s="12"/>
      <c r="BC915" s="12"/>
      <c r="BD915" s="12"/>
      <c r="BE915" s="12"/>
      <c r="BF915" s="12"/>
      <c r="BG915" s="12"/>
      <c r="BH915" s="12"/>
      <c r="BI915" s="12"/>
      <c r="BJ915" s="12"/>
      <c r="BK915" s="12"/>
      <c r="BL915" s="12"/>
      <c r="BM915" s="12"/>
      <c r="BN915" s="12"/>
      <c r="BO915" s="12"/>
      <c r="BP915" s="12"/>
      <c r="BQ915" s="12"/>
      <c r="BR915" s="12"/>
      <c r="BS915" s="12"/>
      <c r="BT915" s="12"/>
      <c r="BU915" s="12"/>
      <c r="BV915" s="12"/>
      <c r="BW915" s="12"/>
      <c r="BX915" s="12"/>
      <c r="BY915" s="12"/>
      <c r="BZ915" s="12"/>
      <c r="CA915" s="12"/>
      <c r="CB915" s="12"/>
      <c r="CC915" s="12"/>
      <c r="CD915" s="12"/>
      <c r="CE915" s="12"/>
      <c r="CF915" s="12"/>
      <c r="CG915" s="12"/>
      <c r="CH915" s="12"/>
      <c r="CI915" s="12"/>
      <c r="CJ915" s="12"/>
      <c r="CK915" s="12"/>
      <c r="CL915" s="12"/>
      <c r="CM915" s="12"/>
      <c r="CN915" s="12"/>
      <c r="CO915" s="12"/>
      <c r="CP915" s="12"/>
      <c r="CQ915" s="12"/>
      <c r="CR915" s="12"/>
      <c r="CS915" s="12"/>
      <c r="CT915" s="12"/>
      <c r="CU915" s="12"/>
      <c r="CV915" s="12"/>
      <c r="CW915" s="12"/>
      <c r="CX915" s="12"/>
      <c r="CY915" s="12"/>
      <c r="CZ915" s="12"/>
      <c r="DA915" s="12"/>
      <c r="DB915" s="12"/>
      <c r="DC915" s="12"/>
      <c r="DD915" s="12"/>
      <c r="DE915" s="12"/>
      <c r="DF915" s="12"/>
      <c r="DG915" s="12"/>
      <c r="DH915" s="12"/>
      <c r="DI915" s="12"/>
      <c r="DJ915" s="12"/>
      <c r="DK915" s="12"/>
      <c r="DL915" s="12"/>
      <c r="DM915" s="12"/>
      <c r="DN915" s="12"/>
      <c r="DO915" s="12"/>
      <c r="DP915" s="12"/>
      <c r="DQ915" s="12"/>
      <c r="DR915" s="12"/>
      <c r="DS915" s="12"/>
      <c r="DT915" s="12"/>
      <c r="DU915" s="12"/>
      <c r="DV915" s="12"/>
      <c r="DW915" s="12"/>
      <c r="DX915" s="12"/>
      <c r="DY915" s="12"/>
      <c r="DZ915" s="12"/>
      <c r="EA915" s="12"/>
      <c r="EB915" s="12"/>
      <c r="EC915" s="12"/>
      <c r="ED915" s="12"/>
      <c r="EE915" s="12"/>
      <c r="EF915" s="12"/>
      <c r="EG915" s="12"/>
      <c r="EH915" s="12"/>
      <c r="EI915" s="12"/>
      <c r="EJ915" s="574"/>
      <c r="EK915" s="574"/>
      <c r="EL915" s="574"/>
      <c r="EM915" s="574"/>
      <c r="EN915" s="574"/>
      <c r="EO915" s="574"/>
      <c r="EP915" s="574"/>
      <c r="EQ915" s="574"/>
      <c r="ER915" s="574"/>
      <c r="ES915" s="574"/>
      <c r="ET915" s="574"/>
      <c r="EU915" s="574"/>
    </row>
    <row r="916">
      <c r="A916" s="12"/>
      <c r="B916" s="55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  <c r="AX916" s="12"/>
      <c r="AY916" s="12"/>
      <c r="AZ916" s="12"/>
      <c r="BA916" s="12"/>
      <c r="BB916" s="12"/>
      <c r="BC916" s="12"/>
      <c r="BD916" s="12"/>
      <c r="BE916" s="12"/>
      <c r="BF916" s="12"/>
      <c r="BG916" s="12"/>
      <c r="BH916" s="12"/>
      <c r="BI916" s="12"/>
      <c r="BJ916" s="12"/>
      <c r="BK916" s="12"/>
      <c r="BL916" s="12"/>
      <c r="BM916" s="12"/>
      <c r="BN916" s="12"/>
      <c r="BO916" s="12"/>
      <c r="BP916" s="12"/>
      <c r="BQ916" s="12"/>
      <c r="BR916" s="12"/>
      <c r="BS916" s="12"/>
      <c r="BT916" s="12"/>
      <c r="BU916" s="12"/>
      <c r="BV916" s="12"/>
      <c r="BW916" s="12"/>
      <c r="BX916" s="12"/>
      <c r="BY916" s="12"/>
      <c r="BZ916" s="12"/>
      <c r="CA916" s="12"/>
      <c r="CB916" s="12"/>
      <c r="CC916" s="12"/>
      <c r="CD916" s="12"/>
      <c r="CE916" s="12"/>
      <c r="CF916" s="12"/>
      <c r="CG916" s="12"/>
      <c r="CH916" s="12"/>
      <c r="CI916" s="12"/>
      <c r="CJ916" s="12"/>
      <c r="CK916" s="12"/>
      <c r="CL916" s="12"/>
      <c r="CM916" s="12"/>
      <c r="CN916" s="12"/>
      <c r="CO916" s="12"/>
      <c r="CP916" s="12"/>
      <c r="CQ916" s="12"/>
      <c r="CR916" s="12"/>
      <c r="CS916" s="12"/>
      <c r="CT916" s="12"/>
      <c r="CU916" s="12"/>
      <c r="CV916" s="12"/>
      <c r="CW916" s="12"/>
      <c r="CX916" s="12"/>
      <c r="CY916" s="12"/>
      <c r="CZ916" s="12"/>
      <c r="DA916" s="12"/>
      <c r="DB916" s="12"/>
      <c r="DC916" s="12"/>
      <c r="DD916" s="12"/>
      <c r="DE916" s="12"/>
      <c r="DF916" s="12"/>
      <c r="DG916" s="12"/>
      <c r="DH916" s="12"/>
      <c r="DI916" s="12"/>
      <c r="DJ916" s="12"/>
      <c r="DK916" s="12"/>
      <c r="DL916" s="12"/>
      <c r="DM916" s="12"/>
      <c r="DN916" s="12"/>
      <c r="DO916" s="12"/>
      <c r="DP916" s="12"/>
      <c r="DQ916" s="12"/>
      <c r="DR916" s="12"/>
      <c r="DS916" s="12"/>
      <c r="DT916" s="12"/>
      <c r="DU916" s="12"/>
      <c r="DV916" s="12"/>
      <c r="DW916" s="12"/>
      <c r="DX916" s="12"/>
      <c r="DY916" s="12"/>
      <c r="DZ916" s="12"/>
      <c r="EA916" s="12"/>
      <c r="EB916" s="12"/>
      <c r="EC916" s="12"/>
      <c r="ED916" s="12"/>
      <c r="EE916" s="12"/>
      <c r="EF916" s="12"/>
      <c r="EG916" s="12"/>
      <c r="EH916" s="12"/>
      <c r="EI916" s="12"/>
      <c r="EJ916" s="574"/>
      <c r="EK916" s="574"/>
      <c r="EL916" s="574"/>
      <c r="EM916" s="574"/>
      <c r="EN916" s="574"/>
      <c r="EO916" s="574"/>
      <c r="EP916" s="574"/>
      <c r="EQ916" s="574"/>
      <c r="ER916" s="574"/>
      <c r="ES916" s="574"/>
      <c r="ET916" s="574"/>
      <c r="EU916" s="574"/>
    </row>
    <row r="917">
      <c r="A917" s="12"/>
      <c r="B917" s="55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  <c r="AX917" s="12"/>
      <c r="AY917" s="12"/>
      <c r="AZ917" s="12"/>
      <c r="BA917" s="12"/>
      <c r="BB917" s="12"/>
      <c r="BC917" s="12"/>
      <c r="BD917" s="12"/>
      <c r="BE917" s="12"/>
      <c r="BF917" s="12"/>
      <c r="BG917" s="12"/>
      <c r="BH917" s="12"/>
      <c r="BI917" s="12"/>
      <c r="BJ917" s="12"/>
      <c r="BK917" s="12"/>
      <c r="BL917" s="12"/>
      <c r="BM917" s="12"/>
      <c r="BN917" s="12"/>
      <c r="BO917" s="12"/>
      <c r="BP917" s="12"/>
      <c r="BQ917" s="12"/>
      <c r="BR917" s="12"/>
      <c r="BS917" s="12"/>
      <c r="BT917" s="12"/>
      <c r="BU917" s="12"/>
      <c r="BV917" s="12"/>
      <c r="BW917" s="12"/>
      <c r="BX917" s="12"/>
      <c r="BY917" s="12"/>
      <c r="BZ917" s="12"/>
      <c r="CA917" s="12"/>
      <c r="CB917" s="12"/>
      <c r="CC917" s="12"/>
      <c r="CD917" s="12"/>
      <c r="CE917" s="12"/>
      <c r="CF917" s="12"/>
      <c r="CG917" s="12"/>
      <c r="CH917" s="12"/>
      <c r="CI917" s="12"/>
      <c r="CJ917" s="12"/>
      <c r="CK917" s="12"/>
      <c r="CL917" s="12"/>
      <c r="CM917" s="12"/>
      <c r="CN917" s="12"/>
      <c r="CO917" s="12"/>
      <c r="CP917" s="12"/>
      <c r="CQ917" s="12"/>
      <c r="CR917" s="12"/>
      <c r="CS917" s="12"/>
      <c r="CT917" s="12"/>
      <c r="CU917" s="12"/>
      <c r="CV917" s="12"/>
      <c r="CW917" s="12"/>
      <c r="CX917" s="12"/>
      <c r="CY917" s="12"/>
      <c r="CZ917" s="12"/>
      <c r="DA917" s="12"/>
      <c r="DB917" s="12"/>
      <c r="DC917" s="12"/>
      <c r="DD917" s="12"/>
      <c r="DE917" s="12"/>
      <c r="DF917" s="12"/>
      <c r="DG917" s="12"/>
      <c r="DH917" s="12"/>
      <c r="DI917" s="12"/>
      <c r="DJ917" s="12"/>
      <c r="DK917" s="12"/>
      <c r="DL917" s="12"/>
      <c r="DM917" s="12"/>
      <c r="DN917" s="12"/>
      <c r="DO917" s="12"/>
      <c r="DP917" s="12"/>
      <c r="DQ917" s="12"/>
      <c r="DR917" s="12"/>
      <c r="DS917" s="12"/>
      <c r="DT917" s="12"/>
      <c r="DU917" s="12"/>
      <c r="DV917" s="12"/>
      <c r="DW917" s="12"/>
      <c r="DX917" s="12"/>
      <c r="DY917" s="12"/>
      <c r="DZ917" s="12"/>
      <c r="EA917" s="12"/>
      <c r="EB917" s="12"/>
      <c r="EC917" s="12"/>
      <c r="ED917" s="12"/>
      <c r="EE917" s="12"/>
      <c r="EF917" s="12"/>
      <c r="EG917" s="12"/>
      <c r="EH917" s="12"/>
      <c r="EI917" s="12"/>
      <c r="EJ917" s="574"/>
      <c r="EK917" s="574"/>
      <c r="EL917" s="574"/>
      <c r="EM917" s="574"/>
      <c r="EN917" s="574"/>
      <c r="EO917" s="574"/>
      <c r="EP917" s="574"/>
      <c r="EQ917" s="574"/>
      <c r="ER917" s="574"/>
      <c r="ES917" s="574"/>
      <c r="ET917" s="574"/>
      <c r="EU917" s="574"/>
    </row>
    <row r="918">
      <c r="A918" s="12"/>
      <c r="B918" s="55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  <c r="AX918" s="12"/>
      <c r="AY918" s="12"/>
      <c r="AZ918" s="12"/>
      <c r="BA918" s="12"/>
      <c r="BB918" s="12"/>
      <c r="BC918" s="12"/>
      <c r="BD918" s="12"/>
      <c r="BE918" s="12"/>
      <c r="BF918" s="12"/>
      <c r="BG918" s="12"/>
      <c r="BH918" s="12"/>
      <c r="BI918" s="12"/>
      <c r="BJ918" s="12"/>
      <c r="BK918" s="12"/>
      <c r="BL918" s="12"/>
      <c r="BM918" s="12"/>
      <c r="BN918" s="12"/>
      <c r="BO918" s="12"/>
      <c r="BP918" s="12"/>
      <c r="BQ918" s="12"/>
      <c r="BR918" s="12"/>
      <c r="BS918" s="12"/>
      <c r="BT918" s="12"/>
      <c r="BU918" s="12"/>
      <c r="BV918" s="12"/>
      <c r="BW918" s="12"/>
      <c r="BX918" s="12"/>
      <c r="BY918" s="12"/>
      <c r="BZ918" s="12"/>
      <c r="CA918" s="12"/>
      <c r="CB918" s="12"/>
      <c r="CC918" s="12"/>
      <c r="CD918" s="12"/>
      <c r="CE918" s="12"/>
      <c r="CF918" s="12"/>
      <c r="CG918" s="12"/>
      <c r="CH918" s="12"/>
      <c r="CI918" s="12"/>
      <c r="CJ918" s="12"/>
      <c r="CK918" s="12"/>
      <c r="CL918" s="12"/>
      <c r="CM918" s="12"/>
      <c r="CN918" s="12"/>
      <c r="CO918" s="12"/>
      <c r="CP918" s="12"/>
      <c r="CQ918" s="12"/>
      <c r="CR918" s="12"/>
      <c r="CS918" s="12"/>
      <c r="CT918" s="12"/>
      <c r="CU918" s="12"/>
      <c r="CV918" s="12"/>
      <c r="CW918" s="12"/>
      <c r="CX918" s="12"/>
      <c r="CY918" s="12"/>
      <c r="CZ918" s="12"/>
      <c r="DA918" s="12"/>
      <c r="DB918" s="12"/>
      <c r="DC918" s="12"/>
      <c r="DD918" s="12"/>
      <c r="DE918" s="12"/>
      <c r="DF918" s="12"/>
      <c r="DG918" s="12"/>
      <c r="DH918" s="12"/>
      <c r="DI918" s="12"/>
      <c r="DJ918" s="12"/>
      <c r="DK918" s="12"/>
      <c r="DL918" s="12"/>
      <c r="DM918" s="12"/>
      <c r="DN918" s="12"/>
      <c r="DO918" s="12"/>
      <c r="DP918" s="12"/>
      <c r="DQ918" s="12"/>
      <c r="DR918" s="12"/>
      <c r="DS918" s="12"/>
      <c r="DT918" s="12"/>
      <c r="DU918" s="12"/>
      <c r="DV918" s="12"/>
      <c r="DW918" s="12"/>
      <c r="DX918" s="12"/>
      <c r="DY918" s="12"/>
      <c r="DZ918" s="12"/>
      <c r="EA918" s="12"/>
      <c r="EB918" s="12"/>
      <c r="EC918" s="12"/>
      <c r="ED918" s="12"/>
      <c r="EE918" s="12"/>
      <c r="EF918" s="12"/>
      <c r="EG918" s="12"/>
      <c r="EH918" s="12"/>
      <c r="EI918" s="12"/>
      <c r="EJ918" s="574"/>
      <c r="EK918" s="574"/>
      <c r="EL918" s="574"/>
      <c r="EM918" s="574"/>
      <c r="EN918" s="574"/>
      <c r="EO918" s="574"/>
      <c r="EP918" s="574"/>
      <c r="EQ918" s="574"/>
      <c r="ER918" s="574"/>
      <c r="ES918" s="574"/>
      <c r="ET918" s="574"/>
      <c r="EU918" s="574"/>
    </row>
    <row r="919">
      <c r="A919" s="12"/>
      <c r="B919" s="55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  <c r="AX919" s="12"/>
      <c r="AY919" s="12"/>
      <c r="AZ919" s="12"/>
      <c r="BA919" s="12"/>
      <c r="BB919" s="12"/>
      <c r="BC919" s="12"/>
      <c r="BD919" s="12"/>
      <c r="BE919" s="12"/>
      <c r="BF919" s="12"/>
      <c r="BG919" s="12"/>
      <c r="BH919" s="12"/>
      <c r="BI919" s="12"/>
      <c r="BJ919" s="12"/>
      <c r="BK919" s="12"/>
      <c r="BL919" s="12"/>
      <c r="BM919" s="12"/>
      <c r="BN919" s="12"/>
      <c r="BO919" s="12"/>
      <c r="BP919" s="12"/>
      <c r="BQ919" s="12"/>
      <c r="BR919" s="12"/>
      <c r="BS919" s="12"/>
      <c r="BT919" s="12"/>
      <c r="BU919" s="12"/>
      <c r="BV919" s="12"/>
      <c r="BW919" s="12"/>
      <c r="BX919" s="12"/>
      <c r="BY919" s="12"/>
      <c r="BZ919" s="12"/>
      <c r="CA919" s="12"/>
      <c r="CB919" s="12"/>
      <c r="CC919" s="12"/>
      <c r="CD919" s="12"/>
      <c r="CE919" s="12"/>
      <c r="CF919" s="12"/>
      <c r="CG919" s="12"/>
      <c r="CH919" s="12"/>
      <c r="CI919" s="12"/>
      <c r="CJ919" s="12"/>
      <c r="CK919" s="12"/>
      <c r="CL919" s="12"/>
      <c r="CM919" s="12"/>
      <c r="CN919" s="12"/>
      <c r="CO919" s="12"/>
      <c r="CP919" s="12"/>
      <c r="CQ919" s="12"/>
      <c r="CR919" s="12"/>
      <c r="CS919" s="12"/>
      <c r="CT919" s="12"/>
      <c r="CU919" s="12"/>
      <c r="CV919" s="12"/>
      <c r="CW919" s="12"/>
      <c r="CX919" s="12"/>
      <c r="CY919" s="12"/>
      <c r="CZ919" s="12"/>
      <c r="DA919" s="12"/>
      <c r="DB919" s="12"/>
      <c r="DC919" s="12"/>
      <c r="DD919" s="12"/>
      <c r="DE919" s="12"/>
      <c r="DF919" s="12"/>
      <c r="DG919" s="12"/>
      <c r="DH919" s="12"/>
      <c r="DI919" s="12"/>
      <c r="DJ919" s="12"/>
      <c r="DK919" s="12"/>
      <c r="DL919" s="12"/>
      <c r="DM919" s="12"/>
      <c r="DN919" s="12"/>
      <c r="DO919" s="12"/>
      <c r="DP919" s="12"/>
      <c r="DQ919" s="12"/>
      <c r="DR919" s="12"/>
      <c r="DS919" s="12"/>
      <c r="DT919" s="12"/>
      <c r="DU919" s="12"/>
      <c r="DV919" s="12"/>
      <c r="DW919" s="12"/>
      <c r="DX919" s="12"/>
      <c r="DY919" s="12"/>
      <c r="DZ919" s="12"/>
      <c r="EA919" s="12"/>
      <c r="EB919" s="12"/>
      <c r="EC919" s="12"/>
      <c r="ED919" s="12"/>
      <c r="EE919" s="12"/>
      <c r="EF919" s="12"/>
      <c r="EG919" s="12"/>
      <c r="EH919" s="12"/>
      <c r="EI919" s="12"/>
      <c r="EJ919" s="574"/>
      <c r="EK919" s="574"/>
      <c r="EL919" s="574"/>
      <c r="EM919" s="574"/>
      <c r="EN919" s="574"/>
      <c r="EO919" s="574"/>
      <c r="EP919" s="574"/>
      <c r="EQ919" s="574"/>
      <c r="ER919" s="574"/>
      <c r="ES919" s="574"/>
      <c r="ET919" s="574"/>
      <c r="EU919" s="574"/>
    </row>
    <row r="920">
      <c r="A920" s="12"/>
      <c r="B920" s="55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  <c r="AX920" s="12"/>
      <c r="AY920" s="12"/>
      <c r="AZ920" s="12"/>
      <c r="BA920" s="12"/>
      <c r="BB920" s="12"/>
      <c r="BC920" s="12"/>
      <c r="BD920" s="12"/>
      <c r="BE920" s="12"/>
      <c r="BF920" s="12"/>
      <c r="BG920" s="12"/>
      <c r="BH920" s="12"/>
      <c r="BI920" s="12"/>
      <c r="BJ920" s="12"/>
      <c r="BK920" s="12"/>
      <c r="BL920" s="12"/>
      <c r="BM920" s="12"/>
      <c r="BN920" s="12"/>
      <c r="BO920" s="12"/>
      <c r="BP920" s="12"/>
      <c r="BQ920" s="12"/>
      <c r="BR920" s="12"/>
      <c r="BS920" s="12"/>
      <c r="BT920" s="12"/>
      <c r="BU920" s="12"/>
      <c r="BV920" s="12"/>
      <c r="BW920" s="12"/>
      <c r="BX920" s="12"/>
      <c r="BY920" s="12"/>
      <c r="BZ920" s="12"/>
      <c r="CA920" s="12"/>
      <c r="CB920" s="12"/>
      <c r="CC920" s="12"/>
      <c r="CD920" s="12"/>
      <c r="CE920" s="12"/>
      <c r="CF920" s="12"/>
      <c r="CG920" s="12"/>
      <c r="CH920" s="12"/>
      <c r="CI920" s="12"/>
      <c r="CJ920" s="12"/>
      <c r="CK920" s="12"/>
      <c r="CL920" s="12"/>
      <c r="CM920" s="12"/>
      <c r="CN920" s="12"/>
      <c r="CO920" s="12"/>
      <c r="CP920" s="12"/>
      <c r="CQ920" s="12"/>
      <c r="CR920" s="12"/>
      <c r="CS920" s="12"/>
      <c r="CT920" s="12"/>
      <c r="CU920" s="12"/>
      <c r="CV920" s="12"/>
      <c r="CW920" s="12"/>
      <c r="CX920" s="12"/>
      <c r="CY920" s="12"/>
      <c r="CZ920" s="12"/>
      <c r="DA920" s="12"/>
      <c r="DB920" s="12"/>
      <c r="DC920" s="12"/>
      <c r="DD920" s="12"/>
      <c r="DE920" s="12"/>
      <c r="DF920" s="12"/>
      <c r="DG920" s="12"/>
      <c r="DH920" s="12"/>
      <c r="DI920" s="12"/>
      <c r="DJ920" s="12"/>
      <c r="DK920" s="12"/>
      <c r="DL920" s="12"/>
      <c r="DM920" s="12"/>
      <c r="DN920" s="12"/>
      <c r="DO920" s="12"/>
      <c r="DP920" s="12"/>
      <c r="DQ920" s="12"/>
      <c r="DR920" s="12"/>
      <c r="DS920" s="12"/>
      <c r="DT920" s="12"/>
      <c r="DU920" s="12"/>
      <c r="DV920" s="12"/>
      <c r="DW920" s="12"/>
      <c r="DX920" s="12"/>
      <c r="DY920" s="12"/>
      <c r="DZ920" s="12"/>
      <c r="EA920" s="12"/>
      <c r="EB920" s="12"/>
      <c r="EC920" s="12"/>
      <c r="ED920" s="12"/>
      <c r="EE920" s="12"/>
      <c r="EF920" s="12"/>
      <c r="EG920" s="12"/>
      <c r="EH920" s="12"/>
      <c r="EI920" s="12"/>
      <c r="EJ920" s="574"/>
      <c r="EK920" s="574"/>
      <c r="EL920" s="574"/>
      <c r="EM920" s="574"/>
      <c r="EN920" s="574"/>
      <c r="EO920" s="574"/>
      <c r="EP920" s="574"/>
      <c r="EQ920" s="574"/>
      <c r="ER920" s="574"/>
      <c r="ES920" s="574"/>
      <c r="ET920" s="574"/>
      <c r="EU920" s="574"/>
    </row>
    <row r="921">
      <c r="A921" s="12"/>
      <c r="B921" s="55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  <c r="AX921" s="12"/>
      <c r="AY921" s="12"/>
      <c r="AZ921" s="12"/>
      <c r="BA921" s="12"/>
      <c r="BB921" s="12"/>
      <c r="BC921" s="12"/>
      <c r="BD921" s="12"/>
      <c r="BE921" s="12"/>
      <c r="BF921" s="12"/>
      <c r="BG921" s="12"/>
      <c r="BH921" s="12"/>
      <c r="BI921" s="12"/>
      <c r="BJ921" s="12"/>
      <c r="BK921" s="12"/>
      <c r="BL921" s="12"/>
      <c r="BM921" s="12"/>
      <c r="BN921" s="12"/>
      <c r="BO921" s="12"/>
      <c r="BP921" s="12"/>
      <c r="BQ921" s="12"/>
      <c r="BR921" s="12"/>
      <c r="BS921" s="12"/>
      <c r="BT921" s="12"/>
      <c r="BU921" s="12"/>
      <c r="BV921" s="12"/>
      <c r="BW921" s="12"/>
      <c r="BX921" s="12"/>
      <c r="BY921" s="12"/>
      <c r="BZ921" s="12"/>
      <c r="CA921" s="12"/>
      <c r="CB921" s="12"/>
      <c r="CC921" s="12"/>
      <c r="CD921" s="12"/>
      <c r="CE921" s="12"/>
      <c r="CF921" s="12"/>
      <c r="CG921" s="12"/>
      <c r="CH921" s="12"/>
      <c r="CI921" s="12"/>
      <c r="CJ921" s="12"/>
      <c r="CK921" s="12"/>
      <c r="CL921" s="12"/>
      <c r="CM921" s="12"/>
      <c r="CN921" s="12"/>
      <c r="CO921" s="12"/>
      <c r="CP921" s="12"/>
      <c r="CQ921" s="12"/>
      <c r="CR921" s="12"/>
      <c r="CS921" s="12"/>
      <c r="CT921" s="12"/>
      <c r="CU921" s="12"/>
      <c r="CV921" s="12"/>
      <c r="CW921" s="12"/>
      <c r="CX921" s="12"/>
      <c r="CY921" s="12"/>
      <c r="CZ921" s="12"/>
      <c r="DA921" s="12"/>
      <c r="DB921" s="12"/>
      <c r="DC921" s="12"/>
      <c r="DD921" s="12"/>
      <c r="DE921" s="12"/>
      <c r="DF921" s="12"/>
      <c r="DG921" s="12"/>
      <c r="DH921" s="12"/>
      <c r="DI921" s="12"/>
      <c r="DJ921" s="12"/>
      <c r="DK921" s="12"/>
      <c r="DL921" s="12"/>
      <c r="DM921" s="12"/>
      <c r="DN921" s="12"/>
      <c r="DO921" s="12"/>
      <c r="DP921" s="12"/>
      <c r="DQ921" s="12"/>
      <c r="DR921" s="12"/>
      <c r="DS921" s="12"/>
      <c r="DT921" s="12"/>
      <c r="DU921" s="12"/>
      <c r="DV921" s="12"/>
      <c r="DW921" s="12"/>
      <c r="DX921" s="12"/>
      <c r="DY921" s="12"/>
      <c r="DZ921" s="12"/>
      <c r="EA921" s="12"/>
      <c r="EB921" s="12"/>
      <c r="EC921" s="12"/>
      <c r="ED921" s="12"/>
      <c r="EE921" s="12"/>
      <c r="EF921" s="12"/>
      <c r="EG921" s="12"/>
      <c r="EH921" s="12"/>
      <c r="EI921" s="12"/>
      <c r="EJ921" s="574"/>
      <c r="EK921" s="574"/>
      <c r="EL921" s="574"/>
      <c r="EM921" s="574"/>
      <c r="EN921" s="574"/>
      <c r="EO921" s="574"/>
      <c r="EP921" s="574"/>
      <c r="EQ921" s="574"/>
      <c r="ER921" s="574"/>
      <c r="ES921" s="574"/>
      <c r="ET921" s="574"/>
      <c r="EU921" s="574"/>
    </row>
    <row r="922">
      <c r="A922" s="12"/>
      <c r="B922" s="55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  <c r="AX922" s="12"/>
      <c r="AY922" s="12"/>
      <c r="AZ922" s="12"/>
      <c r="BA922" s="12"/>
      <c r="BB922" s="12"/>
      <c r="BC922" s="12"/>
      <c r="BD922" s="12"/>
      <c r="BE922" s="12"/>
      <c r="BF922" s="12"/>
      <c r="BG922" s="12"/>
      <c r="BH922" s="12"/>
      <c r="BI922" s="12"/>
      <c r="BJ922" s="12"/>
      <c r="BK922" s="12"/>
      <c r="BL922" s="12"/>
      <c r="BM922" s="12"/>
      <c r="BN922" s="12"/>
      <c r="BO922" s="12"/>
      <c r="BP922" s="12"/>
      <c r="BQ922" s="12"/>
      <c r="BR922" s="12"/>
      <c r="BS922" s="12"/>
      <c r="BT922" s="12"/>
      <c r="BU922" s="12"/>
      <c r="BV922" s="12"/>
      <c r="BW922" s="12"/>
      <c r="BX922" s="12"/>
      <c r="BY922" s="12"/>
      <c r="BZ922" s="12"/>
      <c r="CA922" s="12"/>
      <c r="CB922" s="12"/>
      <c r="CC922" s="12"/>
      <c r="CD922" s="12"/>
      <c r="CE922" s="12"/>
      <c r="CF922" s="12"/>
      <c r="CG922" s="12"/>
      <c r="CH922" s="12"/>
      <c r="CI922" s="12"/>
      <c r="CJ922" s="12"/>
      <c r="CK922" s="12"/>
      <c r="CL922" s="12"/>
      <c r="CM922" s="12"/>
      <c r="CN922" s="12"/>
      <c r="CO922" s="12"/>
      <c r="CP922" s="12"/>
      <c r="CQ922" s="12"/>
      <c r="CR922" s="12"/>
      <c r="CS922" s="12"/>
      <c r="CT922" s="12"/>
      <c r="CU922" s="12"/>
      <c r="CV922" s="12"/>
      <c r="CW922" s="12"/>
      <c r="CX922" s="12"/>
      <c r="CY922" s="12"/>
      <c r="CZ922" s="12"/>
      <c r="DA922" s="12"/>
      <c r="DB922" s="12"/>
      <c r="DC922" s="12"/>
      <c r="DD922" s="12"/>
      <c r="DE922" s="12"/>
      <c r="DF922" s="12"/>
      <c r="DG922" s="12"/>
      <c r="DH922" s="12"/>
      <c r="DI922" s="12"/>
      <c r="DJ922" s="12"/>
      <c r="DK922" s="12"/>
      <c r="DL922" s="12"/>
      <c r="DM922" s="12"/>
      <c r="DN922" s="12"/>
      <c r="DO922" s="12"/>
      <c r="DP922" s="12"/>
      <c r="DQ922" s="12"/>
      <c r="DR922" s="12"/>
      <c r="DS922" s="12"/>
      <c r="DT922" s="12"/>
      <c r="DU922" s="12"/>
      <c r="DV922" s="12"/>
      <c r="DW922" s="12"/>
      <c r="DX922" s="12"/>
      <c r="DY922" s="12"/>
      <c r="DZ922" s="12"/>
      <c r="EA922" s="12"/>
      <c r="EB922" s="12"/>
      <c r="EC922" s="12"/>
      <c r="ED922" s="12"/>
      <c r="EE922" s="12"/>
      <c r="EF922" s="12"/>
      <c r="EG922" s="12"/>
      <c r="EH922" s="12"/>
      <c r="EI922" s="12"/>
      <c r="EJ922" s="574"/>
      <c r="EK922" s="574"/>
      <c r="EL922" s="574"/>
      <c r="EM922" s="574"/>
      <c r="EN922" s="574"/>
      <c r="EO922" s="574"/>
      <c r="EP922" s="574"/>
      <c r="EQ922" s="574"/>
      <c r="ER922" s="574"/>
      <c r="ES922" s="574"/>
      <c r="ET922" s="574"/>
      <c r="EU922" s="574"/>
    </row>
    <row r="923">
      <c r="A923" s="12"/>
      <c r="B923" s="55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  <c r="AX923" s="12"/>
      <c r="AY923" s="12"/>
      <c r="AZ923" s="12"/>
      <c r="BA923" s="12"/>
      <c r="BB923" s="12"/>
      <c r="BC923" s="12"/>
      <c r="BD923" s="12"/>
      <c r="BE923" s="12"/>
      <c r="BF923" s="12"/>
      <c r="BG923" s="12"/>
      <c r="BH923" s="12"/>
      <c r="BI923" s="12"/>
      <c r="BJ923" s="12"/>
      <c r="BK923" s="12"/>
      <c r="BL923" s="12"/>
      <c r="BM923" s="12"/>
      <c r="BN923" s="12"/>
      <c r="BO923" s="12"/>
      <c r="BP923" s="12"/>
      <c r="BQ923" s="12"/>
      <c r="BR923" s="12"/>
      <c r="BS923" s="12"/>
      <c r="BT923" s="12"/>
      <c r="BU923" s="12"/>
      <c r="BV923" s="12"/>
      <c r="BW923" s="12"/>
      <c r="BX923" s="12"/>
      <c r="BY923" s="12"/>
      <c r="BZ923" s="12"/>
      <c r="CA923" s="12"/>
      <c r="CB923" s="12"/>
      <c r="CC923" s="12"/>
      <c r="CD923" s="12"/>
      <c r="CE923" s="12"/>
      <c r="CF923" s="12"/>
      <c r="CG923" s="12"/>
      <c r="CH923" s="12"/>
      <c r="CI923" s="12"/>
      <c r="CJ923" s="12"/>
      <c r="CK923" s="12"/>
      <c r="CL923" s="12"/>
      <c r="CM923" s="12"/>
      <c r="CN923" s="12"/>
      <c r="CO923" s="12"/>
      <c r="CP923" s="12"/>
      <c r="CQ923" s="12"/>
      <c r="CR923" s="12"/>
      <c r="CS923" s="12"/>
      <c r="CT923" s="12"/>
      <c r="CU923" s="12"/>
      <c r="CV923" s="12"/>
      <c r="CW923" s="12"/>
      <c r="CX923" s="12"/>
      <c r="CY923" s="12"/>
      <c r="CZ923" s="12"/>
      <c r="DA923" s="12"/>
      <c r="DB923" s="12"/>
      <c r="DC923" s="12"/>
      <c r="DD923" s="12"/>
      <c r="DE923" s="12"/>
      <c r="DF923" s="12"/>
      <c r="DG923" s="12"/>
      <c r="DH923" s="12"/>
      <c r="DI923" s="12"/>
      <c r="DJ923" s="12"/>
      <c r="DK923" s="12"/>
      <c r="DL923" s="12"/>
      <c r="DM923" s="12"/>
      <c r="DN923" s="12"/>
      <c r="DO923" s="12"/>
      <c r="DP923" s="12"/>
      <c r="DQ923" s="12"/>
      <c r="DR923" s="12"/>
      <c r="DS923" s="12"/>
      <c r="DT923" s="12"/>
      <c r="DU923" s="12"/>
      <c r="DV923" s="12"/>
      <c r="DW923" s="12"/>
      <c r="DX923" s="12"/>
      <c r="DY923" s="12"/>
      <c r="DZ923" s="12"/>
      <c r="EA923" s="12"/>
      <c r="EB923" s="12"/>
      <c r="EC923" s="12"/>
      <c r="ED923" s="12"/>
      <c r="EE923" s="12"/>
      <c r="EF923" s="12"/>
      <c r="EG923" s="12"/>
      <c r="EH923" s="12"/>
      <c r="EI923" s="12"/>
      <c r="EJ923" s="574"/>
      <c r="EK923" s="574"/>
      <c r="EL923" s="574"/>
      <c r="EM923" s="574"/>
      <c r="EN923" s="574"/>
      <c r="EO923" s="574"/>
      <c r="EP923" s="574"/>
      <c r="EQ923" s="574"/>
      <c r="ER923" s="574"/>
      <c r="ES923" s="574"/>
      <c r="ET923" s="574"/>
      <c r="EU923" s="574"/>
    </row>
    <row r="924">
      <c r="A924" s="12"/>
      <c r="B924" s="55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  <c r="AX924" s="12"/>
      <c r="AY924" s="12"/>
      <c r="AZ924" s="12"/>
      <c r="BA924" s="12"/>
      <c r="BB924" s="12"/>
      <c r="BC924" s="12"/>
      <c r="BD924" s="12"/>
      <c r="BE924" s="12"/>
      <c r="BF924" s="12"/>
      <c r="BG924" s="12"/>
      <c r="BH924" s="12"/>
      <c r="BI924" s="12"/>
      <c r="BJ924" s="12"/>
      <c r="BK924" s="12"/>
      <c r="BL924" s="12"/>
      <c r="BM924" s="12"/>
      <c r="BN924" s="12"/>
      <c r="BO924" s="12"/>
      <c r="BP924" s="12"/>
      <c r="BQ924" s="12"/>
      <c r="BR924" s="12"/>
      <c r="BS924" s="12"/>
      <c r="BT924" s="12"/>
      <c r="BU924" s="12"/>
      <c r="BV924" s="12"/>
      <c r="BW924" s="12"/>
      <c r="BX924" s="12"/>
      <c r="BY924" s="12"/>
      <c r="BZ924" s="12"/>
      <c r="CA924" s="12"/>
      <c r="CB924" s="12"/>
      <c r="CC924" s="12"/>
      <c r="CD924" s="12"/>
      <c r="CE924" s="12"/>
      <c r="CF924" s="12"/>
      <c r="CG924" s="12"/>
      <c r="CH924" s="12"/>
      <c r="CI924" s="12"/>
      <c r="CJ924" s="12"/>
      <c r="CK924" s="12"/>
      <c r="CL924" s="12"/>
      <c r="CM924" s="12"/>
      <c r="CN924" s="12"/>
      <c r="CO924" s="12"/>
      <c r="CP924" s="12"/>
      <c r="CQ924" s="12"/>
      <c r="CR924" s="12"/>
      <c r="CS924" s="12"/>
      <c r="CT924" s="12"/>
      <c r="CU924" s="12"/>
      <c r="CV924" s="12"/>
      <c r="CW924" s="12"/>
      <c r="CX924" s="12"/>
      <c r="CY924" s="12"/>
      <c r="CZ924" s="12"/>
      <c r="DA924" s="12"/>
      <c r="DB924" s="12"/>
      <c r="DC924" s="12"/>
      <c r="DD924" s="12"/>
      <c r="DE924" s="12"/>
      <c r="DF924" s="12"/>
      <c r="DG924" s="12"/>
      <c r="DH924" s="12"/>
      <c r="DI924" s="12"/>
      <c r="DJ924" s="12"/>
      <c r="DK924" s="12"/>
      <c r="DL924" s="12"/>
      <c r="DM924" s="12"/>
      <c r="DN924" s="12"/>
      <c r="DO924" s="12"/>
      <c r="DP924" s="12"/>
      <c r="DQ924" s="12"/>
      <c r="DR924" s="12"/>
      <c r="DS924" s="12"/>
      <c r="DT924" s="12"/>
      <c r="DU924" s="12"/>
      <c r="DV924" s="12"/>
      <c r="DW924" s="12"/>
      <c r="DX924" s="12"/>
      <c r="DY924" s="12"/>
      <c r="DZ924" s="12"/>
      <c r="EA924" s="12"/>
      <c r="EB924" s="12"/>
      <c r="EC924" s="12"/>
      <c r="ED924" s="12"/>
      <c r="EE924" s="12"/>
      <c r="EF924" s="12"/>
      <c r="EG924" s="12"/>
      <c r="EH924" s="12"/>
      <c r="EI924" s="12"/>
      <c r="EJ924" s="574"/>
      <c r="EK924" s="574"/>
      <c r="EL924" s="574"/>
      <c r="EM924" s="574"/>
      <c r="EN924" s="574"/>
      <c r="EO924" s="574"/>
      <c r="EP924" s="574"/>
      <c r="EQ924" s="574"/>
      <c r="ER924" s="574"/>
      <c r="ES924" s="574"/>
      <c r="ET924" s="574"/>
      <c r="EU924" s="574"/>
    </row>
    <row r="925">
      <c r="A925" s="12"/>
      <c r="B925" s="55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  <c r="AX925" s="12"/>
      <c r="AY925" s="12"/>
      <c r="AZ925" s="12"/>
      <c r="BA925" s="12"/>
      <c r="BB925" s="12"/>
      <c r="BC925" s="12"/>
      <c r="BD925" s="12"/>
      <c r="BE925" s="12"/>
      <c r="BF925" s="12"/>
      <c r="BG925" s="12"/>
      <c r="BH925" s="12"/>
      <c r="BI925" s="12"/>
      <c r="BJ925" s="12"/>
      <c r="BK925" s="12"/>
      <c r="BL925" s="12"/>
      <c r="BM925" s="12"/>
      <c r="BN925" s="12"/>
      <c r="BO925" s="12"/>
      <c r="BP925" s="12"/>
      <c r="BQ925" s="12"/>
      <c r="BR925" s="12"/>
      <c r="BS925" s="12"/>
      <c r="BT925" s="12"/>
      <c r="BU925" s="12"/>
      <c r="BV925" s="12"/>
      <c r="BW925" s="12"/>
      <c r="BX925" s="12"/>
      <c r="BY925" s="12"/>
      <c r="BZ925" s="12"/>
      <c r="CA925" s="12"/>
      <c r="CB925" s="12"/>
      <c r="CC925" s="12"/>
      <c r="CD925" s="12"/>
      <c r="CE925" s="12"/>
      <c r="CF925" s="12"/>
      <c r="CG925" s="12"/>
      <c r="CH925" s="12"/>
      <c r="CI925" s="12"/>
      <c r="CJ925" s="12"/>
      <c r="CK925" s="12"/>
      <c r="CL925" s="12"/>
      <c r="CM925" s="12"/>
      <c r="CN925" s="12"/>
      <c r="CO925" s="12"/>
      <c r="CP925" s="12"/>
      <c r="CQ925" s="12"/>
      <c r="CR925" s="12"/>
      <c r="CS925" s="12"/>
      <c r="CT925" s="12"/>
      <c r="CU925" s="12"/>
      <c r="CV925" s="12"/>
      <c r="CW925" s="12"/>
      <c r="CX925" s="12"/>
      <c r="CY925" s="12"/>
      <c r="CZ925" s="12"/>
      <c r="DA925" s="12"/>
      <c r="DB925" s="12"/>
      <c r="DC925" s="12"/>
      <c r="DD925" s="12"/>
      <c r="DE925" s="12"/>
      <c r="DF925" s="12"/>
      <c r="DG925" s="12"/>
      <c r="DH925" s="12"/>
      <c r="DI925" s="12"/>
      <c r="DJ925" s="12"/>
      <c r="DK925" s="12"/>
      <c r="DL925" s="12"/>
      <c r="DM925" s="12"/>
      <c r="DN925" s="12"/>
      <c r="DO925" s="12"/>
      <c r="DP925" s="12"/>
      <c r="DQ925" s="12"/>
      <c r="DR925" s="12"/>
      <c r="DS925" s="12"/>
      <c r="DT925" s="12"/>
      <c r="DU925" s="12"/>
      <c r="DV925" s="12"/>
      <c r="DW925" s="12"/>
      <c r="DX925" s="12"/>
      <c r="DY925" s="12"/>
      <c r="DZ925" s="12"/>
      <c r="EA925" s="12"/>
      <c r="EB925" s="12"/>
      <c r="EC925" s="12"/>
      <c r="ED925" s="12"/>
      <c r="EE925" s="12"/>
      <c r="EF925" s="12"/>
      <c r="EG925" s="12"/>
      <c r="EH925" s="12"/>
      <c r="EI925" s="12"/>
      <c r="EJ925" s="574"/>
      <c r="EK925" s="574"/>
      <c r="EL925" s="574"/>
      <c r="EM925" s="574"/>
      <c r="EN925" s="574"/>
      <c r="EO925" s="574"/>
      <c r="EP925" s="574"/>
      <c r="EQ925" s="574"/>
      <c r="ER925" s="574"/>
      <c r="ES925" s="574"/>
      <c r="ET925" s="574"/>
      <c r="EU925" s="574"/>
    </row>
    <row r="926">
      <c r="A926" s="12"/>
      <c r="B926" s="55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  <c r="AX926" s="12"/>
      <c r="AY926" s="12"/>
      <c r="AZ926" s="12"/>
      <c r="BA926" s="12"/>
      <c r="BB926" s="12"/>
      <c r="BC926" s="12"/>
      <c r="BD926" s="12"/>
      <c r="BE926" s="12"/>
      <c r="BF926" s="12"/>
      <c r="BG926" s="12"/>
      <c r="BH926" s="12"/>
      <c r="BI926" s="12"/>
      <c r="BJ926" s="12"/>
      <c r="BK926" s="12"/>
      <c r="BL926" s="12"/>
      <c r="BM926" s="12"/>
      <c r="BN926" s="12"/>
      <c r="BO926" s="12"/>
      <c r="BP926" s="12"/>
      <c r="BQ926" s="12"/>
      <c r="BR926" s="12"/>
      <c r="BS926" s="12"/>
      <c r="BT926" s="12"/>
      <c r="BU926" s="12"/>
      <c r="BV926" s="12"/>
      <c r="BW926" s="12"/>
      <c r="BX926" s="12"/>
      <c r="BY926" s="12"/>
      <c r="BZ926" s="12"/>
      <c r="CA926" s="12"/>
      <c r="CB926" s="12"/>
      <c r="CC926" s="12"/>
      <c r="CD926" s="12"/>
      <c r="CE926" s="12"/>
      <c r="CF926" s="12"/>
      <c r="CG926" s="12"/>
      <c r="CH926" s="12"/>
      <c r="CI926" s="12"/>
      <c r="CJ926" s="12"/>
      <c r="CK926" s="12"/>
      <c r="CL926" s="12"/>
      <c r="CM926" s="12"/>
      <c r="CN926" s="12"/>
      <c r="CO926" s="12"/>
      <c r="CP926" s="12"/>
      <c r="CQ926" s="12"/>
      <c r="CR926" s="12"/>
      <c r="CS926" s="12"/>
      <c r="CT926" s="12"/>
      <c r="CU926" s="12"/>
      <c r="CV926" s="12"/>
      <c r="CW926" s="12"/>
      <c r="CX926" s="12"/>
      <c r="CY926" s="12"/>
      <c r="CZ926" s="12"/>
      <c r="DA926" s="12"/>
      <c r="DB926" s="12"/>
      <c r="DC926" s="12"/>
      <c r="DD926" s="12"/>
      <c r="DE926" s="12"/>
      <c r="DF926" s="12"/>
      <c r="DG926" s="12"/>
      <c r="DH926" s="12"/>
      <c r="DI926" s="12"/>
      <c r="DJ926" s="12"/>
      <c r="DK926" s="12"/>
      <c r="DL926" s="12"/>
      <c r="DM926" s="12"/>
      <c r="DN926" s="12"/>
      <c r="DO926" s="12"/>
      <c r="DP926" s="12"/>
      <c r="DQ926" s="12"/>
      <c r="DR926" s="12"/>
      <c r="DS926" s="12"/>
      <c r="DT926" s="12"/>
      <c r="DU926" s="12"/>
      <c r="DV926" s="12"/>
      <c r="DW926" s="12"/>
      <c r="DX926" s="12"/>
      <c r="DY926" s="12"/>
      <c r="DZ926" s="12"/>
      <c r="EA926" s="12"/>
      <c r="EB926" s="12"/>
      <c r="EC926" s="12"/>
      <c r="ED926" s="12"/>
      <c r="EE926" s="12"/>
      <c r="EF926" s="12"/>
      <c r="EG926" s="12"/>
      <c r="EH926" s="12"/>
      <c r="EI926" s="12"/>
      <c r="EJ926" s="574"/>
      <c r="EK926" s="574"/>
      <c r="EL926" s="574"/>
      <c r="EM926" s="574"/>
      <c r="EN926" s="574"/>
      <c r="EO926" s="574"/>
      <c r="EP926" s="574"/>
      <c r="EQ926" s="574"/>
      <c r="ER926" s="574"/>
      <c r="ES926" s="574"/>
      <c r="ET926" s="574"/>
      <c r="EU926" s="574"/>
    </row>
    <row r="927">
      <c r="A927" s="12"/>
      <c r="B927" s="55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  <c r="AX927" s="12"/>
      <c r="AY927" s="12"/>
      <c r="AZ927" s="12"/>
      <c r="BA927" s="12"/>
      <c r="BB927" s="12"/>
      <c r="BC927" s="12"/>
      <c r="BD927" s="12"/>
      <c r="BE927" s="12"/>
      <c r="BF927" s="12"/>
      <c r="BG927" s="12"/>
      <c r="BH927" s="12"/>
      <c r="BI927" s="12"/>
      <c r="BJ927" s="12"/>
      <c r="BK927" s="12"/>
      <c r="BL927" s="12"/>
      <c r="BM927" s="12"/>
      <c r="BN927" s="12"/>
      <c r="BO927" s="12"/>
      <c r="BP927" s="12"/>
      <c r="BQ927" s="12"/>
      <c r="BR927" s="12"/>
      <c r="BS927" s="12"/>
      <c r="BT927" s="12"/>
      <c r="BU927" s="12"/>
      <c r="BV927" s="12"/>
      <c r="BW927" s="12"/>
      <c r="BX927" s="12"/>
      <c r="BY927" s="12"/>
      <c r="BZ927" s="12"/>
      <c r="CA927" s="12"/>
      <c r="CB927" s="12"/>
      <c r="CC927" s="12"/>
      <c r="CD927" s="12"/>
      <c r="CE927" s="12"/>
      <c r="CF927" s="12"/>
      <c r="CG927" s="12"/>
      <c r="CH927" s="12"/>
      <c r="CI927" s="12"/>
      <c r="CJ927" s="12"/>
      <c r="CK927" s="12"/>
      <c r="CL927" s="12"/>
      <c r="CM927" s="12"/>
      <c r="CN927" s="12"/>
      <c r="CO927" s="12"/>
      <c r="CP927" s="12"/>
      <c r="CQ927" s="12"/>
      <c r="CR927" s="12"/>
      <c r="CS927" s="12"/>
      <c r="CT927" s="12"/>
      <c r="CU927" s="12"/>
      <c r="CV927" s="12"/>
      <c r="CW927" s="12"/>
      <c r="CX927" s="12"/>
      <c r="CY927" s="12"/>
      <c r="CZ927" s="12"/>
      <c r="DA927" s="12"/>
      <c r="DB927" s="12"/>
      <c r="DC927" s="12"/>
      <c r="DD927" s="12"/>
      <c r="DE927" s="12"/>
      <c r="DF927" s="12"/>
      <c r="DG927" s="12"/>
      <c r="DH927" s="12"/>
      <c r="DI927" s="12"/>
      <c r="DJ927" s="12"/>
      <c r="DK927" s="12"/>
      <c r="DL927" s="12"/>
      <c r="DM927" s="12"/>
      <c r="DN927" s="12"/>
      <c r="DO927" s="12"/>
      <c r="DP927" s="12"/>
      <c r="DQ927" s="12"/>
      <c r="DR927" s="12"/>
      <c r="DS927" s="12"/>
      <c r="DT927" s="12"/>
      <c r="DU927" s="12"/>
      <c r="DV927" s="12"/>
      <c r="DW927" s="12"/>
      <c r="DX927" s="12"/>
      <c r="DY927" s="12"/>
      <c r="DZ927" s="12"/>
      <c r="EA927" s="12"/>
      <c r="EB927" s="12"/>
      <c r="EC927" s="12"/>
      <c r="ED927" s="12"/>
      <c r="EE927" s="12"/>
      <c r="EF927" s="12"/>
      <c r="EG927" s="12"/>
      <c r="EH927" s="12"/>
      <c r="EI927" s="12"/>
      <c r="EJ927" s="574"/>
      <c r="EK927" s="574"/>
      <c r="EL927" s="574"/>
      <c r="EM927" s="574"/>
      <c r="EN927" s="574"/>
      <c r="EO927" s="574"/>
      <c r="EP927" s="574"/>
      <c r="EQ927" s="574"/>
      <c r="ER927" s="574"/>
      <c r="ES927" s="574"/>
      <c r="ET927" s="574"/>
      <c r="EU927" s="574"/>
    </row>
    <row r="928">
      <c r="A928" s="12"/>
      <c r="B928" s="55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  <c r="AX928" s="12"/>
      <c r="AY928" s="12"/>
      <c r="AZ928" s="12"/>
      <c r="BA928" s="12"/>
      <c r="BB928" s="12"/>
      <c r="BC928" s="12"/>
      <c r="BD928" s="12"/>
      <c r="BE928" s="12"/>
      <c r="BF928" s="12"/>
      <c r="BG928" s="12"/>
      <c r="BH928" s="12"/>
      <c r="BI928" s="12"/>
      <c r="BJ928" s="12"/>
      <c r="BK928" s="12"/>
      <c r="BL928" s="12"/>
      <c r="BM928" s="12"/>
      <c r="BN928" s="12"/>
      <c r="BO928" s="12"/>
      <c r="BP928" s="12"/>
      <c r="BQ928" s="12"/>
      <c r="BR928" s="12"/>
      <c r="BS928" s="12"/>
      <c r="BT928" s="12"/>
      <c r="BU928" s="12"/>
      <c r="BV928" s="12"/>
      <c r="BW928" s="12"/>
      <c r="BX928" s="12"/>
      <c r="BY928" s="12"/>
      <c r="BZ928" s="12"/>
      <c r="CA928" s="12"/>
      <c r="CB928" s="12"/>
      <c r="CC928" s="12"/>
      <c r="CD928" s="12"/>
      <c r="CE928" s="12"/>
      <c r="CF928" s="12"/>
      <c r="CG928" s="12"/>
      <c r="CH928" s="12"/>
      <c r="CI928" s="12"/>
      <c r="CJ928" s="12"/>
      <c r="CK928" s="12"/>
      <c r="CL928" s="12"/>
      <c r="CM928" s="12"/>
      <c r="CN928" s="12"/>
      <c r="CO928" s="12"/>
      <c r="CP928" s="12"/>
      <c r="CQ928" s="12"/>
      <c r="CR928" s="12"/>
      <c r="CS928" s="12"/>
      <c r="CT928" s="12"/>
      <c r="CU928" s="12"/>
      <c r="CV928" s="12"/>
      <c r="CW928" s="12"/>
      <c r="CX928" s="12"/>
      <c r="CY928" s="12"/>
      <c r="CZ928" s="12"/>
      <c r="DA928" s="12"/>
      <c r="DB928" s="12"/>
      <c r="DC928" s="12"/>
      <c r="DD928" s="12"/>
      <c r="DE928" s="12"/>
      <c r="DF928" s="12"/>
      <c r="DG928" s="12"/>
      <c r="DH928" s="12"/>
      <c r="DI928" s="12"/>
      <c r="DJ928" s="12"/>
      <c r="DK928" s="12"/>
      <c r="DL928" s="12"/>
      <c r="DM928" s="12"/>
      <c r="DN928" s="12"/>
      <c r="DO928" s="12"/>
      <c r="DP928" s="12"/>
      <c r="DQ928" s="12"/>
      <c r="DR928" s="12"/>
      <c r="DS928" s="12"/>
      <c r="DT928" s="12"/>
      <c r="DU928" s="12"/>
      <c r="DV928" s="12"/>
      <c r="DW928" s="12"/>
      <c r="DX928" s="12"/>
      <c r="DY928" s="12"/>
      <c r="DZ928" s="12"/>
      <c r="EA928" s="12"/>
      <c r="EB928" s="12"/>
      <c r="EC928" s="12"/>
      <c r="ED928" s="12"/>
      <c r="EE928" s="12"/>
      <c r="EF928" s="12"/>
      <c r="EG928" s="12"/>
      <c r="EH928" s="12"/>
      <c r="EI928" s="12"/>
      <c r="EJ928" s="574"/>
      <c r="EK928" s="574"/>
      <c r="EL928" s="574"/>
      <c r="EM928" s="574"/>
      <c r="EN928" s="574"/>
      <c r="EO928" s="574"/>
      <c r="EP928" s="574"/>
      <c r="EQ928" s="574"/>
      <c r="ER928" s="574"/>
      <c r="ES928" s="574"/>
      <c r="ET928" s="574"/>
      <c r="EU928" s="574"/>
    </row>
    <row r="929">
      <c r="A929" s="12"/>
      <c r="B929" s="55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  <c r="AX929" s="12"/>
      <c r="AY929" s="12"/>
      <c r="AZ929" s="12"/>
      <c r="BA929" s="12"/>
      <c r="BB929" s="12"/>
      <c r="BC929" s="12"/>
      <c r="BD929" s="12"/>
      <c r="BE929" s="12"/>
      <c r="BF929" s="12"/>
      <c r="BG929" s="12"/>
      <c r="BH929" s="12"/>
      <c r="BI929" s="12"/>
      <c r="BJ929" s="12"/>
      <c r="BK929" s="12"/>
      <c r="BL929" s="12"/>
      <c r="BM929" s="12"/>
      <c r="BN929" s="12"/>
      <c r="BO929" s="12"/>
      <c r="BP929" s="12"/>
      <c r="BQ929" s="12"/>
      <c r="BR929" s="12"/>
      <c r="BS929" s="12"/>
      <c r="BT929" s="12"/>
      <c r="BU929" s="12"/>
      <c r="BV929" s="12"/>
      <c r="BW929" s="12"/>
      <c r="BX929" s="12"/>
      <c r="BY929" s="12"/>
      <c r="BZ929" s="12"/>
      <c r="CA929" s="12"/>
      <c r="CB929" s="12"/>
      <c r="CC929" s="12"/>
      <c r="CD929" s="12"/>
      <c r="CE929" s="12"/>
      <c r="CF929" s="12"/>
      <c r="CG929" s="12"/>
      <c r="CH929" s="12"/>
      <c r="CI929" s="12"/>
      <c r="CJ929" s="12"/>
      <c r="CK929" s="12"/>
      <c r="CL929" s="12"/>
      <c r="CM929" s="12"/>
      <c r="CN929" s="12"/>
      <c r="CO929" s="12"/>
      <c r="CP929" s="12"/>
      <c r="CQ929" s="12"/>
      <c r="CR929" s="12"/>
      <c r="CS929" s="12"/>
      <c r="CT929" s="12"/>
      <c r="CU929" s="12"/>
      <c r="CV929" s="12"/>
      <c r="CW929" s="12"/>
      <c r="CX929" s="12"/>
      <c r="CY929" s="12"/>
      <c r="CZ929" s="12"/>
      <c r="DA929" s="12"/>
      <c r="DB929" s="12"/>
      <c r="DC929" s="12"/>
      <c r="DD929" s="12"/>
      <c r="DE929" s="12"/>
      <c r="DF929" s="12"/>
      <c r="DG929" s="12"/>
      <c r="DH929" s="12"/>
      <c r="DI929" s="12"/>
      <c r="DJ929" s="12"/>
      <c r="DK929" s="12"/>
      <c r="DL929" s="12"/>
      <c r="DM929" s="12"/>
      <c r="DN929" s="12"/>
      <c r="DO929" s="12"/>
      <c r="DP929" s="12"/>
      <c r="DQ929" s="12"/>
      <c r="DR929" s="12"/>
      <c r="DS929" s="12"/>
      <c r="DT929" s="12"/>
      <c r="DU929" s="12"/>
      <c r="DV929" s="12"/>
      <c r="DW929" s="12"/>
      <c r="DX929" s="12"/>
      <c r="DY929" s="12"/>
      <c r="DZ929" s="12"/>
      <c r="EA929" s="12"/>
      <c r="EB929" s="12"/>
      <c r="EC929" s="12"/>
      <c r="ED929" s="12"/>
      <c r="EE929" s="12"/>
      <c r="EF929" s="12"/>
      <c r="EG929" s="12"/>
      <c r="EH929" s="12"/>
      <c r="EI929" s="12"/>
      <c r="EJ929" s="574"/>
      <c r="EK929" s="574"/>
      <c r="EL929" s="574"/>
      <c r="EM929" s="574"/>
      <c r="EN929" s="574"/>
      <c r="EO929" s="574"/>
      <c r="EP929" s="574"/>
      <c r="EQ929" s="574"/>
      <c r="ER929" s="574"/>
      <c r="ES929" s="574"/>
      <c r="ET929" s="574"/>
      <c r="EU929" s="574"/>
    </row>
    <row r="930">
      <c r="A930" s="12"/>
      <c r="B930" s="55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  <c r="AX930" s="12"/>
      <c r="AY930" s="12"/>
      <c r="AZ930" s="12"/>
      <c r="BA930" s="12"/>
      <c r="BB930" s="12"/>
      <c r="BC930" s="12"/>
      <c r="BD930" s="12"/>
      <c r="BE930" s="12"/>
      <c r="BF930" s="12"/>
      <c r="BG930" s="12"/>
      <c r="BH930" s="12"/>
      <c r="BI930" s="12"/>
      <c r="BJ930" s="12"/>
      <c r="BK930" s="12"/>
      <c r="BL930" s="12"/>
      <c r="BM930" s="12"/>
      <c r="BN930" s="12"/>
      <c r="BO930" s="12"/>
      <c r="BP930" s="12"/>
      <c r="BQ930" s="12"/>
      <c r="BR930" s="12"/>
      <c r="BS930" s="12"/>
      <c r="BT930" s="12"/>
      <c r="BU930" s="12"/>
      <c r="BV930" s="12"/>
      <c r="BW930" s="12"/>
      <c r="BX930" s="12"/>
      <c r="BY930" s="12"/>
      <c r="BZ930" s="12"/>
      <c r="CA930" s="12"/>
      <c r="CB930" s="12"/>
      <c r="CC930" s="12"/>
      <c r="CD930" s="12"/>
      <c r="CE930" s="12"/>
      <c r="CF930" s="12"/>
      <c r="CG930" s="12"/>
      <c r="CH930" s="12"/>
      <c r="CI930" s="12"/>
      <c r="CJ930" s="12"/>
      <c r="CK930" s="12"/>
      <c r="CL930" s="12"/>
      <c r="CM930" s="12"/>
      <c r="CN930" s="12"/>
      <c r="CO930" s="12"/>
      <c r="CP930" s="12"/>
      <c r="CQ930" s="12"/>
      <c r="CR930" s="12"/>
      <c r="CS930" s="12"/>
      <c r="CT930" s="12"/>
      <c r="CU930" s="12"/>
      <c r="CV930" s="12"/>
      <c r="CW930" s="12"/>
      <c r="CX930" s="12"/>
      <c r="CY930" s="12"/>
      <c r="CZ930" s="12"/>
      <c r="DA930" s="12"/>
      <c r="DB930" s="12"/>
      <c r="DC930" s="12"/>
      <c r="DD930" s="12"/>
      <c r="DE930" s="12"/>
      <c r="DF930" s="12"/>
      <c r="DG930" s="12"/>
      <c r="DH930" s="12"/>
      <c r="DI930" s="12"/>
      <c r="DJ930" s="12"/>
      <c r="DK930" s="12"/>
      <c r="DL930" s="12"/>
      <c r="DM930" s="12"/>
      <c r="DN930" s="12"/>
      <c r="DO930" s="12"/>
      <c r="DP930" s="12"/>
      <c r="DQ930" s="12"/>
      <c r="DR930" s="12"/>
      <c r="DS930" s="12"/>
      <c r="DT930" s="12"/>
      <c r="DU930" s="12"/>
      <c r="DV930" s="12"/>
      <c r="DW930" s="12"/>
      <c r="DX930" s="12"/>
      <c r="DY930" s="12"/>
      <c r="DZ930" s="12"/>
      <c r="EA930" s="12"/>
      <c r="EB930" s="12"/>
      <c r="EC930" s="12"/>
      <c r="ED930" s="12"/>
      <c r="EE930" s="12"/>
      <c r="EF930" s="12"/>
      <c r="EG930" s="12"/>
      <c r="EH930" s="12"/>
      <c r="EI930" s="12"/>
      <c r="EJ930" s="574"/>
      <c r="EK930" s="574"/>
      <c r="EL930" s="574"/>
      <c r="EM930" s="574"/>
      <c r="EN930" s="574"/>
      <c r="EO930" s="574"/>
      <c r="EP930" s="574"/>
      <c r="EQ930" s="574"/>
      <c r="ER930" s="574"/>
      <c r="ES930" s="574"/>
      <c r="ET930" s="574"/>
      <c r="EU930" s="574"/>
    </row>
    <row r="931">
      <c r="A931" s="12"/>
      <c r="B931" s="55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  <c r="AX931" s="12"/>
      <c r="AY931" s="12"/>
      <c r="AZ931" s="12"/>
      <c r="BA931" s="12"/>
      <c r="BB931" s="12"/>
      <c r="BC931" s="12"/>
      <c r="BD931" s="12"/>
      <c r="BE931" s="12"/>
      <c r="BF931" s="12"/>
      <c r="BG931" s="12"/>
      <c r="BH931" s="12"/>
      <c r="BI931" s="12"/>
      <c r="BJ931" s="12"/>
      <c r="BK931" s="12"/>
      <c r="BL931" s="12"/>
      <c r="BM931" s="12"/>
      <c r="BN931" s="12"/>
      <c r="BO931" s="12"/>
      <c r="BP931" s="12"/>
      <c r="BQ931" s="12"/>
      <c r="BR931" s="12"/>
      <c r="BS931" s="12"/>
      <c r="BT931" s="12"/>
      <c r="BU931" s="12"/>
      <c r="BV931" s="12"/>
      <c r="BW931" s="12"/>
      <c r="BX931" s="12"/>
      <c r="BY931" s="12"/>
      <c r="BZ931" s="12"/>
      <c r="CA931" s="12"/>
      <c r="CB931" s="12"/>
      <c r="CC931" s="12"/>
      <c r="CD931" s="12"/>
      <c r="CE931" s="12"/>
      <c r="CF931" s="12"/>
      <c r="CG931" s="12"/>
      <c r="CH931" s="12"/>
      <c r="CI931" s="12"/>
      <c r="CJ931" s="12"/>
      <c r="CK931" s="12"/>
      <c r="CL931" s="12"/>
      <c r="CM931" s="12"/>
      <c r="CN931" s="12"/>
      <c r="CO931" s="12"/>
      <c r="CP931" s="12"/>
      <c r="CQ931" s="12"/>
      <c r="CR931" s="12"/>
      <c r="CS931" s="12"/>
      <c r="CT931" s="12"/>
      <c r="CU931" s="12"/>
      <c r="CV931" s="12"/>
      <c r="CW931" s="12"/>
      <c r="CX931" s="12"/>
      <c r="CY931" s="12"/>
      <c r="CZ931" s="12"/>
      <c r="DA931" s="12"/>
      <c r="DB931" s="12"/>
      <c r="DC931" s="12"/>
      <c r="DD931" s="12"/>
      <c r="DE931" s="12"/>
      <c r="DF931" s="12"/>
      <c r="DG931" s="12"/>
      <c r="DH931" s="12"/>
      <c r="DI931" s="12"/>
      <c r="DJ931" s="12"/>
      <c r="DK931" s="12"/>
      <c r="DL931" s="12"/>
      <c r="DM931" s="12"/>
      <c r="DN931" s="12"/>
      <c r="DO931" s="12"/>
      <c r="DP931" s="12"/>
      <c r="DQ931" s="12"/>
      <c r="DR931" s="12"/>
      <c r="DS931" s="12"/>
      <c r="DT931" s="12"/>
      <c r="DU931" s="12"/>
      <c r="DV931" s="12"/>
      <c r="DW931" s="12"/>
      <c r="DX931" s="12"/>
      <c r="DY931" s="12"/>
      <c r="DZ931" s="12"/>
      <c r="EA931" s="12"/>
      <c r="EB931" s="12"/>
      <c r="EC931" s="12"/>
      <c r="ED931" s="12"/>
      <c r="EE931" s="12"/>
      <c r="EF931" s="12"/>
      <c r="EG931" s="12"/>
      <c r="EH931" s="12"/>
      <c r="EI931" s="12"/>
      <c r="EJ931" s="574"/>
      <c r="EK931" s="574"/>
      <c r="EL931" s="574"/>
      <c r="EM931" s="574"/>
      <c r="EN931" s="574"/>
      <c r="EO931" s="574"/>
      <c r="EP931" s="574"/>
      <c r="EQ931" s="574"/>
      <c r="ER931" s="574"/>
      <c r="ES931" s="574"/>
      <c r="ET931" s="574"/>
      <c r="EU931" s="574"/>
    </row>
    <row r="932">
      <c r="A932" s="12"/>
      <c r="B932" s="55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  <c r="AX932" s="12"/>
      <c r="AY932" s="12"/>
      <c r="AZ932" s="12"/>
      <c r="BA932" s="12"/>
      <c r="BB932" s="12"/>
      <c r="BC932" s="12"/>
      <c r="BD932" s="12"/>
      <c r="BE932" s="12"/>
      <c r="BF932" s="12"/>
      <c r="BG932" s="12"/>
      <c r="BH932" s="12"/>
      <c r="BI932" s="12"/>
      <c r="BJ932" s="12"/>
      <c r="BK932" s="12"/>
      <c r="BL932" s="12"/>
      <c r="BM932" s="12"/>
      <c r="BN932" s="12"/>
      <c r="BO932" s="12"/>
      <c r="BP932" s="12"/>
      <c r="BQ932" s="12"/>
      <c r="BR932" s="12"/>
      <c r="BS932" s="12"/>
      <c r="BT932" s="12"/>
      <c r="BU932" s="12"/>
      <c r="BV932" s="12"/>
      <c r="BW932" s="12"/>
      <c r="BX932" s="12"/>
      <c r="BY932" s="12"/>
      <c r="BZ932" s="12"/>
      <c r="CA932" s="12"/>
      <c r="CB932" s="12"/>
      <c r="CC932" s="12"/>
      <c r="CD932" s="12"/>
      <c r="CE932" s="12"/>
      <c r="CF932" s="12"/>
      <c r="CG932" s="12"/>
      <c r="CH932" s="12"/>
      <c r="CI932" s="12"/>
      <c r="CJ932" s="12"/>
      <c r="CK932" s="12"/>
      <c r="CL932" s="12"/>
      <c r="CM932" s="12"/>
      <c r="CN932" s="12"/>
      <c r="CO932" s="12"/>
      <c r="CP932" s="12"/>
      <c r="CQ932" s="12"/>
      <c r="CR932" s="12"/>
      <c r="CS932" s="12"/>
      <c r="CT932" s="12"/>
      <c r="CU932" s="12"/>
      <c r="CV932" s="12"/>
      <c r="CW932" s="12"/>
      <c r="CX932" s="12"/>
      <c r="CY932" s="12"/>
      <c r="CZ932" s="12"/>
      <c r="DA932" s="12"/>
      <c r="DB932" s="12"/>
      <c r="DC932" s="12"/>
      <c r="DD932" s="12"/>
      <c r="DE932" s="12"/>
      <c r="DF932" s="12"/>
      <c r="DG932" s="12"/>
      <c r="DH932" s="12"/>
      <c r="DI932" s="12"/>
      <c r="DJ932" s="12"/>
      <c r="DK932" s="12"/>
      <c r="DL932" s="12"/>
      <c r="DM932" s="12"/>
      <c r="DN932" s="12"/>
      <c r="DO932" s="12"/>
      <c r="DP932" s="12"/>
      <c r="DQ932" s="12"/>
      <c r="DR932" s="12"/>
      <c r="DS932" s="12"/>
      <c r="DT932" s="12"/>
      <c r="DU932" s="12"/>
      <c r="DV932" s="12"/>
      <c r="DW932" s="12"/>
      <c r="DX932" s="12"/>
      <c r="DY932" s="12"/>
      <c r="DZ932" s="12"/>
      <c r="EA932" s="12"/>
      <c r="EB932" s="12"/>
      <c r="EC932" s="12"/>
      <c r="ED932" s="12"/>
      <c r="EE932" s="12"/>
      <c r="EF932" s="12"/>
      <c r="EG932" s="12"/>
      <c r="EH932" s="12"/>
      <c r="EI932" s="12"/>
      <c r="EJ932" s="574"/>
      <c r="EK932" s="574"/>
      <c r="EL932" s="574"/>
      <c r="EM932" s="574"/>
      <c r="EN932" s="574"/>
      <c r="EO932" s="574"/>
      <c r="EP932" s="574"/>
      <c r="EQ932" s="574"/>
      <c r="ER932" s="574"/>
      <c r="ES932" s="574"/>
      <c r="ET932" s="574"/>
      <c r="EU932" s="574"/>
    </row>
    <row r="933">
      <c r="A933" s="12"/>
      <c r="B933" s="55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  <c r="AX933" s="12"/>
      <c r="AY933" s="12"/>
      <c r="AZ933" s="12"/>
      <c r="BA933" s="12"/>
      <c r="BB933" s="12"/>
      <c r="BC933" s="12"/>
      <c r="BD933" s="12"/>
      <c r="BE933" s="12"/>
      <c r="BF933" s="12"/>
      <c r="BG933" s="12"/>
      <c r="BH933" s="12"/>
      <c r="BI933" s="12"/>
      <c r="BJ933" s="12"/>
      <c r="BK933" s="12"/>
      <c r="BL933" s="12"/>
      <c r="BM933" s="12"/>
      <c r="BN933" s="12"/>
      <c r="BO933" s="12"/>
      <c r="BP933" s="12"/>
      <c r="BQ933" s="12"/>
      <c r="BR933" s="12"/>
      <c r="BS933" s="12"/>
      <c r="BT933" s="12"/>
      <c r="BU933" s="12"/>
      <c r="BV933" s="12"/>
      <c r="BW933" s="12"/>
      <c r="BX933" s="12"/>
      <c r="BY933" s="12"/>
      <c r="BZ933" s="12"/>
      <c r="CA933" s="12"/>
      <c r="CB933" s="12"/>
      <c r="CC933" s="12"/>
      <c r="CD933" s="12"/>
      <c r="CE933" s="12"/>
      <c r="CF933" s="12"/>
      <c r="CG933" s="12"/>
      <c r="CH933" s="12"/>
      <c r="CI933" s="12"/>
      <c r="CJ933" s="12"/>
      <c r="CK933" s="12"/>
      <c r="CL933" s="12"/>
      <c r="CM933" s="12"/>
      <c r="CN933" s="12"/>
      <c r="CO933" s="12"/>
      <c r="CP933" s="12"/>
      <c r="CQ933" s="12"/>
      <c r="CR933" s="12"/>
      <c r="CS933" s="12"/>
      <c r="CT933" s="12"/>
      <c r="CU933" s="12"/>
      <c r="CV933" s="12"/>
      <c r="CW933" s="12"/>
      <c r="CX933" s="12"/>
      <c r="CY933" s="12"/>
      <c r="CZ933" s="12"/>
      <c r="DA933" s="12"/>
      <c r="DB933" s="12"/>
      <c r="DC933" s="12"/>
      <c r="DD933" s="12"/>
      <c r="DE933" s="12"/>
      <c r="DF933" s="12"/>
      <c r="DG933" s="12"/>
      <c r="DH933" s="12"/>
      <c r="DI933" s="12"/>
      <c r="DJ933" s="12"/>
      <c r="DK933" s="12"/>
      <c r="DL933" s="12"/>
      <c r="DM933" s="12"/>
      <c r="DN933" s="12"/>
      <c r="DO933" s="12"/>
      <c r="DP933" s="12"/>
      <c r="DQ933" s="12"/>
      <c r="DR933" s="12"/>
      <c r="DS933" s="12"/>
      <c r="DT933" s="12"/>
      <c r="DU933" s="12"/>
      <c r="DV933" s="12"/>
      <c r="DW933" s="12"/>
      <c r="DX933" s="12"/>
      <c r="DY933" s="12"/>
      <c r="DZ933" s="12"/>
      <c r="EA933" s="12"/>
      <c r="EB933" s="12"/>
      <c r="EC933" s="12"/>
      <c r="ED933" s="12"/>
      <c r="EE933" s="12"/>
      <c r="EF933" s="12"/>
      <c r="EG933" s="12"/>
      <c r="EH933" s="12"/>
      <c r="EI933" s="12"/>
      <c r="EJ933" s="574"/>
      <c r="EK933" s="574"/>
      <c r="EL933" s="574"/>
      <c r="EM933" s="574"/>
      <c r="EN933" s="574"/>
      <c r="EO933" s="574"/>
      <c r="EP933" s="574"/>
      <c r="EQ933" s="574"/>
      <c r="ER933" s="574"/>
      <c r="ES933" s="574"/>
      <c r="ET933" s="574"/>
      <c r="EU933" s="574"/>
    </row>
    <row r="934">
      <c r="A934" s="12"/>
      <c r="B934" s="55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  <c r="AX934" s="12"/>
      <c r="AY934" s="12"/>
      <c r="AZ934" s="12"/>
      <c r="BA934" s="12"/>
      <c r="BB934" s="12"/>
      <c r="BC934" s="12"/>
      <c r="BD934" s="12"/>
      <c r="BE934" s="12"/>
      <c r="BF934" s="12"/>
      <c r="BG934" s="12"/>
      <c r="BH934" s="12"/>
      <c r="BI934" s="12"/>
      <c r="BJ934" s="12"/>
      <c r="BK934" s="12"/>
      <c r="BL934" s="12"/>
      <c r="BM934" s="12"/>
      <c r="BN934" s="12"/>
      <c r="BO934" s="12"/>
      <c r="BP934" s="12"/>
      <c r="BQ934" s="12"/>
      <c r="BR934" s="12"/>
      <c r="BS934" s="12"/>
      <c r="BT934" s="12"/>
      <c r="BU934" s="12"/>
      <c r="BV934" s="12"/>
      <c r="BW934" s="12"/>
      <c r="BX934" s="12"/>
      <c r="BY934" s="12"/>
      <c r="BZ934" s="12"/>
      <c r="CA934" s="12"/>
      <c r="CB934" s="12"/>
      <c r="CC934" s="12"/>
      <c r="CD934" s="12"/>
      <c r="CE934" s="12"/>
      <c r="CF934" s="12"/>
      <c r="CG934" s="12"/>
      <c r="CH934" s="12"/>
      <c r="CI934" s="12"/>
      <c r="CJ934" s="12"/>
      <c r="CK934" s="12"/>
      <c r="CL934" s="12"/>
      <c r="CM934" s="12"/>
      <c r="CN934" s="12"/>
      <c r="CO934" s="12"/>
      <c r="CP934" s="12"/>
      <c r="CQ934" s="12"/>
      <c r="CR934" s="12"/>
      <c r="CS934" s="12"/>
      <c r="CT934" s="12"/>
      <c r="CU934" s="12"/>
      <c r="CV934" s="12"/>
      <c r="CW934" s="12"/>
      <c r="CX934" s="12"/>
      <c r="CY934" s="12"/>
      <c r="CZ934" s="12"/>
      <c r="DA934" s="12"/>
      <c r="DB934" s="12"/>
      <c r="DC934" s="12"/>
      <c r="DD934" s="12"/>
      <c r="DE934" s="12"/>
      <c r="DF934" s="12"/>
      <c r="DG934" s="12"/>
      <c r="DH934" s="12"/>
      <c r="DI934" s="12"/>
      <c r="DJ934" s="12"/>
      <c r="DK934" s="12"/>
      <c r="DL934" s="12"/>
      <c r="DM934" s="12"/>
      <c r="DN934" s="12"/>
      <c r="DO934" s="12"/>
      <c r="DP934" s="12"/>
      <c r="DQ934" s="12"/>
      <c r="DR934" s="12"/>
      <c r="DS934" s="12"/>
      <c r="DT934" s="12"/>
      <c r="DU934" s="12"/>
      <c r="DV934" s="12"/>
      <c r="DW934" s="12"/>
      <c r="DX934" s="12"/>
      <c r="DY934" s="12"/>
      <c r="DZ934" s="12"/>
      <c r="EA934" s="12"/>
      <c r="EB934" s="12"/>
      <c r="EC934" s="12"/>
      <c r="ED934" s="12"/>
      <c r="EE934" s="12"/>
      <c r="EF934" s="12"/>
      <c r="EG934" s="12"/>
      <c r="EH934" s="12"/>
      <c r="EI934" s="12"/>
      <c r="EJ934" s="574"/>
      <c r="EK934" s="574"/>
      <c r="EL934" s="574"/>
      <c r="EM934" s="574"/>
      <c r="EN934" s="574"/>
      <c r="EO934" s="574"/>
      <c r="EP934" s="574"/>
      <c r="EQ934" s="574"/>
      <c r="ER934" s="574"/>
      <c r="ES934" s="574"/>
      <c r="ET934" s="574"/>
      <c r="EU934" s="574"/>
    </row>
    <row r="935">
      <c r="A935" s="12"/>
      <c r="B935" s="55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  <c r="AX935" s="12"/>
      <c r="AY935" s="12"/>
      <c r="AZ935" s="12"/>
      <c r="BA935" s="12"/>
      <c r="BB935" s="12"/>
      <c r="BC935" s="12"/>
      <c r="BD935" s="12"/>
      <c r="BE935" s="12"/>
      <c r="BF935" s="12"/>
      <c r="BG935" s="12"/>
      <c r="BH935" s="12"/>
      <c r="BI935" s="12"/>
      <c r="BJ935" s="12"/>
      <c r="BK935" s="12"/>
      <c r="BL935" s="12"/>
      <c r="BM935" s="12"/>
      <c r="BN935" s="12"/>
      <c r="BO935" s="12"/>
      <c r="BP935" s="12"/>
      <c r="BQ935" s="12"/>
      <c r="BR935" s="12"/>
      <c r="BS935" s="12"/>
      <c r="BT935" s="12"/>
      <c r="BU935" s="12"/>
      <c r="BV935" s="12"/>
      <c r="BW935" s="12"/>
      <c r="BX935" s="12"/>
      <c r="BY935" s="12"/>
      <c r="BZ935" s="12"/>
      <c r="CA935" s="12"/>
      <c r="CB935" s="12"/>
      <c r="CC935" s="12"/>
      <c r="CD935" s="12"/>
      <c r="CE935" s="12"/>
      <c r="CF935" s="12"/>
      <c r="CG935" s="12"/>
      <c r="CH935" s="12"/>
      <c r="CI935" s="12"/>
      <c r="CJ935" s="12"/>
      <c r="CK935" s="12"/>
      <c r="CL935" s="12"/>
      <c r="CM935" s="12"/>
      <c r="CN935" s="12"/>
      <c r="CO935" s="12"/>
      <c r="CP935" s="12"/>
      <c r="CQ935" s="12"/>
      <c r="CR935" s="12"/>
      <c r="CS935" s="12"/>
      <c r="CT935" s="12"/>
      <c r="CU935" s="12"/>
      <c r="CV935" s="12"/>
      <c r="CW935" s="12"/>
      <c r="CX935" s="12"/>
      <c r="CY935" s="12"/>
      <c r="CZ935" s="12"/>
      <c r="DA935" s="12"/>
      <c r="DB935" s="12"/>
      <c r="DC935" s="12"/>
      <c r="DD935" s="12"/>
      <c r="DE935" s="12"/>
      <c r="DF935" s="12"/>
      <c r="DG935" s="12"/>
      <c r="DH935" s="12"/>
      <c r="DI935" s="12"/>
      <c r="DJ935" s="12"/>
      <c r="DK935" s="12"/>
      <c r="DL935" s="12"/>
      <c r="DM935" s="12"/>
      <c r="DN935" s="12"/>
      <c r="DO935" s="12"/>
      <c r="DP935" s="12"/>
      <c r="DQ935" s="12"/>
      <c r="DR935" s="12"/>
      <c r="DS935" s="12"/>
      <c r="DT935" s="12"/>
      <c r="DU935" s="12"/>
      <c r="DV935" s="12"/>
      <c r="DW935" s="12"/>
      <c r="DX935" s="12"/>
      <c r="DY935" s="12"/>
      <c r="DZ935" s="12"/>
      <c r="EA935" s="12"/>
      <c r="EB935" s="12"/>
      <c r="EC935" s="12"/>
      <c r="ED935" s="12"/>
      <c r="EE935" s="12"/>
      <c r="EF935" s="12"/>
      <c r="EG935" s="12"/>
      <c r="EH935" s="12"/>
      <c r="EI935" s="12"/>
      <c r="EJ935" s="574"/>
      <c r="EK935" s="574"/>
      <c r="EL935" s="574"/>
      <c r="EM935" s="574"/>
      <c r="EN935" s="574"/>
      <c r="EO935" s="574"/>
      <c r="EP935" s="574"/>
      <c r="EQ935" s="574"/>
      <c r="ER935" s="574"/>
      <c r="ES935" s="574"/>
      <c r="ET935" s="574"/>
      <c r="EU935" s="574"/>
    </row>
    <row r="936">
      <c r="A936" s="12"/>
      <c r="B936" s="55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  <c r="AX936" s="12"/>
      <c r="AY936" s="12"/>
      <c r="AZ936" s="12"/>
      <c r="BA936" s="12"/>
      <c r="BB936" s="12"/>
      <c r="BC936" s="12"/>
      <c r="BD936" s="12"/>
      <c r="BE936" s="12"/>
      <c r="BF936" s="12"/>
      <c r="BG936" s="12"/>
      <c r="BH936" s="12"/>
      <c r="BI936" s="12"/>
      <c r="BJ936" s="12"/>
      <c r="BK936" s="12"/>
      <c r="BL936" s="12"/>
      <c r="BM936" s="12"/>
      <c r="BN936" s="12"/>
      <c r="BO936" s="12"/>
      <c r="BP936" s="12"/>
      <c r="BQ936" s="12"/>
      <c r="BR936" s="12"/>
      <c r="BS936" s="12"/>
      <c r="BT936" s="12"/>
      <c r="BU936" s="12"/>
      <c r="BV936" s="12"/>
      <c r="BW936" s="12"/>
      <c r="BX936" s="12"/>
      <c r="BY936" s="12"/>
      <c r="BZ936" s="12"/>
      <c r="CA936" s="12"/>
      <c r="CB936" s="12"/>
      <c r="CC936" s="12"/>
      <c r="CD936" s="12"/>
      <c r="CE936" s="12"/>
      <c r="CF936" s="12"/>
      <c r="CG936" s="12"/>
      <c r="CH936" s="12"/>
      <c r="CI936" s="12"/>
      <c r="CJ936" s="12"/>
      <c r="CK936" s="12"/>
      <c r="CL936" s="12"/>
      <c r="CM936" s="12"/>
      <c r="CN936" s="12"/>
      <c r="CO936" s="12"/>
      <c r="CP936" s="12"/>
      <c r="CQ936" s="12"/>
      <c r="CR936" s="12"/>
      <c r="CS936" s="12"/>
      <c r="CT936" s="12"/>
      <c r="CU936" s="12"/>
      <c r="CV936" s="12"/>
      <c r="CW936" s="12"/>
      <c r="CX936" s="12"/>
      <c r="CY936" s="12"/>
      <c r="CZ936" s="12"/>
      <c r="DA936" s="12"/>
      <c r="DB936" s="12"/>
      <c r="DC936" s="12"/>
      <c r="DD936" s="12"/>
      <c r="DE936" s="12"/>
      <c r="DF936" s="12"/>
      <c r="DG936" s="12"/>
      <c r="DH936" s="12"/>
      <c r="DI936" s="12"/>
      <c r="DJ936" s="12"/>
      <c r="DK936" s="12"/>
      <c r="DL936" s="12"/>
      <c r="DM936" s="12"/>
      <c r="DN936" s="12"/>
      <c r="DO936" s="12"/>
      <c r="DP936" s="12"/>
      <c r="DQ936" s="12"/>
      <c r="DR936" s="12"/>
      <c r="DS936" s="12"/>
      <c r="DT936" s="12"/>
      <c r="DU936" s="12"/>
      <c r="DV936" s="12"/>
      <c r="DW936" s="12"/>
      <c r="DX936" s="12"/>
      <c r="DY936" s="12"/>
      <c r="DZ936" s="12"/>
      <c r="EA936" s="12"/>
      <c r="EB936" s="12"/>
      <c r="EC936" s="12"/>
      <c r="ED936" s="12"/>
      <c r="EE936" s="12"/>
      <c r="EF936" s="12"/>
      <c r="EG936" s="12"/>
      <c r="EH936" s="12"/>
      <c r="EI936" s="12"/>
      <c r="EJ936" s="574"/>
      <c r="EK936" s="574"/>
      <c r="EL936" s="574"/>
      <c r="EM936" s="574"/>
      <c r="EN936" s="574"/>
      <c r="EO936" s="574"/>
      <c r="EP936" s="574"/>
      <c r="EQ936" s="574"/>
      <c r="ER936" s="574"/>
      <c r="ES936" s="574"/>
      <c r="ET936" s="574"/>
      <c r="EU936" s="574"/>
    </row>
    <row r="937">
      <c r="A937" s="12"/>
      <c r="B937" s="55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  <c r="AX937" s="12"/>
      <c r="AY937" s="12"/>
      <c r="AZ937" s="12"/>
      <c r="BA937" s="12"/>
      <c r="BB937" s="12"/>
      <c r="BC937" s="12"/>
      <c r="BD937" s="12"/>
      <c r="BE937" s="12"/>
      <c r="BF937" s="12"/>
      <c r="BG937" s="12"/>
      <c r="BH937" s="12"/>
      <c r="BI937" s="12"/>
      <c r="BJ937" s="12"/>
      <c r="BK937" s="12"/>
      <c r="BL937" s="12"/>
      <c r="BM937" s="12"/>
      <c r="BN937" s="12"/>
      <c r="BO937" s="12"/>
      <c r="BP937" s="12"/>
      <c r="BQ937" s="12"/>
      <c r="BR937" s="12"/>
      <c r="BS937" s="12"/>
      <c r="BT937" s="12"/>
      <c r="BU937" s="12"/>
      <c r="BV937" s="12"/>
      <c r="BW937" s="12"/>
      <c r="BX937" s="12"/>
      <c r="BY937" s="12"/>
      <c r="BZ937" s="12"/>
      <c r="CA937" s="12"/>
      <c r="CB937" s="12"/>
      <c r="CC937" s="12"/>
      <c r="CD937" s="12"/>
      <c r="CE937" s="12"/>
      <c r="CF937" s="12"/>
      <c r="CG937" s="12"/>
      <c r="CH937" s="12"/>
      <c r="CI937" s="12"/>
      <c r="CJ937" s="12"/>
      <c r="CK937" s="12"/>
      <c r="CL937" s="12"/>
      <c r="CM937" s="12"/>
      <c r="CN937" s="12"/>
      <c r="CO937" s="12"/>
      <c r="CP937" s="12"/>
      <c r="CQ937" s="12"/>
      <c r="CR937" s="12"/>
      <c r="CS937" s="12"/>
      <c r="CT937" s="12"/>
      <c r="CU937" s="12"/>
      <c r="CV937" s="12"/>
      <c r="CW937" s="12"/>
      <c r="CX937" s="12"/>
      <c r="CY937" s="12"/>
      <c r="CZ937" s="12"/>
      <c r="DA937" s="12"/>
      <c r="DB937" s="12"/>
      <c r="DC937" s="12"/>
      <c r="DD937" s="12"/>
      <c r="DE937" s="12"/>
      <c r="DF937" s="12"/>
      <c r="DG937" s="12"/>
      <c r="DH937" s="12"/>
      <c r="DI937" s="12"/>
      <c r="DJ937" s="12"/>
      <c r="DK937" s="12"/>
      <c r="DL937" s="12"/>
      <c r="DM937" s="12"/>
      <c r="DN937" s="12"/>
      <c r="DO937" s="12"/>
      <c r="DP937" s="12"/>
      <c r="DQ937" s="12"/>
      <c r="DR937" s="12"/>
      <c r="DS937" s="12"/>
      <c r="DT937" s="12"/>
      <c r="DU937" s="12"/>
      <c r="DV937" s="12"/>
      <c r="DW937" s="12"/>
      <c r="DX937" s="12"/>
      <c r="DY937" s="12"/>
      <c r="DZ937" s="12"/>
      <c r="EA937" s="12"/>
      <c r="EB937" s="12"/>
      <c r="EC937" s="12"/>
      <c r="ED937" s="12"/>
      <c r="EE937" s="12"/>
      <c r="EF937" s="12"/>
      <c r="EG937" s="12"/>
      <c r="EH937" s="12"/>
      <c r="EI937" s="12"/>
      <c r="EJ937" s="574"/>
      <c r="EK937" s="574"/>
      <c r="EL937" s="574"/>
      <c r="EM937" s="574"/>
      <c r="EN937" s="574"/>
      <c r="EO937" s="574"/>
      <c r="EP937" s="574"/>
      <c r="EQ937" s="574"/>
      <c r="ER937" s="574"/>
      <c r="ES937" s="574"/>
      <c r="ET937" s="574"/>
      <c r="EU937" s="574"/>
    </row>
    <row r="938">
      <c r="A938" s="12"/>
      <c r="B938" s="55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  <c r="AX938" s="12"/>
      <c r="AY938" s="12"/>
      <c r="AZ938" s="12"/>
      <c r="BA938" s="12"/>
      <c r="BB938" s="12"/>
      <c r="BC938" s="12"/>
      <c r="BD938" s="12"/>
      <c r="BE938" s="12"/>
      <c r="BF938" s="12"/>
      <c r="BG938" s="12"/>
      <c r="BH938" s="12"/>
      <c r="BI938" s="12"/>
      <c r="BJ938" s="12"/>
      <c r="BK938" s="12"/>
      <c r="BL938" s="12"/>
      <c r="BM938" s="12"/>
      <c r="BN938" s="12"/>
      <c r="BO938" s="12"/>
      <c r="BP938" s="12"/>
      <c r="BQ938" s="12"/>
      <c r="BR938" s="12"/>
      <c r="BS938" s="12"/>
      <c r="BT938" s="12"/>
      <c r="BU938" s="12"/>
      <c r="BV938" s="12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574"/>
      <c r="EK938" s="574"/>
      <c r="EL938" s="574"/>
      <c r="EM938" s="574"/>
      <c r="EN938" s="574"/>
      <c r="EO938" s="574"/>
      <c r="EP938" s="574"/>
      <c r="EQ938" s="574"/>
      <c r="ER938" s="574"/>
      <c r="ES938" s="574"/>
      <c r="ET938" s="574"/>
      <c r="EU938" s="574"/>
    </row>
    <row r="939">
      <c r="A939" s="12"/>
      <c r="B939" s="55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  <c r="AX939" s="12"/>
      <c r="AY939" s="12"/>
      <c r="AZ939" s="12"/>
      <c r="BA939" s="12"/>
      <c r="BB939" s="12"/>
      <c r="BC939" s="12"/>
      <c r="BD939" s="12"/>
      <c r="BE939" s="12"/>
      <c r="BF939" s="12"/>
      <c r="BG939" s="12"/>
      <c r="BH939" s="12"/>
      <c r="BI939" s="12"/>
      <c r="BJ939" s="12"/>
      <c r="BK939" s="12"/>
      <c r="BL939" s="12"/>
      <c r="BM939" s="12"/>
      <c r="BN939" s="12"/>
      <c r="BO939" s="12"/>
      <c r="BP939" s="12"/>
      <c r="BQ939" s="12"/>
      <c r="BR939" s="12"/>
      <c r="BS939" s="12"/>
      <c r="BT939" s="12"/>
      <c r="BU939" s="12"/>
      <c r="BV939" s="12"/>
      <c r="BW939" s="12"/>
      <c r="BX939" s="12"/>
      <c r="BY939" s="12"/>
      <c r="BZ939" s="12"/>
      <c r="CA939" s="12"/>
      <c r="CB939" s="12"/>
      <c r="CC939" s="12"/>
      <c r="CD939" s="12"/>
      <c r="CE939" s="12"/>
      <c r="CF939" s="12"/>
      <c r="CG939" s="12"/>
      <c r="CH939" s="12"/>
      <c r="CI939" s="12"/>
      <c r="CJ939" s="12"/>
      <c r="CK939" s="12"/>
      <c r="CL939" s="12"/>
      <c r="CM939" s="12"/>
      <c r="CN939" s="12"/>
      <c r="CO939" s="12"/>
      <c r="CP939" s="12"/>
      <c r="CQ939" s="12"/>
      <c r="CR939" s="12"/>
      <c r="CS939" s="12"/>
      <c r="CT939" s="12"/>
      <c r="CU939" s="12"/>
      <c r="CV939" s="12"/>
      <c r="CW939" s="12"/>
      <c r="CX939" s="12"/>
      <c r="CY939" s="12"/>
      <c r="CZ939" s="12"/>
      <c r="DA939" s="12"/>
      <c r="DB939" s="12"/>
      <c r="DC939" s="12"/>
      <c r="DD939" s="12"/>
      <c r="DE939" s="12"/>
      <c r="DF939" s="12"/>
      <c r="DG939" s="12"/>
      <c r="DH939" s="12"/>
      <c r="DI939" s="12"/>
      <c r="DJ939" s="12"/>
      <c r="DK939" s="12"/>
      <c r="DL939" s="12"/>
      <c r="DM939" s="12"/>
      <c r="DN939" s="12"/>
      <c r="DO939" s="12"/>
      <c r="DP939" s="12"/>
      <c r="DQ939" s="12"/>
      <c r="DR939" s="12"/>
      <c r="DS939" s="12"/>
      <c r="DT939" s="12"/>
      <c r="DU939" s="12"/>
      <c r="DV939" s="12"/>
      <c r="DW939" s="12"/>
      <c r="DX939" s="12"/>
      <c r="DY939" s="12"/>
      <c r="DZ939" s="12"/>
      <c r="EA939" s="12"/>
      <c r="EB939" s="12"/>
      <c r="EC939" s="12"/>
      <c r="ED939" s="12"/>
      <c r="EE939" s="12"/>
      <c r="EF939" s="12"/>
      <c r="EG939" s="12"/>
      <c r="EH939" s="12"/>
      <c r="EI939" s="12"/>
      <c r="EJ939" s="574"/>
      <c r="EK939" s="574"/>
      <c r="EL939" s="574"/>
      <c r="EM939" s="574"/>
      <c r="EN939" s="574"/>
      <c r="EO939" s="574"/>
      <c r="EP939" s="574"/>
      <c r="EQ939" s="574"/>
      <c r="ER939" s="574"/>
      <c r="ES939" s="574"/>
      <c r="ET939" s="574"/>
      <c r="EU939" s="574"/>
    </row>
    <row r="940">
      <c r="A940" s="12"/>
      <c r="B940" s="55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  <c r="AX940" s="12"/>
      <c r="AY940" s="12"/>
      <c r="AZ940" s="12"/>
      <c r="BA940" s="12"/>
      <c r="BB940" s="12"/>
      <c r="BC940" s="12"/>
      <c r="BD940" s="12"/>
      <c r="BE940" s="12"/>
      <c r="BF940" s="12"/>
      <c r="BG940" s="12"/>
      <c r="BH940" s="12"/>
      <c r="BI940" s="12"/>
      <c r="BJ940" s="12"/>
      <c r="BK940" s="12"/>
      <c r="BL940" s="12"/>
      <c r="BM940" s="12"/>
      <c r="BN940" s="12"/>
      <c r="BO940" s="12"/>
      <c r="BP940" s="12"/>
      <c r="BQ940" s="12"/>
      <c r="BR940" s="12"/>
      <c r="BS940" s="12"/>
      <c r="BT940" s="12"/>
      <c r="BU940" s="12"/>
      <c r="BV940" s="12"/>
      <c r="BW940" s="12"/>
      <c r="BX940" s="12"/>
      <c r="BY940" s="12"/>
      <c r="BZ940" s="12"/>
      <c r="CA940" s="12"/>
      <c r="CB940" s="12"/>
      <c r="CC940" s="12"/>
      <c r="CD940" s="12"/>
      <c r="CE940" s="12"/>
      <c r="CF940" s="12"/>
      <c r="CG940" s="12"/>
      <c r="CH940" s="12"/>
      <c r="CI940" s="12"/>
      <c r="CJ940" s="12"/>
      <c r="CK940" s="12"/>
      <c r="CL940" s="12"/>
      <c r="CM940" s="12"/>
      <c r="CN940" s="12"/>
      <c r="CO940" s="12"/>
      <c r="CP940" s="12"/>
      <c r="CQ940" s="12"/>
      <c r="CR940" s="12"/>
      <c r="CS940" s="12"/>
      <c r="CT940" s="12"/>
      <c r="CU940" s="12"/>
      <c r="CV940" s="12"/>
      <c r="CW940" s="12"/>
      <c r="CX940" s="12"/>
      <c r="CY940" s="12"/>
      <c r="CZ940" s="12"/>
      <c r="DA940" s="12"/>
      <c r="DB940" s="12"/>
      <c r="DC940" s="12"/>
      <c r="DD940" s="12"/>
      <c r="DE940" s="12"/>
      <c r="DF940" s="12"/>
      <c r="DG940" s="12"/>
      <c r="DH940" s="12"/>
      <c r="DI940" s="12"/>
      <c r="DJ940" s="12"/>
      <c r="DK940" s="12"/>
      <c r="DL940" s="12"/>
      <c r="DM940" s="12"/>
      <c r="DN940" s="12"/>
      <c r="DO940" s="12"/>
      <c r="DP940" s="12"/>
      <c r="DQ940" s="12"/>
      <c r="DR940" s="12"/>
      <c r="DS940" s="12"/>
      <c r="DT940" s="12"/>
      <c r="DU940" s="12"/>
      <c r="DV940" s="12"/>
      <c r="DW940" s="12"/>
      <c r="DX940" s="12"/>
      <c r="DY940" s="12"/>
      <c r="DZ940" s="12"/>
      <c r="EA940" s="12"/>
      <c r="EB940" s="12"/>
      <c r="EC940" s="12"/>
      <c r="ED940" s="12"/>
      <c r="EE940" s="12"/>
      <c r="EF940" s="12"/>
      <c r="EG940" s="12"/>
      <c r="EH940" s="12"/>
      <c r="EI940" s="12"/>
      <c r="EJ940" s="574"/>
      <c r="EK940" s="574"/>
      <c r="EL940" s="574"/>
      <c r="EM940" s="574"/>
      <c r="EN940" s="574"/>
      <c r="EO940" s="574"/>
      <c r="EP940" s="574"/>
      <c r="EQ940" s="574"/>
      <c r="ER940" s="574"/>
      <c r="ES940" s="574"/>
      <c r="ET940" s="574"/>
      <c r="EU940" s="574"/>
    </row>
    <row r="941">
      <c r="A941" s="12"/>
      <c r="B941" s="55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  <c r="AX941" s="12"/>
      <c r="AY941" s="12"/>
      <c r="AZ941" s="12"/>
      <c r="BA941" s="12"/>
      <c r="BB941" s="12"/>
      <c r="BC941" s="12"/>
      <c r="BD941" s="12"/>
      <c r="BE941" s="12"/>
      <c r="BF941" s="12"/>
      <c r="BG941" s="12"/>
      <c r="BH941" s="12"/>
      <c r="BI941" s="12"/>
      <c r="BJ941" s="12"/>
      <c r="BK941" s="12"/>
      <c r="BL941" s="12"/>
      <c r="BM941" s="12"/>
      <c r="BN941" s="12"/>
      <c r="BO941" s="12"/>
      <c r="BP941" s="12"/>
      <c r="BQ941" s="12"/>
      <c r="BR941" s="12"/>
      <c r="BS941" s="12"/>
      <c r="BT941" s="12"/>
      <c r="BU941" s="12"/>
      <c r="BV941" s="12"/>
      <c r="BW941" s="12"/>
      <c r="BX941" s="12"/>
      <c r="BY941" s="12"/>
      <c r="BZ941" s="12"/>
      <c r="CA941" s="12"/>
      <c r="CB941" s="12"/>
      <c r="CC941" s="12"/>
      <c r="CD941" s="12"/>
      <c r="CE941" s="12"/>
      <c r="CF941" s="12"/>
      <c r="CG941" s="12"/>
      <c r="CH941" s="12"/>
      <c r="CI941" s="12"/>
      <c r="CJ941" s="12"/>
      <c r="CK941" s="12"/>
      <c r="CL941" s="12"/>
      <c r="CM941" s="12"/>
      <c r="CN941" s="12"/>
      <c r="CO941" s="12"/>
      <c r="CP941" s="12"/>
      <c r="CQ941" s="12"/>
      <c r="CR941" s="12"/>
      <c r="CS941" s="12"/>
      <c r="CT941" s="12"/>
      <c r="CU941" s="12"/>
      <c r="CV941" s="12"/>
      <c r="CW941" s="12"/>
      <c r="CX941" s="12"/>
      <c r="CY941" s="12"/>
      <c r="CZ941" s="12"/>
      <c r="DA941" s="12"/>
      <c r="DB941" s="12"/>
      <c r="DC941" s="12"/>
      <c r="DD941" s="12"/>
      <c r="DE941" s="12"/>
      <c r="DF941" s="12"/>
      <c r="DG941" s="12"/>
      <c r="DH941" s="12"/>
      <c r="DI941" s="12"/>
      <c r="DJ941" s="12"/>
      <c r="DK941" s="12"/>
      <c r="DL941" s="12"/>
      <c r="DM941" s="12"/>
      <c r="DN941" s="12"/>
      <c r="DO941" s="12"/>
      <c r="DP941" s="12"/>
      <c r="DQ941" s="12"/>
      <c r="DR941" s="12"/>
      <c r="DS941" s="12"/>
      <c r="DT941" s="12"/>
      <c r="DU941" s="12"/>
      <c r="DV941" s="12"/>
      <c r="DW941" s="12"/>
      <c r="DX941" s="12"/>
      <c r="DY941" s="12"/>
      <c r="DZ941" s="12"/>
      <c r="EA941" s="12"/>
      <c r="EB941" s="12"/>
      <c r="EC941" s="12"/>
      <c r="ED941" s="12"/>
      <c r="EE941" s="12"/>
      <c r="EF941" s="12"/>
      <c r="EG941" s="12"/>
      <c r="EH941" s="12"/>
      <c r="EI941" s="12"/>
      <c r="EJ941" s="574"/>
      <c r="EK941" s="574"/>
      <c r="EL941" s="574"/>
      <c r="EM941" s="574"/>
      <c r="EN941" s="574"/>
      <c r="EO941" s="574"/>
      <c r="EP941" s="574"/>
      <c r="EQ941" s="574"/>
      <c r="ER941" s="574"/>
      <c r="ES941" s="574"/>
      <c r="ET941" s="574"/>
      <c r="EU941" s="574"/>
    </row>
    <row r="942">
      <c r="A942" s="12"/>
      <c r="B942" s="55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  <c r="AX942" s="12"/>
      <c r="AY942" s="12"/>
      <c r="AZ942" s="12"/>
      <c r="BA942" s="12"/>
      <c r="BB942" s="12"/>
      <c r="BC942" s="12"/>
      <c r="BD942" s="12"/>
      <c r="BE942" s="12"/>
      <c r="BF942" s="12"/>
      <c r="BG942" s="12"/>
      <c r="BH942" s="12"/>
      <c r="BI942" s="12"/>
      <c r="BJ942" s="12"/>
      <c r="BK942" s="12"/>
      <c r="BL942" s="12"/>
      <c r="BM942" s="12"/>
      <c r="BN942" s="12"/>
      <c r="BO942" s="12"/>
      <c r="BP942" s="12"/>
      <c r="BQ942" s="12"/>
      <c r="BR942" s="12"/>
      <c r="BS942" s="12"/>
      <c r="BT942" s="12"/>
      <c r="BU942" s="12"/>
      <c r="BV942" s="12"/>
      <c r="BW942" s="12"/>
      <c r="BX942" s="12"/>
      <c r="BY942" s="12"/>
      <c r="BZ942" s="12"/>
      <c r="CA942" s="12"/>
      <c r="CB942" s="12"/>
      <c r="CC942" s="12"/>
      <c r="CD942" s="12"/>
      <c r="CE942" s="12"/>
      <c r="CF942" s="12"/>
      <c r="CG942" s="12"/>
      <c r="CH942" s="12"/>
      <c r="CI942" s="12"/>
      <c r="CJ942" s="12"/>
      <c r="CK942" s="12"/>
      <c r="CL942" s="12"/>
      <c r="CM942" s="12"/>
      <c r="CN942" s="12"/>
      <c r="CO942" s="12"/>
      <c r="CP942" s="12"/>
      <c r="CQ942" s="12"/>
      <c r="CR942" s="12"/>
      <c r="CS942" s="12"/>
      <c r="CT942" s="12"/>
      <c r="CU942" s="12"/>
      <c r="CV942" s="12"/>
      <c r="CW942" s="12"/>
      <c r="CX942" s="12"/>
      <c r="CY942" s="12"/>
      <c r="CZ942" s="12"/>
      <c r="DA942" s="12"/>
      <c r="DB942" s="12"/>
      <c r="DC942" s="12"/>
      <c r="DD942" s="12"/>
      <c r="DE942" s="12"/>
      <c r="DF942" s="12"/>
      <c r="DG942" s="12"/>
      <c r="DH942" s="12"/>
      <c r="DI942" s="12"/>
      <c r="DJ942" s="12"/>
      <c r="DK942" s="12"/>
      <c r="DL942" s="12"/>
      <c r="DM942" s="12"/>
      <c r="DN942" s="12"/>
      <c r="DO942" s="12"/>
      <c r="DP942" s="12"/>
      <c r="DQ942" s="12"/>
      <c r="DR942" s="12"/>
      <c r="DS942" s="12"/>
      <c r="DT942" s="12"/>
      <c r="DU942" s="12"/>
      <c r="DV942" s="12"/>
      <c r="DW942" s="12"/>
      <c r="DX942" s="12"/>
      <c r="DY942" s="12"/>
      <c r="DZ942" s="12"/>
      <c r="EA942" s="12"/>
      <c r="EB942" s="12"/>
      <c r="EC942" s="12"/>
      <c r="ED942" s="12"/>
      <c r="EE942" s="12"/>
      <c r="EF942" s="12"/>
      <c r="EG942" s="12"/>
      <c r="EH942" s="12"/>
      <c r="EI942" s="12"/>
      <c r="EJ942" s="574"/>
      <c r="EK942" s="574"/>
      <c r="EL942" s="574"/>
      <c r="EM942" s="574"/>
      <c r="EN942" s="574"/>
      <c r="EO942" s="574"/>
      <c r="EP942" s="574"/>
      <c r="EQ942" s="574"/>
      <c r="ER942" s="574"/>
      <c r="ES942" s="574"/>
      <c r="ET942" s="574"/>
      <c r="EU942" s="574"/>
    </row>
    <row r="943">
      <c r="A943" s="12"/>
      <c r="B943" s="55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  <c r="AX943" s="12"/>
      <c r="AY943" s="12"/>
      <c r="AZ943" s="12"/>
      <c r="BA943" s="12"/>
      <c r="BB943" s="12"/>
      <c r="BC943" s="12"/>
      <c r="BD943" s="12"/>
      <c r="BE943" s="12"/>
      <c r="BF943" s="12"/>
      <c r="BG943" s="12"/>
      <c r="BH943" s="12"/>
      <c r="BI943" s="12"/>
      <c r="BJ943" s="12"/>
      <c r="BK943" s="12"/>
      <c r="BL943" s="12"/>
      <c r="BM943" s="12"/>
      <c r="BN943" s="12"/>
      <c r="BO943" s="12"/>
      <c r="BP943" s="12"/>
      <c r="BQ943" s="12"/>
      <c r="BR943" s="12"/>
      <c r="BS943" s="12"/>
      <c r="BT943" s="12"/>
      <c r="BU943" s="12"/>
      <c r="BV943" s="12"/>
      <c r="BW943" s="12"/>
      <c r="BX943" s="12"/>
      <c r="BY943" s="12"/>
      <c r="BZ943" s="12"/>
      <c r="CA943" s="12"/>
      <c r="CB943" s="12"/>
      <c r="CC943" s="12"/>
      <c r="CD943" s="12"/>
      <c r="CE943" s="12"/>
      <c r="CF943" s="12"/>
      <c r="CG943" s="12"/>
      <c r="CH943" s="12"/>
      <c r="CI943" s="12"/>
      <c r="CJ943" s="12"/>
      <c r="CK943" s="12"/>
      <c r="CL943" s="12"/>
      <c r="CM943" s="12"/>
      <c r="CN943" s="12"/>
      <c r="CO943" s="12"/>
      <c r="CP943" s="12"/>
      <c r="CQ943" s="12"/>
      <c r="CR943" s="12"/>
      <c r="CS943" s="12"/>
      <c r="CT943" s="12"/>
      <c r="CU943" s="12"/>
      <c r="CV943" s="12"/>
      <c r="CW943" s="12"/>
      <c r="CX943" s="12"/>
      <c r="CY943" s="12"/>
      <c r="CZ943" s="12"/>
      <c r="DA943" s="12"/>
      <c r="DB943" s="12"/>
      <c r="DC943" s="12"/>
      <c r="DD943" s="12"/>
      <c r="DE943" s="12"/>
      <c r="DF943" s="12"/>
      <c r="DG943" s="12"/>
      <c r="DH943" s="12"/>
      <c r="DI943" s="12"/>
      <c r="DJ943" s="12"/>
      <c r="DK943" s="12"/>
      <c r="DL943" s="12"/>
      <c r="DM943" s="12"/>
      <c r="DN943" s="12"/>
      <c r="DO943" s="12"/>
      <c r="DP943" s="12"/>
      <c r="DQ943" s="12"/>
      <c r="DR943" s="12"/>
      <c r="DS943" s="12"/>
      <c r="DT943" s="12"/>
      <c r="DU943" s="12"/>
      <c r="DV943" s="12"/>
      <c r="DW943" s="12"/>
      <c r="DX943" s="12"/>
      <c r="DY943" s="12"/>
      <c r="DZ943" s="12"/>
      <c r="EA943" s="12"/>
      <c r="EB943" s="12"/>
      <c r="EC943" s="12"/>
      <c r="ED943" s="12"/>
      <c r="EE943" s="12"/>
      <c r="EF943" s="12"/>
      <c r="EG943" s="12"/>
      <c r="EH943" s="12"/>
      <c r="EI943" s="12"/>
      <c r="EJ943" s="574"/>
      <c r="EK943" s="574"/>
      <c r="EL943" s="574"/>
      <c r="EM943" s="574"/>
      <c r="EN943" s="574"/>
      <c r="EO943" s="574"/>
      <c r="EP943" s="574"/>
      <c r="EQ943" s="574"/>
      <c r="ER943" s="574"/>
      <c r="ES943" s="574"/>
      <c r="ET943" s="574"/>
      <c r="EU943" s="574"/>
    </row>
    <row r="944">
      <c r="A944" s="12"/>
      <c r="B944" s="55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  <c r="AX944" s="12"/>
      <c r="AY944" s="12"/>
      <c r="AZ944" s="12"/>
      <c r="BA944" s="12"/>
      <c r="BB944" s="12"/>
      <c r="BC944" s="12"/>
      <c r="BD944" s="12"/>
      <c r="BE944" s="12"/>
      <c r="BF944" s="12"/>
      <c r="BG944" s="12"/>
      <c r="BH944" s="12"/>
      <c r="BI944" s="12"/>
      <c r="BJ944" s="12"/>
      <c r="BK944" s="12"/>
      <c r="BL944" s="12"/>
      <c r="BM944" s="12"/>
      <c r="BN944" s="12"/>
      <c r="BO944" s="12"/>
      <c r="BP944" s="12"/>
      <c r="BQ944" s="12"/>
      <c r="BR944" s="12"/>
      <c r="BS944" s="12"/>
      <c r="BT944" s="12"/>
      <c r="BU944" s="12"/>
      <c r="BV944" s="12"/>
      <c r="BW944" s="12"/>
      <c r="BX944" s="12"/>
      <c r="BY944" s="12"/>
      <c r="BZ944" s="12"/>
      <c r="CA944" s="12"/>
      <c r="CB944" s="12"/>
      <c r="CC944" s="12"/>
      <c r="CD944" s="12"/>
      <c r="CE944" s="12"/>
      <c r="CF944" s="12"/>
      <c r="CG944" s="12"/>
      <c r="CH944" s="12"/>
      <c r="CI944" s="12"/>
      <c r="CJ944" s="12"/>
      <c r="CK944" s="12"/>
      <c r="CL944" s="12"/>
      <c r="CM944" s="12"/>
      <c r="CN944" s="12"/>
      <c r="CO944" s="12"/>
      <c r="CP944" s="12"/>
      <c r="CQ944" s="12"/>
      <c r="CR944" s="12"/>
      <c r="CS944" s="12"/>
      <c r="CT944" s="12"/>
      <c r="CU944" s="12"/>
      <c r="CV944" s="12"/>
      <c r="CW944" s="12"/>
      <c r="CX944" s="12"/>
      <c r="CY944" s="12"/>
      <c r="CZ944" s="12"/>
      <c r="DA944" s="12"/>
      <c r="DB944" s="12"/>
      <c r="DC944" s="12"/>
      <c r="DD944" s="12"/>
      <c r="DE944" s="12"/>
      <c r="DF944" s="12"/>
      <c r="DG944" s="12"/>
      <c r="DH944" s="12"/>
      <c r="DI944" s="12"/>
      <c r="DJ944" s="12"/>
      <c r="DK944" s="12"/>
      <c r="DL944" s="12"/>
      <c r="DM944" s="12"/>
      <c r="DN944" s="12"/>
      <c r="DO944" s="12"/>
      <c r="DP944" s="12"/>
      <c r="DQ944" s="12"/>
      <c r="DR944" s="12"/>
      <c r="DS944" s="12"/>
      <c r="DT944" s="12"/>
      <c r="DU944" s="12"/>
      <c r="DV944" s="12"/>
      <c r="DW944" s="12"/>
      <c r="DX944" s="12"/>
      <c r="DY944" s="12"/>
      <c r="DZ944" s="12"/>
      <c r="EA944" s="12"/>
      <c r="EB944" s="12"/>
      <c r="EC944" s="12"/>
      <c r="ED944" s="12"/>
      <c r="EE944" s="12"/>
      <c r="EF944" s="12"/>
      <c r="EG944" s="12"/>
      <c r="EH944" s="12"/>
      <c r="EI944" s="12"/>
      <c r="EJ944" s="574"/>
      <c r="EK944" s="574"/>
      <c r="EL944" s="574"/>
      <c r="EM944" s="574"/>
      <c r="EN944" s="574"/>
      <c r="EO944" s="574"/>
      <c r="EP944" s="574"/>
      <c r="EQ944" s="574"/>
      <c r="ER944" s="574"/>
      <c r="ES944" s="574"/>
      <c r="ET944" s="574"/>
      <c r="EU944" s="574"/>
    </row>
    <row r="945">
      <c r="A945" s="12"/>
      <c r="B945" s="55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  <c r="AX945" s="12"/>
      <c r="AY945" s="12"/>
      <c r="AZ945" s="12"/>
      <c r="BA945" s="12"/>
      <c r="BB945" s="12"/>
      <c r="BC945" s="12"/>
      <c r="BD945" s="12"/>
      <c r="BE945" s="12"/>
      <c r="BF945" s="12"/>
      <c r="BG945" s="12"/>
      <c r="BH945" s="12"/>
      <c r="BI945" s="12"/>
      <c r="BJ945" s="12"/>
      <c r="BK945" s="12"/>
      <c r="BL945" s="12"/>
      <c r="BM945" s="12"/>
      <c r="BN945" s="12"/>
      <c r="BO945" s="12"/>
      <c r="BP945" s="12"/>
      <c r="BQ945" s="12"/>
      <c r="BR945" s="12"/>
      <c r="BS945" s="12"/>
      <c r="BT945" s="12"/>
      <c r="BU945" s="12"/>
      <c r="BV945" s="12"/>
      <c r="BW945" s="12"/>
      <c r="BX945" s="12"/>
      <c r="BY945" s="12"/>
      <c r="BZ945" s="12"/>
      <c r="CA945" s="12"/>
      <c r="CB945" s="12"/>
      <c r="CC945" s="12"/>
      <c r="CD945" s="12"/>
      <c r="CE945" s="12"/>
      <c r="CF945" s="12"/>
      <c r="CG945" s="12"/>
      <c r="CH945" s="12"/>
      <c r="CI945" s="12"/>
      <c r="CJ945" s="12"/>
      <c r="CK945" s="12"/>
      <c r="CL945" s="12"/>
      <c r="CM945" s="12"/>
      <c r="CN945" s="12"/>
      <c r="CO945" s="12"/>
      <c r="CP945" s="12"/>
      <c r="CQ945" s="12"/>
      <c r="CR945" s="12"/>
      <c r="CS945" s="12"/>
      <c r="CT945" s="12"/>
      <c r="CU945" s="12"/>
      <c r="CV945" s="12"/>
      <c r="CW945" s="12"/>
      <c r="CX945" s="12"/>
      <c r="CY945" s="12"/>
      <c r="CZ945" s="12"/>
      <c r="DA945" s="12"/>
      <c r="DB945" s="12"/>
      <c r="DC945" s="12"/>
      <c r="DD945" s="12"/>
      <c r="DE945" s="12"/>
      <c r="DF945" s="12"/>
      <c r="DG945" s="12"/>
      <c r="DH945" s="12"/>
      <c r="DI945" s="12"/>
      <c r="DJ945" s="12"/>
      <c r="DK945" s="12"/>
      <c r="DL945" s="12"/>
      <c r="DM945" s="12"/>
      <c r="DN945" s="12"/>
      <c r="DO945" s="12"/>
      <c r="DP945" s="12"/>
      <c r="DQ945" s="12"/>
      <c r="DR945" s="12"/>
      <c r="DS945" s="12"/>
      <c r="DT945" s="12"/>
      <c r="DU945" s="12"/>
      <c r="DV945" s="12"/>
      <c r="DW945" s="12"/>
      <c r="DX945" s="12"/>
      <c r="DY945" s="12"/>
      <c r="DZ945" s="12"/>
      <c r="EA945" s="12"/>
      <c r="EB945" s="12"/>
      <c r="EC945" s="12"/>
      <c r="ED945" s="12"/>
      <c r="EE945" s="12"/>
      <c r="EF945" s="12"/>
      <c r="EG945" s="12"/>
      <c r="EH945" s="12"/>
      <c r="EI945" s="12"/>
      <c r="EJ945" s="574"/>
      <c r="EK945" s="574"/>
      <c r="EL945" s="574"/>
      <c r="EM945" s="574"/>
      <c r="EN945" s="574"/>
      <c r="EO945" s="574"/>
      <c r="EP945" s="574"/>
      <c r="EQ945" s="574"/>
      <c r="ER945" s="574"/>
      <c r="ES945" s="574"/>
      <c r="ET945" s="574"/>
      <c r="EU945" s="574"/>
    </row>
    <row r="946">
      <c r="A946" s="12"/>
      <c r="B946" s="55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  <c r="AX946" s="12"/>
      <c r="AY946" s="12"/>
      <c r="AZ946" s="12"/>
      <c r="BA946" s="12"/>
      <c r="BB946" s="12"/>
      <c r="BC946" s="12"/>
      <c r="BD946" s="12"/>
      <c r="BE946" s="12"/>
      <c r="BF946" s="12"/>
      <c r="BG946" s="12"/>
      <c r="BH946" s="12"/>
      <c r="BI946" s="12"/>
      <c r="BJ946" s="12"/>
      <c r="BK946" s="12"/>
      <c r="BL946" s="12"/>
      <c r="BM946" s="12"/>
      <c r="BN946" s="12"/>
      <c r="BO946" s="12"/>
      <c r="BP946" s="12"/>
      <c r="BQ946" s="12"/>
      <c r="BR946" s="12"/>
      <c r="BS946" s="12"/>
      <c r="BT946" s="12"/>
      <c r="BU946" s="12"/>
      <c r="BV946" s="12"/>
      <c r="BW946" s="12"/>
      <c r="BX946" s="12"/>
      <c r="BY946" s="12"/>
      <c r="BZ946" s="12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574"/>
      <c r="EK946" s="574"/>
      <c r="EL946" s="574"/>
      <c r="EM946" s="574"/>
      <c r="EN946" s="574"/>
      <c r="EO946" s="574"/>
      <c r="EP946" s="574"/>
      <c r="EQ946" s="574"/>
      <c r="ER946" s="574"/>
      <c r="ES946" s="574"/>
      <c r="ET946" s="574"/>
      <c r="EU946" s="574"/>
    </row>
    <row r="947">
      <c r="A947" s="12"/>
      <c r="B947" s="55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  <c r="AX947" s="12"/>
      <c r="AY947" s="12"/>
      <c r="AZ947" s="12"/>
      <c r="BA947" s="12"/>
      <c r="BB947" s="12"/>
      <c r="BC947" s="12"/>
      <c r="BD947" s="12"/>
      <c r="BE947" s="12"/>
      <c r="BF947" s="12"/>
      <c r="BG947" s="12"/>
      <c r="BH947" s="12"/>
      <c r="BI947" s="12"/>
      <c r="BJ947" s="12"/>
      <c r="BK947" s="12"/>
      <c r="BL947" s="12"/>
      <c r="BM947" s="12"/>
      <c r="BN947" s="12"/>
      <c r="BO947" s="12"/>
      <c r="BP947" s="12"/>
      <c r="BQ947" s="12"/>
      <c r="BR947" s="12"/>
      <c r="BS947" s="12"/>
      <c r="BT947" s="12"/>
      <c r="BU947" s="12"/>
      <c r="BV947" s="12"/>
      <c r="BW947" s="12"/>
      <c r="BX947" s="12"/>
      <c r="BY947" s="12"/>
      <c r="BZ947" s="12"/>
      <c r="CA947" s="12"/>
      <c r="CB947" s="12"/>
      <c r="CC947" s="12"/>
      <c r="CD947" s="12"/>
      <c r="CE947" s="12"/>
      <c r="CF947" s="12"/>
      <c r="CG947" s="12"/>
      <c r="CH947" s="12"/>
      <c r="CI947" s="12"/>
      <c r="CJ947" s="12"/>
      <c r="CK947" s="12"/>
      <c r="CL947" s="12"/>
      <c r="CM947" s="12"/>
      <c r="CN947" s="12"/>
      <c r="CO947" s="12"/>
      <c r="CP947" s="12"/>
      <c r="CQ947" s="12"/>
      <c r="CR947" s="12"/>
      <c r="CS947" s="12"/>
      <c r="CT947" s="12"/>
      <c r="CU947" s="12"/>
      <c r="CV947" s="12"/>
      <c r="CW947" s="12"/>
      <c r="CX947" s="12"/>
      <c r="CY947" s="12"/>
      <c r="CZ947" s="12"/>
      <c r="DA947" s="12"/>
      <c r="DB947" s="12"/>
      <c r="DC947" s="12"/>
      <c r="DD947" s="12"/>
      <c r="DE947" s="12"/>
      <c r="DF947" s="12"/>
      <c r="DG947" s="12"/>
      <c r="DH947" s="12"/>
      <c r="DI947" s="12"/>
      <c r="DJ947" s="12"/>
      <c r="DK947" s="12"/>
      <c r="DL947" s="12"/>
      <c r="DM947" s="12"/>
      <c r="DN947" s="12"/>
      <c r="DO947" s="12"/>
      <c r="DP947" s="12"/>
      <c r="DQ947" s="12"/>
      <c r="DR947" s="12"/>
      <c r="DS947" s="12"/>
      <c r="DT947" s="12"/>
      <c r="DU947" s="12"/>
      <c r="DV947" s="12"/>
      <c r="DW947" s="12"/>
      <c r="DX947" s="12"/>
      <c r="DY947" s="12"/>
      <c r="DZ947" s="12"/>
      <c r="EA947" s="12"/>
      <c r="EB947" s="12"/>
      <c r="EC947" s="12"/>
      <c r="ED947" s="12"/>
      <c r="EE947" s="12"/>
      <c r="EF947" s="12"/>
      <c r="EG947" s="12"/>
      <c r="EH947" s="12"/>
      <c r="EI947" s="12"/>
      <c r="EJ947" s="574"/>
      <c r="EK947" s="574"/>
      <c r="EL947" s="574"/>
      <c r="EM947" s="574"/>
      <c r="EN947" s="574"/>
      <c r="EO947" s="574"/>
      <c r="EP947" s="574"/>
      <c r="EQ947" s="574"/>
      <c r="ER947" s="574"/>
      <c r="ES947" s="574"/>
      <c r="ET947" s="574"/>
      <c r="EU947" s="574"/>
    </row>
    <row r="948">
      <c r="A948" s="12"/>
      <c r="B948" s="55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  <c r="AX948" s="12"/>
      <c r="AY948" s="12"/>
      <c r="AZ948" s="12"/>
      <c r="BA948" s="12"/>
      <c r="BB948" s="12"/>
      <c r="BC948" s="12"/>
      <c r="BD948" s="12"/>
      <c r="BE948" s="12"/>
      <c r="BF948" s="12"/>
      <c r="BG948" s="12"/>
      <c r="BH948" s="12"/>
      <c r="BI948" s="12"/>
      <c r="BJ948" s="12"/>
      <c r="BK948" s="12"/>
      <c r="BL948" s="12"/>
      <c r="BM948" s="12"/>
      <c r="BN948" s="12"/>
      <c r="BO948" s="12"/>
      <c r="BP948" s="12"/>
      <c r="BQ948" s="12"/>
      <c r="BR948" s="12"/>
      <c r="BS948" s="12"/>
      <c r="BT948" s="12"/>
      <c r="BU948" s="12"/>
      <c r="BV948" s="12"/>
      <c r="BW948" s="12"/>
      <c r="BX948" s="12"/>
      <c r="BY948" s="12"/>
      <c r="BZ948" s="12"/>
      <c r="CA948" s="12"/>
      <c r="CB948" s="12"/>
      <c r="CC948" s="12"/>
      <c r="CD948" s="12"/>
      <c r="CE948" s="12"/>
      <c r="CF948" s="12"/>
      <c r="CG948" s="12"/>
      <c r="CH948" s="12"/>
      <c r="CI948" s="12"/>
      <c r="CJ948" s="12"/>
      <c r="CK948" s="12"/>
      <c r="CL948" s="12"/>
      <c r="CM948" s="12"/>
      <c r="CN948" s="12"/>
      <c r="CO948" s="12"/>
      <c r="CP948" s="12"/>
      <c r="CQ948" s="12"/>
      <c r="CR948" s="12"/>
      <c r="CS948" s="12"/>
      <c r="CT948" s="12"/>
      <c r="CU948" s="12"/>
      <c r="CV948" s="12"/>
      <c r="CW948" s="12"/>
      <c r="CX948" s="12"/>
      <c r="CY948" s="12"/>
      <c r="CZ948" s="12"/>
      <c r="DA948" s="12"/>
      <c r="DB948" s="12"/>
      <c r="DC948" s="12"/>
      <c r="DD948" s="12"/>
      <c r="DE948" s="12"/>
      <c r="DF948" s="12"/>
      <c r="DG948" s="12"/>
      <c r="DH948" s="12"/>
      <c r="DI948" s="12"/>
      <c r="DJ948" s="12"/>
      <c r="DK948" s="12"/>
      <c r="DL948" s="12"/>
      <c r="DM948" s="12"/>
      <c r="DN948" s="12"/>
      <c r="DO948" s="12"/>
      <c r="DP948" s="12"/>
      <c r="DQ948" s="12"/>
      <c r="DR948" s="12"/>
      <c r="DS948" s="12"/>
      <c r="DT948" s="12"/>
      <c r="DU948" s="12"/>
      <c r="DV948" s="12"/>
      <c r="DW948" s="12"/>
      <c r="DX948" s="12"/>
      <c r="DY948" s="12"/>
      <c r="DZ948" s="12"/>
      <c r="EA948" s="12"/>
      <c r="EB948" s="12"/>
      <c r="EC948" s="12"/>
      <c r="ED948" s="12"/>
      <c r="EE948" s="12"/>
      <c r="EF948" s="12"/>
      <c r="EG948" s="12"/>
      <c r="EH948" s="12"/>
      <c r="EI948" s="12"/>
      <c r="EJ948" s="574"/>
      <c r="EK948" s="574"/>
      <c r="EL948" s="574"/>
      <c r="EM948" s="574"/>
      <c r="EN948" s="574"/>
      <c r="EO948" s="574"/>
      <c r="EP948" s="574"/>
      <c r="EQ948" s="574"/>
      <c r="ER948" s="574"/>
      <c r="ES948" s="574"/>
      <c r="ET948" s="574"/>
      <c r="EU948" s="574"/>
    </row>
    <row r="949">
      <c r="A949" s="12"/>
      <c r="B949" s="55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  <c r="AX949" s="12"/>
      <c r="AY949" s="12"/>
      <c r="AZ949" s="12"/>
      <c r="BA949" s="12"/>
      <c r="BB949" s="12"/>
      <c r="BC949" s="12"/>
      <c r="BD949" s="12"/>
      <c r="BE949" s="12"/>
      <c r="BF949" s="12"/>
      <c r="BG949" s="12"/>
      <c r="BH949" s="12"/>
      <c r="BI949" s="12"/>
      <c r="BJ949" s="12"/>
      <c r="BK949" s="12"/>
      <c r="BL949" s="12"/>
      <c r="BM949" s="12"/>
      <c r="BN949" s="12"/>
      <c r="BO949" s="12"/>
      <c r="BP949" s="12"/>
      <c r="BQ949" s="12"/>
      <c r="BR949" s="12"/>
      <c r="BS949" s="12"/>
      <c r="BT949" s="12"/>
      <c r="BU949" s="12"/>
      <c r="BV949" s="12"/>
      <c r="BW949" s="12"/>
      <c r="BX949" s="12"/>
      <c r="BY949" s="12"/>
      <c r="BZ949" s="12"/>
      <c r="CA949" s="12"/>
      <c r="CB949" s="12"/>
      <c r="CC949" s="12"/>
      <c r="CD949" s="12"/>
      <c r="CE949" s="12"/>
      <c r="CF949" s="12"/>
      <c r="CG949" s="12"/>
      <c r="CH949" s="12"/>
      <c r="CI949" s="12"/>
      <c r="CJ949" s="12"/>
      <c r="CK949" s="12"/>
      <c r="CL949" s="12"/>
      <c r="CM949" s="12"/>
      <c r="CN949" s="12"/>
      <c r="CO949" s="12"/>
      <c r="CP949" s="12"/>
      <c r="CQ949" s="12"/>
      <c r="CR949" s="12"/>
      <c r="CS949" s="12"/>
      <c r="CT949" s="12"/>
      <c r="CU949" s="12"/>
      <c r="CV949" s="12"/>
      <c r="CW949" s="12"/>
      <c r="CX949" s="12"/>
      <c r="CY949" s="12"/>
      <c r="CZ949" s="12"/>
      <c r="DA949" s="12"/>
      <c r="DB949" s="12"/>
      <c r="DC949" s="12"/>
      <c r="DD949" s="12"/>
      <c r="DE949" s="12"/>
      <c r="DF949" s="12"/>
      <c r="DG949" s="12"/>
      <c r="DH949" s="12"/>
      <c r="DI949" s="12"/>
      <c r="DJ949" s="12"/>
      <c r="DK949" s="12"/>
      <c r="DL949" s="12"/>
      <c r="DM949" s="12"/>
      <c r="DN949" s="12"/>
      <c r="DO949" s="12"/>
      <c r="DP949" s="12"/>
      <c r="DQ949" s="12"/>
      <c r="DR949" s="12"/>
      <c r="DS949" s="12"/>
      <c r="DT949" s="12"/>
      <c r="DU949" s="12"/>
      <c r="DV949" s="12"/>
      <c r="DW949" s="12"/>
      <c r="DX949" s="12"/>
      <c r="DY949" s="12"/>
      <c r="DZ949" s="12"/>
      <c r="EA949" s="12"/>
      <c r="EB949" s="12"/>
      <c r="EC949" s="12"/>
      <c r="ED949" s="12"/>
      <c r="EE949" s="12"/>
      <c r="EF949" s="12"/>
      <c r="EG949" s="12"/>
      <c r="EH949" s="12"/>
      <c r="EI949" s="12"/>
      <c r="EJ949" s="574"/>
      <c r="EK949" s="574"/>
      <c r="EL949" s="574"/>
      <c r="EM949" s="574"/>
      <c r="EN949" s="574"/>
      <c r="EO949" s="574"/>
      <c r="EP949" s="574"/>
      <c r="EQ949" s="574"/>
      <c r="ER949" s="574"/>
      <c r="ES949" s="574"/>
      <c r="ET949" s="574"/>
      <c r="EU949" s="574"/>
    </row>
    <row r="950">
      <c r="A950" s="12"/>
      <c r="B950" s="55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  <c r="AX950" s="12"/>
      <c r="AY950" s="12"/>
      <c r="AZ950" s="12"/>
      <c r="BA950" s="12"/>
      <c r="BB950" s="12"/>
      <c r="BC950" s="12"/>
      <c r="BD950" s="12"/>
      <c r="BE950" s="12"/>
      <c r="BF950" s="12"/>
      <c r="BG950" s="12"/>
      <c r="BH950" s="12"/>
      <c r="BI950" s="12"/>
      <c r="BJ950" s="12"/>
      <c r="BK950" s="12"/>
      <c r="BL950" s="12"/>
      <c r="BM950" s="12"/>
      <c r="BN950" s="12"/>
      <c r="BO950" s="12"/>
      <c r="BP950" s="12"/>
      <c r="BQ950" s="12"/>
      <c r="BR950" s="12"/>
      <c r="BS950" s="12"/>
      <c r="BT950" s="12"/>
      <c r="BU950" s="12"/>
      <c r="BV950" s="12"/>
      <c r="BW950" s="12"/>
      <c r="BX950" s="12"/>
      <c r="BY950" s="12"/>
      <c r="BZ950" s="12"/>
      <c r="CA950" s="12"/>
      <c r="CB950" s="12"/>
      <c r="CC950" s="12"/>
      <c r="CD950" s="12"/>
      <c r="CE950" s="12"/>
      <c r="CF950" s="12"/>
      <c r="CG950" s="12"/>
      <c r="CH950" s="12"/>
      <c r="CI950" s="12"/>
      <c r="CJ950" s="12"/>
      <c r="CK950" s="12"/>
      <c r="CL950" s="12"/>
      <c r="CM950" s="12"/>
      <c r="CN950" s="12"/>
      <c r="CO950" s="12"/>
      <c r="CP950" s="12"/>
      <c r="CQ950" s="12"/>
      <c r="CR950" s="12"/>
      <c r="CS950" s="12"/>
      <c r="CT950" s="12"/>
      <c r="CU950" s="12"/>
      <c r="CV950" s="12"/>
      <c r="CW950" s="12"/>
      <c r="CX950" s="12"/>
      <c r="CY950" s="12"/>
      <c r="CZ950" s="12"/>
      <c r="DA950" s="12"/>
      <c r="DB950" s="12"/>
      <c r="DC950" s="12"/>
      <c r="DD950" s="12"/>
      <c r="DE950" s="12"/>
      <c r="DF950" s="12"/>
      <c r="DG950" s="12"/>
      <c r="DH950" s="12"/>
      <c r="DI950" s="12"/>
      <c r="DJ950" s="12"/>
      <c r="DK950" s="12"/>
      <c r="DL950" s="12"/>
      <c r="DM950" s="12"/>
      <c r="DN950" s="12"/>
      <c r="DO950" s="12"/>
      <c r="DP950" s="12"/>
      <c r="DQ950" s="12"/>
      <c r="DR950" s="12"/>
      <c r="DS950" s="12"/>
      <c r="DT950" s="12"/>
      <c r="DU950" s="12"/>
      <c r="DV950" s="12"/>
      <c r="DW950" s="12"/>
      <c r="DX950" s="12"/>
      <c r="DY950" s="12"/>
      <c r="DZ950" s="12"/>
      <c r="EA950" s="12"/>
      <c r="EB950" s="12"/>
      <c r="EC950" s="12"/>
      <c r="ED950" s="12"/>
      <c r="EE950" s="12"/>
      <c r="EF950" s="12"/>
      <c r="EG950" s="12"/>
      <c r="EH950" s="12"/>
      <c r="EI950" s="12"/>
      <c r="EJ950" s="574"/>
      <c r="EK950" s="574"/>
      <c r="EL950" s="574"/>
      <c r="EM950" s="574"/>
      <c r="EN950" s="574"/>
      <c r="EO950" s="574"/>
      <c r="EP950" s="574"/>
      <c r="EQ950" s="574"/>
      <c r="ER950" s="574"/>
      <c r="ES950" s="574"/>
      <c r="ET950" s="574"/>
      <c r="EU950" s="574"/>
    </row>
    <row r="951">
      <c r="A951" s="12"/>
      <c r="B951" s="55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  <c r="AX951" s="12"/>
      <c r="AY951" s="12"/>
      <c r="AZ951" s="12"/>
      <c r="BA951" s="12"/>
      <c r="BB951" s="12"/>
      <c r="BC951" s="12"/>
      <c r="BD951" s="12"/>
      <c r="BE951" s="12"/>
      <c r="BF951" s="12"/>
      <c r="BG951" s="12"/>
      <c r="BH951" s="12"/>
      <c r="BI951" s="12"/>
      <c r="BJ951" s="12"/>
      <c r="BK951" s="12"/>
      <c r="BL951" s="12"/>
      <c r="BM951" s="12"/>
      <c r="BN951" s="12"/>
      <c r="BO951" s="12"/>
      <c r="BP951" s="12"/>
      <c r="BQ951" s="12"/>
      <c r="BR951" s="12"/>
      <c r="BS951" s="12"/>
      <c r="BT951" s="12"/>
      <c r="BU951" s="12"/>
      <c r="BV951" s="12"/>
      <c r="BW951" s="12"/>
      <c r="BX951" s="12"/>
      <c r="BY951" s="12"/>
      <c r="BZ951" s="12"/>
      <c r="CA951" s="12"/>
      <c r="CB951" s="12"/>
      <c r="CC951" s="12"/>
      <c r="CD951" s="12"/>
      <c r="CE951" s="12"/>
      <c r="CF951" s="12"/>
      <c r="CG951" s="12"/>
      <c r="CH951" s="12"/>
      <c r="CI951" s="12"/>
      <c r="CJ951" s="12"/>
      <c r="CK951" s="12"/>
      <c r="CL951" s="12"/>
      <c r="CM951" s="12"/>
      <c r="CN951" s="12"/>
      <c r="CO951" s="12"/>
      <c r="CP951" s="12"/>
      <c r="CQ951" s="12"/>
      <c r="CR951" s="12"/>
      <c r="CS951" s="12"/>
      <c r="CT951" s="12"/>
      <c r="CU951" s="12"/>
      <c r="CV951" s="12"/>
      <c r="CW951" s="12"/>
      <c r="CX951" s="12"/>
      <c r="CY951" s="12"/>
      <c r="CZ951" s="12"/>
      <c r="DA951" s="12"/>
      <c r="DB951" s="12"/>
      <c r="DC951" s="12"/>
      <c r="DD951" s="12"/>
      <c r="DE951" s="12"/>
      <c r="DF951" s="12"/>
      <c r="DG951" s="12"/>
      <c r="DH951" s="12"/>
      <c r="DI951" s="12"/>
      <c r="DJ951" s="12"/>
      <c r="DK951" s="12"/>
      <c r="DL951" s="12"/>
      <c r="DM951" s="12"/>
      <c r="DN951" s="12"/>
      <c r="DO951" s="12"/>
      <c r="DP951" s="12"/>
      <c r="DQ951" s="12"/>
      <c r="DR951" s="12"/>
      <c r="DS951" s="12"/>
      <c r="DT951" s="12"/>
      <c r="DU951" s="12"/>
      <c r="DV951" s="12"/>
      <c r="DW951" s="12"/>
      <c r="DX951" s="12"/>
      <c r="DY951" s="12"/>
      <c r="DZ951" s="12"/>
      <c r="EA951" s="12"/>
      <c r="EB951" s="12"/>
      <c r="EC951" s="12"/>
      <c r="ED951" s="12"/>
      <c r="EE951" s="12"/>
      <c r="EF951" s="12"/>
      <c r="EG951" s="12"/>
      <c r="EH951" s="12"/>
      <c r="EI951" s="12"/>
      <c r="EJ951" s="574"/>
      <c r="EK951" s="574"/>
      <c r="EL951" s="574"/>
      <c r="EM951" s="574"/>
      <c r="EN951" s="574"/>
      <c r="EO951" s="574"/>
      <c r="EP951" s="574"/>
      <c r="EQ951" s="574"/>
      <c r="ER951" s="574"/>
      <c r="ES951" s="574"/>
      <c r="ET951" s="574"/>
      <c r="EU951" s="574"/>
    </row>
    <row r="952">
      <c r="A952" s="12"/>
      <c r="B952" s="55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  <c r="AX952" s="12"/>
      <c r="AY952" s="12"/>
      <c r="AZ952" s="12"/>
      <c r="BA952" s="12"/>
      <c r="BB952" s="12"/>
      <c r="BC952" s="12"/>
      <c r="BD952" s="12"/>
      <c r="BE952" s="12"/>
      <c r="BF952" s="12"/>
      <c r="BG952" s="12"/>
      <c r="BH952" s="12"/>
      <c r="BI952" s="12"/>
      <c r="BJ952" s="12"/>
      <c r="BK952" s="12"/>
      <c r="BL952" s="12"/>
      <c r="BM952" s="12"/>
      <c r="BN952" s="12"/>
      <c r="BO952" s="12"/>
      <c r="BP952" s="12"/>
      <c r="BQ952" s="12"/>
      <c r="BR952" s="12"/>
      <c r="BS952" s="12"/>
      <c r="BT952" s="12"/>
      <c r="BU952" s="12"/>
      <c r="BV952" s="12"/>
      <c r="BW952" s="12"/>
      <c r="BX952" s="12"/>
      <c r="BY952" s="12"/>
      <c r="BZ952" s="12"/>
      <c r="CA952" s="12"/>
      <c r="CB952" s="12"/>
      <c r="CC952" s="12"/>
      <c r="CD952" s="12"/>
      <c r="CE952" s="12"/>
      <c r="CF952" s="12"/>
      <c r="CG952" s="12"/>
      <c r="CH952" s="12"/>
      <c r="CI952" s="12"/>
      <c r="CJ952" s="12"/>
      <c r="CK952" s="12"/>
      <c r="CL952" s="12"/>
      <c r="CM952" s="12"/>
      <c r="CN952" s="12"/>
      <c r="CO952" s="12"/>
      <c r="CP952" s="12"/>
      <c r="CQ952" s="12"/>
      <c r="CR952" s="12"/>
      <c r="CS952" s="12"/>
      <c r="CT952" s="12"/>
      <c r="CU952" s="12"/>
      <c r="CV952" s="12"/>
      <c r="CW952" s="12"/>
      <c r="CX952" s="12"/>
      <c r="CY952" s="12"/>
      <c r="CZ952" s="12"/>
      <c r="DA952" s="12"/>
      <c r="DB952" s="12"/>
      <c r="DC952" s="12"/>
      <c r="DD952" s="12"/>
      <c r="DE952" s="12"/>
      <c r="DF952" s="12"/>
      <c r="DG952" s="12"/>
      <c r="DH952" s="12"/>
      <c r="DI952" s="12"/>
      <c r="DJ952" s="12"/>
      <c r="DK952" s="12"/>
      <c r="DL952" s="12"/>
      <c r="DM952" s="12"/>
      <c r="DN952" s="12"/>
      <c r="DO952" s="12"/>
      <c r="DP952" s="12"/>
      <c r="DQ952" s="12"/>
      <c r="DR952" s="12"/>
      <c r="DS952" s="12"/>
      <c r="DT952" s="12"/>
      <c r="DU952" s="12"/>
      <c r="DV952" s="12"/>
      <c r="DW952" s="12"/>
      <c r="DX952" s="12"/>
      <c r="DY952" s="12"/>
      <c r="DZ952" s="12"/>
      <c r="EA952" s="12"/>
      <c r="EB952" s="12"/>
      <c r="EC952" s="12"/>
      <c r="ED952" s="12"/>
      <c r="EE952" s="12"/>
      <c r="EF952" s="12"/>
      <c r="EG952" s="12"/>
      <c r="EH952" s="12"/>
      <c r="EI952" s="12"/>
      <c r="EJ952" s="574"/>
      <c r="EK952" s="574"/>
      <c r="EL952" s="574"/>
      <c r="EM952" s="574"/>
      <c r="EN952" s="574"/>
      <c r="EO952" s="574"/>
      <c r="EP952" s="574"/>
      <c r="EQ952" s="574"/>
      <c r="ER952" s="574"/>
      <c r="ES952" s="574"/>
      <c r="ET952" s="574"/>
      <c r="EU952" s="574"/>
    </row>
    <row r="953">
      <c r="A953" s="12"/>
      <c r="B953" s="55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  <c r="AX953" s="12"/>
      <c r="AY953" s="12"/>
      <c r="AZ953" s="12"/>
      <c r="BA953" s="12"/>
      <c r="BB953" s="12"/>
      <c r="BC953" s="12"/>
      <c r="BD953" s="12"/>
      <c r="BE953" s="12"/>
      <c r="BF953" s="12"/>
      <c r="BG953" s="12"/>
      <c r="BH953" s="12"/>
      <c r="BI953" s="12"/>
      <c r="BJ953" s="12"/>
      <c r="BK953" s="12"/>
      <c r="BL953" s="12"/>
      <c r="BM953" s="12"/>
      <c r="BN953" s="12"/>
      <c r="BO953" s="12"/>
      <c r="BP953" s="12"/>
      <c r="BQ953" s="12"/>
      <c r="BR953" s="12"/>
      <c r="BS953" s="12"/>
      <c r="BT953" s="12"/>
      <c r="BU953" s="12"/>
      <c r="BV953" s="12"/>
      <c r="BW953" s="12"/>
      <c r="BX953" s="12"/>
      <c r="BY953" s="12"/>
      <c r="BZ953" s="12"/>
      <c r="CA953" s="12"/>
      <c r="CB953" s="12"/>
      <c r="CC953" s="12"/>
      <c r="CD953" s="12"/>
      <c r="CE953" s="12"/>
      <c r="CF953" s="12"/>
      <c r="CG953" s="12"/>
      <c r="CH953" s="12"/>
      <c r="CI953" s="12"/>
      <c r="CJ953" s="12"/>
      <c r="CK953" s="12"/>
      <c r="CL953" s="12"/>
      <c r="CM953" s="12"/>
      <c r="CN953" s="12"/>
      <c r="CO953" s="12"/>
      <c r="CP953" s="12"/>
      <c r="CQ953" s="12"/>
      <c r="CR953" s="12"/>
      <c r="CS953" s="12"/>
      <c r="CT953" s="12"/>
      <c r="CU953" s="12"/>
      <c r="CV953" s="12"/>
      <c r="CW953" s="12"/>
      <c r="CX953" s="12"/>
      <c r="CY953" s="12"/>
      <c r="CZ953" s="12"/>
      <c r="DA953" s="12"/>
      <c r="DB953" s="12"/>
      <c r="DC953" s="12"/>
      <c r="DD953" s="12"/>
      <c r="DE953" s="12"/>
      <c r="DF953" s="12"/>
      <c r="DG953" s="12"/>
      <c r="DH953" s="12"/>
      <c r="DI953" s="12"/>
      <c r="DJ953" s="12"/>
      <c r="DK953" s="12"/>
      <c r="DL953" s="12"/>
      <c r="DM953" s="12"/>
      <c r="DN953" s="12"/>
      <c r="DO953" s="12"/>
      <c r="DP953" s="12"/>
      <c r="DQ953" s="12"/>
      <c r="DR953" s="12"/>
      <c r="DS953" s="12"/>
      <c r="DT953" s="12"/>
      <c r="DU953" s="12"/>
      <c r="DV953" s="12"/>
      <c r="DW953" s="12"/>
      <c r="DX953" s="12"/>
      <c r="DY953" s="12"/>
      <c r="DZ953" s="12"/>
      <c r="EA953" s="12"/>
      <c r="EB953" s="12"/>
      <c r="EC953" s="12"/>
      <c r="ED953" s="12"/>
      <c r="EE953" s="12"/>
      <c r="EF953" s="12"/>
      <c r="EG953" s="12"/>
      <c r="EH953" s="12"/>
      <c r="EI953" s="12"/>
      <c r="EJ953" s="574"/>
      <c r="EK953" s="574"/>
      <c r="EL953" s="574"/>
      <c r="EM953" s="574"/>
      <c r="EN953" s="574"/>
      <c r="EO953" s="574"/>
      <c r="EP953" s="574"/>
      <c r="EQ953" s="574"/>
      <c r="ER953" s="574"/>
      <c r="ES953" s="574"/>
      <c r="ET953" s="574"/>
      <c r="EU953" s="574"/>
    </row>
    <row r="954">
      <c r="A954" s="12"/>
      <c r="B954" s="55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  <c r="AX954" s="12"/>
      <c r="AY954" s="12"/>
      <c r="AZ954" s="12"/>
      <c r="BA954" s="12"/>
      <c r="BB954" s="12"/>
      <c r="BC954" s="12"/>
      <c r="BD954" s="12"/>
      <c r="BE954" s="12"/>
      <c r="BF954" s="12"/>
      <c r="BG954" s="12"/>
      <c r="BH954" s="12"/>
      <c r="BI954" s="12"/>
      <c r="BJ954" s="12"/>
      <c r="BK954" s="12"/>
      <c r="BL954" s="12"/>
      <c r="BM954" s="12"/>
      <c r="BN954" s="12"/>
      <c r="BO954" s="12"/>
      <c r="BP954" s="12"/>
      <c r="BQ954" s="12"/>
      <c r="BR954" s="12"/>
      <c r="BS954" s="12"/>
      <c r="BT954" s="12"/>
      <c r="BU954" s="12"/>
      <c r="BV954" s="12"/>
      <c r="BW954" s="12"/>
      <c r="BX954" s="12"/>
      <c r="BY954" s="12"/>
      <c r="BZ954" s="12"/>
      <c r="CA954" s="12"/>
      <c r="CB954" s="12"/>
      <c r="CC954" s="12"/>
      <c r="CD954" s="12"/>
      <c r="CE954" s="12"/>
      <c r="CF954" s="12"/>
      <c r="CG954" s="12"/>
      <c r="CH954" s="12"/>
      <c r="CI954" s="12"/>
      <c r="CJ954" s="12"/>
      <c r="CK954" s="12"/>
      <c r="CL954" s="12"/>
      <c r="CM954" s="12"/>
      <c r="CN954" s="12"/>
      <c r="CO954" s="12"/>
      <c r="CP954" s="12"/>
      <c r="CQ954" s="12"/>
      <c r="CR954" s="12"/>
      <c r="CS954" s="12"/>
      <c r="CT954" s="12"/>
      <c r="CU954" s="12"/>
      <c r="CV954" s="12"/>
      <c r="CW954" s="12"/>
      <c r="CX954" s="12"/>
      <c r="CY954" s="12"/>
      <c r="CZ954" s="12"/>
      <c r="DA954" s="12"/>
      <c r="DB954" s="12"/>
      <c r="DC954" s="12"/>
      <c r="DD954" s="12"/>
      <c r="DE954" s="12"/>
      <c r="DF954" s="12"/>
      <c r="DG954" s="12"/>
      <c r="DH954" s="12"/>
      <c r="DI954" s="12"/>
      <c r="DJ954" s="12"/>
      <c r="DK954" s="12"/>
      <c r="DL954" s="12"/>
      <c r="DM954" s="12"/>
      <c r="DN954" s="12"/>
      <c r="DO954" s="12"/>
      <c r="DP954" s="12"/>
      <c r="DQ954" s="12"/>
      <c r="DR954" s="12"/>
      <c r="DS954" s="12"/>
      <c r="DT954" s="12"/>
      <c r="DU954" s="12"/>
      <c r="DV954" s="12"/>
      <c r="DW954" s="12"/>
      <c r="DX954" s="12"/>
      <c r="DY954" s="12"/>
      <c r="DZ954" s="12"/>
      <c r="EA954" s="12"/>
      <c r="EB954" s="12"/>
      <c r="EC954" s="12"/>
      <c r="ED954" s="12"/>
      <c r="EE954" s="12"/>
      <c r="EF954" s="12"/>
      <c r="EG954" s="12"/>
      <c r="EH954" s="12"/>
      <c r="EI954" s="12"/>
      <c r="EJ954" s="574"/>
      <c r="EK954" s="574"/>
      <c r="EL954" s="574"/>
      <c r="EM954" s="574"/>
      <c r="EN954" s="574"/>
      <c r="EO954" s="574"/>
      <c r="EP954" s="574"/>
      <c r="EQ954" s="574"/>
      <c r="ER954" s="574"/>
      <c r="ES954" s="574"/>
      <c r="ET954" s="574"/>
      <c r="EU954" s="574"/>
    </row>
    <row r="955">
      <c r="A955" s="12"/>
      <c r="B955" s="55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  <c r="AX955" s="12"/>
      <c r="AY955" s="12"/>
      <c r="AZ955" s="12"/>
      <c r="BA955" s="12"/>
      <c r="BB955" s="12"/>
      <c r="BC955" s="12"/>
      <c r="BD955" s="12"/>
      <c r="BE955" s="12"/>
      <c r="BF955" s="12"/>
      <c r="BG955" s="12"/>
      <c r="BH955" s="12"/>
      <c r="BI955" s="12"/>
      <c r="BJ955" s="12"/>
      <c r="BK955" s="12"/>
      <c r="BL955" s="12"/>
      <c r="BM955" s="12"/>
      <c r="BN955" s="12"/>
      <c r="BO955" s="12"/>
      <c r="BP955" s="12"/>
      <c r="BQ955" s="12"/>
      <c r="BR955" s="12"/>
      <c r="BS955" s="12"/>
      <c r="BT955" s="12"/>
      <c r="BU955" s="12"/>
      <c r="BV955" s="12"/>
      <c r="BW955" s="12"/>
      <c r="BX955" s="12"/>
      <c r="BY955" s="12"/>
      <c r="BZ955" s="12"/>
      <c r="CA955" s="12"/>
      <c r="CB955" s="12"/>
      <c r="CC955" s="12"/>
      <c r="CD955" s="12"/>
      <c r="CE955" s="12"/>
      <c r="CF955" s="12"/>
      <c r="CG955" s="12"/>
      <c r="CH955" s="12"/>
      <c r="CI955" s="12"/>
      <c r="CJ955" s="12"/>
      <c r="CK955" s="12"/>
      <c r="CL955" s="12"/>
      <c r="CM955" s="12"/>
      <c r="CN955" s="12"/>
      <c r="CO955" s="12"/>
      <c r="CP955" s="12"/>
      <c r="CQ955" s="12"/>
      <c r="CR955" s="12"/>
      <c r="CS955" s="12"/>
      <c r="CT955" s="12"/>
      <c r="CU955" s="12"/>
      <c r="CV955" s="12"/>
      <c r="CW955" s="12"/>
      <c r="CX955" s="12"/>
      <c r="CY955" s="12"/>
      <c r="CZ955" s="12"/>
      <c r="DA955" s="12"/>
      <c r="DB955" s="12"/>
      <c r="DC955" s="12"/>
      <c r="DD955" s="12"/>
      <c r="DE955" s="12"/>
      <c r="DF955" s="12"/>
      <c r="DG955" s="12"/>
      <c r="DH955" s="12"/>
      <c r="DI955" s="12"/>
      <c r="DJ955" s="12"/>
      <c r="DK955" s="12"/>
      <c r="DL955" s="12"/>
      <c r="DM955" s="12"/>
      <c r="DN955" s="12"/>
      <c r="DO955" s="12"/>
      <c r="DP955" s="12"/>
      <c r="DQ955" s="12"/>
      <c r="DR955" s="12"/>
      <c r="DS955" s="12"/>
      <c r="DT955" s="12"/>
      <c r="DU955" s="12"/>
      <c r="DV955" s="12"/>
      <c r="DW955" s="12"/>
      <c r="DX955" s="12"/>
      <c r="DY955" s="12"/>
      <c r="DZ955" s="12"/>
      <c r="EA955" s="12"/>
      <c r="EB955" s="12"/>
      <c r="EC955" s="12"/>
      <c r="ED955" s="12"/>
      <c r="EE955" s="12"/>
      <c r="EF955" s="12"/>
      <c r="EG955" s="12"/>
      <c r="EH955" s="12"/>
      <c r="EI955" s="12"/>
      <c r="EJ955" s="574"/>
      <c r="EK955" s="574"/>
      <c r="EL955" s="574"/>
      <c r="EM955" s="574"/>
      <c r="EN955" s="574"/>
      <c r="EO955" s="574"/>
      <c r="EP955" s="574"/>
      <c r="EQ955" s="574"/>
      <c r="ER955" s="574"/>
      <c r="ES955" s="574"/>
      <c r="ET955" s="574"/>
      <c r="EU955" s="574"/>
    </row>
    <row r="956">
      <c r="A956" s="12"/>
      <c r="B956" s="55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  <c r="AX956" s="12"/>
      <c r="AY956" s="12"/>
      <c r="AZ956" s="12"/>
      <c r="BA956" s="12"/>
      <c r="BB956" s="12"/>
      <c r="BC956" s="12"/>
      <c r="BD956" s="12"/>
      <c r="BE956" s="12"/>
      <c r="BF956" s="12"/>
      <c r="BG956" s="12"/>
      <c r="BH956" s="12"/>
      <c r="BI956" s="12"/>
      <c r="BJ956" s="12"/>
      <c r="BK956" s="12"/>
      <c r="BL956" s="12"/>
      <c r="BM956" s="12"/>
      <c r="BN956" s="12"/>
      <c r="BO956" s="12"/>
      <c r="BP956" s="12"/>
      <c r="BQ956" s="12"/>
      <c r="BR956" s="12"/>
      <c r="BS956" s="12"/>
      <c r="BT956" s="12"/>
      <c r="BU956" s="12"/>
      <c r="BV956" s="12"/>
      <c r="BW956" s="12"/>
      <c r="BX956" s="12"/>
      <c r="BY956" s="12"/>
      <c r="BZ956" s="12"/>
      <c r="CA956" s="12"/>
      <c r="CB956" s="12"/>
      <c r="CC956" s="12"/>
      <c r="CD956" s="12"/>
      <c r="CE956" s="12"/>
      <c r="CF956" s="12"/>
      <c r="CG956" s="12"/>
      <c r="CH956" s="12"/>
      <c r="CI956" s="12"/>
      <c r="CJ956" s="12"/>
      <c r="CK956" s="12"/>
      <c r="CL956" s="12"/>
      <c r="CM956" s="12"/>
      <c r="CN956" s="12"/>
      <c r="CO956" s="12"/>
      <c r="CP956" s="12"/>
      <c r="CQ956" s="12"/>
      <c r="CR956" s="12"/>
      <c r="CS956" s="12"/>
      <c r="CT956" s="12"/>
      <c r="CU956" s="12"/>
      <c r="CV956" s="12"/>
      <c r="CW956" s="12"/>
      <c r="CX956" s="12"/>
      <c r="CY956" s="12"/>
      <c r="CZ956" s="12"/>
      <c r="DA956" s="12"/>
      <c r="DB956" s="12"/>
      <c r="DC956" s="12"/>
      <c r="DD956" s="12"/>
      <c r="DE956" s="12"/>
      <c r="DF956" s="12"/>
      <c r="DG956" s="12"/>
      <c r="DH956" s="12"/>
      <c r="DI956" s="12"/>
      <c r="DJ956" s="12"/>
      <c r="DK956" s="12"/>
      <c r="DL956" s="12"/>
      <c r="DM956" s="12"/>
      <c r="DN956" s="12"/>
      <c r="DO956" s="12"/>
      <c r="DP956" s="12"/>
      <c r="DQ956" s="12"/>
      <c r="DR956" s="12"/>
      <c r="DS956" s="12"/>
      <c r="DT956" s="12"/>
      <c r="DU956" s="12"/>
      <c r="DV956" s="12"/>
      <c r="DW956" s="12"/>
      <c r="DX956" s="12"/>
      <c r="DY956" s="12"/>
      <c r="DZ956" s="12"/>
      <c r="EA956" s="12"/>
      <c r="EB956" s="12"/>
      <c r="EC956" s="12"/>
      <c r="ED956" s="12"/>
      <c r="EE956" s="12"/>
      <c r="EF956" s="12"/>
      <c r="EG956" s="12"/>
      <c r="EH956" s="12"/>
      <c r="EI956" s="12"/>
      <c r="EJ956" s="574"/>
      <c r="EK956" s="574"/>
      <c r="EL956" s="574"/>
      <c r="EM956" s="574"/>
      <c r="EN956" s="574"/>
      <c r="EO956" s="574"/>
      <c r="EP956" s="574"/>
      <c r="EQ956" s="574"/>
      <c r="ER956" s="574"/>
      <c r="ES956" s="574"/>
      <c r="ET956" s="574"/>
      <c r="EU956" s="574"/>
    </row>
    <row r="957">
      <c r="A957" s="12"/>
      <c r="B957" s="55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  <c r="AX957" s="12"/>
      <c r="AY957" s="12"/>
      <c r="AZ957" s="12"/>
      <c r="BA957" s="12"/>
      <c r="BB957" s="12"/>
      <c r="BC957" s="12"/>
      <c r="BD957" s="12"/>
      <c r="BE957" s="12"/>
      <c r="BF957" s="12"/>
      <c r="BG957" s="12"/>
      <c r="BH957" s="12"/>
      <c r="BI957" s="12"/>
      <c r="BJ957" s="12"/>
      <c r="BK957" s="12"/>
      <c r="BL957" s="12"/>
      <c r="BM957" s="12"/>
      <c r="BN957" s="12"/>
      <c r="BO957" s="12"/>
      <c r="BP957" s="12"/>
      <c r="BQ957" s="12"/>
      <c r="BR957" s="12"/>
      <c r="BS957" s="12"/>
      <c r="BT957" s="12"/>
      <c r="BU957" s="12"/>
      <c r="BV957" s="12"/>
      <c r="BW957" s="12"/>
      <c r="BX957" s="12"/>
      <c r="BY957" s="12"/>
      <c r="BZ957" s="12"/>
      <c r="CA957" s="12"/>
      <c r="CB957" s="12"/>
      <c r="CC957" s="12"/>
      <c r="CD957" s="12"/>
      <c r="CE957" s="12"/>
      <c r="CF957" s="12"/>
      <c r="CG957" s="12"/>
      <c r="CH957" s="12"/>
      <c r="CI957" s="12"/>
      <c r="CJ957" s="12"/>
      <c r="CK957" s="12"/>
      <c r="CL957" s="12"/>
      <c r="CM957" s="12"/>
      <c r="CN957" s="12"/>
      <c r="CO957" s="12"/>
      <c r="CP957" s="12"/>
      <c r="CQ957" s="12"/>
      <c r="CR957" s="12"/>
      <c r="CS957" s="12"/>
      <c r="CT957" s="12"/>
      <c r="CU957" s="12"/>
      <c r="CV957" s="12"/>
      <c r="CW957" s="12"/>
      <c r="CX957" s="12"/>
      <c r="CY957" s="12"/>
      <c r="CZ957" s="12"/>
      <c r="DA957" s="12"/>
      <c r="DB957" s="12"/>
      <c r="DC957" s="12"/>
      <c r="DD957" s="12"/>
      <c r="DE957" s="12"/>
      <c r="DF957" s="12"/>
      <c r="DG957" s="12"/>
      <c r="DH957" s="12"/>
      <c r="DI957" s="12"/>
      <c r="DJ957" s="12"/>
      <c r="DK957" s="12"/>
      <c r="DL957" s="12"/>
      <c r="DM957" s="12"/>
      <c r="DN957" s="12"/>
      <c r="DO957" s="12"/>
      <c r="DP957" s="12"/>
      <c r="DQ957" s="12"/>
      <c r="DR957" s="12"/>
      <c r="DS957" s="12"/>
      <c r="DT957" s="12"/>
      <c r="DU957" s="12"/>
      <c r="DV957" s="12"/>
      <c r="DW957" s="12"/>
      <c r="DX957" s="12"/>
      <c r="DY957" s="12"/>
      <c r="DZ957" s="12"/>
      <c r="EA957" s="12"/>
      <c r="EB957" s="12"/>
      <c r="EC957" s="12"/>
      <c r="ED957" s="12"/>
      <c r="EE957" s="12"/>
      <c r="EF957" s="12"/>
      <c r="EG957" s="12"/>
      <c r="EH957" s="12"/>
      <c r="EI957" s="12"/>
      <c r="EJ957" s="574"/>
      <c r="EK957" s="574"/>
      <c r="EL957" s="574"/>
      <c r="EM957" s="574"/>
      <c r="EN957" s="574"/>
      <c r="EO957" s="574"/>
      <c r="EP957" s="574"/>
      <c r="EQ957" s="574"/>
      <c r="ER957" s="574"/>
      <c r="ES957" s="574"/>
      <c r="ET957" s="574"/>
      <c r="EU957" s="574"/>
    </row>
    <row r="958">
      <c r="A958" s="12"/>
      <c r="B958" s="55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  <c r="AX958" s="12"/>
      <c r="AY958" s="12"/>
      <c r="AZ958" s="12"/>
      <c r="BA958" s="12"/>
      <c r="BB958" s="12"/>
      <c r="BC958" s="12"/>
      <c r="BD958" s="12"/>
      <c r="BE958" s="12"/>
      <c r="BF958" s="12"/>
      <c r="BG958" s="12"/>
      <c r="BH958" s="12"/>
      <c r="BI958" s="12"/>
      <c r="BJ958" s="12"/>
      <c r="BK958" s="12"/>
      <c r="BL958" s="12"/>
      <c r="BM958" s="12"/>
      <c r="BN958" s="12"/>
      <c r="BO958" s="12"/>
      <c r="BP958" s="12"/>
      <c r="BQ958" s="12"/>
      <c r="BR958" s="12"/>
      <c r="BS958" s="12"/>
      <c r="BT958" s="12"/>
      <c r="BU958" s="12"/>
      <c r="BV958" s="12"/>
      <c r="BW958" s="12"/>
      <c r="BX958" s="12"/>
      <c r="BY958" s="12"/>
      <c r="BZ958" s="12"/>
      <c r="CA958" s="12"/>
      <c r="CB958" s="12"/>
      <c r="CC958" s="12"/>
      <c r="CD958" s="12"/>
      <c r="CE958" s="12"/>
      <c r="CF958" s="12"/>
      <c r="CG958" s="12"/>
      <c r="CH958" s="12"/>
      <c r="CI958" s="12"/>
      <c r="CJ958" s="12"/>
      <c r="CK958" s="12"/>
      <c r="CL958" s="12"/>
      <c r="CM958" s="12"/>
      <c r="CN958" s="12"/>
      <c r="CO958" s="12"/>
      <c r="CP958" s="12"/>
      <c r="CQ958" s="12"/>
      <c r="CR958" s="12"/>
      <c r="CS958" s="12"/>
      <c r="CT958" s="12"/>
      <c r="CU958" s="12"/>
      <c r="CV958" s="12"/>
      <c r="CW958" s="12"/>
      <c r="CX958" s="12"/>
      <c r="CY958" s="12"/>
      <c r="CZ958" s="12"/>
      <c r="DA958" s="12"/>
      <c r="DB958" s="12"/>
      <c r="DC958" s="12"/>
      <c r="DD958" s="12"/>
      <c r="DE958" s="12"/>
      <c r="DF958" s="12"/>
      <c r="DG958" s="12"/>
      <c r="DH958" s="12"/>
      <c r="DI958" s="12"/>
      <c r="DJ958" s="12"/>
      <c r="DK958" s="12"/>
      <c r="DL958" s="12"/>
      <c r="DM958" s="12"/>
      <c r="DN958" s="12"/>
      <c r="DO958" s="12"/>
      <c r="DP958" s="12"/>
      <c r="DQ958" s="12"/>
      <c r="DR958" s="12"/>
      <c r="DS958" s="12"/>
      <c r="DT958" s="12"/>
      <c r="DU958" s="12"/>
      <c r="DV958" s="12"/>
      <c r="DW958" s="12"/>
      <c r="DX958" s="12"/>
      <c r="DY958" s="12"/>
      <c r="DZ958" s="12"/>
      <c r="EA958" s="12"/>
      <c r="EB958" s="12"/>
      <c r="EC958" s="12"/>
      <c r="ED958" s="12"/>
      <c r="EE958" s="12"/>
      <c r="EF958" s="12"/>
      <c r="EG958" s="12"/>
      <c r="EH958" s="12"/>
      <c r="EI958" s="12"/>
      <c r="EJ958" s="574"/>
      <c r="EK958" s="574"/>
      <c r="EL958" s="574"/>
      <c r="EM958" s="574"/>
      <c r="EN958" s="574"/>
      <c r="EO958" s="574"/>
      <c r="EP958" s="574"/>
      <c r="EQ958" s="574"/>
      <c r="ER958" s="574"/>
      <c r="ES958" s="574"/>
      <c r="ET958" s="574"/>
      <c r="EU958" s="574"/>
    </row>
    <row r="959">
      <c r="A959" s="12"/>
      <c r="B959" s="55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  <c r="AX959" s="12"/>
      <c r="AY959" s="12"/>
      <c r="AZ959" s="12"/>
      <c r="BA959" s="12"/>
      <c r="BB959" s="12"/>
      <c r="BC959" s="12"/>
      <c r="BD959" s="12"/>
      <c r="BE959" s="12"/>
      <c r="BF959" s="12"/>
      <c r="BG959" s="12"/>
      <c r="BH959" s="12"/>
      <c r="BI959" s="12"/>
      <c r="BJ959" s="12"/>
      <c r="BK959" s="12"/>
      <c r="BL959" s="12"/>
      <c r="BM959" s="12"/>
      <c r="BN959" s="12"/>
      <c r="BO959" s="12"/>
      <c r="BP959" s="12"/>
      <c r="BQ959" s="12"/>
      <c r="BR959" s="12"/>
      <c r="BS959" s="12"/>
      <c r="BT959" s="12"/>
      <c r="BU959" s="12"/>
      <c r="BV959" s="12"/>
      <c r="BW959" s="12"/>
      <c r="BX959" s="12"/>
      <c r="BY959" s="12"/>
      <c r="BZ959" s="12"/>
      <c r="CA959" s="12"/>
      <c r="CB959" s="12"/>
      <c r="CC959" s="12"/>
      <c r="CD959" s="12"/>
      <c r="CE959" s="12"/>
      <c r="CF959" s="12"/>
      <c r="CG959" s="12"/>
      <c r="CH959" s="12"/>
      <c r="CI959" s="12"/>
      <c r="CJ959" s="12"/>
      <c r="CK959" s="12"/>
      <c r="CL959" s="12"/>
      <c r="CM959" s="12"/>
      <c r="CN959" s="12"/>
      <c r="CO959" s="12"/>
      <c r="CP959" s="12"/>
      <c r="CQ959" s="12"/>
      <c r="CR959" s="12"/>
      <c r="CS959" s="12"/>
      <c r="CT959" s="12"/>
      <c r="CU959" s="12"/>
      <c r="CV959" s="12"/>
      <c r="CW959" s="12"/>
      <c r="CX959" s="12"/>
      <c r="CY959" s="12"/>
      <c r="CZ959" s="12"/>
      <c r="DA959" s="12"/>
      <c r="DB959" s="12"/>
      <c r="DC959" s="12"/>
      <c r="DD959" s="12"/>
      <c r="DE959" s="12"/>
      <c r="DF959" s="12"/>
      <c r="DG959" s="12"/>
      <c r="DH959" s="12"/>
      <c r="DI959" s="12"/>
      <c r="DJ959" s="12"/>
      <c r="DK959" s="12"/>
      <c r="DL959" s="12"/>
      <c r="DM959" s="12"/>
      <c r="DN959" s="12"/>
      <c r="DO959" s="12"/>
      <c r="DP959" s="12"/>
      <c r="DQ959" s="12"/>
      <c r="DR959" s="12"/>
      <c r="DS959" s="12"/>
      <c r="DT959" s="12"/>
      <c r="DU959" s="12"/>
      <c r="DV959" s="12"/>
      <c r="DW959" s="12"/>
      <c r="DX959" s="12"/>
      <c r="DY959" s="12"/>
      <c r="DZ959" s="12"/>
      <c r="EA959" s="12"/>
      <c r="EB959" s="12"/>
      <c r="EC959" s="12"/>
      <c r="ED959" s="12"/>
      <c r="EE959" s="12"/>
      <c r="EF959" s="12"/>
      <c r="EG959" s="12"/>
      <c r="EH959" s="12"/>
      <c r="EI959" s="12"/>
      <c r="EJ959" s="574"/>
      <c r="EK959" s="574"/>
      <c r="EL959" s="574"/>
      <c r="EM959" s="574"/>
      <c r="EN959" s="574"/>
      <c r="EO959" s="574"/>
      <c r="EP959" s="574"/>
      <c r="EQ959" s="574"/>
      <c r="ER959" s="574"/>
      <c r="ES959" s="574"/>
      <c r="ET959" s="574"/>
      <c r="EU959" s="574"/>
    </row>
    <row r="960">
      <c r="A960" s="12"/>
      <c r="B960" s="55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  <c r="AX960" s="12"/>
      <c r="AY960" s="12"/>
      <c r="AZ960" s="12"/>
      <c r="BA960" s="12"/>
      <c r="BB960" s="12"/>
      <c r="BC960" s="12"/>
      <c r="BD960" s="12"/>
      <c r="BE960" s="12"/>
      <c r="BF960" s="12"/>
      <c r="BG960" s="12"/>
      <c r="BH960" s="12"/>
      <c r="BI960" s="12"/>
      <c r="BJ960" s="12"/>
      <c r="BK960" s="12"/>
      <c r="BL960" s="12"/>
      <c r="BM960" s="12"/>
      <c r="BN960" s="12"/>
      <c r="BO960" s="12"/>
      <c r="BP960" s="12"/>
      <c r="BQ960" s="12"/>
      <c r="BR960" s="12"/>
      <c r="BS960" s="12"/>
      <c r="BT960" s="12"/>
      <c r="BU960" s="12"/>
      <c r="BV960" s="12"/>
      <c r="BW960" s="12"/>
      <c r="BX960" s="12"/>
      <c r="BY960" s="12"/>
      <c r="BZ960" s="12"/>
      <c r="CA960" s="12"/>
      <c r="CB960" s="12"/>
      <c r="CC960" s="12"/>
      <c r="CD960" s="12"/>
      <c r="CE960" s="12"/>
      <c r="CF960" s="12"/>
      <c r="CG960" s="12"/>
      <c r="CH960" s="12"/>
      <c r="CI960" s="12"/>
      <c r="CJ960" s="12"/>
      <c r="CK960" s="12"/>
      <c r="CL960" s="12"/>
      <c r="CM960" s="12"/>
      <c r="CN960" s="12"/>
      <c r="CO960" s="12"/>
      <c r="CP960" s="12"/>
      <c r="CQ960" s="12"/>
      <c r="CR960" s="12"/>
      <c r="CS960" s="12"/>
      <c r="CT960" s="12"/>
      <c r="CU960" s="12"/>
      <c r="CV960" s="12"/>
      <c r="CW960" s="12"/>
      <c r="CX960" s="12"/>
      <c r="CY960" s="12"/>
      <c r="CZ960" s="12"/>
      <c r="DA960" s="12"/>
      <c r="DB960" s="12"/>
      <c r="DC960" s="12"/>
      <c r="DD960" s="12"/>
      <c r="DE960" s="12"/>
      <c r="DF960" s="12"/>
      <c r="DG960" s="12"/>
      <c r="DH960" s="12"/>
      <c r="DI960" s="12"/>
      <c r="DJ960" s="12"/>
      <c r="DK960" s="12"/>
      <c r="DL960" s="12"/>
      <c r="DM960" s="12"/>
      <c r="DN960" s="12"/>
      <c r="DO960" s="12"/>
      <c r="DP960" s="12"/>
      <c r="DQ960" s="12"/>
      <c r="DR960" s="12"/>
      <c r="DS960" s="12"/>
      <c r="DT960" s="12"/>
      <c r="DU960" s="12"/>
      <c r="DV960" s="12"/>
      <c r="DW960" s="12"/>
      <c r="DX960" s="12"/>
      <c r="DY960" s="12"/>
      <c r="DZ960" s="12"/>
      <c r="EA960" s="12"/>
      <c r="EB960" s="12"/>
      <c r="EC960" s="12"/>
      <c r="ED960" s="12"/>
      <c r="EE960" s="12"/>
      <c r="EF960" s="12"/>
      <c r="EG960" s="12"/>
      <c r="EH960" s="12"/>
      <c r="EI960" s="12"/>
      <c r="EJ960" s="574"/>
      <c r="EK960" s="574"/>
      <c r="EL960" s="574"/>
      <c r="EM960" s="574"/>
      <c r="EN960" s="574"/>
      <c r="EO960" s="574"/>
      <c r="EP960" s="574"/>
      <c r="EQ960" s="574"/>
      <c r="ER960" s="574"/>
      <c r="ES960" s="574"/>
      <c r="ET960" s="574"/>
      <c r="EU960" s="574"/>
    </row>
    <row r="961">
      <c r="A961" s="12"/>
      <c r="B961" s="55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  <c r="AX961" s="12"/>
      <c r="AY961" s="12"/>
      <c r="AZ961" s="12"/>
      <c r="BA961" s="12"/>
      <c r="BB961" s="12"/>
      <c r="BC961" s="12"/>
      <c r="BD961" s="12"/>
      <c r="BE961" s="12"/>
      <c r="BF961" s="12"/>
      <c r="BG961" s="12"/>
      <c r="BH961" s="12"/>
      <c r="BI961" s="12"/>
      <c r="BJ961" s="12"/>
      <c r="BK961" s="12"/>
      <c r="BL961" s="12"/>
      <c r="BM961" s="12"/>
      <c r="BN961" s="12"/>
      <c r="BO961" s="12"/>
      <c r="BP961" s="12"/>
      <c r="BQ961" s="12"/>
      <c r="BR961" s="12"/>
      <c r="BS961" s="12"/>
      <c r="BT961" s="12"/>
      <c r="BU961" s="12"/>
      <c r="BV961" s="12"/>
      <c r="BW961" s="12"/>
      <c r="BX961" s="12"/>
      <c r="BY961" s="12"/>
      <c r="BZ961" s="12"/>
      <c r="CA961" s="12"/>
      <c r="CB961" s="12"/>
      <c r="CC961" s="12"/>
      <c r="CD961" s="12"/>
      <c r="CE961" s="12"/>
      <c r="CF961" s="12"/>
      <c r="CG961" s="12"/>
      <c r="CH961" s="12"/>
      <c r="CI961" s="12"/>
      <c r="CJ961" s="12"/>
      <c r="CK961" s="12"/>
      <c r="CL961" s="12"/>
      <c r="CM961" s="12"/>
      <c r="CN961" s="12"/>
      <c r="CO961" s="12"/>
      <c r="CP961" s="12"/>
      <c r="CQ961" s="12"/>
      <c r="CR961" s="12"/>
      <c r="CS961" s="12"/>
      <c r="CT961" s="12"/>
      <c r="CU961" s="12"/>
      <c r="CV961" s="12"/>
      <c r="CW961" s="12"/>
      <c r="CX961" s="12"/>
      <c r="CY961" s="12"/>
      <c r="CZ961" s="12"/>
      <c r="DA961" s="12"/>
      <c r="DB961" s="12"/>
      <c r="DC961" s="12"/>
      <c r="DD961" s="12"/>
      <c r="DE961" s="12"/>
      <c r="DF961" s="12"/>
      <c r="DG961" s="12"/>
      <c r="DH961" s="12"/>
      <c r="DI961" s="12"/>
      <c r="DJ961" s="12"/>
      <c r="DK961" s="12"/>
      <c r="DL961" s="12"/>
      <c r="DM961" s="12"/>
      <c r="DN961" s="12"/>
      <c r="DO961" s="12"/>
      <c r="DP961" s="12"/>
      <c r="DQ961" s="12"/>
      <c r="DR961" s="12"/>
      <c r="DS961" s="12"/>
      <c r="DT961" s="12"/>
      <c r="DU961" s="12"/>
      <c r="DV961" s="12"/>
      <c r="DW961" s="12"/>
      <c r="DX961" s="12"/>
      <c r="DY961" s="12"/>
      <c r="DZ961" s="12"/>
      <c r="EA961" s="12"/>
      <c r="EB961" s="12"/>
      <c r="EC961" s="12"/>
      <c r="ED961" s="12"/>
      <c r="EE961" s="12"/>
      <c r="EF961" s="12"/>
      <c r="EG961" s="12"/>
      <c r="EH961" s="12"/>
      <c r="EI961" s="12"/>
      <c r="EJ961" s="574"/>
      <c r="EK961" s="574"/>
      <c r="EL961" s="574"/>
      <c r="EM961" s="574"/>
      <c r="EN961" s="574"/>
      <c r="EO961" s="574"/>
      <c r="EP961" s="574"/>
      <c r="EQ961" s="574"/>
      <c r="ER961" s="574"/>
      <c r="ES961" s="574"/>
      <c r="ET961" s="574"/>
      <c r="EU961" s="574"/>
    </row>
    <row r="962">
      <c r="A962" s="12"/>
      <c r="B962" s="55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  <c r="AX962" s="12"/>
      <c r="AY962" s="12"/>
      <c r="AZ962" s="12"/>
      <c r="BA962" s="12"/>
      <c r="BB962" s="12"/>
      <c r="BC962" s="12"/>
      <c r="BD962" s="12"/>
      <c r="BE962" s="12"/>
      <c r="BF962" s="12"/>
      <c r="BG962" s="12"/>
      <c r="BH962" s="12"/>
      <c r="BI962" s="12"/>
      <c r="BJ962" s="12"/>
      <c r="BK962" s="12"/>
      <c r="BL962" s="12"/>
      <c r="BM962" s="12"/>
      <c r="BN962" s="12"/>
      <c r="BO962" s="12"/>
      <c r="BP962" s="12"/>
      <c r="BQ962" s="12"/>
      <c r="BR962" s="12"/>
      <c r="BS962" s="12"/>
      <c r="BT962" s="12"/>
      <c r="BU962" s="12"/>
      <c r="BV962" s="12"/>
      <c r="BW962" s="12"/>
      <c r="BX962" s="12"/>
      <c r="BY962" s="12"/>
      <c r="BZ962" s="12"/>
      <c r="CA962" s="12"/>
      <c r="CB962" s="12"/>
      <c r="CC962" s="12"/>
      <c r="CD962" s="12"/>
      <c r="CE962" s="12"/>
      <c r="CF962" s="12"/>
      <c r="CG962" s="12"/>
      <c r="CH962" s="12"/>
      <c r="CI962" s="12"/>
      <c r="CJ962" s="12"/>
      <c r="CK962" s="12"/>
      <c r="CL962" s="12"/>
      <c r="CM962" s="12"/>
      <c r="CN962" s="12"/>
      <c r="CO962" s="12"/>
      <c r="CP962" s="12"/>
      <c r="CQ962" s="12"/>
      <c r="CR962" s="12"/>
      <c r="CS962" s="12"/>
      <c r="CT962" s="12"/>
      <c r="CU962" s="12"/>
      <c r="CV962" s="12"/>
      <c r="CW962" s="12"/>
      <c r="CX962" s="12"/>
      <c r="CY962" s="12"/>
      <c r="CZ962" s="12"/>
      <c r="DA962" s="12"/>
      <c r="DB962" s="12"/>
      <c r="DC962" s="12"/>
      <c r="DD962" s="12"/>
      <c r="DE962" s="12"/>
      <c r="DF962" s="12"/>
      <c r="DG962" s="12"/>
      <c r="DH962" s="12"/>
      <c r="DI962" s="12"/>
      <c r="DJ962" s="12"/>
      <c r="DK962" s="12"/>
      <c r="DL962" s="12"/>
      <c r="DM962" s="12"/>
      <c r="DN962" s="12"/>
      <c r="DO962" s="12"/>
      <c r="DP962" s="12"/>
      <c r="DQ962" s="12"/>
      <c r="DR962" s="12"/>
      <c r="DS962" s="12"/>
      <c r="DT962" s="12"/>
      <c r="DU962" s="12"/>
      <c r="DV962" s="12"/>
      <c r="DW962" s="12"/>
      <c r="DX962" s="12"/>
      <c r="DY962" s="12"/>
      <c r="DZ962" s="12"/>
      <c r="EA962" s="12"/>
      <c r="EB962" s="12"/>
      <c r="EC962" s="12"/>
      <c r="ED962" s="12"/>
      <c r="EE962" s="12"/>
      <c r="EF962" s="12"/>
      <c r="EG962" s="12"/>
      <c r="EH962" s="12"/>
      <c r="EI962" s="12"/>
      <c r="EJ962" s="574"/>
      <c r="EK962" s="574"/>
      <c r="EL962" s="574"/>
      <c r="EM962" s="574"/>
      <c r="EN962" s="574"/>
      <c r="EO962" s="574"/>
      <c r="EP962" s="574"/>
      <c r="EQ962" s="574"/>
      <c r="ER962" s="574"/>
      <c r="ES962" s="574"/>
      <c r="ET962" s="574"/>
      <c r="EU962" s="574"/>
    </row>
    <row r="963">
      <c r="A963" s="12"/>
      <c r="B963" s="55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  <c r="AX963" s="12"/>
      <c r="AY963" s="12"/>
      <c r="AZ963" s="12"/>
      <c r="BA963" s="12"/>
      <c r="BB963" s="12"/>
      <c r="BC963" s="12"/>
      <c r="BD963" s="12"/>
      <c r="BE963" s="12"/>
      <c r="BF963" s="12"/>
      <c r="BG963" s="12"/>
      <c r="BH963" s="12"/>
      <c r="BI963" s="12"/>
      <c r="BJ963" s="12"/>
      <c r="BK963" s="12"/>
      <c r="BL963" s="12"/>
      <c r="BM963" s="12"/>
      <c r="BN963" s="12"/>
      <c r="BO963" s="12"/>
      <c r="BP963" s="12"/>
      <c r="BQ963" s="12"/>
      <c r="BR963" s="12"/>
      <c r="BS963" s="12"/>
      <c r="BT963" s="12"/>
      <c r="BU963" s="12"/>
      <c r="BV963" s="12"/>
      <c r="BW963" s="12"/>
      <c r="BX963" s="12"/>
      <c r="BY963" s="12"/>
      <c r="BZ963" s="12"/>
      <c r="CA963" s="12"/>
      <c r="CB963" s="12"/>
      <c r="CC963" s="12"/>
      <c r="CD963" s="12"/>
      <c r="CE963" s="12"/>
      <c r="CF963" s="12"/>
      <c r="CG963" s="12"/>
      <c r="CH963" s="12"/>
      <c r="CI963" s="12"/>
      <c r="CJ963" s="12"/>
      <c r="CK963" s="12"/>
      <c r="CL963" s="12"/>
      <c r="CM963" s="12"/>
      <c r="CN963" s="12"/>
      <c r="CO963" s="12"/>
      <c r="CP963" s="12"/>
      <c r="CQ963" s="12"/>
      <c r="CR963" s="12"/>
      <c r="CS963" s="12"/>
      <c r="CT963" s="12"/>
      <c r="CU963" s="12"/>
      <c r="CV963" s="12"/>
      <c r="CW963" s="12"/>
      <c r="CX963" s="12"/>
      <c r="CY963" s="12"/>
      <c r="CZ963" s="12"/>
      <c r="DA963" s="12"/>
      <c r="DB963" s="12"/>
      <c r="DC963" s="12"/>
      <c r="DD963" s="12"/>
      <c r="DE963" s="12"/>
      <c r="DF963" s="12"/>
      <c r="DG963" s="12"/>
      <c r="DH963" s="12"/>
      <c r="DI963" s="12"/>
      <c r="DJ963" s="12"/>
      <c r="DK963" s="12"/>
      <c r="DL963" s="12"/>
      <c r="DM963" s="12"/>
      <c r="DN963" s="12"/>
      <c r="DO963" s="12"/>
      <c r="DP963" s="12"/>
      <c r="DQ963" s="12"/>
      <c r="DR963" s="12"/>
      <c r="DS963" s="12"/>
      <c r="DT963" s="12"/>
      <c r="DU963" s="12"/>
      <c r="DV963" s="12"/>
      <c r="DW963" s="12"/>
      <c r="DX963" s="12"/>
      <c r="DY963" s="12"/>
      <c r="DZ963" s="12"/>
      <c r="EA963" s="12"/>
      <c r="EB963" s="12"/>
      <c r="EC963" s="12"/>
      <c r="ED963" s="12"/>
      <c r="EE963" s="12"/>
      <c r="EF963" s="12"/>
      <c r="EG963" s="12"/>
      <c r="EH963" s="12"/>
      <c r="EI963" s="12"/>
      <c r="EJ963" s="574"/>
      <c r="EK963" s="574"/>
      <c r="EL963" s="574"/>
      <c r="EM963" s="574"/>
      <c r="EN963" s="574"/>
      <c r="EO963" s="574"/>
      <c r="EP963" s="574"/>
      <c r="EQ963" s="574"/>
      <c r="ER963" s="574"/>
      <c r="ES963" s="574"/>
      <c r="ET963" s="574"/>
      <c r="EU963" s="574"/>
    </row>
    <row r="964">
      <c r="A964" s="12"/>
      <c r="B964" s="55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  <c r="AX964" s="12"/>
      <c r="AY964" s="12"/>
      <c r="AZ964" s="12"/>
      <c r="BA964" s="12"/>
      <c r="BB964" s="12"/>
      <c r="BC964" s="12"/>
      <c r="BD964" s="12"/>
      <c r="BE964" s="12"/>
      <c r="BF964" s="12"/>
      <c r="BG964" s="12"/>
      <c r="BH964" s="12"/>
      <c r="BI964" s="12"/>
      <c r="BJ964" s="12"/>
      <c r="BK964" s="12"/>
      <c r="BL964" s="12"/>
      <c r="BM964" s="12"/>
      <c r="BN964" s="12"/>
      <c r="BO964" s="12"/>
      <c r="BP964" s="12"/>
      <c r="BQ964" s="12"/>
      <c r="BR964" s="12"/>
      <c r="BS964" s="12"/>
      <c r="BT964" s="12"/>
      <c r="BU964" s="12"/>
      <c r="BV964" s="12"/>
      <c r="BW964" s="12"/>
      <c r="BX964" s="12"/>
      <c r="BY964" s="12"/>
      <c r="BZ964" s="12"/>
      <c r="CA964" s="12"/>
      <c r="CB964" s="12"/>
      <c r="CC964" s="12"/>
      <c r="CD964" s="12"/>
      <c r="CE964" s="12"/>
      <c r="CF964" s="12"/>
      <c r="CG964" s="12"/>
      <c r="CH964" s="12"/>
      <c r="CI964" s="12"/>
      <c r="CJ964" s="12"/>
      <c r="CK964" s="12"/>
      <c r="CL964" s="12"/>
      <c r="CM964" s="12"/>
      <c r="CN964" s="12"/>
      <c r="CO964" s="12"/>
      <c r="CP964" s="12"/>
      <c r="CQ964" s="12"/>
      <c r="CR964" s="12"/>
      <c r="CS964" s="12"/>
      <c r="CT964" s="12"/>
      <c r="CU964" s="12"/>
      <c r="CV964" s="12"/>
      <c r="CW964" s="12"/>
      <c r="CX964" s="12"/>
      <c r="CY964" s="12"/>
      <c r="CZ964" s="12"/>
      <c r="DA964" s="12"/>
      <c r="DB964" s="12"/>
      <c r="DC964" s="12"/>
      <c r="DD964" s="12"/>
      <c r="DE964" s="12"/>
      <c r="DF964" s="12"/>
      <c r="DG964" s="12"/>
      <c r="DH964" s="12"/>
      <c r="DI964" s="12"/>
      <c r="DJ964" s="12"/>
      <c r="DK964" s="12"/>
      <c r="DL964" s="12"/>
      <c r="DM964" s="12"/>
      <c r="DN964" s="12"/>
      <c r="DO964" s="12"/>
      <c r="DP964" s="12"/>
      <c r="DQ964" s="12"/>
      <c r="DR964" s="12"/>
      <c r="DS964" s="12"/>
      <c r="DT964" s="12"/>
      <c r="DU964" s="12"/>
      <c r="DV964" s="12"/>
      <c r="DW964" s="12"/>
      <c r="DX964" s="12"/>
      <c r="DY964" s="12"/>
      <c r="DZ964" s="12"/>
      <c r="EA964" s="12"/>
      <c r="EB964" s="12"/>
      <c r="EC964" s="12"/>
      <c r="ED964" s="12"/>
      <c r="EE964" s="12"/>
      <c r="EF964" s="12"/>
      <c r="EG964" s="12"/>
      <c r="EH964" s="12"/>
      <c r="EI964" s="12"/>
      <c r="EJ964" s="574"/>
      <c r="EK964" s="574"/>
      <c r="EL964" s="574"/>
      <c r="EM964" s="574"/>
      <c r="EN964" s="574"/>
      <c r="EO964" s="574"/>
      <c r="EP964" s="574"/>
      <c r="EQ964" s="574"/>
      <c r="ER964" s="574"/>
      <c r="ES964" s="574"/>
      <c r="ET964" s="574"/>
      <c r="EU964" s="574"/>
    </row>
    <row r="965">
      <c r="A965" s="12"/>
      <c r="B965" s="55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  <c r="AX965" s="12"/>
      <c r="AY965" s="12"/>
      <c r="AZ965" s="12"/>
      <c r="BA965" s="12"/>
      <c r="BB965" s="12"/>
      <c r="BC965" s="12"/>
      <c r="BD965" s="12"/>
      <c r="BE965" s="12"/>
      <c r="BF965" s="12"/>
      <c r="BG965" s="12"/>
      <c r="BH965" s="12"/>
      <c r="BI965" s="12"/>
      <c r="BJ965" s="12"/>
      <c r="BK965" s="12"/>
      <c r="BL965" s="12"/>
      <c r="BM965" s="12"/>
      <c r="BN965" s="12"/>
      <c r="BO965" s="12"/>
      <c r="BP965" s="12"/>
      <c r="BQ965" s="12"/>
      <c r="BR965" s="12"/>
      <c r="BS965" s="12"/>
      <c r="BT965" s="12"/>
      <c r="BU965" s="12"/>
      <c r="BV965" s="12"/>
      <c r="BW965" s="12"/>
      <c r="BX965" s="12"/>
      <c r="BY965" s="12"/>
      <c r="BZ965" s="12"/>
      <c r="CA965" s="12"/>
      <c r="CB965" s="12"/>
      <c r="CC965" s="12"/>
      <c r="CD965" s="12"/>
      <c r="CE965" s="12"/>
      <c r="CF965" s="12"/>
      <c r="CG965" s="12"/>
      <c r="CH965" s="12"/>
      <c r="CI965" s="12"/>
      <c r="CJ965" s="12"/>
      <c r="CK965" s="12"/>
      <c r="CL965" s="12"/>
      <c r="CM965" s="12"/>
      <c r="CN965" s="12"/>
      <c r="CO965" s="12"/>
      <c r="CP965" s="12"/>
      <c r="CQ965" s="12"/>
      <c r="CR965" s="12"/>
      <c r="CS965" s="12"/>
      <c r="CT965" s="12"/>
      <c r="CU965" s="12"/>
      <c r="CV965" s="12"/>
      <c r="CW965" s="12"/>
      <c r="CX965" s="12"/>
      <c r="CY965" s="12"/>
      <c r="CZ965" s="12"/>
      <c r="DA965" s="12"/>
      <c r="DB965" s="12"/>
      <c r="DC965" s="12"/>
      <c r="DD965" s="12"/>
      <c r="DE965" s="12"/>
      <c r="DF965" s="12"/>
      <c r="DG965" s="12"/>
      <c r="DH965" s="12"/>
      <c r="DI965" s="12"/>
      <c r="DJ965" s="12"/>
      <c r="DK965" s="12"/>
      <c r="DL965" s="12"/>
      <c r="DM965" s="12"/>
      <c r="DN965" s="12"/>
      <c r="DO965" s="12"/>
      <c r="DP965" s="12"/>
      <c r="DQ965" s="12"/>
      <c r="DR965" s="12"/>
      <c r="DS965" s="12"/>
      <c r="DT965" s="12"/>
      <c r="DU965" s="12"/>
      <c r="DV965" s="12"/>
      <c r="DW965" s="12"/>
      <c r="DX965" s="12"/>
      <c r="DY965" s="12"/>
      <c r="DZ965" s="12"/>
      <c r="EA965" s="12"/>
      <c r="EB965" s="12"/>
      <c r="EC965" s="12"/>
      <c r="ED965" s="12"/>
      <c r="EE965" s="12"/>
      <c r="EF965" s="12"/>
      <c r="EG965" s="12"/>
      <c r="EH965" s="12"/>
      <c r="EI965" s="12"/>
      <c r="EJ965" s="574"/>
      <c r="EK965" s="574"/>
      <c r="EL965" s="574"/>
      <c r="EM965" s="574"/>
      <c r="EN965" s="574"/>
      <c r="EO965" s="574"/>
      <c r="EP965" s="574"/>
      <c r="EQ965" s="574"/>
      <c r="ER965" s="574"/>
      <c r="ES965" s="574"/>
      <c r="ET965" s="574"/>
      <c r="EU965" s="574"/>
    </row>
    <row r="966">
      <c r="A966" s="12"/>
      <c r="B966" s="55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  <c r="AX966" s="12"/>
      <c r="AY966" s="12"/>
      <c r="AZ966" s="12"/>
      <c r="BA966" s="12"/>
      <c r="BB966" s="12"/>
      <c r="BC966" s="12"/>
      <c r="BD966" s="12"/>
      <c r="BE966" s="12"/>
      <c r="BF966" s="12"/>
      <c r="BG966" s="12"/>
      <c r="BH966" s="12"/>
      <c r="BI966" s="12"/>
      <c r="BJ966" s="12"/>
      <c r="BK966" s="12"/>
      <c r="BL966" s="12"/>
      <c r="BM966" s="12"/>
      <c r="BN966" s="12"/>
      <c r="BO966" s="12"/>
      <c r="BP966" s="12"/>
      <c r="BQ966" s="12"/>
      <c r="BR966" s="12"/>
      <c r="BS966" s="12"/>
      <c r="BT966" s="12"/>
      <c r="BU966" s="12"/>
      <c r="BV966" s="12"/>
      <c r="BW966" s="12"/>
      <c r="BX966" s="12"/>
      <c r="BY966" s="12"/>
      <c r="BZ966" s="12"/>
      <c r="CA966" s="12"/>
      <c r="CB966" s="12"/>
      <c r="CC966" s="12"/>
      <c r="CD966" s="12"/>
      <c r="CE966" s="12"/>
      <c r="CF966" s="12"/>
      <c r="CG966" s="12"/>
      <c r="CH966" s="12"/>
      <c r="CI966" s="12"/>
      <c r="CJ966" s="12"/>
      <c r="CK966" s="12"/>
      <c r="CL966" s="12"/>
      <c r="CM966" s="12"/>
      <c r="CN966" s="12"/>
      <c r="CO966" s="12"/>
      <c r="CP966" s="12"/>
      <c r="CQ966" s="12"/>
      <c r="CR966" s="12"/>
      <c r="CS966" s="12"/>
      <c r="CT966" s="12"/>
      <c r="CU966" s="12"/>
      <c r="CV966" s="12"/>
      <c r="CW966" s="12"/>
      <c r="CX966" s="12"/>
      <c r="CY966" s="12"/>
      <c r="CZ966" s="12"/>
      <c r="DA966" s="12"/>
      <c r="DB966" s="12"/>
      <c r="DC966" s="12"/>
      <c r="DD966" s="12"/>
      <c r="DE966" s="12"/>
      <c r="DF966" s="12"/>
      <c r="DG966" s="12"/>
      <c r="DH966" s="12"/>
      <c r="DI966" s="12"/>
      <c r="DJ966" s="12"/>
      <c r="DK966" s="12"/>
      <c r="DL966" s="12"/>
      <c r="DM966" s="12"/>
      <c r="DN966" s="12"/>
      <c r="DO966" s="12"/>
      <c r="DP966" s="12"/>
      <c r="DQ966" s="12"/>
      <c r="DR966" s="12"/>
      <c r="DS966" s="12"/>
      <c r="DT966" s="12"/>
      <c r="DU966" s="12"/>
      <c r="DV966" s="12"/>
      <c r="DW966" s="12"/>
      <c r="DX966" s="12"/>
      <c r="DY966" s="12"/>
      <c r="DZ966" s="12"/>
      <c r="EA966" s="12"/>
      <c r="EB966" s="12"/>
      <c r="EC966" s="12"/>
      <c r="ED966" s="12"/>
      <c r="EE966" s="12"/>
      <c r="EF966" s="12"/>
      <c r="EG966" s="12"/>
      <c r="EH966" s="12"/>
      <c r="EI966" s="12"/>
      <c r="EJ966" s="574"/>
      <c r="EK966" s="574"/>
      <c r="EL966" s="574"/>
      <c r="EM966" s="574"/>
      <c r="EN966" s="574"/>
      <c r="EO966" s="574"/>
      <c r="EP966" s="574"/>
      <c r="EQ966" s="574"/>
      <c r="ER966" s="574"/>
      <c r="ES966" s="574"/>
      <c r="ET966" s="574"/>
      <c r="EU966" s="574"/>
    </row>
    <row r="967">
      <c r="A967" s="12"/>
      <c r="B967" s="55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  <c r="AX967" s="12"/>
      <c r="AY967" s="12"/>
      <c r="AZ967" s="12"/>
      <c r="BA967" s="12"/>
      <c r="BB967" s="12"/>
      <c r="BC967" s="12"/>
      <c r="BD967" s="12"/>
      <c r="BE967" s="12"/>
      <c r="BF967" s="12"/>
      <c r="BG967" s="12"/>
      <c r="BH967" s="12"/>
      <c r="BI967" s="12"/>
      <c r="BJ967" s="12"/>
      <c r="BK967" s="12"/>
      <c r="BL967" s="12"/>
      <c r="BM967" s="12"/>
      <c r="BN967" s="12"/>
      <c r="BO967" s="12"/>
      <c r="BP967" s="12"/>
      <c r="BQ967" s="12"/>
      <c r="BR967" s="12"/>
      <c r="BS967" s="12"/>
      <c r="BT967" s="12"/>
      <c r="BU967" s="12"/>
      <c r="BV967" s="12"/>
      <c r="BW967" s="12"/>
      <c r="BX967" s="12"/>
      <c r="BY967" s="12"/>
      <c r="BZ967" s="12"/>
      <c r="CA967" s="12"/>
      <c r="CB967" s="12"/>
      <c r="CC967" s="12"/>
      <c r="CD967" s="12"/>
      <c r="CE967" s="12"/>
      <c r="CF967" s="12"/>
      <c r="CG967" s="12"/>
      <c r="CH967" s="12"/>
      <c r="CI967" s="12"/>
      <c r="CJ967" s="12"/>
      <c r="CK967" s="12"/>
      <c r="CL967" s="12"/>
      <c r="CM967" s="12"/>
      <c r="CN967" s="12"/>
      <c r="CO967" s="12"/>
      <c r="CP967" s="12"/>
      <c r="CQ967" s="12"/>
      <c r="CR967" s="12"/>
      <c r="CS967" s="12"/>
      <c r="CT967" s="12"/>
      <c r="CU967" s="12"/>
      <c r="CV967" s="12"/>
      <c r="CW967" s="12"/>
      <c r="CX967" s="12"/>
      <c r="CY967" s="12"/>
      <c r="CZ967" s="12"/>
      <c r="DA967" s="12"/>
      <c r="DB967" s="12"/>
      <c r="DC967" s="12"/>
      <c r="DD967" s="12"/>
      <c r="DE967" s="12"/>
      <c r="DF967" s="12"/>
      <c r="DG967" s="12"/>
      <c r="DH967" s="12"/>
      <c r="DI967" s="12"/>
      <c r="DJ967" s="12"/>
      <c r="DK967" s="12"/>
      <c r="DL967" s="12"/>
      <c r="DM967" s="12"/>
      <c r="DN967" s="12"/>
      <c r="DO967" s="12"/>
      <c r="DP967" s="12"/>
      <c r="DQ967" s="12"/>
      <c r="DR967" s="12"/>
      <c r="DS967" s="12"/>
      <c r="DT967" s="12"/>
      <c r="DU967" s="12"/>
      <c r="DV967" s="12"/>
      <c r="DW967" s="12"/>
      <c r="DX967" s="12"/>
      <c r="DY967" s="12"/>
      <c r="DZ967" s="12"/>
      <c r="EA967" s="12"/>
      <c r="EB967" s="12"/>
      <c r="EC967" s="12"/>
      <c r="ED967" s="12"/>
      <c r="EE967" s="12"/>
      <c r="EF967" s="12"/>
      <c r="EG967" s="12"/>
      <c r="EH967" s="12"/>
      <c r="EI967" s="12"/>
      <c r="EJ967" s="574"/>
      <c r="EK967" s="574"/>
      <c r="EL967" s="574"/>
      <c r="EM967" s="574"/>
      <c r="EN967" s="574"/>
      <c r="EO967" s="574"/>
      <c r="EP967" s="574"/>
      <c r="EQ967" s="574"/>
      <c r="ER967" s="574"/>
      <c r="ES967" s="574"/>
      <c r="ET967" s="574"/>
      <c r="EU967" s="574"/>
    </row>
    <row r="968">
      <c r="A968" s="12"/>
      <c r="B968" s="55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  <c r="AX968" s="12"/>
      <c r="AY968" s="12"/>
      <c r="AZ968" s="12"/>
      <c r="BA968" s="12"/>
      <c r="BB968" s="12"/>
      <c r="BC968" s="12"/>
      <c r="BD968" s="12"/>
      <c r="BE968" s="12"/>
      <c r="BF968" s="12"/>
      <c r="BG968" s="12"/>
      <c r="BH968" s="12"/>
      <c r="BI968" s="12"/>
      <c r="BJ968" s="12"/>
      <c r="BK968" s="12"/>
      <c r="BL968" s="12"/>
      <c r="BM968" s="12"/>
      <c r="BN968" s="12"/>
      <c r="BO968" s="12"/>
      <c r="BP968" s="12"/>
      <c r="BQ968" s="12"/>
      <c r="BR968" s="12"/>
      <c r="BS968" s="12"/>
      <c r="BT968" s="12"/>
      <c r="BU968" s="12"/>
      <c r="BV968" s="12"/>
      <c r="BW968" s="12"/>
      <c r="BX968" s="12"/>
      <c r="BY968" s="12"/>
      <c r="BZ968" s="12"/>
      <c r="CA968" s="12"/>
      <c r="CB968" s="12"/>
      <c r="CC968" s="12"/>
      <c r="CD968" s="12"/>
      <c r="CE968" s="12"/>
      <c r="CF968" s="12"/>
      <c r="CG968" s="12"/>
      <c r="CH968" s="12"/>
      <c r="CI968" s="12"/>
      <c r="CJ968" s="12"/>
      <c r="CK968" s="12"/>
      <c r="CL968" s="12"/>
      <c r="CM968" s="12"/>
      <c r="CN968" s="12"/>
      <c r="CO968" s="12"/>
      <c r="CP968" s="12"/>
      <c r="CQ968" s="12"/>
      <c r="CR968" s="12"/>
      <c r="CS968" s="12"/>
      <c r="CT968" s="12"/>
      <c r="CU968" s="12"/>
      <c r="CV968" s="12"/>
      <c r="CW968" s="12"/>
      <c r="CX968" s="12"/>
      <c r="CY968" s="12"/>
      <c r="CZ968" s="12"/>
      <c r="DA968" s="12"/>
      <c r="DB968" s="12"/>
      <c r="DC968" s="12"/>
      <c r="DD968" s="12"/>
      <c r="DE968" s="12"/>
      <c r="DF968" s="12"/>
      <c r="DG968" s="12"/>
      <c r="DH968" s="12"/>
      <c r="DI968" s="12"/>
      <c r="DJ968" s="12"/>
      <c r="DK968" s="12"/>
      <c r="DL968" s="12"/>
      <c r="DM968" s="12"/>
      <c r="DN968" s="12"/>
      <c r="DO968" s="12"/>
      <c r="DP968" s="12"/>
      <c r="DQ968" s="12"/>
      <c r="DR968" s="12"/>
      <c r="DS968" s="12"/>
      <c r="DT968" s="12"/>
      <c r="DU968" s="12"/>
      <c r="DV968" s="12"/>
      <c r="DW968" s="12"/>
      <c r="DX968" s="12"/>
      <c r="DY968" s="12"/>
      <c r="DZ968" s="12"/>
      <c r="EA968" s="12"/>
      <c r="EB968" s="12"/>
      <c r="EC968" s="12"/>
      <c r="ED968" s="12"/>
      <c r="EE968" s="12"/>
      <c r="EF968" s="12"/>
      <c r="EG968" s="12"/>
      <c r="EH968" s="12"/>
      <c r="EI968" s="12"/>
      <c r="EJ968" s="574"/>
      <c r="EK968" s="574"/>
      <c r="EL968" s="574"/>
      <c r="EM968" s="574"/>
      <c r="EN968" s="574"/>
      <c r="EO968" s="574"/>
      <c r="EP968" s="574"/>
      <c r="EQ968" s="574"/>
      <c r="ER968" s="574"/>
      <c r="ES968" s="574"/>
      <c r="ET968" s="574"/>
      <c r="EU968" s="574"/>
    </row>
    <row r="969">
      <c r="A969" s="12"/>
      <c r="B969" s="55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  <c r="AX969" s="12"/>
      <c r="AY969" s="12"/>
      <c r="AZ969" s="12"/>
      <c r="BA969" s="12"/>
      <c r="BB969" s="12"/>
      <c r="BC969" s="12"/>
      <c r="BD969" s="12"/>
      <c r="BE969" s="12"/>
      <c r="BF969" s="12"/>
      <c r="BG969" s="12"/>
      <c r="BH969" s="12"/>
      <c r="BI969" s="12"/>
      <c r="BJ969" s="12"/>
      <c r="BK969" s="12"/>
      <c r="BL969" s="12"/>
      <c r="BM969" s="12"/>
      <c r="BN969" s="12"/>
      <c r="BO969" s="12"/>
      <c r="BP969" s="12"/>
      <c r="BQ969" s="12"/>
      <c r="BR969" s="12"/>
      <c r="BS969" s="12"/>
      <c r="BT969" s="12"/>
      <c r="BU969" s="12"/>
      <c r="BV969" s="12"/>
      <c r="BW969" s="12"/>
      <c r="BX969" s="12"/>
      <c r="BY969" s="12"/>
      <c r="BZ969" s="12"/>
      <c r="CA969" s="12"/>
      <c r="CB969" s="12"/>
      <c r="CC969" s="12"/>
      <c r="CD969" s="12"/>
      <c r="CE969" s="12"/>
      <c r="CF969" s="12"/>
      <c r="CG969" s="12"/>
      <c r="CH969" s="12"/>
      <c r="CI969" s="12"/>
      <c r="CJ969" s="12"/>
      <c r="CK969" s="12"/>
      <c r="CL969" s="12"/>
      <c r="CM969" s="12"/>
      <c r="CN969" s="12"/>
      <c r="CO969" s="12"/>
      <c r="CP969" s="12"/>
      <c r="CQ969" s="12"/>
      <c r="CR969" s="12"/>
      <c r="CS969" s="12"/>
      <c r="CT969" s="12"/>
      <c r="CU969" s="12"/>
      <c r="CV969" s="12"/>
      <c r="CW969" s="12"/>
      <c r="CX969" s="12"/>
      <c r="CY969" s="12"/>
      <c r="CZ969" s="12"/>
      <c r="DA969" s="12"/>
      <c r="DB969" s="12"/>
      <c r="DC969" s="12"/>
      <c r="DD969" s="12"/>
      <c r="DE969" s="12"/>
      <c r="DF969" s="12"/>
      <c r="DG969" s="12"/>
      <c r="DH969" s="12"/>
      <c r="DI969" s="12"/>
      <c r="DJ969" s="12"/>
      <c r="DK969" s="12"/>
      <c r="DL969" s="12"/>
      <c r="DM969" s="12"/>
      <c r="DN969" s="12"/>
      <c r="DO969" s="12"/>
      <c r="DP969" s="12"/>
      <c r="DQ969" s="12"/>
      <c r="DR969" s="12"/>
      <c r="DS969" s="12"/>
      <c r="DT969" s="12"/>
      <c r="DU969" s="12"/>
      <c r="DV969" s="12"/>
      <c r="DW969" s="12"/>
      <c r="DX969" s="12"/>
      <c r="DY969" s="12"/>
      <c r="DZ969" s="12"/>
      <c r="EA969" s="12"/>
      <c r="EB969" s="12"/>
      <c r="EC969" s="12"/>
      <c r="ED969" s="12"/>
      <c r="EE969" s="12"/>
      <c r="EF969" s="12"/>
      <c r="EG969" s="12"/>
      <c r="EH969" s="12"/>
      <c r="EI969" s="12"/>
      <c r="EJ969" s="574"/>
      <c r="EK969" s="574"/>
      <c r="EL969" s="574"/>
      <c r="EM969" s="574"/>
      <c r="EN969" s="574"/>
      <c r="EO969" s="574"/>
      <c r="EP969" s="574"/>
      <c r="EQ969" s="574"/>
      <c r="ER969" s="574"/>
      <c r="ES969" s="574"/>
      <c r="ET969" s="574"/>
      <c r="EU969" s="574"/>
    </row>
    <row r="970">
      <c r="A970" s="12"/>
      <c r="B970" s="55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  <c r="AX970" s="12"/>
      <c r="AY970" s="12"/>
      <c r="AZ970" s="12"/>
      <c r="BA970" s="12"/>
      <c r="BB970" s="12"/>
      <c r="BC970" s="12"/>
      <c r="BD970" s="12"/>
      <c r="BE970" s="12"/>
      <c r="BF970" s="12"/>
      <c r="BG970" s="12"/>
      <c r="BH970" s="12"/>
      <c r="BI970" s="12"/>
      <c r="BJ970" s="12"/>
      <c r="BK970" s="12"/>
      <c r="BL970" s="12"/>
      <c r="BM970" s="12"/>
      <c r="BN970" s="12"/>
      <c r="BO970" s="12"/>
      <c r="BP970" s="12"/>
      <c r="BQ970" s="12"/>
      <c r="BR970" s="12"/>
      <c r="BS970" s="12"/>
      <c r="BT970" s="12"/>
      <c r="BU970" s="12"/>
      <c r="BV970" s="12"/>
      <c r="BW970" s="12"/>
      <c r="BX970" s="12"/>
      <c r="BY970" s="12"/>
      <c r="BZ970" s="12"/>
      <c r="CA970" s="12"/>
      <c r="CB970" s="12"/>
      <c r="CC970" s="12"/>
      <c r="CD970" s="12"/>
      <c r="CE970" s="12"/>
      <c r="CF970" s="12"/>
      <c r="CG970" s="12"/>
      <c r="CH970" s="12"/>
      <c r="CI970" s="12"/>
      <c r="CJ970" s="12"/>
      <c r="CK970" s="12"/>
      <c r="CL970" s="12"/>
      <c r="CM970" s="12"/>
      <c r="CN970" s="12"/>
      <c r="CO970" s="12"/>
      <c r="CP970" s="12"/>
      <c r="CQ970" s="12"/>
      <c r="CR970" s="12"/>
      <c r="CS970" s="12"/>
      <c r="CT970" s="12"/>
      <c r="CU970" s="12"/>
      <c r="CV970" s="12"/>
      <c r="CW970" s="12"/>
      <c r="CX970" s="12"/>
      <c r="CY970" s="12"/>
      <c r="CZ970" s="12"/>
      <c r="DA970" s="12"/>
      <c r="DB970" s="12"/>
      <c r="DC970" s="12"/>
      <c r="DD970" s="12"/>
      <c r="DE970" s="12"/>
      <c r="DF970" s="12"/>
      <c r="DG970" s="12"/>
      <c r="DH970" s="12"/>
      <c r="DI970" s="12"/>
      <c r="DJ970" s="12"/>
      <c r="DK970" s="12"/>
      <c r="DL970" s="12"/>
      <c r="DM970" s="12"/>
      <c r="DN970" s="12"/>
      <c r="DO970" s="12"/>
      <c r="DP970" s="12"/>
      <c r="DQ970" s="12"/>
      <c r="DR970" s="12"/>
      <c r="DS970" s="12"/>
      <c r="DT970" s="12"/>
      <c r="DU970" s="12"/>
      <c r="DV970" s="12"/>
      <c r="DW970" s="12"/>
      <c r="DX970" s="12"/>
      <c r="DY970" s="12"/>
      <c r="DZ970" s="12"/>
      <c r="EA970" s="12"/>
      <c r="EB970" s="12"/>
      <c r="EC970" s="12"/>
      <c r="ED970" s="12"/>
      <c r="EE970" s="12"/>
      <c r="EF970" s="12"/>
      <c r="EG970" s="12"/>
      <c r="EH970" s="12"/>
      <c r="EI970" s="12"/>
      <c r="EJ970" s="574"/>
      <c r="EK970" s="574"/>
      <c r="EL970" s="574"/>
      <c r="EM970" s="574"/>
      <c r="EN970" s="574"/>
      <c r="EO970" s="574"/>
      <c r="EP970" s="574"/>
      <c r="EQ970" s="574"/>
      <c r="ER970" s="574"/>
      <c r="ES970" s="574"/>
      <c r="ET970" s="574"/>
      <c r="EU970" s="574"/>
    </row>
    <row r="971">
      <c r="A971" s="12"/>
      <c r="B971" s="55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  <c r="AX971" s="12"/>
      <c r="AY971" s="12"/>
      <c r="AZ971" s="12"/>
      <c r="BA971" s="12"/>
      <c r="BB971" s="12"/>
      <c r="BC971" s="12"/>
      <c r="BD971" s="12"/>
      <c r="BE971" s="12"/>
      <c r="BF971" s="12"/>
      <c r="BG971" s="12"/>
      <c r="BH971" s="12"/>
      <c r="BI971" s="12"/>
      <c r="BJ971" s="12"/>
      <c r="BK971" s="12"/>
      <c r="BL971" s="12"/>
      <c r="BM971" s="12"/>
      <c r="BN971" s="12"/>
      <c r="BO971" s="12"/>
      <c r="BP971" s="12"/>
      <c r="BQ971" s="12"/>
      <c r="BR971" s="12"/>
      <c r="BS971" s="12"/>
      <c r="BT971" s="12"/>
      <c r="BU971" s="12"/>
      <c r="BV971" s="12"/>
      <c r="BW971" s="12"/>
      <c r="BX971" s="12"/>
      <c r="BY971" s="12"/>
      <c r="BZ971" s="12"/>
      <c r="CA971" s="12"/>
      <c r="CB971" s="12"/>
      <c r="CC971" s="12"/>
      <c r="CD971" s="12"/>
      <c r="CE971" s="12"/>
      <c r="CF971" s="12"/>
      <c r="CG971" s="12"/>
      <c r="CH971" s="12"/>
      <c r="CI971" s="12"/>
      <c r="CJ971" s="12"/>
      <c r="CK971" s="12"/>
      <c r="CL971" s="12"/>
      <c r="CM971" s="12"/>
      <c r="CN971" s="12"/>
      <c r="CO971" s="12"/>
      <c r="CP971" s="12"/>
      <c r="CQ971" s="12"/>
      <c r="CR971" s="12"/>
      <c r="CS971" s="12"/>
      <c r="CT971" s="12"/>
      <c r="CU971" s="12"/>
      <c r="CV971" s="12"/>
      <c r="CW971" s="12"/>
      <c r="CX971" s="12"/>
      <c r="CY971" s="12"/>
      <c r="CZ971" s="12"/>
      <c r="DA971" s="12"/>
      <c r="DB971" s="12"/>
      <c r="DC971" s="12"/>
      <c r="DD971" s="12"/>
      <c r="DE971" s="12"/>
      <c r="DF971" s="12"/>
      <c r="DG971" s="12"/>
      <c r="DH971" s="12"/>
      <c r="DI971" s="12"/>
      <c r="DJ971" s="12"/>
      <c r="DK971" s="12"/>
      <c r="DL971" s="12"/>
      <c r="DM971" s="12"/>
      <c r="DN971" s="12"/>
      <c r="DO971" s="12"/>
      <c r="DP971" s="12"/>
      <c r="DQ971" s="12"/>
      <c r="DR971" s="12"/>
      <c r="DS971" s="12"/>
      <c r="DT971" s="12"/>
      <c r="DU971" s="12"/>
      <c r="DV971" s="12"/>
      <c r="DW971" s="12"/>
      <c r="DX971" s="12"/>
      <c r="DY971" s="12"/>
      <c r="DZ971" s="12"/>
      <c r="EA971" s="12"/>
      <c r="EB971" s="12"/>
      <c r="EC971" s="12"/>
      <c r="ED971" s="12"/>
      <c r="EE971" s="12"/>
      <c r="EF971" s="12"/>
      <c r="EG971" s="12"/>
      <c r="EH971" s="12"/>
      <c r="EI971" s="12"/>
      <c r="EJ971" s="574"/>
      <c r="EK971" s="574"/>
      <c r="EL971" s="574"/>
      <c r="EM971" s="574"/>
      <c r="EN971" s="574"/>
      <c r="EO971" s="574"/>
      <c r="EP971" s="574"/>
      <c r="EQ971" s="574"/>
      <c r="ER971" s="574"/>
      <c r="ES971" s="574"/>
      <c r="ET971" s="574"/>
      <c r="EU971" s="574"/>
    </row>
    <row r="972">
      <c r="A972" s="12"/>
      <c r="B972" s="55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  <c r="AX972" s="12"/>
      <c r="AY972" s="12"/>
      <c r="AZ972" s="12"/>
      <c r="BA972" s="12"/>
      <c r="BB972" s="12"/>
      <c r="BC972" s="12"/>
      <c r="BD972" s="12"/>
      <c r="BE972" s="12"/>
      <c r="BF972" s="12"/>
      <c r="BG972" s="12"/>
      <c r="BH972" s="12"/>
      <c r="BI972" s="12"/>
      <c r="BJ972" s="12"/>
      <c r="BK972" s="12"/>
      <c r="BL972" s="12"/>
      <c r="BM972" s="12"/>
      <c r="BN972" s="12"/>
      <c r="BO972" s="12"/>
      <c r="BP972" s="12"/>
      <c r="BQ972" s="12"/>
      <c r="BR972" s="12"/>
      <c r="BS972" s="12"/>
      <c r="BT972" s="12"/>
      <c r="BU972" s="12"/>
      <c r="BV972" s="12"/>
      <c r="BW972" s="12"/>
      <c r="BX972" s="12"/>
      <c r="BY972" s="12"/>
      <c r="BZ972" s="12"/>
      <c r="CA972" s="12"/>
      <c r="CB972" s="12"/>
      <c r="CC972" s="12"/>
      <c r="CD972" s="12"/>
      <c r="CE972" s="12"/>
      <c r="CF972" s="12"/>
      <c r="CG972" s="12"/>
      <c r="CH972" s="12"/>
      <c r="CI972" s="12"/>
      <c r="CJ972" s="12"/>
      <c r="CK972" s="12"/>
      <c r="CL972" s="12"/>
      <c r="CM972" s="12"/>
      <c r="CN972" s="12"/>
      <c r="CO972" s="12"/>
      <c r="CP972" s="12"/>
      <c r="CQ972" s="12"/>
      <c r="CR972" s="12"/>
      <c r="CS972" s="12"/>
      <c r="CT972" s="12"/>
      <c r="CU972" s="12"/>
      <c r="CV972" s="12"/>
      <c r="CW972" s="12"/>
      <c r="CX972" s="12"/>
      <c r="CY972" s="12"/>
      <c r="CZ972" s="12"/>
      <c r="DA972" s="12"/>
      <c r="DB972" s="12"/>
      <c r="DC972" s="12"/>
      <c r="DD972" s="12"/>
      <c r="DE972" s="12"/>
      <c r="DF972" s="12"/>
      <c r="DG972" s="12"/>
      <c r="DH972" s="12"/>
      <c r="DI972" s="12"/>
      <c r="DJ972" s="12"/>
      <c r="DK972" s="12"/>
      <c r="DL972" s="12"/>
      <c r="DM972" s="12"/>
      <c r="DN972" s="12"/>
      <c r="DO972" s="12"/>
      <c r="DP972" s="12"/>
      <c r="DQ972" s="12"/>
      <c r="DR972" s="12"/>
      <c r="DS972" s="12"/>
      <c r="DT972" s="12"/>
      <c r="DU972" s="12"/>
      <c r="DV972" s="12"/>
      <c r="DW972" s="12"/>
      <c r="DX972" s="12"/>
      <c r="DY972" s="12"/>
      <c r="DZ972" s="12"/>
      <c r="EA972" s="12"/>
      <c r="EB972" s="12"/>
      <c r="EC972" s="12"/>
      <c r="ED972" s="12"/>
      <c r="EE972" s="12"/>
      <c r="EF972" s="12"/>
      <c r="EG972" s="12"/>
      <c r="EH972" s="12"/>
      <c r="EI972" s="12"/>
      <c r="EJ972" s="574"/>
      <c r="EK972" s="574"/>
      <c r="EL972" s="574"/>
      <c r="EM972" s="574"/>
      <c r="EN972" s="574"/>
      <c r="EO972" s="574"/>
      <c r="EP972" s="574"/>
      <c r="EQ972" s="574"/>
      <c r="ER972" s="574"/>
      <c r="ES972" s="574"/>
      <c r="ET972" s="574"/>
      <c r="EU972" s="574"/>
    </row>
    <row r="973">
      <c r="A973" s="12"/>
      <c r="B973" s="55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  <c r="AX973" s="12"/>
      <c r="AY973" s="12"/>
      <c r="AZ973" s="12"/>
      <c r="BA973" s="12"/>
      <c r="BB973" s="12"/>
      <c r="BC973" s="12"/>
      <c r="BD973" s="12"/>
      <c r="BE973" s="12"/>
      <c r="BF973" s="12"/>
      <c r="BG973" s="12"/>
      <c r="BH973" s="12"/>
      <c r="BI973" s="12"/>
      <c r="BJ973" s="12"/>
      <c r="BK973" s="12"/>
      <c r="BL973" s="12"/>
      <c r="BM973" s="12"/>
      <c r="BN973" s="12"/>
      <c r="BO973" s="12"/>
      <c r="BP973" s="12"/>
      <c r="BQ973" s="12"/>
      <c r="BR973" s="12"/>
      <c r="BS973" s="12"/>
      <c r="BT973" s="12"/>
      <c r="BU973" s="12"/>
      <c r="BV973" s="12"/>
      <c r="BW973" s="12"/>
      <c r="BX973" s="12"/>
      <c r="BY973" s="12"/>
      <c r="BZ973" s="12"/>
      <c r="CA973" s="12"/>
      <c r="CB973" s="12"/>
      <c r="CC973" s="12"/>
      <c r="CD973" s="12"/>
      <c r="CE973" s="12"/>
      <c r="CF973" s="12"/>
      <c r="CG973" s="12"/>
      <c r="CH973" s="12"/>
      <c r="CI973" s="12"/>
      <c r="CJ973" s="12"/>
      <c r="CK973" s="12"/>
      <c r="CL973" s="12"/>
      <c r="CM973" s="12"/>
      <c r="CN973" s="12"/>
      <c r="CO973" s="12"/>
      <c r="CP973" s="12"/>
      <c r="CQ973" s="12"/>
      <c r="CR973" s="12"/>
      <c r="CS973" s="12"/>
      <c r="CT973" s="12"/>
      <c r="CU973" s="12"/>
      <c r="CV973" s="12"/>
      <c r="CW973" s="12"/>
      <c r="CX973" s="12"/>
      <c r="CY973" s="12"/>
      <c r="CZ973" s="12"/>
      <c r="DA973" s="12"/>
      <c r="DB973" s="12"/>
      <c r="DC973" s="12"/>
      <c r="DD973" s="12"/>
      <c r="DE973" s="12"/>
      <c r="DF973" s="12"/>
      <c r="DG973" s="12"/>
      <c r="DH973" s="12"/>
      <c r="DI973" s="12"/>
      <c r="DJ973" s="12"/>
      <c r="DK973" s="12"/>
      <c r="DL973" s="12"/>
      <c r="DM973" s="12"/>
      <c r="DN973" s="12"/>
      <c r="DO973" s="12"/>
      <c r="DP973" s="12"/>
      <c r="DQ973" s="12"/>
      <c r="DR973" s="12"/>
      <c r="DS973" s="12"/>
      <c r="DT973" s="12"/>
      <c r="DU973" s="12"/>
      <c r="DV973" s="12"/>
      <c r="DW973" s="12"/>
      <c r="DX973" s="12"/>
      <c r="DY973" s="12"/>
      <c r="DZ973" s="12"/>
      <c r="EA973" s="12"/>
      <c r="EB973" s="12"/>
      <c r="EC973" s="12"/>
      <c r="ED973" s="12"/>
      <c r="EE973" s="12"/>
      <c r="EF973" s="12"/>
      <c r="EG973" s="12"/>
      <c r="EH973" s="12"/>
      <c r="EI973" s="12"/>
      <c r="EJ973" s="574"/>
      <c r="EK973" s="574"/>
      <c r="EL973" s="574"/>
      <c r="EM973" s="574"/>
      <c r="EN973" s="574"/>
      <c r="EO973" s="574"/>
      <c r="EP973" s="574"/>
      <c r="EQ973" s="574"/>
      <c r="ER973" s="574"/>
      <c r="ES973" s="574"/>
      <c r="ET973" s="574"/>
      <c r="EU973" s="574"/>
    </row>
    <row r="974">
      <c r="A974" s="12"/>
      <c r="B974" s="55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  <c r="AX974" s="12"/>
      <c r="AY974" s="12"/>
      <c r="AZ974" s="12"/>
      <c r="BA974" s="12"/>
      <c r="BB974" s="12"/>
      <c r="BC974" s="12"/>
      <c r="BD974" s="12"/>
      <c r="BE974" s="12"/>
      <c r="BF974" s="12"/>
      <c r="BG974" s="12"/>
      <c r="BH974" s="12"/>
      <c r="BI974" s="12"/>
      <c r="BJ974" s="12"/>
      <c r="BK974" s="12"/>
      <c r="BL974" s="12"/>
      <c r="BM974" s="12"/>
      <c r="BN974" s="12"/>
      <c r="BO974" s="12"/>
      <c r="BP974" s="12"/>
      <c r="BQ974" s="12"/>
      <c r="BR974" s="12"/>
      <c r="BS974" s="12"/>
      <c r="BT974" s="12"/>
      <c r="BU974" s="12"/>
      <c r="BV974" s="12"/>
      <c r="BW974" s="12"/>
      <c r="BX974" s="12"/>
      <c r="BY974" s="12"/>
      <c r="BZ974" s="12"/>
      <c r="CA974" s="12"/>
      <c r="CB974" s="12"/>
      <c r="CC974" s="12"/>
      <c r="CD974" s="12"/>
      <c r="CE974" s="12"/>
      <c r="CF974" s="12"/>
      <c r="CG974" s="12"/>
      <c r="CH974" s="12"/>
      <c r="CI974" s="12"/>
      <c r="CJ974" s="12"/>
      <c r="CK974" s="12"/>
      <c r="CL974" s="12"/>
      <c r="CM974" s="12"/>
      <c r="CN974" s="12"/>
      <c r="CO974" s="12"/>
      <c r="CP974" s="12"/>
      <c r="CQ974" s="12"/>
      <c r="CR974" s="12"/>
      <c r="CS974" s="12"/>
      <c r="CT974" s="12"/>
      <c r="CU974" s="12"/>
      <c r="CV974" s="12"/>
      <c r="CW974" s="12"/>
      <c r="CX974" s="12"/>
      <c r="CY974" s="12"/>
      <c r="CZ974" s="12"/>
      <c r="DA974" s="12"/>
      <c r="DB974" s="12"/>
      <c r="DC974" s="12"/>
      <c r="DD974" s="12"/>
      <c r="DE974" s="12"/>
      <c r="DF974" s="12"/>
      <c r="DG974" s="12"/>
      <c r="DH974" s="12"/>
      <c r="DI974" s="12"/>
      <c r="DJ974" s="12"/>
      <c r="DK974" s="12"/>
      <c r="DL974" s="12"/>
      <c r="DM974" s="12"/>
      <c r="DN974" s="12"/>
      <c r="DO974" s="12"/>
      <c r="DP974" s="12"/>
      <c r="DQ974" s="12"/>
      <c r="DR974" s="12"/>
      <c r="DS974" s="12"/>
      <c r="DT974" s="12"/>
      <c r="DU974" s="12"/>
      <c r="DV974" s="12"/>
      <c r="DW974" s="12"/>
      <c r="DX974" s="12"/>
      <c r="DY974" s="12"/>
      <c r="DZ974" s="12"/>
      <c r="EA974" s="12"/>
      <c r="EB974" s="12"/>
      <c r="EC974" s="12"/>
      <c r="ED974" s="12"/>
      <c r="EE974" s="12"/>
      <c r="EF974" s="12"/>
      <c r="EG974" s="12"/>
      <c r="EH974" s="12"/>
      <c r="EI974" s="12"/>
      <c r="EJ974" s="574"/>
      <c r="EK974" s="574"/>
      <c r="EL974" s="574"/>
      <c r="EM974" s="574"/>
      <c r="EN974" s="574"/>
      <c r="EO974" s="574"/>
      <c r="EP974" s="574"/>
      <c r="EQ974" s="574"/>
      <c r="ER974" s="574"/>
      <c r="ES974" s="574"/>
      <c r="ET974" s="574"/>
      <c r="EU974" s="574"/>
    </row>
    <row r="975">
      <c r="A975" s="12"/>
      <c r="B975" s="55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  <c r="AX975" s="12"/>
      <c r="AY975" s="12"/>
      <c r="AZ975" s="12"/>
      <c r="BA975" s="12"/>
      <c r="BB975" s="12"/>
      <c r="BC975" s="12"/>
      <c r="BD975" s="12"/>
      <c r="BE975" s="12"/>
      <c r="BF975" s="12"/>
      <c r="BG975" s="12"/>
      <c r="BH975" s="12"/>
      <c r="BI975" s="12"/>
      <c r="BJ975" s="12"/>
      <c r="BK975" s="12"/>
      <c r="BL975" s="12"/>
      <c r="BM975" s="12"/>
      <c r="BN975" s="12"/>
      <c r="BO975" s="12"/>
      <c r="BP975" s="12"/>
      <c r="BQ975" s="12"/>
      <c r="BR975" s="12"/>
      <c r="BS975" s="12"/>
      <c r="BT975" s="12"/>
      <c r="BU975" s="12"/>
      <c r="BV975" s="12"/>
      <c r="BW975" s="12"/>
      <c r="BX975" s="12"/>
      <c r="BY975" s="12"/>
      <c r="BZ975" s="12"/>
      <c r="CA975" s="12"/>
      <c r="CB975" s="12"/>
      <c r="CC975" s="12"/>
      <c r="CD975" s="12"/>
      <c r="CE975" s="12"/>
      <c r="CF975" s="12"/>
      <c r="CG975" s="12"/>
      <c r="CH975" s="12"/>
      <c r="CI975" s="12"/>
      <c r="CJ975" s="12"/>
      <c r="CK975" s="12"/>
      <c r="CL975" s="12"/>
      <c r="CM975" s="12"/>
      <c r="CN975" s="12"/>
      <c r="CO975" s="12"/>
      <c r="CP975" s="12"/>
      <c r="CQ975" s="12"/>
      <c r="CR975" s="12"/>
      <c r="CS975" s="12"/>
      <c r="CT975" s="12"/>
      <c r="CU975" s="12"/>
      <c r="CV975" s="12"/>
      <c r="CW975" s="12"/>
      <c r="CX975" s="12"/>
      <c r="CY975" s="12"/>
      <c r="CZ975" s="12"/>
      <c r="DA975" s="12"/>
      <c r="DB975" s="12"/>
      <c r="DC975" s="12"/>
      <c r="DD975" s="12"/>
      <c r="DE975" s="12"/>
      <c r="DF975" s="12"/>
      <c r="DG975" s="12"/>
      <c r="DH975" s="12"/>
      <c r="DI975" s="12"/>
      <c r="DJ975" s="12"/>
      <c r="DK975" s="12"/>
      <c r="DL975" s="12"/>
      <c r="DM975" s="12"/>
      <c r="DN975" s="12"/>
      <c r="DO975" s="12"/>
      <c r="DP975" s="12"/>
      <c r="DQ975" s="12"/>
      <c r="DR975" s="12"/>
      <c r="DS975" s="12"/>
      <c r="DT975" s="12"/>
      <c r="DU975" s="12"/>
      <c r="DV975" s="12"/>
      <c r="DW975" s="12"/>
      <c r="DX975" s="12"/>
      <c r="DY975" s="12"/>
      <c r="DZ975" s="12"/>
      <c r="EA975" s="12"/>
      <c r="EB975" s="12"/>
      <c r="EC975" s="12"/>
      <c r="ED975" s="12"/>
      <c r="EE975" s="12"/>
      <c r="EF975" s="12"/>
      <c r="EG975" s="12"/>
      <c r="EH975" s="12"/>
      <c r="EI975" s="12"/>
      <c r="EJ975" s="574"/>
      <c r="EK975" s="574"/>
      <c r="EL975" s="574"/>
      <c r="EM975" s="574"/>
      <c r="EN975" s="574"/>
      <c r="EO975" s="574"/>
      <c r="EP975" s="574"/>
      <c r="EQ975" s="574"/>
      <c r="ER975" s="574"/>
      <c r="ES975" s="574"/>
      <c r="ET975" s="574"/>
      <c r="EU975" s="574"/>
    </row>
    <row r="976">
      <c r="A976" s="12"/>
      <c r="B976" s="55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  <c r="AX976" s="12"/>
      <c r="AY976" s="12"/>
      <c r="AZ976" s="12"/>
      <c r="BA976" s="12"/>
      <c r="BB976" s="12"/>
      <c r="BC976" s="12"/>
      <c r="BD976" s="12"/>
      <c r="BE976" s="12"/>
      <c r="BF976" s="12"/>
      <c r="BG976" s="12"/>
      <c r="BH976" s="12"/>
      <c r="BI976" s="12"/>
      <c r="BJ976" s="12"/>
      <c r="BK976" s="12"/>
      <c r="BL976" s="12"/>
      <c r="BM976" s="12"/>
      <c r="BN976" s="12"/>
      <c r="BO976" s="12"/>
      <c r="BP976" s="12"/>
      <c r="BQ976" s="12"/>
      <c r="BR976" s="12"/>
      <c r="BS976" s="12"/>
      <c r="BT976" s="12"/>
      <c r="BU976" s="12"/>
      <c r="BV976" s="12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574"/>
      <c r="EK976" s="574"/>
      <c r="EL976" s="574"/>
      <c r="EM976" s="574"/>
      <c r="EN976" s="574"/>
      <c r="EO976" s="574"/>
      <c r="EP976" s="574"/>
      <c r="EQ976" s="574"/>
      <c r="ER976" s="574"/>
      <c r="ES976" s="574"/>
      <c r="ET976" s="574"/>
      <c r="EU976" s="574"/>
    </row>
    <row r="977">
      <c r="A977" s="12"/>
      <c r="B977" s="55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  <c r="AX977" s="12"/>
      <c r="AY977" s="12"/>
      <c r="AZ977" s="12"/>
      <c r="BA977" s="12"/>
      <c r="BB977" s="12"/>
      <c r="BC977" s="12"/>
      <c r="BD977" s="12"/>
      <c r="BE977" s="12"/>
      <c r="BF977" s="12"/>
      <c r="BG977" s="12"/>
      <c r="BH977" s="12"/>
      <c r="BI977" s="12"/>
      <c r="BJ977" s="12"/>
      <c r="BK977" s="12"/>
      <c r="BL977" s="12"/>
      <c r="BM977" s="12"/>
      <c r="BN977" s="12"/>
      <c r="BO977" s="12"/>
      <c r="BP977" s="12"/>
      <c r="BQ977" s="12"/>
      <c r="BR977" s="12"/>
      <c r="BS977" s="12"/>
      <c r="BT977" s="12"/>
      <c r="BU977" s="12"/>
      <c r="BV977" s="12"/>
      <c r="BW977" s="12"/>
      <c r="BX977" s="12"/>
      <c r="BY977" s="12"/>
      <c r="BZ977" s="12"/>
      <c r="CA977" s="12"/>
      <c r="CB977" s="12"/>
      <c r="CC977" s="12"/>
      <c r="CD977" s="12"/>
      <c r="CE977" s="12"/>
      <c r="CF977" s="12"/>
      <c r="CG977" s="12"/>
      <c r="CH977" s="12"/>
      <c r="CI977" s="12"/>
      <c r="CJ977" s="12"/>
      <c r="CK977" s="12"/>
      <c r="CL977" s="12"/>
      <c r="CM977" s="12"/>
      <c r="CN977" s="12"/>
      <c r="CO977" s="12"/>
      <c r="CP977" s="12"/>
      <c r="CQ977" s="12"/>
      <c r="CR977" s="12"/>
      <c r="CS977" s="12"/>
      <c r="CT977" s="12"/>
      <c r="CU977" s="12"/>
      <c r="CV977" s="12"/>
      <c r="CW977" s="12"/>
      <c r="CX977" s="12"/>
      <c r="CY977" s="12"/>
      <c r="CZ977" s="12"/>
      <c r="DA977" s="12"/>
      <c r="DB977" s="12"/>
      <c r="DC977" s="12"/>
      <c r="DD977" s="12"/>
      <c r="DE977" s="12"/>
      <c r="DF977" s="12"/>
      <c r="DG977" s="12"/>
      <c r="DH977" s="12"/>
      <c r="DI977" s="12"/>
      <c r="DJ977" s="12"/>
      <c r="DK977" s="12"/>
      <c r="DL977" s="12"/>
      <c r="DM977" s="12"/>
      <c r="DN977" s="12"/>
      <c r="DO977" s="12"/>
      <c r="DP977" s="12"/>
      <c r="DQ977" s="12"/>
      <c r="DR977" s="12"/>
      <c r="DS977" s="12"/>
      <c r="DT977" s="12"/>
      <c r="DU977" s="12"/>
      <c r="DV977" s="12"/>
      <c r="DW977" s="12"/>
      <c r="DX977" s="12"/>
      <c r="DY977" s="12"/>
      <c r="DZ977" s="12"/>
      <c r="EA977" s="12"/>
      <c r="EB977" s="12"/>
      <c r="EC977" s="12"/>
      <c r="ED977" s="12"/>
      <c r="EE977" s="12"/>
      <c r="EF977" s="12"/>
      <c r="EG977" s="12"/>
      <c r="EH977" s="12"/>
      <c r="EI977" s="12"/>
      <c r="EJ977" s="574"/>
      <c r="EK977" s="574"/>
      <c r="EL977" s="574"/>
      <c r="EM977" s="574"/>
      <c r="EN977" s="574"/>
      <c r="EO977" s="574"/>
      <c r="EP977" s="574"/>
      <c r="EQ977" s="574"/>
      <c r="ER977" s="574"/>
      <c r="ES977" s="574"/>
      <c r="ET977" s="574"/>
      <c r="EU977" s="574"/>
    </row>
    <row r="978">
      <c r="A978" s="12"/>
      <c r="B978" s="55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  <c r="AX978" s="12"/>
      <c r="AY978" s="12"/>
      <c r="AZ978" s="12"/>
      <c r="BA978" s="12"/>
      <c r="BB978" s="12"/>
      <c r="BC978" s="12"/>
      <c r="BD978" s="12"/>
      <c r="BE978" s="12"/>
      <c r="BF978" s="12"/>
      <c r="BG978" s="12"/>
      <c r="BH978" s="12"/>
      <c r="BI978" s="12"/>
      <c r="BJ978" s="12"/>
      <c r="BK978" s="12"/>
      <c r="BL978" s="12"/>
      <c r="BM978" s="12"/>
      <c r="BN978" s="12"/>
      <c r="BO978" s="12"/>
      <c r="BP978" s="12"/>
      <c r="BQ978" s="12"/>
      <c r="BR978" s="12"/>
      <c r="BS978" s="12"/>
      <c r="BT978" s="12"/>
      <c r="BU978" s="12"/>
      <c r="BV978" s="12"/>
      <c r="BW978" s="12"/>
      <c r="BX978" s="12"/>
      <c r="BY978" s="12"/>
      <c r="BZ978" s="12"/>
      <c r="CA978" s="12"/>
      <c r="CB978" s="12"/>
      <c r="CC978" s="12"/>
      <c r="CD978" s="12"/>
      <c r="CE978" s="12"/>
      <c r="CF978" s="12"/>
      <c r="CG978" s="12"/>
      <c r="CH978" s="12"/>
      <c r="CI978" s="12"/>
      <c r="CJ978" s="12"/>
      <c r="CK978" s="12"/>
      <c r="CL978" s="12"/>
      <c r="CM978" s="12"/>
      <c r="CN978" s="12"/>
      <c r="CO978" s="12"/>
      <c r="CP978" s="12"/>
      <c r="CQ978" s="12"/>
      <c r="CR978" s="12"/>
      <c r="CS978" s="12"/>
      <c r="CT978" s="12"/>
      <c r="CU978" s="12"/>
      <c r="CV978" s="12"/>
      <c r="CW978" s="12"/>
      <c r="CX978" s="12"/>
      <c r="CY978" s="12"/>
      <c r="CZ978" s="12"/>
      <c r="DA978" s="12"/>
      <c r="DB978" s="12"/>
      <c r="DC978" s="12"/>
      <c r="DD978" s="12"/>
      <c r="DE978" s="12"/>
      <c r="DF978" s="12"/>
      <c r="DG978" s="12"/>
      <c r="DH978" s="12"/>
      <c r="DI978" s="12"/>
      <c r="DJ978" s="12"/>
      <c r="DK978" s="12"/>
      <c r="DL978" s="12"/>
      <c r="DM978" s="12"/>
      <c r="DN978" s="12"/>
      <c r="DO978" s="12"/>
      <c r="DP978" s="12"/>
      <c r="DQ978" s="12"/>
      <c r="DR978" s="12"/>
      <c r="DS978" s="12"/>
      <c r="DT978" s="12"/>
      <c r="DU978" s="12"/>
      <c r="DV978" s="12"/>
      <c r="DW978" s="12"/>
      <c r="DX978" s="12"/>
      <c r="DY978" s="12"/>
      <c r="DZ978" s="12"/>
      <c r="EA978" s="12"/>
      <c r="EB978" s="12"/>
      <c r="EC978" s="12"/>
      <c r="ED978" s="12"/>
      <c r="EE978" s="12"/>
      <c r="EF978" s="12"/>
      <c r="EG978" s="12"/>
      <c r="EH978" s="12"/>
      <c r="EI978" s="12"/>
      <c r="EJ978" s="574"/>
      <c r="EK978" s="574"/>
      <c r="EL978" s="574"/>
      <c r="EM978" s="574"/>
      <c r="EN978" s="574"/>
      <c r="EO978" s="574"/>
      <c r="EP978" s="574"/>
      <c r="EQ978" s="574"/>
      <c r="ER978" s="574"/>
      <c r="ES978" s="574"/>
      <c r="ET978" s="574"/>
      <c r="EU978" s="574"/>
    </row>
    <row r="979">
      <c r="A979" s="12"/>
      <c r="B979" s="55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  <c r="AX979" s="12"/>
      <c r="AY979" s="12"/>
      <c r="AZ979" s="12"/>
      <c r="BA979" s="12"/>
      <c r="BB979" s="12"/>
      <c r="BC979" s="12"/>
      <c r="BD979" s="12"/>
      <c r="BE979" s="12"/>
      <c r="BF979" s="12"/>
      <c r="BG979" s="12"/>
      <c r="BH979" s="12"/>
      <c r="BI979" s="12"/>
      <c r="BJ979" s="12"/>
      <c r="BK979" s="12"/>
      <c r="BL979" s="12"/>
      <c r="BM979" s="12"/>
      <c r="BN979" s="12"/>
      <c r="BO979" s="12"/>
      <c r="BP979" s="12"/>
      <c r="BQ979" s="12"/>
      <c r="BR979" s="12"/>
      <c r="BS979" s="12"/>
      <c r="BT979" s="12"/>
      <c r="BU979" s="12"/>
      <c r="BV979" s="12"/>
      <c r="BW979" s="12"/>
      <c r="BX979" s="12"/>
      <c r="BY979" s="12"/>
      <c r="BZ979" s="12"/>
      <c r="CA979" s="12"/>
      <c r="CB979" s="12"/>
      <c r="CC979" s="12"/>
      <c r="CD979" s="12"/>
      <c r="CE979" s="12"/>
      <c r="CF979" s="12"/>
      <c r="CG979" s="12"/>
      <c r="CH979" s="12"/>
      <c r="CI979" s="12"/>
      <c r="CJ979" s="12"/>
      <c r="CK979" s="12"/>
      <c r="CL979" s="12"/>
      <c r="CM979" s="12"/>
      <c r="CN979" s="12"/>
      <c r="CO979" s="12"/>
      <c r="CP979" s="12"/>
      <c r="CQ979" s="12"/>
      <c r="CR979" s="12"/>
      <c r="CS979" s="12"/>
      <c r="CT979" s="12"/>
      <c r="CU979" s="12"/>
      <c r="CV979" s="12"/>
      <c r="CW979" s="12"/>
      <c r="CX979" s="12"/>
      <c r="CY979" s="12"/>
      <c r="CZ979" s="12"/>
      <c r="DA979" s="12"/>
      <c r="DB979" s="12"/>
      <c r="DC979" s="12"/>
      <c r="DD979" s="12"/>
      <c r="DE979" s="12"/>
      <c r="DF979" s="12"/>
      <c r="DG979" s="12"/>
      <c r="DH979" s="12"/>
      <c r="DI979" s="12"/>
      <c r="DJ979" s="12"/>
      <c r="DK979" s="12"/>
      <c r="DL979" s="12"/>
      <c r="DM979" s="12"/>
      <c r="DN979" s="12"/>
      <c r="DO979" s="12"/>
      <c r="DP979" s="12"/>
      <c r="DQ979" s="12"/>
      <c r="DR979" s="12"/>
      <c r="DS979" s="12"/>
      <c r="DT979" s="12"/>
      <c r="DU979" s="12"/>
      <c r="DV979" s="12"/>
      <c r="DW979" s="12"/>
      <c r="DX979" s="12"/>
      <c r="DY979" s="12"/>
      <c r="DZ979" s="12"/>
      <c r="EA979" s="12"/>
      <c r="EB979" s="12"/>
      <c r="EC979" s="12"/>
      <c r="ED979" s="12"/>
      <c r="EE979" s="12"/>
      <c r="EF979" s="12"/>
      <c r="EG979" s="12"/>
      <c r="EH979" s="12"/>
      <c r="EI979" s="12"/>
      <c r="EJ979" s="574"/>
      <c r="EK979" s="574"/>
      <c r="EL979" s="574"/>
      <c r="EM979" s="574"/>
      <c r="EN979" s="574"/>
      <c r="EO979" s="574"/>
      <c r="EP979" s="574"/>
      <c r="EQ979" s="574"/>
      <c r="ER979" s="574"/>
      <c r="ES979" s="574"/>
      <c r="ET979" s="574"/>
      <c r="EU979" s="574"/>
    </row>
    <row r="980">
      <c r="A980" s="12"/>
      <c r="B980" s="55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  <c r="AX980" s="12"/>
      <c r="AY980" s="12"/>
      <c r="AZ980" s="12"/>
      <c r="BA980" s="12"/>
      <c r="BB980" s="12"/>
      <c r="BC980" s="12"/>
      <c r="BD980" s="12"/>
      <c r="BE980" s="12"/>
      <c r="BF980" s="12"/>
      <c r="BG980" s="12"/>
      <c r="BH980" s="12"/>
      <c r="BI980" s="12"/>
      <c r="BJ980" s="12"/>
      <c r="BK980" s="12"/>
      <c r="BL980" s="12"/>
      <c r="BM980" s="12"/>
      <c r="BN980" s="12"/>
      <c r="BO980" s="12"/>
      <c r="BP980" s="12"/>
      <c r="BQ980" s="12"/>
      <c r="BR980" s="12"/>
      <c r="BS980" s="12"/>
      <c r="BT980" s="12"/>
      <c r="BU980" s="12"/>
      <c r="BV980" s="12"/>
      <c r="BW980" s="12"/>
      <c r="BX980" s="12"/>
      <c r="BY980" s="12"/>
      <c r="BZ980" s="12"/>
      <c r="CA980" s="12"/>
      <c r="CB980" s="12"/>
      <c r="CC980" s="12"/>
      <c r="CD980" s="12"/>
      <c r="CE980" s="12"/>
      <c r="CF980" s="12"/>
      <c r="CG980" s="12"/>
      <c r="CH980" s="12"/>
      <c r="CI980" s="12"/>
      <c r="CJ980" s="12"/>
      <c r="CK980" s="12"/>
      <c r="CL980" s="12"/>
      <c r="CM980" s="12"/>
      <c r="CN980" s="12"/>
      <c r="CO980" s="12"/>
      <c r="CP980" s="12"/>
      <c r="CQ980" s="12"/>
      <c r="CR980" s="12"/>
      <c r="CS980" s="12"/>
      <c r="CT980" s="12"/>
      <c r="CU980" s="12"/>
      <c r="CV980" s="12"/>
      <c r="CW980" s="12"/>
      <c r="CX980" s="12"/>
      <c r="CY980" s="12"/>
      <c r="CZ980" s="12"/>
      <c r="DA980" s="12"/>
      <c r="DB980" s="12"/>
      <c r="DC980" s="12"/>
      <c r="DD980" s="12"/>
      <c r="DE980" s="12"/>
      <c r="DF980" s="12"/>
      <c r="DG980" s="12"/>
      <c r="DH980" s="12"/>
      <c r="DI980" s="12"/>
      <c r="DJ980" s="12"/>
      <c r="DK980" s="12"/>
      <c r="DL980" s="12"/>
      <c r="DM980" s="12"/>
      <c r="DN980" s="12"/>
      <c r="DO980" s="12"/>
      <c r="DP980" s="12"/>
      <c r="DQ980" s="12"/>
      <c r="DR980" s="12"/>
      <c r="DS980" s="12"/>
      <c r="DT980" s="12"/>
      <c r="DU980" s="12"/>
      <c r="DV980" s="12"/>
      <c r="DW980" s="12"/>
      <c r="DX980" s="12"/>
      <c r="DY980" s="12"/>
      <c r="DZ980" s="12"/>
      <c r="EA980" s="12"/>
      <c r="EB980" s="12"/>
      <c r="EC980" s="12"/>
      <c r="ED980" s="12"/>
      <c r="EE980" s="12"/>
      <c r="EF980" s="12"/>
      <c r="EG980" s="12"/>
      <c r="EH980" s="12"/>
      <c r="EI980" s="12"/>
      <c r="EJ980" s="574"/>
      <c r="EK980" s="574"/>
      <c r="EL980" s="574"/>
      <c r="EM980" s="574"/>
      <c r="EN980" s="574"/>
      <c r="EO980" s="574"/>
      <c r="EP980" s="574"/>
      <c r="EQ980" s="574"/>
      <c r="ER980" s="574"/>
      <c r="ES980" s="574"/>
      <c r="ET980" s="574"/>
      <c r="EU980" s="574"/>
    </row>
    <row r="981">
      <c r="A981" s="12"/>
      <c r="B981" s="55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  <c r="AX981" s="12"/>
      <c r="AY981" s="12"/>
      <c r="AZ981" s="12"/>
      <c r="BA981" s="12"/>
      <c r="BB981" s="12"/>
      <c r="BC981" s="12"/>
      <c r="BD981" s="12"/>
      <c r="BE981" s="12"/>
      <c r="BF981" s="12"/>
      <c r="BG981" s="12"/>
      <c r="BH981" s="12"/>
      <c r="BI981" s="12"/>
      <c r="BJ981" s="12"/>
      <c r="BK981" s="12"/>
      <c r="BL981" s="12"/>
      <c r="BM981" s="12"/>
      <c r="BN981" s="12"/>
      <c r="BO981" s="12"/>
      <c r="BP981" s="12"/>
      <c r="BQ981" s="12"/>
      <c r="BR981" s="12"/>
      <c r="BS981" s="12"/>
      <c r="BT981" s="12"/>
      <c r="BU981" s="12"/>
      <c r="BV981" s="12"/>
      <c r="BW981" s="12"/>
      <c r="BX981" s="12"/>
      <c r="BY981" s="12"/>
      <c r="BZ981" s="12"/>
      <c r="CA981" s="12"/>
      <c r="CB981" s="12"/>
      <c r="CC981" s="12"/>
      <c r="CD981" s="12"/>
      <c r="CE981" s="12"/>
      <c r="CF981" s="12"/>
      <c r="CG981" s="12"/>
      <c r="CH981" s="12"/>
      <c r="CI981" s="12"/>
      <c r="CJ981" s="12"/>
      <c r="CK981" s="12"/>
      <c r="CL981" s="12"/>
      <c r="CM981" s="12"/>
      <c r="CN981" s="12"/>
      <c r="CO981" s="12"/>
      <c r="CP981" s="12"/>
      <c r="CQ981" s="12"/>
      <c r="CR981" s="12"/>
      <c r="CS981" s="12"/>
      <c r="CT981" s="12"/>
      <c r="CU981" s="12"/>
      <c r="CV981" s="12"/>
      <c r="CW981" s="12"/>
      <c r="CX981" s="12"/>
      <c r="CY981" s="12"/>
      <c r="CZ981" s="12"/>
      <c r="DA981" s="12"/>
      <c r="DB981" s="12"/>
      <c r="DC981" s="12"/>
      <c r="DD981" s="12"/>
      <c r="DE981" s="12"/>
      <c r="DF981" s="12"/>
      <c r="DG981" s="12"/>
      <c r="DH981" s="12"/>
      <c r="DI981" s="12"/>
      <c r="DJ981" s="12"/>
      <c r="DK981" s="12"/>
      <c r="DL981" s="12"/>
      <c r="DM981" s="12"/>
      <c r="DN981" s="12"/>
      <c r="DO981" s="12"/>
      <c r="DP981" s="12"/>
      <c r="DQ981" s="12"/>
      <c r="DR981" s="12"/>
      <c r="DS981" s="12"/>
      <c r="DT981" s="12"/>
      <c r="DU981" s="12"/>
      <c r="DV981" s="12"/>
      <c r="DW981" s="12"/>
      <c r="DX981" s="12"/>
      <c r="DY981" s="12"/>
      <c r="DZ981" s="12"/>
      <c r="EA981" s="12"/>
      <c r="EB981" s="12"/>
      <c r="EC981" s="12"/>
      <c r="ED981" s="12"/>
      <c r="EE981" s="12"/>
      <c r="EF981" s="12"/>
      <c r="EG981" s="12"/>
      <c r="EH981" s="12"/>
      <c r="EI981" s="12"/>
      <c r="EJ981" s="574"/>
      <c r="EK981" s="574"/>
      <c r="EL981" s="574"/>
      <c r="EM981" s="574"/>
      <c r="EN981" s="574"/>
      <c r="EO981" s="574"/>
      <c r="EP981" s="574"/>
      <c r="EQ981" s="574"/>
      <c r="ER981" s="574"/>
      <c r="ES981" s="574"/>
      <c r="ET981" s="574"/>
      <c r="EU981" s="574"/>
    </row>
    <row r="982">
      <c r="A982" s="12"/>
      <c r="B982" s="55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  <c r="AX982" s="12"/>
      <c r="AY982" s="12"/>
      <c r="AZ982" s="12"/>
      <c r="BA982" s="12"/>
      <c r="BB982" s="12"/>
      <c r="BC982" s="12"/>
      <c r="BD982" s="12"/>
      <c r="BE982" s="12"/>
      <c r="BF982" s="12"/>
      <c r="BG982" s="12"/>
      <c r="BH982" s="12"/>
      <c r="BI982" s="12"/>
      <c r="BJ982" s="12"/>
      <c r="BK982" s="12"/>
      <c r="BL982" s="12"/>
      <c r="BM982" s="12"/>
      <c r="BN982" s="12"/>
      <c r="BO982" s="12"/>
      <c r="BP982" s="12"/>
      <c r="BQ982" s="12"/>
      <c r="BR982" s="12"/>
      <c r="BS982" s="12"/>
      <c r="BT982" s="12"/>
      <c r="BU982" s="12"/>
      <c r="BV982" s="12"/>
      <c r="BW982" s="12"/>
      <c r="BX982" s="12"/>
      <c r="BY982" s="12"/>
      <c r="BZ982" s="12"/>
      <c r="CA982" s="12"/>
      <c r="CB982" s="12"/>
      <c r="CC982" s="12"/>
      <c r="CD982" s="12"/>
      <c r="CE982" s="12"/>
      <c r="CF982" s="12"/>
      <c r="CG982" s="12"/>
      <c r="CH982" s="12"/>
      <c r="CI982" s="12"/>
      <c r="CJ982" s="12"/>
      <c r="CK982" s="12"/>
      <c r="CL982" s="12"/>
      <c r="CM982" s="12"/>
      <c r="CN982" s="12"/>
      <c r="CO982" s="12"/>
      <c r="CP982" s="12"/>
      <c r="CQ982" s="12"/>
      <c r="CR982" s="12"/>
      <c r="CS982" s="12"/>
      <c r="CT982" s="12"/>
      <c r="CU982" s="12"/>
      <c r="CV982" s="12"/>
      <c r="CW982" s="12"/>
      <c r="CX982" s="12"/>
      <c r="CY982" s="12"/>
      <c r="CZ982" s="12"/>
      <c r="DA982" s="12"/>
      <c r="DB982" s="12"/>
      <c r="DC982" s="12"/>
      <c r="DD982" s="12"/>
      <c r="DE982" s="12"/>
      <c r="DF982" s="12"/>
      <c r="DG982" s="12"/>
      <c r="DH982" s="12"/>
      <c r="DI982" s="12"/>
      <c r="DJ982" s="12"/>
      <c r="DK982" s="12"/>
      <c r="DL982" s="12"/>
      <c r="DM982" s="12"/>
      <c r="DN982" s="12"/>
      <c r="DO982" s="12"/>
      <c r="DP982" s="12"/>
      <c r="DQ982" s="12"/>
      <c r="DR982" s="12"/>
      <c r="DS982" s="12"/>
      <c r="DT982" s="12"/>
      <c r="DU982" s="12"/>
      <c r="DV982" s="12"/>
      <c r="DW982" s="12"/>
      <c r="DX982" s="12"/>
      <c r="DY982" s="12"/>
      <c r="DZ982" s="12"/>
      <c r="EA982" s="12"/>
      <c r="EB982" s="12"/>
      <c r="EC982" s="12"/>
      <c r="ED982" s="12"/>
      <c r="EE982" s="12"/>
      <c r="EF982" s="12"/>
      <c r="EG982" s="12"/>
      <c r="EH982" s="12"/>
      <c r="EI982" s="12"/>
      <c r="EJ982" s="574"/>
      <c r="EK982" s="574"/>
      <c r="EL982" s="574"/>
      <c r="EM982" s="574"/>
      <c r="EN982" s="574"/>
      <c r="EO982" s="574"/>
      <c r="EP982" s="574"/>
      <c r="EQ982" s="574"/>
      <c r="ER982" s="574"/>
      <c r="ES982" s="574"/>
      <c r="ET982" s="574"/>
      <c r="EU982" s="574"/>
    </row>
    <row r="983">
      <c r="A983" s="12"/>
      <c r="B983" s="55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  <c r="AX983" s="12"/>
      <c r="AY983" s="12"/>
      <c r="AZ983" s="12"/>
      <c r="BA983" s="12"/>
      <c r="BB983" s="12"/>
      <c r="BC983" s="12"/>
      <c r="BD983" s="12"/>
      <c r="BE983" s="12"/>
      <c r="BF983" s="12"/>
      <c r="BG983" s="12"/>
      <c r="BH983" s="12"/>
      <c r="BI983" s="12"/>
      <c r="BJ983" s="12"/>
      <c r="BK983" s="12"/>
      <c r="BL983" s="12"/>
      <c r="BM983" s="12"/>
      <c r="BN983" s="12"/>
      <c r="BO983" s="12"/>
      <c r="BP983" s="12"/>
      <c r="BQ983" s="12"/>
      <c r="BR983" s="12"/>
      <c r="BS983" s="12"/>
      <c r="BT983" s="12"/>
      <c r="BU983" s="12"/>
      <c r="BV983" s="12"/>
      <c r="BW983" s="12"/>
      <c r="BX983" s="12"/>
      <c r="BY983" s="12"/>
      <c r="BZ983" s="12"/>
      <c r="CA983" s="12"/>
      <c r="CB983" s="12"/>
      <c r="CC983" s="12"/>
      <c r="CD983" s="12"/>
      <c r="CE983" s="12"/>
      <c r="CF983" s="12"/>
      <c r="CG983" s="12"/>
      <c r="CH983" s="12"/>
      <c r="CI983" s="12"/>
      <c r="CJ983" s="12"/>
      <c r="CK983" s="12"/>
      <c r="CL983" s="12"/>
      <c r="CM983" s="12"/>
      <c r="CN983" s="12"/>
      <c r="CO983" s="12"/>
      <c r="CP983" s="12"/>
      <c r="CQ983" s="12"/>
      <c r="CR983" s="12"/>
      <c r="CS983" s="12"/>
      <c r="CT983" s="12"/>
      <c r="CU983" s="12"/>
      <c r="CV983" s="12"/>
      <c r="CW983" s="12"/>
      <c r="CX983" s="12"/>
      <c r="CY983" s="12"/>
      <c r="CZ983" s="12"/>
      <c r="DA983" s="12"/>
      <c r="DB983" s="12"/>
      <c r="DC983" s="12"/>
      <c r="DD983" s="12"/>
      <c r="DE983" s="12"/>
      <c r="DF983" s="12"/>
      <c r="DG983" s="12"/>
      <c r="DH983" s="12"/>
      <c r="DI983" s="12"/>
      <c r="DJ983" s="12"/>
      <c r="DK983" s="12"/>
      <c r="DL983" s="12"/>
      <c r="DM983" s="12"/>
      <c r="DN983" s="12"/>
      <c r="DO983" s="12"/>
      <c r="DP983" s="12"/>
      <c r="DQ983" s="12"/>
      <c r="DR983" s="12"/>
      <c r="DS983" s="12"/>
      <c r="DT983" s="12"/>
      <c r="DU983" s="12"/>
      <c r="DV983" s="12"/>
      <c r="DW983" s="12"/>
      <c r="DX983" s="12"/>
      <c r="DY983" s="12"/>
      <c r="DZ983" s="12"/>
      <c r="EA983" s="12"/>
      <c r="EB983" s="12"/>
      <c r="EC983" s="12"/>
      <c r="ED983" s="12"/>
      <c r="EE983" s="12"/>
      <c r="EF983" s="12"/>
      <c r="EG983" s="12"/>
      <c r="EH983" s="12"/>
      <c r="EI983" s="12"/>
      <c r="EJ983" s="574"/>
      <c r="EK983" s="574"/>
      <c r="EL983" s="574"/>
      <c r="EM983" s="574"/>
      <c r="EN983" s="574"/>
      <c r="EO983" s="574"/>
      <c r="EP983" s="574"/>
      <c r="EQ983" s="574"/>
      <c r="ER983" s="574"/>
      <c r="ES983" s="574"/>
      <c r="ET983" s="574"/>
      <c r="EU983" s="574"/>
    </row>
    <row r="984">
      <c r="A984" s="12"/>
      <c r="B984" s="55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  <c r="AX984" s="12"/>
      <c r="AY984" s="12"/>
      <c r="AZ984" s="12"/>
      <c r="BA984" s="12"/>
      <c r="BB984" s="12"/>
      <c r="BC984" s="12"/>
      <c r="BD984" s="12"/>
      <c r="BE984" s="12"/>
      <c r="BF984" s="12"/>
      <c r="BG984" s="12"/>
      <c r="BH984" s="12"/>
      <c r="BI984" s="12"/>
      <c r="BJ984" s="12"/>
      <c r="BK984" s="12"/>
      <c r="BL984" s="12"/>
      <c r="BM984" s="12"/>
      <c r="BN984" s="12"/>
      <c r="BO984" s="12"/>
      <c r="BP984" s="12"/>
      <c r="BQ984" s="12"/>
      <c r="BR984" s="12"/>
      <c r="BS984" s="12"/>
      <c r="BT984" s="12"/>
      <c r="BU984" s="12"/>
      <c r="BV984" s="12"/>
      <c r="BW984" s="12"/>
      <c r="BX984" s="12"/>
      <c r="BY984" s="12"/>
      <c r="BZ984" s="12"/>
      <c r="CA984" s="12"/>
      <c r="CB984" s="12"/>
      <c r="CC984" s="12"/>
      <c r="CD984" s="12"/>
      <c r="CE984" s="12"/>
      <c r="CF984" s="12"/>
      <c r="CG984" s="12"/>
      <c r="CH984" s="12"/>
      <c r="CI984" s="12"/>
      <c r="CJ984" s="12"/>
      <c r="CK984" s="12"/>
      <c r="CL984" s="12"/>
      <c r="CM984" s="12"/>
      <c r="CN984" s="12"/>
      <c r="CO984" s="12"/>
      <c r="CP984" s="12"/>
      <c r="CQ984" s="12"/>
      <c r="CR984" s="12"/>
      <c r="CS984" s="12"/>
      <c r="CT984" s="12"/>
      <c r="CU984" s="12"/>
      <c r="CV984" s="12"/>
      <c r="CW984" s="12"/>
      <c r="CX984" s="12"/>
      <c r="CY984" s="12"/>
      <c r="CZ984" s="12"/>
      <c r="DA984" s="12"/>
      <c r="DB984" s="12"/>
      <c r="DC984" s="12"/>
      <c r="DD984" s="12"/>
      <c r="DE984" s="12"/>
      <c r="DF984" s="12"/>
      <c r="DG984" s="12"/>
      <c r="DH984" s="12"/>
      <c r="DI984" s="12"/>
      <c r="DJ984" s="12"/>
      <c r="DK984" s="12"/>
      <c r="DL984" s="12"/>
      <c r="DM984" s="12"/>
      <c r="DN984" s="12"/>
      <c r="DO984" s="12"/>
      <c r="DP984" s="12"/>
      <c r="DQ984" s="12"/>
      <c r="DR984" s="12"/>
      <c r="DS984" s="12"/>
      <c r="DT984" s="12"/>
      <c r="DU984" s="12"/>
      <c r="DV984" s="12"/>
      <c r="DW984" s="12"/>
      <c r="DX984" s="12"/>
      <c r="DY984" s="12"/>
      <c r="DZ984" s="12"/>
      <c r="EA984" s="12"/>
      <c r="EB984" s="12"/>
      <c r="EC984" s="12"/>
      <c r="ED984" s="12"/>
      <c r="EE984" s="12"/>
      <c r="EF984" s="12"/>
      <c r="EG984" s="12"/>
      <c r="EH984" s="12"/>
      <c r="EI984" s="12"/>
      <c r="EJ984" s="574"/>
      <c r="EK984" s="574"/>
      <c r="EL984" s="574"/>
      <c r="EM984" s="574"/>
      <c r="EN984" s="574"/>
      <c r="EO984" s="574"/>
      <c r="EP984" s="574"/>
      <c r="EQ984" s="574"/>
      <c r="ER984" s="574"/>
      <c r="ES984" s="574"/>
      <c r="ET984" s="574"/>
      <c r="EU984" s="574"/>
    </row>
    <row r="985">
      <c r="A985" s="12"/>
      <c r="B985" s="55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  <c r="AX985" s="12"/>
      <c r="AY985" s="12"/>
      <c r="AZ985" s="12"/>
      <c r="BA985" s="12"/>
      <c r="BB985" s="12"/>
      <c r="BC985" s="12"/>
      <c r="BD985" s="12"/>
      <c r="BE985" s="12"/>
      <c r="BF985" s="12"/>
      <c r="BG985" s="12"/>
      <c r="BH985" s="12"/>
      <c r="BI985" s="12"/>
      <c r="BJ985" s="12"/>
      <c r="BK985" s="12"/>
      <c r="BL985" s="12"/>
      <c r="BM985" s="12"/>
      <c r="BN985" s="12"/>
      <c r="BO985" s="12"/>
      <c r="BP985" s="12"/>
      <c r="BQ985" s="12"/>
      <c r="BR985" s="12"/>
      <c r="BS985" s="12"/>
      <c r="BT985" s="12"/>
      <c r="BU985" s="12"/>
      <c r="BV985" s="12"/>
      <c r="BW985" s="12"/>
      <c r="BX985" s="12"/>
      <c r="BY985" s="12"/>
      <c r="BZ985" s="12"/>
      <c r="CA985" s="12"/>
      <c r="CB985" s="12"/>
      <c r="CC985" s="12"/>
      <c r="CD985" s="12"/>
      <c r="CE985" s="12"/>
      <c r="CF985" s="12"/>
      <c r="CG985" s="12"/>
      <c r="CH985" s="12"/>
      <c r="CI985" s="12"/>
      <c r="CJ985" s="12"/>
      <c r="CK985" s="12"/>
      <c r="CL985" s="12"/>
      <c r="CM985" s="12"/>
      <c r="CN985" s="12"/>
      <c r="CO985" s="12"/>
      <c r="CP985" s="12"/>
      <c r="CQ985" s="12"/>
      <c r="CR985" s="12"/>
      <c r="CS985" s="12"/>
      <c r="CT985" s="12"/>
      <c r="CU985" s="12"/>
      <c r="CV985" s="12"/>
      <c r="CW985" s="12"/>
      <c r="CX985" s="12"/>
      <c r="CY985" s="12"/>
      <c r="CZ985" s="12"/>
      <c r="DA985" s="12"/>
      <c r="DB985" s="12"/>
      <c r="DC985" s="12"/>
      <c r="DD985" s="12"/>
      <c r="DE985" s="12"/>
      <c r="DF985" s="12"/>
      <c r="DG985" s="12"/>
      <c r="DH985" s="12"/>
      <c r="DI985" s="12"/>
      <c r="DJ985" s="12"/>
      <c r="DK985" s="12"/>
      <c r="DL985" s="12"/>
      <c r="DM985" s="12"/>
      <c r="DN985" s="12"/>
      <c r="DO985" s="12"/>
      <c r="DP985" s="12"/>
      <c r="DQ985" s="12"/>
      <c r="DR985" s="12"/>
      <c r="DS985" s="12"/>
      <c r="DT985" s="12"/>
      <c r="DU985" s="12"/>
      <c r="DV985" s="12"/>
      <c r="DW985" s="12"/>
      <c r="DX985" s="12"/>
      <c r="DY985" s="12"/>
      <c r="DZ985" s="12"/>
      <c r="EA985" s="12"/>
      <c r="EB985" s="12"/>
      <c r="EC985" s="12"/>
      <c r="ED985" s="12"/>
      <c r="EE985" s="12"/>
      <c r="EF985" s="12"/>
      <c r="EG985" s="12"/>
      <c r="EH985" s="12"/>
      <c r="EI985" s="12"/>
      <c r="EJ985" s="574"/>
      <c r="EK985" s="574"/>
      <c r="EL985" s="574"/>
      <c r="EM985" s="574"/>
      <c r="EN985" s="574"/>
      <c r="EO985" s="574"/>
      <c r="EP985" s="574"/>
      <c r="EQ985" s="574"/>
      <c r="ER985" s="574"/>
      <c r="ES985" s="574"/>
      <c r="ET985" s="574"/>
      <c r="EU985" s="574"/>
    </row>
    <row r="986">
      <c r="A986" s="12"/>
      <c r="B986" s="55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  <c r="AX986" s="12"/>
      <c r="AY986" s="12"/>
      <c r="AZ986" s="12"/>
      <c r="BA986" s="12"/>
      <c r="BB986" s="12"/>
      <c r="BC986" s="12"/>
      <c r="BD986" s="12"/>
      <c r="BE986" s="12"/>
      <c r="BF986" s="12"/>
      <c r="BG986" s="12"/>
      <c r="BH986" s="12"/>
      <c r="BI986" s="12"/>
      <c r="BJ986" s="12"/>
      <c r="BK986" s="12"/>
      <c r="BL986" s="12"/>
      <c r="BM986" s="12"/>
      <c r="BN986" s="12"/>
      <c r="BO986" s="12"/>
      <c r="BP986" s="12"/>
      <c r="BQ986" s="12"/>
      <c r="BR986" s="12"/>
      <c r="BS986" s="12"/>
      <c r="BT986" s="12"/>
      <c r="BU986" s="12"/>
      <c r="BV986" s="12"/>
      <c r="BW986" s="12"/>
      <c r="BX986" s="12"/>
      <c r="BY986" s="12"/>
      <c r="BZ986" s="12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574"/>
      <c r="EK986" s="574"/>
      <c r="EL986" s="574"/>
      <c r="EM986" s="574"/>
      <c r="EN986" s="574"/>
      <c r="EO986" s="574"/>
      <c r="EP986" s="574"/>
      <c r="EQ986" s="574"/>
      <c r="ER986" s="574"/>
      <c r="ES986" s="574"/>
      <c r="ET986" s="574"/>
      <c r="EU986" s="574"/>
    </row>
    <row r="987">
      <c r="A987" s="12"/>
      <c r="B987" s="55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  <c r="AX987" s="12"/>
      <c r="AY987" s="12"/>
      <c r="AZ987" s="12"/>
      <c r="BA987" s="12"/>
      <c r="BB987" s="12"/>
      <c r="BC987" s="12"/>
      <c r="BD987" s="12"/>
      <c r="BE987" s="12"/>
      <c r="BF987" s="12"/>
      <c r="BG987" s="12"/>
      <c r="BH987" s="12"/>
      <c r="BI987" s="12"/>
      <c r="BJ987" s="12"/>
      <c r="BK987" s="12"/>
      <c r="BL987" s="12"/>
      <c r="BM987" s="12"/>
      <c r="BN987" s="12"/>
      <c r="BO987" s="12"/>
      <c r="BP987" s="12"/>
      <c r="BQ987" s="12"/>
      <c r="BR987" s="12"/>
      <c r="BS987" s="12"/>
      <c r="BT987" s="12"/>
      <c r="BU987" s="12"/>
      <c r="BV987" s="12"/>
      <c r="BW987" s="12"/>
      <c r="BX987" s="12"/>
      <c r="BY987" s="12"/>
      <c r="BZ987" s="12"/>
      <c r="CA987" s="12"/>
      <c r="CB987" s="12"/>
      <c r="CC987" s="12"/>
      <c r="CD987" s="12"/>
      <c r="CE987" s="12"/>
      <c r="CF987" s="12"/>
      <c r="CG987" s="12"/>
      <c r="CH987" s="12"/>
      <c r="CI987" s="12"/>
      <c r="CJ987" s="12"/>
      <c r="CK987" s="12"/>
      <c r="CL987" s="12"/>
      <c r="CM987" s="12"/>
      <c r="CN987" s="12"/>
      <c r="CO987" s="12"/>
      <c r="CP987" s="12"/>
      <c r="CQ987" s="12"/>
      <c r="CR987" s="12"/>
      <c r="CS987" s="12"/>
      <c r="CT987" s="12"/>
      <c r="CU987" s="12"/>
      <c r="CV987" s="12"/>
      <c r="CW987" s="12"/>
      <c r="CX987" s="12"/>
      <c r="CY987" s="12"/>
      <c r="CZ987" s="12"/>
      <c r="DA987" s="12"/>
      <c r="DB987" s="12"/>
      <c r="DC987" s="12"/>
      <c r="DD987" s="12"/>
      <c r="DE987" s="12"/>
      <c r="DF987" s="12"/>
      <c r="DG987" s="12"/>
      <c r="DH987" s="12"/>
      <c r="DI987" s="12"/>
      <c r="DJ987" s="12"/>
      <c r="DK987" s="12"/>
      <c r="DL987" s="12"/>
      <c r="DM987" s="12"/>
      <c r="DN987" s="12"/>
      <c r="DO987" s="12"/>
      <c r="DP987" s="12"/>
      <c r="DQ987" s="12"/>
      <c r="DR987" s="12"/>
      <c r="DS987" s="12"/>
      <c r="DT987" s="12"/>
      <c r="DU987" s="12"/>
      <c r="DV987" s="12"/>
      <c r="DW987" s="12"/>
      <c r="DX987" s="12"/>
      <c r="DY987" s="12"/>
      <c r="DZ987" s="12"/>
      <c r="EA987" s="12"/>
      <c r="EB987" s="12"/>
      <c r="EC987" s="12"/>
      <c r="ED987" s="12"/>
      <c r="EE987" s="12"/>
      <c r="EF987" s="12"/>
      <c r="EG987" s="12"/>
      <c r="EH987" s="12"/>
      <c r="EI987" s="12"/>
      <c r="EJ987" s="574"/>
      <c r="EK987" s="574"/>
      <c r="EL987" s="574"/>
      <c r="EM987" s="574"/>
      <c r="EN987" s="574"/>
      <c r="EO987" s="574"/>
      <c r="EP987" s="574"/>
      <c r="EQ987" s="574"/>
      <c r="ER987" s="574"/>
      <c r="ES987" s="574"/>
      <c r="ET987" s="574"/>
      <c r="EU987" s="574"/>
    </row>
    <row r="988">
      <c r="A988" s="12"/>
      <c r="B988" s="55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  <c r="AX988" s="12"/>
      <c r="AY988" s="12"/>
      <c r="AZ988" s="12"/>
      <c r="BA988" s="12"/>
      <c r="BB988" s="12"/>
      <c r="BC988" s="12"/>
      <c r="BD988" s="12"/>
      <c r="BE988" s="12"/>
      <c r="BF988" s="12"/>
      <c r="BG988" s="12"/>
      <c r="BH988" s="12"/>
      <c r="BI988" s="12"/>
      <c r="BJ988" s="12"/>
      <c r="BK988" s="12"/>
      <c r="BL988" s="12"/>
      <c r="BM988" s="12"/>
      <c r="BN988" s="12"/>
      <c r="BO988" s="12"/>
      <c r="BP988" s="12"/>
      <c r="BQ988" s="12"/>
      <c r="BR988" s="12"/>
      <c r="BS988" s="12"/>
      <c r="BT988" s="12"/>
      <c r="BU988" s="12"/>
      <c r="BV988" s="12"/>
      <c r="BW988" s="12"/>
      <c r="BX988" s="12"/>
      <c r="BY988" s="12"/>
      <c r="BZ988" s="12"/>
      <c r="CA988" s="12"/>
      <c r="CB988" s="12"/>
      <c r="CC988" s="12"/>
      <c r="CD988" s="12"/>
      <c r="CE988" s="12"/>
      <c r="CF988" s="12"/>
      <c r="CG988" s="12"/>
      <c r="CH988" s="12"/>
      <c r="CI988" s="12"/>
      <c r="CJ988" s="12"/>
      <c r="CK988" s="12"/>
      <c r="CL988" s="12"/>
      <c r="CM988" s="12"/>
      <c r="CN988" s="12"/>
      <c r="CO988" s="12"/>
      <c r="CP988" s="12"/>
      <c r="CQ988" s="12"/>
      <c r="CR988" s="12"/>
      <c r="CS988" s="12"/>
      <c r="CT988" s="12"/>
      <c r="CU988" s="12"/>
      <c r="CV988" s="12"/>
      <c r="CW988" s="12"/>
      <c r="CX988" s="12"/>
      <c r="CY988" s="12"/>
      <c r="CZ988" s="12"/>
      <c r="DA988" s="12"/>
      <c r="DB988" s="12"/>
      <c r="DC988" s="12"/>
      <c r="DD988" s="12"/>
      <c r="DE988" s="12"/>
      <c r="DF988" s="12"/>
      <c r="DG988" s="12"/>
      <c r="DH988" s="12"/>
      <c r="DI988" s="12"/>
      <c r="DJ988" s="12"/>
      <c r="DK988" s="12"/>
      <c r="DL988" s="12"/>
      <c r="DM988" s="12"/>
      <c r="DN988" s="12"/>
      <c r="DO988" s="12"/>
      <c r="DP988" s="12"/>
      <c r="DQ988" s="12"/>
      <c r="DR988" s="12"/>
      <c r="DS988" s="12"/>
      <c r="DT988" s="12"/>
      <c r="DU988" s="12"/>
      <c r="DV988" s="12"/>
      <c r="DW988" s="12"/>
      <c r="DX988" s="12"/>
      <c r="DY988" s="12"/>
      <c r="DZ988" s="12"/>
      <c r="EA988" s="12"/>
      <c r="EB988" s="12"/>
      <c r="EC988" s="12"/>
      <c r="ED988" s="12"/>
      <c r="EE988" s="12"/>
      <c r="EF988" s="12"/>
      <c r="EG988" s="12"/>
      <c r="EH988" s="12"/>
      <c r="EI988" s="12"/>
      <c r="EJ988" s="574"/>
      <c r="EK988" s="574"/>
      <c r="EL988" s="574"/>
      <c r="EM988" s="574"/>
      <c r="EN988" s="574"/>
      <c r="EO988" s="574"/>
      <c r="EP988" s="574"/>
      <c r="EQ988" s="574"/>
      <c r="ER988" s="574"/>
      <c r="ES988" s="574"/>
      <c r="ET988" s="574"/>
      <c r="EU988" s="574"/>
    </row>
    <row r="989">
      <c r="A989" s="12"/>
      <c r="B989" s="55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  <c r="AX989" s="12"/>
      <c r="AY989" s="12"/>
      <c r="AZ989" s="12"/>
      <c r="BA989" s="12"/>
      <c r="BB989" s="12"/>
      <c r="BC989" s="12"/>
      <c r="BD989" s="12"/>
      <c r="BE989" s="12"/>
      <c r="BF989" s="12"/>
      <c r="BG989" s="12"/>
      <c r="BH989" s="12"/>
      <c r="BI989" s="12"/>
      <c r="BJ989" s="12"/>
      <c r="BK989" s="12"/>
      <c r="BL989" s="12"/>
      <c r="BM989" s="12"/>
      <c r="BN989" s="12"/>
      <c r="BO989" s="12"/>
      <c r="BP989" s="12"/>
      <c r="BQ989" s="12"/>
      <c r="BR989" s="12"/>
      <c r="BS989" s="12"/>
      <c r="BT989" s="12"/>
      <c r="BU989" s="12"/>
      <c r="BV989" s="12"/>
      <c r="BW989" s="12"/>
      <c r="BX989" s="12"/>
      <c r="BY989" s="12"/>
      <c r="BZ989" s="12"/>
      <c r="CA989" s="12"/>
      <c r="CB989" s="12"/>
      <c r="CC989" s="12"/>
      <c r="CD989" s="12"/>
      <c r="CE989" s="12"/>
      <c r="CF989" s="12"/>
      <c r="CG989" s="12"/>
      <c r="CH989" s="12"/>
      <c r="CI989" s="12"/>
      <c r="CJ989" s="12"/>
      <c r="CK989" s="12"/>
      <c r="CL989" s="12"/>
      <c r="CM989" s="12"/>
      <c r="CN989" s="12"/>
      <c r="CO989" s="12"/>
      <c r="CP989" s="12"/>
      <c r="CQ989" s="12"/>
      <c r="CR989" s="12"/>
      <c r="CS989" s="12"/>
      <c r="CT989" s="12"/>
      <c r="CU989" s="12"/>
      <c r="CV989" s="12"/>
      <c r="CW989" s="12"/>
      <c r="CX989" s="12"/>
      <c r="CY989" s="12"/>
      <c r="CZ989" s="12"/>
      <c r="DA989" s="12"/>
      <c r="DB989" s="12"/>
      <c r="DC989" s="12"/>
      <c r="DD989" s="12"/>
      <c r="DE989" s="12"/>
      <c r="DF989" s="12"/>
      <c r="DG989" s="12"/>
      <c r="DH989" s="12"/>
      <c r="DI989" s="12"/>
      <c r="DJ989" s="12"/>
      <c r="DK989" s="12"/>
      <c r="DL989" s="12"/>
      <c r="DM989" s="12"/>
      <c r="DN989" s="12"/>
      <c r="DO989" s="12"/>
      <c r="DP989" s="12"/>
      <c r="DQ989" s="12"/>
      <c r="DR989" s="12"/>
      <c r="DS989" s="12"/>
      <c r="DT989" s="12"/>
      <c r="DU989" s="12"/>
      <c r="DV989" s="12"/>
      <c r="DW989" s="12"/>
      <c r="DX989" s="12"/>
      <c r="DY989" s="12"/>
      <c r="DZ989" s="12"/>
      <c r="EA989" s="12"/>
      <c r="EB989" s="12"/>
      <c r="EC989" s="12"/>
      <c r="ED989" s="12"/>
      <c r="EE989" s="12"/>
      <c r="EF989" s="12"/>
      <c r="EG989" s="12"/>
      <c r="EH989" s="12"/>
      <c r="EI989" s="12"/>
      <c r="EJ989" s="574"/>
      <c r="EK989" s="574"/>
      <c r="EL989" s="574"/>
      <c r="EM989" s="574"/>
      <c r="EN989" s="574"/>
      <c r="EO989" s="574"/>
      <c r="EP989" s="574"/>
      <c r="EQ989" s="574"/>
      <c r="ER989" s="574"/>
      <c r="ES989" s="574"/>
      <c r="ET989" s="574"/>
      <c r="EU989" s="574"/>
    </row>
    <row r="990">
      <c r="A990" s="12"/>
      <c r="B990" s="55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  <c r="AX990" s="12"/>
      <c r="AY990" s="12"/>
      <c r="AZ990" s="12"/>
      <c r="BA990" s="12"/>
      <c r="BB990" s="12"/>
      <c r="BC990" s="12"/>
      <c r="BD990" s="12"/>
      <c r="BE990" s="12"/>
      <c r="BF990" s="12"/>
      <c r="BG990" s="12"/>
      <c r="BH990" s="12"/>
      <c r="BI990" s="12"/>
      <c r="BJ990" s="12"/>
      <c r="BK990" s="12"/>
      <c r="BL990" s="12"/>
      <c r="BM990" s="12"/>
      <c r="BN990" s="12"/>
      <c r="BO990" s="12"/>
      <c r="BP990" s="12"/>
      <c r="BQ990" s="12"/>
      <c r="BR990" s="12"/>
      <c r="BS990" s="12"/>
      <c r="BT990" s="12"/>
      <c r="BU990" s="12"/>
      <c r="BV990" s="12"/>
      <c r="BW990" s="12"/>
      <c r="BX990" s="12"/>
      <c r="BY990" s="12"/>
      <c r="BZ990" s="12"/>
      <c r="CA990" s="12"/>
      <c r="CB990" s="12"/>
      <c r="CC990" s="12"/>
      <c r="CD990" s="12"/>
      <c r="CE990" s="12"/>
      <c r="CF990" s="12"/>
      <c r="CG990" s="12"/>
      <c r="CH990" s="12"/>
      <c r="CI990" s="12"/>
      <c r="CJ990" s="12"/>
      <c r="CK990" s="12"/>
      <c r="CL990" s="12"/>
      <c r="CM990" s="12"/>
      <c r="CN990" s="12"/>
      <c r="CO990" s="12"/>
      <c r="CP990" s="12"/>
      <c r="CQ990" s="12"/>
      <c r="CR990" s="12"/>
      <c r="CS990" s="12"/>
      <c r="CT990" s="12"/>
      <c r="CU990" s="12"/>
      <c r="CV990" s="12"/>
      <c r="CW990" s="12"/>
      <c r="CX990" s="12"/>
      <c r="CY990" s="12"/>
      <c r="CZ990" s="12"/>
      <c r="DA990" s="12"/>
      <c r="DB990" s="12"/>
      <c r="DC990" s="12"/>
      <c r="DD990" s="12"/>
      <c r="DE990" s="12"/>
      <c r="DF990" s="12"/>
      <c r="DG990" s="12"/>
      <c r="DH990" s="12"/>
      <c r="DI990" s="12"/>
      <c r="DJ990" s="12"/>
      <c r="DK990" s="12"/>
      <c r="DL990" s="12"/>
      <c r="DM990" s="12"/>
      <c r="DN990" s="12"/>
      <c r="DO990" s="12"/>
      <c r="DP990" s="12"/>
      <c r="DQ990" s="12"/>
      <c r="DR990" s="12"/>
      <c r="DS990" s="12"/>
      <c r="DT990" s="12"/>
      <c r="DU990" s="12"/>
      <c r="DV990" s="12"/>
      <c r="DW990" s="12"/>
      <c r="DX990" s="12"/>
      <c r="DY990" s="12"/>
      <c r="DZ990" s="12"/>
      <c r="EA990" s="12"/>
      <c r="EB990" s="12"/>
      <c r="EC990" s="12"/>
      <c r="ED990" s="12"/>
      <c r="EE990" s="12"/>
      <c r="EF990" s="12"/>
      <c r="EG990" s="12"/>
      <c r="EH990" s="12"/>
      <c r="EI990" s="12"/>
      <c r="EJ990" s="574"/>
      <c r="EK990" s="574"/>
      <c r="EL990" s="574"/>
      <c r="EM990" s="574"/>
      <c r="EN990" s="574"/>
      <c r="EO990" s="574"/>
      <c r="EP990" s="574"/>
      <c r="EQ990" s="574"/>
      <c r="ER990" s="574"/>
      <c r="ES990" s="574"/>
      <c r="ET990" s="574"/>
      <c r="EU990" s="574"/>
    </row>
    <row r="991">
      <c r="A991" s="12"/>
      <c r="B991" s="55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  <c r="AX991" s="12"/>
      <c r="AY991" s="12"/>
      <c r="AZ991" s="12"/>
      <c r="BA991" s="12"/>
      <c r="BB991" s="12"/>
      <c r="BC991" s="12"/>
      <c r="BD991" s="12"/>
      <c r="BE991" s="12"/>
      <c r="BF991" s="12"/>
      <c r="BG991" s="12"/>
      <c r="BH991" s="12"/>
      <c r="BI991" s="12"/>
      <c r="BJ991" s="12"/>
      <c r="BK991" s="12"/>
      <c r="BL991" s="12"/>
      <c r="BM991" s="12"/>
      <c r="BN991" s="12"/>
      <c r="BO991" s="12"/>
      <c r="BP991" s="12"/>
      <c r="BQ991" s="12"/>
      <c r="BR991" s="12"/>
      <c r="BS991" s="12"/>
      <c r="BT991" s="12"/>
      <c r="BU991" s="12"/>
      <c r="BV991" s="12"/>
      <c r="BW991" s="12"/>
      <c r="BX991" s="12"/>
      <c r="BY991" s="12"/>
      <c r="BZ991" s="12"/>
      <c r="CA991" s="12"/>
      <c r="CB991" s="12"/>
      <c r="CC991" s="12"/>
      <c r="CD991" s="12"/>
      <c r="CE991" s="12"/>
      <c r="CF991" s="12"/>
      <c r="CG991" s="12"/>
      <c r="CH991" s="12"/>
      <c r="CI991" s="12"/>
      <c r="CJ991" s="12"/>
      <c r="CK991" s="12"/>
      <c r="CL991" s="12"/>
      <c r="CM991" s="12"/>
      <c r="CN991" s="12"/>
      <c r="CO991" s="12"/>
      <c r="CP991" s="12"/>
      <c r="CQ991" s="12"/>
      <c r="CR991" s="12"/>
      <c r="CS991" s="12"/>
      <c r="CT991" s="12"/>
      <c r="CU991" s="12"/>
      <c r="CV991" s="12"/>
      <c r="CW991" s="12"/>
      <c r="CX991" s="12"/>
      <c r="CY991" s="12"/>
      <c r="CZ991" s="12"/>
      <c r="DA991" s="12"/>
      <c r="DB991" s="12"/>
      <c r="DC991" s="12"/>
      <c r="DD991" s="12"/>
      <c r="DE991" s="12"/>
      <c r="DF991" s="12"/>
      <c r="DG991" s="12"/>
      <c r="DH991" s="12"/>
      <c r="DI991" s="12"/>
      <c r="DJ991" s="12"/>
      <c r="DK991" s="12"/>
      <c r="DL991" s="12"/>
      <c r="DM991" s="12"/>
      <c r="DN991" s="12"/>
      <c r="DO991" s="12"/>
      <c r="DP991" s="12"/>
      <c r="DQ991" s="12"/>
      <c r="DR991" s="12"/>
      <c r="DS991" s="12"/>
      <c r="DT991" s="12"/>
      <c r="DU991" s="12"/>
      <c r="DV991" s="12"/>
      <c r="DW991" s="12"/>
      <c r="DX991" s="12"/>
      <c r="DY991" s="12"/>
      <c r="DZ991" s="12"/>
      <c r="EA991" s="12"/>
      <c r="EB991" s="12"/>
      <c r="EC991" s="12"/>
      <c r="ED991" s="12"/>
      <c r="EE991" s="12"/>
      <c r="EF991" s="12"/>
      <c r="EG991" s="12"/>
      <c r="EH991" s="12"/>
      <c r="EI991" s="12"/>
      <c r="EJ991" s="574"/>
      <c r="EK991" s="574"/>
      <c r="EL991" s="574"/>
      <c r="EM991" s="574"/>
      <c r="EN991" s="574"/>
      <c r="EO991" s="574"/>
      <c r="EP991" s="574"/>
      <c r="EQ991" s="574"/>
      <c r="ER991" s="574"/>
      <c r="ES991" s="574"/>
      <c r="ET991" s="574"/>
      <c r="EU991" s="574"/>
    </row>
    <row r="992">
      <c r="A992" s="12"/>
      <c r="B992" s="55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  <c r="AX992" s="12"/>
      <c r="AY992" s="12"/>
      <c r="AZ992" s="12"/>
      <c r="BA992" s="12"/>
      <c r="BB992" s="12"/>
      <c r="BC992" s="12"/>
      <c r="BD992" s="12"/>
      <c r="BE992" s="12"/>
      <c r="BF992" s="12"/>
      <c r="BG992" s="12"/>
      <c r="BH992" s="12"/>
      <c r="BI992" s="12"/>
      <c r="BJ992" s="12"/>
      <c r="BK992" s="12"/>
      <c r="BL992" s="12"/>
      <c r="BM992" s="12"/>
      <c r="BN992" s="12"/>
      <c r="BO992" s="12"/>
      <c r="BP992" s="12"/>
      <c r="BQ992" s="12"/>
      <c r="BR992" s="12"/>
      <c r="BS992" s="12"/>
      <c r="BT992" s="12"/>
      <c r="BU992" s="12"/>
      <c r="BV992" s="12"/>
      <c r="BW992" s="12"/>
      <c r="BX992" s="12"/>
      <c r="BY992" s="12"/>
      <c r="BZ992" s="12"/>
      <c r="CA992" s="12"/>
      <c r="CB992" s="12"/>
      <c r="CC992" s="12"/>
      <c r="CD992" s="12"/>
      <c r="CE992" s="12"/>
      <c r="CF992" s="12"/>
      <c r="CG992" s="12"/>
      <c r="CH992" s="12"/>
      <c r="CI992" s="12"/>
      <c r="CJ992" s="12"/>
      <c r="CK992" s="12"/>
      <c r="CL992" s="12"/>
      <c r="CM992" s="12"/>
      <c r="CN992" s="12"/>
      <c r="CO992" s="12"/>
      <c r="CP992" s="12"/>
      <c r="CQ992" s="12"/>
      <c r="CR992" s="12"/>
      <c r="CS992" s="12"/>
      <c r="CT992" s="12"/>
      <c r="CU992" s="12"/>
      <c r="CV992" s="12"/>
      <c r="CW992" s="12"/>
      <c r="CX992" s="12"/>
      <c r="CY992" s="12"/>
      <c r="CZ992" s="12"/>
      <c r="DA992" s="12"/>
      <c r="DB992" s="12"/>
      <c r="DC992" s="12"/>
      <c r="DD992" s="12"/>
      <c r="DE992" s="12"/>
      <c r="DF992" s="12"/>
      <c r="DG992" s="12"/>
      <c r="DH992" s="12"/>
      <c r="DI992" s="12"/>
      <c r="DJ992" s="12"/>
      <c r="DK992" s="12"/>
      <c r="DL992" s="12"/>
      <c r="DM992" s="12"/>
      <c r="DN992" s="12"/>
      <c r="DO992" s="12"/>
      <c r="DP992" s="12"/>
      <c r="DQ992" s="12"/>
      <c r="DR992" s="12"/>
      <c r="DS992" s="12"/>
      <c r="DT992" s="12"/>
      <c r="DU992" s="12"/>
      <c r="DV992" s="12"/>
      <c r="DW992" s="12"/>
      <c r="DX992" s="12"/>
      <c r="DY992" s="12"/>
      <c r="DZ992" s="12"/>
      <c r="EA992" s="12"/>
      <c r="EB992" s="12"/>
      <c r="EC992" s="12"/>
      <c r="ED992" s="12"/>
      <c r="EE992" s="12"/>
      <c r="EF992" s="12"/>
      <c r="EG992" s="12"/>
      <c r="EH992" s="12"/>
      <c r="EI992" s="12"/>
      <c r="EJ992" s="574"/>
      <c r="EK992" s="574"/>
      <c r="EL992" s="574"/>
      <c r="EM992" s="574"/>
      <c r="EN992" s="574"/>
      <c r="EO992" s="574"/>
      <c r="EP992" s="574"/>
      <c r="EQ992" s="574"/>
      <c r="ER992" s="574"/>
      <c r="ES992" s="574"/>
      <c r="ET992" s="574"/>
      <c r="EU992" s="574"/>
    </row>
    <row r="993">
      <c r="A993" s="12"/>
      <c r="B993" s="55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  <c r="AX993" s="12"/>
      <c r="AY993" s="12"/>
      <c r="AZ993" s="12"/>
      <c r="BA993" s="12"/>
      <c r="BB993" s="12"/>
      <c r="BC993" s="12"/>
      <c r="BD993" s="12"/>
      <c r="BE993" s="12"/>
      <c r="BF993" s="12"/>
      <c r="BG993" s="12"/>
      <c r="BH993" s="12"/>
      <c r="BI993" s="12"/>
      <c r="BJ993" s="12"/>
      <c r="BK993" s="12"/>
      <c r="BL993" s="12"/>
      <c r="BM993" s="12"/>
      <c r="BN993" s="12"/>
      <c r="BO993" s="12"/>
      <c r="BP993" s="12"/>
      <c r="BQ993" s="12"/>
      <c r="BR993" s="12"/>
      <c r="BS993" s="12"/>
      <c r="BT993" s="12"/>
      <c r="BU993" s="12"/>
      <c r="BV993" s="12"/>
      <c r="BW993" s="12"/>
      <c r="BX993" s="12"/>
      <c r="BY993" s="12"/>
      <c r="BZ993" s="12"/>
      <c r="CA993" s="12"/>
      <c r="CB993" s="12"/>
      <c r="CC993" s="12"/>
      <c r="CD993" s="12"/>
      <c r="CE993" s="12"/>
      <c r="CF993" s="12"/>
      <c r="CG993" s="12"/>
      <c r="CH993" s="12"/>
      <c r="CI993" s="12"/>
      <c r="CJ993" s="12"/>
      <c r="CK993" s="12"/>
      <c r="CL993" s="12"/>
      <c r="CM993" s="12"/>
      <c r="CN993" s="12"/>
      <c r="CO993" s="12"/>
      <c r="CP993" s="12"/>
      <c r="CQ993" s="12"/>
      <c r="CR993" s="12"/>
      <c r="CS993" s="12"/>
      <c r="CT993" s="12"/>
      <c r="CU993" s="12"/>
      <c r="CV993" s="12"/>
      <c r="CW993" s="12"/>
      <c r="CX993" s="12"/>
      <c r="CY993" s="12"/>
      <c r="CZ993" s="12"/>
      <c r="DA993" s="12"/>
      <c r="DB993" s="12"/>
      <c r="DC993" s="12"/>
      <c r="DD993" s="12"/>
      <c r="DE993" s="12"/>
      <c r="DF993" s="12"/>
      <c r="DG993" s="12"/>
      <c r="DH993" s="12"/>
      <c r="DI993" s="12"/>
      <c r="DJ993" s="12"/>
      <c r="DK993" s="12"/>
      <c r="DL993" s="12"/>
      <c r="DM993" s="12"/>
      <c r="DN993" s="12"/>
      <c r="DO993" s="12"/>
      <c r="DP993" s="12"/>
      <c r="DQ993" s="12"/>
      <c r="DR993" s="12"/>
      <c r="DS993" s="12"/>
      <c r="DT993" s="12"/>
      <c r="DU993" s="12"/>
      <c r="DV993" s="12"/>
      <c r="DW993" s="12"/>
      <c r="DX993" s="12"/>
      <c r="DY993" s="12"/>
      <c r="DZ993" s="12"/>
      <c r="EA993" s="12"/>
      <c r="EB993" s="12"/>
      <c r="EC993" s="12"/>
      <c r="ED993" s="12"/>
      <c r="EE993" s="12"/>
      <c r="EF993" s="12"/>
      <c r="EG993" s="12"/>
      <c r="EH993" s="12"/>
      <c r="EI993" s="12"/>
      <c r="EJ993" s="574"/>
      <c r="EK993" s="574"/>
      <c r="EL993" s="574"/>
      <c r="EM993" s="574"/>
      <c r="EN993" s="574"/>
      <c r="EO993" s="574"/>
      <c r="EP993" s="574"/>
      <c r="EQ993" s="574"/>
      <c r="ER993" s="574"/>
      <c r="ES993" s="574"/>
      <c r="ET993" s="574"/>
      <c r="EU993" s="574"/>
    </row>
    <row r="994">
      <c r="A994" s="12"/>
      <c r="B994" s="55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  <c r="AX994" s="12"/>
      <c r="AY994" s="12"/>
      <c r="AZ994" s="12"/>
      <c r="BA994" s="12"/>
      <c r="BB994" s="12"/>
      <c r="BC994" s="12"/>
      <c r="BD994" s="12"/>
      <c r="BE994" s="12"/>
      <c r="BF994" s="12"/>
      <c r="BG994" s="12"/>
      <c r="BH994" s="12"/>
      <c r="BI994" s="12"/>
      <c r="BJ994" s="12"/>
      <c r="BK994" s="12"/>
      <c r="BL994" s="12"/>
      <c r="BM994" s="12"/>
      <c r="BN994" s="12"/>
      <c r="BO994" s="12"/>
      <c r="BP994" s="12"/>
      <c r="BQ994" s="12"/>
      <c r="BR994" s="12"/>
      <c r="BS994" s="12"/>
      <c r="BT994" s="12"/>
      <c r="BU994" s="12"/>
      <c r="BV994" s="12"/>
      <c r="BW994" s="12"/>
      <c r="BX994" s="12"/>
      <c r="BY994" s="12"/>
      <c r="BZ994" s="12"/>
      <c r="CA994" s="12"/>
      <c r="CB994" s="12"/>
      <c r="CC994" s="12"/>
      <c r="CD994" s="12"/>
      <c r="CE994" s="12"/>
      <c r="CF994" s="12"/>
      <c r="CG994" s="12"/>
      <c r="CH994" s="12"/>
      <c r="CI994" s="12"/>
      <c r="CJ994" s="12"/>
      <c r="CK994" s="12"/>
      <c r="CL994" s="12"/>
      <c r="CM994" s="12"/>
      <c r="CN994" s="12"/>
      <c r="CO994" s="12"/>
      <c r="CP994" s="12"/>
      <c r="CQ994" s="12"/>
      <c r="CR994" s="12"/>
      <c r="CS994" s="12"/>
      <c r="CT994" s="12"/>
      <c r="CU994" s="12"/>
      <c r="CV994" s="12"/>
      <c r="CW994" s="12"/>
      <c r="CX994" s="12"/>
      <c r="CY994" s="12"/>
      <c r="CZ994" s="12"/>
      <c r="DA994" s="12"/>
      <c r="DB994" s="12"/>
      <c r="DC994" s="12"/>
      <c r="DD994" s="12"/>
      <c r="DE994" s="12"/>
      <c r="DF994" s="12"/>
      <c r="DG994" s="12"/>
      <c r="DH994" s="12"/>
      <c r="DI994" s="12"/>
      <c r="DJ994" s="12"/>
      <c r="DK994" s="12"/>
      <c r="DL994" s="12"/>
      <c r="DM994" s="12"/>
      <c r="DN994" s="12"/>
      <c r="DO994" s="12"/>
      <c r="DP994" s="12"/>
      <c r="DQ994" s="12"/>
      <c r="DR994" s="12"/>
      <c r="DS994" s="12"/>
      <c r="DT994" s="12"/>
      <c r="DU994" s="12"/>
      <c r="DV994" s="12"/>
      <c r="DW994" s="12"/>
      <c r="DX994" s="12"/>
      <c r="DY994" s="12"/>
      <c r="DZ994" s="12"/>
      <c r="EA994" s="12"/>
      <c r="EB994" s="12"/>
      <c r="EC994" s="12"/>
      <c r="ED994" s="12"/>
      <c r="EE994" s="12"/>
      <c r="EF994" s="12"/>
      <c r="EG994" s="12"/>
      <c r="EH994" s="12"/>
      <c r="EI994" s="12"/>
      <c r="EJ994" s="574"/>
      <c r="EK994" s="574"/>
      <c r="EL994" s="574"/>
      <c r="EM994" s="574"/>
      <c r="EN994" s="574"/>
      <c r="EO994" s="574"/>
      <c r="EP994" s="574"/>
      <c r="EQ994" s="574"/>
      <c r="ER994" s="574"/>
      <c r="ES994" s="574"/>
      <c r="ET994" s="574"/>
      <c r="EU994" s="574"/>
    </row>
    <row r="995">
      <c r="A995" s="12"/>
      <c r="B995" s="55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  <c r="AX995" s="12"/>
      <c r="AY995" s="12"/>
      <c r="AZ995" s="12"/>
      <c r="BA995" s="12"/>
      <c r="BB995" s="12"/>
      <c r="BC995" s="12"/>
      <c r="BD995" s="12"/>
      <c r="BE995" s="12"/>
      <c r="BF995" s="12"/>
      <c r="BG995" s="12"/>
      <c r="BH995" s="12"/>
      <c r="BI995" s="12"/>
      <c r="BJ995" s="12"/>
      <c r="BK995" s="12"/>
      <c r="BL995" s="12"/>
      <c r="BM995" s="12"/>
      <c r="BN995" s="12"/>
      <c r="BO995" s="12"/>
      <c r="BP995" s="12"/>
      <c r="BQ995" s="12"/>
      <c r="BR995" s="12"/>
      <c r="BS995" s="12"/>
      <c r="BT995" s="12"/>
      <c r="BU995" s="12"/>
      <c r="BV995" s="12"/>
      <c r="BW995" s="12"/>
      <c r="BX995" s="12"/>
      <c r="BY995" s="12"/>
      <c r="BZ995" s="12"/>
      <c r="CA995" s="12"/>
      <c r="CB995" s="12"/>
      <c r="CC995" s="12"/>
      <c r="CD995" s="12"/>
      <c r="CE995" s="12"/>
      <c r="CF995" s="12"/>
      <c r="CG995" s="12"/>
      <c r="CH995" s="12"/>
      <c r="CI995" s="12"/>
      <c r="CJ995" s="12"/>
      <c r="CK995" s="12"/>
      <c r="CL995" s="12"/>
      <c r="CM995" s="12"/>
      <c r="CN995" s="12"/>
      <c r="CO995" s="12"/>
      <c r="CP995" s="12"/>
      <c r="CQ995" s="12"/>
      <c r="CR995" s="12"/>
      <c r="CS995" s="12"/>
      <c r="CT995" s="12"/>
      <c r="CU995" s="12"/>
      <c r="CV995" s="12"/>
      <c r="CW995" s="12"/>
      <c r="CX995" s="12"/>
      <c r="CY995" s="12"/>
      <c r="CZ995" s="12"/>
      <c r="DA995" s="12"/>
      <c r="DB995" s="12"/>
      <c r="DC995" s="12"/>
      <c r="DD995" s="12"/>
      <c r="DE995" s="12"/>
      <c r="DF995" s="12"/>
      <c r="DG995" s="12"/>
      <c r="DH995" s="12"/>
      <c r="DI995" s="12"/>
      <c r="DJ995" s="12"/>
      <c r="DK995" s="12"/>
      <c r="DL995" s="12"/>
      <c r="DM995" s="12"/>
      <c r="DN995" s="12"/>
      <c r="DO995" s="12"/>
      <c r="DP995" s="12"/>
      <c r="DQ995" s="12"/>
      <c r="DR995" s="12"/>
      <c r="DS995" s="12"/>
      <c r="DT995" s="12"/>
      <c r="DU995" s="12"/>
      <c r="DV995" s="12"/>
      <c r="DW995" s="12"/>
      <c r="DX995" s="12"/>
      <c r="DY995" s="12"/>
      <c r="DZ995" s="12"/>
      <c r="EA995" s="12"/>
      <c r="EB995" s="12"/>
      <c r="EC995" s="12"/>
      <c r="ED995" s="12"/>
      <c r="EE995" s="12"/>
      <c r="EF995" s="12"/>
      <c r="EG995" s="12"/>
      <c r="EH995" s="12"/>
      <c r="EI995" s="12"/>
      <c r="EJ995" s="574"/>
      <c r="EK995" s="574"/>
      <c r="EL995" s="574"/>
      <c r="EM995" s="574"/>
      <c r="EN995" s="574"/>
      <c r="EO995" s="574"/>
      <c r="EP995" s="574"/>
      <c r="EQ995" s="574"/>
      <c r="ER995" s="574"/>
      <c r="ES995" s="574"/>
      <c r="ET995" s="574"/>
      <c r="EU995" s="574"/>
    </row>
    <row r="996">
      <c r="A996" s="12"/>
      <c r="B996" s="55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  <c r="AX996" s="12"/>
      <c r="AY996" s="12"/>
      <c r="AZ996" s="12"/>
      <c r="BA996" s="12"/>
      <c r="BB996" s="12"/>
      <c r="BC996" s="12"/>
      <c r="BD996" s="12"/>
      <c r="BE996" s="12"/>
      <c r="BF996" s="12"/>
      <c r="BG996" s="12"/>
      <c r="BH996" s="12"/>
      <c r="BI996" s="12"/>
      <c r="BJ996" s="12"/>
      <c r="BK996" s="12"/>
      <c r="BL996" s="12"/>
      <c r="BM996" s="12"/>
      <c r="BN996" s="12"/>
      <c r="BO996" s="12"/>
      <c r="BP996" s="12"/>
      <c r="BQ996" s="12"/>
      <c r="BR996" s="12"/>
      <c r="BS996" s="12"/>
      <c r="BT996" s="12"/>
      <c r="BU996" s="12"/>
      <c r="BV996" s="12"/>
      <c r="BW996" s="12"/>
      <c r="BX996" s="12"/>
      <c r="BY996" s="12"/>
      <c r="BZ996" s="12"/>
      <c r="CA996" s="12"/>
      <c r="CB996" s="12"/>
      <c r="CC996" s="12"/>
      <c r="CD996" s="12"/>
      <c r="CE996" s="12"/>
      <c r="CF996" s="12"/>
      <c r="CG996" s="12"/>
      <c r="CH996" s="12"/>
      <c r="CI996" s="12"/>
      <c r="CJ996" s="12"/>
      <c r="CK996" s="12"/>
      <c r="CL996" s="12"/>
      <c r="CM996" s="12"/>
      <c r="CN996" s="12"/>
      <c r="CO996" s="12"/>
      <c r="CP996" s="12"/>
      <c r="CQ996" s="12"/>
      <c r="CR996" s="12"/>
      <c r="CS996" s="12"/>
      <c r="CT996" s="12"/>
      <c r="CU996" s="12"/>
      <c r="CV996" s="12"/>
      <c r="CW996" s="12"/>
      <c r="CX996" s="12"/>
      <c r="CY996" s="12"/>
      <c r="CZ996" s="12"/>
      <c r="DA996" s="12"/>
      <c r="DB996" s="12"/>
      <c r="DC996" s="12"/>
      <c r="DD996" s="12"/>
      <c r="DE996" s="12"/>
      <c r="DF996" s="12"/>
      <c r="DG996" s="12"/>
      <c r="DH996" s="12"/>
      <c r="DI996" s="12"/>
      <c r="DJ996" s="12"/>
      <c r="DK996" s="12"/>
      <c r="DL996" s="12"/>
      <c r="DM996" s="12"/>
      <c r="DN996" s="12"/>
      <c r="DO996" s="12"/>
      <c r="DP996" s="12"/>
      <c r="DQ996" s="12"/>
      <c r="DR996" s="12"/>
      <c r="DS996" s="12"/>
      <c r="DT996" s="12"/>
      <c r="DU996" s="12"/>
      <c r="DV996" s="12"/>
      <c r="DW996" s="12"/>
      <c r="DX996" s="12"/>
      <c r="DY996" s="12"/>
      <c r="DZ996" s="12"/>
      <c r="EA996" s="12"/>
      <c r="EB996" s="12"/>
      <c r="EC996" s="12"/>
      <c r="ED996" s="12"/>
      <c r="EE996" s="12"/>
      <c r="EF996" s="12"/>
      <c r="EG996" s="12"/>
      <c r="EH996" s="12"/>
      <c r="EI996" s="12"/>
      <c r="EJ996" s="574"/>
      <c r="EK996" s="574"/>
      <c r="EL996" s="574"/>
      <c r="EM996" s="574"/>
      <c r="EN996" s="574"/>
      <c r="EO996" s="574"/>
      <c r="EP996" s="574"/>
      <c r="EQ996" s="574"/>
      <c r="ER996" s="574"/>
      <c r="ES996" s="574"/>
      <c r="ET996" s="574"/>
      <c r="EU996" s="574"/>
    </row>
    <row r="997">
      <c r="A997" s="12"/>
      <c r="B997" s="55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  <c r="AX997" s="12"/>
      <c r="AY997" s="12"/>
      <c r="AZ997" s="12"/>
      <c r="BA997" s="12"/>
      <c r="BB997" s="12"/>
      <c r="BC997" s="12"/>
      <c r="BD997" s="12"/>
      <c r="BE997" s="12"/>
      <c r="BF997" s="12"/>
      <c r="BG997" s="12"/>
      <c r="BH997" s="12"/>
      <c r="BI997" s="12"/>
      <c r="BJ997" s="12"/>
      <c r="BK997" s="12"/>
      <c r="BL997" s="12"/>
      <c r="BM997" s="12"/>
      <c r="BN997" s="12"/>
      <c r="BO997" s="12"/>
      <c r="BP997" s="12"/>
      <c r="BQ997" s="12"/>
      <c r="BR997" s="12"/>
      <c r="BS997" s="12"/>
      <c r="BT997" s="12"/>
      <c r="BU997" s="12"/>
      <c r="BV997" s="12"/>
      <c r="BW997" s="12"/>
      <c r="BX997" s="12"/>
      <c r="BY997" s="12"/>
      <c r="BZ997" s="12"/>
      <c r="CA997" s="12"/>
      <c r="CB997" s="12"/>
      <c r="CC997" s="12"/>
      <c r="CD997" s="12"/>
      <c r="CE997" s="12"/>
      <c r="CF997" s="12"/>
      <c r="CG997" s="12"/>
      <c r="CH997" s="12"/>
      <c r="CI997" s="12"/>
      <c r="CJ997" s="12"/>
      <c r="CK997" s="12"/>
      <c r="CL997" s="12"/>
      <c r="CM997" s="12"/>
      <c r="CN997" s="12"/>
      <c r="CO997" s="12"/>
      <c r="CP997" s="12"/>
      <c r="CQ997" s="12"/>
      <c r="CR997" s="12"/>
      <c r="CS997" s="12"/>
      <c r="CT997" s="12"/>
      <c r="CU997" s="12"/>
      <c r="CV997" s="12"/>
      <c r="CW997" s="12"/>
      <c r="CX997" s="12"/>
      <c r="CY997" s="12"/>
      <c r="CZ997" s="12"/>
      <c r="DA997" s="12"/>
      <c r="DB997" s="12"/>
      <c r="DC997" s="12"/>
      <c r="DD997" s="12"/>
      <c r="DE997" s="12"/>
      <c r="DF997" s="12"/>
      <c r="DG997" s="12"/>
      <c r="DH997" s="12"/>
      <c r="DI997" s="12"/>
      <c r="DJ997" s="12"/>
      <c r="DK997" s="12"/>
      <c r="DL997" s="12"/>
      <c r="DM997" s="12"/>
      <c r="DN997" s="12"/>
      <c r="DO997" s="12"/>
      <c r="DP997" s="12"/>
      <c r="DQ997" s="12"/>
      <c r="DR997" s="12"/>
      <c r="DS997" s="12"/>
      <c r="DT997" s="12"/>
      <c r="DU997" s="12"/>
      <c r="DV997" s="12"/>
      <c r="DW997" s="12"/>
      <c r="DX997" s="12"/>
      <c r="DY997" s="12"/>
      <c r="DZ997" s="12"/>
      <c r="EA997" s="12"/>
      <c r="EB997" s="12"/>
      <c r="EC997" s="12"/>
      <c r="ED997" s="12"/>
      <c r="EE997" s="12"/>
      <c r="EF997" s="12"/>
      <c r="EG997" s="12"/>
      <c r="EH997" s="12"/>
      <c r="EI997" s="12"/>
      <c r="EJ997" s="574"/>
      <c r="EK997" s="574"/>
      <c r="EL997" s="574"/>
      <c r="EM997" s="574"/>
      <c r="EN997" s="574"/>
      <c r="EO997" s="574"/>
      <c r="EP997" s="574"/>
      <c r="EQ997" s="574"/>
      <c r="ER997" s="574"/>
      <c r="ES997" s="574"/>
      <c r="ET997" s="574"/>
      <c r="EU997" s="574"/>
    </row>
    <row r="998">
      <c r="A998" s="12"/>
      <c r="B998" s="55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  <c r="AX998" s="12"/>
      <c r="AY998" s="12"/>
      <c r="AZ998" s="12"/>
      <c r="BA998" s="12"/>
      <c r="BB998" s="12"/>
      <c r="BC998" s="12"/>
      <c r="BD998" s="12"/>
      <c r="BE998" s="12"/>
      <c r="BF998" s="12"/>
      <c r="BG998" s="12"/>
      <c r="BH998" s="12"/>
      <c r="BI998" s="12"/>
      <c r="BJ998" s="12"/>
      <c r="BK998" s="12"/>
      <c r="BL998" s="12"/>
      <c r="BM998" s="12"/>
      <c r="BN998" s="12"/>
      <c r="BO998" s="12"/>
      <c r="BP998" s="12"/>
      <c r="BQ998" s="12"/>
      <c r="BR998" s="12"/>
      <c r="BS998" s="12"/>
      <c r="BT998" s="12"/>
      <c r="BU998" s="12"/>
      <c r="BV998" s="12"/>
      <c r="BW998" s="12"/>
      <c r="BX998" s="12"/>
      <c r="BY998" s="12"/>
      <c r="BZ998" s="12"/>
      <c r="CA998" s="12"/>
      <c r="CB998" s="12"/>
      <c r="CC998" s="12"/>
      <c r="CD998" s="12"/>
      <c r="CE998" s="12"/>
      <c r="CF998" s="12"/>
      <c r="CG998" s="12"/>
      <c r="CH998" s="12"/>
      <c r="CI998" s="12"/>
      <c r="CJ998" s="12"/>
      <c r="CK998" s="12"/>
      <c r="CL998" s="12"/>
      <c r="CM998" s="12"/>
      <c r="CN998" s="12"/>
      <c r="CO998" s="12"/>
      <c r="CP998" s="12"/>
      <c r="CQ998" s="12"/>
      <c r="CR998" s="12"/>
      <c r="CS998" s="12"/>
      <c r="CT998" s="12"/>
      <c r="CU998" s="12"/>
      <c r="CV998" s="12"/>
      <c r="CW998" s="12"/>
      <c r="CX998" s="12"/>
      <c r="CY998" s="12"/>
      <c r="CZ998" s="12"/>
      <c r="DA998" s="12"/>
      <c r="DB998" s="12"/>
      <c r="DC998" s="12"/>
      <c r="DD998" s="12"/>
      <c r="DE998" s="12"/>
      <c r="DF998" s="12"/>
      <c r="DG998" s="12"/>
      <c r="DH998" s="12"/>
      <c r="DI998" s="12"/>
      <c r="DJ998" s="12"/>
      <c r="DK998" s="12"/>
      <c r="DL998" s="12"/>
      <c r="DM998" s="12"/>
      <c r="DN998" s="12"/>
      <c r="DO998" s="12"/>
      <c r="DP998" s="12"/>
      <c r="DQ998" s="12"/>
      <c r="DR998" s="12"/>
      <c r="DS998" s="12"/>
      <c r="DT998" s="12"/>
      <c r="DU998" s="12"/>
      <c r="DV998" s="12"/>
      <c r="DW998" s="12"/>
      <c r="DX998" s="12"/>
      <c r="DY998" s="12"/>
      <c r="DZ998" s="12"/>
      <c r="EA998" s="12"/>
      <c r="EB998" s="12"/>
      <c r="EC998" s="12"/>
      <c r="ED998" s="12"/>
      <c r="EE998" s="12"/>
      <c r="EF998" s="12"/>
      <c r="EG998" s="12"/>
      <c r="EH998" s="12"/>
      <c r="EI998" s="12"/>
      <c r="EJ998" s="574"/>
      <c r="EK998" s="574"/>
      <c r="EL998" s="574"/>
      <c r="EM998" s="574"/>
      <c r="EN998" s="574"/>
      <c r="EO998" s="574"/>
      <c r="EP998" s="574"/>
      <c r="EQ998" s="574"/>
      <c r="ER998" s="574"/>
      <c r="ES998" s="574"/>
      <c r="ET998" s="574"/>
      <c r="EU998" s="574"/>
    </row>
    <row r="999">
      <c r="A999" s="12"/>
      <c r="B999" s="55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  <c r="AW999" s="12"/>
      <c r="AX999" s="12"/>
      <c r="AY999" s="12"/>
      <c r="AZ999" s="12"/>
      <c r="BA999" s="12"/>
      <c r="BB999" s="12"/>
      <c r="BC999" s="12"/>
      <c r="BD999" s="12"/>
      <c r="BE999" s="12"/>
      <c r="BF999" s="12"/>
      <c r="BG999" s="12"/>
      <c r="BH999" s="12"/>
      <c r="BI999" s="12"/>
      <c r="BJ999" s="12"/>
      <c r="BK999" s="12"/>
      <c r="BL999" s="12"/>
      <c r="BM999" s="12"/>
      <c r="BN999" s="12"/>
      <c r="BO999" s="12"/>
      <c r="BP999" s="12"/>
      <c r="BQ999" s="12"/>
      <c r="BR999" s="12"/>
      <c r="BS999" s="12"/>
      <c r="BT999" s="12"/>
      <c r="BU999" s="12"/>
      <c r="BV999" s="12"/>
      <c r="BW999" s="12"/>
      <c r="BX999" s="12"/>
      <c r="BY999" s="12"/>
      <c r="BZ999" s="12"/>
      <c r="CA999" s="12"/>
      <c r="CB999" s="12"/>
      <c r="CC999" s="12"/>
      <c r="CD999" s="12"/>
      <c r="CE999" s="12"/>
      <c r="CF999" s="12"/>
      <c r="CG999" s="12"/>
      <c r="CH999" s="12"/>
      <c r="CI999" s="12"/>
      <c r="CJ999" s="12"/>
      <c r="CK999" s="12"/>
      <c r="CL999" s="12"/>
      <c r="CM999" s="12"/>
      <c r="CN999" s="12"/>
      <c r="CO999" s="12"/>
      <c r="CP999" s="12"/>
      <c r="CQ999" s="12"/>
      <c r="CR999" s="12"/>
      <c r="CS999" s="12"/>
      <c r="CT999" s="12"/>
      <c r="CU999" s="12"/>
      <c r="CV999" s="12"/>
      <c r="CW999" s="12"/>
      <c r="CX999" s="12"/>
      <c r="CY999" s="12"/>
      <c r="CZ999" s="12"/>
      <c r="DA999" s="12"/>
      <c r="DB999" s="12"/>
      <c r="DC999" s="12"/>
      <c r="DD999" s="12"/>
      <c r="DE999" s="12"/>
      <c r="DF999" s="12"/>
      <c r="DG999" s="12"/>
      <c r="DH999" s="12"/>
      <c r="DI999" s="12"/>
      <c r="DJ999" s="12"/>
      <c r="DK999" s="12"/>
      <c r="DL999" s="12"/>
      <c r="DM999" s="12"/>
      <c r="DN999" s="12"/>
      <c r="DO999" s="12"/>
      <c r="DP999" s="12"/>
      <c r="DQ999" s="12"/>
      <c r="DR999" s="12"/>
      <c r="DS999" s="12"/>
      <c r="DT999" s="12"/>
      <c r="DU999" s="12"/>
      <c r="DV999" s="12"/>
      <c r="DW999" s="12"/>
      <c r="DX999" s="12"/>
      <c r="DY999" s="12"/>
      <c r="DZ999" s="12"/>
      <c r="EA999" s="12"/>
      <c r="EB999" s="12"/>
      <c r="EC999" s="12"/>
      <c r="ED999" s="12"/>
      <c r="EE999" s="12"/>
      <c r="EF999" s="12"/>
      <c r="EG999" s="12"/>
      <c r="EH999" s="12"/>
      <c r="EI999" s="12"/>
      <c r="EJ999" s="574"/>
      <c r="EK999" s="574"/>
      <c r="EL999" s="574"/>
      <c r="EM999" s="574"/>
      <c r="EN999" s="574"/>
      <c r="EO999" s="574"/>
      <c r="EP999" s="574"/>
      <c r="EQ999" s="574"/>
      <c r="ER999" s="574"/>
      <c r="ES999" s="574"/>
      <c r="ET999" s="574"/>
      <c r="EU999" s="574"/>
    </row>
    <row r="1000">
      <c r="A1000" s="12"/>
      <c r="B1000" s="55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  <c r="AW1000" s="12"/>
      <c r="AX1000" s="12"/>
      <c r="AY1000" s="12"/>
      <c r="AZ1000" s="12"/>
      <c r="BA1000" s="12"/>
      <c r="BB1000" s="12"/>
      <c r="BC1000" s="12"/>
      <c r="BD1000" s="12"/>
      <c r="BE1000" s="12"/>
      <c r="BF1000" s="12"/>
      <c r="BG1000" s="12"/>
      <c r="BH1000" s="12"/>
      <c r="BI1000" s="12"/>
      <c r="BJ1000" s="12"/>
      <c r="BK1000" s="12"/>
      <c r="BL1000" s="12"/>
      <c r="BM1000" s="12"/>
      <c r="BN1000" s="12"/>
      <c r="BO1000" s="12"/>
      <c r="BP1000" s="12"/>
      <c r="BQ1000" s="12"/>
      <c r="BR1000" s="12"/>
      <c r="BS1000" s="12"/>
      <c r="BT1000" s="12"/>
      <c r="BU1000" s="12"/>
      <c r="BV1000" s="12"/>
      <c r="BW1000" s="12"/>
      <c r="BX1000" s="12"/>
      <c r="BY1000" s="12"/>
      <c r="BZ1000" s="12"/>
      <c r="CA1000" s="12"/>
      <c r="CB1000" s="12"/>
      <c r="CC1000" s="12"/>
      <c r="CD1000" s="12"/>
      <c r="CE1000" s="12"/>
      <c r="CF1000" s="12"/>
      <c r="CG1000" s="12"/>
      <c r="CH1000" s="12"/>
      <c r="CI1000" s="12"/>
      <c r="CJ1000" s="12"/>
      <c r="CK1000" s="12"/>
      <c r="CL1000" s="12"/>
      <c r="CM1000" s="12"/>
      <c r="CN1000" s="12"/>
      <c r="CO1000" s="12"/>
      <c r="CP1000" s="12"/>
      <c r="CQ1000" s="12"/>
      <c r="CR1000" s="12"/>
      <c r="CS1000" s="12"/>
      <c r="CT1000" s="12"/>
      <c r="CU1000" s="12"/>
      <c r="CV1000" s="12"/>
      <c r="CW1000" s="12"/>
      <c r="CX1000" s="12"/>
      <c r="CY1000" s="12"/>
      <c r="CZ1000" s="12"/>
      <c r="DA1000" s="12"/>
      <c r="DB1000" s="12"/>
      <c r="DC1000" s="12"/>
      <c r="DD1000" s="12"/>
      <c r="DE1000" s="12"/>
      <c r="DF1000" s="12"/>
      <c r="DG1000" s="12"/>
      <c r="DH1000" s="12"/>
      <c r="DI1000" s="12"/>
      <c r="DJ1000" s="12"/>
      <c r="DK1000" s="12"/>
      <c r="DL1000" s="12"/>
      <c r="DM1000" s="12"/>
      <c r="DN1000" s="12"/>
      <c r="DO1000" s="12"/>
      <c r="DP1000" s="12"/>
      <c r="DQ1000" s="12"/>
      <c r="DR1000" s="12"/>
      <c r="DS1000" s="12"/>
      <c r="DT1000" s="12"/>
      <c r="DU1000" s="12"/>
      <c r="DV1000" s="12"/>
      <c r="DW1000" s="12"/>
      <c r="DX1000" s="12"/>
      <c r="DY1000" s="12"/>
      <c r="DZ1000" s="12"/>
      <c r="EA1000" s="12"/>
      <c r="EB1000" s="12"/>
      <c r="EC1000" s="12"/>
      <c r="ED1000" s="12"/>
      <c r="EE1000" s="12"/>
      <c r="EF1000" s="12"/>
      <c r="EG1000" s="12"/>
      <c r="EH1000" s="12"/>
      <c r="EI1000" s="12"/>
      <c r="EJ1000" s="574"/>
      <c r="EK1000" s="574"/>
      <c r="EL1000" s="574"/>
      <c r="EM1000" s="574"/>
      <c r="EN1000" s="574"/>
      <c r="EO1000" s="574"/>
      <c r="EP1000" s="574"/>
      <c r="EQ1000" s="574"/>
      <c r="ER1000" s="574"/>
      <c r="ES1000" s="574"/>
      <c r="ET1000" s="574"/>
      <c r="EU1000" s="574"/>
    </row>
    <row r="1001">
      <c r="A1001" s="12"/>
      <c r="B1001" s="55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  <c r="AI1001" s="12"/>
      <c r="AJ1001" s="12"/>
      <c r="AK1001" s="12"/>
      <c r="AL1001" s="12"/>
      <c r="AM1001" s="12"/>
      <c r="AN1001" s="12"/>
      <c r="AO1001" s="12"/>
      <c r="AP1001" s="12"/>
      <c r="AQ1001" s="12"/>
      <c r="AR1001" s="12"/>
      <c r="AS1001" s="12"/>
      <c r="AT1001" s="12"/>
      <c r="AU1001" s="12"/>
      <c r="AV1001" s="12"/>
      <c r="AW1001" s="12"/>
      <c r="AX1001" s="12"/>
      <c r="AY1001" s="12"/>
      <c r="AZ1001" s="12"/>
      <c r="BA1001" s="12"/>
      <c r="BB1001" s="12"/>
      <c r="BC1001" s="12"/>
      <c r="BD1001" s="12"/>
      <c r="BE1001" s="12"/>
      <c r="BF1001" s="12"/>
      <c r="BG1001" s="12"/>
      <c r="BH1001" s="12"/>
      <c r="BI1001" s="12"/>
      <c r="BJ1001" s="12"/>
      <c r="BK1001" s="12"/>
      <c r="BL1001" s="12"/>
      <c r="BM1001" s="12"/>
      <c r="BN1001" s="12"/>
      <c r="BO1001" s="12"/>
      <c r="BP1001" s="12"/>
      <c r="BQ1001" s="12"/>
      <c r="BR1001" s="12"/>
      <c r="BS1001" s="12"/>
      <c r="BT1001" s="12"/>
      <c r="BU1001" s="12"/>
      <c r="BV1001" s="12"/>
      <c r="BW1001" s="12"/>
      <c r="BX1001" s="12"/>
      <c r="BY1001" s="12"/>
      <c r="BZ1001" s="12"/>
      <c r="CA1001" s="12"/>
      <c r="CB1001" s="12"/>
      <c r="CC1001" s="12"/>
      <c r="CD1001" s="12"/>
      <c r="CE1001" s="12"/>
      <c r="CF1001" s="12"/>
      <c r="CG1001" s="12"/>
      <c r="CH1001" s="12"/>
      <c r="CI1001" s="12"/>
      <c r="CJ1001" s="12"/>
      <c r="CK1001" s="12"/>
      <c r="CL1001" s="12"/>
      <c r="CM1001" s="12"/>
      <c r="CN1001" s="12"/>
      <c r="CO1001" s="12"/>
      <c r="CP1001" s="12"/>
      <c r="CQ1001" s="12"/>
      <c r="CR1001" s="12"/>
      <c r="CS1001" s="12"/>
      <c r="CT1001" s="12"/>
      <c r="CU1001" s="12"/>
      <c r="CV1001" s="12"/>
      <c r="CW1001" s="12"/>
      <c r="CX1001" s="12"/>
      <c r="CY1001" s="12"/>
      <c r="CZ1001" s="12"/>
      <c r="DA1001" s="12"/>
      <c r="DB1001" s="12"/>
      <c r="DC1001" s="12"/>
      <c r="DD1001" s="12"/>
      <c r="DE1001" s="12"/>
      <c r="DF1001" s="12"/>
      <c r="DG1001" s="12"/>
      <c r="DH1001" s="12"/>
      <c r="DI1001" s="12"/>
      <c r="DJ1001" s="12"/>
      <c r="DK1001" s="12"/>
      <c r="DL1001" s="12"/>
      <c r="DM1001" s="12"/>
      <c r="DN1001" s="12"/>
      <c r="DO1001" s="12"/>
      <c r="DP1001" s="12"/>
      <c r="DQ1001" s="12"/>
      <c r="DR1001" s="12"/>
      <c r="DS1001" s="12"/>
      <c r="DT1001" s="12"/>
      <c r="DU1001" s="12"/>
      <c r="DV1001" s="12"/>
      <c r="DW1001" s="12"/>
      <c r="DX1001" s="12"/>
      <c r="DY1001" s="12"/>
      <c r="DZ1001" s="12"/>
      <c r="EA1001" s="12"/>
      <c r="EB1001" s="12"/>
      <c r="EC1001" s="12"/>
      <c r="ED1001" s="12"/>
      <c r="EE1001" s="12"/>
      <c r="EF1001" s="12"/>
      <c r="EG1001" s="12"/>
      <c r="EH1001" s="12"/>
      <c r="EI1001" s="12"/>
      <c r="EJ1001" s="574"/>
      <c r="EK1001" s="574"/>
      <c r="EL1001" s="574"/>
      <c r="EM1001" s="574"/>
      <c r="EN1001" s="574"/>
      <c r="EO1001" s="574"/>
      <c r="EP1001" s="574"/>
      <c r="EQ1001" s="574"/>
      <c r="ER1001" s="574"/>
      <c r="ES1001" s="574"/>
      <c r="ET1001" s="574"/>
      <c r="EU1001" s="574"/>
    </row>
    <row r="1002">
      <c r="A1002" s="12"/>
      <c r="B1002" s="55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  <c r="AI1002" s="12"/>
      <c r="AJ1002" s="12"/>
      <c r="AK1002" s="12"/>
      <c r="AL1002" s="12"/>
      <c r="AM1002" s="12"/>
      <c r="AN1002" s="12"/>
      <c r="AO1002" s="12"/>
      <c r="AP1002" s="12"/>
      <c r="AQ1002" s="12"/>
      <c r="AR1002" s="12"/>
      <c r="AS1002" s="12"/>
      <c r="AT1002" s="12"/>
      <c r="AU1002" s="12"/>
      <c r="AV1002" s="12"/>
      <c r="AW1002" s="12"/>
      <c r="AX1002" s="12"/>
      <c r="AY1002" s="12"/>
      <c r="AZ1002" s="12"/>
      <c r="BA1002" s="12"/>
      <c r="BB1002" s="12"/>
      <c r="BC1002" s="12"/>
      <c r="BD1002" s="12"/>
      <c r="BE1002" s="12"/>
      <c r="BF1002" s="12"/>
      <c r="BG1002" s="12"/>
      <c r="BH1002" s="12"/>
      <c r="BI1002" s="12"/>
      <c r="BJ1002" s="12"/>
      <c r="BK1002" s="12"/>
      <c r="BL1002" s="12"/>
      <c r="BM1002" s="12"/>
      <c r="BN1002" s="12"/>
      <c r="BO1002" s="12"/>
      <c r="BP1002" s="12"/>
      <c r="BQ1002" s="12"/>
      <c r="BR1002" s="12"/>
      <c r="BS1002" s="12"/>
      <c r="BT1002" s="12"/>
      <c r="BU1002" s="12"/>
      <c r="BV1002" s="12"/>
      <c r="BW1002" s="12"/>
      <c r="BX1002" s="12"/>
      <c r="BY1002" s="12"/>
      <c r="BZ1002" s="12"/>
      <c r="CA1002" s="12"/>
      <c r="CB1002" s="12"/>
      <c r="CC1002" s="12"/>
      <c r="CD1002" s="12"/>
      <c r="CE1002" s="12"/>
      <c r="CF1002" s="12"/>
      <c r="CG1002" s="12"/>
      <c r="CH1002" s="12"/>
      <c r="CI1002" s="12"/>
      <c r="CJ1002" s="12"/>
      <c r="CK1002" s="12"/>
      <c r="CL1002" s="12"/>
      <c r="CM1002" s="12"/>
      <c r="CN1002" s="12"/>
      <c r="CO1002" s="12"/>
      <c r="CP1002" s="12"/>
      <c r="CQ1002" s="12"/>
      <c r="CR1002" s="12"/>
      <c r="CS1002" s="12"/>
      <c r="CT1002" s="12"/>
      <c r="CU1002" s="12"/>
      <c r="CV1002" s="12"/>
      <c r="CW1002" s="12"/>
      <c r="CX1002" s="12"/>
      <c r="CY1002" s="12"/>
      <c r="CZ1002" s="12"/>
      <c r="DA1002" s="12"/>
      <c r="DB1002" s="12"/>
      <c r="DC1002" s="12"/>
      <c r="DD1002" s="12"/>
      <c r="DE1002" s="12"/>
      <c r="DF1002" s="12"/>
      <c r="DG1002" s="12"/>
      <c r="DH1002" s="12"/>
      <c r="DI1002" s="12"/>
      <c r="DJ1002" s="12"/>
      <c r="DK1002" s="12"/>
      <c r="DL1002" s="12"/>
      <c r="DM1002" s="12"/>
      <c r="DN1002" s="12"/>
      <c r="DO1002" s="12"/>
      <c r="DP1002" s="12"/>
      <c r="DQ1002" s="12"/>
      <c r="DR1002" s="12"/>
      <c r="DS1002" s="12"/>
      <c r="DT1002" s="12"/>
      <c r="DU1002" s="12"/>
      <c r="DV1002" s="12"/>
      <c r="DW1002" s="12"/>
      <c r="DX1002" s="12"/>
      <c r="DY1002" s="12"/>
      <c r="DZ1002" s="12"/>
      <c r="EA1002" s="12"/>
      <c r="EB1002" s="12"/>
      <c r="EC1002" s="12"/>
      <c r="ED1002" s="12"/>
      <c r="EE1002" s="12"/>
      <c r="EF1002" s="12"/>
      <c r="EG1002" s="12"/>
      <c r="EH1002" s="12"/>
      <c r="EI1002" s="12"/>
      <c r="EJ1002" s="574"/>
      <c r="EK1002" s="574"/>
      <c r="EL1002" s="574"/>
      <c r="EM1002" s="574"/>
      <c r="EN1002" s="574"/>
      <c r="EO1002" s="574"/>
      <c r="EP1002" s="574"/>
      <c r="EQ1002" s="574"/>
      <c r="ER1002" s="574"/>
      <c r="ES1002" s="574"/>
      <c r="ET1002" s="574"/>
      <c r="EU1002" s="574"/>
    </row>
    <row r="1003">
      <c r="A1003" s="12"/>
      <c r="B1003" s="55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2"/>
      <c r="AI1003" s="12"/>
      <c r="AJ1003" s="12"/>
      <c r="AK1003" s="12"/>
      <c r="AL1003" s="12"/>
      <c r="AM1003" s="12"/>
      <c r="AN1003" s="12"/>
      <c r="AO1003" s="12"/>
      <c r="AP1003" s="12"/>
      <c r="AQ1003" s="12"/>
      <c r="AR1003" s="12"/>
      <c r="AS1003" s="12"/>
      <c r="AT1003" s="12"/>
      <c r="AU1003" s="12"/>
      <c r="AV1003" s="12"/>
      <c r="AW1003" s="12"/>
      <c r="AX1003" s="12"/>
      <c r="AY1003" s="12"/>
      <c r="AZ1003" s="12"/>
      <c r="BA1003" s="12"/>
      <c r="BB1003" s="12"/>
      <c r="BC1003" s="12"/>
      <c r="BD1003" s="12"/>
      <c r="BE1003" s="12"/>
      <c r="BF1003" s="12"/>
      <c r="BG1003" s="12"/>
      <c r="BH1003" s="12"/>
      <c r="BI1003" s="12"/>
      <c r="BJ1003" s="12"/>
      <c r="BK1003" s="12"/>
      <c r="BL1003" s="12"/>
      <c r="BM1003" s="12"/>
      <c r="BN1003" s="12"/>
      <c r="BO1003" s="12"/>
      <c r="BP1003" s="12"/>
      <c r="BQ1003" s="12"/>
      <c r="BR1003" s="12"/>
      <c r="BS1003" s="12"/>
      <c r="BT1003" s="12"/>
      <c r="BU1003" s="12"/>
      <c r="BV1003" s="12"/>
      <c r="BW1003" s="12"/>
      <c r="BX1003" s="12"/>
      <c r="BY1003" s="12"/>
      <c r="BZ1003" s="12"/>
      <c r="CA1003" s="12"/>
      <c r="CB1003" s="12"/>
      <c r="CC1003" s="12"/>
      <c r="CD1003" s="12"/>
      <c r="CE1003" s="12"/>
      <c r="CF1003" s="12"/>
      <c r="CG1003" s="12"/>
      <c r="CH1003" s="12"/>
      <c r="CI1003" s="12"/>
      <c r="CJ1003" s="12"/>
      <c r="CK1003" s="12"/>
      <c r="CL1003" s="12"/>
      <c r="CM1003" s="12"/>
      <c r="CN1003" s="12"/>
      <c r="CO1003" s="12"/>
      <c r="CP1003" s="12"/>
      <c r="CQ1003" s="12"/>
      <c r="CR1003" s="12"/>
      <c r="CS1003" s="12"/>
      <c r="CT1003" s="12"/>
      <c r="CU1003" s="12"/>
      <c r="CV1003" s="12"/>
      <c r="CW1003" s="12"/>
      <c r="CX1003" s="12"/>
      <c r="CY1003" s="12"/>
      <c r="CZ1003" s="12"/>
      <c r="DA1003" s="12"/>
      <c r="DB1003" s="12"/>
      <c r="DC1003" s="12"/>
      <c r="DD1003" s="12"/>
      <c r="DE1003" s="12"/>
      <c r="DF1003" s="12"/>
      <c r="DG1003" s="12"/>
      <c r="DH1003" s="12"/>
      <c r="DI1003" s="12"/>
      <c r="DJ1003" s="12"/>
      <c r="DK1003" s="12"/>
      <c r="DL1003" s="12"/>
      <c r="DM1003" s="12"/>
      <c r="DN1003" s="12"/>
      <c r="DO1003" s="12"/>
      <c r="DP1003" s="12"/>
      <c r="DQ1003" s="12"/>
      <c r="DR1003" s="12"/>
      <c r="DS1003" s="12"/>
      <c r="DT1003" s="12"/>
      <c r="DU1003" s="12"/>
      <c r="DV1003" s="12"/>
      <c r="DW1003" s="12"/>
      <c r="DX1003" s="12"/>
      <c r="DY1003" s="12"/>
      <c r="DZ1003" s="12"/>
      <c r="EA1003" s="12"/>
      <c r="EB1003" s="12"/>
      <c r="EC1003" s="12"/>
      <c r="ED1003" s="12"/>
      <c r="EE1003" s="12"/>
      <c r="EF1003" s="12"/>
      <c r="EG1003" s="12"/>
      <c r="EH1003" s="12"/>
      <c r="EI1003" s="12"/>
      <c r="EJ1003" s="574"/>
      <c r="EK1003" s="574"/>
      <c r="EL1003" s="574"/>
      <c r="EM1003" s="574"/>
      <c r="EN1003" s="574"/>
      <c r="EO1003" s="574"/>
      <c r="EP1003" s="574"/>
      <c r="EQ1003" s="574"/>
      <c r="ER1003" s="574"/>
      <c r="ES1003" s="574"/>
      <c r="ET1003" s="574"/>
      <c r="EU1003" s="574"/>
    </row>
    <row r="1004">
      <c r="A1004" s="12"/>
      <c r="B1004" s="55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  <c r="AH1004" s="12"/>
      <c r="AI1004" s="12"/>
      <c r="AJ1004" s="12"/>
      <c r="AK1004" s="12"/>
      <c r="AL1004" s="12"/>
      <c r="AM1004" s="12"/>
      <c r="AN1004" s="12"/>
      <c r="AO1004" s="12"/>
      <c r="AP1004" s="12"/>
      <c r="AQ1004" s="12"/>
      <c r="AR1004" s="12"/>
      <c r="AS1004" s="12"/>
      <c r="AT1004" s="12"/>
      <c r="AU1004" s="12"/>
      <c r="AV1004" s="12"/>
      <c r="AW1004" s="12"/>
      <c r="AX1004" s="12"/>
      <c r="AY1004" s="12"/>
      <c r="AZ1004" s="12"/>
      <c r="BA1004" s="12"/>
      <c r="BB1004" s="12"/>
      <c r="BC1004" s="12"/>
      <c r="BD1004" s="12"/>
      <c r="BE1004" s="12"/>
      <c r="BF1004" s="12"/>
      <c r="BG1004" s="12"/>
      <c r="BH1004" s="12"/>
      <c r="BI1004" s="12"/>
      <c r="BJ1004" s="12"/>
      <c r="BK1004" s="12"/>
      <c r="BL1004" s="12"/>
      <c r="BM1004" s="12"/>
      <c r="BN1004" s="12"/>
      <c r="BO1004" s="12"/>
      <c r="BP1004" s="12"/>
      <c r="BQ1004" s="12"/>
      <c r="BR1004" s="12"/>
      <c r="BS1004" s="12"/>
      <c r="BT1004" s="12"/>
      <c r="BU1004" s="12"/>
      <c r="BV1004" s="12"/>
      <c r="BW1004" s="12"/>
      <c r="BX1004" s="12"/>
      <c r="BY1004" s="12"/>
      <c r="BZ1004" s="12"/>
      <c r="CA1004" s="12"/>
      <c r="CB1004" s="12"/>
      <c r="CC1004" s="12"/>
      <c r="CD1004" s="12"/>
      <c r="CE1004" s="12"/>
      <c r="CF1004" s="12"/>
      <c r="CG1004" s="12"/>
      <c r="CH1004" s="12"/>
      <c r="CI1004" s="12"/>
      <c r="CJ1004" s="12"/>
      <c r="CK1004" s="12"/>
      <c r="CL1004" s="12"/>
      <c r="CM1004" s="12"/>
      <c r="CN1004" s="12"/>
      <c r="CO1004" s="12"/>
      <c r="CP1004" s="12"/>
      <c r="CQ1004" s="12"/>
      <c r="CR1004" s="12"/>
      <c r="CS1004" s="12"/>
      <c r="CT1004" s="12"/>
      <c r="CU1004" s="12"/>
      <c r="CV1004" s="12"/>
      <c r="CW1004" s="12"/>
      <c r="CX1004" s="12"/>
      <c r="CY1004" s="12"/>
      <c r="CZ1004" s="12"/>
      <c r="DA1004" s="12"/>
      <c r="DB1004" s="12"/>
      <c r="DC1004" s="12"/>
      <c r="DD1004" s="12"/>
      <c r="DE1004" s="12"/>
      <c r="DF1004" s="12"/>
      <c r="DG1004" s="12"/>
      <c r="DH1004" s="12"/>
      <c r="DI1004" s="12"/>
      <c r="DJ1004" s="12"/>
      <c r="DK1004" s="12"/>
      <c r="DL1004" s="12"/>
      <c r="DM1004" s="12"/>
      <c r="DN1004" s="12"/>
      <c r="DO1004" s="12"/>
      <c r="DP1004" s="12"/>
      <c r="DQ1004" s="12"/>
      <c r="DR1004" s="12"/>
      <c r="DS1004" s="12"/>
      <c r="DT1004" s="12"/>
      <c r="DU1004" s="12"/>
      <c r="DV1004" s="12"/>
      <c r="DW1004" s="12"/>
      <c r="DX1004" s="12"/>
      <c r="DY1004" s="12"/>
      <c r="DZ1004" s="12"/>
      <c r="EA1004" s="12"/>
      <c r="EB1004" s="12"/>
      <c r="EC1004" s="12"/>
      <c r="ED1004" s="12"/>
      <c r="EE1004" s="12"/>
      <c r="EF1004" s="12"/>
      <c r="EG1004" s="12"/>
      <c r="EH1004" s="12"/>
      <c r="EI1004" s="12"/>
      <c r="EJ1004" s="574"/>
      <c r="EK1004" s="574"/>
      <c r="EL1004" s="574"/>
      <c r="EM1004" s="574"/>
      <c r="EN1004" s="574"/>
      <c r="EO1004" s="574"/>
      <c r="EP1004" s="574"/>
      <c r="EQ1004" s="574"/>
      <c r="ER1004" s="574"/>
      <c r="ES1004" s="574"/>
      <c r="ET1004" s="574"/>
      <c r="EU1004" s="574"/>
    </row>
    <row r="1005">
      <c r="A1005" s="12"/>
      <c r="B1005" s="55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  <c r="AH1005" s="12"/>
      <c r="AI1005" s="12"/>
      <c r="AJ1005" s="12"/>
      <c r="AK1005" s="12"/>
      <c r="AL1005" s="12"/>
      <c r="AM1005" s="12"/>
      <c r="AN1005" s="12"/>
      <c r="AO1005" s="12"/>
      <c r="AP1005" s="12"/>
      <c r="AQ1005" s="12"/>
      <c r="AR1005" s="12"/>
      <c r="AS1005" s="12"/>
      <c r="AT1005" s="12"/>
      <c r="AU1005" s="12"/>
      <c r="AV1005" s="12"/>
      <c r="AW1005" s="12"/>
      <c r="AX1005" s="12"/>
      <c r="AY1005" s="12"/>
      <c r="AZ1005" s="12"/>
      <c r="BA1005" s="12"/>
      <c r="BB1005" s="12"/>
      <c r="BC1005" s="12"/>
      <c r="BD1005" s="12"/>
      <c r="BE1005" s="12"/>
      <c r="BF1005" s="12"/>
      <c r="BG1005" s="12"/>
      <c r="BH1005" s="12"/>
      <c r="BI1005" s="12"/>
      <c r="BJ1005" s="12"/>
      <c r="BK1005" s="12"/>
      <c r="BL1005" s="12"/>
      <c r="BM1005" s="12"/>
      <c r="BN1005" s="12"/>
      <c r="BO1005" s="12"/>
      <c r="BP1005" s="12"/>
      <c r="BQ1005" s="12"/>
      <c r="BR1005" s="12"/>
      <c r="BS1005" s="12"/>
      <c r="BT1005" s="12"/>
      <c r="BU1005" s="12"/>
      <c r="BV1005" s="12"/>
      <c r="BW1005" s="12"/>
      <c r="BX1005" s="12"/>
      <c r="BY1005" s="12"/>
      <c r="BZ1005" s="12"/>
      <c r="CA1005" s="12"/>
      <c r="CB1005" s="12"/>
      <c r="CC1005" s="12"/>
      <c r="CD1005" s="12"/>
      <c r="CE1005" s="12"/>
      <c r="CF1005" s="12"/>
      <c r="CG1005" s="12"/>
      <c r="CH1005" s="12"/>
      <c r="CI1005" s="12"/>
      <c r="CJ1005" s="12"/>
      <c r="CK1005" s="12"/>
      <c r="CL1005" s="12"/>
      <c r="CM1005" s="12"/>
      <c r="CN1005" s="12"/>
      <c r="CO1005" s="12"/>
      <c r="CP1005" s="12"/>
      <c r="CQ1005" s="12"/>
      <c r="CR1005" s="12"/>
      <c r="CS1005" s="12"/>
      <c r="CT1005" s="12"/>
      <c r="CU1005" s="12"/>
      <c r="CV1005" s="12"/>
      <c r="CW1005" s="12"/>
      <c r="CX1005" s="12"/>
      <c r="CY1005" s="12"/>
      <c r="CZ1005" s="12"/>
      <c r="DA1005" s="12"/>
      <c r="DB1005" s="12"/>
      <c r="DC1005" s="12"/>
      <c r="DD1005" s="12"/>
      <c r="DE1005" s="12"/>
      <c r="DF1005" s="12"/>
      <c r="DG1005" s="12"/>
      <c r="DH1005" s="12"/>
      <c r="DI1005" s="12"/>
      <c r="DJ1005" s="12"/>
      <c r="DK1005" s="12"/>
      <c r="DL1005" s="12"/>
      <c r="DM1005" s="12"/>
      <c r="DN1005" s="12"/>
      <c r="DO1005" s="12"/>
      <c r="DP1005" s="12"/>
      <c r="DQ1005" s="12"/>
      <c r="DR1005" s="12"/>
      <c r="DS1005" s="12"/>
      <c r="DT1005" s="12"/>
      <c r="DU1005" s="12"/>
      <c r="DV1005" s="12"/>
      <c r="DW1005" s="12"/>
      <c r="DX1005" s="12"/>
      <c r="DY1005" s="12"/>
      <c r="DZ1005" s="12"/>
      <c r="EA1005" s="12"/>
      <c r="EB1005" s="12"/>
      <c r="EC1005" s="12"/>
      <c r="ED1005" s="12"/>
      <c r="EE1005" s="12"/>
      <c r="EF1005" s="12"/>
      <c r="EG1005" s="12"/>
      <c r="EH1005" s="12"/>
      <c r="EI1005" s="12"/>
      <c r="EJ1005" s="574"/>
      <c r="EK1005" s="574"/>
      <c r="EL1005" s="574"/>
      <c r="EM1005" s="574"/>
      <c r="EN1005" s="574"/>
      <c r="EO1005" s="574"/>
      <c r="EP1005" s="574"/>
      <c r="EQ1005" s="574"/>
      <c r="ER1005" s="574"/>
      <c r="ES1005" s="574"/>
      <c r="ET1005" s="574"/>
      <c r="EU1005" s="574"/>
    </row>
    <row r="1006">
      <c r="A1006" s="12"/>
      <c r="B1006" s="55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  <c r="AG1006" s="12"/>
      <c r="AH1006" s="12"/>
      <c r="AI1006" s="12"/>
      <c r="AJ1006" s="12"/>
      <c r="AK1006" s="12"/>
      <c r="AL1006" s="12"/>
      <c r="AM1006" s="12"/>
      <c r="AN1006" s="12"/>
      <c r="AO1006" s="12"/>
      <c r="AP1006" s="12"/>
      <c r="AQ1006" s="12"/>
      <c r="AR1006" s="12"/>
      <c r="AS1006" s="12"/>
      <c r="AT1006" s="12"/>
      <c r="AU1006" s="12"/>
      <c r="AV1006" s="12"/>
      <c r="AW1006" s="12"/>
      <c r="AX1006" s="12"/>
      <c r="AY1006" s="12"/>
      <c r="AZ1006" s="12"/>
      <c r="BA1006" s="12"/>
      <c r="BB1006" s="12"/>
      <c r="BC1006" s="12"/>
      <c r="BD1006" s="12"/>
      <c r="BE1006" s="12"/>
      <c r="BF1006" s="12"/>
      <c r="BG1006" s="12"/>
      <c r="BH1006" s="12"/>
      <c r="BI1006" s="12"/>
      <c r="BJ1006" s="12"/>
      <c r="BK1006" s="12"/>
      <c r="BL1006" s="12"/>
      <c r="BM1006" s="12"/>
      <c r="BN1006" s="12"/>
      <c r="BO1006" s="12"/>
      <c r="BP1006" s="12"/>
      <c r="BQ1006" s="12"/>
      <c r="BR1006" s="12"/>
      <c r="BS1006" s="12"/>
      <c r="BT1006" s="12"/>
      <c r="BU1006" s="12"/>
      <c r="BV1006" s="12"/>
      <c r="BW1006" s="12"/>
      <c r="BX1006" s="12"/>
      <c r="BY1006" s="12"/>
      <c r="BZ1006" s="12"/>
      <c r="CA1006" s="12"/>
      <c r="CB1006" s="12"/>
      <c r="CC1006" s="12"/>
      <c r="CD1006" s="12"/>
      <c r="CE1006" s="12"/>
      <c r="CF1006" s="12"/>
      <c r="CG1006" s="12"/>
      <c r="CH1006" s="12"/>
      <c r="CI1006" s="12"/>
      <c r="CJ1006" s="12"/>
      <c r="CK1006" s="12"/>
      <c r="CL1006" s="12"/>
      <c r="CM1006" s="12"/>
      <c r="CN1006" s="12"/>
      <c r="CO1006" s="12"/>
      <c r="CP1006" s="12"/>
      <c r="CQ1006" s="12"/>
      <c r="CR1006" s="12"/>
      <c r="CS1006" s="12"/>
      <c r="CT1006" s="12"/>
      <c r="CU1006" s="12"/>
      <c r="CV1006" s="12"/>
      <c r="CW1006" s="12"/>
      <c r="CX1006" s="12"/>
      <c r="CY1006" s="12"/>
      <c r="CZ1006" s="12"/>
      <c r="DA1006" s="12"/>
      <c r="DB1006" s="12"/>
      <c r="DC1006" s="12"/>
      <c r="DD1006" s="12"/>
      <c r="DE1006" s="12"/>
      <c r="DF1006" s="12"/>
      <c r="DG1006" s="12"/>
      <c r="DH1006" s="12"/>
      <c r="DI1006" s="12"/>
      <c r="DJ1006" s="12"/>
      <c r="DK1006" s="12"/>
      <c r="DL1006" s="12"/>
      <c r="DM1006" s="12"/>
      <c r="DN1006" s="12"/>
      <c r="DO1006" s="12"/>
      <c r="DP1006" s="12"/>
      <c r="DQ1006" s="12"/>
      <c r="DR1006" s="12"/>
      <c r="DS1006" s="12"/>
      <c r="DT1006" s="12"/>
      <c r="DU1006" s="12"/>
      <c r="DV1006" s="12"/>
      <c r="DW1006" s="12"/>
      <c r="DX1006" s="12"/>
      <c r="DY1006" s="12"/>
      <c r="DZ1006" s="12"/>
      <c r="EA1006" s="12"/>
      <c r="EB1006" s="12"/>
      <c r="EC1006" s="12"/>
      <c r="ED1006" s="12"/>
      <c r="EE1006" s="12"/>
      <c r="EF1006" s="12"/>
      <c r="EG1006" s="12"/>
      <c r="EH1006" s="12"/>
      <c r="EI1006" s="12"/>
      <c r="EJ1006" s="574"/>
      <c r="EK1006" s="574"/>
      <c r="EL1006" s="574"/>
      <c r="EM1006" s="574"/>
      <c r="EN1006" s="574"/>
      <c r="EO1006" s="574"/>
      <c r="EP1006" s="574"/>
      <c r="EQ1006" s="574"/>
      <c r="ER1006" s="574"/>
      <c r="ES1006" s="574"/>
      <c r="ET1006" s="574"/>
      <c r="EU1006" s="574"/>
    </row>
    <row r="1007">
      <c r="A1007" s="12"/>
      <c r="B1007" s="55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  <c r="AE1007" s="12"/>
      <c r="AF1007" s="12"/>
      <c r="AG1007" s="12"/>
      <c r="AH1007" s="12"/>
      <c r="AI1007" s="12"/>
      <c r="AJ1007" s="12"/>
      <c r="AK1007" s="12"/>
      <c r="AL1007" s="12"/>
      <c r="AM1007" s="12"/>
      <c r="AN1007" s="12"/>
      <c r="AO1007" s="12"/>
      <c r="AP1007" s="12"/>
      <c r="AQ1007" s="12"/>
      <c r="AR1007" s="12"/>
      <c r="AS1007" s="12"/>
      <c r="AT1007" s="12"/>
      <c r="AU1007" s="12"/>
      <c r="AV1007" s="12"/>
      <c r="AW1007" s="12"/>
      <c r="AX1007" s="12"/>
      <c r="AY1007" s="12"/>
      <c r="AZ1007" s="12"/>
      <c r="BA1007" s="12"/>
      <c r="BB1007" s="12"/>
      <c r="BC1007" s="12"/>
      <c r="BD1007" s="12"/>
      <c r="BE1007" s="12"/>
      <c r="BF1007" s="12"/>
      <c r="BG1007" s="12"/>
      <c r="BH1007" s="12"/>
      <c r="BI1007" s="12"/>
      <c r="BJ1007" s="12"/>
      <c r="BK1007" s="12"/>
      <c r="BL1007" s="12"/>
      <c r="BM1007" s="12"/>
      <c r="BN1007" s="12"/>
      <c r="BO1007" s="12"/>
      <c r="BP1007" s="12"/>
      <c r="BQ1007" s="12"/>
      <c r="BR1007" s="12"/>
      <c r="BS1007" s="12"/>
      <c r="BT1007" s="12"/>
      <c r="BU1007" s="12"/>
      <c r="BV1007" s="12"/>
      <c r="BW1007" s="12"/>
      <c r="BX1007" s="12"/>
      <c r="BY1007" s="12"/>
      <c r="BZ1007" s="12"/>
      <c r="CA1007" s="12"/>
      <c r="CB1007" s="12"/>
      <c r="CC1007" s="12"/>
      <c r="CD1007" s="12"/>
      <c r="CE1007" s="12"/>
      <c r="CF1007" s="12"/>
      <c r="CG1007" s="12"/>
      <c r="CH1007" s="12"/>
      <c r="CI1007" s="12"/>
      <c r="CJ1007" s="12"/>
      <c r="CK1007" s="12"/>
      <c r="CL1007" s="12"/>
      <c r="CM1007" s="12"/>
      <c r="CN1007" s="12"/>
      <c r="CO1007" s="12"/>
      <c r="CP1007" s="12"/>
      <c r="CQ1007" s="12"/>
      <c r="CR1007" s="12"/>
      <c r="CS1007" s="12"/>
      <c r="CT1007" s="12"/>
      <c r="CU1007" s="12"/>
      <c r="CV1007" s="12"/>
      <c r="CW1007" s="12"/>
      <c r="CX1007" s="12"/>
      <c r="CY1007" s="12"/>
      <c r="CZ1007" s="12"/>
      <c r="DA1007" s="12"/>
      <c r="DB1007" s="12"/>
      <c r="DC1007" s="12"/>
      <c r="DD1007" s="12"/>
      <c r="DE1007" s="12"/>
      <c r="DF1007" s="12"/>
      <c r="DG1007" s="12"/>
      <c r="DH1007" s="12"/>
      <c r="DI1007" s="12"/>
      <c r="DJ1007" s="12"/>
      <c r="DK1007" s="12"/>
      <c r="DL1007" s="12"/>
      <c r="DM1007" s="12"/>
      <c r="DN1007" s="12"/>
      <c r="DO1007" s="12"/>
      <c r="DP1007" s="12"/>
      <c r="DQ1007" s="12"/>
      <c r="DR1007" s="12"/>
      <c r="DS1007" s="12"/>
      <c r="DT1007" s="12"/>
      <c r="DU1007" s="12"/>
      <c r="DV1007" s="12"/>
      <c r="DW1007" s="12"/>
      <c r="DX1007" s="12"/>
      <c r="DY1007" s="12"/>
      <c r="DZ1007" s="12"/>
      <c r="EA1007" s="12"/>
      <c r="EB1007" s="12"/>
      <c r="EC1007" s="12"/>
      <c r="ED1007" s="12"/>
      <c r="EE1007" s="12"/>
      <c r="EF1007" s="12"/>
      <c r="EG1007" s="12"/>
      <c r="EH1007" s="12"/>
      <c r="EI1007" s="12"/>
      <c r="EJ1007" s="574"/>
      <c r="EK1007" s="574"/>
      <c r="EL1007" s="574"/>
      <c r="EM1007" s="574"/>
      <c r="EN1007" s="574"/>
      <c r="EO1007" s="574"/>
      <c r="EP1007" s="574"/>
      <c r="EQ1007" s="574"/>
      <c r="ER1007" s="574"/>
      <c r="ES1007" s="574"/>
      <c r="ET1007" s="574"/>
      <c r="EU1007" s="574"/>
    </row>
    <row r="1008">
      <c r="A1008" s="12"/>
      <c r="B1008" s="55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  <c r="AD1008" s="12"/>
      <c r="AE1008" s="12"/>
      <c r="AF1008" s="12"/>
      <c r="AG1008" s="12"/>
      <c r="AH1008" s="12"/>
      <c r="AI1008" s="12"/>
      <c r="AJ1008" s="12"/>
      <c r="AK1008" s="12"/>
      <c r="AL1008" s="12"/>
      <c r="AM1008" s="12"/>
      <c r="AN1008" s="12"/>
      <c r="AO1008" s="12"/>
      <c r="AP1008" s="12"/>
      <c r="AQ1008" s="12"/>
      <c r="AR1008" s="12"/>
      <c r="AS1008" s="12"/>
      <c r="AT1008" s="12"/>
      <c r="AU1008" s="12"/>
      <c r="AV1008" s="12"/>
      <c r="AW1008" s="12"/>
      <c r="AX1008" s="12"/>
      <c r="AY1008" s="12"/>
      <c r="AZ1008" s="12"/>
      <c r="BA1008" s="12"/>
      <c r="BB1008" s="12"/>
      <c r="BC1008" s="12"/>
      <c r="BD1008" s="12"/>
      <c r="BE1008" s="12"/>
      <c r="BF1008" s="12"/>
      <c r="BG1008" s="12"/>
      <c r="BH1008" s="12"/>
      <c r="BI1008" s="12"/>
      <c r="BJ1008" s="12"/>
      <c r="BK1008" s="12"/>
      <c r="BL1008" s="12"/>
      <c r="BM1008" s="12"/>
      <c r="BN1008" s="12"/>
      <c r="BO1008" s="12"/>
      <c r="BP1008" s="12"/>
      <c r="BQ1008" s="12"/>
      <c r="BR1008" s="12"/>
      <c r="BS1008" s="12"/>
      <c r="BT1008" s="12"/>
      <c r="BU1008" s="12"/>
      <c r="BV1008" s="12"/>
      <c r="BW1008" s="12"/>
      <c r="BX1008" s="12"/>
      <c r="BY1008" s="12"/>
      <c r="BZ1008" s="12"/>
      <c r="CA1008" s="12"/>
      <c r="CB1008" s="12"/>
      <c r="CC1008" s="12"/>
      <c r="CD1008" s="12"/>
      <c r="CE1008" s="12"/>
      <c r="CF1008" s="12"/>
      <c r="CG1008" s="12"/>
      <c r="CH1008" s="12"/>
      <c r="CI1008" s="12"/>
      <c r="CJ1008" s="12"/>
      <c r="CK1008" s="12"/>
      <c r="CL1008" s="12"/>
      <c r="CM1008" s="12"/>
      <c r="CN1008" s="12"/>
      <c r="CO1008" s="12"/>
      <c r="CP1008" s="12"/>
      <c r="CQ1008" s="12"/>
      <c r="CR1008" s="12"/>
      <c r="CS1008" s="12"/>
      <c r="CT1008" s="12"/>
      <c r="CU1008" s="12"/>
      <c r="CV1008" s="12"/>
      <c r="CW1008" s="12"/>
      <c r="CX1008" s="12"/>
      <c r="CY1008" s="12"/>
      <c r="CZ1008" s="12"/>
      <c r="DA1008" s="12"/>
      <c r="DB1008" s="12"/>
      <c r="DC1008" s="12"/>
      <c r="DD1008" s="12"/>
      <c r="DE1008" s="12"/>
      <c r="DF1008" s="12"/>
      <c r="DG1008" s="12"/>
      <c r="DH1008" s="12"/>
      <c r="DI1008" s="12"/>
      <c r="DJ1008" s="12"/>
      <c r="DK1008" s="12"/>
      <c r="DL1008" s="12"/>
      <c r="DM1008" s="12"/>
      <c r="DN1008" s="12"/>
      <c r="DO1008" s="12"/>
      <c r="DP1008" s="12"/>
      <c r="DQ1008" s="12"/>
      <c r="DR1008" s="12"/>
      <c r="DS1008" s="12"/>
      <c r="DT1008" s="12"/>
      <c r="DU1008" s="12"/>
      <c r="DV1008" s="12"/>
      <c r="DW1008" s="12"/>
      <c r="DX1008" s="12"/>
      <c r="DY1008" s="12"/>
      <c r="DZ1008" s="12"/>
      <c r="EA1008" s="12"/>
      <c r="EB1008" s="12"/>
      <c r="EC1008" s="12"/>
      <c r="ED1008" s="12"/>
      <c r="EE1008" s="12"/>
      <c r="EF1008" s="12"/>
      <c r="EG1008" s="12"/>
      <c r="EH1008" s="12"/>
      <c r="EI1008" s="12"/>
      <c r="EJ1008" s="574"/>
      <c r="EK1008" s="574"/>
      <c r="EL1008" s="574"/>
      <c r="EM1008" s="574"/>
      <c r="EN1008" s="574"/>
      <c r="EO1008" s="574"/>
      <c r="EP1008" s="574"/>
      <c r="EQ1008" s="574"/>
      <c r="ER1008" s="574"/>
      <c r="ES1008" s="574"/>
      <c r="ET1008" s="574"/>
      <c r="EU1008" s="574"/>
    </row>
    <row r="1009">
      <c r="A1009" s="12"/>
      <c r="B1009" s="55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  <c r="AC1009" s="12"/>
      <c r="AD1009" s="12"/>
      <c r="AE1009" s="12"/>
      <c r="AF1009" s="12"/>
      <c r="AG1009" s="12"/>
      <c r="AH1009" s="12"/>
      <c r="AI1009" s="12"/>
      <c r="AJ1009" s="12"/>
      <c r="AK1009" s="12"/>
      <c r="AL1009" s="12"/>
      <c r="AM1009" s="12"/>
      <c r="AN1009" s="12"/>
      <c r="AO1009" s="12"/>
      <c r="AP1009" s="12"/>
      <c r="AQ1009" s="12"/>
      <c r="AR1009" s="12"/>
      <c r="AS1009" s="12"/>
      <c r="AT1009" s="12"/>
      <c r="AU1009" s="12"/>
      <c r="AV1009" s="12"/>
      <c r="AW1009" s="12"/>
      <c r="AX1009" s="12"/>
      <c r="AY1009" s="12"/>
      <c r="AZ1009" s="12"/>
      <c r="BA1009" s="12"/>
      <c r="BB1009" s="12"/>
      <c r="BC1009" s="12"/>
      <c r="BD1009" s="12"/>
      <c r="BE1009" s="12"/>
      <c r="BF1009" s="12"/>
      <c r="BG1009" s="12"/>
      <c r="BH1009" s="12"/>
      <c r="BI1009" s="12"/>
      <c r="BJ1009" s="12"/>
      <c r="BK1009" s="12"/>
      <c r="BL1009" s="12"/>
      <c r="BM1009" s="12"/>
      <c r="BN1009" s="12"/>
      <c r="BO1009" s="12"/>
      <c r="BP1009" s="12"/>
      <c r="BQ1009" s="12"/>
      <c r="BR1009" s="12"/>
      <c r="BS1009" s="12"/>
      <c r="BT1009" s="12"/>
      <c r="BU1009" s="12"/>
      <c r="BV1009" s="12"/>
      <c r="BW1009" s="12"/>
      <c r="BX1009" s="12"/>
      <c r="BY1009" s="12"/>
      <c r="BZ1009" s="12"/>
      <c r="CA1009" s="12"/>
      <c r="CB1009" s="12"/>
      <c r="CC1009" s="12"/>
      <c r="CD1009" s="12"/>
      <c r="CE1009" s="12"/>
      <c r="CF1009" s="12"/>
      <c r="CG1009" s="12"/>
      <c r="CH1009" s="12"/>
      <c r="CI1009" s="12"/>
      <c r="CJ1009" s="12"/>
      <c r="CK1009" s="12"/>
      <c r="CL1009" s="12"/>
      <c r="CM1009" s="12"/>
      <c r="CN1009" s="12"/>
      <c r="CO1009" s="12"/>
      <c r="CP1009" s="12"/>
      <c r="CQ1009" s="12"/>
      <c r="CR1009" s="12"/>
      <c r="CS1009" s="12"/>
      <c r="CT1009" s="12"/>
      <c r="CU1009" s="12"/>
      <c r="CV1009" s="12"/>
      <c r="CW1009" s="12"/>
      <c r="CX1009" s="12"/>
      <c r="CY1009" s="12"/>
      <c r="CZ1009" s="12"/>
      <c r="DA1009" s="12"/>
      <c r="DB1009" s="12"/>
      <c r="DC1009" s="12"/>
      <c r="DD1009" s="12"/>
      <c r="DE1009" s="12"/>
      <c r="DF1009" s="12"/>
      <c r="DG1009" s="12"/>
      <c r="DH1009" s="12"/>
      <c r="DI1009" s="12"/>
      <c r="DJ1009" s="12"/>
      <c r="DK1009" s="12"/>
      <c r="DL1009" s="12"/>
      <c r="DM1009" s="12"/>
      <c r="DN1009" s="12"/>
      <c r="DO1009" s="12"/>
      <c r="DP1009" s="12"/>
      <c r="DQ1009" s="12"/>
      <c r="DR1009" s="12"/>
      <c r="DS1009" s="12"/>
      <c r="DT1009" s="12"/>
      <c r="DU1009" s="12"/>
      <c r="DV1009" s="12"/>
      <c r="DW1009" s="12"/>
      <c r="DX1009" s="12"/>
      <c r="DY1009" s="12"/>
      <c r="DZ1009" s="12"/>
      <c r="EA1009" s="12"/>
      <c r="EB1009" s="12"/>
      <c r="EC1009" s="12"/>
      <c r="ED1009" s="12"/>
      <c r="EE1009" s="12"/>
      <c r="EF1009" s="12"/>
      <c r="EG1009" s="12"/>
      <c r="EH1009" s="12"/>
      <c r="EI1009" s="12"/>
      <c r="EJ1009" s="574"/>
      <c r="EK1009" s="574"/>
      <c r="EL1009" s="574"/>
      <c r="EM1009" s="574"/>
      <c r="EN1009" s="574"/>
      <c r="EO1009" s="574"/>
      <c r="EP1009" s="574"/>
      <c r="EQ1009" s="574"/>
      <c r="ER1009" s="574"/>
      <c r="ES1009" s="574"/>
      <c r="ET1009" s="574"/>
      <c r="EU1009" s="574"/>
    </row>
    <row r="1010">
      <c r="A1010" s="12"/>
      <c r="B1010" s="55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  <c r="AC1010" s="12"/>
      <c r="AD1010" s="12"/>
      <c r="AE1010" s="12"/>
      <c r="AF1010" s="12"/>
      <c r="AG1010" s="12"/>
      <c r="AH1010" s="12"/>
      <c r="AI1010" s="12"/>
      <c r="AJ1010" s="12"/>
      <c r="AK1010" s="12"/>
      <c r="AL1010" s="12"/>
      <c r="AM1010" s="12"/>
      <c r="AN1010" s="12"/>
      <c r="AO1010" s="12"/>
      <c r="AP1010" s="12"/>
      <c r="AQ1010" s="12"/>
      <c r="AR1010" s="12"/>
      <c r="AS1010" s="12"/>
      <c r="AT1010" s="12"/>
      <c r="AU1010" s="12"/>
      <c r="AV1010" s="12"/>
      <c r="AW1010" s="12"/>
      <c r="AX1010" s="12"/>
      <c r="AY1010" s="12"/>
      <c r="AZ1010" s="12"/>
      <c r="BA1010" s="12"/>
      <c r="BB1010" s="12"/>
      <c r="BC1010" s="12"/>
      <c r="BD1010" s="12"/>
      <c r="BE1010" s="12"/>
      <c r="BF1010" s="12"/>
      <c r="BG1010" s="12"/>
      <c r="BH1010" s="12"/>
      <c r="BI1010" s="12"/>
      <c r="BJ1010" s="12"/>
      <c r="BK1010" s="12"/>
      <c r="BL1010" s="12"/>
      <c r="BM1010" s="12"/>
      <c r="BN1010" s="12"/>
      <c r="BO1010" s="12"/>
      <c r="BP1010" s="12"/>
      <c r="BQ1010" s="12"/>
      <c r="BR1010" s="12"/>
      <c r="BS1010" s="12"/>
      <c r="BT1010" s="12"/>
      <c r="BU1010" s="12"/>
      <c r="BV1010" s="12"/>
      <c r="BW1010" s="12"/>
      <c r="BX1010" s="12"/>
      <c r="BY1010" s="12"/>
      <c r="BZ1010" s="12"/>
      <c r="CA1010" s="12"/>
      <c r="CB1010" s="12"/>
      <c r="CC1010" s="12"/>
      <c r="CD1010" s="12"/>
      <c r="CE1010" s="12"/>
      <c r="CF1010" s="12"/>
      <c r="CG1010" s="12"/>
      <c r="CH1010" s="12"/>
      <c r="CI1010" s="12"/>
      <c r="CJ1010" s="12"/>
      <c r="CK1010" s="12"/>
      <c r="CL1010" s="12"/>
      <c r="CM1010" s="12"/>
      <c r="CN1010" s="12"/>
      <c r="CO1010" s="12"/>
      <c r="CP1010" s="12"/>
      <c r="CQ1010" s="12"/>
      <c r="CR1010" s="12"/>
      <c r="CS1010" s="12"/>
      <c r="CT1010" s="12"/>
      <c r="CU1010" s="12"/>
      <c r="CV1010" s="12"/>
      <c r="CW1010" s="12"/>
      <c r="CX1010" s="12"/>
      <c r="CY1010" s="12"/>
      <c r="CZ1010" s="12"/>
      <c r="DA1010" s="12"/>
      <c r="DB1010" s="12"/>
      <c r="DC1010" s="12"/>
      <c r="DD1010" s="12"/>
      <c r="DE1010" s="12"/>
      <c r="DF1010" s="12"/>
      <c r="DG1010" s="12"/>
      <c r="DH1010" s="12"/>
      <c r="DI1010" s="12"/>
      <c r="DJ1010" s="12"/>
      <c r="DK1010" s="12"/>
      <c r="DL1010" s="12"/>
      <c r="DM1010" s="12"/>
      <c r="DN1010" s="12"/>
      <c r="DO1010" s="12"/>
      <c r="DP1010" s="12"/>
      <c r="DQ1010" s="12"/>
      <c r="DR1010" s="12"/>
      <c r="DS1010" s="12"/>
      <c r="DT1010" s="12"/>
      <c r="DU1010" s="12"/>
      <c r="DV1010" s="12"/>
      <c r="DW1010" s="12"/>
      <c r="DX1010" s="12"/>
      <c r="DY1010" s="12"/>
      <c r="DZ1010" s="12"/>
      <c r="EA1010" s="12"/>
      <c r="EB1010" s="12"/>
      <c r="EC1010" s="12"/>
      <c r="ED1010" s="12"/>
      <c r="EE1010" s="12"/>
      <c r="EF1010" s="12"/>
      <c r="EG1010" s="12"/>
      <c r="EH1010" s="12"/>
      <c r="EI1010" s="12"/>
      <c r="EJ1010" s="574"/>
      <c r="EK1010" s="574"/>
      <c r="EL1010" s="574"/>
      <c r="EM1010" s="574"/>
      <c r="EN1010" s="574"/>
      <c r="EO1010" s="574"/>
      <c r="EP1010" s="574"/>
      <c r="EQ1010" s="574"/>
      <c r="ER1010" s="574"/>
      <c r="ES1010" s="574"/>
      <c r="ET1010" s="574"/>
      <c r="EU1010" s="574"/>
    </row>
    <row r="1011">
      <c r="A1011" s="12"/>
      <c r="B1011" s="55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  <c r="AB1011" s="12"/>
      <c r="AC1011" s="12"/>
      <c r="AD1011" s="12"/>
      <c r="AE1011" s="12"/>
      <c r="AF1011" s="12"/>
      <c r="AG1011" s="12"/>
      <c r="AH1011" s="12"/>
      <c r="AI1011" s="12"/>
      <c r="AJ1011" s="12"/>
      <c r="AK1011" s="12"/>
      <c r="AL1011" s="12"/>
      <c r="AM1011" s="12"/>
      <c r="AN1011" s="12"/>
      <c r="AO1011" s="12"/>
      <c r="AP1011" s="12"/>
      <c r="AQ1011" s="12"/>
      <c r="AR1011" s="12"/>
      <c r="AS1011" s="12"/>
      <c r="AT1011" s="12"/>
      <c r="AU1011" s="12"/>
      <c r="AV1011" s="12"/>
      <c r="AW1011" s="12"/>
      <c r="AX1011" s="12"/>
      <c r="AY1011" s="12"/>
      <c r="AZ1011" s="12"/>
      <c r="BA1011" s="12"/>
      <c r="BB1011" s="12"/>
      <c r="BC1011" s="12"/>
      <c r="BD1011" s="12"/>
      <c r="BE1011" s="12"/>
      <c r="BF1011" s="12"/>
      <c r="BG1011" s="12"/>
      <c r="BH1011" s="12"/>
      <c r="BI1011" s="12"/>
      <c r="BJ1011" s="12"/>
      <c r="BK1011" s="12"/>
      <c r="BL1011" s="12"/>
      <c r="BM1011" s="12"/>
      <c r="BN1011" s="12"/>
      <c r="BO1011" s="12"/>
      <c r="BP1011" s="12"/>
      <c r="BQ1011" s="12"/>
      <c r="BR1011" s="12"/>
      <c r="BS1011" s="12"/>
      <c r="BT1011" s="12"/>
      <c r="BU1011" s="12"/>
      <c r="BV1011" s="12"/>
      <c r="BW1011" s="12"/>
      <c r="BX1011" s="12"/>
      <c r="BY1011" s="12"/>
      <c r="BZ1011" s="12"/>
      <c r="CA1011" s="12"/>
      <c r="CB1011" s="12"/>
      <c r="CC1011" s="12"/>
      <c r="CD1011" s="12"/>
      <c r="CE1011" s="12"/>
      <c r="CF1011" s="12"/>
      <c r="CG1011" s="12"/>
      <c r="CH1011" s="12"/>
      <c r="CI1011" s="12"/>
      <c r="CJ1011" s="12"/>
      <c r="CK1011" s="12"/>
      <c r="CL1011" s="12"/>
      <c r="CM1011" s="12"/>
      <c r="CN1011" s="12"/>
      <c r="CO1011" s="12"/>
      <c r="CP1011" s="12"/>
      <c r="CQ1011" s="12"/>
      <c r="CR1011" s="12"/>
      <c r="CS1011" s="12"/>
      <c r="CT1011" s="12"/>
      <c r="CU1011" s="12"/>
      <c r="CV1011" s="12"/>
      <c r="CW1011" s="12"/>
      <c r="CX1011" s="12"/>
      <c r="CY1011" s="12"/>
      <c r="CZ1011" s="12"/>
      <c r="DA1011" s="12"/>
      <c r="DB1011" s="12"/>
      <c r="DC1011" s="12"/>
      <c r="DD1011" s="12"/>
      <c r="DE1011" s="12"/>
      <c r="DF1011" s="12"/>
      <c r="DG1011" s="12"/>
      <c r="DH1011" s="12"/>
      <c r="DI1011" s="12"/>
      <c r="DJ1011" s="12"/>
      <c r="DK1011" s="12"/>
      <c r="DL1011" s="12"/>
      <c r="DM1011" s="12"/>
      <c r="DN1011" s="12"/>
      <c r="DO1011" s="12"/>
      <c r="DP1011" s="12"/>
      <c r="DQ1011" s="12"/>
      <c r="DR1011" s="12"/>
      <c r="DS1011" s="12"/>
      <c r="DT1011" s="12"/>
      <c r="DU1011" s="12"/>
      <c r="DV1011" s="12"/>
      <c r="DW1011" s="12"/>
      <c r="DX1011" s="12"/>
      <c r="DY1011" s="12"/>
      <c r="DZ1011" s="12"/>
      <c r="EA1011" s="12"/>
      <c r="EB1011" s="12"/>
      <c r="EC1011" s="12"/>
      <c r="ED1011" s="12"/>
      <c r="EE1011" s="12"/>
      <c r="EF1011" s="12"/>
      <c r="EG1011" s="12"/>
      <c r="EH1011" s="12"/>
      <c r="EI1011" s="12"/>
      <c r="EJ1011" s="574"/>
      <c r="EK1011" s="574"/>
      <c r="EL1011" s="574"/>
      <c r="EM1011" s="574"/>
      <c r="EN1011" s="574"/>
      <c r="EO1011" s="574"/>
      <c r="EP1011" s="574"/>
      <c r="EQ1011" s="574"/>
      <c r="ER1011" s="574"/>
      <c r="ES1011" s="574"/>
      <c r="ET1011" s="574"/>
      <c r="EU1011" s="574"/>
    </row>
    <row r="1012">
      <c r="A1012" s="12"/>
      <c r="B1012" s="55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  <c r="AB1012" s="12"/>
      <c r="AC1012" s="12"/>
      <c r="AD1012" s="12"/>
      <c r="AE1012" s="12"/>
      <c r="AF1012" s="12"/>
      <c r="AG1012" s="12"/>
      <c r="AH1012" s="12"/>
      <c r="AI1012" s="12"/>
      <c r="AJ1012" s="12"/>
      <c r="AK1012" s="12"/>
      <c r="AL1012" s="12"/>
      <c r="AM1012" s="12"/>
      <c r="AN1012" s="12"/>
      <c r="AO1012" s="12"/>
      <c r="AP1012" s="12"/>
      <c r="AQ1012" s="12"/>
      <c r="AR1012" s="12"/>
      <c r="AS1012" s="12"/>
      <c r="AT1012" s="12"/>
      <c r="AU1012" s="12"/>
      <c r="AV1012" s="12"/>
      <c r="AW1012" s="12"/>
      <c r="AX1012" s="12"/>
      <c r="AY1012" s="12"/>
      <c r="AZ1012" s="12"/>
      <c r="BA1012" s="12"/>
      <c r="BB1012" s="12"/>
      <c r="BC1012" s="12"/>
      <c r="BD1012" s="12"/>
      <c r="BE1012" s="12"/>
      <c r="BF1012" s="12"/>
      <c r="BG1012" s="12"/>
      <c r="BH1012" s="12"/>
      <c r="BI1012" s="12"/>
      <c r="BJ1012" s="12"/>
      <c r="BK1012" s="12"/>
      <c r="BL1012" s="12"/>
      <c r="BM1012" s="12"/>
      <c r="BN1012" s="12"/>
      <c r="BO1012" s="12"/>
      <c r="BP1012" s="12"/>
      <c r="BQ1012" s="12"/>
      <c r="BR1012" s="12"/>
      <c r="BS1012" s="12"/>
      <c r="BT1012" s="12"/>
      <c r="BU1012" s="12"/>
      <c r="BV1012" s="12"/>
      <c r="BW1012" s="12"/>
      <c r="BX1012" s="12"/>
      <c r="BY1012" s="12"/>
      <c r="BZ1012" s="12"/>
      <c r="CA1012" s="12"/>
      <c r="CB1012" s="12"/>
      <c r="CC1012" s="12"/>
      <c r="CD1012" s="12"/>
      <c r="CE1012" s="12"/>
      <c r="CF1012" s="12"/>
      <c r="CG1012" s="12"/>
      <c r="CH1012" s="12"/>
      <c r="CI1012" s="12"/>
      <c r="CJ1012" s="12"/>
      <c r="CK1012" s="12"/>
      <c r="CL1012" s="12"/>
      <c r="CM1012" s="12"/>
      <c r="CN1012" s="12"/>
      <c r="CO1012" s="12"/>
      <c r="CP1012" s="12"/>
      <c r="CQ1012" s="12"/>
      <c r="CR1012" s="12"/>
      <c r="CS1012" s="12"/>
      <c r="CT1012" s="12"/>
      <c r="CU1012" s="12"/>
      <c r="CV1012" s="12"/>
      <c r="CW1012" s="12"/>
      <c r="CX1012" s="12"/>
      <c r="CY1012" s="12"/>
      <c r="CZ1012" s="12"/>
      <c r="DA1012" s="12"/>
      <c r="DB1012" s="12"/>
      <c r="DC1012" s="12"/>
      <c r="DD1012" s="12"/>
      <c r="DE1012" s="12"/>
      <c r="DF1012" s="12"/>
      <c r="DG1012" s="12"/>
      <c r="DH1012" s="12"/>
      <c r="DI1012" s="12"/>
      <c r="DJ1012" s="12"/>
      <c r="DK1012" s="12"/>
      <c r="DL1012" s="12"/>
      <c r="DM1012" s="12"/>
      <c r="DN1012" s="12"/>
      <c r="DO1012" s="12"/>
      <c r="DP1012" s="12"/>
      <c r="DQ1012" s="12"/>
      <c r="DR1012" s="12"/>
      <c r="DS1012" s="12"/>
      <c r="DT1012" s="12"/>
      <c r="DU1012" s="12"/>
      <c r="DV1012" s="12"/>
      <c r="DW1012" s="12"/>
      <c r="DX1012" s="12"/>
      <c r="DY1012" s="12"/>
      <c r="DZ1012" s="12"/>
      <c r="EA1012" s="12"/>
      <c r="EB1012" s="12"/>
      <c r="EC1012" s="12"/>
      <c r="ED1012" s="12"/>
      <c r="EE1012" s="12"/>
      <c r="EF1012" s="12"/>
      <c r="EG1012" s="12"/>
      <c r="EH1012" s="12"/>
      <c r="EI1012" s="12"/>
      <c r="EJ1012" s="574"/>
      <c r="EK1012" s="574"/>
      <c r="EL1012" s="574"/>
      <c r="EM1012" s="574"/>
      <c r="EN1012" s="574"/>
      <c r="EO1012" s="574"/>
      <c r="EP1012" s="574"/>
      <c r="EQ1012" s="574"/>
      <c r="ER1012" s="574"/>
      <c r="ES1012" s="574"/>
      <c r="ET1012" s="574"/>
      <c r="EU1012" s="574"/>
    </row>
    <row r="1013">
      <c r="A1013" s="12"/>
      <c r="B1013" s="55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  <c r="AB1013" s="12"/>
      <c r="AC1013" s="12"/>
      <c r="AD1013" s="12"/>
      <c r="AE1013" s="12"/>
      <c r="AF1013" s="12"/>
      <c r="AG1013" s="12"/>
      <c r="AH1013" s="12"/>
      <c r="AI1013" s="12"/>
      <c r="AJ1013" s="12"/>
      <c r="AK1013" s="12"/>
      <c r="AL1013" s="12"/>
      <c r="AM1013" s="12"/>
      <c r="AN1013" s="12"/>
      <c r="AO1013" s="12"/>
      <c r="AP1013" s="12"/>
      <c r="AQ1013" s="12"/>
      <c r="AR1013" s="12"/>
      <c r="AS1013" s="12"/>
      <c r="AT1013" s="12"/>
      <c r="AU1013" s="12"/>
      <c r="AV1013" s="12"/>
      <c r="AW1013" s="12"/>
      <c r="AX1013" s="12"/>
      <c r="AY1013" s="12"/>
      <c r="AZ1013" s="12"/>
      <c r="BA1013" s="12"/>
      <c r="BB1013" s="12"/>
      <c r="BC1013" s="12"/>
      <c r="BD1013" s="12"/>
      <c r="BE1013" s="12"/>
      <c r="BF1013" s="12"/>
      <c r="BG1013" s="12"/>
      <c r="BH1013" s="12"/>
      <c r="BI1013" s="12"/>
      <c r="BJ1013" s="12"/>
      <c r="BK1013" s="12"/>
      <c r="BL1013" s="12"/>
      <c r="BM1013" s="12"/>
      <c r="BN1013" s="12"/>
      <c r="BO1013" s="12"/>
      <c r="BP1013" s="12"/>
      <c r="BQ1013" s="12"/>
      <c r="BR1013" s="12"/>
      <c r="BS1013" s="12"/>
      <c r="BT1013" s="12"/>
      <c r="BU1013" s="12"/>
      <c r="BV1013" s="12"/>
      <c r="BW1013" s="12"/>
      <c r="BX1013" s="12"/>
      <c r="BY1013" s="12"/>
      <c r="BZ1013" s="12"/>
      <c r="CA1013" s="12"/>
      <c r="CB1013" s="12"/>
      <c r="CC1013" s="12"/>
      <c r="CD1013" s="12"/>
      <c r="CE1013" s="12"/>
      <c r="CF1013" s="12"/>
      <c r="CG1013" s="12"/>
      <c r="CH1013" s="12"/>
      <c r="CI1013" s="12"/>
      <c r="CJ1013" s="12"/>
      <c r="CK1013" s="12"/>
      <c r="CL1013" s="12"/>
      <c r="CM1013" s="12"/>
      <c r="CN1013" s="12"/>
      <c r="CO1013" s="12"/>
      <c r="CP1013" s="12"/>
      <c r="CQ1013" s="12"/>
      <c r="CR1013" s="12"/>
      <c r="CS1013" s="12"/>
      <c r="CT1013" s="12"/>
      <c r="CU1013" s="12"/>
      <c r="CV1013" s="12"/>
      <c r="CW1013" s="12"/>
      <c r="CX1013" s="12"/>
      <c r="CY1013" s="12"/>
      <c r="CZ1013" s="12"/>
      <c r="DA1013" s="12"/>
      <c r="DB1013" s="12"/>
      <c r="DC1013" s="12"/>
      <c r="DD1013" s="12"/>
      <c r="DE1013" s="12"/>
      <c r="DF1013" s="12"/>
      <c r="DG1013" s="12"/>
      <c r="DH1013" s="12"/>
      <c r="DI1013" s="12"/>
      <c r="DJ1013" s="12"/>
      <c r="DK1013" s="12"/>
      <c r="DL1013" s="12"/>
      <c r="DM1013" s="12"/>
      <c r="DN1013" s="12"/>
      <c r="DO1013" s="12"/>
      <c r="DP1013" s="12"/>
      <c r="DQ1013" s="12"/>
      <c r="DR1013" s="12"/>
      <c r="DS1013" s="12"/>
      <c r="DT1013" s="12"/>
      <c r="DU1013" s="12"/>
      <c r="DV1013" s="12"/>
      <c r="DW1013" s="12"/>
      <c r="DX1013" s="12"/>
      <c r="DY1013" s="12"/>
      <c r="DZ1013" s="12"/>
      <c r="EA1013" s="12"/>
      <c r="EB1013" s="12"/>
      <c r="EC1013" s="12"/>
      <c r="ED1013" s="12"/>
      <c r="EE1013" s="12"/>
      <c r="EF1013" s="12"/>
      <c r="EG1013" s="12"/>
      <c r="EH1013" s="12"/>
      <c r="EI1013" s="12"/>
      <c r="EJ1013" s="574"/>
      <c r="EK1013" s="574"/>
      <c r="EL1013" s="574"/>
      <c r="EM1013" s="574"/>
      <c r="EN1013" s="574"/>
      <c r="EO1013" s="574"/>
      <c r="EP1013" s="574"/>
      <c r="EQ1013" s="574"/>
      <c r="ER1013" s="574"/>
      <c r="ES1013" s="574"/>
      <c r="ET1013" s="574"/>
      <c r="EU1013" s="574"/>
    </row>
    <row r="1014">
      <c r="A1014" s="12"/>
      <c r="B1014" s="55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  <c r="AB1014" s="12"/>
      <c r="AC1014" s="12"/>
      <c r="AD1014" s="12"/>
      <c r="AE1014" s="12"/>
      <c r="AF1014" s="12"/>
      <c r="AG1014" s="12"/>
      <c r="AH1014" s="12"/>
      <c r="AI1014" s="12"/>
      <c r="AJ1014" s="12"/>
      <c r="AK1014" s="12"/>
      <c r="AL1014" s="12"/>
      <c r="AM1014" s="12"/>
      <c r="AN1014" s="12"/>
      <c r="AO1014" s="12"/>
      <c r="AP1014" s="12"/>
      <c r="AQ1014" s="12"/>
      <c r="AR1014" s="12"/>
      <c r="AS1014" s="12"/>
      <c r="AT1014" s="12"/>
      <c r="AU1014" s="12"/>
      <c r="AV1014" s="12"/>
      <c r="AW1014" s="12"/>
      <c r="AX1014" s="12"/>
      <c r="AY1014" s="12"/>
      <c r="AZ1014" s="12"/>
      <c r="BA1014" s="12"/>
      <c r="BB1014" s="12"/>
      <c r="BC1014" s="12"/>
      <c r="BD1014" s="12"/>
      <c r="BE1014" s="12"/>
      <c r="BF1014" s="12"/>
      <c r="BG1014" s="12"/>
      <c r="BH1014" s="12"/>
      <c r="BI1014" s="12"/>
      <c r="BJ1014" s="12"/>
      <c r="BK1014" s="12"/>
      <c r="BL1014" s="12"/>
      <c r="BM1014" s="12"/>
      <c r="BN1014" s="12"/>
      <c r="BO1014" s="12"/>
      <c r="BP1014" s="12"/>
      <c r="BQ1014" s="12"/>
      <c r="BR1014" s="12"/>
      <c r="BS1014" s="12"/>
      <c r="BT1014" s="12"/>
      <c r="BU1014" s="12"/>
      <c r="BV1014" s="12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574"/>
      <c r="EK1014" s="574"/>
      <c r="EL1014" s="574"/>
      <c r="EM1014" s="574"/>
      <c r="EN1014" s="574"/>
      <c r="EO1014" s="574"/>
      <c r="EP1014" s="574"/>
      <c r="EQ1014" s="574"/>
      <c r="ER1014" s="574"/>
      <c r="ES1014" s="574"/>
      <c r="ET1014" s="574"/>
      <c r="EU1014" s="574"/>
    </row>
    <row r="1015">
      <c r="A1015" s="12"/>
      <c r="B1015" s="55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  <c r="AB1015" s="12"/>
      <c r="AC1015" s="12"/>
      <c r="AD1015" s="12"/>
      <c r="AE1015" s="12"/>
      <c r="AF1015" s="12"/>
      <c r="AG1015" s="12"/>
      <c r="AH1015" s="12"/>
      <c r="AI1015" s="12"/>
      <c r="AJ1015" s="12"/>
      <c r="AK1015" s="12"/>
      <c r="AL1015" s="12"/>
      <c r="AM1015" s="12"/>
      <c r="AN1015" s="12"/>
      <c r="AO1015" s="12"/>
      <c r="AP1015" s="12"/>
      <c r="AQ1015" s="12"/>
      <c r="AR1015" s="12"/>
      <c r="AS1015" s="12"/>
      <c r="AT1015" s="12"/>
      <c r="AU1015" s="12"/>
      <c r="AV1015" s="12"/>
      <c r="AW1015" s="12"/>
      <c r="AX1015" s="12"/>
      <c r="AY1015" s="12"/>
      <c r="AZ1015" s="12"/>
      <c r="BA1015" s="12"/>
      <c r="BB1015" s="12"/>
      <c r="BC1015" s="12"/>
      <c r="BD1015" s="12"/>
      <c r="BE1015" s="12"/>
      <c r="BF1015" s="12"/>
      <c r="BG1015" s="12"/>
      <c r="BH1015" s="12"/>
      <c r="BI1015" s="12"/>
      <c r="BJ1015" s="12"/>
      <c r="BK1015" s="12"/>
      <c r="BL1015" s="12"/>
      <c r="BM1015" s="12"/>
      <c r="BN1015" s="12"/>
      <c r="BO1015" s="12"/>
      <c r="BP1015" s="12"/>
      <c r="BQ1015" s="12"/>
      <c r="BR1015" s="12"/>
      <c r="BS1015" s="12"/>
      <c r="BT1015" s="12"/>
      <c r="BU1015" s="12"/>
      <c r="BV1015" s="12"/>
      <c r="BW1015" s="12"/>
      <c r="BX1015" s="12"/>
      <c r="BY1015" s="12"/>
      <c r="BZ1015" s="12"/>
      <c r="CA1015" s="12"/>
      <c r="CB1015" s="12"/>
      <c r="CC1015" s="12"/>
      <c r="CD1015" s="12"/>
      <c r="CE1015" s="12"/>
      <c r="CF1015" s="12"/>
      <c r="CG1015" s="12"/>
      <c r="CH1015" s="12"/>
      <c r="CI1015" s="12"/>
      <c r="CJ1015" s="12"/>
      <c r="CK1015" s="12"/>
      <c r="CL1015" s="12"/>
      <c r="CM1015" s="12"/>
      <c r="CN1015" s="12"/>
      <c r="CO1015" s="12"/>
      <c r="CP1015" s="12"/>
      <c r="CQ1015" s="12"/>
      <c r="CR1015" s="12"/>
      <c r="CS1015" s="12"/>
      <c r="CT1015" s="12"/>
      <c r="CU1015" s="12"/>
      <c r="CV1015" s="12"/>
      <c r="CW1015" s="12"/>
      <c r="CX1015" s="12"/>
      <c r="CY1015" s="12"/>
      <c r="CZ1015" s="12"/>
      <c r="DA1015" s="12"/>
      <c r="DB1015" s="12"/>
      <c r="DC1015" s="12"/>
      <c r="DD1015" s="12"/>
      <c r="DE1015" s="12"/>
      <c r="DF1015" s="12"/>
      <c r="DG1015" s="12"/>
      <c r="DH1015" s="12"/>
      <c r="DI1015" s="12"/>
      <c r="DJ1015" s="12"/>
      <c r="DK1015" s="12"/>
      <c r="DL1015" s="12"/>
      <c r="DM1015" s="12"/>
      <c r="DN1015" s="12"/>
      <c r="DO1015" s="12"/>
      <c r="DP1015" s="12"/>
      <c r="DQ1015" s="12"/>
      <c r="DR1015" s="12"/>
      <c r="DS1015" s="12"/>
      <c r="DT1015" s="12"/>
      <c r="DU1015" s="12"/>
      <c r="DV1015" s="12"/>
      <c r="DW1015" s="12"/>
      <c r="DX1015" s="12"/>
      <c r="DY1015" s="12"/>
      <c r="DZ1015" s="12"/>
      <c r="EA1015" s="12"/>
      <c r="EB1015" s="12"/>
      <c r="EC1015" s="12"/>
      <c r="ED1015" s="12"/>
      <c r="EE1015" s="12"/>
      <c r="EF1015" s="12"/>
      <c r="EG1015" s="12"/>
      <c r="EH1015" s="12"/>
      <c r="EI1015" s="12"/>
      <c r="EJ1015" s="574"/>
      <c r="EK1015" s="574"/>
      <c r="EL1015" s="574"/>
      <c r="EM1015" s="574"/>
      <c r="EN1015" s="574"/>
      <c r="EO1015" s="574"/>
      <c r="EP1015" s="574"/>
      <c r="EQ1015" s="574"/>
      <c r="ER1015" s="574"/>
      <c r="ES1015" s="574"/>
      <c r="ET1015" s="574"/>
      <c r="EU1015" s="574"/>
    </row>
    <row r="1016">
      <c r="A1016" s="12"/>
      <c r="B1016" s="55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  <c r="AB1016" s="12"/>
      <c r="AC1016" s="12"/>
      <c r="AD1016" s="12"/>
      <c r="AE1016" s="12"/>
      <c r="AF1016" s="12"/>
      <c r="AG1016" s="12"/>
      <c r="AH1016" s="12"/>
      <c r="AI1016" s="12"/>
      <c r="AJ1016" s="12"/>
      <c r="AK1016" s="12"/>
      <c r="AL1016" s="12"/>
      <c r="AM1016" s="12"/>
      <c r="AN1016" s="12"/>
      <c r="AO1016" s="12"/>
      <c r="AP1016" s="12"/>
      <c r="AQ1016" s="12"/>
      <c r="AR1016" s="12"/>
      <c r="AS1016" s="12"/>
      <c r="AT1016" s="12"/>
      <c r="AU1016" s="12"/>
      <c r="AV1016" s="12"/>
      <c r="AW1016" s="12"/>
      <c r="AX1016" s="12"/>
      <c r="AY1016" s="12"/>
      <c r="AZ1016" s="12"/>
      <c r="BA1016" s="12"/>
      <c r="BB1016" s="12"/>
      <c r="BC1016" s="12"/>
      <c r="BD1016" s="12"/>
      <c r="BE1016" s="12"/>
      <c r="BF1016" s="12"/>
      <c r="BG1016" s="12"/>
      <c r="BH1016" s="12"/>
      <c r="BI1016" s="12"/>
      <c r="BJ1016" s="12"/>
      <c r="BK1016" s="12"/>
      <c r="BL1016" s="12"/>
      <c r="BM1016" s="12"/>
      <c r="BN1016" s="12"/>
      <c r="BO1016" s="12"/>
      <c r="BP1016" s="12"/>
      <c r="BQ1016" s="12"/>
      <c r="BR1016" s="12"/>
      <c r="BS1016" s="12"/>
      <c r="BT1016" s="12"/>
      <c r="BU1016" s="12"/>
      <c r="BV1016" s="12"/>
      <c r="BW1016" s="12"/>
      <c r="BX1016" s="12"/>
      <c r="BY1016" s="12"/>
      <c r="BZ1016" s="12"/>
      <c r="CA1016" s="12"/>
      <c r="CB1016" s="12"/>
      <c r="CC1016" s="12"/>
      <c r="CD1016" s="12"/>
      <c r="CE1016" s="12"/>
      <c r="CF1016" s="12"/>
      <c r="CG1016" s="12"/>
      <c r="CH1016" s="12"/>
      <c r="CI1016" s="12"/>
      <c r="CJ1016" s="12"/>
      <c r="CK1016" s="12"/>
      <c r="CL1016" s="12"/>
      <c r="CM1016" s="12"/>
      <c r="CN1016" s="12"/>
      <c r="CO1016" s="12"/>
      <c r="CP1016" s="12"/>
      <c r="CQ1016" s="12"/>
      <c r="CR1016" s="12"/>
      <c r="CS1016" s="12"/>
      <c r="CT1016" s="12"/>
      <c r="CU1016" s="12"/>
      <c r="CV1016" s="12"/>
      <c r="CW1016" s="12"/>
      <c r="CX1016" s="12"/>
      <c r="CY1016" s="12"/>
      <c r="CZ1016" s="12"/>
      <c r="DA1016" s="12"/>
      <c r="DB1016" s="12"/>
      <c r="DC1016" s="12"/>
      <c r="DD1016" s="12"/>
      <c r="DE1016" s="12"/>
      <c r="DF1016" s="12"/>
      <c r="DG1016" s="12"/>
      <c r="DH1016" s="12"/>
      <c r="DI1016" s="12"/>
      <c r="DJ1016" s="12"/>
      <c r="DK1016" s="12"/>
      <c r="DL1016" s="12"/>
      <c r="DM1016" s="12"/>
      <c r="DN1016" s="12"/>
      <c r="DO1016" s="12"/>
      <c r="DP1016" s="12"/>
      <c r="DQ1016" s="12"/>
      <c r="DR1016" s="12"/>
      <c r="DS1016" s="12"/>
      <c r="DT1016" s="12"/>
      <c r="DU1016" s="12"/>
      <c r="DV1016" s="12"/>
      <c r="DW1016" s="12"/>
      <c r="DX1016" s="12"/>
      <c r="DY1016" s="12"/>
      <c r="DZ1016" s="12"/>
      <c r="EA1016" s="12"/>
      <c r="EB1016" s="12"/>
      <c r="EC1016" s="12"/>
      <c r="ED1016" s="12"/>
      <c r="EE1016" s="12"/>
      <c r="EF1016" s="12"/>
      <c r="EG1016" s="12"/>
      <c r="EH1016" s="12"/>
      <c r="EI1016" s="12"/>
      <c r="EJ1016" s="574"/>
      <c r="EK1016" s="574"/>
      <c r="EL1016" s="574"/>
      <c r="EM1016" s="574"/>
      <c r="EN1016" s="574"/>
      <c r="EO1016" s="574"/>
      <c r="EP1016" s="574"/>
      <c r="EQ1016" s="574"/>
      <c r="ER1016" s="574"/>
      <c r="ES1016" s="574"/>
      <c r="ET1016" s="574"/>
      <c r="EU1016" s="574"/>
    </row>
    <row r="1017">
      <c r="A1017" s="12"/>
      <c r="B1017" s="55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  <c r="AB1017" s="12"/>
      <c r="AC1017" s="12"/>
      <c r="AD1017" s="12"/>
      <c r="AE1017" s="12"/>
      <c r="AF1017" s="12"/>
      <c r="AG1017" s="12"/>
      <c r="AH1017" s="12"/>
      <c r="AI1017" s="12"/>
      <c r="AJ1017" s="12"/>
      <c r="AK1017" s="12"/>
      <c r="AL1017" s="12"/>
      <c r="AM1017" s="12"/>
      <c r="AN1017" s="12"/>
      <c r="AO1017" s="12"/>
      <c r="AP1017" s="12"/>
      <c r="AQ1017" s="12"/>
      <c r="AR1017" s="12"/>
      <c r="AS1017" s="12"/>
      <c r="AT1017" s="12"/>
      <c r="AU1017" s="12"/>
      <c r="AV1017" s="12"/>
      <c r="AW1017" s="12"/>
      <c r="AX1017" s="12"/>
      <c r="AY1017" s="12"/>
      <c r="AZ1017" s="12"/>
      <c r="BA1017" s="12"/>
      <c r="BB1017" s="12"/>
      <c r="BC1017" s="12"/>
      <c r="BD1017" s="12"/>
      <c r="BE1017" s="12"/>
      <c r="BF1017" s="12"/>
      <c r="BG1017" s="12"/>
      <c r="BH1017" s="12"/>
      <c r="BI1017" s="12"/>
      <c r="BJ1017" s="12"/>
      <c r="BK1017" s="12"/>
      <c r="BL1017" s="12"/>
      <c r="BM1017" s="12"/>
      <c r="BN1017" s="12"/>
      <c r="BO1017" s="12"/>
      <c r="BP1017" s="12"/>
      <c r="BQ1017" s="12"/>
      <c r="BR1017" s="12"/>
      <c r="BS1017" s="12"/>
      <c r="BT1017" s="12"/>
      <c r="BU1017" s="12"/>
      <c r="BV1017" s="12"/>
      <c r="BW1017" s="12"/>
      <c r="BX1017" s="12"/>
      <c r="BY1017" s="12"/>
      <c r="BZ1017" s="12"/>
      <c r="CA1017" s="12"/>
      <c r="CB1017" s="12"/>
      <c r="CC1017" s="12"/>
      <c r="CD1017" s="12"/>
      <c r="CE1017" s="12"/>
      <c r="CF1017" s="12"/>
      <c r="CG1017" s="12"/>
      <c r="CH1017" s="12"/>
      <c r="CI1017" s="12"/>
      <c r="CJ1017" s="12"/>
      <c r="CK1017" s="12"/>
      <c r="CL1017" s="12"/>
      <c r="CM1017" s="12"/>
      <c r="CN1017" s="12"/>
      <c r="CO1017" s="12"/>
      <c r="CP1017" s="12"/>
      <c r="CQ1017" s="12"/>
      <c r="CR1017" s="12"/>
      <c r="CS1017" s="12"/>
      <c r="CT1017" s="12"/>
      <c r="CU1017" s="12"/>
      <c r="CV1017" s="12"/>
      <c r="CW1017" s="12"/>
      <c r="CX1017" s="12"/>
      <c r="CY1017" s="12"/>
      <c r="CZ1017" s="12"/>
      <c r="DA1017" s="12"/>
      <c r="DB1017" s="12"/>
      <c r="DC1017" s="12"/>
      <c r="DD1017" s="12"/>
      <c r="DE1017" s="12"/>
      <c r="DF1017" s="12"/>
      <c r="DG1017" s="12"/>
      <c r="DH1017" s="12"/>
      <c r="DI1017" s="12"/>
      <c r="DJ1017" s="12"/>
      <c r="DK1017" s="12"/>
      <c r="DL1017" s="12"/>
      <c r="DM1017" s="12"/>
      <c r="DN1017" s="12"/>
      <c r="DO1017" s="12"/>
      <c r="DP1017" s="12"/>
      <c r="DQ1017" s="12"/>
      <c r="DR1017" s="12"/>
      <c r="DS1017" s="12"/>
      <c r="DT1017" s="12"/>
      <c r="DU1017" s="12"/>
      <c r="DV1017" s="12"/>
      <c r="DW1017" s="12"/>
      <c r="DX1017" s="12"/>
      <c r="DY1017" s="12"/>
      <c r="DZ1017" s="12"/>
      <c r="EA1017" s="12"/>
      <c r="EB1017" s="12"/>
      <c r="EC1017" s="12"/>
      <c r="ED1017" s="12"/>
      <c r="EE1017" s="12"/>
      <c r="EF1017" s="12"/>
      <c r="EG1017" s="12"/>
      <c r="EH1017" s="12"/>
      <c r="EI1017" s="12"/>
      <c r="EJ1017" s="574"/>
      <c r="EK1017" s="574"/>
      <c r="EL1017" s="574"/>
      <c r="EM1017" s="574"/>
      <c r="EN1017" s="574"/>
      <c r="EO1017" s="574"/>
      <c r="EP1017" s="574"/>
      <c r="EQ1017" s="574"/>
      <c r="ER1017" s="574"/>
      <c r="ES1017" s="574"/>
      <c r="ET1017" s="574"/>
      <c r="EU1017" s="574"/>
    </row>
    <row r="1018">
      <c r="A1018" s="12"/>
      <c r="B1018" s="55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  <c r="AB1018" s="12"/>
      <c r="AC1018" s="12"/>
      <c r="AD1018" s="12"/>
      <c r="AE1018" s="12"/>
      <c r="AF1018" s="12"/>
      <c r="AG1018" s="12"/>
      <c r="AH1018" s="12"/>
      <c r="AI1018" s="12"/>
      <c r="AJ1018" s="12"/>
      <c r="AK1018" s="12"/>
      <c r="AL1018" s="12"/>
      <c r="AM1018" s="12"/>
      <c r="AN1018" s="12"/>
      <c r="AO1018" s="12"/>
      <c r="AP1018" s="12"/>
      <c r="AQ1018" s="12"/>
      <c r="AR1018" s="12"/>
      <c r="AS1018" s="12"/>
      <c r="AT1018" s="12"/>
      <c r="AU1018" s="12"/>
      <c r="AV1018" s="12"/>
      <c r="AW1018" s="12"/>
      <c r="AX1018" s="12"/>
      <c r="AY1018" s="12"/>
      <c r="AZ1018" s="12"/>
      <c r="BA1018" s="12"/>
      <c r="BB1018" s="12"/>
      <c r="BC1018" s="12"/>
      <c r="BD1018" s="12"/>
      <c r="BE1018" s="12"/>
      <c r="BF1018" s="12"/>
      <c r="BG1018" s="12"/>
      <c r="BH1018" s="12"/>
      <c r="BI1018" s="12"/>
      <c r="BJ1018" s="12"/>
      <c r="BK1018" s="12"/>
      <c r="BL1018" s="12"/>
      <c r="BM1018" s="12"/>
      <c r="BN1018" s="12"/>
      <c r="BO1018" s="12"/>
      <c r="BP1018" s="12"/>
      <c r="BQ1018" s="12"/>
      <c r="BR1018" s="12"/>
      <c r="BS1018" s="12"/>
      <c r="BT1018" s="12"/>
      <c r="BU1018" s="12"/>
      <c r="BV1018" s="12"/>
      <c r="BW1018" s="12"/>
      <c r="BX1018" s="12"/>
      <c r="BY1018" s="12"/>
      <c r="BZ1018" s="12"/>
      <c r="CA1018" s="12"/>
      <c r="CB1018" s="12"/>
      <c r="CC1018" s="12"/>
      <c r="CD1018" s="12"/>
      <c r="CE1018" s="12"/>
      <c r="CF1018" s="12"/>
      <c r="CG1018" s="12"/>
      <c r="CH1018" s="12"/>
      <c r="CI1018" s="12"/>
      <c r="CJ1018" s="12"/>
      <c r="CK1018" s="12"/>
      <c r="CL1018" s="12"/>
      <c r="CM1018" s="12"/>
      <c r="CN1018" s="12"/>
      <c r="CO1018" s="12"/>
      <c r="CP1018" s="12"/>
      <c r="CQ1018" s="12"/>
      <c r="CR1018" s="12"/>
      <c r="CS1018" s="12"/>
      <c r="CT1018" s="12"/>
      <c r="CU1018" s="12"/>
      <c r="CV1018" s="12"/>
      <c r="CW1018" s="12"/>
      <c r="CX1018" s="12"/>
      <c r="CY1018" s="12"/>
      <c r="CZ1018" s="12"/>
      <c r="DA1018" s="12"/>
      <c r="DB1018" s="12"/>
      <c r="DC1018" s="12"/>
      <c r="DD1018" s="12"/>
      <c r="DE1018" s="12"/>
      <c r="DF1018" s="12"/>
      <c r="DG1018" s="12"/>
      <c r="DH1018" s="12"/>
      <c r="DI1018" s="12"/>
      <c r="DJ1018" s="12"/>
      <c r="DK1018" s="12"/>
      <c r="DL1018" s="12"/>
      <c r="DM1018" s="12"/>
      <c r="DN1018" s="12"/>
      <c r="DO1018" s="12"/>
      <c r="DP1018" s="12"/>
      <c r="DQ1018" s="12"/>
      <c r="DR1018" s="12"/>
      <c r="DS1018" s="12"/>
      <c r="DT1018" s="12"/>
      <c r="DU1018" s="12"/>
      <c r="DV1018" s="12"/>
      <c r="DW1018" s="12"/>
      <c r="DX1018" s="12"/>
      <c r="DY1018" s="12"/>
      <c r="DZ1018" s="12"/>
      <c r="EA1018" s="12"/>
      <c r="EB1018" s="12"/>
      <c r="EC1018" s="12"/>
      <c r="ED1018" s="12"/>
      <c r="EE1018" s="12"/>
      <c r="EF1018" s="12"/>
      <c r="EG1018" s="12"/>
      <c r="EH1018" s="12"/>
      <c r="EI1018" s="12"/>
      <c r="EJ1018" s="574"/>
      <c r="EK1018" s="574"/>
      <c r="EL1018" s="574"/>
      <c r="EM1018" s="574"/>
      <c r="EN1018" s="574"/>
      <c r="EO1018" s="574"/>
      <c r="EP1018" s="574"/>
      <c r="EQ1018" s="574"/>
      <c r="ER1018" s="574"/>
      <c r="ES1018" s="574"/>
      <c r="ET1018" s="574"/>
      <c r="EU1018" s="574"/>
    </row>
    <row r="1019">
      <c r="A1019" s="12"/>
      <c r="B1019" s="55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  <c r="AB1019" s="12"/>
      <c r="AC1019" s="12"/>
      <c r="AD1019" s="12"/>
      <c r="AE1019" s="12"/>
      <c r="AF1019" s="12"/>
      <c r="AG1019" s="12"/>
      <c r="AH1019" s="12"/>
      <c r="AI1019" s="12"/>
      <c r="AJ1019" s="12"/>
      <c r="AK1019" s="12"/>
      <c r="AL1019" s="12"/>
      <c r="AM1019" s="12"/>
      <c r="AN1019" s="12"/>
      <c r="AO1019" s="12"/>
      <c r="AP1019" s="12"/>
      <c r="AQ1019" s="12"/>
      <c r="AR1019" s="12"/>
      <c r="AS1019" s="12"/>
      <c r="AT1019" s="12"/>
      <c r="AU1019" s="12"/>
      <c r="AV1019" s="12"/>
      <c r="AW1019" s="12"/>
      <c r="AX1019" s="12"/>
      <c r="AY1019" s="12"/>
      <c r="AZ1019" s="12"/>
      <c r="BA1019" s="12"/>
      <c r="BB1019" s="12"/>
      <c r="BC1019" s="12"/>
      <c r="BD1019" s="12"/>
      <c r="BE1019" s="12"/>
      <c r="BF1019" s="12"/>
      <c r="BG1019" s="12"/>
      <c r="BH1019" s="12"/>
      <c r="BI1019" s="12"/>
      <c r="BJ1019" s="12"/>
      <c r="BK1019" s="12"/>
      <c r="BL1019" s="12"/>
      <c r="BM1019" s="12"/>
      <c r="BN1019" s="12"/>
      <c r="BO1019" s="12"/>
      <c r="BP1019" s="12"/>
      <c r="BQ1019" s="12"/>
      <c r="BR1019" s="12"/>
      <c r="BS1019" s="12"/>
      <c r="BT1019" s="12"/>
      <c r="BU1019" s="12"/>
      <c r="BV1019" s="12"/>
      <c r="BW1019" s="12"/>
      <c r="BX1019" s="12"/>
      <c r="BY1019" s="12"/>
      <c r="BZ1019" s="12"/>
      <c r="CA1019" s="12"/>
      <c r="CB1019" s="12"/>
      <c r="CC1019" s="12"/>
      <c r="CD1019" s="12"/>
      <c r="CE1019" s="12"/>
      <c r="CF1019" s="12"/>
      <c r="CG1019" s="12"/>
      <c r="CH1019" s="12"/>
      <c r="CI1019" s="12"/>
      <c r="CJ1019" s="12"/>
      <c r="CK1019" s="12"/>
      <c r="CL1019" s="12"/>
      <c r="CM1019" s="12"/>
      <c r="CN1019" s="12"/>
      <c r="CO1019" s="12"/>
      <c r="CP1019" s="12"/>
      <c r="CQ1019" s="12"/>
      <c r="CR1019" s="12"/>
      <c r="CS1019" s="12"/>
      <c r="CT1019" s="12"/>
      <c r="CU1019" s="12"/>
      <c r="CV1019" s="12"/>
      <c r="CW1019" s="12"/>
      <c r="CX1019" s="12"/>
      <c r="CY1019" s="12"/>
      <c r="CZ1019" s="12"/>
      <c r="DA1019" s="12"/>
      <c r="DB1019" s="12"/>
      <c r="DC1019" s="12"/>
      <c r="DD1019" s="12"/>
      <c r="DE1019" s="12"/>
      <c r="DF1019" s="12"/>
      <c r="DG1019" s="12"/>
      <c r="DH1019" s="12"/>
      <c r="DI1019" s="12"/>
      <c r="DJ1019" s="12"/>
      <c r="DK1019" s="12"/>
      <c r="DL1019" s="12"/>
      <c r="DM1019" s="12"/>
      <c r="DN1019" s="12"/>
      <c r="DO1019" s="12"/>
      <c r="DP1019" s="12"/>
      <c r="DQ1019" s="12"/>
      <c r="DR1019" s="12"/>
      <c r="DS1019" s="12"/>
      <c r="DT1019" s="12"/>
      <c r="DU1019" s="12"/>
      <c r="DV1019" s="12"/>
      <c r="DW1019" s="12"/>
      <c r="DX1019" s="12"/>
      <c r="DY1019" s="12"/>
      <c r="DZ1019" s="12"/>
      <c r="EA1019" s="12"/>
      <c r="EB1019" s="12"/>
      <c r="EC1019" s="12"/>
      <c r="ED1019" s="12"/>
      <c r="EE1019" s="12"/>
      <c r="EF1019" s="12"/>
      <c r="EG1019" s="12"/>
      <c r="EH1019" s="12"/>
      <c r="EI1019" s="12"/>
      <c r="EJ1019" s="574"/>
      <c r="EK1019" s="574"/>
      <c r="EL1019" s="574"/>
      <c r="EM1019" s="574"/>
      <c r="EN1019" s="574"/>
      <c r="EO1019" s="574"/>
      <c r="EP1019" s="574"/>
      <c r="EQ1019" s="574"/>
      <c r="ER1019" s="574"/>
      <c r="ES1019" s="574"/>
      <c r="ET1019" s="574"/>
      <c r="EU1019" s="574"/>
    </row>
    <row r="1020">
      <c r="A1020" s="12"/>
      <c r="B1020" s="55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  <c r="AB1020" s="12"/>
      <c r="AC1020" s="12"/>
      <c r="AD1020" s="12"/>
      <c r="AE1020" s="12"/>
      <c r="AF1020" s="12"/>
      <c r="AG1020" s="12"/>
      <c r="AH1020" s="12"/>
      <c r="AI1020" s="12"/>
      <c r="AJ1020" s="12"/>
      <c r="AK1020" s="12"/>
      <c r="AL1020" s="12"/>
      <c r="AM1020" s="12"/>
      <c r="AN1020" s="12"/>
      <c r="AO1020" s="12"/>
      <c r="AP1020" s="12"/>
      <c r="AQ1020" s="12"/>
      <c r="AR1020" s="12"/>
      <c r="AS1020" s="12"/>
      <c r="AT1020" s="12"/>
      <c r="AU1020" s="12"/>
      <c r="AV1020" s="12"/>
      <c r="AW1020" s="12"/>
      <c r="AX1020" s="12"/>
      <c r="AY1020" s="12"/>
      <c r="AZ1020" s="12"/>
      <c r="BA1020" s="12"/>
      <c r="BB1020" s="12"/>
      <c r="BC1020" s="12"/>
      <c r="BD1020" s="12"/>
      <c r="BE1020" s="12"/>
      <c r="BF1020" s="12"/>
      <c r="BG1020" s="12"/>
      <c r="BH1020" s="12"/>
      <c r="BI1020" s="12"/>
      <c r="BJ1020" s="12"/>
      <c r="BK1020" s="12"/>
      <c r="BL1020" s="12"/>
      <c r="BM1020" s="12"/>
      <c r="BN1020" s="12"/>
      <c r="BO1020" s="12"/>
      <c r="BP1020" s="12"/>
      <c r="BQ1020" s="12"/>
      <c r="BR1020" s="12"/>
      <c r="BS1020" s="12"/>
      <c r="BT1020" s="12"/>
      <c r="BU1020" s="12"/>
      <c r="BV1020" s="12"/>
      <c r="BW1020" s="12"/>
      <c r="BX1020" s="12"/>
      <c r="BY1020" s="12"/>
      <c r="BZ1020" s="12"/>
      <c r="CA1020" s="12"/>
      <c r="CB1020" s="12"/>
      <c r="CC1020" s="12"/>
      <c r="CD1020" s="12"/>
      <c r="CE1020" s="12"/>
      <c r="CF1020" s="12"/>
      <c r="CG1020" s="12"/>
      <c r="CH1020" s="12"/>
      <c r="CI1020" s="12"/>
      <c r="CJ1020" s="12"/>
      <c r="CK1020" s="12"/>
      <c r="CL1020" s="12"/>
      <c r="CM1020" s="12"/>
      <c r="CN1020" s="12"/>
      <c r="CO1020" s="12"/>
      <c r="CP1020" s="12"/>
      <c r="CQ1020" s="12"/>
      <c r="CR1020" s="12"/>
      <c r="CS1020" s="12"/>
      <c r="CT1020" s="12"/>
      <c r="CU1020" s="12"/>
      <c r="CV1020" s="12"/>
      <c r="CW1020" s="12"/>
      <c r="CX1020" s="12"/>
      <c r="CY1020" s="12"/>
      <c r="CZ1020" s="12"/>
      <c r="DA1020" s="12"/>
      <c r="DB1020" s="12"/>
      <c r="DC1020" s="12"/>
      <c r="DD1020" s="12"/>
      <c r="DE1020" s="12"/>
      <c r="DF1020" s="12"/>
      <c r="DG1020" s="12"/>
      <c r="DH1020" s="12"/>
      <c r="DI1020" s="12"/>
      <c r="DJ1020" s="12"/>
      <c r="DK1020" s="12"/>
      <c r="DL1020" s="12"/>
      <c r="DM1020" s="12"/>
      <c r="DN1020" s="12"/>
      <c r="DO1020" s="12"/>
      <c r="DP1020" s="12"/>
      <c r="DQ1020" s="12"/>
      <c r="DR1020" s="12"/>
      <c r="DS1020" s="12"/>
      <c r="DT1020" s="12"/>
      <c r="DU1020" s="12"/>
      <c r="DV1020" s="12"/>
      <c r="DW1020" s="12"/>
      <c r="DX1020" s="12"/>
      <c r="DY1020" s="12"/>
      <c r="DZ1020" s="12"/>
      <c r="EA1020" s="12"/>
      <c r="EB1020" s="12"/>
      <c r="EC1020" s="12"/>
      <c r="ED1020" s="12"/>
      <c r="EE1020" s="12"/>
      <c r="EF1020" s="12"/>
      <c r="EG1020" s="12"/>
      <c r="EH1020" s="12"/>
      <c r="EI1020" s="12"/>
      <c r="EJ1020" s="574"/>
      <c r="EK1020" s="574"/>
      <c r="EL1020" s="574"/>
      <c r="EM1020" s="574"/>
      <c r="EN1020" s="574"/>
      <c r="EO1020" s="574"/>
      <c r="EP1020" s="574"/>
      <c r="EQ1020" s="574"/>
      <c r="ER1020" s="574"/>
      <c r="ES1020" s="574"/>
      <c r="ET1020" s="574"/>
      <c r="EU1020" s="574"/>
    </row>
    <row r="1021">
      <c r="A1021" s="12"/>
      <c r="B1021" s="55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  <c r="AB1021" s="12"/>
      <c r="AC1021" s="12"/>
      <c r="AD1021" s="12"/>
      <c r="AE1021" s="12"/>
      <c r="AF1021" s="12"/>
      <c r="AG1021" s="12"/>
      <c r="AH1021" s="12"/>
      <c r="AI1021" s="12"/>
      <c r="AJ1021" s="12"/>
      <c r="AK1021" s="12"/>
      <c r="AL1021" s="12"/>
      <c r="AM1021" s="12"/>
      <c r="AN1021" s="12"/>
      <c r="AO1021" s="12"/>
      <c r="AP1021" s="12"/>
      <c r="AQ1021" s="12"/>
      <c r="AR1021" s="12"/>
      <c r="AS1021" s="12"/>
      <c r="AT1021" s="12"/>
      <c r="AU1021" s="12"/>
      <c r="AV1021" s="12"/>
      <c r="AW1021" s="12"/>
      <c r="AX1021" s="12"/>
      <c r="AY1021" s="12"/>
      <c r="AZ1021" s="12"/>
      <c r="BA1021" s="12"/>
      <c r="BB1021" s="12"/>
      <c r="BC1021" s="12"/>
      <c r="BD1021" s="12"/>
      <c r="BE1021" s="12"/>
      <c r="BF1021" s="12"/>
      <c r="BG1021" s="12"/>
      <c r="BH1021" s="12"/>
      <c r="BI1021" s="12"/>
      <c r="BJ1021" s="12"/>
      <c r="BK1021" s="12"/>
      <c r="BL1021" s="12"/>
      <c r="BM1021" s="12"/>
      <c r="BN1021" s="12"/>
      <c r="BO1021" s="12"/>
      <c r="BP1021" s="12"/>
      <c r="BQ1021" s="12"/>
      <c r="BR1021" s="12"/>
      <c r="BS1021" s="12"/>
      <c r="BT1021" s="12"/>
      <c r="BU1021" s="12"/>
      <c r="BV1021" s="12"/>
      <c r="BW1021" s="12"/>
      <c r="BX1021" s="12"/>
      <c r="BY1021" s="12"/>
      <c r="BZ1021" s="12"/>
      <c r="CA1021" s="12"/>
      <c r="CB1021" s="12"/>
      <c r="CC1021" s="12"/>
      <c r="CD1021" s="12"/>
      <c r="CE1021" s="12"/>
      <c r="CF1021" s="12"/>
      <c r="CG1021" s="12"/>
      <c r="CH1021" s="12"/>
      <c r="CI1021" s="12"/>
      <c r="CJ1021" s="12"/>
      <c r="CK1021" s="12"/>
      <c r="CL1021" s="12"/>
      <c r="CM1021" s="12"/>
      <c r="CN1021" s="12"/>
      <c r="CO1021" s="12"/>
      <c r="CP1021" s="12"/>
      <c r="CQ1021" s="12"/>
      <c r="CR1021" s="12"/>
      <c r="CS1021" s="12"/>
      <c r="CT1021" s="12"/>
      <c r="CU1021" s="12"/>
      <c r="CV1021" s="12"/>
      <c r="CW1021" s="12"/>
      <c r="CX1021" s="12"/>
      <c r="CY1021" s="12"/>
      <c r="CZ1021" s="12"/>
      <c r="DA1021" s="12"/>
      <c r="DB1021" s="12"/>
      <c r="DC1021" s="12"/>
      <c r="DD1021" s="12"/>
      <c r="DE1021" s="12"/>
      <c r="DF1021" s="12"/>
      <c r="DG1021" s="12"/>
      <c r="DH1021" s="12"/>
      <c r="DI1021" s="12"/>
      <c r="DJ1021" s="12"/>
      <c r="DK1021" s="12"/>
      <c r="DL1021" s="12"/>
      <c r="DM1021" s="12"/>
      <c r="DN1021" s="12"/>
      <c r="DO1021" s="12"/>
      <c r="DP1021" s="12"/>
      <c r="DQ1021" s="12"/>
      <c r="DR1021" s="12"/>
      <c r="DS1021" s="12"/>
      <c r="DT1021" s="12"/>
      <c r="DU1021" s="12"/>
      <c r="DV1021" s="12"/>
      <c r="DW1021" s="12"/>
      <c r="DX1021" s="12"/>
      <c r="DY1021" s="12"/>
      <c r="DZ1021" s="12"/>
      <c r="EA1021" s="12"/>
      <c r="EB1021" s="12"/>
      <c r="EC1021" s="12"/>
      <c r="ED1021" s="12"/>
      <c r="EE1021" s="12"/>
      <c r="EF1021" s="12"/>
      <c r="EG1021" s="12"/>
      <c r="EH1021" s="12"/>
      <c r="EI1021" s="12"/>
      <c r="EJ1021" s="574"/>
      <c r="EK1021" s="574"/>
      <c r="EL1021" s="574"/>
      <c r="EM1021" s="574"/>
      <c r="EN1021" s="574"/>
      <c r="EO1021" s="574"/>
      <c r="EP1021" s="574"/>
      <c r="EQ1021" s="574"/>
      <c r="ER1021" s="574"/>
      <c r="ES1021" s="574"/>
      <c r="ET1021" s="574"/>
      <c r="EU1021" s="574"/>
    </row>
    <row r="1022">
      <c r="A1022" s="12"/>
      <c r="B1022" s="55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  <c r="AB1022" s="12"/>
      <c r="AC1022" s="12"/>
      <c r="AD1022" s="12"/>
      <c r="AE1022" s="12"/>
      <c r="AF1022" s="12"/>
      <c r="AG1022" s="12"/>
      <c r="AH1022" s="12"/>
      <c r="AI1022" s="12"/>
      <c r="AJ1022" s="12"/>
      <c r="AK1022" s="12"/>
      <c r="AL1022" s="12"/>
      <c r="AM1022" s="12"/>
      <c r="AN1022" s="12"/>
      <c r="AO1022" s="12"/>
      <c r="AP1022" s="12"/>
      <c r="AQ1022" s="12"/>
      <c r="AR1022" s="12"/>
      <c r="AS1022" s="12"/>
      <c r="AT1022" s="12"/>
      <c r="AU1022" s="12"/>
      <c r="AV1022" s="12"/>
      <c r="AW1022" s="12"/>
      <c r="AX1022" s="12"/>
      <c r="AY1022" s="12"/>
      <c r="AZ1022" s="12"/>
      <c r="BA1022" s="12"/>
      <c r="BB1022" s="12"/>
      <c r="BC1022" s="12"/>
      <c r="BD1022" s="12"/>
      <c r="BE1022" s="12"/>
      <c r="BF1022" s="12"/>
      <c r="BG1022" s="12"/>
      <c r="BH1022" s="12"/>
      <c r="BI1022" s="12"/>
      <c r="BJ1022" s="12"/>
      <c r="BK1022" s="12"/>
      <c r="BL1022" s="12"/>
      <c r="BM1022" s="12"/>
      <c r="BN1022" s="12"/>
      <c r="BO1022" s="12"/>
      <c r="BP1022" s="12"/>
      <c r="BQ1022" s="12"/>
      <c r="BR1022" s="12"/>
      <c r="BS1022" s="12"/>
      <c r="BT1022" s="12"/>
      <c r="BU1022" s="12"/>
      <c r="BV1022" s="12"/>
      <c r="BW1022" s="12"/>
      <c r="BX1022" s="12"/>
      <c r="BY1022" s="12"/>
      <c r="BZ1022" s="12"/>
      <c r="CA1022" s="12"/>
      <c r="CB1022" s="12"/>
      <c r="CC1022" s="12"/>
      <c r="CD1022" s="12"/>
      <c r="CE1022" s="12"/>
      <c r="CF1022" s="12"/>
      <c r="CG1022" s="12"/>
      <c r="CH1022" s="12"/>
      <c r="CI1022" s="12"/>
      <c r="CJ1022" s="12"/>
      <c r="CK1022" s="12"/>
      <c r="CL1022" s="12"/>
      <c r="CM1022" s="12"/>
      <c r="CN1022" s="12"/>
      <c r="CO1022" s="12"/>
      <c r="CP1022" s="12"/>
      <c r="CQ1022" s="12"/>
      <c r="CR1022" s="12"/>
      <c r="CS1022" s="12"/>
      <c r="CT1022" s="12"/>
      <c r="CU1022" s="12"/>
      <c r="CV1022" s="12"/>
      <c r="CW1022" s="12"/>
      <c r="CX1022" s="12"/>
      <c r="CY1022" s="12"/>
      <c r="CZ1022" s="12"/>
      <c r="DA1022" s="12"/>
      <c r="DB1022" s="12"/>
      <c r="DC1022" s="12"/>
      <c r="DD1022" s="12"/>
      <c r="DE1022" s="12"/>
      <c r="DF1022" s="12"/>
      <c r="DG1022" s="12"/>
      <c r="DH1022" s="12"/>
      <c r="DI1022" s="12"/>
      <c r="DJ1022" s="12"/>
      <c r="DK1022" s="12"/>
      <c r="DL1022" s="12"/>
      <c r="DM1022" s="12"/>
      <c r="DN1022" s="12"/>
      <c r="DO1022" s="12"/>
      <c r="DP1022" s="12"/>
      <c r="DQ1022" s="12"/>
      <c r="DR1022" s="12"/>
      <c r="DS1022" s="12"/>
      <c r="DT1022" s="12"/>
      <c r="DU1022" s="12"/>
      <c r="DV1022" s="12"/>
      <c r="DW1022" s="12"/>
      <c r="DX1022" s="12"/>
      <c r="DY1022" s="12"/>
      <c r="DZ1022" s="12"/>
      <c r="EA1022" s="12"/>
      <c r="EB1022" s="12"/>
      <c r="EC1022" s="12"/>
      <c r="ED1022" s="12"/>
      <c r="EE1022" s="12"/>
      <c r="EF1022" s="12"/>
      <c r="EG1022" s="12"/>
      <c r="EH1022" s="12"/>
      <c r="EI1022" s="12"/>
      <c r="EJ1022" s="574"/>
      <c r="EK1022" s="574"/>
      <c r="EL1022" s="574"/>
      <c r="EM1022" s="574"/>
      <c r="EN1022" s="574"/>
      <c r="EO1022" s="574"/>
      <c r="EP1022" s="574"/>
      <c r="EQ1022" s="574"/>
      <c r="ER1022" s="574"/>
      <c r="ES1022" s="574"/>
      <c r="ET1022" s="574"/>
      <c r="EU1022" s="574"/>
    </row>
    <row r="1023">
      <c r="A1023" s="12"/>
      <c r="B1023" s="55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  <c r="AB1023" s="12"/>
      <c r="AC1023" s="12"/>
      <c r="AD1023" s="12"/>
      <c r="AE1023" s="12"/>
      <c r="AF1023" s="12"/>
      <c r="AG1023" s="12"/>
      <c r="AH1023" s="12"/>
      <c r="AI1023" s="12"/>
      <c r="AJ1023" s="12"/>
      <c r="AK1023" s="12"/>
      <c r="AL1023" s="12"/>
      <c r="AM1023" s="12"/>
      <c r="AN1023" s="12"/>
      <c r="AO1023" s="12"/>
      <c r="AP1023" s="12"/>
      <c r="AQ1023" s="12"/>
      <c r="AR1023" s="12"/>
      <c r="AS1023" s="12"/>
      <c r="AT1023" s="12"/>
      <c r="AU1023" s="12"/>
      <c r="AV1023" s="12"/>
      <c r="AW1023" s="12"/>
      <c r="AX1023" s="12"/>
      <c r="AY1023" s="12"/>
      <c r="AZ1023" s="12"/>
      <c r="BA1023" s="12"/>
      <c r="BB1023" s="12"/>
      <c r="BC1023" s="12"/>
      <c r="BD1023" s="12"/>
      <c r="BE1023" s="12"/>
      <c r="BF1023" s="12"/>
      <c r="BG1023" s="12"/>
      <c r="BH1023" s="12"/>
      <c r="BI1023" s="12"/>
      <c r="BJ1023" s="12"/>
      <c r="BK1023" s="12"/>
      <c r="BL1023" s="12"/>
      <c r="BM1023" s="12"/>
      <c r="BN1023" s="12"/>
      <c r="BO1023" s="12"/>
      <c r="BP1023" s="12"/>
      <c r="BQ1023" s="12"/>
      <c r="BR1023" s="12"/>
      <c r="BS1023" s="12"/>
      <c r="BT1023" s="12"/>
      <c r="BU1023" s="12"/>
      <c r="BV1023" s="12"/>
      <c r="BW1023" s="12"/>
      <c r="BX1023" s="12"/>
      <c r="BY1023" s="12"/>
      <c r="BZ1023" s="12"/>
      <c r="CA1023" s="12"/>
      <c r="CB1023" s="12"/>
      <c r="CC1023" s="12"/>
      <c r="CD1023" s="12"/>
      <c r="CE1023" s="12"/>
      <c r="CF1023" s="12"/>
      <c r="CG1023" s="12"/>
      <c r="CH1023" s="12"/>
      <c r="CI1023" s="12"/>
      <c r="CJ1023" s="12"/>
      <c r="CK1023" s="12"/>
      <c r="CL1023" s="12"/>
      <c r="CM1023" s="12"/>
      <c r="CN1023" s="12"/>
      <c r="CO1023" s="12"/>
      <c r="CP1023" s="12"/>
      <c r="CQ1023" s="12"/>
      <c r="CR1023" s="12"/>
      <c r="CS1023" s="12"/>
      <c r="CT1023" s="12"/>
      <c r="CU1023" s="12"/>
      <c r="CV1023" s="12"/>
      <c r="CW1023" s="12"/>
      <c r="CX1023" s="12"/>
      <c r="CY1023" s="12"/>
      <c r="CZ1023" s="12"/>
      <c r="DA1023" s="12"/>
      <c r="DB1023" s="12"/>
      <c r="DC1023" s="12"/>
      <c r="DD1023" s="12"/>
      <c r="DE1023" s="12"/>
      <c r="DF1023" s="12"/>
      <c r="DG1023" s="12"/>
      <c r="DH1023" s="12"/>
      <c r="DI1023" s="12"/>
      <c r="DJ1023" s="12"/>
      <c r="DK1023" s="12"/>
      <c r="DL1023" s="12"/>
      <c r="DM1023" s="12"/>
      <c r="DN1023" s="12"/>
      <c r="DO1023" s="12"/>
      <c r="DP1023" s="12"/>
      <c r="DQ1023" s="12"/>
      <c r="DR1023" s="12"/>
      <c r="DS1023" s="12"/>
      <c r="DT1023" s="12"/>
      <c r="DU1023" s="12"/>
      <c r="DV1023" s="12"/>
      <c r="DW1023" s="12"/>
      <c r="DX1023" s="12"/>
      <c r="DY1023" s="12"/>
      <c r="DZ1023" s="12"/>
      <c r="EA1023" s="12"/>
      <c r="EB1023" s="12"/>
      <c r="EC1023" s="12"/>
      <c r="ED1023" s="12"/>
      <c r="EE1023" s="12"/>
      <c r="EF1023" s="12"/>
      <c r="EG1023" s="12"/>
      <c r="EH1023" s="12"/>
      <c r="EI1023" s="12"/>
      <c r="EJ1023" s="574"/>
      <c r="EK1023" s="574"/>
      <c r="EL1023" s="574"/>
      <c r="EM1023" s="574"/>
      <c r="EN1023" s="574"/>
      <c r="EO1023" s="574"/>
      <c r="EP1023" s="574"/>
      <c r="EQ1023" s="574"/>
      <c r="ER1023" s="574"/>
      <c r="ES1023" s="574"/>
      <c r="ET1023" s="574"/>
      <c r="EU1023" s="574"/>
    </row>
    <row r="1024">
      <c r="A1024" s="12"/>
      <c r="B1024" s="55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  <c r="AB1024" s="12"/>
      <c r="AC1024" s="12"/>
      <c r="AD1024" s="12"/>
      <c r="AE1024" s="12"/>
      <c r="AF1024" s="12"/>
      <c r="AG1024" s="12"/>
      <c r="AH1024" s="12"/>
      <c r="AI1024" s="12"/>
      <c r="AJ1024" s="12"/>
      <c r="AK1024" s="12"/>
      <c r="AL1024" s="12"/>
      <c r="AM1024" s="12"/>
      <c r="AN1024" s="12"/>
      <c r="AO1024" s="12"/>
      <c r="AP1024" s="12"/>
      <c r="AQ1024" s="12"/>
      <c r="AR1024" s="12"/>
      <c r="AS1024" s="12"/>
      <c r="AT1024" s="12"/>
      <c r="AU1024" s="12"/>
      <c r="AV1024" s="12"/>
      <c r="AW1024" s="12"/>
      <c r="AX1024" s="12"/>
      <c r="AY1024" s="12"/>
      <c r="AZ1024" s="12"/>
      <c r="BA1024" s="12"/>
      <c r="BB1024" s="12"/>
      <c r="BC1024" s="12"/>
      <c r="BD1024" s="12"/>
      <c r="BE1024" s="12"/>
      <c r="BF1024" s="12"/>
      <c r="BG1024" s="12"/>
      <c r="BH1024" s="12"/>
      <c r="BI1024" s="12"/>
      <c r="BJ1024" s="12"/>
      <c r="BK1024" s="12"/>
      <c r="BL1024" s="12"/>
      <c r="BM1024" s="12"/>
      <c r="BN1024" s="12"/>
      <c r="BO1024" s="12"/>
      <c r="BP1024" s="12"/>
      <c r="BQ1024" s="12"/>
      <c r="BR1024" s="12"/>
      <c r="BS1024" s="12"/>
      <c r="BT1024" s="12"/>
      <c r="BU1024" s="12"/>
      <c r="BV1024" s="12"/>
      <c r="BW1024" s="12"/>
      <c r="BX1024" s="12"/>
      <c r="BY1024" s="12"/>
      <c r="BZ1024" s="12"/>
      <c r="CA1024" s="12"/>
      <c r="CB1024" s="12"/>
      <c r="CC1024" s="12"/>
      <c r="CD1024" s="12"/>
      <c r="CE1024" s="12"/>
      <c r="CF1024" s="12"/>
      <c r="CG1024" s="12"/>
      <c r="CH1024" s="12"/>
      <c r="CI1024" s="12"/>
      <c r="CJ1024" s="12"/>
      <c r="CK1024" s="12"/>
      <c r="CL1024" s="12"/>
      <c r="CM1024" s="12"/>
      <c r="CN1024" s="12"/>
      <c r="CO1024" s="12"/>
      <c r="CP1024" s="12"/>
      <c r="CQ1024" s="12"/>
      <c r="CR1024" s="12"/>
      <c r="CS1024" s="12"/>
      <c r="CT1024" s="12"/>
      <c r="CU1024" s="12"/>
      <c r="CV1024" s="12"/>
      <c r="CW1024" s="12"/>
      <c r="CX1024" s="12"/>
      <c r="CY1024" s="12"/>
      <c r="CZ1024" s="12"/>
      <c r="DA1024" s="12"/>
      <c r="DB1024" s="12"/>
      <c r="DC1024" s="12"/>
      <c r="DD1024" s="12"/>
      <c r="DE1024" s="12"/>
      <c r="DF1024" s="12"/>
      <c r="DG1024" s="12"/>
      <c r="DH1024" s="12"/>
      <c r="DI1024" s="12"/>
      <c r="DJ1024" s="12"/>
      <c r="DK1024" s="12"/>
      <c r="DL1024" s="12"/>
      <c r="DM1024" s="12"/>
      <c r="DN1024" s="12"/>
      <c r="DO1024" s="12"/>
      <c r="DP1024" s="12"/>
      <c r="DQ1024" s="12"/>
      <c r="DR1024" s="12"/>
      <c r="DS1024" s="12"/>
      <c r="DT1024" s="12"/>
      <c r="DU1024" s="12"/>
      <c r="DV1024" s="12"/>
      <c r="DW1024" s="12"/>
      <c r="DX1024" s="12"/>
      <c r="DY1024" s="12"/>
      <c r="DZ1024" s="12"/>
      <c r="EA1024" s="12"/>
      <c r="EB1024" s="12"/>
      <c r="EC1024" s="12"/>
      <c r="ED1024" s="12"/>
      <c r="EE1024" s="12"/>
      <c r="EF1024" s="12"/>
      <c r="EG1024" s="12"/>
      <c r="EH1024" s="12"/>
      <c r="EI1024" s="12"/>
      <c r="EJ1024" s="574"/>
      <c r="EK1024" s="574"/>
      <c r="EL1024" s="574"/>
      <c r="EM1024" s="574"/>
      <c r="EN1024" s="574"/>
      <c r="EO1024" s="574"/>
      <c r="EP1024" s="574"/>
      <c r="EQ1024" s="574"/>
      <c r="ER1024" s="574"/>
      <c r="ES1024" s="574"/>
      <c r="ET1024" s="574"/>
      <c r="EU1024" s="574"/>
    </row>
    <row r="1025">
      <c r="A1025" s="12"/>
      <c r="B1025" s="55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  <c r="AB1025" s="12"/>
      <c r="AC1025" s="12"/>
      <c r="AD1025" s="12"/>
      <c r="AE1025" s="12"/>
      <c r="AF1025" s="12"/>
      <c r="AG1025" s="12"/>
      <c r="AH1025" s="12"/>
      <c r="AI1025" s="12"/>
      <c r="AJ1025" s="12"/>
      <c r="AK1025" s="12"/>
      <c r="AL1025" s="12"/>
      <c r="AM1025" s="12"/>
      <c r="AN1025" s="12"/>
      <c r="AO1025" s="12"/>
      <c r="AP1025" s="12"/>
      <c r="AQ1025" s="12"/>
      <c r="AR1025" s="12"/>
      <c r="AS1025" s="12"/>
      <c r="AT1025" s="12"/>
      <c r="AU1025" s="12"/>
      <c r="AV1025" s="12"/>
      <c r="AW1025" s="12"/>
      <c r="AX1025" s="12"/>
      <c r="AY1025" s="12"/>
      <c r="AZ1025" s="12"/>
      <c r="BA1025" s="12"/>
      <c r="BB1025" s="12"/>
      <c r="BC1025" s="12"/>
      <c r="BD1025" s="12"/>
      <c r="BE1025" s="12"/>
      <c r="BF1025" s="12"/>
      <c r="BG1025" s="12"/>
      <c r="BH1025" s="12"/>
      <c r="BI1025" s="12"/>
      <c r="BJ1025" s="12"/>
      <c r="BK1025" s="12"/>
      <c r="BL1025" s="12"/>
      <c r="BM1025" s="12"/>
      <c r="BN1025" s="12"/>
      <c r="BO1025" s="12"/>
      <c r="BP1025" s="12"/>
      <c r="BQ1025" s="12"/>
      <c r="BR1025" s="12"/>
      <c r="BS1025" s="12"/>
      <c r="BT1025" s="12"/>
      <c r="BU1025" s="12"/>
      <c r="BV1025" s="12"/>
      <c r="BW1025" s="12"/>
      <c r="BX1025" s="12"/>
      <c r="BY1025" s="12"/>
      <c r="BZ1025" s="12"/>
      <c r="CA1025" s="12"/>
      <c r="CB1025" s="12"/>
      <c r="CC1025" s="12"/>
      <c r="CD1025" s="12"/>
      <c r="CE1025" s="12"/>
      <c r="CF1025" s="12"/>
      <c r="CG1025" s="12"/>
      <c r="CH1025" s="12"/>
      <c r="CI1025" s="12"/>
      <c r="CJ1025" s="12"/>
      <c r="CK1025" s="12"/>
      <c r="CL1025" s="12"/>
      <c r="CM1025" s="12"/>
      <c r="CN1025" s="12"/>
      <c r="CO1025" s="12"/>
      <c r="CP1025" s="12"/>
      <c r="CQ1025" s="12"/>
      <c r="CR1025" s="12"/>
      <c r="CS1025" s="12"/>
      <c r="CT1025" s="12"/>
      <c r="CU1025" s="12"/>
      <c r="CV1025" s="12"/>
      <c r="CW1025" s="12"/>
      <c r="CX1025" s="12"/>
      <c r="CY1025" s="12"/>
      <c r="CZ1025" s="12"/>
      <c r="DA1025" s="12"/>
      <c r="DB1025" s="12"/>
      <c r="DC1025" s="12"/>
      <c r="DD1025" s="12"/>
      <c r="DE1025" s="12"/>
      <c r="DF1025" s="12"/>
      <c r="DG1025" s="12"/>
      <c r="DH1025" s="12"/>
      <c r="DI1025" s="12"/>
      <c r="DJ1025" s="12"/>
      <c r="DK1025" s="12"/>
      <c r="DL1025" s="12"/>
      <c r="DM1025" s="12"/>
      <c r="DN1025" s="12"/>
      <c r="DO1025" s="12"/>
      <c r="DP1025" s="12"/>
      <c r="DQ1025" s="12"/>
      <c r="DR1025" s="12"/>
      <c r="DS1025" s="12"/>
      <c r="DT1025" s="12"/>
      <c r="DU1025" s="12"/>
      <c r="DV1025" s="12"/>
      <c r="DW1025" s="12"/>
      <c r="DX1025" s="12"/>
      <c r="DY1025" s="12"/>
      <c r="DZ1025" s="12"/>
      <c r="EA1025" s="12"/>
      <c r="EB1025" s="12"/>
      <c r="EC1025" s="12"/>
      <c r="ED1025" s="12"/>
      <c r="EE1025" s="12"/>
      <c r="EF1025" s="12"/>
      <c r="EG1025" s="12"/>
      <c r="EH1025" s="12"/>
      <c r="EI1025" s="12"/>
      <c r="EJ1025" s="574"/>
      <c r="EK1025" s="574"/>
      <c r="EL1025" s="574"/>
      <c r="EM1025" s="574"/>
      <c r="EN1025" s="574"/>
      <c r="EO1025" s="574"/>
      <c r="EP1025" s="574"/>
      <c r="EQ1025" s="574"/>
      <c r="ER1025" s="574"/>
      <c r="ES1025" s="574"/>
      <c r="ET1025" s="574"/>
      <c r="EU1025" s="574"/>
    </row>
    <row r="1026">
      <c r="A1026" s="12"/>
      <c r="B1026" s="55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  <c r="AB1026" s="12"/>
      <c r="AC1026" s="12"/>
      <c r="AD1026" s="12"/>
      <c r="AE1026" s="12"/>
      <c r="AF1026" s="12"/>
      <c r="AG1026" s="12"/>
      <c r="AH1026" s="12"/>
      <c r="AI1026" s="12"/>
      <c r="AJ1026" s="12"/>
      <c r="AK1026" s="12"/>
      <c r="AL1026" s="12"/>
      <c r="AM1026" s="12"/>
      <c r="AN1026" s="12"/>
      <c r="AO1026" s="12"/>
      <c r="AP1026" s="12"/>
      <c r="AQ1026" s="12"/>
      <c r="AR1026" s="12"/>
      <c r="AS1026" s="12"/>
      <c r="AT1026" s="12"/>
      <c r="AU1026" s="12"/>
      <c r="AV1026" s="12"/>
      <c r="AW1026" s="12"/>
      <c r="AX1026" s="12"/>
      <c r="AY1026" s="12"/>
      <c r="AZ1026" s="12"/>
      <c r="BA1026" s="12"/>
      <c r="BB1026" s="12"/>
      <c r="BC1026" s="12"/>
      <c r="BD1026" s="12"/>
      <c r="BE1026" s="12"/>
      <c r="BF1026" s="12"/>
      <c r="BG1026" s="12"/>
      <c r="BH1026" s="12"/>
      <c r="BI1026" s="12"/>
      <c r="BJ1026" s="12"/>
      <c r="BK1026" s="12"/>
      <c r="BL1026" s="12"/>
      <c r="BM1026" s="12"/>
      <c r="BN1026" s="12"/>
      <c r="BO1026" s="12"/>
      <c r="BP1026" s="12"/>
      <c r="BQ1026" s="12"/>
      <c r="BR1026" s="12"/>
      <c r="BS1026" s="12"/>
      <c r="BT1026" s="12"/>
      <c r="BU1026" s="12"/>
      <c r="BV1026" s="12"/>
      <c r="BW1026" s="12"/>
      <c r="BX1026" s="12"/>
      <c r="BY1026" s="12"/>
      <c r="BZ1026" s="12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574"/>
      <c r="EK1026" s="574"/>
      <c r="EL1026" s="574"/>
      <c r="EM1026" s="574"/>
      <c r="EN1026" s="574"/>
      <c r="EO1026" s="574"/>
      <c r="EP1026" s="574"/>
      <c r="EQ1026" s="574"/>
      <c r="ER1026" s="574"/>
      <c r="ES1026" s="574"/>
      <c r="ET1026" s="574"/>
      <c r="EU1026" s="574"/>
    </row>
    <row r="1027">
      <c r="A1027" s="12"/>
      <c r="B1027" s="55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  <c r="AB1027" s="12"/>
      <c r="AC1027" s="12"/>
      <c r="AD1027" s="12"/>
      <c r="AE1027" s="12"/>
      <c r="AF1027" s="12"/>
      <c r="AG1027" s="12"/>
      <c r="AH1027" s="12"/>
      <c r="AI1027" s="12"/>
      <c r="AJ1027" s="12"/>
      <c r="AK1027" s="12"/>
      <c r="AL1027" s="12"/>
      <c r="AM1027" s="12"/>
      <c r="AN1027" s="12"/>
      <c r="AO1027" s="12"/>
      <c r="AP1027" s="12"/>
      <c r="AQ1027" s="12"/>
      <c r="AR1027" s="12"/>
      <c r="AS1027" s="12"/>
      <c r="AT1027" s="12"/>
      <c r="AU1027" s="12"/>
      <c r="AV1027" s="12"/>
      <c r="AW1027" s="12"/>
      <c r="AX1027" s="12"/>
      <c r="AY1027" s="12"/>
      <c r="AZ1027" s="12"/>
      <c r="BA1027" s="12"/>
      <c r="BB1027" s="12"/>
      <c r="BC1027" s="12"/>
      <c r="BD1027" s="12"/>
      <c r="BE1027" s="12"/>
      <c r="BF1027" s="12"/>
      <c r="BG1027" s="12"/>
      <c r="BH1027" s="12"/>
      <c r="BI1027" s="12"/>
      <c r="BJ1027" s="12"/>
      <c r="BK1027" s="12"/>
      <c r="BL1027" s="12"/>
      <c r="BM1027" s="12"/>
      <c r="BN1027" s="12"/>
      <c r="BO1027" s="12"/>
      <c r="BP1027" s="12"/>
      <c r="BQ1027" s="12"/>
      <c r="BR1027" s="12"/>
      <c r="BS1027" s="12"/>
      <c r="BT1027" s="12"/>
      <c r="BU1027" s="12"/>
      <c r="BV1027" s="12"/>
      <c r="BW1027" s="12"/>
      <c r="BX1027" s="12"/>
      <c r="BY1027" s="12"/>
      <c r="BZ1027" s="12"/>
      <c r="CA1027" s="12"/>
      <c r="CB1027" s="12"/>
      <c r="CC1027" s="12"/>
      <c r="CD1027" s="12"/>
      <c r="CE1027" s="12"/>
      <c r="CF1027" s="12"/>
      <c r="CG1027" s="12"/>
      <c r="CH1027" s="12"/>
      <c r="CI1027" s="12"/>
      <c r="CJ1027" s="12"/>
      <c r="CK1027" s="12"/>
      <c r="CL1027" s="12"/>
      <c r="CM1027" s="12"/>
      <c r="CN1027" s="12"/>
      <c r="CO1027" s="12"/>
      <c r="CP1027" s="12"/>
      <c r="CQ1027" s="12"/>
      <c r="CR1027" s="12"/>
      <c r="CS1027" s="12"/>
      <c r="CT1027" s="12"/>
      <c r="CU1027" s="12"/>
      <c r="CV1027" s="12"/>
      <c r="CW1027" s="12"/>
      <c r="CX1027" s="12"/>
      <c r="CY1027" s="12"/>
      <c r="CZ1027" s="12"/>
      <c r="DA1027" s="12"/>
      <c r="DB1027" s="12"/>
      <c r="DC1027" s="12"/>
      <c r="DD1027" s="12"/>
      <c r="DE1027" s="12"/>
      <c r="DF1027" s="12"/>
      <c r="DG1027" s="12"/>
      <c r="DH1027" s="12"/>
      <c r="DI1027" s="12"/>
      <c r="DJ1027" s="12"/>
      <c r="DK1027" s="12"/>
      <c r="DL1027" s="12"/>
      <c r="DM1027" s="12"/>
      <c r="DN1027" s="12"/>
      <c r="DO1027" s="12"/>
      <c r="DP1027" s="12"/>
      <c r="DQ1027" s="12"/>
      <c r="DR1027" s="12"/>
      <c r="DS1027" s="12"/>
      <c r="DT1027" s="12"/>
      <c r="DU1027" s="12"/>
      <c r="DV1027" s="12"/>
      <c r="DW1027" s="12"/>
      <c r="DX1027" s="12"/>
      <c r="DY1027" s="12"/>
      <c r="DZ1027" s="12"/>
      <c r="EA1027" s="12"/>
      <c r="EB1027" s="12"/>
      <c r="EC1027" s="12"/>
      <c r="ED1027" s="12"/>
      <c r="EE1027" s="12"/>
      <c r="EF1027" s="12"/>
      <c r="EG1027" s="12"/>
      <c r="EH1027" s="12"/>
      <c r="EI1027" s="12"/>
      <c r="EJ1027" s="574"/>
      <c r="EK1027" s="574"/>
      <c r="EL1027" s="574"/>
      <c r="EM1027" s="574"/>
      <c r="EN1027" s="574"/>
      <c r="EO1027" s="574"/>
      <c r="EP1027" s="574"/>
      <c r="EQ1027" s="574"/>
      <c r="ER1027" s="574"/>
      <c r="ES1027" s="574"/>
      <c r="ET1027" s="574"/>
      <c r="EU1027" s="574"/>
    </row>
    <row r="1028">
      <c r="A1028" s="12"/>
      <c r="B1028" s="55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2"/>
      <c r="AB1028" s="12"/>
      <c r="AC1028" s="12"/>
      <c r="AD1028" s="12"/>
      <c r="AE1028" s="12"/>
      <c r="AF1028" s="12"/>
      <c r="AG1028" s="12"/>
      <c r="AH1028" s="12"/>
      <c r="AI1028" s="12"/>
      <c r="AJ1028" s="12"/>
      <c r="AK1028" s="12"/>
      <c r="AL1028" s="12"/>
      <c r="AM1028" s="12"/>
      <c r="AN1028" s="12"/>
      <c r="AO1028" s="12"/>
      <c r="AP1028" s="12"/>
      <c r="AQ1028" s="12"/>
      <c r="AR1028" s="12"/>
      <c r="AS1028" s="12"/>
      <c r="AT1028" s="12"/>
      <c r="AU1028" s="12"/>
      <c r="AV1028" s="12"/>
      <c r="AW1028" s="12"/>
      <c r="AX1028" s="12"/>
      <c r="AY1028" s="12"/>
      <c r="AZ1028" s="12"/>
      <c r="BA1028" s="12"/>
      <c r="BB1028" s="12"/>
      <c r="BC1028" s="12"/>
      <c r="BD1028" s="12"/>
      <c r="BE1028" s="12"/>
      <c r="BF1028" s="12"/>
      <c r="BG1028" s="12"/>
      <c r="BH1028" s="12"/>
      <c r="BI1028" s="12"/>
      <c r="BJ1028" s="12"/>
      <c r="BK1028" s="12"/>
      <c r="BL1028" s="12"/>
      <c r="BM1028" s="12"/>
      <c r="BN1028" s="12"/>
      <c r="BO1028" s="12"/>
      <c r="BP1028" s="12"/>
      <c r="BQ1028" s="12"/>
      <c r="BR1028" s="12"/>
      <c r="BS1028" s="12"/>
      <c r="BT1028" s="12"/>
      <c r="BU1028" s="12"/>
      <c r="BV1028" s="12"/>
      <c r="BW1028" s="12"/>
      <c r="BX1028" s="12"/>
      <c r="BY1028" s="12"/>
      <c r="BZ1028" s="12"/>
      <c r="CA1028" s="12"/>
      <c r="CB1028" s="12"/>
      <c r="CC1028" s="12"/>
      <c r="CD1028" s="12"/>
      <c r="CE1028" s="12"/>
      <c r="CF1028" s="12"/>
      <c r="CG1028" s="12"/>
      <c r="CH1028" s="12"/>
      <c r="CI1028" s="12"/>
      <c r="CJ1028" s="12"/>
      <c r="CK1028" s="12"/>
      <c r="CL1028" s="12"/>
      <c r="CM1028" s="12"/>
      <c r="CN1028" s="12"/>
      <c r="CO1028" s="12"/>
      <c r="CP1028" s="12"/>
      <c r="CQ1028" s="12"/>
      <c r="CR1028" s="12"/>
      <c r="CS1028" s="12"/>
      <c r="CT1028" s="12"/>
      <c r="CU1028" s="12"/>
      <c r="CV1028" s="12"/>
      <c r="CW1028" s="12"/>
      <c r="CX1028" s="12"/>
      <c r="CY1028" s="12"/>
      <c r="CZ1028" s="12"/>
      <c r="DA1028" s="12"/>
      <c r="DB1028" s="12"/>
      <c r="DC1028" s="12"/>
      <c r="DD1028" s="12"/>
      <c r="DE1028" s="12"/>
      <c r="DF1028" s="12"/>
      <c r="DG1028" s="12"/>
      <c r="DH1028" s="12"/>
      <c r="DI1028" s="12"/>
      <c r="DJ1028" s="12"/>
      <c r="DK1028" s="12"/>
      <c r="DL1028" s="12"/>
      <c r="DM1028" s="12"/>
      <c r="DN1028" s="12"/>
      <c r="DO1028" s="12"/>
      <c r="DP1028" s="12"/>
      <c r="DQ1028" s="12"/>
      <c r="DR1028" s="12"/>
      <c r="DS1028" s="12"/>
      <c r="DT1028" s="12"/>
      <c r="DU1028" s="12"/>
      <c r="DV1028" s="12"/>
      <c r="DW1028" s="12"/>
      <c r="DX1028" s="12"/>
      <c r="DY1028" s="12"/>
      <c r="DZ1028" s="12"/>
      <c r="EA1028" s="12"/>
      <c r="EB1028" s="12"/>
      <c r="EC1028" s="12"/>
      <c r="ED1028" s="12"/>
      <c r="EE1028" s="12"/>
      <c r="EF1028" s="12"/>
      <c r="EG1028" s="12"/>
      <c r="EH1028" s="12"/>
      <c r="EI1028" s="12"/>
      <c r="EJ1028" s="574"/>
      <c r="EK1028" s="574"/>
      <c r="EL1028" s="574"/>
      <c r="EM1028" s="574"/>
      <c r="EN1028" s="574"/>
      <c r="EO1028" s="574"/>
      <c r="EP1028" s="574"/>
      <c r="EQ1028" s="574"/>
      <c r="ER1028" s="574"/>
      <c r="ES1028" s="574"/>
      <c r="ET1028" s="574"/>
      <c r="EU1028" s="574"/>
    </row>
    <row r="1029">
      <c r="A1029" s="12"/>
      <c r="B1029" s="55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  <c r="AB1029" s="12"/>
      <c r="AC1029" s="12"/>
      <c r="AD1029" s="12"/>
      <c r="AE1029" s="12"/>
      <c r="AF1029" s="12"/>
      <c r="AG1029" s="12"/>
      <c r="AH1029" s="12"/>
      <c r="AI1029" s="12"/>
      <c r="AJ1029" s="12"/>
      <c r="AK1029" s="12"/>
      <c r="AL1029" s="12"/>
      <c r="AM1029" s="12"/>
      <c r="AN1029" s="12"/>
      <c r="AO1029" s="12"/>
      <c r="AP1029" s="12"/>
      <c r="AQ1029" s="12"/>
      <c r="AR1029" s="12"/>
      <c r="AS1029" s="12"/>
      <c r="AT1029" s="12"/>
      <c r="AU1029" s="12"/>
      <c r="AV1029" s="12"/>
      <c r="AW1029" s="12"/>
      <c r="AX1029" s="12"/>
      <c r="AY1029" s="12"/>
      <c r="AZ1029" s="12"/>
      <c r="BA1029" s="12"/>
      <c r="BB1029" s="12"/>
      <c r="BC1029" s="12"/>
      <c r="BD1029" s="12"/>
      <c r="BE1029" s="12"/>
      <c r="BF1029" s="12"/>
      <c r="BG1029" s="12"/>
      <c r="BH1029" s="12"/>
      <c r="BI1029" s="12"/>
      <c r="BJ1029" s="12"/>
      <c r="BK1029" s="12"/>
      <c r="BL1029" s="12"/>
      <c r="BM1029" s="12"/>
      <c r="BN1029" s="12"/>
      <c r="BO1029" s="12"/>
      <c r="BP1029" s="12"/>
      <c r="BQ1029" s="12"/>
      <c r="BR1029" s="12"/>
      <c r="BS1029" s="12"/>
      <c r="BT1029" s="12"/>
      <c r="BU1029" s="12"/>
      <c r="BV1029" s="12"/>
      <c r="BW1029" s="12"/>
      <c r="BX1029" s="12"/>
      <c r="BY1029" s="12"/>
      <c r="BZ1029" s="12"/>
      <c r="CA1029" s="12"/>
      <c r="CB1029" s="12"/>
      <c r="CC1029" s="12"/>
      <c r="CD1029" s="12"/>
      <c r="CE1029" s="12"/>
      <c r="CF1029" s="12"/>
      <c r="CG1029" s="12"/>
      <c r="CH1029" s="12"/>
      <c r="CI1029" s="12"/>
      <c r="CJ1029" s="12"/>
      <c r="CK1029" s="12"/>
      <c r="CL1029" s="12"/>
      <c r="CM1029" s="12"/>
      <c r="CN1029" s="12"/>
      <c r="CO1029" s="12"/>
      <c r="CP1029" s="12"/>
      <c r="CQ1029" s="12"/>
      <c r="CR1029" s="12"/>
      <c r="CS1029" s="12"/>
      <c r="CT1029" s="12"/>
      <c r="CU1029" s="12"/>
      <c r="CV1029" s="12"/>
      <c r="CW1029" s="12"/>
      <c r="CX1029" s="12"/>
      <c r="CY1029" s="12"/>
      <c r="CZ1029" s="12"/>
      <c r="DA1029" s="12"/>
      <c r="DB1029" s="12"/>
      <c r="DC1029" s="12"/>
      <c r="DD1029" s="12"/>
      <c r="DE1029" s="12"/>
      <c r="DF1029" s="12"/>
      <c r="DG1029" s="12"/>
      <c r="DH1029" s="12"/>
      <c r="DI1029" s="12"/>
      <c r="DJ1029" s="12"/>
      <c r="DK1029" s="12"/>
      <c r="DL1029" s="12"/>
      <c r="DM1029" s="12"/>
      <c r="DN1029" s="12"/>
      <c r="DO1029" s="12"/>
      <c r="DP1029" s="12"/>
      <c r="DQ1029" s="12"/>
      <c r="DR1029" s="12"/>
      <c r="DS1029" s="12"/>
      <c r="DT1029" s="12"/>
      <c r="DU1029" s="12"/>
      <c r="DV1029" s="12"/>
      <c r="DW1029" s="12"/>
      <c r="DX1029" s="12"/>
      <c r="DY1029" s="12"/>
      <c r="DZ1029" s="12"/>
      <c r="EA1029" s="12"/>
      <c r="EB1029" s="12"/>
      <c r="EC1029" s="12"/>
      <c r="ED1029" s="12"/>
      <c r="EE1029" s="12"/>
      <c r="EF1029" s="12"/>
      <c r="EG1029" s="12"/>
      <c r="EH1029" s="12"/>
      <c r="EI1029" s="12"/>
      <c r="EJ1029" s="574"/>
      <c r="EK1029" s="574"/>
      <c r="EL1029" s="574"/>
      <c r="EM1029" s="574"/>
      <c r="EN1029" s="574"/>
      <c r="EO1029" s="574"/>
      <c r="EP1029" s="574"/>
      <c r="EQ1029" s="574"/>
      <c r="ER1029" s="574"/>
      <c r="ES1029" s="574"/>
      <c r="ET1029" s="574"/>
      <c r="EU1029" s="574"/>
    </row>
    <row r="1030">
      <c r="A1030" s="12"/>
      <c r="B1030" s="55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2"/>
      <c r="AB1030" s="12"/>
      <c r="AC1030" s="12"/>
      <c r="AD1030" s="12"/>
      <c r="AE1030" s="12"/>
      <c r="AF1030" s="12"/>
      <c r="AG1030" s="12"/>
      <c r="AH1030" s="12"/>
      <c r="AI1030" s="12"/>
      <c r="AJ1030" s="12"/>
      <c r="AK1030" s="12"/>
      <c r="AL1030" s="12"/>
      <c r="AM1030" s="12"/>
      <c r="AN1030" s="12"/>
      <c r="AO1030" s="12"/>
      <c r="AP1030" s="12"/>
      <c r="AQ1030" s="12"/>
      <c r="AR1030" s="12"/>
      <c r="AS1030" s="12"/>
      <c r="AT1030" s="12"/>
      <c r="AU1030" s="12"/>
      <c r="AV1030" s="12"/>
      <c r="AW1030" s="12"/>
      <c r="AX1030" s="12"/>
      <c r="AY1030" s="12"/>
      <c r="AZ1030" s="12"/>
      <c r="BA1030" s="12"/>
      <c r="BB1030" s="12"/>
      <c r="BC1030" s="12"/>
      <c r="BD1030" s="12"/>
      <c r="BE1030" s="12"/>
      <c r="BF1030" s="12"/>
      <c r="BG1030" s="12"/>
      <c r="BH1030" s="12"/>
      <c r="BI1030" s="12"/>
      <c r="BJ1030" s="12"/>
      <c r="BK1030" s="12"/>
      <c r="BL1030" s="12"/>
      <c r="BM1030" s="12"/>
      <c r="BN1030" s="12"/>
      <c r="BO1030" s="12"/>
      <c r="BP1030" s="12"/>
      <c r="BQ1030" s="12"/>
      <c r="BR1030" s="12"/>
      <c r="BS1030" s="12"/>
      <c r="BT1030" s="12"/>
      <c r="BU1030" s="12"/>
      <c r="BV1030" s="12"/>
      <c r="BW1030" s="12"/>
      <c r="BX1030" s="12"/>
      <c r="BY1030" s="12"/>
      <c r="BZ1030" s="12"/>
      <c r="CA1030" s="12"/>
      <c r="CB1030" s="12"/>
      <c r="CC1030" s="12"/>
      <c r="CD1030" s="12"/>
      <c r="CE1030" s="12"/>
      <c r="CF1030" s="12"/>
      <c r="CG1030" s="12"/>
      <c r="CH1030" s="12"/>
      <c r="CI1030" s="12"/>
      <c r="CJ1030" s="12"/>
      <c r="CK1030" s="12"/>
      <c r="CL1030" s="12"/>
      <c r="CM1030" s="12"/>
      <c r="CN1030" s="12"/>
      <c r="CO1030" s="12"/>
      <c r="CP1030" s="12"/>
      <c r="CQ1030" s="12"/>
      <c r="CR1030" s="12"/>
      <c r="CS1030" s="12"/>
      <c r="CT1030" s="12"/>
      <c r="CU1030" s="12"/>
      <c r="CV1030" s="12"/>
      <c r="CW1030" s="12"/>
      <c r="CX1030" s="12"/>
      <c r="CY1030" s="12"/>
      <c r="CZ1030" s="12"/>
      <c r="DA1030" s="12"/>
      <c r="DB1030" s="12"/>
      <c r="DC1030" s="12"/>
      <c r="DD1030" s="12"/>
      <c r="DE1030" s="12"/>
      <c r="DF1030" s="12"/>
      <c r="DG1030" s="12"/>
      <c r="DH1030" s="12"/>
      <c r="DI1030" s="12"/>
      <c r="DJ1030" s="12"/>
      <c r="DK1030" s="12"/>
      <c r="DL1030" s="12"/>
      <c r="DM1030" s="12"/>
      <c r="DN1030" s="12"/>
      <c r="DO1030" s="12"/>
      <c r="DP1030" s="12"/>
      <c r="DQ1030" s="12"/>
      <c r="DR1030" s="12"/>
      <c r="DS1030" s="12"/>
      <c r="DT1030" s="12"/>
      <c r="DU1030" s="12"/>
      <c r="DV1030" s="12"/>
      <c r="DW1030" s="12"/>
      <c r="DX1030" s="12"/>
      <c r="DY1030" s="12"/>
      <c r="DZ1030" s="12"/>
      <c r="EA1030" s="12"/>
      <c r="EB1030" s="12"/>
      <c r="EC1030" s="12"/>
      <c r="ED1030" s="12"/>
      <c r="EE1030" s="12"/>
      <c r="EF1030" s="12"/>
      <c r="EG1030" s="12"/>
      <c r="EH1030" s="12"/>
      <c r="EI1030" s="12"/>
      <c r="EJ1030" s="574"/>
      <c r="EK1030" s="574"/>
      <c r="EL1030" s="574"/>
      <c r="EM1030" s="574"/>
      <c r="EN1030" s="574"/>
      <c r="EO1030" s="574"/>
      <c r="EP1030" s="574"/>
      <c r="EQ1030" s="574"/>
      <c r="ER1030" s="574"/>
      <c r="ES1030" s="574"/>
      <c r="ET1030" s="574"/>
      <c r="EU1030" s="574"/>
    </row>
    <row r="1031">
      <c r="A1031" s="12"/>
      <c r="B1031" s="55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2"/>
      <c r="AB1031" s="12"/>
      <c r="AC1031" s="12"/>
      <c r="AD1031" s="12"/>
      <c r="AE1031" s="12"/>
      <c r="AF1031" s="12"/>
      <c r="AG1031" s="12"/>
      <c r="AH1031" s="12"/>
      <c r="AI1031" s="12"/>
      <c r="AJ1031" s="12"/>
      <c r="AK1031" s="12"/>
      <c r="AL1031" s="12"/>
      <c r="AM1031" s="12"/>
      <c r="AN1031" s="12"/>
      <c r="AO1031" s="12"/>
      <c r="AP1031" s="12"/>
      <c r="AQ1031" s="12"/>
      <c r="AR1031" s="12"/>
      <c r="AS1031" s="12"/>
      <c r="AT1031" s="12"/>
      <c r="AU1031" s="12"/>
      <c r="AV1031" s="12"/>
      <c r="AW1031" s="12"/>
      <c r="AX1031" s="12"/>
      <c r="AY1031" s="12"/>
      <c r="AZ1031" s="12"/>
      <c r="BA1031" s="12"/>
      <c r="BB1031" s="12"/>
      <c r="BC1031" s="12"/>
      <c r="BD1031" s="12"/>
      <c r="BE1031" s="12"/>
      <c r="BF1031" s="12"/>
      <c r="BG1031" s="12"/>
      <c r="BH1031" s="12"/>
      <c r="BI1031" s="12"/>
      <c r="BJ1031" s="12"/>
      <c r="BK1031" s="12"/>
      <c r="BL1031" s="12"/>
      <c r="BM1031" s="12"/>
      <c r="BN1031" s="12"/>
      <c r="BO1031" s="12"/>
      <c r="BP1031" s="12"/>
      <c r="BQ1031" s="12"/>
      <c r="BR1031" s="12"/>
      <c r="BS1031" s="12"/>
      <c r="BT1031" s="12"/>
      <c r="BU1031" s="12"/>
      <c r="BV1031" s="12"/>
      <c r="BW1031" s="12"/>
      <c r="BX1031" s="12"/>
      <c r="BY1031" s="12"/>
      <c r="BZ1031" s="12"/>
      <c r="CA1031" s="12"/>
      <c r="CB1031" s="12"/>
      <c r="CC1031" s="12"/>
      <c r="CD1031" s="12"/>
      <c r="CE1031" s="12"/>
      <c r="CF1031" s="12"/>
      <c r="CG1031" s="12"/>
      <c r="CH1031" s="12"/>
      <c r="CI1031" s="12"/>
      <c r="CJ1031" s="12"/>
      <c r="CK1031" s="12"/>
      <c r="CL1031" s="12"/>
      <c r="CM1031" s="12"/>
      <c r="CN1031" s="12"/>
      <c r="CO1031" s="12"/>
      <c r="CP1031" s="12"/>
      <c r="CQ1031" s="12"/>
      <c r="CR1031" s="12"/>
      <c r="CS1031" s="12"/>
      <c r="CT1031" s="12"/>
      <c r="CU1031" s="12"/>
      <c r="CV1031" s="12"/>
      <c r="CW1031" s="12"/>
      <c r="CX1031" s="12"/>
      <c r="CY1031" s="12"/>
      <c r="CZ1031" s="12"/>
      <c r="DA1031" s="12"/>
      <c r="DB1031" s="12"/>
      <c r="DC1031" s="12"/>
      <c r="DD1031" s="12"/>
      <c r="DE1031" s="12"/>
      <c r="DF1031" s="12"/>
      <c r="DG1031" s="12"/>
      <c r="DH1031" s="12"/>
      <c r="DI1031" s="12"/>
      <c r="DJ1031" s="12"/>
      <c r="DK1031" s="12"/>
      <c r="DL1031" s="12"/>
      <c r="DM1031" s="12"/>
      <c r="DN1031" s="12"/>
      <c r="DO1031" s="12"/>
      <c r="DP1031" s="12"/>
      <c r="DQ1031" s="12"/>
      <c r="DR1031" s="12"/>
      <c r="DS1031" s="12"/>
      <c r="DT1031" s="12"/>
      <c r="DU1031" s="12"/>
      <c r="DV1031" s="12"/>
      <c r="DW1031" s="12"/>
      <c r="DX1031" s="12"/>
      <c r="DY1031" s="12"/>
      <c r="DZ1031" s="12"/>
      <c r="EA1031" s="12"/>
      <c r="EB1031" s="12"/>
      <c r="EC1031" s="12"/>
      <c r="ED1031" s="12"/>
      <c r="EE1031" s="12"/>
      <c r="EF1031" s="12"/>
      <c r="EG1031" s="12"/>
      <c r="EH1031" s="12"/>
      <c r="EI1031" s="12"/>
      <c r="EJ1031" s="574"/>
      <c r="EK1031" s="574"/>
      <c r="EL1031" s="574"/>
      <c r="EM1031" s="574"/>
      <c r="EN1031" s="574"/>
      <c r="EO1031" s="574"/>
      <c r="EP1031" s="574"/>
      <c r="EQ1031" s="574"/>
      <c r="ER1031" s="574"/>
      <c r="ES1031" s="574"/>
      <c r="ET1031" s="574"/>
      <c r="EU1031" s="574"/>
    </row>
    <row r="1032">
      <c r="A1032" s="12"/>
      <c r="B1032" s="55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2"/>
      <c r="AB1032" s="12"/>
      <c r="AC1032" s="12"/>
      <c r="AD1032" s="12"/>
      <c r="AE1032" s="12"/>
      <c r="AF1032" s="12"/>
      <c r="AG1032" s="12"/>
      <c r="AH1032" s="12"/>
      <c r="AI1032" s="12"/>
      <c r="AJ1032" s="12"/>
      <c r="AK1032" s="12"/>
      <c r="AL1032" s="12"/>
      <c r="AM1032" s="12"/>
      <c r="AN1032" s="12"/>
      <c r="AO1032" s="12"/>
      <c r="AP1032" s="12"/>
      <c r="AQ1032" s="12"/>
      <c r="AR1032" s="12"/>
      <c r="AS1032" s="12"/>
      <c r="AT1032" s="12"/>
      <c r="AU1032" s="12"/>
      <c r="AV1032" s="12"/>
      <c r="AW1032" s="12"/>
      <c r="AX1032" s="12"/>
      <c r="AY1032" s="12"/>
      <c r="AZ1032" s="12"/>
      <c r="BA1032" s="12"/>
      <c r="BB1032" s="12"/>
      <c r="BC1032" s="12"/>
      <c r="BD1032" s="12"/>
      <c r="BE1032" s="12"/>
      <c r="BF1032" s="12"/>
      <c r="BG1032" s="12"/>
      <c r="BH1032" s="12"/>
      <c r="BI1032" s="12"/>
      <c r="BJ1032" s="12"/>
      <c r="BK1032" s="12"/>
      <c r="BL1032" s="12"/>
      <c r="BM1032" s="12"/>
      <c r="BN1032" s="12"/>
      <c r="BO1032" s="12"/>
      <c r="BP1032" s="12"/>
      <c r="BQ1032" s="12"/>
      <c r="BR1032" s="12"/>
      <c r="BS1032" s="12"/>
      <c r="BT1032" s="12"/>
      <c r="BU1032" s="12"/>
      <c r="BV1032" s="12"/>
      <c r="BW1032" s="12"/>
      <c r="BX1032" s="12"/>
      <c r="BY1032" s="12"/>
      <c r="BZ1032" s="12"/>
      <c r="CA1032" s="12"/>
      <c r="CB1032" s="12"/>
      <c r="CC1032" s="12"/>
      <c r="CD1032" s="12"/>
      <c r="CE1032" s="12"/>
      <c r="CF1032" s="12"/>
      <c r="CG1032" s="12"/>
      <c r="CH1032" s="12"/>
      <c r="CI1032" s="12"/>
      <c r="CJ1032" s="12"/>
      <c r="CK1032" s="12"/>
      <c r="CL1032" s="12"/>
      <c r="CM1032" s="12"/>
      <c r="CN1032" s="12"/>
      <c r="CO1032" s="12"/>
      <c r="CP1032" s="12"/>
      <c r="CQ1032" s="12"/>
      <c r="CR1032" s="12"/>
      <c r="CS1032" s="12"/>
      <c r="CT1032" s="12"/>
      <c r="CU1032" s="12"/>
      <c r="CV1032" s="12"/>
      <c r="CW1032" s="12"/>
      <c r="CX1032" s="12"/>
      <c r="CY1032" s="12"/>
      <c r="CZ1032" s="12"/>
      <c r="DA1032" s="12"/>
      <c r="DB1032" s="12"/>
      <c r="DC1032" s="12"/>
      <c r="DD1032" s="12"/>
      <c r="DE1032" s="12"/>
      <c r="DF1032" s="12"/>
      <c r="DG1032" s="12"/>
      <c r="DH1032" s="12"/>
      <c r="DI1032" s="12"/>
      <c r="DJ1032" s="12"/>
      <c r="DK1032" s="12"/>
      <c r="DL1032" s="12"/>
      <c r="DM1032" s="12"/>
      <c r="DN1032" s="12"/>
      <c r="DO1032" s="12"/>
      <c r="DP1032" s="12"/>
      <c r="DQ1032" s="12"/>
      <c r="DR1032" s="12"/>
      <c r="DS1032" s="12"/>
      <c r="DT1032" s="12"/>
      <c r="DU1032" s="12"/>
      <c r="DV1032" s="12"/>
      <c r="DW1032" s="12"/>
      <c r="DX1032" s="12"/>
      <c r="DY1032" s="12"/>
      <c r="DZ1032" s="12"/>
      <c r="EA1032" s="12"/>
      <c r="EB1032" s="12"/>
      <c r="EC1032" s="12"/>
      <c r="ED1032" s="12"/>
      <c r="EE1032" s="12"/>
      <c r="EF1032" s="12"/>
      <c r="EG1032" s="12"/>
      <c r="EH1032" s="12"/>
      <c r="EI1032" s="12"/>
      <c r="EJ1032" s="574"/>
      <c r="EK1032" s="574"/>
      <c r="EL1032" s="574"/>
      <c r="EM1032" s="574"/>
      <c r="EN1032" s="574"/>
      <c r="EO1032" s="574"/>
      <c r="EP1032" s="574"/>
      <c r="EQ1032" s="574"/>
      <c r="ER1032" s="574"/>
      <c r="ES1032" s="574"/>
      <c r="ET1032" s="574"/>
      <c r="EU1032" s="574"/>
    </row>
    <row r="1033">
      <c r="A1033" s="12"/>
      <c r="B1033" s="55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2"/>
      <c r="AB1033" s="12"/>
      <c r="AC1033" s="12"/>
      <c r="AD1033" s="12"/>
      <c r="AE1033" s="12"/>
      <c r="AF1033" s="12"/>
      <c r="AG1033" s="12"/>
      <c r="AH1033" s="12"/>
      <c r="AI1033" s="12"/>
      <c r="AJ1033" s="12"/>
      <c r="AK1033" s="12"/>
      <c r="AL1033" s="12"/>
      <c r="AM1033" s="12"/>
      <c r="AN1033" s="12"/>
      <c r="AO1033" s="12"/>
      <c r="AP1033" s="12"/>
      <c r="AQ1033" s="12"/>
      <c r="AR1033" s="12"/>
      <c r="AS1033" s="12"/>
      <c r="AT1033" s="12"/>
      <c r="AU1033" s="12"/>
      <c r="AV1033" s="12"/>
      <c r="AW1033" s="12"/>
      <c r="AX1033" s="12"/>
      <c r="AY1033" s="12"/>
      <c r="AZ1033" s="12"/>
      <c r="BA1033" s="12"/>
      <c r="BB1033" s="12"/>
      <c r="BC1033" s="12"/>
      <c r="BD1033" s="12"/>
      <c r="BE1033" s="12"/>
      <c r="BF1033" s="12"/>
      <c r="BG1033" s="12"/>
      <c r="BH1033" s="12"/>
      <c r="BI1033" s="12"/>
      <c r="BJ1033" s="12"/>
      <c r="BK1033" s="12"/>
      <c r="BL1033" s="12"/>
      <c r="BM1033" s="12"/>
      <c r="BN1033" s="12"/>
      <c r="BO1033" s="12"/>
      <c r="BP1033" s="12"/>
      <c r="BQ1033" s="12"/>
      <c r="BR1033" s="12"/>
      <c r="BS1033" s="12"/>
      <c r="BT1033" s="12"/>
      <c r="BU1033" s="12"/>
      <c r="BV1033" s="12"/>
      <c r="BW1033" s="12"/>
      <c r="BX1033" s="12"/>
      <c r="BY1033" s="12"/>
      <c r="BZ1033" s="12"/>
      <c r="CA1033" s="12"/>
      <c r="CB1033" s="12"/>
      <c r="CC1033" s="12"/>
      <c r="CD1033" s="12"/>
      <c r="CE1033" s="12"/>
      <c r="CF1033" s="12"/>
      <c r="CG1033" s="12"/>
      <c r="CH1033" s="12"/>
      <c r="CI1033" s="12"/>
      <c r="CJ1033" s="12"/>
      <c r="CK1033" s="12"/>
      <c r="CL1033" s="12"/>
      <c r="CM1033" s="12"/>
      <c r="CN1033" s="12"/>
      <c r="CO1033" s="12"/>
      <c r="CP1033" s="12"/>
      <c r="CQ1033" s="12"/>
      <c r="CR1033" s="12"/>
      <c r="CS1033" s="12"/>
      <c r="CT1033" s="12"/>
      <c r="CU1033" s="12"/>
      <c r="CV1033" s="12"/>
      <c r="CW1033" s="12"/>
      <c r="CX1033" s="12"/>
      <c r="CY1033" s="12"/>
      <c r="CZ1033" s="12"/>
      <c r="DA1033" s="12"/>
      <c r="DB1033" s="12"/>
      <c r="DC1033" s="12"/>
      <c r="DD1033" s="12"/>
      <c r="DE1033" s="12"/>
      <c r="DF1033" s="12"/>
      <c r="DG1033" s="12"/>
      <c r="DH1033" s="12"/>
      <c r="DI1033" s="12"/>
      <c r="DJ1033" s="12"/>
      <c r="DK1033" s="12"/>
      <c r="DL1033" s="12"/>
      <c r="DM1033" s="12"/>
      <c r="DN1033" s="12"/>
      <c r="DO1033" s="12"/>
      <c r="DP1033" s="12"/>
      <c r="DQ1033" s="12"/>
      <c r="DR1033" s="12"/>
      <c r="DS1033" s="12"/>
      <c r="DT1033" s="12"/>
      <c r="DU1033" s="12"/>
      <c r="DV1033" s="12"/>
      <c r="DW1033" s="12"/>
      <c r="DX1033" s="12"/>
      <c r="DY1033" s="12"/>
      <c r="DZ1033" s="12"/>
      <c r="EA1033" s="12"/>
      <c r="EB1033" s="12"/>
      <c r="EC1033" s="12"/>
      <c r="ED1033" s="12"/>
      <c r="EE1033" s="12"/>
      <c r="EF1033" s="12"/>
      <c r="EG1033" s="12"/>
      <c r="EH1033" s="12"/>
      <c r="EI1033" s="12"/>
      <c r="EJ1033" s="574"/>
      <c r="EK1033" s="574"/>
      <c r="EL1033" s="574"/>
      <c r="EM1033" s="574"/>
      <c r="EN1033" s="574"/>
      <c r="EO1033" s="574"/>
      <c r="EP1033" s="574"/>
      <c r="EQ1033" s="574"/>
      <c r="ER1033" s="574"/>
      <c r="ES1033" s="574"/>
      <c r="ET1033" s="574"/>
      <c r="EU1033" s="574"/>
    </row>
    <row r="1034">
      <c r="A1034" s="12"/>
      <c r="B1034" s="55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2"/>
      <c r="AB1034" s="12"/>
      <c r="AC1034" s="12"/>
      <c r="AD1034" s="12"/>
      <c r="AE1034" s="12"/>
      <c r="AF1034" s="12"/>
      <c r="AG1034" s="12"/>
      <c r="AH1034" s="12"/>
      <c r="AI1034" s="12"/>
      <c r="AJ1034" s="12"/>
      <c r="AK1034" s="12"/>
      <c r="AL1034" s="12"/>
      <c r="AM1034" s="12"/>
      <c r="AN1034" s="12"/>
      <c r="AO1034" s="12"/>
      <c r="AP1034" s="12"/>
      <c r="AQ1034" s="12"/>
      <c r="AR1034" s="12"/>
      <c r="AS1034" s="12"/>
      <c r="AT1034" s="12"/>
      <c r="AU1034" s="12"/>
      <c r="AV1034" s="12"/>
      <c r="AW1034" s="12"/>
      <c r="AX1034" s="12"/>
      <c r="AY1034" s="12"/>
      <c r="AZ1034" s="12"/>
      <c r="BA1034" s="12"/>
      <c r="BB1034" s="12"/>
      <c r="BC1034" s="12"/>
      <c r="BD1034" s="12"/>
      <c r="BE1034" s="12"/>
      <c r="BF1034" s="12"/>
      <c r="BG1034" s="12"/>
      <c r="BH1034" s="12"/>
      <c r="BI1034" s="12"/>
      <c r="BJ1034" s="12"/>
      <c r="BK1034" s="12"/>
      <c r="BL1034" s="12"/>
      <c r="BM1034" s="12"/>
      <c r="BN1034" s="12"/>
      <c r="BO1034" s="12"/>
      <c r="BP1034" s="12"/>
      <c r="BQ1034" s="12"/>
      <c r="BR1034" s="12"/>
      <c r="BS1034" s="12"/>
      <c r="BT1034" s="12"/>
      <c r="BU1034" s="12"/>
      <c r="BV1034" s="12"/>
      <c r="BW1034" s="12"/>
      <c r="BX1034" s="12"/>
      <c r="BY1034" s="12"/>
      <c r="BZ1034" s="12"/>
      <c r="CA1034" s="12"/>
      <c r="CB1034" s="12"/>
      <c r="CC1034" s="12"/>
      <c r="CD1034" s="12"/>
      <c r="CE1034" s="12"/>
      <c r="CF1034" s="12"/>
      <c r="CG1034" s="12"/>
      <c r="CH1034" s="12"/>
      <c r="CI1034" s="12"/>
      <c r="CJ1034" s="12"/>
      <c r="CK1034" s="12"/>
      <c r="CL1034" s="12"/>
      <c r="CM1034" s="12"/>
      <c r="CN1034" s="12"/>
      <c r="CO1034" s="12"/>
      <c r="CP1034" s="12"/>
      <c r="CQ1034" s="12"/>
      <c r="CR1034" s="12"/>
      <c r="CS1034" s="12"/>
      <c r="CT1034" s="12"/>
      <c r="CU1034" s="12"/>
      <c r="CV1034" s="12"/>
      <c r="CW1034" s="12"/>
      <c r="CX1034" s="12"/>
      <c r="CY1034" s="12"/>
      <c r="CZ1034" s="12"/>
      <c r="DA1034" s="12"/>
      <c r="DB1034" s="12"/>
      <c r="DC1034" s="12"/>
      <c r="DD1034" s="12"/>
      <c r="DE1034" s="12"/>
      <c r="DF1034" s="12"/>
      <c r="DG1034" s="12"/>
      <c r="DH1034" s="12"/>
      <c r="DI1034" s="12"/>
      <c r="DJ1034" s="12"/>
      <c r="DK1034" s="12"/>
      <c r="DL1034" s="12"/>
      <c r="DM1034" s="12"/>
      <c r="DN1034" s="12"/>
      <c r="DO1034" s="12"/>
      <c r="DP1034" s="12"/>
      <c r="DQ1034" s="12"/>
      <c r="DR1034" s="12"/>
      <c r="DS1034" s="12"/>
      <c r="DT1034" s="12"/>
      <c r="DU1034" s="12"/>
      <c r="DV1034" s="12"/>
      <c r="DW1034" s="12"/>
      <c r="DX1034" s="12"/>
      <c r="DY1034" s="12"/>
      <c r="DZ1034" s="12"/>
      <c r="EA1034" s="12"/>
      <c r="EB1034" s="12"/>
      <c r="EC1034" s="12"/>
      <c r="ED1034" s="12"/>
      <c r="EE1034" s="12"/>
      <c r="EF1034" s="12"/>
      <c r="EG1034" s="12"/>
      <c r="EH1034" s="12"/>
      <c r="EI1034" s="12"/>
      <c r="EJ1034" s="574"/>
      <c r="EK1034" s="574"/>
      <c r="EL1034" s="574"/>
      <c r="EM1034" s="574"/>
      <c r="EN1034" s="574"/>
      <c r="EO1034" s="574"/>
      <c r="EP1034" s="574"/>
      <c r="EQ1034" s="574"/>
      <c r="ER1034" s="574"/>
      <c r="ES1034" s="574"/>
      <c r="ET1034" s="574"/>
      <c r="EU1034" s="574"/>
    </row>
    <row r="1035">
      <c r="A1035" s="12"/>
      <c r="B1035" s="55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2"/>
      <c r="AB1035" s="12"/>
      <c r="AC1035" s="12"/>
      <c r="AD1035" s="12"/>
      <c r="AE1035" s="12"/>
      <c r="AF1035" s="12"/>
      <c r="AG1035" s="12"/>
      <c r="AH1035" s="12"/>
      <c r="AI1035" s="12"/>
      <c r="AJ1035" s="12"/>
      <c r="AK1035" s="12"/>
      <c r="AL1035" s="12"/>
      <c r="AM1035" s="12"/>
      <c r="AN1035" s="12"/>
      <c r="AO1035" s="12"/>
      <c r="AP1035" s="12"/>
      <c r="AQ1035" s="12"/>
      <c r="AR1035" s="12"/>
      <c r="AS1035" s="12"/>
      <c r="AT1035" s="12"/>
      <c r="AU1035" s="12"/>
      <c r="AV1035" s="12"/>
      <c r="AW1035" s="12"/>
      <c r="AX1035" s="12"/>
      <c r="AY1035" s="12"/>
      <c r="AZ1035" s="12"/>
      <c r="BA1035" s="12"/>
      <c r="BB1035" s="12"/>
      <c r="BC1035" s="12"/>
      <c r="BD1035" s="12"/>
      <c r="BE1035" s="12"/>
      <c r="BF1035" s="12"/>
      <c r="BG1035" s="12"/>
      <c r="BH1035" s="12"/>
      <c r="BI1035" s="12"/>
      <c r="BJ1035" s="12"/>
      <c r="BK1035" s="12"/>
      <c r="BL1035" s="12"/>
      <c r="BM1035" s="12"/>
      <c r="BN1035" s="12"/>
      <c r="BO1035" s="12"/>
      <c r="BP1035" s="12"/>
      <c r="BQ1035" s="12"/>
      <c r="BR1035" s="12"/>
      <c r="BS1035" s="12"/>
      <c r="BT1035" s="12"/>
      <c r="BU1035" s="12"/>
      <c r="BV1035" s="12"/>
      <c r="BW1035" s="12"/>
      <c r="BX1035" s="12"/>
      <c r="BY1035" s="12"/>
      <c r="BZ1035" s="12"/>
      <c r="CA1035" s="12"/>
      <c r="CB1035" s="12"/>
      <c r="CC1035" s="12"/>
      <c r="CD1035" s="12"/>
      <c r="CE1035" s="12"/>
      <c r="CF1035" s="12"/>
      <c r="CG1035" s="12"/>
      <c r="CH1035" s="12"/>
      <c r="CI1035" s="12"/>
      <c r="CJ1035" s="12"/>
      <c r="CK1035" s="12"/>
      <c r="CL1035" s="12"/>
      <c r="CM1035" s="12"/>
      <c r="CN1035" s="12"/>
      <c r="CO1035" s="12"/>
      <c r="CP1035" s="12"/>
      <c r="CQ1035" s="12"/>
      <c r="CR1035" s="12"/>
      <c r="CS1035" s="12"/>
      <c r="CT1035" s="12"/>
      <c r="CU1035" s="12"/>
      <c r="CV1035" s="12"/>
      <c r="CW1035" s="12"/>
      <c r="CX1035" s="12"/>
      <c r="CY1035" s="12"/>
      <c r="CZ1035" s="12"/>
      <c r="DA1035" s="12"/>
      <c r="DB1035" s="12"/>
      <c r="DC1035" s="12"/>
      <c r="DD1035" s="12"/>
      <c r="DE1035" s="12"/>
      <c r="DF1035" s="12"/>
      <c r="DG1035" s="12"/>
      <c r="DH1035" s="12"/>
      <c r="DI1035" s="12"/>
      <c r="DJ1035" s="12"/>
      <c r="DK1035" s="12"/>
      <c r="DL1035" s="12"/>
      <c r="DM1035" s="12"/>
      <c r="DN1035" s="12"/>
      <c r="DO1035" s="12"/>
      <c r="DP1035" s="12"/>
      <c r="DQ1035" s="12"/>
      <c r="DR1035" s="12"/>
      <c r="DS1035" s="12"/>
      <c r="DT1035" s="12"/>
      <c r="DU1035" s="12"/>
      <c r="DV1035" s="12"/>
      <c r="DW1035" s="12"/>
      <c r="DX1035" s="12"/>
      <c r="DY1035" s="12"/>
      <c r="DZ1035" s="12"/>
      <c r="EA1035" s="12"/>
      <c r="EB1035" s="12"/>
      <c r="EC1035" s="12"/>
      <c r="ED1035" s="12"/>
      <c r="EE1035" s="12"/>
      <c r="EF1035" s="12"/>
      <c r="EG1035" s="12"/>
      <c r="EH1035" s="12"/>
      <c r="EI1035" s="12"/>
      <c r="EJ1035" s="574"/>
      <c r="EK1035" s="574"/>
      <c r="EL1035" s="574"/>
      <c r="EM1035" s="574"/>
      <c r="EN1035" s="574"/>
      <c r="EO1035" s="574"/>
      <c r="EP1035" s="574"/>
      <c r="EQ1035" s="574"/>
      <c r="ER1035" s="574"/>
      <c r="ES1035" s="574"/>
      <c r="ET1035" s="574"/>
      <c r="EU1035" s="574"/>
    </row>
    <row r="1036">
      <c r="A1036" s="12"/>
      <c r="B1036" s="55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2"/>
      <c r="AB1036" s="12"/>
      <c r="AC1036" s="12"/>
      <c r="AD1036" s="12"/>
      <c r="AE1036" s="12"/>
      <c r="AF1036" s="12"/>
      <c r="AG1036" s="12"/>
      <c r="AH1036" s="12"/>
      <c r="AI1036" s="12"/>
      <c r="AJ1036" s="12"/>
      <c r="AK1036" s="12"/>
      <c r="AL1036" s="12"/>
      <c r="AM1036" s="12"/>
      <c r="AN1036" s="12"/>
      <c r="AO1036" s="12"/>
      <c r="AP1036" s="12"/>
      <c r="AQ1036" s="12"/>
      <c r="AR1036" s="12"/>
      <c r="AS1036" s="12"/>
      <c r="AT1036" s="12"/>
      <c r="AU1036" s="12"/>
      <c r="AV1036" s="12"/>
      <c r="AW1036" s="12"/>
      <c r="AX1036" s="12"/>
      <c r="AY1036" s="12"/>
      <c r="AZ1036" s="12"/>
      <c r="BA1036" s="12"/>
      <c r="BB1036" s="12"/>
      <c r="BC1036" s="12"/>
      <c r="BD1036" s="12"/>
      <c r="BE1036" s="12"/>
      <c r="BF1036" s="12"/>
      <c r="BG1036" s="12"/>
      <c r="BH1036" s="12"/>
      <c r="BI1036" s="12"/>
      <c r="BJ1036" s="12"/>
      <c r="BK1036" s="12"/>
      <c r="BL1036" s="12"/>
      <c r="BM1036" s="12"/>
      <c r="BN1036" s="12"/>
      <c r="BO1036" s="12"/>
      <c r="BP1036" s="12"/>
      <c r="BQ1036" s="12"/>
      <c r="BR1036" s="12"/>
      <c r="BS1036" s="12"/>
      <c r="BT1036" s="12"/>
      <c r="BU1036" s="12"/>
      <c r="BV1036" s="12"/>
      <c r="BW1036" s="12"/>
      <c r="BX1036" s="12"/>
      <c r="BY1036" s="12"/>
      <c r="BZ1036" s="12"/>
      <c r="CA1036" s="12"/>
      <c r="CB1036" s="12"/>
      <c r="CC1036" s="12"/>
      <c r="CD1036" s="12"/>
      <c r="CE1036" s="12"/>
      <c r="CF1036" s="12"/>
      <c r="CG1036" s="12"/>
      <c r="CH1036" s="12"/>
      <c r="CI1036" s="12"/>
      <c r="CJ1036" s="12"/>
      <c r="CK1036" s="12"/>
      <c r="CL1036" s="12"/>
      <c r="CM1036" s="12"/>
      <c r="CN1036" s="12"/>
      <c r="CO1036" s="12"/>
      <c r="CP1036" s="12"/>
      <c r="CQ1036" s="12"/>
      <c r="CR1036" s="12"/>
      <c r="CS1036" s="12"/>
      <c r="CT1036" s="12"/>
      <c r="CU1036" s="12"/>
      <c r="CV1036" s="12"/>
      <c r="CW1036" s="12"/>
      <c r="CX1036" s="12"/>
      <c r="CY1036" s="12"/>
      <c r="CZ1036" s="12"/>
      <c r="DA1036" s="12"/>
      <c r="DB1036" s="12"/>
      <c r="DC1036" s="12"/>
      <c r="DD1036" s="12"/>
      <c r="DE1036" s="12"/>
      <c r="DF1036" s="12"/>
      <c r="DG1036" s="12"/>
      <c r="DH1036" s="12"/>
      <c r="DI1036" s="12"/>
      <c r="DJ1036" s="12"/>
      <c r="DK1036" s="12"/>
      <c r="DL1036" s="12"/>
      <c r="DM1036" s="12"/>
      <c r="DN1036" s="12"/>
      <c r="DO1036" s="12"/>
      <c r="DP1036" s="12"/>
      <c r="DQ1036" s="12"/>
      <c r="DR1036" s="12"/>
      <c r="DS1036" s="12"/>
      <c r="DT1036" s="12"/>
      <c r="DU1036" s="12"/>
      <c r="DV1036" s="12"/>
      <c r="DW1036" s="12"/>
      <c r="DX1036" s="12"/>
      <c r="DY1036" s="12"/>
      <c r="DZ1036" s="12"/>
      <c r="EA1036" s="12"/>
      <c r="EB1036" s="12"/>
      <c r="EC1036" s="12"/>
      <c r="ED1036" s="12"/>
      <c r="EE1036" s="12"/>
      <c r="EF1036" s="12"/>
      <c r="EG1036" s="12"/>
      <c r="EH1036" s="12"/>
      <c r="EI1036" s="12"/>
      <c r="EJ1036" s="574"/>
      <c r="EK1036" s="574"/>
      <c r="EL1036" s="574"/>
      <c r="EM1036" s="574"/>
      <c r="EN1036" s="574"/>
      <c r="EO1036" s="574"/>
      <c r="EP1036" s="574"/>
      <c r="EQ1036" s="574"/>
      <c r="ER1036" s="574"/>
      <c r="ES1036" s="574"/>
      <c r="ET1036" s="574"/>
      <c r="EU1036" s="574"/>
    </row>
    <row r="1037">
      <c r="A1037" s="12"/>
      <c r="B1037" s="55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2"/>
      <c r="AB1037" s="12"/>
      <c r="AC1037" s="12"/>
      <c r="AD1037" s="12"/>
      <c r="AE1037" s="12"/>
      <c r="AF1037" s="12"/>
      <c r="AG1037" s="12"/>
      <c r="AH1037" s="12"/>
      <c r="AI1037" s="12"/>
      <c r="AJ1037" s="12"/>
      <c r="AK1037" s="12"/>
      <c r="AL1037" s="12"/>
      <c r="AM1037" s="12"/>
      <c r="AN1037" s="12"/>
      <c r="AO1037" s="12"/>
      <c r="AP1037" s="12"/>
      <c r="AQ1037" s="12"/>
      <c r="AR1037" s="12"/>
      <c r="AS1037" s="12"/>
      <c r="AT1037" s="12"/>
      <c r="AU1037" s="12"/>
      <c r="AV1037" s="12"/>
      <c r="AW1037" s="12"/>
      <c r="AX1037" s="12"/>
      <c r="AY1037" s="12"/>
      <c r="AZ1037" s="12"/>
      <c r="BA1037" s="12"/>
      <c r="BB1037" s="12"/>
      <c r="BC1037" s="12"/>
      <c r="BD1037" s="12"/>
      <c r="BE1037" s="12"/>
      <c r="BF1037" s="12"/>
      <c r="BG1037" s="12"/>
      <c r="BH1037" s="12"/>
      <c r="BI1037" s="12"/>
      <c r="BJ1037" s="12"/>
      <c r="BK1037" s="12"/>
      <c r="BL1037" s="12"/>
      <c r="BM1037" s="12"/>
      <c r="BN1037" s="12"/>
      <c r="BO1037" s="12"/>
      <c r="BP1037" s="12"/>
      <c r="BQ1037" s="12"/>
      <c r="BR1037" s="12"/>
      <c r="BS1037" s="12"/>
      <c r="BT1037" s="12"/>
      <c r="BU1037" s="12"/>
      <c r="BV1037" s="12"/>
      <c r="BW1037" s="12"/>
      <c r="BX1037" s="12"/>
      <c r="BY1037" s="12"/>
      <c r="BZ1037" s="12"/>
      <c r="CA1037" s="12"/>
      <c r="CB1037" s="12"/>
      <c r="CC1037" s="12"/>
      <c r="CD1037" s="12"/>
      <c r="CE1037" s="12"/>
      <c r="CF1037" s="12"/>
      <c r="CG1037" s="12"/>
      <c r="CH1037" s="12"/>
      <c r="CI1037" s="12"/>
      <c r="CJ1037" s="12"/>
      <c r="CK1037" s="12"/>
      <c r="CL1037" s="12"/>
      <c r="CM1037" s="12"/>
      <c r="CN1037" s="12"/>
      <c r="CO1037" s="12"/>
      <c r="CP1037" s="12"/>
      <c r="CQ1037" s="12"/>
      <c r="CR1037" s="12"/>
      <c r="CS1037" s="12"/>
      <c r="CT1037" s="12"/>
      <c r="CU1037" s="12"/>
      <c r="CV1037" s="12"/>
      <c r="CW1037" s="12"/>
      <c r="CX1037" s="12"/>
      <c r="CY1037" s="12"/>
      <c r="CZ1037" s="12"/>
      <c r="DA1037" s="12"/>
      <c r="DB1037" s="12"/>
      <c r="DC1037" s="12"/>
      <c r="DD1037" s="12"/>
      <c r="DE1037" s="12"/>
      <c r="DF1037" s="12"/>
      <c r="DG1037" s="12"/>
      <c r="DH1037" s="12"/>
      <c r="DI1037" s="12"/>
      <c r="DJ1037" s="12"/>
      <c r="DK1037" s="12"/>
      <c r="DL1037" s="12"/>
      <c r="DM1037" s="12"/>
      <c r="DN1037" s="12"/>
      <c r="DO1037" s="12"/>
      <c r="DP1037" s="12"/>
      <c r="DQ1037" s="12"/>
      <c r="DR1037" s="12"/>
      <c r="DS1037" s="12"/>
      <c r="DT1037" s="12"/>
      <c r="DU1037" s="12"/>
      <c r="DV1037" s="12"/>
      <c r="DW1037" s="12"/>
      <c r="DX1037" s="12"/>
      <c r="DY1037" s="12"/>
      <c r="DZ1037" s="12"/>
      <c r="EA1037" s="12"/>
      <c r="EB1037" s="12"/>
      <c r="EC1037" s="12"/>
      <c r="ED1037" s="12"/>
      <c r="EE1037" s="12"/>
      <c r="EF1037" s="12"/>
      <c r="EG1037" s="12"/>
      <c r="EH1037" s="12"/>
      <c r="EI1037" s="12"/>
      <c r="EJ1037" s="574"/>
      <c r="EK1037" s="574"/>
      <c r="EL1037" s="574"/>
      <c r="EM1037" s="574"/>
      <c r="EN1037" s="574"/>
      <c r="EO1037" s="574"/>
      <c r="EP1037" s="574"/>
      <c r="EQ1037" s="574"/>
      <c r="ER1037" s="574"/>
      <c r="ES1037" s="574"/>
      <c r="ET1037" s="574"/>
      <c r="EU1037" s="574"/>
    </row>
    <row r="1038">
      <c r="A1038" s="12"/>
      <c r="B1038" s="55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2"/>
      <c r="AB1038" s="12"/>
      <c r="AC1038" s="12"/>
      <c r="AD1038" s="12"/>
      <c r="AE1038" s="12"/>
      <c r="AF1038" s="12"/>
      <c r="AG1038" s="12"/>
      <c r="AH1038" s="12"/>
      <c r="AI1038" s="12"/>
      <c r="AJ1038" s="12"/>
      <c r="AK1038" s="12"/>
      <c r="AL1038" s="12"/>
      <c r="AM1038" s="12"/>
      <c r="AN1038" s="12"/>
      <c r="AO1038" s="12"/>
      <c r="AP1038" s="12"/>
      <c r="AQ1038" s="12"/>
      <c r="AR1038" s="12"/>
      <c r="AS1038" s="12"/>
      <c r="AT1038" s="12"/>
      <c r="AU1038" s="12"/>
      <c r="AV1038" s="12"/>
      <c r="AW1038" s="12"/>
      <c r="AX1038" s="12"/>
      <c r="AY1038" s="12"/>
      <c r="AZ1038" s="12"/>
      <c r="BA1038" s="12"/>
      <c r="BB1038" s="12"/>
      <c r="BC1038" s="12"/>
      <c r="BD1038" s="12"/>
      <c r="BE1038" s="12"/>
      <c r="BF1038" s="12"/>
      <c r="BG1038" s="12"/>
      <c r="BH1038" s="12"/>
      <c r="BI1038" s="12"/>
      <c r="BJ1038" s="12"/>
      <c r="BK1038" s="12"/>
      <c r="BL1038" s="12"/>
      <c r="BM1038" s="12"/>
      <c r="BN1038" s="12"/>
      <c r="BO1038" s="12"/>
      <c r="BP1038" s="12"/>
      <c r="BQ1038" s="12"/>
      <c r="BR1038" s="12"/>
      <c r="BS1038" s="12"/>
      <c r="BT1038" s="12"/>
      <c r="BU1038" s="12"/>
      <c r="BV1038" s="12"/>
      <c r="BW1038" s="12"/>
      <c r="BX1038" s="12"/>
      <c r="BY1038" s="12"/>
      <c r="BZ1038" s="12"/>
      <c r="CA1038" s="12"/>
      <c r="CB1038" s="12"/>
      <c r="CC1038" s="12"/>
      <c r="CD1038" s="12"/>
      <c r="CE1038" s="12"/>
      <c r="CF1038" s="12"/>
      <c r="CG1038" s="12"/>
      <c r="CH1038" s="12"/>
      <c r="CI1038" s="12"/>
      <c r="CJ1038" s="12"/>
      <c r="CK1038" s="12"/>
      <c r="CL1038" s="12"/>
      <c r="CM1038" s="12"/>
      <c r="CN1038" s="12"/>
      <c r="CO1038" s="12"/>
      <c r="CP1038" s="12"/>
      <c r="CQ1038" s="12"/>
      <c r="CR1038" s="12"/>
      <c r="CS1038" s="12"/>
      <c r="CT1038" s="12"/>
      <c r="CU1038" s="12"/>
      <c r="CV1038" s="12"/>
      <c r="CW1038" s="12"/>
      <c r="CX1038" s="12"/>
      <c r="CY1038" s="12"/>
      <c r="CZ1038" s="12"/>
      <c r="DA1038" s="12"/>
      <c r="DB1038" s="12"/>
      <c r="DC1038" s="12"/>
      <c r="DD1038" s="12"/>
      <c r="DE1038" s="12"/>
      <c r="DF1038" s="12"/>
      <c r="DG1038" s="12"/>
      <c r="DH1038" s="12"/>
      <c r="DI1038" s="12"/>
      <c r="DJ1038" s="12"/>
      <c r="DK1038" s="12"/>
      <c r="DL1038" s="12"/>
      <c r="DM1038" s="12"/>
      <c r="DN1038" s="12"/>
      <c r="DO1038" s="12"/>
      <c r="DP1038" s="12"/>
      <c r="DQ1038" s="12"/>
      <c r="DR1038" s="12"/>
      <c r="DS1038" s="12"/>
      <c r="DT1038" s="12"/>
      <c r="DU1038" s="12"/>
      <c r="DV1038" s="12"/>
      <c r="DW1038" s="12"/>
      <c r="DX1038" s="12"/>
      <c r="DY1038" s="12"/>
      <c r="DZ1038" s="12"/>
      <c r="EA1038" s="12"/>
      <c r="EB1038" s="12"/>
      <c r="EC1038" s="12"/>
      <c r="ED1038" s="12"/>
      <c r="EE1038" s="12"/>
      <c r="EF1038" s="12"/>
      <c r="EG1038" s="12"/>
      <c r="EH1038" s="12"/>
      <c r="EI1038" s="12"/>
      <c r="EJ1038" s="574"/>
      <c r="EK1038" s="574"/>
      <c r="EL1038" s="574"/>
      <c r="EM1038" s="574"/>
      <c r="EN1038" s="574"/>
      <c r="EO1038" s="574"/>
      <c r="EP1038" s="574"/>
      <c r="EQ1038" s="574"/>
      <c r="ER1038" s="574"/>
      <c r="ES1038" s="574"/>
      <c r="ET1038" s="574"/>
      <c r="EU1038" s="574"/>
    </row>
    <row r="1039">
      <c r="A1039" s="12"/>
      <c r="B1039" s="55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2"/>
      <c r="AB1039" s="12"/>
      <c r="AC1039" s="12"/>
      <c r="AD1039" s="12"/>
      <c r="AE1039" s="12"/>
      <c r="AF1039" s="12"/>
      <c r="AG1039" s="12"/>
      <c r="AH1039" s="12"/>
      <c r="AI1039" s="12"/>
      <c r="AJ1039" s="12"/>
      <c r="AK1039" s="12"/>
      <c r="AL1039" s="12"/>
      <c r="AM1039" s="12"/>
      <c r="AN1039" s="12"/>
      <c r="AO1039" s="12"/>
      <c r="AP1039" s="12"/>
      <c r="AQ1039" s="12"/>
      <c r="AR1039" s="12"/>
      <c r="AS1039" s="12"/>
      <c r="AT1039" s="12"/>
      <c r="AU1039" s="12"/>
      <c r="AV1039" s="12"/>
      <c r="AW1039" s="12"/>
      <c r="AX1039" s="12"/>
      <c r="AY1039" s="12"/>
      <c r="AZ1039" s="12"/>
      <c r="BA1039" s="12"/>
      <c r="BB1039" s="12"/>
      <c r="BC1039" s="12"/>
      <c r="BD1039" s="12"/>
      <c r="BE1039" s="12"/>
      <c r="BF1039" s="12"/>
      <c r="BG1039" s="12"/>
      <c r="BH1039" s="12"/>
      <c r="BI1039" s="12"/>
      <c r="BJ1039" s="12"/>
      <c r="BK1039" s="12"/>
      <c r="BL1039" s="12"/>
      <c r="BM1039" s="12"/>
      <c r="BN1039" s="12"/>
      <c r="BO1039" s="12"/>
      <c r="BP1039" s="12"/>
      <c r="BQ1039" s="12"/>
      <c r="BR1039" s="12"/>
      <c r="BS1039" s="12"/>
      <c r="BT1039" s="12"/>
      <c r="BU1039" s="12"/>
      <c r="BV1039" s="12"/>
      <c r="BW1039" s="12"/>
      <c r="BX1039" s="12"/>
      <c r="BY1039" s="12"/>
      <c r="BZ1039" s="12"/>
      <c r="CA1039" s="12"/>
      <c r="CB1039" s="12"/>
      <c r="CC1039" s="12"/>
      <c r="CD1039" s="12"/>
      <c r="CE1039" s="12"/>
      <c r="CF1039" s="12"/>
      <c r="CG1039" s="12"/>
      <c r="CH1039" s="12"/>
      <c r="CI1039" s="12"/>
      <c r="CJ1039" s="12"/>
      <c r="CK1039" s="12"/>
      <c r="CL1039" s="12"/>
      <c r="CM1039" s="12"/>
      <c r="CN1039" s="12"/>
      <c r="CO1039" s="12"/>
      <c r="CP1039" s="12"/>
      <c r="CQ1039" s="12"/>
      <c r="CR1039" s="12"/>
      <c r="CS1039" s="12"/>
      <c r="CT1039" s="12"/>
      <c r="CU1039" s="12"/>
      <c r="CV1039" s="12"/>
      <c r="CW1039" s="12"/>
      <c r="CX1039" s="12"/>
      <c r="CY1039" s="12"/>
      <c r="CZ1039" s="12"/>
      <c r="DA1039" s="12"/>
      <c r="DB1039" s="12"/>
      <c r="DC1039" s="12"/>
      <c r="DD1039" s="12"/>
      <c r="DE1039" s="12"/>
      <c r="DF1039" s="12"/>
      <c r="DG1039" s="12"/>
      <c r="DH1039" s="12"/>
      <c r="DI1039" s="12"/>
      <c r="DJ1039" s="12"/>
      <c r="DK1039" s="12"/>
      <c r="DL1039" s="12"/>
      <c r="DM1039" s="12"/>
      <c r="DN1039" s="12"/>
      <c r="DO1039" s="12"/>
      <c r="DP1039" s="12"/>
      <c r="DQ1039" s="12"/>
      <c r="DR1039" s="12"/>
      <c r="DS1039" s="12"/>
      <c r="DT1039" s="12"/>
      <c r="DU1039" s="12"/>
      <c r="DV1039" s="12"/>
      <c r="DW1039" s="12"/>
      <c r="DX1039" s="12"/>
      <c r="DY1039" s="12"/>
      <c r="DZ1039" s="12"/>
      <c r="EA1039" s="12"/>
      <c r="EB1039" s="12"/>
      <c r="EC1039" s="12"/>
      <c r="ED1039" s="12"/>
      <c r="EE1039" s="12"/>
      <c r="EF1039" s="12"/>
      <c r="EG1039" s="12"/>
      <c r="EH1039" s="12"/>
      <c r="EI1039" s="12"/>
      <c r="EJ1039" s="574"/>
      <c r="EK1039" s="574"/>
      <c r="EL1039" s="574"/>
      <c r="EM1039" s="574"/>
      <c r="EN1039" s="574"/>
      <c r="EO1039" s="574"/>
      <c r="EP1039" s="574"/>
      <c r="EQ1039" s="574"/>
      <c r="ER1039" s="574"/>
      <c r="ES1039" s="574"/>
      <c r="ET1039" s="574"/>
      <c r="EU1039" s="574"/>
    </row>
    <row r="1040">
      <c r="A1040" s="12"/>
      <c r="B1040" s="55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2"/>
      <c r="AB1040" s="12"/>
      <c r="AC1040" s="12"/>
      <c r="AD1040" s="12"/>
      <c r="AE1040" s="12"/>
      <c r="AF1040" s="12"/>
      <c r="AG1040" s="12"/>
      <c r="AH1040" s="12"/>
      <c r="AI1040" s="12"/>
      <c r="AJ1040" s="12"/>
      <c r="AK1040" s="12"/>
      <c r="AL1040" s="12"/>
      <c r="AM1040" s="12"/>
      <c r="AN1040" s="12"/>
      <c r="AO1040" s="12"/>
      <c r="AP1040" s="12"/>
      <c r="AQ1040" s="12"/>
      <c r="AR1040" s="12"/>
      <c r="AS1040" s="12"/>
      <c r="AT1040" s="12"/>
      <c r="AU1040" s="12"/>
      <c r="AV1040" s="12"/>
      <c r="AW1040" s="12"/>
      <c r="AX1040" s="12"/>
      <c r="AY1040" s="12"/>
      <c r="AZ1040" s="12"/>
      <c r="BA1040" s="12"/>
      <c r="BB1040" s="12"/>
      <c r="BC1040" s="12"/>
      <c r="BD1040" s="12"/>
      <c r="BE1040" s="12"/>
      <c r="BF1040" s="12"/>
      <c r="BG1040" s="12"/>
      <c r="BH1040" s="12"/>
      <c r="BI1040" s="12"/>
      <c r="BJ1040" s="12"/>
      <c r="BK1040" s="12"/>
      <c r="BL1040" s="12"/>
      <c r="BM1040" s="12"/>
      <c r="BN1040" s="12"/>
      <c r="BO1040" s="12"/>
      <c r="BP1040" s="12"/>
      <c r="BQ1040" s="12"/>
      <c r="BR1040" s="12"/>
      <c r="BS1040" s="12"/>
      <c r="BT1040" s="12"/>
      <c r="BU1040" s="12"/>
      <c r="BV1040" s="12"/>
      <c r="BW1040" s="12"/>
      <c r="BX1040" s="12"/>
      <c r="BY1040" s="12"/>
      <c r="BZ1040" s="12"/>
      <c r="CA1040" s="12"/>
      <c r="CB1040" s="12"/>
      <c r="CC1040" s="12"/>
      <c r="CD1040" s="12"/>
      <c r="CE1040" s="12"/>
      <c r="CF1040" s="12"/>
      <c r="CG1040" s="12"/>
      <c r="CH1040" s="12"/>
      <c r="CI1040" s="12"/>
      <c r="CJ1040" s="12"/>
      <c r="CK1040" s="12"/>
      <c r="CL1040" s="12"/>
      <c r="CM1040" s="12"/>
      <c r="CN1040" s="12"/>
      <c r="CO1040" s="12"/>
      <c r="CP1040" s="12"/>
      <c r="CQ1040" s="12"/>
      <c r="CR1040" s="12"/>
      <c r="CS1040" s="12"/>
      <c r="CT1040" s="12"/>
      <c r="CU1040" s="12"/>
      <c r="CV1040" s="12"/>
      <c r="CW1040" s="12"/>
      <c r="CX1040" s="12"/>
      <c r="CY1040" s="12"/>
      <c r="CZ1040" s="12"/>
      <c r="DA1040" s="12"/>
      <c r="DB1040" s="12"/>
      <c r="DC1040" s="12"/>
      <c r="DD1040" s="12"/>
      <c r="DE1040" s="12"/>
      <c r="DF1040" s="12"/>
      <c r="DG1040" s="12"/>
      <c r="DH1040" s="12"/>
      <c r="DI1040" s="12"/>
      <c r="DJ1040" s="12"/>
      <c r="DK1040" s="12"/>
      <c r="DL1040" s="12"/>
      <c r="DM1040" s="12"/>
      <c r="DN1040" s="12"/>
      <c r="DO1040" s="12"/>
      <c r="DP1040" s="12"/>
      <c r="DQ1040" s="12"/>
      <c r="DR1040" s="12"/>
      <c r="DS1040" s="12"/>
      <c r="DT1040" s="12"/>
      <c r="DU1040" s="12"/>
      <c r="DV1040" s="12"/>
      <c r="DW1040" s="12"/>
      <c r="DX1040" s="12"/>
      <c r="DY1040" s="12"/>
      <c r="DZ1040" s="12"/>
      <c r="EA1040" s="12"/>
      <c r="EB1040" s="12"/>
      <c r="EC1040" s="12"/>
      <c r="ED1040" s="12"/>
      <c r="EE1040" s="12"/>
      <c r="EF1040" s="12"/>
      <c r="EG1040" s="12"/>
      <c r="EH1040" s="12"/>
      <c r="EI1040" s="12"/>
      <c r="EJ1040" s="574"/>
      <c r="EK1040" s="574"/>
      <c r="EL1040" s="574"/>
      <c r="EM1040" s="574"/>
      <c r="EN1040" s="574"/>
      <c r="EO1040" s="574"/>
      <c r="EP1040" s="574"/>
      <c r="EQ1040" s="574"/>
      <c r="ER1040" s="574"/>
      <c r="ES1040" s="574"/>
      <c r="ET1040" s="574"/>
      <c r="EU1040" s="574"/>
    </row>
    <row r="1041">
      <c r="A1041" s="12"/>
      <c r="B1041" s="55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2"/>
      <c r="AB1041" s="12"/>
      <c r="AC1041" s="12"/>
      <c r="AD1041" s="12"/>
      <c r="AE1041" s="12"/>
      <c r="AF1041" s="12"/>
      <c r="AG1041" s="12"/>
      <c r="AH1041" s="12"/>
      <c r="AI1041" s="12"/>
      <c r="AJ1041" s="12"/>
      <c r="AK1041" s="12"/>
      <c r="AL1041" s="12"/>
      <c r="AM1041" s="12"/>
      <c r="AN1041" s="12"/>
      <c r="AO1041" s="12"/>
      <c r="AP1041" s="12"/>
      <c r="AQ1041" s="12"/>
      <c r="AR1041" s="12"/>
      <c r="AS1041" s="12"/>
      <c r="AT1041" s="12"/>
      <c r="AU1041" s="12"/>
      <c r="AV1041" s="12"/>
      <c r="AW1041" s="12"/>
      <c r="AX1041" s="12"/>
      <c r="AY1041" s="12"/>
      <c r="AZ1041" s="12"/>
      <c r="BA1041" s="12"/>
      <c r="BB1041" s="12"/>
      <c r="BC1041" s="12"/>
      <c r="BD1041" s="12"/>
      <c r="BE1041" s="12"/>
      <c r="BF1041" s="12"/>
      <c r="BG1041" s="12"/>
      <c r="BH1041" s="12"/>
      <c r="BI1041" s="12"/>
      <c r="BJ1041" s="12"/>
      <c r="BK1041" s="12"/>
      <c r="BL1041" s="12"/>
      <c r="BM1041" s="12"/>
      <c r="BN1041" s="12"/>
      <c r="BO1041" s="12"/>
      <c r="BP1041" s="12"/>
      <c r="BQ1041" s="12"/>
      <c r="BR1041" s="12"/>
      <c r="BS1041" s="12"/>
      <c r="BT1041" s="12"/>
      <c r="BU1041" s="12"/>
      <c r="BV1041" s="12"/>
      <c r="BW1041" s="12"/>
      <c r="BX1041" s="12"/>
      <c r="BY1041" s="12"/>
      <c r="BZ1041" s="12"/>
      <c r="CA1041" s="12"/>
      <c r="CB1041" s="12"/>
      <c r="CC1041" s="12"/>
      <c r="CD1041" s="12"/>
      <c r="CE1041" s="12"/>
      <c r="CF1041" s="12"/>
      <c r="CG1041" s="12"/>
      <c r="CH1041" s="12"/>
      <c r="CI1041" s="12"/>
      <c r="CJ1041" s="12"/>
      <c r="CK1041" s="12"/>
      <c r="CL1041" s="12"/>
      <c r="CM1041" s="12"/>
      <c r="CN1041" s="12"/>
      <c r="CO1041" s="12"/>
      <c r="CP1041" s="12"/>
      <c r="CQ1041" s="12"/>
      <c r="CR1041" s="12"/>
      <c r="CS1041" s="12"/>
      <c r="CT1041" s="12"/>
      <c r="CU1041" s="12"/>
      <c r="CV1041" s="12"/>
      <c r="CW1041" s="12"/>
      <c r="CX1041" s="12"/>
      <c r="CY1041" s="12"/>
      <c r="CZ1041" s="12"/>
      <c r="DA1041" s="12"/>
      <c r="DB1041" s="12"/>
      <c r="DC1041" s="12"/>
      <c r="DD1041" s="12"/>
      <c r="DE1041" s="12"/>
      <c r="DF1041" s="12"/>
      <c r="DG1041" s="12"/>
      <c r="DH1041" s="12"/>
      <c r="DI1041" s="12"/>
      <c r="DJ1041" s="12"/>
      <c r="DK1041" s="12"/>
      <c r="DL1041" s="12"/>
      <c r="DM1041" s="12"/>
      <c r="DN1041" s="12"/>
      <c r="DO1041" s="12"/>
      <c r="DP1041" s="12"/>
      <c r="DQ1041" s="12"/>
      <c r="DR1041" s="12"/>
      <c r="DS1041" s="12"/>
      <c r="DT1041" s="12"/>
      <c r="DU1041" s="12"/>
      <c r="DV1041" s="12"/>
      <c r="DW1041" s="12"/>
      <c r="DX1041" s="12"/>
      <c r="DY1041" s="12"/>
      <c r="DZ1041" s="12"/>
      <c r="EA1041" s="12"/>
      <c r="EB1041" s="12"/>
      <c r="EC1041" s="12"/>
      <c r="ED1041" s="12"/>
      <c r="EE1041" s="12"/>
      <c r="EF1041" s="12"/>
      <c r="EG1041" s="12"/>
      <c r="EH1041" s="12"/>
      <c r="EI1041" s="12"/>
      <c r="EJ1041" s="574"/>
      <c r="EK1041" s="574"/>
      <c r="EL1041" s="574"/>
      <c r="EM1041" s="574"/>
      <c r="EN1041" s="574"/>
      <c r="EO1041" s="574"/>
      <c r="EP1041" s="574"/>
      <c r="EQ1041" s="574"/>
      <c r="ER1041" s="574"/>
      <c r="ES1041" s="574"/>
      <c r="ET1041" s="574"/>
      <c r="EU1041" s="574"/>
    </row>
    <row r="1042">
      <c r="A1042" s="12"/>
      <c r="B1042" s="55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2"/>
      <c r="AB1042" s="12"/>
      <c r="AC1042" s="12"/>
      <c r="AD1042" s="12"/>
      <c r="AE1042" s="12"/>
      <c r="AF1042" s="12"/>
      <c r="AG1042" s="12"/>
      <c r="AH1042" s="12"/>
      <c r="AI1042" s="12"/>
      <c r="AJ1042" s="12"/>
      <c r="AK1042" s="12"/>
      <c r="AL1042" s="12"/>
      <c r="AM1042" s="12"/>
      <c r="AN1042" s="12"/>
      <c r="AO1042" s="12"/>
      <c r="AP1042" s="12"/>
      <c r="AQ1042" s="12"/>
      <c r="AR1042" s="12"/>
      <c r="AS1042" s="12"/>
      <c r="AT1042" s="12"/>
      <c r="AU1042" s="12"/>
      <c r="AV1042" s="12"/>
      <c r="AW1042" s="12"/>
      <c r="AX1042" s="12"/>
      <c r="AY1042" s="12"/>
      <c r="AZ1042" s="12"/>
      <c r="BA1042" s="12"/>
      <c r="BB1042" s="12"/>
      <c r="BC1042" s="12"/>
      <c r="BD1042" s="12"/>
      <c r="BE1042" s="12"/>
      <c r="BF1042" s="12"/>
      <c r="BG1042" s="12"/>
      <c r="BH1042" s="12"/>
      <c r="BI1042" s="12"/>
      <c r="BJ1042" s="12"/>
      <c r="BK1042" s="12"/>
      <c r="BL1042" s="12"/>
      <c r="BM1042" s="12"/>
      <c r="BN1042" s="12"/>
      <c r="BO1042" s="12"/>
      <c r="BP1042" s="12"/>
      <c r="BQ1042" s="12"/>
      <c r="BR1042" s="12"/>
      <c r="BS1042" s="12"/>
      <c r="BT1042" s="12"/>
      <c r="BU1042" s="12"/>
      <c r="BV1042" s="12"/>
      <c r="BW1042" s="12"/>
      <c r="BX1042" s="12"/>
      <c r="BY1042" s="12"/>
      <c r="BZ1042" s="12"/>
      <c r="CA1042" s="12"/>
      <c r="CB1042" s="12"/>
      <c r="CC1042" s="12"/>
      <c r="CD1042" s="12"/>
      <c r="CE1042" s="12"/>
      <c r="CF1042" s="12"/>
      <c r="CG1042" s="12"/>
      <c r="CH1042" s="12"/>
      <c r="CI1042" s="12"/>
      <c r="CJ1042" s="12"/>
      <c r="CK1042" s="12"/>
      <c r="CL1042" s="12"/>
      <c r="CM1042" s="12"/>
      <c r="CN1042" s="12"/>
      <c r="CO1042" s="12"/>
      <c r="CP1042" s="12"/>
      <c r="CQ1042" s="12"/>
      <c r="CR1042" s="12"/>
      <c r="CS1042" s="12"/>
      <c r="CT1042" s="12"/>
      <c r="CU1042" s="12"/>
      <c r="CV1042" s="12"/>
      <c r="CW1042" s="12"/>
      <c r="CX1042" s="12"/>
      <c r="CY1042" s="12"/>
      <c r="CZ1042" s="12"/>
      <c r="DA1042" s="12"/>
      <c r="DB1042" s="12"/>
      <c r="DC1042" s="12"/>
      <c r="DD1042" s="12"/>
      <c r="DE1042" s="12"/>
      <c r="DF1042" s="12"/>
      <c r="DG1042" s="12"/>
      <c r="DH1042" s="12"/>
      <c r="DI1042" s="12"/>
      <c r="DJ1042" s="12"/>
      <c r="DK1042" s="12"/>
      <c r="DL1042" s="12"/>
      <c r="DM1042" s="12"/>
      <c r="DN1042" s="12"/>
      <c r="DO1042" s="12"/>
      <c r="DP1042" s="12"/>
      <c r="DQ1042" s="12"/>
      <c r="DR1042" s="12"/>
      <c r="DS1042" s="12"/>
      <c r="DT1042" s="12"/>
      <c r="DU1042" s="12"/>
      <c r="DV1042" s="12"/>
      <c r="DW1042" s="12"/>
      <c r="DX1042" s="12"/>
      <c r="DY1042" s="12"/>
      <c r="DZ1042" s="12"/>
      <c r="EA1042" s="12"/>
      <c r="EB1042" s="12"/>
      <c r="EC1042" s="12"/>
      <c r="ED1042" s="12"/>
      <c r="EE1042" s="12"/>
      <c r="EF1042" s="12"/>
      <c r="EG1042" s="12"/>
      <c r="EH1042" s="12"/>
      <c r="EI1042" s="12"/>
      <c r="EJ1042" s="574"/>
      <c r="EK1042" s="574"/>
      <c r="EL1042" s="574"/>
      <c r="EM1042" s="574"/>
      <c r="EN1042" s="574"/>
      <c r="EO1042" s="574"/>
      <c r="EP1042" s="574"/>
      <c r="EQ1042" s="574"/>
      <c r="ER1042" s="574"/>
      <c r="ES1042" s="574"/>
      <c r="ET1042" s="574"/>
      <c r="EU1042" s="574"/>
    </row>
    <row r="1043">
      <c r="A1043" s="12"/>
      <c r="B1043" s="55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2"/>
      <c r="AB1043" s="12"/>
      <c r="AC1043" s="12"/>
      <c r="AD1043" s="12"/>
      <c r="AE1043" s="12"/>
      <c r="AF1043" s="12"/>
      <c r="AG1043" s="12"/>
      <c r="AH1043" s="12"/>
      <c r="AI1043" s="12"/>
      <c r="AJ1043" s="12"/>
      <c r="AK1043" s="12"/>
      <c r="AL1043" s="12"/>
      <c r="AM1043" s="12"/>
      <c r="AN1043" s="12"/>
      <c r="AO1043" s="12"/>
      <c r="AP1043" s="12"/>
      <c r="AQ1043" s="12"/>
      <c r="AR1043" s="12"/>
      <c r="AS1043" s="12"/>
      <c r="AT1043" s="12"/>
      <c r="AU1043" s="12"/>
      <c r="AV1043" s="12"/>
      <c r="AW1043" s="12"/>
      <c r="AX1043" s="12"/>
      <c r="AY1043" s="12"/>
      <c r="AZ1043" s="12"/>
      <c r="BA1043" s="12"/>
      <c r="BB1043" s="12"/>
      <c r="BC1043" s="12"/>
      <c r="BD1043" s="12"/>
      <c r="BE1043" s="12"/>
      <c r="BF1043" s="12"/>
      <c r="BG1043" s="12"/>
      <c r="BH1043" s="12"/>
      <c r="BI1043" s="12"/>
      <c r="BJ1043" s="12"/>
      <c r="BK1043" s="12"/>
      <c r="BL1043" s="12"/>
      <c r="BM1043" s="12"/>
      <c r="BN1043" s="12"/>
      <c r="BO1043" s="12"/>
      <c r="BP1043" s="12"/>
      <c r="BQ1043" s="12"/>
      <c r="BR1043" s="12"/>
      <c r="BS1043" s="12"/>
      <c r="BT1043" s="12"/>
      <c r="BU1043" s="12"/>
      <c r="BV1043" s="12"/>
      <c r="BW1043" s="12"/>
      <c r="BX1043" s="12"/>
      <c r="BY1043" s="12"/>
      <c r="BZ1043" s="12"/>
      <c r="CA1043" s="12"/>
      <c r="CB1043" s="12"/>
      <c r="CC1043" s="12"/>
      <c r="CD1043" s="12"/>
      <c r="CE1043" s="12"/>
      <c r="CF1043" s="12"/>
      <c r="CG1043" s="12"/>
      <c r="CH1043" s="12"/>
      <c r="CI1043" s="12"/>
      <c r="CJ1043" s="12"/>
      <c r="CK1043" s="12"/>
      <c r="CL1043" s="12"/>
      <c r="CM1043" s="12"/>
      <c r="CN1043" s="12"/>
      <c r="CO1043" s="12"/>
      <c r="CP1043" s="12"/>
      <c r="CQ1043" s="12"/>
      <c r="CR1043" s="12"/>
      <c r="CS1043" s="12"/>
      <c r="CT1043" s="12"/>
      <c r="CU1043" s="12"/>
      <c r="CV1043" s="12"/>
      <c r="CW1043" s="12"/>
      <c r="CX1043" s="12"/>
      <c r="CY1043" s="12"/>
      <c r="CZ1043" s="12"/>
      <c r="DA1043" s="12"/>
      <c r="DB1043" s="12"/>
      <c r="DC1043" s="12"/>
      <c r="DD1043" s="12"/>
      <c r="DE1043" s="12"/>
      <c r="DF1043" s="12"/>
      <c r="DG1043" s="12"/>
      <c r="DH1043" s="12"/>
      <c r="DI1043" s="12"/>
      <c r="DJ1043" s="12"/>
      <c r="DK1043" s="12"/>
      <c r="DL1043" s="12"/>
      <c r="DM1043" s="12"/>
      <c r="DN1043" s="12"/>
      <c r="DO1043" s="12"/>
      <c r="DP1043" s="12"/>
      <c r="DQ1043" s="12"/>
      <c r="DR1043" s="12"/>
      <c r="DS1043" s="12"/>
      <c r="DT1043" s="12"/>
      <c r="DU1043" s="12"/>
      <c r="DV1043" s="12"/>
      <c r="DW1043" s="12"/>
      <c r="DX1043" s="12"/>
      <c r="DY1043" s="12"/>
      <c r="DZ1043" s="12"/>
      <c r="EA1043" s="12"/>
      <c r="EB1043" s="12"/>
      <c r="EC1043" s="12"/>
      <c r="ED1043" s="12"/>
      <c r="EE1043" s="12"/>
      <c r="EF1043" s="12"/>
      <c r="EG1043" s="12"/>
      <c r="EH1043" s="12"/>
      <c r="EI1043" s="12"/>
      <c r="EJ1043" s="574"/>
      <c r="EK1043" s="574"/>
      <c r="EL1043" s="574"/>
      <c r="EM1043" s="574"/>
      <c r="EN1043" s="574"/>
      <c r="EO1043" s="574"/>
      <c r="EP1043" s="574"/>
      <c r="EQ1043" s="574"/>
      <c r="ER1043" s="574"/>
      <c r="ES1043" s="574"/>
      <c r="ET1043" s="574"/>
      <c r="EU1043" s="574"/>
    </row>
    <row r="1044">
      <c r="A1044" s="12"/>
      <c r="B1044" s="55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2"/>
      <c r="AB1044" s="12"/>
      <c r="AC1044" s="12"/>
      <c r="AD1044" s="12"/>
      <c r="AE1044" s="12"/>
      <c r="AF1044" s="12"/>
      <c r="AG1044" s="12"/>
      <c r="AH1044" s="12"/>
      <c r="AI1044" s="12"/>
      <c r="AJ1044" s="12"/>
      <c r="AK1044" s="12"/>
      <c r="AL1044" s="12"/>
      <c r="AM1044" s="12"/>
      <c r="AN1044" s="12"/>
      <c r="AO1044" s="12"/>
      <c r="AP1044" s="12"/>
      <c r="AQ1044" s="12"/>
      <c r="AR1044" s="12"/>
      <c r="AS1044" s="12"/>
      <c r="AT1044" s="12"/>
      <c r="AU1044" s="12"/>
      <c r="AV1044" s="12"/>
      <c r="AW1044" s="12"/>
      <c r="AX1044" s="12"/>
      <c r="AY1044" s="12"/>
      <c r="AZ1044" s="12"/>
      <c r="BA1044" s="12"/>
      <c r="BB1044" s="12"/>
      <c r="BC1044" s="12"/>
      <c r="BD1044" s="12"/>
      <c r="BE1044" s="12"/>
      <c r="BF1044" s="12"/>
      <c r="BG1044" s="12"/>
      <c r="BH1044" s="12"/>
      <c r="BI1044" s="12"/>
      <c r="BJ1044" s="12"/>
      <c r="BK1044" s="12"/>
      <c r="BL1044" s="12"/>
      <c r="BM1044" s="12"/>
      <c r="BN1044" s="12"/>
      <c r="BO1044" s="12"/>
      <c r="BP1044" s="12"/>
      <c r="BQ1044" s="12"/>
      <c r="BR1044" s="12"/>
      <c r="BS1044" s="12"/>
      <c r="BT1044" s="12"/>
      <c r="BU1044" s="12"/>
      <c r="BV1044" s="12"/>
      <c r="BW1044" s="12"/>
      <c r="BX1044" s="12"/>
      <c r="BY1044" s="12"/>
      <c r="BZ1044" s="12"/>
      <c r="CA1044" s="12"/>
      <c r="CB1044" s="12"/>
      <c r="CC1044" s="12"/>
      <c r="CD1044" s="12"/>
      <c r="CE1044" s="12"/>
      <c r="CF1044" s="12"/>
      <c r="CG1044" s="12"/>
      <c r="CH1044" s="12"/>
      <c r="CI1044" s="12"/>
      <c r="CJ1044" s="12"/>
      <c r="CK1044" s="12"/>
      <c r="CL1044" s="12"/>
      <c r="CM1044" s="12"/>
      <c r="CN1044" s="12"/>
      <c r="CO1044" s="12"/>
      <c r="CP1044" s="12"/>
      <c r="CQ1044" s="12"/>
      <c r="CR1044" s="12"/>
      <c r="CS1044" s="12"/>
      <c r="CT1044" s="12"/>
      <c r="CU1044" s="12"/>
      <c r="CV1044" s="12"/>
      <c r="CW1044" s="12"/>
      <c r="CX1044" s="12"/>
      <c r="CY1044" s="12"/>
      <c r="CZ1044" s="12"/>
      <c r="DA1044" s="12"/>
      <c r="DB1044" s="12"/>
      <c r="DC1044" s="12"/>
      <c r="DD1044" s="12"/>
      <c r="DE1044" s="12"/>
      <c r="DF1044" s="12"/>
      <c r="DG1044" s="12"/>
      <c r="DH1044" s="12"/>
      <c r="DI1044" s="12"/>
      <c r="DJ1044" s="12"/>
      <c r="DK1044" s="12"/>
      <c r="DL1044" s="12"/>
      <c r="DM1044" s="12"/>
      <c r="DN1044" s="12"/>
      <c r="DO1044" s="12"/>
      <c r="DP1044" s="12"/>
      <c r="DQ1044" s="12"/>
      <c r="DR1044" s="12"/>
      <c r="DS1044" s="12"/>
      <c r="DT1044" s="12"/>
      <c r="DU1044" s="12"/>
      <c r="DV1044" s="12"/>
      <c r="DW1044" s="12"/>
      <c r="DX1044" s="12"/>
      <c r="DY1044" s="12"/>
      <c r="DZ1044" s="12"/>
      <c r="EA1044" s="12"/>
      <c r="EB1044" s="12"/>
      <c r="EC1044" s="12"/>
      <c r="ED1044" s="12"/>
      <c r="EE1044" s="12"/>
      <c r="EF1044" s="12"/>
      <c r="EG1044" s="12"/>
      <c r="EH1044" s="12"/>
      <c r="EI1044" s="12"/>
      <c r="EJ1044" s="574"/>
      <c r="EK1044" s="574"/>
      <c r="EL1044" s="574"/>
      <c r="EM1044" s="574"/>
      <c r="EN1044" s="574"/>
      <c r="EO1044" s="574"/>
      <c r="EP1044" s="574"/>
      <c r="EQ1044" s="574"/>
      <c r="ER1044" s="574"/>
      <c r="ES1044" s="574"/>
      <c r="ET1044" s="574"/>
      <c r="EU1044" s="574"/>
    </row>
    <row r="1045">
      <c r="A1045" s="12"/>
      <c r="B1045" s="55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2"/>
      <c r="AB1045" s="12"/>
      <c r="AC1045" s="12"/>
      <c r="AD1045" s="12"/>
      <c r="AE1045" s="12"/>
      <c r="AF1045" s="12"/>
      <c r="AG1045" s="12"/>
      <c r="AH1045" s="12"/>
      <c r="AI1045" s="12"/>
      <c r="AJ1045" s="12"/>
      <c r="AK1045" s="12"/>
      <c r="AL1045" s="12"/>
      <c r="AM1045" s="12"/>
      <c r="AN1045" s="12"/>
      <c r="AO1045" s="12"/>
      <c r="AP1045" s="12"/>
      <c r="AQ1045" s="12"/>
      <c r="AR1045" s="12"/>
      <c r="AS1045" s="12"/>
      <c r="AT1045" s="12"/>
      <c r="AU1045" s="12"/>
      <c r="AV1045" s="12"/>
      <c r="AW1045" s="12"/>
      <c r="AX1045" s="12"/>
      <c r="AY1045" s="12"/>
      <c r="AZ1045" s="12"/>
      <c r="BA1045" s="12"/>
      <c r="BB1045" s="12"/>
      <c r="BC1045" s="12"/>
      <c r="BD1045" s="12"/>
      <c r="BE1045" s="12"/>
      <c r="BF1045" s="12"/>
      <c r="BG1045" s="12"/>
      <c r="BH1045" s="12"/>
      <c r="BI1045" s="12"/>
      <c r="BJ1045" s="12"/>
      <c r="BK1045" s="12"/>
      <c r="BL1045" s="12"/>
      <c r="BM1045" s="12"/>
      <c r="BN1045" s="12"/>
      <c r="BO1045" s="12"/>
      <c r="BP1045" s="12"/>
      <c r="BQ1045" s="12"/>
      <c r="BR1045" s="12"/>
      <c r="BS1045" s="12"/>
      <c r="BT1045" s="12"/>
      <c r="BU1045" s="12"/>
      <c r="BV1045" s="12"/>
      <c r="BW1045" s="12"/>
      <c r="BX1045" s="12"/>
      <c r="BY1045" s="12"/>
      <c r="BZ1045" s="12"/>
      <c r="CA1045" s="12"/>
      <c r="CB1045" s="12"/>
      <c r="CC1045" s="12"/>
      <c r="CD1045" s="12"/>
      <c r="CE1045" s="12"/>
      <c r="CF1045" s="12"/>
      <c r="CG1045" s="12"/>
      <c r="CH1045" s="12"/>
      <c r="CI1045" s="12"/>
      <c r="CJ1045" s="12"/>
      <c r="CK1045" s="12"/>
      <c r="CL1045" s="12"/>
      <c r="CM1045" s="12"/>
      <c r="CN1045" s="12"/>
      <c r="CO1045" s="12"/>
      <c r="CP1045" s="12"/>
      <c r="CQ1045" s="12"/>
      <c r="CR1045" s="12"/>
      <c r="CS1045" s="12"/>
      <c r="CT1045" s="12"/>
      <c r="CU1045" s="12"/>
      <c r="CV1045" s="12"/>
      <c r="CW1045" s="12"/>
      <c r="CX1045" s="12"/>
      <c r="CY1045" s="12"/>
      <c r="CZ1045" s="12"/>
      <c r="DA1045" s="12"/>
      <c r="DB1045" s="12"/>
      <c r="DC1045" s="12"/>
      <c r="DD1045" s="12"/>
      <c r="DE1045" s="12"/>
      <c r="DF1045" s="12"/>
      <c r="DG1045" s="12"/>
      <c r="DH1045" s="12"/>
      <c r="DI1045" s="12"/>
      <c r="DJ1045" s="12"/>
      <c r="DK1045" s="12"/>
      <c r="DL1045" s="12"/>
      <c r="DM1045" s="12"/>
      <c r="DN1045" s="12"/>
      <c r="DO1045" s="12"/>
      <c r="DP1045" s="12"/>
      <c r="DQ1045" s="12"/>
      <c r="DR1045" s="12"/>
      <c r="DS1045" s="12"/>
      <c r="DT1045" s="12"/>
      <c r="DU1045" s="12"/>
      <c r="DV1045" s="12"/>
      <c r="DW1045" s="12"/>
      <c r="DX1045" s="12"/>
      <c r="DY1045" s="12"/>
      <c r="DZ1045" s="12"/>
      <c r="EA1045" s="12"/>
      <c r="EB1045" s="12"/>
      <c r="EC1045" s="12"/>
      <c r="ED1045" s="12"/>
      <c r="EE1045" s="12"/>
      <c r="EF1045" s="12"/>
      <c r="EG1045" s="12"/>
      <c r="EH1045" s="12"/>
      <c r="EI1045" s="12"/>
      <c r="EJ1045" s="574"/>
      <c r="EK1045" s="574"/>
      <c r="EL1045" s="574"/>
      <c r="EM1045" s="574"/>
      <c r="EN1045" s="574"/>
      <c r="EO1045" s="574"/>
      <c r="EP1045" s="574"/>
      <c r="EQ1045" s="574"/>
      <c r="ER1045" s="574"/>
      <c r="ES1045" s="574"/>
      <c r="ET1045" s="574"/>
      <c r="EU1045" s="574"/>
    </row>
    <row r="1046">
      <c r="A1046" s="12"/>
      <c r="B1046" s="55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2"/>
      <c r="AB1046" s="12"/>
      <c r="AC1046" s="12"/>
      <c r="AD1046" s="12"/>
      <c r="AE1046" s="12"/>
      <c r="AF1046" s="12"/>
      <c r="AG1046" s="12"/>
      <c r="AH1046" s="12"/>
      <c r="AI1046" s="12"/>
      <c r="AJ1046" s="12"/>
      <c r="AK1046" s="12"/>
      <c r="AL1046" s="12"/>
      <c r="AM1046" s="12"/>
      <c r="AN1046" s="12"/>
      <c r="AO1046" s="12"/>
      <c r="AP1046" s="12"/>
      <c r="AQ1046" s="12"/>
      <c r="AR1046" s="12"/>
      <c r="AS1046" s="12"/>
      <c r="AT1046" s="12"/>
      <c r="AU1046" s="12"/>
      <c r="AV1046" s="12"/>
      <c r="AW1046" s="12"/>
      <c r="AX1046" s="12"/>
      <c r="AY1046" s="12"/>
      <c r="AZ1046" s="12"/>
      <c r="BA1046" s="12"/>
      <c r="BB1046" s="12"/>
      <c r="BC1046" s="12"/>
      <c r="BD1046" s="12"/>
      <c r="BE1046" s="12"/>
      <c r="BF1046" s="12"/>
      <c r="BG1046" s="12"/>
      <c r="BH1046" s="12"/>
      <c r="BI1046" s="12"/>
      <c r="BJ1046" s="12"/>
      <c r="BK1046" s="12"/>
      <c r="BL1046" s="12"/>
      <c r="BM1046" s="12"/>
      <c r="BN1046" s="12"/>
      <c r="BO1046" s="12"/>
      <c r="BP1046" s="12"/>
      <c r="BQ1046" s="12"/>
      <c r="BR1046" s="12"/>
      <c r="BS1046" s="12"/>
      <c r="BT1046" s="12"/>
      <c r="BU1046" s="12"/>
      <c r="BV1046" s="12"/>
      <c r="BW1046" s="12"/>
      <c r="BX1046" s="12"/>
      <c r="BY1046" s="12"/>
      <c r="BZ1046" s="12"/>
      <c r="CA1046" s="12"/>
      <c r="CB1046" s="12"/>
      <c r="CC1046" s="12"/>
      <c r="CD1046" s="12"/>
      <c r="CE1046" s="12"/>
      <c r="CF1046" s="12"/>
      <c r="CG1046" s="12"/>
      <c r="CH1046" s="12"/>
      <c r="CI1046" s="12"/>
      <c r="CJ1046" s="12"/>
      <c r="CK1046" s="12"/>
      <c r="CL1046" s="12"/>
      <c r="CM1046" s="12"/>
      <c r="CN1046" s="12"/>
      <c r="CO1046" s="12"/>
      <c r="CP1046" s="12"/>
      <c r="CQ1046" s="12"/>
      <c r="CR1046" s="12"/>
      <c r="CS1046" s="12"/>
      <c r="CT1046" s="12"/>
      <c r="CU1046" s="12"/>
      <c r="CV1046" s="12"/>
      <c r="CW1046" s="12"/>
      <c r="CX1046" s="12"/>
      <c r="CY1046" s="12"/>
      <c r="CZ1046" s="12"/>
      <c r="DA1046" s="12"/>
      <c r="DB1046" s="12"/>
      <c r="DC1046" s="12"/>
      <c r="DD1046" s="12"/>
      <c r="DE1046" s="12"/>
      <c r="DF1046" s="12"/>
      <c r="DG1046" s="12"/>
      <c r="DH1046" s="12"/>
      <c r="DI1046" s="12"/>
      <c r="DJ1046" s="12"/>
      <c r="DK1046" s="12"/>
      <c r="DL1046" s="12"/>
      <c r="DM1046" s="12"/>
      <c r="DN1046" s="12"/>
      <c r="DO1046" s="12"/>
      <c r="DP1046" s="12"/>
      <c r="DQ1046" s="12"/>
      <c r="DR1046" s="12"/>
      <c r="DS1046" s="12"/>
      <c r="DT1046" s="12"/>
      <c r="DU1046" s="12"/>
      <c r="DV1046" s="12"/>
      <c r="DW1046" s="12"/>
      <c r="DX1046" s="12"/>
      <c r="DY1046" s="12"/>
      <c r="DZ1046" s="12"/>
      <c r="EA1046" s="12"/>
      <c r="EB1046" s="12"/>
      <c r="EC1046" s="12"/>
      <c r="ED1046" s="12"/>
      <c r="EE1046" s="12"/>
      <c r="EF1046" s="12"/>
      <c r="EG1046" s="12"/>
      <c r="EH1046" s="12"/>
      <c r="EI1046" s="12"/>
      <c r="EJ1046" s="574"/>
      <c r="EK1046" s="574"/>
      <c r="EL1046" s="574"/>
      <c r="EM1046" s="574"/>
      <c r="EN1046" s="574"/>
      <c r="EO1046" s="574"/>
      <c r="EP1046" s="574"/>
      <c r="EQ1046" s="574"/>
      <c r="ER1046" s="574"/>
      <c r="ES1046" s="574"/>
      <c r="ET1046" s="574"/>
      <c r="EU1046" s="574"/>
    </row>
    <row r="1047">
      <c r="A1047" s="12"/>
      <c r="B1047" s="55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2"/>
      <c r="AB1047" s="12"/>
      <c r="AC1047" s="12"/>
      <c r="AD1047" s="12"/>
      <c r="AE1047" s="12"/>
      <c r="AF1047" s="12"/>
      <c r="AG1047" s="12"/>
      <c r="AH1047" s="12"/>
      <c r="AI1047" s="12"/>
      <c r="AJ1047" s="12"/>
      <c r="AK1047" s="12"/>
      <c r="AL1047" s="12"/>
      <c r="AM1047" s="12"/>
      <c r="AN1047" s="12"/>
      <c r="AO1047" s="12"/>
      <c r="AP1047" s="12"/>
      <c r="AQ1047" s="12"/>
      <c r="AR1047" s="12"/>
      <c r="AS1047" s="12"/>
      <c r="AT1047" s="12"/>
      <c r="AU1047" s="12"/>
      <c r="AV1047" s="12"/>
      <c r="AW1047" s="12"/>
      <c r="AX1047" s="12"/>
      <c r="AY1047" s="12"/>
      <c r="AZ1047" s="12"/>
      <c r="BA1047" s="12"/>
      <c r="BB1047" s="12"/>
      <c r="BC1047" s="12"/>
      <c r="BD1047" s="12"/>
      <c r="BE1047" s="12"/>
      <c r="BF1047" s="12"/>
      <c r="BG1047" s="12"/>
      <c r="BH1047" s="12"/>
      <c r="BI1047" s="12"/>
      <c r="BJ1047" s="12"/>
      <c r="BK1047" s="12"/>
      <c r="BL1047" s="12"/>
      <c r="BM1047" s="12"/>
      <c r="BN1047" s="12"/>
      <c r="BO1047" s="12"/>
      <c r="BP1047" s="12"/>
      <c r="BQ1047" s="12"/>
      <c r="BR1047" s="12"/>
      <c r="BS1047" s="12"/>
      <c r="BT1047" s="12"/>
      <c r="BU1047" s="12"/>
      <c r="BV1047" s="12"/>
      <c r="BW1047" s="12"/>
      <c r="BX1047" s="12"/>
      <c r="BY1047" s="12"/>
      <c r="BZ1047" s="12"/>
      <c r="CA1047" s="12"/>
      <c r="CB1047" s="12"/>
      <c r="CC1047" s="12"/>
      <c r="CD1047" s="12"/>
      <c r="CE1047" s="12"/>
      <c r="CF1047" s="12"/>
      <c r="CG1047" s="12"/>
      <c r="CH1047" s="12"/>
      <c r="CI1047" s="12"/>
      <c r="CJ1047" s="12"/>
      <c r="CK1047" s="12"/>
      <c r="CL1047" s="12"/>
      <c r="CM1047" s="12"/>
      <c r="CN1047" s="12"/>
      <c r="CO1047" s="12"/>
      <c r="CP1047" s="12"/>
      <c r="CQ1047" s="12"/>
      <c r="CR1047" s="12"/>
      <c r="CS1047" s="12"/>
      <c r="CT1047" s="12"/>
      <c r="CU1047" s="12"/>
      <c r="CV1047" s="12"/>
      <c r="CW1047" s="12"/>
      <c r="CX1047" s="12"/>
      <c r="CY1047" s="12"/>
      <c r="CZ1047" s="12"/>
      <c r="DA1047" s="12"/>
      <c r="DB1047" s="12"/>
      <c r="DC1047" s="12"/>
      <c r="DD1047" s="12"/>
      <c r="DE1047" s="12"/>
      <c r="DF1047" s="12"/>
      <c r="DG1047" s="12"/>
      <c r="DH1047" s="12"/>
      <c r="DI1047" s="12"/>
      <c r="DJ1047" s="12"/>
      <c r="DK1047" s="12"/>
      <c r="DL1047" s="12"/>
      <c r="DM1047" s="12"/>
      <c r="DN1047" s="12"/>
      <c r="DO1047" s="12"/>
      <c r="DP1047" s="12"/>
      <c r="DQ1047" s="12"/>
      <c r="DR1047" s="12"/>
      <c r="DS1047" s="12"/>
      <c r="DT1047" s="12"/>
      <c r="DU1047" s="12"/>
      <c r="DV1047" s="12"/>
      <c r="DW1047" s="12"/>
      <c r="DX1047" s="12"/>
      <c r="DY1047" s="12"/>
      <c r="DZ1047" s="12"/>
      <c r="EA1047" s="12"/>
      <c r="EB1047" s="12"/>
      <c r="EC1047" s="12"/>
      <c r="ED1047" s="12"/>
      <c r="EE1047" s="12"/>
      <c r="EF1047" s="12"/>
      <c r="EG1047" s="12"/>
      <c r="EH1047" s="12"/>
      <c r="EI1047" s="12"/>
      <c r="EJ1047" s="574"/>
      <c r="EK1047" s="574"/>
      <c r="EL1047" s="574"/>
      <c r="EM1047" s="574"/>
      <c r="EN1047" s="574"/>
      <c r="EO1047" s="574"/>
      <c r="EP1047" s="574"/>
      <c r="EQ1047" s="574"/>
      <c r="ER1047" s="574"/>
      <c r="ES1047" s="574"/>
      <c r="ET1047" s="574"/>
      <c r="EU1047" s="574"/>
    </row>
    <row r="1048">
      <c r="A1048" s="12"/>
      <c r="B1048" s="55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2"/>
      <c r="AB1048" s="12"/>
      <c r="AC1048" s="12"/>
      <c r="AD1048" s="12"/>
      <c r="AE1048" s="12"/>
      <c r="AF1048" s="12"/>
      <c r="AG1048" s="12"/>
      <c r="AH1048" s="12"/>
      <c r="AI1048" s="12"/>
      <c r="AJ1048" s="12"/>
      <c r="AK1048" s="12"/>
      <c r="AL1048" s="12"/>
      <c r="AM1048" s="12"/>
      <c r="AN1048" s="12"/>
      <c r="AO1048" s="12"/>
      <c r="AP1048" s="12"/>
      <c r="AQ1048" s="12"/>
      <c r="AR1048" s="12"/>
      <c r="AS1048" s="12"/>
      <c r="AT1048" s="12"/>
      <c r="AU1048" s="12"/>
      <c r="AV1048" s="12"/>
      <c r="AW1048" s="12"/>
      <c r="AX1048" s="12"/>
      <c r="AY1048" s="12"/>
      <c r="AZ1048" s="12"/>
      <c r="BA1048" s="12"/>
      <c r="BB1048" s="12"/>
      <c r="BC1048" s="12"/>
      <c r="BD1048" s="12"/>
      <c r="BE1048" s="12"/>
      <c r="BF1048" s="12"/>
      <c r="BG1048" s="12"/>
      <c r="BH1048" s="12"/>
      <c r="BI1048" s="12"/>
      <c r="BJ1048" s="12"/>
      <c r="BK1048" s="12"/>
      <c r="BL1048" s="12"/>
      <c r="BM1048" s="12"/>
      <c r="BN1048" s="12"/>
      <c r="BO1048" s="12"/>
      <c r="BP1048" s="12"/>
      <c r="BQ1048" s="12"/>
      <c r="BR1048" s="12"/>
      <c r="BS1048" s="12"/>
      <c r="BT1048" s="12"/>
      <c r="BU1048" s="12"/>
      <c r="BV1048" s="12"/>
      <c r="BW1048" s="12"/>
      <c r="BX1048" s="12"/>
      <c r="BY1048" s="12"/>
      <c r="BZ1048" s="12"/>
      <c r="CA1048" s="12"/>
      <c r="CB1048" s="12"/>
      <c r="CC1048" s="12"/>
      <c r="CD1048" s="12"/>
      <c r="CE1048" s="12"/>
      <c r="CF1048" s="12"/>
      <c r="CG1048" s="12"/>
      <c r="CH1048" s="12"/>
      <c r="CI1048" s="12"/>
      <c r="CJ1048" s="12"/>
      <c r="CK1048" s="12"/>
      <c r="CL1048" s="12"/>
      <c r="CM1048" s="12"/>
      <c r="CN1048" s="12"/>
      <c r="CO1048" s="12"/>
      <c r="CP1048" s="12"/>
      <c r="CQ1048" s="12"/>
      <c r="CR1048" s="12"/>
      <c r="CS1048" s="12"/>
      <c r="CT1048" s="12"/>
      <c r="CU1048" s="12"/>
      <c r="CV1048" s="12"/>
      <c r="CW1048" s="12"/>
      <c r="CX1048" s="12"/>
      <c r="CY1048" s="12"/>
      <c r="CZ1048" s="12"/>
      <c r="DA1048" s="12"/>
      <c r="DB1048" s="12"/>
      <c r="DC1048" s="12"/>
      <c r="DD1048" s="12"/>
      <c r="DE1048" s="12"/>
      <c r="DF1048" s="12"/>
      <c r="DG1048" s="12"/>
      <c r="DH1048" s="12"/>
      <c r="DI1048" s="12"/>
      <c r="DJ1048" s="12"/>
      <c r="DK1048" s="12"/>
      <c r="DL1048" s="12"/>
      <c r="DM1048" s="12"/>
      <c r="DN1048" s="12"/>
      <c r="DO1048" s="12"/>
      <c r="DP1048" s="12"/>
      <c r="DQ1048" s="12"/>
      <c r="DR1048" s="12"/>
      <c r="DS1048" s="12"/>
      <c r="DT1048" s="12"/>
      <c r="DU1048" s="12"/>
      <c r="DV1048" s="12"/>
      <c r="DW1048" s="12"/>
      <c r="DX1048" s="12"/>
      <c r="DY1048" s="12"/>
      <c r="DZ1048" s="12"/>
      <c r="EA1048" s="12"/>
      <c r="EB1048" s="12"/>
      <c r="EC1048" s="12"/>
      <c r="ED1048" s="12"/>
      <c r="EE1048" s="12"/>
      <c r="EF1048" s="12"/>
      <c r="EG1048" s="12"/>
      <c r="EH1048" s="12"/>
      <c r="EI1048" s="12"/>
      <c r="EJ1048" s="574"/>
      <c r="EK1048" s="574"/>
      <c r="EL1048" s="574"/>
      <c r="EM1048" s="574"/>
      <c r="EN1048" s="574"/>
      <c r="EO1048" s="574"/>
      <c r="EP1048" s="574"/>
      <c r="EQ1048" s="574"/>
      <c r="ER1048" s="574"/>
      <c r="ES1048" s="574"/>
      <c r="ET1048" s="574"/>
      <c r="EU1048" s="574"/>
    </row>
    <row r="1049">
      <c r="A1049" s="12"/>
      <c r="B1049" s="55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2"/>
      <c r="AB1049" s="12"/>
      <c r="AC1049" s="12"/>
      <c r="AD1049" s="12"/>
      <c r="AE1049" s="12"/>
      <c r="AF1049" s="12"/>
      <c r="AG1049" s="12"/>
      <c r="AH1049" s="12"/>
      <c r="AI1049" s="12"/>
      <c r="AJ1049" s="12"/>
      <c r="AK1049" s="12"/>
      <c r="AL1049" s="12"/>
      <c r="AM1049" s="12"/>
      <c r="AN1049" s="12"/>
      <c r="AO1049" s="12"/>
      <c r="AP1049" s="12"/>
      <c r="AQ1049" s="12"/>
      <c r="AR1049" s="12"/>
      <c r="AS1049" s="12"/>
      <c r="AT1049" s="12"/>
      <c r="AU1049" s="12"/>
      <c r="AV1049" s="12"/>
      <c r="AW1049" s="12"/>
      <c r="AX1049" s="12"/>
      <c r="AY1049" s="12"/>
      <c r="AZ1049" s="12"/>
      <c r="BA1049" s="12"/>
      <c r="BB1049" s="12"/>
      <c r="BC1049" s="12"/>
      <c r="BD1049" s="12"/>
      <c r="BE1049" s="12"/>
      <c r="BF1049" s="12"/>
      <c r="BG1049" s="12"/>
      <c r="BH1049" s="12"/>
      <c r="BI1049" s="12"/>
      <c r="BJ1049" s="12"/>
      <c r="BK1049" s="12"/>
      <c r="BL1049" s="12"/>
      <c r="BM1049" s="12"/>
      <c r="BN1049" s="12"/>
      <c r="BO1049" s="12"/>
      <c r="BP1049" s="12"/>
      <c r="BQ1049" s="12"/>
      <c r="BR1049" s="12"/>
      <c r="BS1049" s="12"/>
      <c r="BT1049" s="12"/>
      <c r="BU1049" s="12"/>
      <c r="BV1049" s="12"/>
      <c r="BW1049" s="12"/>
      <c r="BX1049" s="12"/>
      <c r="BY1049" s="12"/>
      <c r="BZ1049" s="12"/>
      <c r="CA1049" s="12"/>
      <c r="CB1049" s="12"/>
      <c r="CC1049" s="12"/>
      <c r="CD1049" s="12"/>
      <c r="CE1049" s="12"/>
      <c r="CF1049" s="12"/>
      <c r="CG1049" s="12"/>
      <c r="CH1049" s="12"/>
      <c r="CI1049" s="12"/>
      <c r="CJ1049" s="12"/>
      <c r="CK1049" s="12"/>
      <c r="CL1049" s="12"/>
      <c r="CM1049" s="12"/>
      <c r="CN1049" s="12"/>
      <c r="CO1049" s="12"/>
      <c r="CP1049" s="12"/>
      <c r="CQ1049" s="12"/>
      <c r="CR1049" s="12"/>
      <c r="CS1049" s="12"/>
      <c r="CT1049" s="12"/>
      <c r="CU1049" s="12"/>
      <c r="CV1049" s="12"/>
      <c r="CW1049" s="12"/>
      <c r="CX1049" s="12"/>
      <c r="CY1049" s="12"/>
      <c r="CZ1049" s="12"/>
      <c r="DA1049" s="12"/>
      <c r="DB1049" s="12"/>
      <c r="DC1049" s="12"/>
      <c r="DD1049" s="12"/>
      <c r="DE1049" s="12"/>
      <c r="DF1049" s="12"/>
      <c r="DG1049" s="12"/>
      <c r="DH1049" s="12"/>
      <c r="DI1049" s="12"/>
      <c r="DJ1049" s="12"/>
      <c r="DK1049" s="12"/>
      <c r="DL1049" s="12"/>
      <c r="DM1049" s="12"/>
      <c r="DN1049" s="12"/>
      <c r="DO1049" s="12"/>
      <c r="DP1049" s="12"/>
      <c r="DQ1049" s="12"/>
      <c r="DR1049" s="12"/>
      <c r="DS1049" s="12"/>
      <c r="DT1049" s="12"/>
      <c r="DU1049" s="12"/>
      <c r="DV1049" s="12"/>
      <c r="DW1049" s="12"/>
      <c r="DX1049" s="12"/>
      <c r="DY1049" s="12"/>
      <c r="DZ1049" s="12"/>
      <c r="EA1049" s="12"/>
      <c r="EB1049" s="12"/>
      <c r="EC1049" s="12"/>
      <c r="ED1049" s="12"/>
      <c r="EE1049" s="12"/>
      <c r="EF1049" s="12"/>
      <c r="EG1049" s="12"/>
      <c r="EH1049" s="12"/>
      <c r="EI1049" s="12"/>
      <c r="EJ1049" s="574"/>
      <c r="EK1049" s="574"/>
      <c r="EL1049" s="574"/>
      <c r="EM1049" s="574"/>
      <c r="EN1049" s="574"/>
      <c r="EO1049" s="574"/>
      <c r="EP1049" s="574"/>
      <c r="EQ1049" s="574"/>
      <c r="ER1049" s="574"/>
      <c r="ES1049" s="574"/>
      <c r="ET1049" s="574"/>
      <c r="EU1049" s="574"/>
    </row>
    <row r="1050">
      <c r="A1050" s="12"/>
      <c r="B1050" s="55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2"/>
      <c r="AB1050" s="12"/>
      <c r="AC1050" s="12"/>
      <c r="AD1050" s="12"/>
      <c r="AE1050" s="12"/>
      <c r="AF1050" s="12"/>
      <c r="AG1050" s="12"/>
      <c r="AH1050" s="12"/>
      <c r="AI1050" s="12"/>
      <c r="AJ1050" s="12"/>
      <c r="AK1050" s="12"/>
      <c r="AL1050" s="12"/>
      <c r="AM1050" s="12"/>
      <c r="AN1050" s="12"/>
      <c r="AO1050" s="12"/>
      <c r="AP1050" s="12"/>
      <c r="AQ1050" s="12"/>
      <c r="AR1050" s="12"/>
      <c r="AS1050" s="12"/>
      <c r="AT1050" s="12"/>
      <c r="AU1050" s="12"/>
      <c r="AV1050" s="12"/>
      <c r="AW1050" s="12"/>
      <c r="AX1050" s="12"/>
      <c r="AY1050" s="12"/>
      <c r="AZ1050" s="12"/>
      <c r="BA1050" s="12"/>
      <c r="BB1050" s="12"/>
      <c r="BC1050" s="12"/>
      <c r="BD1050" s="12"/>
      <c r="BE1050" s="12"/>
      <c r="BF1050" s="12"/>
      <c r="BG1050" s="12"/>
      <c r="BH1050" s="12"/>
      <c r="BI1050" s="12"/>
      <c r="BJ1050" s="12"/>
      <c r="BK1050" s="12"/>
      <c r="BL1050" s="12"/>
      <c r="BM1050" s="12"/>
      <c r="BN1050" s="12"/>
      <c r="BO1050" s="12"/>
      <c r="BP1050" s="12"/>
      <c r="BQ1050" s="12"/>
      <c r="BR1050" s="12"/>
      <c r="BS1050" s="12"/>
      <c r="BT1050" s="12"/>
      <c r="BU1050" s="12"/>
      <c r="BV1050" s="12"/>
      <c r="BW1050" s="12"/>
      <c r="BX1050" s="12"/>
      <c r="BY1050" s="12"/>
      <c r="BZ1050" s="12"/>
      <c r="CA1050" s="12"/>
      <c r="CB1050" s="12"/>
      <c r="CC1050" s="12"/>
      <c r="CD1050" s="12"/>
      <c r="CE1050" s="12"/>
      <c r="CF1050" s="12"/>
      <c r="CG1050" s="12"/>
      <c r="CH1050" s="12"/>
      <c r="CI1050" s="12"/>
      <c r="CJ1050" s="12"/>
      <c r="CK1050" s="12"/>
      <c r="CL1050" s="12"/>
      <c r="CM1050" s="12"/>
      <c r="CN1050" s="12"/>
      <c r="CO1050" s="12"/>
      <c r="CP1050" s="12"/>
      <c r="CQ1050" s="12"/>
      <c r="CR1050" s="12"/>
      <c r="CS1050" s="12"/>
      <c r="CT1050" s="12"/>
      <c r="CU1050" s="12"/>
      <c r="CV1050" s="12"/>
      <c r="CW1050" s="12"/>
      <c r="CX1050" s="12"/>
      <c r="CY1050" s="12"/>
      <c r="CZ1050" s="12"/>
      <c r="DA1050" s="12"/>
      <c r="DB1050" s="12"/>
      <c r="DC1050" s="12"/>
      <c r="DD1050" s="12"/>
      <c r="DE1050" s="12"/>
      <c r="DF1050" s="12"/>
      <c r="DG1050" s="12"/>
      <c r="DH1050" s="12"/>
      <c r="DI1050" s="12"/>
      <c r="DJ1050" s="12"/>
      <c r="DK1050" s="12"/>
      <c r="DL1050" s="12"/>
      <c r="DM1050" s="12"/>
      <c r="DN1050" s="12"/>
      <c r="DO1050" s="12"/>
      <c r="DP1050" s="12"/>
      <c r="DQ1050" s="12"/>
      <c r="DR1050" s="12"/>
      <c r="DS1050" s="12"/>
      <c r="DT1050" s="12"/>
      <c r="DU1050" s="12"/>
      <c r="DV1050" s="12"/>
      <c r="DW1050" s="12"/>
      <c r="DX1050" s="12"/>
      <c r="DY1050" s="12"/>
      <c r="DZ1050" s="12"/>
      <c r="EA1050" s="12"/>
      <c r="EB1050" s="12"/>
      <c r="EC1050" s="12"/>
      <c r="ED1050" s="12"/>
      <c r="EE1050" s="12"/>
      <c r="EF1050" s="12"/>
      <c r="EG1050" s="12"/>
      <c r="EH1050" s="12"/>
      <c r="EI1050" s="12"/>
      <c r="EJ1050" s="574"/>
      <c r="EK1050" s="574"/>
      <c r="EL1050" s="574"/>
      <c r="EM1050" s="574"/>
      <c r="EN1050" s="574"/>
      <c r="EO1050" s="574"/>
      <c r="EP1050" s="574"/>
      <c r="EQ1050" s="574"/>
      <c r="ER1050" s="574"/>
      <c r="ES1050" s="574"/>
      <c r="ET1050" s="574"/>
      <c r="EU1050" s="574"/>
    </row>
    <row r="1051">
      <c r="A1051" s="12"/>
      <c r="B1051" s="55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2"/>
      <c r="AB1051" s="12"/>
      <c r="AC1051" s="12"/>
      <c r="AD1051" s="12"/>
      <c r="AE1051" s="12"/>
      <c r="AF1051" s="12"/>
      <c r="AG1051" s="12"/>
      <c r="AH1051" s="12"/>
      <c r="AI1051" s="12"/>
      <c r="AJ1051" s="12"/>
      <c r="AK1051" s="12"/>
      <c r="AL1051" s="12"/>
      <c r="AM1051" s="12"/>
      <c r="AN1051" s="12"/>
      <c r="AO1051" s="12"/>
      <c r="AP1051" s="12"/>
      <c r="AQ1051" s="12"/>
      <c r="AR1051" s="12"/>
      <c r="AS1051" s="12"/>
      <c r="AT1051" s="12"/>
      <c r="AU1051" s="12"/>
      <c r="AV1051" s="12"/>
      <c r="AW1051" s="12"/>
      <c r="AX1051" s="12"/>
      <c r="AY1051" s="12"/>
      <c r="AZ1051" s="12"/>
      <c r="BA1051" s="12"/>
      <c r="BB1051" s="12"/>
      <c r="BC1051" s="12"/>
      <c r="BD1051" s="12"/>
      <c r="BE1051" s="12"/>
      <c r="BF1051" s="12"/>
      <c r="BG1051" s="12"/>
      <c r="BH1051" s="12"/>
      <c r="BI1051" s="12"/>
      <c r="BJ1051" s="12"/>
      <c r="BK1051" s="12"/>
      <c r="BL1051" s="12"/>
      <c r="BM1051" s="12"/>
      <c r="BN1051" s="12"/>
      <c r="BO1051" s="12"/>
      <c r="BP1051" s="12"/>
      <c r="BQ1051" s="12"/>
      <c r="BR1051" s="12"/>
      <c r="BS1051" s="12"/>
      <c r="BT1051" s="12"/>
      <c r="BU1051" s="12"/>
      <c r="BV1051" s="12"/>
      <c r="BW1051" s="12"/>
      <c r="BX1051" s="12"/>
      <c r="BY1051" s="12"/>
      <c r="BZ1051" s="12"/>
      <c r="CA1051" s="12"/>
      <c r="CB1051" s="12"/>
      <c r="CC1051" s="12"/>
      <c r="CD1051" s="12"/>
      <c r="CE1051" s="12"/>
      <c r="CF1051" s="12"/>
      <c r="CG1051" s="12"/>
      <c r="CH1051" s="12"/>
      <c r="CI1051" s="12"/>
      <c r="CJ1051" s="12"/>
      <c r="CK1051" s="12"/>
      <c r="CL1051" s="12"/>
      <c r="CM1051" s="12"/>
      <c r="CN1051" s="12"/>
      <c r="CO1051" s="12"/>
      <c r="CP1051" s="12"/>
      <c r="CQ1051" s="12"/>
      <c r="CR1051" s="12"/>
      <c r="CS1051" s="12"/>
      <c r="CT1051" s="12"/>
      <c r="CU1051" s="12"/>
      <c r="CV1051" s="12"/>
      <c r="CW1051" s="12"/>
      <c r="CX1051" s="12"/>
      <c r="CY1051" s="12"/>
      <c r="CZ1051" s="12"/>
      <c r="DA1051" s="12"/>
      <c r="DB1051" s="12"/>
      <c r="DC1051" s="12"/>
      <c r="DD1051" s="12"/>
      <c r="DE1051" s="12"/>
      <c r="DF1051" s="12"/>
      <c r="DG1051" s="12"/>
      <c r="DH1051" s="12"/>
      <c r="DI1051" s="12"/>
      <c r="DJ1051" s="12"/>
      <c r="DK1051" s="12"/>
      <c r="DL1051" s="12"/>
      <c r="DM1051" s="12"/>
      <c r="DN1051" s="12"/>
      <c r="DO1051" s="12"/>
      <c r="DP1051" s="12"/>
      <c r="DQ1051" s="12"/>
      <c r="DR1051" s="12"/>
      <c r="DS1051" s="12"/>
      <c r="DT1051" s="12"/>
      <c r="DU1051" s="12"/>
      <c r="DV1051" s="12"/>
      <c r="DW1051" s="12"/>
      <c r="DX1051" s="12"/>
      <c r="DY1051" s="12"/>
      <c r="DZ1051" s="12"/>
      <c r="EA1051" s="12"/>
      <c r="EB1051" s="12"/>
      <c r="EC1051" s="12"/>
      <c r="ED1051" s="12"/>
      <c r="EE1051" s="12"/>
      <c r="EF1051" s="12"/>
      <c r="EG1051" s="12"/>
      <c r="EH1051" s="12"/>
      <c r="EI1051" s="12"/>
      <c r="EJ1051" s="574"/>
      <c r="EK1051" s="574"/>
      <c r="EL1051" s="574"/>
      <c r="EM1051" s="574"/>
      <c r="EN1051" s="574"/>
      <c r="EO1051" s="574"/>
      <c r="EP1051" s="574"/>
      <c r="EQ1051" s="574"/>
      <c r="ER1051" s="574"/>
      <c r="ES1051" s="574"/>
      <c r="ET1051" s="574"/>
      <c r="EU1051" s="574"/>
    </row>
    <row r="1052">
      <c r="A1052" s="12"/>
      <c r="B1052" s="55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  <c r="AA1052" s="12"/>
      <c r="AB1052" s="12"/>
      <c r="AC1052" s="12"/>
      <c r="AD1052" s="12"/>
      <c r="AE1052" s="12"/>
      <c r="AF1052" s="12"/>
      <c r="AG1052" s="12"/>
      <c r="AH1052" s="12"/>
      <c r="AI1052" s="12"/>
      <c r="AJ1052" s="12"/>
      <c r="AK1052" s="12"/>
      <c r="AL1052" s="12"/>
      <c r="AM1052" s="12"/>
      <c r="AN1052" s="12"/>
      <c r="AO1052" s="12"/>
      <c r="AP1052" s="12"/>
      <c r="AQ1052" s="12"/>
      <c r="AR1052" s="12"/>
      <c r="AS1052" s="12"/>
      <c r="AT1052" s="12"/>
      <c r="AU1052" s="12"/>
      <c r="AV1052" s="12"/>
      <c r="AW1052" s="12"/>
      <c r="AX1052" s="12"/>
      <c r="AY1052" s="12"/>
      <c r="AZ1052" s="12"/>
      <c r="BA1052" s="12"/>
      <c r="BB1052" s="12"/>
      <c r="BC1052" s="12"/>
      <c r="BD1052" s="12"/>
      <c r="BE1052" s="12"/>
      <c r="BF1052" s="12"/>
      <c r="BG1052" s="12"/>
      <c r="BH1052" s="12"/>
      <c r="BI1052" s="12"/>
      <c r="BJ1052" s="12"/>
      <c r="BK1052" s="12"/>
      <c r="BL1052" s="12"/>
      <c r="BM1052" s="12"/>
      <c r="BN1052" s="12"/>
      <c r="BO1052" s="12"/>
      <c r="BP1052" s="12"/>
      <c r="BQ1052" s="12"/>
      <c r="BR1052" s="12"/>
      <c r="BS1052" s="12"/>
      <c r="BT1052" s="12"/>
      <c r="BU1052" s="12"/>
      <c r="BV1052" s="12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574"/>
      <c r="EK1052" s="574"/>
      <c r="EL1052" s="574"/>
      <c r="EM1052" s="574"/>
      <c r="EN1052" s="574"/>
      <c r="EO1052" s="574"/>
      <c r="EP1052" s="574"/>
      <c r="EQ1052" s="574"/>
      <c r="ER1052" s="574"/>
      <c r="ES1052" s="574"/>
      <c r="ET1052" s="574"/>
      <c r="EU1052" s="574"/>
    </row>
    <row r="1053">
      <c r="A1053" s="12"/>
      <c r="B1053" s="55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2"/>
      <c r="AB1053" s="12"/>
      <c r="AC1053" s="12"/>
      <c r="AD1053" s="12"/>
      <c r="AE1053" s="12"/>
      <c r="AF1053" s="12"/>
      <c r="AG1053" s="12"/>
      <c r="AH1053" s="12"/>
      <c r="AI1053" s="12"/>
      <c r="AJ1053" s="12"/>
      <c r="AK1053" s="12"/>
      <c r="AL1053" s="12"/>
      <c r="AM1053" s="12"/>
      <c r="AN1053" s="12"/>
      <c r="AO1053" s="12"/>
      <c r="AP1053" s="12"/>
      <c r="AQ1053" s="12"/>
      <c r="AR1053" s="12"/>
      <c r="AS1053" s="12"/>
      <c r="AT1053" s="12"/>
      <c r="AU1053" s="12"/>
      <c r="AV1053" s="12"/>
      <c r="AW1053" s="12"/>
      <c r="AX1053" s="12"/>
      <c r="AY1053" s="12"/>
      <c r="AZ1053" s="12"/>
      <c r="BA1053" s="12"/>
      <c r="BB1053" s="12"/>
      <c r="BC1053" s="12"/>
      <c r="BD1053" s="12"/>
      <c r="BE1053" s="12"/>
      <c r="BF1053" s="12"/>
      <c r="BG1053" s="12"/>
      <c r="BH1053" s="12"/>
      <c r="BI1053" s="12"/>
      <c r="BJ1053" s="12"/>
      <c r="BK1053" s="12"/>
      <c r="BL1053" s="12"/>
      <c r="BM1053" s="12"/>
      <c r="BN1053" s="12"/>
      <c r="BO1053" s="12"/>
      <c r="BP1053" s="12"/>
      <c r="BQ1053" s="12"/>
      <c r="BR1053" s="12"/>
      <c r="BS1053" s="12"/>
      <c r="BT1053" s="12"/>
      <c r="BU1053" s="12"/>
      <c r="BV1053" s="12"/>
      <c r="BW1053" s="12"/>
      <c r="BX1053" s="12"/>
      <c r="BY1053" s="12"/>
      <c r="BZ1053" s="12"/>
      <c r="CA1053" s="12"/>
      <c r="CB1053" s="12"/>
      <c r="CC1053" s="12"/>
      <c r="CD1053" s="12"/>
      <c r="CE1053" s="12"/>
      <c r="CF1053" s="12"/>
      <c r="CG1053" s="12"/>
      <c r="CH1053" s="12"/>
      <c r="CI1053" s="12"/>
      <c r="CJ1053" s="12"/>
      <c r="CK1053" s="12"/>
      <c r="CL1053" s="12"/>
      <c r="CM1053" s="12"/>
      <c r="CN1053" s="12"/>
      <c r="CO1053" s="12"/>
      <c r="CP1053" s="12"/>
      <c r="CQ1053" s="12"/>
      <c r="CR1053" s="12"/>
      <c r="CS1053" s="12"/>
      <c r="CT1053" s="12"/>
      <c r="CU1053" s="12"/>
      <c r="CV1053" s="12"/>
      <c r="CW1053" s="12"/>
      <c r="CX1053" s="12"/>
      <c r="CY1053" s="12"/>
      <c r="CZ1053" s="12"/>
      <c r="DA1053" s="12"/>
      <c r="DB1053" s="12"/>
      <c r="DC1053" s="12"/>
      <c r="DD1053" s="12"/>
      <c r="DE1053" s="12"/>
      <c r="DF1053" s="12"/>
      <c r="DG1053" s="12"/>
      <c r="DH1053" s="12"/>
      <c r="DI1053" s="12"/>
      <c r="DJ1053" s="12"/>
      <c r="DK1053" s="12"/>
      <c r="DL1053" s="12"/>
      <c r="DM1053" s="12"/>
      <c r="DN1053" s="12"/>
      <c r="DO1053" s="12"/>
      <c r="DP1053" s="12"/>
      <c r="DQ1053" s="12"/>
      <c r="DR1053" s="12"/>
      <c r="DS1053" s="12"/>
      <c r="DT1053" s="12"/>
      <c r="DU1053" s="12"/>
      <c r="DV1053" s="12"/>
      <c r="DW1053" s="12"/>
      <c r="DX1053" s="12"/>
      <c r="DY1053" s="12"/>
      <c r="DZ1053" s="12"/>
      <c r="EA1053" s="12"/>
      <c r="EB1053" s="12"/>
      <c r="EC1053" s="12"/>
      <c r="ED1053" s="12"/>
      <c r="EE1053" s="12"/>
      <c r="EF1053" s="12"/>
      <c r="EG1053" s="12"/>
      <c r="EH1053" s="12"/>
      <c r="EI1053" s="12"/>
      <c r="EJ1053" s="574"/>
      <c r="EK1053" s="574"/>
      <c r="EL1053" s="574"/>
      <c r="EM1053" s="574"/>
      <c r="EN1053" s="574"/>
      <c r="EO1053" s="574"/>
      <c r="EP1053" s="574"/>
      <c r="EQ1053" s="574"/>
      <c r="ER1053" s="574"/>
      <c r="ES1053" s="574"/>
      <c r="ET1053" s="574"/>
      <c r="EU1053" s="574"/>
    </row>
    <row r="1054">
      <c r="A1054" s="12"/>
      <c r="B1054" s="55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2"/>
      <c r="AB1054" s="12"/>
      <c r="AC1054" s="12"/>
      <c r="AD1054" s="12"/>
      <c r="AE1054" s="12"/>
      <c r="AF1054" s="12"/>
      <c r="AG1054" s="12"/>
      <c r="AH1054" s="12"/>
      <c r="AI1054" s="12"/>
      <c r="AJ1054" s="12"/>
      <c r="AK1054" s="12"/>
      <c r="AL1054" s="12"/>
      <c r="AM1054" s="12"/>
      <c r="AN1054" s="12"/>
      <c r="AO1054" s="12"/>
      <c r="AP1054" s="12"/>
      <c r="AQ1054" s="12"/>
      <c r="AR1054" s="12"/>
      <c r="AS1054" s="12"/>
      <c r="AT1054" s="12"/>
      <c r="AU1054" s="12"/>
      <c r="AV1054" s="12"/>
      <c r="AW1054" s="12"/>
      <c r="AX1054" s="12"/>
      <c r="AY1054" s="12"/>
      <c r="AZ1054" s="12"/>
      <c r="BA1054" s="12"/>
      <c r="BB1054" s="12"/>
      <c r="BC1054" s="12"/>
      <c r="BD1054" s="12"/>
      <c r="BE1054" s="12"/>
      <c r="BF1054" s="12"/>
      <c r="BG1054" s="12"/>
      <c r="BH1054" s="12"/>
      <c r="BI1054" s="12"/>
      <c r="BJ1054" s="12"/>
      <c r="BK1054" s="12"/>
      <c r="BL1054" s="12"/>
      <c r="BM1054" s="12"/>
      <c r="BN1054" s="12"/>
      <c r="BO1054" s="12"/>
      <c r="BP1054" s="12"/>
      <c r="BQ1054" s="12"/>
      <c r="BR1054" s="12"/>
      <c r="BS1054" s="12"/>
      <c r="BT1054" s="12"/>
      <c r="BU1054" s="12"/>
      <c r="BV1054" s="12"/>
      <c r="BW1054" s="12"/>
      <c r="BX1054" s="12"/>
      <c r="BY1054" s="12"/>
      <c r="BZ1054" s="12"/>
      <c r="CA1054" s="12"/>
      <c r="CB1054" s="12"/>
      <c r="CC1054" s="12"/>
      <c r="CD1054" s="12"/>
      <c r="CE1054" s="12"/>
      <c r="CF1054" s="12"/>
      <c r="CG1054" s="12"/>
      <c r="CH1054" s="12"/>
      <c r="CI1054" s="12"/>
      <c r="CJ1054" s="12"/>
      <c r="CK1054" s="12"/>
      <c r="CL1054" s="12"/>
      <c r="CM1054" s="12"/>
      <c r="CN1054" s="12"/>
      <c r="CO1054" s="12"/>
      <c r="CP1054" s="12"/>
      <c r="CQ1054" s="12"/>
      <c r="CR1054" s="12"/>
      <c r="CS1054" s="12"/>
      <c r="CT1054" s="12"/>
      <c r="CU1054" s="12"/>
      <c r="CV1054" s="12"/>
      <c r="CW1054" s="12"/>
      <c r="CX1054" s="12"/>
      <c r="CY1054" s="12"/>
      <c r="CZ1054" s="12"/>
      <c r="DA1054" s="12"/>
      <c r="DB1054" s="12"/>
      <c r="DC1054" s="12"/>
      <c r="DD1054" s="12"/>
      <c r="DE1054" s="12"/>
      <c r="DF1054" s="12"/>
      <c r="DG1054" s="12"/>
      <c r="DH1054" s="12"/>
      <c r="DI1054" s="12"/>
      <c r="DJ1054" s="12"/>
      <c r="DK1054" s="12"/>
      <c r="DL1054" s="12"/>
      <c r="DM1054" s="12"/>
      <c r="DN1054" s="12"/>
      <c r="DO1054" s="12"/>
      <c r="DP1054" s="12"/>
      <c r="DQ1054" s="12"/>
      <c r="DR1054" s="12"/>
      <c r="DS1054" s="12"/>
      <c r="DT1054" s="12"/>
      <c r="DU1054" s="12"/>
      <c r="DV1054" s="12"/>
      <c r="DW1054" s="12"/>
      <c r="DX1054" s="12"/>
      <c r="DY1054" s="12"/>
      <c r="DZ1054" s="12"/>
      <c r="EA1054" s="12"/>
      <c r="EB1054" s="12"/>
      <c r="EC1054" s="12"/>
      <c r="ED1054" s="12"/>
      <c r="EE1054" s="12"/>
      <c r="EF1054" s="12"/>
      <c r="EG1054" s="12"/>
      <c r="EH1054" s="12"/>
      <c r="EI1054" s="12"/>
      <c r="EJ1054" s="574"/>
      <c r="EK1054" s="574"/>
      <c r="EL1054" s="574"/>
      <c r="EM1054" s="574"/>
      <c r="EN1054" s="574"/>
      <c r="EO1054" s="574"/>
      <c r="EP1054" s="574"/>
      <c r="EQ1054" s="574"/>
      <c r="ER1054" s="574"/>
      <c r="ES1054" s="574"/>
      <c r="ET1054" s="574"/>
      <c r="EU1054" s="574"/>
    </row>
    <row r="1055">
      <c r="A1055" s="12"/>
      <c r="B1055" s="55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2"/>
      <c r="AB1055" s="12"/>
      <c r="AC1055" s="12"/>
      <c r="AD1055" s="12"/>
      <c r="AE1055" s="12"/>
      <c r="AF1055" s="12"/>
      <c r="AG1055" s="12"/>
      <c r="AH1055" s="12"/>
      <c r="AI1055" s="12"/>
      <c r="AJ1055" s="12"/>
      <c r="AK1055" s="12"/>
      <c r="AL1055" s="12"/>
      <c r="AM1055" s="12"/>
      <c r="AN1055" s="12"/>
      <c r="AO1055" s="12"/>
      <c r="AP1055" s="12"/>
      <c r="AQ1055" s="12"/>
      <c r="AR1055" s="12"/>
      <c r="AS1055" s="12"/>
      <c r="AT1055" s="12"/>
      <c r="AU1055" s="12"/>
      <c r="AV1055" s="12"/>
      <c r="AW1055" s="12"/>
      <c r="AX1055" s="12"/>
      <c r="AY1055" s="12"/>
      <c r="AZ1055" s="12"/>
      <c r="BA1055" s="12"/>
      <c r="BB1055" s="12"/>
      <c r="BC1055" s="12"/>
      <c r="BD1055" s="12"/>
      <c r="BE1055" s="12"/>
      <c r="BF1055" s="12"/>
      <c r="BG1055" s="12"/>
      <c r="BH1055" s="12"/>
      <c r="BI1055" s="12"/>
      <c r="BJ1055" s="12"/>
      <c r="BK1055" s="12"/>
      <c r="BL1055" s="12"/>
      <c r="BM1055" s="12"/>
      <c r="BN1055" s="12"/>
      <c r="BO1055" s="12"/>
      <c r="BP1055" s="12"/>
      <c r="BQ1055" s="12"/>
      <c r="BR1055" s="12"/>
      <c r="BS1055" s="12"/>
      <c r="BT1055" s="12"/>
      <c r="BU1055" s="12"/>
      <c r="BV1055" s="12"/>
      <c r="BW1055" s="12"/>
      <c r="BX1055" s="12"/>
      <c r="BY1055" s="12"/>
      <c r="BZ1055" s="12"/>
      <c r="CA1055" s="12"/>
      <c r="CB1055" s="12"/>
      <c r="CC1055" s="12"/>
      <c r="CD1055" s="12"/>
      <c r="CE1055" s="12"/>
      <c r="CF1055" s="12"/>
      <c r="CG1055" s="12"/>
      <c r="CH1055" s="12"/>
      <c r="CI1055" s="12"/>
      <c r="CJ1055" s="12"/>
      <c r="CK1055" s="12"/>
      <c r="CL1055" s="12"/>
      <c r="CM1055" s="12"/>
      <c r="CN1055" s="12"/>
      <c r="CO1055" s="12"/>
      <c r="CP1055" s="12"/>
      <c r="CQ1055" s="12"/>
      <c r="CR1055" s="12"/>
      <c r="CS1055" s="12"/>
      <c r="CT1055" s="12"/>
      <c r="CU1055" s="12"/>
      <c r="CV1055" s="12"/>
      <c r="CW1055" s="12"/>
      <c r="CX1055" s="12"/>
      <c r="CY1055" s="12"/>
      <c r="CZ1055" s="12"/>
      <c r="DA1055" s="12"/>
      <c r="DB1055" s="12"/>
      <c r="DC1055" s="12"/>
      <c r="DD1055" s="12"/>
      <c r="DE1055" s="12"/>
      <c r="DF1055" s="12"/>
      <c r="DG1055" s="12"/>
      <c r="DH1055" s="12"/>
      <c r="DI1055" s="12"/>
      <c r="DJ1055" s="12"/>
      <c r="DK1055" s="12"/>
      <c r="DL1055" s="12"/>
      <c r="DM1055" s="12"/>
      <c r="DN1055" s="12"/>
      <c r="DO1055" s="12"/>
      <c r="DP1055" s="12"/>
      <c r="DQ1055" s="12"/>
      <c r="DR1055" s="12"/>
      <c r="DS1055" s="12"/>
      <c r="DT1055" s="12"/>
      <c r="DU1055" s="12"/>
      <c r="DV1055" s="12"/>
      <c r="DW1055" s="12"/>
      <c r="DX1055" s="12"/>
      <c r="DY1055" s="12"/>
      <c r="DZ1055" s="12"/>
      <c r="EA1055" s="12"/>
      <c r="EB1055" s="12"/>
      <c r="EC1055" s="12"/>
      <c r="ED1055" s="12"/>
      <c r="EE1055" s="12"/>
      <c r="EF1055" s="12"/>
      <c r="EG1055" s="12"/>
      <c r="EH1055" s="12"/>
      <c r="EI1055" s="12"/>
      <c r="EJ1055" s="574"/>
      <c r="EK1055" s="574"/>
      <c r="EL1055" s="574"/>
      <c r="EM1055" s="574"/>
      <c r="EN1055" s="574"/>
      <c r="EO1055" s="574"/>
      <c r="EP1055" s="574"/>
      <c r="EQ1055" s="574"/>
      <c r="ER1055" s="574"/>
      <c r="ES1055" s="574"/>
      <c r="ET1055" s="574"/>
      <c r="EU1055" s="574"/>
    </row>
    <row r="1056">
      <c r="A1056" s="12"/>
      <c r="B1056" s="55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  <c r="AA1056" s="12"/>
      <c r="AB1056" s="12"/>
      <c r="AC1056" s="12"/>
      <c r="AD1056" s="12"/>
      <c r="AE1056" s="12"/>
      <c r="AF1056" s="12"/>
      <c r="AG1056" s="12"/>
      <c r="AH1056" s="12"/>
      <c r="AI1056" s="12"/>
      <c r="AJ1056" s="12"/>
      <c r="AK1056" s="12"/>
      <c r="AL1056" s="12"/>
      <c r="AM1056" s="12"/>
      <c r="AN1056" s="12"/>
      <c r="AO1056" s="12"/>
      <c r="AP1056" s="12"/>
      <c r="AQ1056" s="12"/>
      <c r="AR1056" s="12"/>
      <c r="AS1056" s="12"/>
      <c r="AT1056" s="12"/>
      <c r="AU1056" s="12"/>
      <c r="AV1056" s="12"/>
      <c r="AW1056" s="12"/>
      <c r="AX1056" s="12"/>
      <c r="AY1056" s="12"/>
      <c r="AZ1056" s="12"/>
      <c r="BA1056" s="12"/>
      <c r="BB1056" s="12"/>
      <c r="BC1056" s="12"/>
      <c r="BD1056" s="12"/>
      <c r="BE1056" s="12"/>
      <c r="BF1056" s="12"/>
      <c r="BG1056" s="12"/>
      <c r="BH1056" s="12"/>
      <c r="BI1056" s="12"/>
      <c r="BJ1056" s="12"/>
      <c r="BK1056" s="12"/>
      <c r="BL1056" s="12"/>
      <c r="BM1056" s="12"/>
      <c r="BN1056" s="12"/>
      <c r="BO1056" s="12"/>
      <c r="BP1056" s="12"/>
      <c r="BQ1056" s="12"/>
      <c r="BR1056" s="12"/>
      <c r="BS1056" s="12"/>
      <c r="BT1056" s="12"/>
      <c r="BU1056" s="12"/>
      <c r="BV1056" s="12"/>
      <c r="BW1056" s="12"/>
      <c r="BX1056" s="12"/>
      <c r="BY1056" s="12"/>
      <c r="BZ1056" s="12"/>
      <c r="CA1056" s="12"/>
      <c r="CB1056" s="12"/>
      <c r="CC1056" s="12"/>
      <c r="CD1056" s="12"/>
      <c r="CE1056" s="12"/>
      <c r="CF1056" s="12"/>
      <c r="CG1056" s="12"/>
      <c r="CH1056" s="12"/>
      <c r="CI1056" s="12"/>
      <c r="CJ1056" s="12"/>
      <c r="CK1056" s="12"/>
      <c r="CL1056" s="12"/>
      <c r="CM1056" s="12"/>
      <c r="CN1056" s="12"/>
      <c r="CO1056" s="12"/>
      <c r="CP1056" s="12"/>
      <c r="CQ1056" s="12"/>
      <c r="CR1056" s="12"/>
      <c r="CS1056" s="12"/>
      <c r="CT1056" s="12"/>
      <c r="CU1056" s="12"/>
      <c r="CV1056" s="12"/>
      <c r="CW1056" s="12"/>
      <c r="CX1056" s="12"/>
      <c r="CY1056" s="12"/>
      <c r="CZ1056" s="12"/>
      <c r="DA1056" s="12"/>
      <c r="DB1056" s="12"/>
      <c r="DC1056" s="12"/>
      <c r="DD1056" s="12"/>
      <c r="DE1056" s="12"/>
      <c r="DF1056" s="12"/>
      <c r="DG1056" s="12"/>
      <c r="DH1056" s="12"/>
      <c r="DI1056" s="12"/>
      <c r="DJ1056" s="12"/>
      <c r="DK1056" s="12"/>
      <c r="DL1056" s="12"/>
      <c r="DM1056" s="12"/>
      <c r="DN1056" s="12"/>
      <c r="DO1056" s="12"/>
      <c r="DP1056" s="12"/>
      <c r="DQ1056" s="12"/>
      <c r="DR1056" s="12"/>
      <c r="DS1056" s="12"/>
      <c r="DT1056" s="12"/>
      <c r="DU1056" s="12"/>
      <c r="DV1056" s="12"/>
      <c r="DW1056" s="12"/>
      <c r="DX1056" s="12"/>
      <c r="DY1056" s="12"/>
      <c r="DZ1056" s="12"/>
      <c r="EA1056" s="12"/>
      <c r="EB1056" s="12"/>
      <c r="EC1056" s="12"/>
      <c r="ED1056" s="12"/>
      <c r="EE1056" s="12"/>
      <c r="EF1056" s="12"/>
      <c r="EG1056" s="12"/>
      <c r="EH1056" s="12"/>
      <c r="EI1056" s="12"/>
      <c r="EJ1056" s="574"/>
      <c r="EK1056" s="574"/>
      <c r="EL1056" s="574"/>
      <c r="EM1056" s="574"/>
      <c r="EN1056" s="574"/>
      <c r="EO1056" s="574"/>
      <c r="EP1056" s="574"/>
      <c r="EQ1056" s="574"/>
      <c r="ER1056" s="574"/>
      <c r="ES1056" s="574"/>
      <c r="ET1056" s="574"/>
      <c r="EU1056" s="574"/>
    </row>
    <row r="1057">
      <c r="A1057" s="12"/>
      <c r="B1057" s="55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  <c r="AA1057" s="12"/>
      <c r="AB1057" s="12"/>
      <c r="AC1057" s="12"/>
      <c r="AD1057" s="12"/>
      <c r="AE1057" s="12"/>
      <c r="AF1057" s="12"/>
      <c r="AG1057" s="12"/>
      <c r="AH1057" s="12"/>
      <c r="AI1057" s="12"/>
      <c r="AJ1057" s="12"/>
      <c r="AK1057" s="12"/>
      <c r="AL1057" s="12"/>
      <c r="AM1057" s="12"/>
      <c r="AN1057" s="12"/>
      <c r="AO1057" s="12"/>
      <c r="AP1057" s="12"/>
      <c r="AQ1057" s="12"/>
      <c r="AR1057" s="12"/>
      <c r="AS1057" s="12"/>
      <c r="AT1057" s="12"/>
      <c r="AU1057" s="12"/>
      <c r="AV1057" s="12"/>
      <c r="AW1057" s="12"/>
      <c r="AX1057" s="12"/>
      <c r="AY1057" s="12"/>
      <c r="AZ1057" s="12"/>
      <c r="BA1057" s="12"/>
      <c r="BB1057" s="12"/>
      <c r="BC1057" s="12"/>
      <c r="BD1057" s="12"/>
      <c r="BE1057" s="12"/>
      <c r="BF1057" s="12"/>
      <c r="BG1057" s="12"/>
      <c r="BH1057" s="12"/>
      <c r="BI1057" s="12"/>
      <c r="BJ1057" s="12"/>
      <c r="BK1057" s="12"/>
      <c r="BL1057" s="12"/>
      <c r="BM1057" s="12"/>
      <c r="BN1057" s="12"/>
      <c r="BO1057" s="12"/>
      <c r="BP1057" s="12"/>
      <c r="BQ1057" s="12"/>
      <c r="BR1057" s="12"/>
      <c r="BS1057" s="12"/>
      <c r="BT1057" s="12"/>
      <c r="BU1057" s="12"/>
      <c r="BV1057" s="12"/>
      <c r="BW1057" s="12"/>
      <c r="BX1057" s="12"/>
      <c r="BY1057" s="12"/>
      <c r="BZ1057" s="12"/>
      <c r="CA1057" s="12"/>
      <c r="CB1057" s="12"/>
      <c r="CC1057" s="12"/>
      <c r="CD1057" s="12"/>
      <c r="CE1057" s="12"/>
      <c r="CF1057" s="12"/>
      <c r="CG1057" s="12"/>
      <c r="CH1057" s="12"/>
      <c r="CI1057" s="12"/>
      <c r="CJ1057" s="12"/>
      <c r="CK1057" s="12"/>
      <c r="CL1057" s="12"/>
      <c r="CM1057" s="12"/>
      <c r="CN1057" s="12"/>
      <c r="CO1057" s="12"/>
      <c r="CP1057" s="12"/>
      <c r="CQ1057" s="12"/>
      <c r="CR1057" s="12"/>
      <c r="CS1057" s="12"/>
      <c r="CT1057" s="12"/>
      <c r="CU1057" s="12"/>
      <c r="CV1057" s="12"/>
      <c r="CW1057" s="12"/>
      <c r="CX1057" s="12"/>
      <c r="CY1057" s="12"/>
      <c r="CZ1057" s="12"/>
      <c r="DA1057" s="12"/>
      <c r="DB1057" s="12"/>
      <c r="DC1057" s="12"/>
      <c r="DD1057" s="12"/>
      <c r="DE1057" s="12"/>
      <c r="DF1057" s="12"/>
      <c r="DG1057" s="12"/>
      <c r="DH1057" s="12"/>
      <c r="DI1057" s="12"/>
      <c r="DJ1057" s="12"/>
      <c r="DK1057" s="12"/>
      <c r="DL1057" s="12"/>
      <c r="DM1057" s="12"/>
      <c r="DN1057" s="12"/>
      <c r="DO1057" s="12"/>
      <c r="DP1057" s="12"/>
      <c r="DQ1057" s="12"/>
      <c r="DR1057" s="12"/>
      <c r="DS1057" s="12"/>
      <c r="DT1057" s="12"/>
      <c r="DU1057" s="12"/>
      <c r="DV1057" s="12"/>
      <c r="DW1057" s="12"/>
      <c r="DX1057" s="12"/>
      <c r="DY1057" s="12"/>
      <c r="DZ1057" s="12"/>
      <c r="EA1057" s="12"/>
      <c r="EB1057" s="12"/>
      <c r="EC1057" s="12"/>
      <c r="ED1057" s="12"/>
      <c r="EE1057" s="12"/>
      <c r="EF1057" s="12"/>
      <c r="EG1057" s="12"/>
      <c r="EH1057" s="12"/>
      <c r="EI1057" s="12"/>
      <c r="EJ1057" s="574"/>
      <c r="EK1057" s="574"/>
      <c r="EL1057" s="574"/>
      <c r="EM1057" s="574"/>
      <c r="EN1057" s="574"/>
      <c r="EO1057" s="574"/>
      <c r="EP1057" s="574"/>
      <c r="EQ1057" s="574"/>
      <c r="ER1057" s="574"/>
      <c r="ES1057" s="574"/>
      <c r="ET1057" s="574"/>
      <c r="EU1057" s="574"/>
    </row>
    <row r="1058">
      <c r="A1058" s="12"/>
      <c r="B1058" s="55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2"/>
      <c r="AB1058" s="12"/>
      <c r="AC1058" s="12"/>
      <c r="AD1058" s="12"/>
      <c r="AE1058" s="12"/>
      <c r="AF1058" s="12"/>
      <c r="AG1058" s="12"/>
      <c r="AH1058" s="12"/>
      <c r="AI1058" s="12"/>
      <c r="AJ1058" s="12"/>
      <c r="AK1058" s="12"/>
      <c r="AL1058" s="12"/>
      <c r="AM1058" s="12"/>
      <c r="AN1058" s="12"/>
      <c r="AO1058" s="12"/>
      <c r="AP1058" s="12"/>
      <c r="AQ1058" s="12"/>
      <c r="AR1058" s="12"/>
      <c r="AS1058" s="12"/>
      <c r="AT1058" s="12"/>
      <c r="AU1058" s="12"/>
      <c r="AV1058" s="12"/>
      <c r="AW1058" s="12"/>
      <c r="AX1058" s="12"/>
      <c r="AY1058" s="12"/>
      <c r="AZ1058" s="12"/>
      <c r="BA1058" s="12"/>
      <c r="BB1058" s="12"/>
      <c r="BC1058" s="12"/>
      <c r="BD1058" s="12"/>
      <c r="BE1058" s="12"/>
      <c r="BF1058" s="12"/>
      <c r="BG1058" s="12"/>
      <c r="BH1058" s="12"/>
      <c r="BI1058" s="12"/>
      <c r="BJ1058" s="12"/>
      <c r="BK1058" s="12"/>
      <c r="BL1058" s="12"/>
      <c r="BM1058" s="12"/>
      <c r="BN1058" s="12"/>
      <c r="BO1058" s="12"/>
      <c r="BP1058" s="12"/>
      <c r="BQ1058" s="12"/>
      <c r="BR1058" s="12"/>
      <c r="BS1058" s="12"/>
      <c r="BT1058" s="12"/>
      <c r="BU1058" s="12"/>
      <c r="BV1058" s="12"/>
      <c r="BW1058" s="12"/>
      <c r="BX1058" s="12"/>
      <c r="BY1058" s="12"/>
      <c r="BZ1058" s="12"/>
      <c r="CA1058" s="12"/>
      <c r="CB1058" s="12"/>
      <c r="CC1058" s="12"/>
      <c r="CD1058" s="12"/>
      <c r="CE1058" s="12"/>
      <c r="CF1058" s="12"/>
      <c r="CG1058" s="12"/>
      <c r="CH1058" s="12"/>
      <c r="CI1058" s="12"/>
      <c r="CJ1058" s="12"/>
      <c r="CK1058" s="12"/>
      <c r="CL1058" s="12"/>
      <c r="CM1058" s="12"/>
      <c r="CN1058" s="12"/>
      <c r="CO1058" s="12"/>
      <c r="CP1058" s="12"/>
      <c r="CQ1058" s="12"/>
      <c r="CR1058" s="12"/>
      <c r="CS1058" s="12"/>
      <c r="CT1058" s="12"/>
      <c r="CU1058" s="12"/>
      <c r="CV1058" s="12"/>
      <c r="CW1058" s="12"/>
      <c r="CX1058" s="12"/>
      <c r="CY1058" s="12"/>
      <c r="CZ1058" s="12"/>
      <c r="DA1058" s="12"/>
      <c r="DB1058" s="12"/>
      <c r="DC1058" s="12"/>
      <c r="DD1058" s="12"/>
      <c r="DE1058" s="12"/>
      <c r="DF1058" s="12"/>
      <c r="DG1058" s="12"/>
      <c r="DH1058" s="12"/>
      <c r="DI1058" s="12"/>
      <c r="DJ1058" s="12"/>
      <c r="DK1058" s="12"/>
      <c r="DL1058" s="12"/>
      <c r="DM1058" s="12"/>
      <c r="DN1058" s="12"/>
      <c r="DO1058" s="12"/>
      <c r="DP1058" s="12"/>
      <c r="DQ1058" s="12"/>
      <c r="DR1058" s="12"/>
      <c r="DS1058" s="12"/>
      <c r="DT1058" s="12"/>
      <c r="DU1058" s="12"/>
      <c r="DV1058" s="12"/>
      <c r="DW1058" s="12"/>
      <c r="DX1058" s="12"/>
      <c r="DY1058" s="12"/>
      <c r="DZ1058" s="12"/>
      <c r="EA1058" s="12"/>
      <c r="EB1058" s="12"/>
      <c r="EC1058" s="12"/>
      <c r="ED1058" s="12"/>
      <c r="EE1058" s="12"/>
      <c r="EF1058" s="12"/>
      <c r="EG1058" s="12"/>
      <c r="EH1058" s="12"/>
      <c r="EI1058" s="12"/>
      <c r="EJ1058" s="574"/>
      <c r="EK1058" s="574"/>
      <c r="EL1058" s="574"/>
      <c r="EM1058" s="574"/>
      <c r="EN1058" s="574"/>
      <c r="EO1058" s="574"/>
      <c r="EP1058" s="574"/>
      <c r="EQ1058" s="574"/>
      <c r="ER1058" s="574"/>
      <c r="ES1058" s="574"/>
      <c r="ET1058" s="574"/>
      <c r="EU1058" s="574"/>
    </row>
    <row r="1059">
      <c r="A1059" s="12"/>
      <c r="B1059" s="55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2"/>
      <c r="AB1059" s="12"/>
      <c r="AC1059" s="12"/>
      <c r="AD1059" s="12"/>
      <c r="AE1059" s="12"/>
      <c r="AF1059" s="12"/>
      <c r="AG1059" s="12"/>
      <c r="AH1059" s="12"/>
      <c r="AI1059" s="12"/>
      <c r="AJ1059" s="12"/>
      <c r="AK1059" s="12"/>
      <c r="AL1059" s="12"/>
      <c r="AM1059" s="12"/>
      <c r="AN1059" s="12"/>
      <c r="AO1059" s="12"/>
      <c r="AP1059" s="12"/>
      <c r="AQ1059" s="12"/>
      <c r="AR1059" s="12"/>
      <c r="AS1059" s="12"/>
      <c r="AT1059" s="12"/>
      <c r="AU1059" s="12"/>
      <c r="AV1059" s="12"/>
      <c r="AW1059" s="12"/>
      <c r="AX1059" s="12"/>
      <c r="AY1059" s="12"/>
      <c r="AZ1059" s="12"/>
      <c r="BA1059" s="12"/>
      <c r="BB1059" s="12"/>
      <c r="BC1059" s="12"/>
      <c r="BD1059" s="12"/>
      <c r="BE1059" s="12"/>
      <c r="BF1059" s="12"/>
      <c r="BG1059" s="12"/>
      <c r="BH1059" s="12"/>
      <c r="BI1059" s="12"/>
      <c r="BJ1059" s="12"/>
      <c r="BK1059" s="12"/>
      <c r="BL1059" s="12"/>
      <c r="BM1059" s="12"/>
      <c r="BN1059" s="12"/>
      <c r="BO1059" s="12"/>
      <c r="BP1059" s="12"/>
      <c r="BQ1059" s="12"/>
      <c r="BR1059" s="12"/>
      <c r="BS1059" s="12"/>
      <c r="BT1059" s="12"/>
      <c r="BU1059" s="12"/>
      <c r="BV1059" s="12"/>
      <c r="BW1059" s="12"/>
      <c r="BX1059" s="12"/>
      <c r="BY1059" s="12"/>
      <c r="BZ1059" s="12"/>
      <c r="CA1059" s="12"/>
      <c r="CB1059" s="12"/>
      <c r="CC1059" s="12"/>
      <c r="CD1059" s="12"/>
      <c r="CE1059" s="12"/>
      <c r="CF1059" s="12"/>
      <c r="CG1059" s="12"/>
      <c r="CH1059" s="12"/>
      <c r="CI1059" s="12"/>
      <c r="CJ1059" s="12"/>
      <c r="CK1059" s="12"/>
      <c r="CL1059" s="12"/>
      <c r="CM1059" s="12"/>
      <c r="CN1059" s="12"/>
      <c r="CO1059" s="12"/>
      <c r="CP1059" s="12"/>
      <c r="CQ1059" s="12"/>
      <c r="CR1059" s="12"/>
      <c r="CS1059" s="12"/>
      <c r="CT1059" s="12"/>
      <c r="CU1059" s="12"/>
      <c r="CV1059" s="12"/>
      <c r="CW1059" s="12"/>
      <c r="CX1059" s="12"/>
      <c r="CY1059" s="12"/>
      <c r="CZ1059" s="12"/>
      <c r="DA1059" s="12"/>
      <c r="DB1059" s="12"/>
      <c r="DC1059" s="12"/>
      <c r="DD1059" s="12"/>
      <c r="DE1059" s="12"/>
      <c r="DF1059" s="12"/>
      <c r="DG1059" s="12"/>
      <c r="DH1059" s="12"/>
      <c r="DI1059" s="12"/>
      <c r="DJ1059" s="12"/>
      <c r="DK1059" s="12"/>
      <c r="DL1059" s="12"/>
      <c r="DM1059" s="12"/>
      <c r="DN1059" s="12"/>
      <c r="DO1059" s="12"/>
      <c r="DP1059" s="12"/>
      <c r="DQ1059" s="12"/>
      <c r="DR1059" s="12"/>
      <c r="DS1059" s="12"/>
      <c r="DT1059" s="12"/>
      <c r="DU1059" s="12"/>
      <c r="DV1059" s="12"/>
      <c r="DW1059" s="12"/>
      <c r="DX1059" s="12"/>
      <c r="DY1059" s="12"/>
      <c r="DZ1059" s="12"/>
      <c r="EA1059" s="12"/>
      <c r="EB1059" s="12"/>
      <c r="EC1059" s="12"/>
      <c r="ED1059" s="12"/>
      <c r="EE1059" s="12"/>
      <c r="EF1059" s="12"/>
      <c r="EG1059" s="12"/>
      <c r="EH1059" s="12"/>
      <c r="EI1059" s="12"/>
      <c r="EJ1059" s="574"/>
      <c r="EK1059" s="574"/>
      <c r="EL1059" s="574"/>
      <c r="EM1059" s="574"/>
      <c r="EN1059" s="574"/>
      <c r="EO1059" s="574"/>
      <c r="EP1059" s="574"/>
      <c r="EQ1059" s="574"/>
      <c r="ER1059" s="574"/>
      <c r="ES1059" s="574"/>
      <c r="ET1059" s="574"/>
      <c r="EU1059" s="574"/>
    </row>
    <row r="1060">
      <c r="A1060" s="12"/>
      <c r="B1060" s="55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2"/>
      <c r="AB1060" s="12"/>
      <c r="AC1060" s="12"/>
      <c r="AD1060" s="12"/>
      <c r="AE1060" s="12"/>
      <c r="AF1060" s="12"/>
      <c r="AG1060" s="12"/>
      <c r="AH1060" s="12"/>
      <c r="AI1060" s="12"/>
      <c r="AJ1060" s="12"/>
      <c r="AK1060" s="12"/>
      <c r="AL1060" s="12"/>
      <c r="AM1060" s="12"/>
      <c r="AN1060" s="12"/>
      <c r="AO1060" s="12"/>
      <c r="AP1060" s="12"/>
      <c r="AQ1060" s="12"/>
      <c r="AR1060" s="12"/>
      <c r="AS1060" s="12"/>
      <c r="AT1060" s="12"/>
      <c r="AU1060" s="12"/>
      <c r="AV1060" s="12"/>
      <c r="AW1060" s="12"/>
      <c r="AX1060" s="12"/>
      <c r="AY1060" s="12"/>
      <c r="AZ1060" s="12"/>
      <c r="BA1060" s="12"/>
      <c r="BB1060" s="12"/>
      <c r="BC1060" s="12"/>
      <c r="BD1060" s="12"/>
      <c r="BE1060" s="12"/>
      <c r="BF1060" s="12"/>
      <c r="BG1060" s="12"/>
      <c r="BH1060" s="12"/>
      <c r="BI1060" s="12"/>
      <c r="BJ1060" s="12"/>
      <c r="BK1060" s="12"/>
      <c r="BL1060" s="12"/>
      <c r="BM1060" s="12"/>
      <c r="BN1060" s="12"/>
      <c r="BO1060" s="12"/>
      <c r="BP1060" s="12"/>
      <c r="BQ1060" s="12"/>
      <c r="BR1060" s="12"/>
      <c r="BS1060" s="12"/>
      <c r="BT1060" s="12"/>
      <c r="BU1060" s="12"/>
      <c r="BV1060" s="12"/>
      <c r="BW1060" s="12"/>
      <c r="BX1060" s="12"/>
      <c r="BY1060" s="12"/>
      <c r="BZ1060" s="12"/>
      <c r="CA1060" s="12"/>
      <c r="CB1060" s="12"/>
      <c r="CC1060" s="12"/>
      <c r="CD1060" s="12"/>
      <c r="CE1060" s="12"/>
      <c r="CF1060" s="12"/>
      <c r="CG1060" s="12"/>
      <c r="CH1060" s="12"/>
      <c r="CI1060" s="12"/>
      <c r="CJ1060" s="12"/>
      <c r="CK1060" s="12"/>
      <c r="CL1060" s="12"/>
      <c r="CM1060" s="12"/>
      <c r="CN1060" s="12"/>
      <c r="CO1060" s="12"/>
      <c r="CP1060" s="12"/>
      <c r="CQ1060" s="12"/>
      <c r="CR1060" s="12"/>
      <c r="CS1060" s="12"/>
      <c r="CT1060" s="12"/>
      <c r="CU1060" s="12"/>
      <c r="CV1060" s="12"/>
      <c r="CW1060" s="12"/>
      <c r="CX1060" s="12"/>
      <c r="CY1060" s="12"/>
      <c r="CZ1060" s="12"/>
      <c r="DA1060" s="12"/>
      <c r="DB1060" s="12"/>
      <c r="DC1060" s="12"/>
      <c r="DD1060" s="12"/>
      <c r="DE1060" s="12"/>
      <c r="DF1060" s="12"/>
      <c r="DG1060" s="12"/>
      <c r="DH1060" s="12"/>
      <c r="DI1060" s="12"/>
      <c r="DJ1060" s="12"/>
      <c r="DK1060" s="12"/>
      <c r="DL1060" s="12"/>
      <c r="DM1060" s="12"/>
      <c r="DN1060" s="12"/>
      <c r="DO1060" s="12"/>
      <c r="DP1060" s="12"/>
      <c r="DQ1060" s="12"/>
      <c r="DR1060" s="12"/>
      <c r="DS1060" s="12"/>
      <c r="DT1060" s="12"/>
      <c r="DU1060" s="12"/>
      <c r="DV1060" s="12"/>
      <c r="DW1060" s="12"/>
      <c r="DX1060" s="12"/>
      <c r="DY1060" s="12"/>
      <c r="DZ1060" s="12"/>
      <c r="EA1060" s="12"/>
      <c r="EB1060" s="12"/>
      <c r="EC1060" s="12"/>
      <c r="ED1060" s="12"/>
      <c r="EE1060" s="12"/>
      <c r="EF1060" s="12"/>
      <c r="EG1060" s="12"/>
      <c r="EH1060" s="12"/>
      <c r="EI1060" s="12"/>
      <c r="EJ1060" s="574"/>
      <c r="EK1060" s="574"/>
      <c r="EL1060" s="574"/>
      <c r="EM1060" s="574"/>
      <c r="EN1060" s="574"/>
      <c r="EO1060" s="574"/>
      <c r="EP1060" s="574"/>
      <c r="EQ1060" s="574"/>
      <c r="ER1060" s="574"/>
      <c r="ES1060" s="574"/>
      <c r="ET1060" s="574"/>
      <c r="EU1060" s="574"/>
    </row>
    <row r="1061">
      <c r="A1061" s="12"/>
      <c r="B1061" s="55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2"/>
      <c r="AB1061" s="12"/>
      <c r="AC1061" s="12"/>
      <c r="AD1061" s="12"/>
      <c r="AE1061" s="12"/>
      <c r="AF1061" s="12"/>
      <c r="AG1061" s="12"/>
      <c r="AH1061" s="12"/>
      <c r="AI1061" s="12"/>
      <c r="AJ1061" s="12"/>
      <c r="AK1061" s="12"/>
      <c r="AL1061" s="12"/>
      <c r="AM1061" s="12"/>
      <c r="AN1061" s="12"/>
      <c r="AO1061" s="12"/>
      <c r="AP1061" s="12"/>
      <c r="AQ1061" s="12"/>
      <c r="AR1061" s="12"/>
      <c r="AS1061" s="12"/>
      <c r="AT1061" s="12"/>
      <c r="AU1061" s="12"/>
      <c r="AV1061" s="12"/>
      <c r="AW1061" s="12"/>
      <c r="AX1061" s="12"/>
      <c r="AY1061" s="12"/>
      <c r="AZ1061" s="12"/>
      <c r="BA1061" s="12"/>
      <c r="BB1061" s="12"/>
      <c r="BC1061" s="12"/>
      <c r="BD1061" s="12"/>
      <c r="BE1061" s="12"/>
      <c r="BF1061" s="12"/>
      <c r="BG1061" s="12"/>
      <c r="BH1061" s="12"/>
      <c r="BI1061" s="12"/>
      <c r="BJ1061" s="12"/>
      <c r="BK1061" s="12"/>
      <c r="BL1061" s="12"/>
      <c r="BM1061" s="12"/>
      <c r="BN1061" s="12"/>
      <c r="BO1061" s="12"/>
      <c r="BP1061" s="12"/>
      <c r="BQ1061" s="12"/>
      <c r="BR1061" s="12"/>
      <c r="BS1061" s="12"/>
      <c r="BT1061" s="12"/>
      <c r="BU1061" s="12"/>
      <c r="BV1061" s="12"/>
      <c r="BW1061" s="12"/>
      <c r="BX1061" s="12"/>
      <c r="BY1061" s="12"/>
      <c r="BZ1061" s="12"/>
      <c r="CA1061" s="12"/>
      <c r="CB1061" s="12"/>
      <c r="CC1061" s="12"/>
      <c r="CD1061" s="12"/>
      <c r="CE1061" s="12"/>
      <c r="CF1061" s="12"/>
      <c r="CG1061" s="12"/>
      <c r="CH1061" s="12"/>
      <c r="CI1061" s="12"/>
      <c r="CJ1061" s="12"/>
      <c r="CK1061" s="12"/>
      <c r="CL1061" s="12"/>
      <c r="CM1061" s="12"/>
      <c r="CN1061" s="12"/>
      <c r="CO1061" s="12"/>
      <c r="CP1061" s="12"/>
      <c r="CQ1061" s="12"/>
      <c r="CR1061" s="12"/>
      <c r="CS1061" s="12"/>
      <c r="CT1061" s="12"/>
      <c r="CU1061" s="12"/>
      <c r="CV1061" s="12"/>
      <c r="CW1061" s="12"/>
      <c r="CX1061" s="12"/>
      <c r="CY1061" s="12"/>
      <c r="CZ1061" s="12"/>
      <c r="DA1061" s="12"/>
      <c r="DB1061" s="12"/>
      <c r="DC1061" s="12"/>
      <c r="DD1061" s="12"/>
      <c r="DE1061" s="12"/>
      <c r="DF1061" s="12"/>
      <c r="DG1061" s="12"/>
      <c r="DH1061" s="12"/>
      <c r="DI1061" s="12"/>
      <c r="DJ1061" s="12"/>
      <c r="DK1061" s="12"/>
      <c r="DL1061" s="12"/>
      <c r="DM1061" s="12"/>
      <c r="DN1061" s="12"/>
      <c r="DO1061" s="12"/>
      <c r="DP1061" s="12"/>
      <c r="DQ1061" s="12"/>
      <c r="DR1061" s="12"/>
      <c r="DS1061" s="12"/>
      <c r="DT1061" s="12"/>
      <c r="DU1061" s="12"/>
      <c r="DV1061" s="12"/>
      <c r="DW1061" s="12"/>
      <c r="DX1061" s="12"/>
      <c r="DY1061" s="12"/>
      <c r="DZ1061" s="12"/>
      <c r="EA1061" s="12"/>
      <c r="EB1061" s="12"/>
      <c r="EC1061" s="12"/>
      <c r="ED1061" s="12"/>
      <c r="EE1061" s="12"/>
      <c r="EF1061" s="12"/>
      <c r="EG1061" s="12"/>
      <c r="EH1061" s="12"/>
      <c r="EI1061" s="12"/>
      <c r="EJ1061" s="574"/>
      <c r="EK1061" s="574"/>
      <c r="EL1061" s="574"/>
      <c r="EM1061" s="574"/>
      <c r="EN1061" s="574"/>
      <c r="EO1061" s="574"/>
      <c r="EP1061" s="574"/>
      <c r="EQ1061" s="574"/>
      <c r="ER1061" s="574"/>
      <c r="ES1061" s="574"/>
      <c r="ET1061" s="574"/>
      <c r="EU1061" s="574"/>
    </row>
    <row r="1062">
      <c r="A1062" s="12"/>
      <c r="B1062" s="55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  <c r="AA1062" s="12"/>
      <c r="AB1062" s="12"/>
      <c r="AC1062" s="12"/>
      <c r="AD1062" s="12"/>
      <c r="AE1062" s="12"/>
      <c r="AF1062" s="12"/>
      <c r="AG1062" s="12"/>
      <c r="AH1062" s="12"/>
      <c r="AI1062" s="12"/>
      <c r="AJ1062" s="12"/>
      <c r="AK1062" s="12"/>
      <c r="AL1062" s="12"/>
      <c r="AM1062" s="12"/>
      <c r="AN1062" s="12"/>
      <c r="AO1062" s="12"/>
      <c r="AP1062" s="12"/>
      <c r="AQ1062" s="12"/>
      <c r="AR1062" s="12"/>
      <c r="AS1062" s="12"/>
      <c r="AT1062" s="12"/>
      <c r="AU1062" s="12"/>
      <c r="AV1062" s="12"/>
      <c r="AW1062" s="12"/>
      <c r="AX1062" s="12"/>
      <c r="AY1062" s="12"/>
      <c r="AZ1062" s="12"/>
      <c r="BA1062" s="12"/>
      <c r="BB1062" s="12"/>
      <c r="BC1062" s="12"/>
      <c r="BD1062" s="12"/>
      <c r="BE1062" s="12"/>
      <c r="BF1062" s="12"/>
      <c r="BG1062" s="12"/>
      <c r="BH1062" s="12"/>
      <c r="BI1062" s="12"/>
      <c r="BJ1062" s="12"/>
      <c r="BK1062" s="12"/>
      <c r="BL1062" s="12"/>
      <c r="BM1062" s="12"/>
      <c r="BN1062" s="12"/>
      <c r="BO1062" s="12"/>
      <c r="BP1062" s="12"/>
      <c r="BQ1062" s="12"/>
      <c r="BR1062" s="12"/>
      <c r="BS1062" s="12"/>
      <c r="BT1062" s="12"/>
      <c r="BU1062" s="12"/>
      <c r="BV1062" s="12"/>
      <c r="BW1062" s="12"/>
      <c r="BX1062" s="12"/>
      <c r="BY1062" s="12"/>
      <c r="BZ1062" s="12"/>
      <c r="CA1062" s="12"/>
      <c r="CB1062" s="12"/>
      <c r="CC1062" s="12"/>
      <c r="CD1062" s="12"/>
      <c r="CE1062" s="12"/>
      <c r="CF1062" s="12"/>
      <c r="CG1062" s="12"/>
      <c r="CH1062" s="12"/>
      <c r="CI1062" s="12"/>
      <c r="CJ1062" s="12"/>
      <c r="CK1062" s="12"/>
      <c r="CL1062" s="12"/>
      <c r="CM1062" s="12"/>
      <c r="CN1062" s="12"/>
      <c r="CO1062" s="12"/>
      <c r="CP1062" s="12"/>
      <c r="CQ1062" s="12"/>
      <c r="CR1062" s="12"/>
      <c r="CS1062" s="12"/>
      <c r="CT1062" s="12"/>
      <c r="CU1062" s="12"/>
      <c r="CV1062" s="12"/>
      <c r="CW1062" s="12"/>
      <c r="CX1062" s="12"/>
      <c r="CY1062" s="12"/>
      <c r="CZ1062" s="12"/>
      <c r="DA1062" s="12"/>
      <c r="DB1062" s="12"/>
      <c r="DC1062" s="12"/>
      <c r="DD1062" s="12"/>
      <c r="DE1062" s="12"/>
      <c r="DF1062" s="12"/>
      <c r="DG1062" s="12"/>
      <c r="DH1062" s="12"/>
      <c r="DI1062" s="12"/>
      <c r="DJ1062" s="12"/>
      <c r="DK1062" s="12"/>
      <c r="DL1062" s="12"/>
      <c r="DM1062" s="12"/>
      <c r="DN1062" s="12"/>
      <c r="DO1062" s="12"/>
      <c r="DP1062" s="12"/>
      <c r="DQ1062" s="12"/>
      <c r="DR1062" s="12"/>
      <c r="DS1062" s="12"/>
      <c r="DT1062" s="12"/>
      <c r="DU1062" s="12"/>
      <c r="DV1062" s="12"/>
      <c r="DW1062" s="12"/>
      <c r="DX1062" s="12"/>
      <c r="DY1062" s="12"/>
      <c r="DZ1062" s="12"/>
      <c r="EA1062" s="12"/>
      <c r="EB1062" s="12"/>
      <c r="EC1062" s="12"/>
      <c r="ED1062" s="12"/>
      <c r="EE1062" s="12"/>
      <c r="EF1062" s="12"/>
      <c r="EG1062" s="12"/>
      <c r="EH1062" s="12"/>
      <c r="EI1062" s="12"/>
      <c r="EJ1062" s="574"/>
      <c r="EK1062" s="574"/>
      <c r="EL1062" s="574"/>
      <c r="EM1062" s="574"/>
      <c r="EN1062" s="574"/>
      <c r="EO1062" s="574"/>
      <c r="EP1062" s="574"/>
      <c r="EQ1062" s="574"/>
      <c r="ER1062" s="574"/>
      <c r="ES1062" s="574"/>
      <c r="ET1062" s="574"/>
      <c r="EU1062" s="574"/>
    </row>
    <row r="1063">
      <c r="A1063" s="12"/>
      <c r="B1063" s="55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2"/>
      <c r="AB1063" s="12"/>
      <c r="AC1063" s="12"/>
      <c r="AD1063" s="12"/>
      <c r="AE1063" s="12"/>
      <c r="AF1063" s="12"/>
      <c r="AG1063" s="12"/>
      <c r="AH1063" s="12"/>
      <c r="AI1063" s="12"/>
      <c r="AJ1063" s="12"/>
      <c r="AK1063" s="12"/>
      <c r="AL1063" s="12"/>
      <c r="AM1063" s="12"/>
      <c r="AN1063" s="12"/>
      <c r="AO1063" s="12"/>
      <c r="AP1063" s="12"/>
      <c r="AQ1063" s="12"/>
      <c r="AR1063" s="12"/>
      <c r="AS1063" s="12"/>
      <c r="AT1063" s="12"/>
      <c r="AU1063" s="12"/>
      <c r="AV1063" s="12"/>
      <c r="AW1063" s="12"/>
      <c r="AX1063" s="12"/>
      <c r="AY1063" s="12"/>
      <c r="AZ1063" s="12"/>
      <c r="BA1063" s="12"/>
      <c r="BB1063" s="12"/>
      <c r="BC1063" s="12"/>
      <c r="BD1063" s="12"/>
      <c r="BE1063" s="12"/>
      <c r="BF1063" s="12"/>
      <c r="BG1063" s="12"/>
      <c r="BH1063" s="12"/>
      <c r="BI1063" s="12"/>
      <c r="BJ1063" s="12"/>
      <c r="BK1063" s="12"/>
      <c r="BL1063" s="12"/>
      <c r="BM1063" s="12"/>
      <c r="BN1063" s="12"/>
      <c r="BO1063" s="12"/>
      <c r="BP1063" s="12"/>
      <c r="BQ1063" s="12"/>
      <c r="BR1063" s="12"/>
      <c r="BS1063" s="12"/>
      <c r="BT1063" s="12"/>
      <c r="BU1063" s="12"/>
      <c r="BV1063" s="12"/>
      <c r="BW1063" s="12"/>
      <c r="BX1063" s="12"/>
      <c r="BY1063" s="12"/>
      <c r="BZ1063" s="12"/>
      <c r="CA1063" s="12"/>
      <c r="CB1063" s="12"/>
      <c r="CC1063" s="12"/>
      <c r="CD1063" s="12"/>
      <c r="CE1063" s="12"/>
      <c r="CF1063" s="12"/>
      <c r="CG1063" s="12"/>
      <c r="CH1063" s="12"/>
      <c r="CI1063" s="12"/>
      <c r="CJ1063" s="12"/>
      <c r="CK1063" s="12"/>
      <c r="CL1063" s="12"/>
      <c r="CM1063" s="12"/>
      <c r="CN1063" s="12"/>
      <c r="CO1063" s="12"/>
      <c r="CP1063" s="12"/>
      <c r="CQ1063" s="12"/>
      <c r="CR1063" s="12"/>
      <c r="CS1063" s="12"/>
      <c r="CT1063" s="12"/>
      <c r="CU1063" s="12"/>
      <c r="CV1063" s="12"/>
      <c r="CW1063" s="12"/>
      <c r="CX1063" s="12"/>
      <c r="CY1063" s="12"/>
      <c r="CZ1063" s="12"/>
      <c r="DA1063" s="12"/>
      <c r="DB1063" s="12"/>
      <c r="DC1063" s="12"/>
      <c r="DD1063" s="12"/>
      <c r="DE1063" s="12"/>
      <c r="DF1063" s="12"/>
      <c r="DG1063" s="12"/>
      <c r="DH1063" s="12"/>
      <c r="DI1063" s="12"/>
      <c r="DJ1063" s="12"/>
      <c r="DK1063" s="12"/>
      <c r="DL1063" s="12"/>
      <c r="DM1063" s="12"/>
      <c r="DN1063" s="12"/>
      <c r="DO1063" s="12"/>
      <c r="DP1063" s="12"/>
      <c r="DQ1063" s="12"/>
      <c r="DR1063" s="12"/>
      <c r="DS1063" s="12"/>
      <c r="DT1063" s="12"/>
      <c r="DU1063" s="12"/>
      <c r="DV1063" s="12"/>
      <c r="DW1063" s="12"/>
      <c r="DX1063" s="12"/>
      <c r="DY1063" s="12"/>
      <c r="DZ1063" s="12"/>
      <c r="EA1063" s="12"/>
      <c r="EB1063" s="12"/>
      <c r="EC1063" s="12"/>
      <c r="ED1063" s="12"/>
      <c r="EE1063" s="12"/>
      <c r="EF1063" s="12"/>
      <c r="EG1063" s="12"/>
      <c r="EH1063" s="12"/>
      <c r="EI1063" s="12"/>
      <c r="EJ1063" s="574"/>
      <c r="EK1063" s="574"/>
      <c r="EL1063" s="574"/>
      <c r="EM1063" s="574"/>
      <c r="EN1063" s="574"/>
      <c r="EO1063" s="574"/>
      <c r="EP1063" s="574"/>
      <c r="EQ1063" s="574"/>
      <c r="ER1063" s="574"/>
      <c r="ES1063" s="574"/>
      <c r="ET1063" s="574"/>
      <c r="EU1063" s="574"/>
    </row>
    <row r="1064">
      <c r="A1064" s="12"/>
      <c r="B1064" s="55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2"/>
      <c r="AB1064" s="12"/>
      <c r="AC1064" s="12"/>
      <c r="AD1064" s="12"/>
      <c r="AE1064" s="12"/>
      <c r="AF1064" s="12"/>
      <c r="AG1064" s="12"/>
      <c r="AH1064" s="12"/>
      <c r="AI1064" s="12"/>
      <c r="AJ1064" s="12"/>
      <c r="AK1064" s="12"/>
      <c r="AL1064" s="12"/>
      <c r="AM1064" s="12"/>
      <c r="AN1064" s="12"/>
      <c r="AO1064" s="12"/>
      <c r="AP1064" s="12"/>
      <c r="AQ1064" s="12"/>
      <c r="AR1064" s="12"/>
      <c r="AS1064" s="12"/>
      <c r="AT1064" s="12"/>
      <c r="AU1064" s="12"/>
      <c r="AV1064" s="12"/>
      <c r="AW1064" s="12"/>
      <c r="AX1064" s="12"/>
      <c r="AY1064" s="12"/>
      <c r="AZ1064" s="12"/>
      <c r="BA1064" s="12"/>
      <c r="BB1064" s="12"/>
      <c r="BC1064" s="12"/>
      <c r="BD1064" s="12"/>
      <c r="BE1064" s="12"/>
      <c r="BF1064" s="12"/>
      <c r="BG1064" s="12"/>
      <c r="BH1064" s="12"/>
      <c r="BI1064" s="12"/>
      <c r="BJ1064" s="12"/>
      <c r="BK1064" s="12"/>
      <c r="BL1064" s="12"/>
      <c r="BM1064" s="12"/>
      <c r="BN1064" s="12"/>
      <c r="BO1064" s="12"/>
      <c r="BP1064" s="12"/>
      <c r="BQ1064" s="12"/>
      <c r="BR1064" s="12"/>
      <c r="BS1064" s="12"/>
      <c r="BT1064" s="12"/>
      <c r="BU1064" s="12"/>
      <c r="BV1064" s="12"/>
      <c r="BW1064" s="12"/>
      <c r="BX1064" s="12"/>
      <c r="BY1064" s="12"/>
      <c r="BZ1064" s="12"/>
      <c r="CA1064" s="12"/>
      <c r="CB1064" s="12"/>
      <c r="CC1064" s="12"/>
      <c r="CD1064" s="12"/>
      <c r="CE1064" s="12"/>
      <c r="CF1064" s="12"/>
      <c r="CG1064" s="12"/>
      <c r="CH1064" s="12"/>
      <c r="CI1064" s="12"/>
      <c r="CJ1064" s="12"/>
      <c r="CK1064" s="12"/>
      <c r="CL1064" s="12"/>
      <c r="CM1064" s="12"/>
      <c r="CN1064" s="12"/>
      <c r="CO1064" s="12"/>
      <c r="CP1064" s="12"/>
      <c r="CQ1064" s="12"/>
      <c r="CR1064" s="12"/>
      <c r="CS1064" s="12"/>
      <c r="CT1064" s="12"/>
      <c r="CU1064" s="12"/>
      <c r="CV1064" s="12"/>
      <c r="CW1064" s="12"/>
      <c r="CX1064" s="12"/>
      <c r="CY1064" s="12"/>
      <c r="CZ1064" s="12"/>
      <c r="DA1064" s="12"/>
      <c r="DB1064" s="12"/>
      <c r="DC1064" s="12"/>
      <c r="DD1064" s="12"/>
      <c r="DE1064" s="12"/>
      <c r="DF1064" s="12"/>
      <c r="DG1064" s="12"/>
      <c r="DH1064" s="12"/>
      <c r="DI1064" s="12"/>
      <c r="DJ1064" s="12"/>
      <c r="DK1064" s="12"/>
      <c r="DL1064" s="12"/>
      <c r="DM1064" s="12"/>
      <c r="DN1064" s="12"/>
      <c r="DO1064" s="12"/>
      <c r="DP1064" s="12"/>
      <c r="DQ1064" s="12"/>
      <c r="DR1064" s="12"/>
      <c r="DS1064" s="12"/>
      <c r="DT1064" s="12"/>
      <c r="DU1064" s="12"/>
      <c r="DV1064" s="12"/>
      <c r="DW1064" s="12"/>
      <c r="DX1064" s="12"/>
      <c r="DY1064" s="12"/>
      <c r="DZ1064" s="12"/>
      <c r="EA1064" s="12"/>
      <c r="EB1064" s="12"/>
      <c r="EC1064" s="12"/>
      <c r="ED1064" s="12"/>
      <c r="EE1064" s="12"/>
      <c r="EF1064" s="12"/>
      <c r="EG1064" s="12"/>
      <c r="EH1064" s="12"/>
      <c r="EI1064" s="12"/>
      <c r="EJ1064" s="574"/>
      <c r="EK1064" s="574"/>
      <c r="EL1064" s="574"/>
      <c r="EM1064" s="574"/>
      <c r="EN1064" s="574"/>
      <c r="EO1064" s="574"/>
      <c r="EP1064" s="574"/>
      <c r="EQ1064" s="574"/>
      <c r="ER1064" s="574"/>
      <c r="ES1064" s="574"/>
      <c r="ET1064" s="574"/>
      <c r="EU1064" s="574"/>
    </row>
    <row r="1065">
      <c r="A1065" s="12"/>
      <c r="B1065" s="55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2"/>
      <c r="AB1065" s="12"/>
      <c r="AC1065" s="12"/>
      <c r="AD1065" s="12"/>
      <c r="AE1065" s="12"/>
      <c r="AF1065" s="12"/>
      <c r="AG1065" s="12"/>
      <c r="AH1065" s="12"/>
      <c r="AI1065" s="12"/>
      <c r="AJ1065" s="12"/>
      <c r="AK1065" s="12"/>
      <c r="AL1065" s="12"/>
      <c r="AM1065" s="12"/>
      <c r="AN1065" s="12"/>
      <c r="AO1065" s="12"/>
      <c r="AP1065" s="12"/>
      <c r="AQ1065" s="12"/>
      <c r="AR1065" s="12"/>
      <c r="AS1065" s="12"/>
      <c r="AT1065" s="12"/>
      <c r="AU1065" s="12"/>
      <c r="AV1065" s="12"/>
      <c r="AW1065" s="12"/>
      <c r="AX1065" s="12"/>
      <c r="AY1065" s="12"/>
      <c r="AZ1065" s="12"/>
      <c r="BA1065" s="12"/>
      <c r="BB1065" s="12"/>
      <c r="BC1065" s="12"/>
      <c r="BD1065" s="12"/>
      <c r="BE1065" s="12"/>
      <c r="BF1065" s="12"/>
      <c r="BG1065" s="12"/>
      <c r="BH1065" s="12"/>
      <c r="BI1065" s="12"/>
      <c r="BJ1065" s="12"/>
      <c r="BK1065" s="12"/>
      <c r="BL1065" s="12"/>
      <c r="BM1065" s="12"/>
      <c r="BN1065" s="12"/>
      <c r="BO1065" s="12"/>
      <c r="BP1065" s="12"/>
      <c r="BQ1065" s="12"/>
      <c r="BR1065" s="12"/>
      <c r="BS1065" s="12"/>
      <c r="BT1065" s="12"/>
      <c r="BU1065" s="12"/>
      <c r="BV1065" s="12"/>
      <c r="BW1065" s="12"/>
      <c r="BX1065" s="12"/>
      <c r="BY1065" s="12"/>
      <c r="BZ1065" s="12"/>
      <c r="CA1065" s="12"/>
      <c r="CB1065" s="12"/>
      <c r="CC1065" s="12"/>
      <c r="CD1065" s="12"/>
      <c r="CE1065" s="12"/>
      <c r="CF1065" s="12"/>
      <c r="CG1065" s="12"/>
      <c r="CH1065" s="12"/>
      <c r="CI1065" s="12"/>
      <c r="CJ1065" s="12"/>
      <c r="CK1065" s="12"/>
      <c r="CL1065" s="12"/>
      <c r="CM1065" s="12"/>
      <c r="CN1065" s="12"/>
      <c r="CO1065" s="12"/>
      <c r="CP1065" s="12"/>
      <c r="CQ1065" s="12"/>
      <c r="CR1065" s="12"/>
      <c r="CS1065" s="12"/>
      <c r="CT1065" s="12"/>
      <c r="CU1065" s="12"/>
      <c r="CV1065" s="12"/>
      <c r="CW1065" s="12"/>
      <c r="CX1065" s="12"/>
      <c r="CY1065" s="12"/>
      <c r="CZ1065" s="12"/>
      <c r="DA1065" s="12"/>
      <c r="DB1065" s="12"/>
      <c r="DC1065" s="12"/>
      <c r="DD1065" s="12"/>
      <c r="DE1065" s="12"/>
      <c r="DF1065" s="12"/>
      <c r="DG1065" s="12"/>
      <c r="DH1065" s="12"/>
      <c r="DI1065" s="12"/>
      <c r="DJ1065" s="12"/>
      <c r="DK1065" s="12"/>
      <c r="DL1065" s="12"/>
      <c r="DM1065" s="12"/>
      <c r="DN1065" s="12"/>
      <c r="DO1065" s="12"/>
      <c r="DP1065" s="12"/>
      <c r="DQ1065" s="12"/>
      <c r="DR1065" s="12"/>
      <c r="DS1065" s="12"/>
      <c r="DT1065" s="12"/>
      <c r="DU1065" s="12"/>
      <c r="DV1065" s="12"/>
      <c r="DW1065" s="12"/>
      <c r="DX1065" s="12"/>
      <c r="DY1065" s="12"/>
      <c r="DZ1065" s="12"/>
      <c r="EA1065" s="12"/>
      <c r="EB1065" s="12"/>
      <c r="EC1065" s="12"/>
      <c r="ED1065" s="12"/>
      <c r="EE1065" s="12"/>
      <c r="EF1065" s="12"/>
      <c r="EG1065" s="12"/>
      <c r="EH1065" s="12"/>
      <c r="EI1065" s="12"/>
      <c r="EJ1065" s="574"/>
      <c r="EK1065" s="574"/>
      <c r="EL1065" s="574"/>
      <c r="EM1065" s="574"/>
      <c r="EN1065" s="574"/>
      <c r="EO1065" s="574"/>
      <c r="EP1065" s="574"/>
      <c r="EQ1065" s="574"/>
      <c r="ER1065" s="574"/>
      <c r="ES1065" s="574"/>
      <c r="ET1065" s="574"/>
      <c r="EU1065" s="574"/>
    </row>
    <row r="1066">
      <c r="A1066" s="12"/>
      <c r="B1066" s="55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2"/>
      <c r="AB1066" s="12"/>
      <c r="AC1066" s="12"/>
      <c r="AD1066" s="12"/>
      <c r="AE1066" s="12"/>
      <c r="AF1066" s="12"/>
      <c r="AG1066" s="12"/>
      <c r="AH1066" s="12"/>
      <c r="AI1066" s="12"/>
      <c r="AJ1066" s="12"/>
      <c r="AK1066" s="12"/>
      <c r="AL1066" s="12"/>
      <c r="AM1066" s="12"/>
      <c r="AN1066" s="12"/>
      <c r="AO1066" s="12"/>
      <c r="AP1066" s="12"/>
      <c r="AQ1066" s="12"/>
      <c r="AR1066" s="12"/>
      <c r="AS1066" s="12"/>
      <c r="AT1066" s="12"/>
      <c r="AU1066" s="12"/>
      <c r="AV1066" s="12"/>
      <c r="AW1066" s="12"/>
      <c r="AX1066" s="12"/>
      <c r="AY1066" s="12"/>
      <c r="AZ1066" s="12"/>
      <c r="BA1066" s="12"/>
      <c r="BB1066" s="12"/>
      <c r="BC1066" s="12"/>
      <c r="BD1066" s="12"/>
      <c r="BE1066" s="12"/>
      <c r="BF1066" s="12"/>
      <c r="BG1066" s="12"/>
      <c r="BH1066" s="12"/>
      <c r="BI1066" s="12"/>
      <c r="BJ1066" s="12"/>
      <c r="BK1066" s="12"/>
      <c r="BL1066" s="12"/>
      <c r="BM1066" s="12"/>
      <c r="BN1066" s="12"/>
      <c r="BO1066" s="12"/>
      <c r="BP1066" s="12"/>
      <c r="BQ1066" s="12"/>
      <c r="BR1066" s="12"/>
      <c r="BS1066" s="12"/>
      <c r="BT1066" s="12"/>
      <c r="BU1066" s="12"/>
      <c r="BV1066" s="12"/>
      <c r="BW1066" s="12"/>
      <c r="BX1066" s="12"/>
      <c r="BY1066" s="12"/>
      <c r="BZ1066" s="12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574"/>
      <c r="EK1066" s="574"/>
      <c r="EL1066" s="574"/>
      <c r="EM1066" s="574"/>
      <c r="EN1066" s="574"/>
      <c r="EO1066" s="574"/>
      <c r="EP1066" s="574"/>
      <c r="EQ1066" s="574"/>
      <c r="ER1066" s="574"/>
      <c r="ES1066" s="574"/>
      <c r="ET1066" s="574"/>
      <c r="EU1066" s="574"/>
    </row>
    <row r="1067">
      <c r="A1067" s="12"/>
      <c r="B1067" s="55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  <c r="AA1067" s="12"/>
      <c r="AB1067" s="12"/>
      <c r="AC1067" s="12"/>
      <c r="AD1067" s="12"/>
      <c r="AE1067" s="12"/>
      <c r="AF1067" s="12"/>
      <c r="AG1067" s="12"/>
      <c r="AH1067" s="12"/>
      <c r="AI1067" s="12"/>
      <c r="AJ1067" s="12"/>
      <c r="AK1067" s="12"/>
      <c r="AL1067" s="12"/>
      <c r="AM1067" s="12"/>
      <c r="AN1067" s="12"/>
      <c r="AO1067" s="12"/>
      <c r="AP1067" s="12"/>
      <c r="AQ1067" s="12"/>
      <c r="AR1067" s="12"/>
      <c r="AS1067" s="12"/>
      <c r="AT1067" s="12"/>
      <c r="AU1067" s="12"/>
      <c r="AV1067" s="12"/>
      <c r="AW1067" s="12"/>
      <c r="AX1067" s="12"/>
      <c r="AY1067" s="12"/>
      <c r="AZ1067" s="12"/>
      <c r="BA1067" s="12"/>
      <c r="BB1067" s="12"/>
      <c r="BC1067" s="12"/>
      <c r="BD1067" s="12"/>
      <c r="BE1067" s="12"/>
      <c r="BF1067" s="12"/>
      <c r="BG1067" s="12"/>
      <c r="BH1067" s="12"/>
      <c r="BI1067" s="12"/>
      <c r="BJ1067" s="12"/>
      <c r="BK1067" s="12"/>
      <c r="BL1067" s="12"/>
      <c r="BM1067" s="12"/>
      <c r="BN1067" s="12"/>
      <c r="BO1067" s="12"/>
      <c r="BP1067" s="12"/>
      <c r="BQ1067" s="12"/>
      <c r="BR1067" s="12"/>
      <c r="BS1067" s="12"/>
      <c r="BT1067" s="12"/>
      <c r="BU1067" s="12"/>
      <c r="BV1067" s="12"/>
      <c r="BW1067" s="12"/>
      <c r="BX1067" s="12"/>
      <c r="BY1067" s="12"/>
      <c r="BZ1067" s="12"/>
      <c r="CA1067" s="12"/>
      <c r="CB1067" s="12"/>
      <c r="CC1067" s="12"/>
      <c r="CD1067" s="12"/>
      <c r="CE1067" s="12"/>
      <c r="CF1067" s="12"/>
      <c r="CG1067" s="12"/>
      <c r="CH1067" s="12"/>
      <c r="CI1067" s="12"/>
      <c r="CJ1067" s="12"/>
      <c r="CK1067" s="12"/>
      <c r="CL1067" s="12"/>
      <c r="CM1067" s="12"/>
      <c r="CN1067" s="12"/>
      <c r="CO1067" s="12"/>
      <c r="CP1067" s="12"/>
      <c r="CQ1067" s="12"/>
      <c r="CR1067" s="12"/>
      <c r="CS1067" s="12"/>
      <c r="CT1067" s="12"/>
      <c r="CU1067" s="12"/>
      <c r="CV1067" s="12"/>
      <c r="CW1067" s="12"/>
      <c r="CX1067" s="12"/>
      <c r="CY1067" s="12"/>
      <c r="CZ1067" s="12"/>
      <c r="DA1067" s="12"/>
      <c r="DB1067" s="12"/>
      <c r="DC1067" s="12"/>
      <c r="DD1067" s="12"/>
      <c r="DE1067" s="12"/>
      <c r="DF1067" s="12"/>
      <c r="DG1067" s="12"/>
      <c r="DH1067" s="12"/>
      <c r="DI1067" s="12"/>
      <c r="DJ1067" s="12"/>
      <c r="DK1067" s="12"/>
      <c r="DL1067" s="12"/>
      <c r="DM1067" s="12"/>
      <c r="DN1067" s="12"/>
      <c r="DO1067" s="12"/>
      <c r="DP1067" s="12"/>
      <c r="DQ1067" s="12"/>
      <c r="DR1067" s="12"/>
      <c r="DS1067" s="12"/>
      <c r="DT1067" s="12"/>
      <c r="DU1067" s="12"/>
      <c r="DV1067" s="12"/>
      <c r="DW1067" s="12"/>
      <c r="DX1067" s="12"/>
      <c r="DY1067" s="12"/>
      <c r="DZ1067" s="12"/>
      <c r="EA1067" s="12"/>
      <c r="EB1067" s="12"/>
      <c r="EC1067" s="12"/>
      <c r="ED1067" s="12"/>
      <c r="EE1067" s="12"/>
      <c r="EF1067" s="12"/>
      <c r="EG1067" s="12"/>
      <c r="EH1067" s="12"/>
      <c r="EI1067" s="12"/>
      <c r="EJ1067" s="574"/>
      <c r="EK1067" s="574"/>
      <c r="EL1067" s="574"/>
      <c r="EM1067" s="574"/>
      <c r="EN1067" s="574"/>
      <c r="EO1067" s="574"/>
      <c r="EP1067" s="574"/>
      <c r="EQ1067" s="574"/>
      <c r="ER1067" s="574"/>
      <c r="ES1067" s="574"/>
      <c r="ET1067" s="574"/>
      <c r="EU1067" s="574"/>
    </row>
    <row r="1068">
      <c r="A1068" s="12"/>
      <c r="B1068" s="55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  <c r="AA1068" s="12"/>
      <c r="AB1068" s="12"/>
      <c r="AC1068" s="12"/>
      <c r="AD1068" s="12"/>
      <c r="AE1068" s="12"/>
      <c r="AF1068" s="12"/>
      <c r="AG1068" s="12"/>
      <c r="AH1068" s="12"/>
      <c r="AI1068" s="12"/>
      <c r="AJ1068" s="12"/>
      <c r="AK1068" s="12"/>
      <c r="AL1068" s="12"/>
      <c r="AM1068" s="12"/>
      <c r="AN1068" s="12"/>
      <c r="AO1068" s="12"/>
      <c r="AP1068" s="12"/>
      <c r="AQ1068" s="12"/>
      <c r="AR1068" s="12"/>
      <c r="AS1068" s="12"/>
      <c r="AT1068" s="12"/>
      <c r="AU1068" s="12"/>
      <c r="AV1068" s="12"/>
      <c r="AW1068" s="12"/>
      <c r="AX1068" s="12"/>
      <c r="AY1068" s="12"/>
      <c r="AZ1068" s="12"/>
      <c r="BA1068" s="12"/>
      <c r="BB1068" s="12"/>
      <c r="BC1068" s="12"/>
      <c r="BD1068" s="12"/>
      <c r="BE1068" s="12"/>
      <c r="BF1068" s="12"/>
      <c r="BG1068" s="12"/>
      <c r="BH1068" s="12"/>
      <c r="BI1068" s="12"/>
      <c r="BJ1068" s="12"/>
      <c r="BK1068" s="12"/>
      <c r="BL1068" s="12"/>
      <c r="BM1068" s="12"/>
      <c r="BN1068" s="12"/>
      <c r="BO1068" s="12"/>
      <c r="BP1068" s="12"/>
      <c r="BQ1068" s="12"/>
      <c r="BR1068" s="12"/>
      <c r="BS1068" s="12"/>
      <c r="BT1068" s="12"/>
      <c r="BU1068" s="12"/>
      <c r="BV1068" s="12"/>
      <c r="BW1068" s="12"/>
      <c r="BX1068" s="12"/>
      <c r="BY1068" s="12"/>
      <c r="BZ1068" s="12"/>
      <c r="CA1068" s="12"/>
      <c r="CB1068" s="12"/>
      <c r="CC1068" s="12"/>
      <c r="CD1068" s="12"/>
      <c r="CE1068" s="12"/>
      <c r="CF1068" s="12"/>
      <c r="CG1068" s="12"/>
      <c r="CH1068" s="12"/>
      <c r="CI1068" s="12"/>
      <c r="CJ1068" s="12"/>
      <c r="CK1068" s="12"/>
      <c r="CL1068" s="12"/>
      <c r="CM1068" s="12"/>
      <c r="CN1068" s="12"/>
      <c r="CO1068" s="12"/>
      <c r="CP1068" s="12"/>
      <c r="CQ1068" s="12"/>
      <c r="CR1068" s="12"/>
      <c r="CS1068" s="12"/>
      <c r="CT1068" s="12"/>
      <c r="CU1068" s="12"/>
      <c r="CV1068" s="12"/>
      <c r="CW1068" s="12"/>
      <c r="CX1068" s="12"/>
      <c r="CY1068" s="12"/>
      <c r="CZ1068" s="12"/>
      <c r="DA1068" s="12"/>
      <c r="DB1068" s="12"/>
      <c r="DC1068" s="12"/>
      <c r="DD1068" s="12"/>
      <c r="DE1068" s="12"/>
      <c r="DF1068" s="12"/>
      <c r="DG1068" s="12"/>
      <c r="DH1068" s="12"/>
      <c r="DI1068" s="12"/>
      <c r="DJ1068" s="12"/>
      <c r="DK1068" s="12"/>
      <c r="DL1068" s="12"/>
      <c r="DM1068" s="12"/>
      <c r="DN1068" s="12"/>
      <c r="DO1068" s="12"/>
      <c r="DP1068" s="12"/>
      <c r="DQ1068" s="12"/>
      <c r="DR1068" s="12"/>
      <c r="DS1068" s="12"/>
      <c r="DT1068" s="12"/>
      <c r="DU1068" s="12"/>
      <c r="DV1068" s="12"/>
      <c r="DW1068" s="12"/>
      <c r="DX1068" s="12"/>
      <c r="DY1068" s="12"/>
      <c r="DZ1068" s="12"/>
      <c r="EA1068" s="12"/>
      <c r="EB1068" s="12"/>
      <c r="EC1068" s="12"/>
      <c r="ED1068" s="12"/>
      <c r="EE1068" s="12"/>
      <c r="EF1068" s="12"/>
      <c r="EG1068" s="12"/>
      <c r="EH1068" s="12"/>
      <c r="EI1068" s="12"/>
      <c r="EJ1068" s="574"/>
      <c r="EK1068" s="574"/>
      <c r="EL1068" s="574"/>
      <c r="EM1068" s="574"/>
      <c r="EN1068" s="574"/>
      <c r="EO1068" s="574"/>
      <c r="EP1068" s="574"/>
      <c r="EQ1068" s="574"/>
      <c r="ER1068" s="574"/>
      <c r="ES1068" s="574"/>
      <c r="ET1068" s="574"/>
      <c r="EU1068" s="574"/>
    </row>
    <row r="1069">
      <c r="A1069" s="12"/>
      <c r="B1069" s="55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  <c r="AA1069" s="12"/>
      <c r="AB1069" s="12"/>
      <c r="AC1069" s="12"/>
      <c r="AD1069" s="12"/>
      <c r="AE1069" s="12"/>
      <c r="AF1069" s="12"/>
      <c r="AG1069" s="12"/>
      <c r="AH1069" s="12"/>
      <c r="AI1069" s="12"/>
      <c r="AJ1069" s="12"/>
      <c r="AK1069" s="12"/>
      <c r="AL1069" s="12"/>
      <c r="AM1069" s="12"/>
      <c r="AN1069" s="12"/>
      <c r="AO1069" s="12"/>
      <c r="AP1069" s="12"/>
      <c r="AQ1069" s="12"/>
      <c r="AR1069" s="12"/>
      <c r="AS1069" s="12"/>
      <c r="AT1069" s="12"/>
      <c r="AU1069" s="12"/>
      <c r="AV1069" s="12"/>
      <c r="AW1069" s="12"/>
      <c r="AX1069" s="12"/>
      <c r="AY1069" s="12"/>
      <c r="AZ1069" s="12"/>
      <c r="BA1069" s="12"/>
      <c r="BB1069" s="12"/>
      <c r="BC1069" s="12"/>
      <c r="BD1069" s="12"/>
      <c r="BE1069" s="12"/>
      <c r="BF1069" s="12"/>
      <c r="BG1069" s="12"/>
      <c r="BH1069" s="12"/>
      <c r="BI1069" s="12"/>
      <c r="BJ1069" s="12"/>
      <c r="BK1069" s="12"/>
      <c r="BL1069" s="12"/>
      <c r="BM1069" s="12"/>
      <c r="BN1069" s="12"/>
      <c r="BO1069" s="12"/>
      <c r="BP1069" s="12"/>
      <c r="BQ1069" s="12"/>
      <c r="BR1069" s="12"/>
      <c r="BS1069" s="12"/>
      <c r="BT1069" s="12"/>
      <c r="BU1069" s="12"/>
      <c r="BV1069" s="12"/>
      <c r="BW1069" s="12"/>
      <c r="BX1069" s="12"/>
      <c r="BY1069" s="12"/>
      <c r="BZ1069" s="12"/>
      <c r="CA1069" s="12"/>
      <c r="CB1069" s="12"/>
      <c r="CC1069" s="12"/>
      <c r="CD1069" s="12"/>
      <c r="CE1069" s="12"/>
      <c r="CF1069" s="12"/>
      <c r="CG1069" s="12"/>
      <c r="CH1069" s="12"/>
      <c r="CI1069" s="12"/>
      <c r="CJ1069" s="12"/>
      <c r="CK1069" s="12"/>
      <c r="CL1069" s="12"/>
      <c r="CM1069" s="12"/>
      <c r="CN1069" s="12"/>
      <c r="CO1069" s="12"/>
      <c r="CP1069" s="12"/>
      <c r="CQ1069" s="12"/>
      <c r="CR1069" s="12"/>
      <c r="CS1069" s="12"/>
      <c r="CT1069" s="12"/>
      <c r="CU1069" s="12"/>
      <c r="CV1069" s="12"/>
      <c r="CW1069" s="12"/>
      <c r="CX1069" s="12"/>
      <c r="CY1069" s="12"/>
      <c r="CZ1069" s="12"/>
      <c r="DA1069" s="12"/>
      <c r="DB1069" s="12"/>
      <c r="DC1069" s="12"/>
      <c r="DD1069" s="12"/>
      <c r="DE1069" s="12"/>
      <c r="DF1069" s="12"/>
      <c r="DG1069" s="12"/>
      <c r="DH1069" s="12"/>
      <c r="DI1069" s="12"/>
      <c r="DJ1069" s="12"/>
      <c r="DK1069" s="12"/>
      <c r="DL1069" s="12"/>
      <c r="DM1069" s="12"/>
      <c r="DN1069" s="12"/>
      <c r="DO1069" s="12"/>
      <c r="DP1069" s="12"/>
      <c r="DQ1069" s="12"/>
      <c r="DR1069" s="12"/>
      <c r="DS1069" s="12"/>
      <c r="DT1069" s="12"/>
      <c r="DU1069" s="12"/>
      <c r="DV1069" s="12"/>
      <c r="DW1069" s="12"/>
      <c r="DX1069" s="12"/>
      <c r="DY1069" s="12"/>
      <c r="DZ1069" s="12"/>
      <c r="EA1069" s="12"/>
      <c r="EB1069" s="12"/>
      <c r="EC1069" s="12"/>
      <c r="ED1069" s="12"/>
      <c r="EE1069" s="12"/>
      <c r="EF1069" s="12"/>
      <c r="EG1069" s="12"/>
      <c r="EH1069" s="12"/>
      <c r="EI1069" s="12"/>
      <c r="EJ1069" s="574"/>
      <c r="EK1069" s="574"/>
      <c r="EL1069" s="574"/>
      <c r="EM1069" s="574"/>
      <c r="EN1069" s="574"/>
      <c r="EO1069" s="574"/>
      <c r="EP1069" s="574"/>
      <c r="EQ1069" s="574"/>
      <c r="ER1069" s="574"/>
      <c r="ES1069" s="574"/>
      <c r="ET1069" s="574"/>
      <c r="EU1069" s="574"/>
    </row>
    <row r="1070">
      <c r="A1070" s="12"/>
      <c r="B1070" s="55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  <c r="AA1070" s="12"/>
      <c r="AB1070" s="12"/>
      <c r="AC1070" s="12"/>
      <c r="AD1070" s="12"/>
      <c r="AE1070" s="12"/>
      <c r="AF1070" s="12"/>
      <c r="AG1070" s="12"/>
      <c r="AH1070" s="12"/>
      <c r="AI1070" s="12"/>
      <c r="AJ1070" s="12"/>
      <c r="AK1070" s="12"/>
      <c r="AL1070" s="12"/>
      <c r="AM1070" s="12"/>
      <c r="AN1070" s="12"/>
      <c r="AO1070" s="12"/>
      <c r="AP1070" s="12"/>
      <c r="AQ1070" s="12"/>
      <c r="AR1070" s="12"/>
      <c r="AS1070" s="12"/>
      <c r="AT1070" s="12"/>
      <c r="AU1070" s="12"/>
      <c r="AV1070" s="12"/>
      <c r="AW1070" s="12"/>
      <c r="AX1070" s="12"/>
      <c r="AY1070" s="12"/>
      <c r="AZ1070" s="12"/>
      <c r="BA1070" s="12"/>
      <c r="BB1070" s="12"/>
      <c r="BC1070" s="12"/>
      <c r="BD1070" s="12"/>
      <c r="BE1070" s="12"/>
      <c r="BF1070" s="12"/>
      <c r="BG1070" s="12"/>
      <c r="BH1070" s="12"/>
      <c r="BI1070" s="12"/>
      <c r="BJ1070" s="12"/>
      <c r="BK1070" s="12"/>
      <c r="BL1070" s="12"/>
      <c r="BM1070" s="12"/>
      <c r="BN1070" s="12"/>
      <c r="BO1070" s="12"/>
      <c r="BP1070" s="12"/>
      <c r="BQ1070" s="12"/>
      <c r="BR1070" s="12"/>
      <c r="BS1070" s="12"/>
      <c r="BT1070" s="12"/>
      <c r="BU1070" s="12"/>
      <c r="BV1070" s="12"/>
      <c r="BW1070" s="12"/>
      <c r="BX1070" s="12"/>
      <c r="BY1070" s="12"/>
      <c r="BZ1070" s="12"/>
      <c r="CA1070" s="12"/>
      <c r="CB1070" s="12"/>
      <c r="CC1070" s="12"/>
      <c r="CD1070" s="12"/>
      <c r="CE1070" s="12"/>
      <c r="CF1070" s="12"/>
      <c r="CG1070" s="12"/>
      <c r="CH1070" s="12"/>
      <c r="CI1070" s="12"/>
      <c r="CJ1070" s="12"/>
      <c r="CK1070" s="12"/>
      <c r="CL1070" s="12"/>
      <c r="CM1070" s="12"/>
      <c r="CN1070" s="12"/>
      <c r="CO1070" s="12"/>
      <c r="CP1070" s="12"/>
      <c r="CQ1070" s="12"/>
      <c r="CR1070" s="12"/>
      <c r="CS1070" s="12"/>
      <c r="CT1070" s="12"/>
      <c r="CU1070" s="12"/>
      <c r="CV1070" s="12"/>
      <c r="CW1070" s="12"/>
      <c r="CX1070" s="12"/>
      <c r="CY1070" s="12"/>
      <c r="CZ1070" s="12"/>
      <c r="DA1070" s="12"/>
      <c r="DB1070" s="12"/>
      <c r="DC1070" s="12"/>
      <c r="DD1070" s="12"/>
      <c r="DE1070" s="12"/>
      <c r="DF1070" s="12"/>
      <c r="DG1070" s="12"/>
      <c r="DH1070" s="12"/>
      <c r="DI1070" s="12"/>
      <c r="DJ1070" s="12"/>
      <c r="DK1070" s="12"/>
      <c r="DL1070" s="12"/>
      <c r="DM1070" s="12"/>
      <c r="DN1070" s="12"/>
      <c r="DO1070" s="12"/>
      <c r="DP1070" s="12"/>
      <c r="DQ1070" s="12"/>
      <c r="DR1070" s="12"/>
      <c r="DS1070" s="12"/>
      <c r="DT1070" s="12"/>
      <c r="DU1070" s="12"/>
      <c r="DV1070" s="12"/>
      <c r="DW1070" s="12"/>
      <c r="DX1070" s="12"/>
      <c r="DY1070" s="12"/>
      <c r="DZ1070" s="12"/>
      <c r="EA1070" s="12"/>
      <c r="EB1070" s="12"/>
      <c r="EC1070" s="12"/>
      <c r="ED1070" s="12"/>
      <c r="EE1070" s="12"/>
      <c r="EF1070" s="12"/>
      <c r="EG1070" s="12"/>
      <c r="EH1070" s="12"/>
      <c r="EI1070" s="12"/>
      <c r="EJ1070" s="574"/>
      <c r="EK1070" s="574"/>
      <c r="EL1070" s="574"/>
      <c r="EM1070" s="574"/>
      <c r="EN1070" s="574"/>
      <c r="EO1070" s="574"/>
      <c r="EP1070" s="574"/>
      <c r="EQ1070" s="574"/>
      <c r="ER1070" s="574"/>
      <c r="ES1070" s="574"/>
      <c r="ET1070" s="574"/>
      <c r="EU1070" s="574"/>
    </row>
    <row r="1071">
      <c r="A1071" s="12"/>
      <c r="B1071" s="55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  <c r="AA1071" s="12"/>
      <c r="AB1071" s="12"/>
      <c r="AC1071" s="12"/>
      <c r="AD1071" s="12"/>
      <c r="AE1071" s="12"/>
      <c r="AF1071" s="12"/>
      <c r="AG1071" s="12"/>
      <c r="AH1071" s="12"/>
      <c r="AI1071" s="12"/>
      <c r="AJ1071" s="12"/>
      <c r="AK1071" s="12"/>
      <c r="AL1071" s="12"/>
      <c r="AM1071" s="12"/>
      <c r="AN1071" s="12"/>
      <c r="AO1071" s="12"/>
      <c r="AP1071" s="12"/>
      <c r="AQ1071" s="12"/>
      <c r="AR1071" s="12"/>
      <c r="AS1071" s="12"/>
      <c r="AT1071" s="12"/>
      <c r="AU1071" s="12"/>
      <c r="AV1071" s="12"/>
      <c r="AW1071" s="12"/>
      <c r="AX1071" s="12"/>
      <c r="AY1071" s="12"/>
      <c r="AZ1071" s="12"/>
      <c r="BA1071" s="12"/>
      <c r="BB1071" s="12"/>
      <c r="BC1071" s="12"/>
      <c r="BD1071" s="12"/>
      <c r="BE1071" s="12"/>
      <c r="BF1071" s="12"/>
      <c r="BG1071" s="12"/>
      <c r="BH1071" s="12"/>
      <c r="BI1071" s="12"/>
      <c r="BJ1071" s="12"/>
      <c r="BK1071" s="12"/>
      <c r="BL1071" s="12"/>
      <c r="BM1071" s="12"/>
      <c r="BN1071" s="12"/>
      <c r="BO1071" s="12"/>
      <c r="BP1071" s="12"/>
      <c r="BQ1071" s="12"/>
      <c r="BR1071" s="12"/>
      <c r="BS1071" s="12"/>
      <c r="BT1071" s="12"/>
      <c r="BU1071" s="12"/>
      <c r="BV1071" s="12"/>
      <c r="BW1071" s="12"/>
      <c r="BX1071" s="12"/>
      <c r="BY1071" s="12"/>
      <c r="BZ1071" s="12"/>
      <c r="CA1071" s="12"/>
      <c r="CB1071" s="12"/>
      <c r="CC1071" s="12"/>
      <c r="CD1071" s="12"/>
      <c r="CE1071" s="12"/>
      <c r="CF1071" s="12"/>
      <c r="CG1071" s="12"/>
      <c r="CH1071" s="12"/>
      <c r="CI1071" s="12"/>
      <c r="CJ1071" s="12"/>
      <c r="CK1071" s="12"/>
      <c r="CL1071" s="12"/>
      <c r="CM1071" s="12"/>
      <c r="CN1071" s="12"/>
      <c r="CO1071" s="12"/>
      <c r="CP1071" s="12"/>
      <c r="CQ1071" s="12"/>
      <c r="CR1071" s="12"/>
      <c r="CS1071" s="12"/>
      <c r="CT1071" s="12"/>
      <c r="CU1071" s="12"/>
      <c r="CV1071" s="12"/>
      <c r="CW1071" s="12"/>
      <c r="CX1071" s="12"/>
      <c r="CY1071" s="12"/>
      <c r="CZ1071" s="12"/>
      <c r="DA1071" s="12"/>
      <c r="DB1071" s="12"/>
      <c r="DC1071" s="12"/>
      <c r="DD1071" s="12"/>
      <c r="DE1071" s="12"/>
      <c r="DF1071" s="12"/>
      <c r="DG1071" s="12"/>
      <c r="DH1071" s="12"/>
      <c r="DI1071" s="12"/>
      <c r="DJ1071" s="12"/>
      <c r="DK1071" s="12"/>
      <c r="DL1071" s="12"/>
      <c r="DM1071" s="12"/>
      <c r="DN1071" s="12"/>
      <c r="DO1071" s="12"/>
      <c r="DP1071" s="12"/>
      <c r="DQ1071" s="12"/>
      <c r="DR1071" s="12"/>
      <c r="DS1071" s="12"/>
      <c r="DT1071" s="12"/>
      <c r="DU1071" s="12"/>
      <c r="DV1071" s="12"/>
      <c r="DW1071" s="12"/>
      <c r="DX1071" s="12"/>
      <c r="DY1071" s="12"/>
      <c r="DZ1071" s="12"/>
      <c r="EA1071" s="12"/>
      <c r="EB1071" s="12"/>
      <c r="EC1071" s="12"/>
      <c r="ED1071" s="12"/>
      <c r="EE1071" s="12"/>
      <c r="EF1071" s="12"/>
      <c r="EG1071" s="12"/>
      <c r="EH1071" s="12"/>
      <c r="EI1071" s="12"/>
      <c r="EJ1071" s="574"/>
      <c r="EK1071" s="574"/>
      <c r="EL1071" s="574"/>
      <c r="EM1071" s="574"/>
      <c r="EN1071" s="574"/>
      <c r="EO1071" s="574"/>
      <c r="EP1071" s="574"/>
      <c r="EQ1071" s="574"/>
      <c r="ER1071" s="574"/>
      <c r="ES1071" s="574"/>
      <c r="ET1071" s="574"/>
      <c r="EU1071" s="574"/>
    </row>
    <row r="1072">
      <c r="A1072" s="12"/>
      <c r="B1072" s="55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  <c r="AA1072" s="12"/>
      <c r="AB1072" s="12"/>
      <c r="AC1072" s="12"/>
      <c r="AD1072" s="12"/>
      <c r="AE1072" s="12"/>
      <c r="AF1072" s="12"/>
      <c r="AG1072" s="12"/>
      <c r="AH1072" s="12"/>
      <c r="AI1072" s="12"/>
      <c r="AJ1072" s="12"/>
      <c r="AK1072" s="12"/>
      <c r="AL1072" s="12"/>
      <c r="AM1072" s="12"/>
      <c r="AN1072" s="12"/>
      <c r="AO1072" s="12"/>
      <c r="AP1072" s="12"/>
      <c r="AQ1072" s="12"/>
      <c r="AR1072" s="12"/>
      <c r="AS1072" s="12"/>
      <c r="AT1072" s="12"/>
      <c r="AU1072" s="12"/>
      <c r="AV1072" s="12"/>
      <c r="AW1072" s="12"/>
      <c r="AX1072" s="12"/>
      <c r="AY1072" s="12"/>
      <c r="AZ1072" s="12"/>
      <c r="BA1072" s="12"/>
      <c r="BB1072" s="12"/>
      <c r="BC1072" s="12"/>
      <c r="BD1072" s="12"/>
      <c r="BE1072" s="12"/>
      <c r="BF1072" s="12"/>
      <c r="BG1072" s="12"/>
      <c r="BH1072" s="12"/>
      <c r="BI1072" s="12"/>
      <c r="BJ1072" s="12"/>
      <c r="BK1072" s="12"/>
      <c r="BL1072" s="12"/>
      <c r="BM1072" s="12"/>
      <c r="BN1072" s="12"/>
      <c r="BO1072" s="12"/>
      <c r="BP1072" s="12"/>
      <c r="BQ1072" s="12"/>
      <c r="BR1072" s="12"/>
      <c r="BS1072" s="12"/>
      <c r="BT1072" s="12"/>
      <c r="BU1072" s="12"/>
      <c r="BV1072" s="12"/>
      <c r="BW1072" s="12"/>
      <c r="BX1072" s="12"/>
      <c r="BY1072" s="12"/>
      <c r="BZ1072" s="12"/>
      <c r="CA1072" s="12"/>
      <c r="CB1072" s="12"/>
      <c r="CC1072" s="12"/>
      <c r="CD1072" s="12"/>
      <c r="CE1072" s="12"/>
      <c r="CF1072" s="12"/>
      <c r="CG1072" s="12"/>
      <c r="CH1072" s="12"/>
      <c r="CI1072" s="12"/>
      <c r="CJ1072" s="12"/>
      <c r="CK1072" s="12"/>
      <c r="CL1072" s="12"/>
      <c r="CM1072" s="12"/>
      <c r="CN1072" s="12"/>
      <c r="CO1072" s="12"/>
      <c r="CP1072" s="12"/>
      <c r="CQ1072" s="12"/>
      <c r="CR1072" s="12"/>
      <c r="CS1072" s="12"/>
      <c r="CT1072" s="12"/>
      <c r="CU1072" s="12"/>
      <c r="CV1072" s="12"/>
      <c r="CW1072" s="12"/>
      <c r="CX1072" s="12"/>
      <c r="CY1072" s="12"/>
      <c r="CZ1072" s="12"/>
      <c r="DA1072" s="12"/>
      <c r="DB1072" s="12"/>
      <c r="DC1072" s="12"/>
      <c r="DD1072" s="12"/>
      <c r="DE1072" s="12"/>
      <c r="DF1072" s="12"/>
      <c r="DG1072" s="12"/>
      <c r="DH1072" s="12"/>
      <c r="DI1072" s="12"/>
      <c r="DJ1072" s="12"/>
      <c r="DK1072" s="12"/>
      <c r="DL1072" s="12"/>
      <c r="DM1072" s="12"/>
      <c r="DN1072" s="12"/>
      <c r="DO1072" s="12"/>
      <c r="DP1072" s="12"/>
      <c r="DQ1072" s="12"/>
      <c r="DR1072" s="12"/>
      <c r="DS1072" s="12"/>
      <c r="DT1072" s="12"/>
      <c r="DU1072" s="12"/>
      <c r="DV1072" s="12"/>
      <c r="DW1072" s="12"/>
      <c r="DX1072" s="12"/>
      <c r="DY1072" s="12"/>
      <c r="DZ1072" s="12"/>
      <c r="EA1072" s="12"/>
      <c r="EB1072" s="12"/>
      <c r="EC1072" s="12"/>
      <c r="ED1072" s="12"/>
      <c r="EE1072" s="12"/>
      <c r="EF1072" s="12"/>
      <c r="EG1072" s="12"/>
      <c r="EH1072" s="12"/>
      <c r="EI1072" s="12"/>
      <c r="EJ1072" s="574"/>
      <c r="EK1072" s="574"/>
      <c r="EL1072" s="574"/>
      <c r="EM1072" s="574"/>
      <c r="EN1072" s="574"/>
      <c r="EO1072" s="574"/>
      <c r="EP1072" s="574"/>
      <c r="EQ1072" s="574"/>
      <c r="ER1072" s="574"/>
      <c r="ES1072" s="574"/>
      <c r="ET1072" s="574"/>
      <c r="EU1072" s="574"/>
    </row>
    <row r="1073">
      <c r="A1073" s="12"/>
      <c r="B1073" s="55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  <c r="AA1073" s="12"/>
      <c r="AB1073" s="12"/>
      <c r="AC1073" s="12"/>
      <c r="AD1073" s="12"/>
      <c r="AE1073" s="12"/>
      <c r="AF1073" s="12"/>
      <c r="AG1073" s="12"/>
      <c r="AH1073" s="12"/>
      <c r="AI1073" s="12"/>
      <c r="AJ1073" s="12"/>
      <c r="AK1073" s="12"/>
      <c r="AL1073" s="12"/>
      <c r="AM1073" s="12"/>
      <c r="AN1073" s="12"/>
      <c r="AO1073" s="12"/>
      <c r="AP1073" s="12"/>
      <c r="AQ1073" s="12"/>
      <c r="AR1073" s="12"/>
      <c r="AS1073" s="12"/>
      <c r="AT1073" s="12"/>
      <c r="AU1073" s="12"/>
      <c r="AV1073" s="12"/>
      <c r="AW1073" s="12"/>
      <c r="AX1073" s="12"/>
      <c r="AY1073" s="12"/>
      <c r="AZ1073" s="12"/>
      <c r="BA1073" s="12"/>
      <c r="BB1073" s="12"/>
      <c r="BC1073" s="12"/>
      <c r="BD1073" s="12"/>
      <c r="BE1073" s="12"/>
      <c r="BF1073" s="12"/>
      <c r="BG1073" s="12"/>
      <c r="BH1073" s="12"/>
      <c r="BI1073" s="12"/>
      <c r="BJ1073" s="12"/>
      <c r="BK1073" s="12"/>
      <c r="BL1073" s="12"/>
      <c r="BM1073" s="12"/>
      <c r="BN1073" s="12"/>
      <c r="BO1073" s="12"/>
      <c r="BP1073" s="12"/>
      <c r="BQ1073" s="12"/>
      <c r="BR1073" s="12"/>
      <c r="BS1073" s="12"/>
      <c r="BT1073" s="12"/>
      <c r="BU1073" s="12"/>
      <c r="BV1073" s="12"/>
      <c r="BW1073" s="12"/>
      <c r="BX1073" s="12"/>
      <c r="BY1073" s="12"/>
      <c r="BZ1073" s="12"/>
      <c r="CA1073" s="12"/>
      <c r="CB1073" s="12"/>
      <c r="CC1073" s="12"/>
      <c r="CD1073" s="12"/>
      <c r="CE1073" s="12"/>
      <c r="CF1073" s="12"/>
      <c r="CG1073" s="12"/>
      <c r="CH1073" s="12"/>
      <c r="CI1073" s="12"/>
      <c r="CJ1073" s="12"/>
      <c r="CK1073" s="12"/>
      <c r="CL1073" s="12"/>
      <c r="CM1073" s="12"/>
      <c r="CN1073" s="12"/>
      <c r="CO1073" s="12"/>
      <c r="CP1073" s="12"/>
      <c r="CQ1073" s="12"/>
      <c r="CR1073" s="12"/>
      <c r="CS1073" s="12"/>
      <c r="CT1073" s="12"/>
      <c r="CU1073" s="12"/>
      <c r="CV1073" s="12"/>
      <c r="CW1073" s="12"/>
      <c r="CX1073" s="12"/>
      <c r="CY1073" s="12"/>
      <c r="CZ1073" s="12"/>
      <c r="DA1073" s="12"/>
      <c r="DB1073" s="12"/>
      <c r="DC1073" s="12"/>
      <c r="DD1073" s="12"/>
      <c r="DE1073" s="12"/>
      <c r="DF1073" s="12"/>
      <c r="DG1073" s="12"/>
      <c r="DH1073" s="12"/>
      <c r="DI1073" s="12"/>
      <c r="DJ1073" s="12"/>
      <c r="DK1073" s="12"/>
      <c r="DL1073" s="12"/>
      <c r="DM1073" s="12"/>
      <c r="DN1073" s="12"/>
      <c r="DO1073" s="12"/>
      <c r="DP1073" s="12"/>
      <c r="DQ1073" s="12"/>
      <c r="DR1073" s="12"/>
      <c r="DS1073" s="12"/>
      <c r="DT1073" s="12"/>
      <c r="DU1073" s="12"/>
      <c r="DV1073" s="12"/>
      <c r="DW1073" s="12"/>
      <c r="DX1073" s="12"/>
      <c r="DY1073" s="12"/>
      <c r="DZ1073" s="12"/>
      <c r="EA1073" s="12"/>
      <c r="EB1073" s="12"/>
      <c r="EC1073" s="12"/>
      <c r="ED1073" s="12"/>
      <c r="EE1073" s="12"/>
      <c r="EF1073" s="12"/>
      <c r="EG1073" s="12"/>
      <c r="EH1073" s="12"/>
      <c r="EI1073" s="12"/>
      <c r="EJ1073" s="574"/>
      <c r="EK1073" s="574"/>
      <c r="EL1073" s="574"/>
      <c r="EM1073" s="574"/>
      <c r="EN1073" s="574"/>
      <c r="EO1073" s="574"/>
      <c r="EP1073" s="574"/>
      <c r="EQ1073" s="574"/>
      <c r="ER1073" s="574"/>
      <c r="ES1073" s="574"/>
      <c r="ET1073" s="574"/>
      <c r="EU1073" s="574"/>
    </row>
    <row r="1074">
      <c r="A1074" s="12"/>
      <c r="B1074" s="55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  <c r="AA1074" s="12"/>
      <c r="AB1074" s="12"/>
      <c r="AC1074" s="12"/>
      <c r="AD1074" s="12"/>
      <c r="AE1074" s="12"/>
      <c r="AF1074" s="12"/>
      <c r="AG1074" s="12"/>
      <c r="AH1074" s="12"/>
      <c r="AI1074" s="12"/>
      <c r="AJ1074" s="12"/>
      <c r="AK1074" s="12"/>
      <c r="AL1074" s="12"/>
      <c r="AM1074" s="12"/>
      <c r="AN1074" s="12"/>
      <c r="AO1074" s="12"/>
      <c r="AP1074" s="12"/>
      <c r="AQ1074" s="12"/>
      <c r="AR1074" s="12"/>
      <c r="AS1074" s="12"/>
      <c r="AT1074" s="12"/>
      <c r="AU1074" s="12"/>
      <c r="AV1074" s="12"/>
      <c r="AW1074" s="12"/>
      <c r="AX1074" s="12"/>
      <c r="AY1074" s="12"/>
      <c r="AZ1074" s="12"/>
      <c r="BA1074" s="12"/>
      <c r="BB1074" s="12"/>
      <c r="BC1074" s="12"/>
      <c r="BD1074" s="12"/>
      <c r="BE1074" s="12"/>
      <c r="BF1074" s="12"/>
      <c r="BG1074" s="12"/>
      <c r="BH1074" s="12"/>
      <c r="BI1074" s="12"/>
      <c r="BJ1074" s="12"/>
      <c r="BK1074" s="12"/>
      <c r="BL1074" s="12"/>
      <c r="BM1074" s="12"/>
      <c r="BN1074" s="12"/>
      <c r="BO1074" s="12"/>
      <c r="BP1074" s="12"/>
      <c r="BQ1074" s="12"/>
      <c r="BR1074" s="12"/>
      <c r="BS1074" s="12"/>
      <c r="BT1074" s="12"/>
      <c r="BU1074" s="12"/>
      <c r="BV1074" s="12"/>
      <c r="BW1074" s="12"/>
      <c r="BX1074" s="12"/>
      <c r="BY1074" s="12"/>
      <c r="BZ1074" s="12"/>
      <c r="CA1074" s="12"/>
      <c r="CB1074" s="12"/>
      <c r="CC1074" s="12"/>
      <c r="CD1074" s="12"/>
      <c r="CE1074" s="12"/>
      <c r="CF1074" s="12"/>
      <c r="CG1074" s="12"/>
      <c r="CH1074" s="12"/>
      <c r="CI1074" s="12"/>
      <c r="CJ1074" s="12"/>
      <c r="CK1074" s="12"/>
      <c r="CL1074" s="12"/>
      <c r="CM1074" s="12"/>
      <c r="CN1074" s="12"/>
      <c r="CO1074" s="12"/>
      <c r="CP1074" s="12"/>
      <c r="CQ1074" s="12"/>
      <c r="CR1074" s="12"/>
      <c r="CS1074" s="12"/>
      <c r="CT1074" s="12"/>
      <c r="CU1074" s="12"/>
      <c r="CV1074" s="12"/>
      <c r="CW1074" s="12"/>
      <c r="CX1074" s="12"/>
      <c r="CY1074" s="12"/>
      <c r="CZ1074" s="12"/>
      <c r="DA1074" s="12"/>
      <c r="DB1074" s="12"/>
      <c r="DC1074" s="12"/>
      <c r="DD1074" s="12"/>
      <c r="DE1074" s="12"/>
      <c r="DF1074" s="12"/>
      <c r="DG1074" s="12"/>
      <c r="DH1074" s="12"/>
      <c r="DI1074" s="12"/>
      <c r="DJ1074" s="12"/>
      <c r="DK1074" s="12"/>
      <c r="DL1074" s="12"/>
      <c r="DM1074" s="12"/>
      <c r="DN1074" s="12"/>
      <c r="DO1074" s="12"/>
      <c r="DP1074" s="12"/>
      <c r="DQ1074" s="12"/>
      <c r="DR1074" s="12"/>
      <c r="DS1074" s="12"/>
      <c r="DT1074" s="12"/>
      <c r="DU1074" s="12"/>
      <c r="DV1074" s="12"/>
      <c r="DW1074" s="12"/>
      <c r="DX1074" s="12"/>
      <c r="DY1074" s="12"/>
      <c r="DZ1074" s="12"/>
      <c r="EA1074" s="12"/>
      <c r="EB1074" s="12"/>
      <c r="EC1074" s="12"/>
      <c r="ED1074" s="12"/>
      <c r="EE1074" s="12"/>
      <c r="EF1074" s="12"/>
      <c r="EG1074" s="12"/>
      <c r="EH1074" s="12"/>
      <c r="EI1074" s="12"/>
      <c r="EJ1074" s="574"/>
      <c r="EK1074" s="574"/>
      <c r="EL1074" s="574"/>
      <c r="EM1074" s="574"/>
      <c r="EN1074" s="574"/>
      <c r="EO1074" s="574"/>
      <c r="EP1074" s="574"/>
      <c r="EQ1074" s="574"/>
      <c r="ER1074" s="574"/>
      <c r="ES1074" s="574"/>
      <c r="ET1074" s="574"/>
      <c r="EU1074" s="574"/>
    </row>
    <row r="1075">
      <c r="A1075" s="12"/>
      <c r="B1075" s="55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  <c r="AA1075" s="12"/>
      <c r="AB1075" s="12"/>
      <c r="AC1075" s="12"/>
      <c r="AD1075" s="12"/>
      <c r="AE1075" s="12"/>
      <c r="AF1075" s="12"/>
      <c r="AG1075" s="12"/>
      <c r="AH1075" s="12"/>
      <c r="AI1075" s="12"/>
      <c r="AJ1075" s="12"/>
      <c r="AK1075" s="12"/>
      <c r="AL1075" s="12"/>
      <c r="AM1075" s="12"/>
      <c r="AN1075" s="12"/>
      <c r="AO1075" s="12"/>
      <c r="AP1075" s="12"/>
      <c r="AQ1075" s="12"/>
      <c r="AR1075" s="12"/>
      <c r="AS1075" s="12"/>
      <c r="AT1075" s="12"/>
      <c r="AU1075" s="12"/>
      <c r="AV1075" s="12"/>
      <c r="AW1075" s="12"/>
      <c r="AX1075" s="12"/>
      <c r="AY1075" s="12"/>
      <c r="AZ1075" s="12"/>
      <c r="BA1075" s="12"/>
      <c r="BB1075" s="12"/>
      <c r="BC1075" s="12"/>
      <c r="BD1075" s="12"/>
      <c r="BE1075" s="12"/>
      <c r="BF1075" s="12"/>
      <c r="BG1075" s="12"/>
      <c r="BH1075" s="12"/>
      <c r="BI1075" s="12"/>
      <c r="BJ1075" s="12"/>
      <c r="BK1075" s="12"/>
      <c r="BL1075" s="12"/>
      <c r="BM1075" s="12"/>
      <c r="BN1075" s="12"/>
      <c r="BO1075" s="12"/>
      <c r="BP1075" s="12"/>
      <c r="BQ1075" s="12"/>
      <c r="BR1075" s="12"/>
      <c r="BS1075" s="12"/>
      <c r="BT1075" s="12"/>
      <c r="BU1075" s="12"/>
      <c r="BV1075" s="12"/>
      <c r="BW1075" s="12"/>
      <c r="BX1075" s="12"/>
      <c r="BY1075" s="12"/>
      <c r="BZ1075" s="12"/>
      <c r="CA1075" s="12"/>
      <c r="CB1075" s="12"/>
      <c r="CC1075" s="12"/>
      <c r="CD1075" s="12"/>
      <c r="CE1075" s="12"/>
      <c r="CF1075" s="12"/>
      <c r="CG1075" s="12"/>
      <c r="CH1075" s="12"/>
      <c r="CI1075" s="12"/>
      <c r="CJ1075" s="12"/>
      <c r="CK1075" s="12"/>
      <c r="CL1075" s="12"/>
      <c r="CM1075" s="12"/>
      <c r="CN1075" s="12"/>
      <c r="CO1075" s="12"/>
      <c r="CP1075" s="12"/>
      <c r="CQ1075" s="12"/>
      <c r="CR1075" s="12"/>
      <c r="CS1075" s="12"/>
      <c r="CT1075" s="12"/>
      <c r="CU1075" s="12"/>
      <c r="CV1075" s="12"/>
      <c r="CW1075" s="12"/>
      <c r="CX1075" s="12"/>
      <c r="CY1075" s="12"/>
      <c r="CZ1075" s="12"/>
      <c r="DA1075" s="12"/>
      <c r="DB1075" s="12"/>
      <c r="DC1075" s="12"/>
      <c r="DD1075" s="12"/>
      <c r="DE1075" s="12"/>
      <c r="DF1075" s="12"/>
      <c r="DG1075" s="12"/>
      <c r="DH1075" s="12"/>
      <c r="DI1075" s="12"/>
      <c r="DJ1075" s="12"/>
      <c r="DK1075" s="12"/>
      <c r="DL1075" s="12"/>
      <c r="DM1075" s="12"/>
      <c r="DN1075" s="12"/>
      <c r="DO1075" s="12"/>
      <c r="DP1075" s="12"/>
      <c r="DQ1075" s="12"/>
      <c r="DR1075" s="12"/>
      <c r="DS1075" s="12"/>
      <c r="DT1075" s="12"/>
      <c r="DU1075" s="12"/>
      <c r="DV1075" s="12"/>
      <c r="DW1075" s="12"/>
      <c r="DX1075" s="12"/>
      <c r="DY1075" s="12"/>
      <c r="DZ1075" s="12"/>
      <c r="EA1075" s="12"/>
      <c r="EB1075" s="12"/>
      <c r="EC1075" s="12"/>
      <c r="ED1075" s="12"/>
      <c r="EE1075" s="12"/>
      <c r="EF1075" s="12"/>
      <c r="EG1075" s="12"/>
      <c r="EH1075" s="12"/>
      <c r="EI1075" s="12"/>
      <c r="EJ1075" s="574"/>
      <c r="EK1075" s="574"/>
      <c r="EL1075" s="574"/>
      <c r="EM1075" s="574"/>
      <c r="EN1075" s="574"/>
      <c r="EO1075" s="574"/>
      <c r="EP1075" s="574"/>
      <c r="EQ1075" s="574"/>
      <c r="ER1075" s="574"/>
      <c r="ES1075" s="574"/>
      <c r="ET1075" s="574"/>
      <c r="EU1075" s="574"/>
    </row>
    <row r="1076">
      <c r="A1076" s="12"/>
      <c r="B1076" s="55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  <c r="AA1076" s="12"/>
      <c r="AB1076" s="12"/>
      <c r="AC1076" s="12"/>
      <c r="AD1076" s="12"/>
      <c r="AE1076" s="12"/>
      <c r="AF1076" s="12"/>
      <c r="AG1076" s="12"/>
      <c r="AH1076" s="12"/>
      <c r="AI1076" s="12"/>
      <c r="AJ1076" s="12"/>
      <c r="AK1076" s="12"/>
      <c r="AL1076" s="12"/>
      <c r="AM1076" s="12"/>
      <c r="AN1076" s="12"/>
      <c r="AO1076" s="12"/>
      <c r="AP1076" s="12"/>
      <c r="AQ1076" s="12"/>
      <c r="AR1076" s="12"/>
      <c r="AS1076" s="12"/>
      <c r="AT1076" s="12"/>
      <c r="AU1076" s="12"/>
      <c r="AV1076" s="12"/>
      <c r="AW1076" s="12"/>
      <c r="AX1076" s="12"/>
      <c r="AY1076" s="12"/>
      <c r="AZ1076" s="12"/>
      <c r="BA1076" s="12"/>
      <c r="BB1076" s="12"/>
      <c r="BC1076" s="12"/>
      <c r="BD1076" s="12"/>
      <c r="BE1076" s="12"/>
      <c r="BF1076" s="12"/>
      <c r="BG1076" s="12"/>
      <c r="BH1076" s="12"/>
      <c r="BI1076" s="12"/>
      <c r="BJ1076" s="12"/>
      <c r="BK1076" s="12"/>
      <c r="BL1076" s="12"/>
      <c r="BM1076" s="12"/>
      <c r="BN1076" s="12"/>
      <c r="BO1076" s="12"/>
      <c r="BP1076" s="12"/>
      <c r="BQ1076" s="12"/>
      <c r="BR1076" s="12"/>
      <c r="BS1076" s="12"/>
      <c r="BT1076" s="12"/>
      <c r="BU1076" s="12"/>
      <c r="BV1076" s="12"/>
      <c r="BW1076" s="12"/>
      <c r="BX1076" s="12"/>
      <c r="BY1076" s="12"/>
      <c r="BZ1076" s="12"/>
      <c r="CA1076" s="12"/>
      <c r="CB1076" s="12"/>
      <c r="CC1076" s="12"/>
      <c r="CD1076" s="12"/>
      <c r="CE1076" s="12"/>
      <c r="CF1076" s="12"/>
      <c r="CG1076" s="12"/>
      <c r="CH1076" s="12"/>
      <c r="CI1076" s="12"/>
      <c r="CJ1076" s="12"/>
      <c r="CK1076" s="12"/>
      <c r="CL1076" s="12"/>
      <c r="CM1076" s="12"/>
      <c r="CN1076" s="12"/>
      <c r="CO1076" s="12"/>
      <c r="CP1076" s="12"/>
      <c r="CQ1076" s="12"/>
      <c r="CR1076" s="12"/>
      <c r="CS1076" s="12"/>
      <c r="CT1076" s="12"/>
      <c r="CU1076" s="12"/>
      <c r="CV1076" s="12"/>
      <c r="CW1076" s="12"/>
      <c r="CX1076" s="12"/>
      <c r="CY1076" s="12"/>
      <c r="CZ1076" s="12"/>
      <c r="DA1076" s="12"/>
      <c r="DB1076" s="12"/>
      <c r="DC1076" s="12"/>
      <c r="DD1076" s="12"/>
      <c r="DE1076" s="12"/>
      <c r="DF1076" s="12"/>
      <c r="DG1076" s="12"/>
      <c r="DH1076" s="12"/>
      <c r="DI1076" s="12"/>
      <c r="DJ1076" s="12"/>
      <c r="DK1076" s="12"/>
      <c r="DL1076" s="12"/>
      <c r="DM1076" s="12"/>
      <c r="DN1076" s="12"/>
      <c r="DO1076" s="12"/>
      <c r="DP1076" s="12"/>
      <c r="DQ1076" s="12"/>
      <c r="DR1076" s="12"/>
      <c r="DS1076" s="12"/>
      <c r="DT1076" s="12"/>
      <c r="DU1076" s="12"/>
      <c r="DV1076" s="12"/>
      <c r="DW1076" s="12"/>
      <c r="DX1076" s="12"/>
      <c r="DY1076" s="12"/>
      <c r="DZ1076" s="12"/>
      <c r="EA1076" s="12"/>
      <c r="EB1076" s="12"/>
      <c r="EC1076" s="12"/>
      <c r="ED1076" s="12"/>
      <c r="EE1076" s="12"/>
      <c r="EF1076" s="12"/>
      <c r="EG1076" s="12"/>
      <c r="EH1076" s="12"/>
      <c r="EI1076" s="12"/>
      <c r="EJ1076" s="574"/>
      <c r="EK1076" s="574"/>
      <c r="EL1076" s="574"/>
      <c r="EM1076" s="574"/>
      <c r="EN1076" s="574"/>
      <c r="EO1076" s="574"/>
      <c r="EP1076" s="574"/>
      <c r="EQ1076" s="574"/>
      <c r="ER1076" s="574"/>
      <c r="ES1076" s="574"/>
      <c r="ET1076" s="574"/>
      <c r="EU1076" s="574"/>
    </row>
    <row r="1077">
      <c r="A1077" s="12"/>
      <c r="B1077" s="55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  <c r="AA1077" s="12"/>
      <c r="AB1077" s="12"/>
      <c r="AC1077" s="12"/>
      <c r="AD1077" s="12"/>
      <c r="AE1077" s="12"/>
      <c r="AF1077" s="12"/>
      <c r="AG1077" s="12"/>
      <c r="AH1077" s="12"/>
      <c r="AI1077" s="12"/>
      <c r="AJ1077" s="12"/>
      <c r="AK1077" s="12"/>
      <c r="AL1077" s="12"/>
      <c r="AM1077" s="12"/>
      <c r="AN1077" s="12"/>
      <c r="AO1077" s="12"/>
      <c r="AP1077" s="12"/>
      <c r="AQ1077" s="12"/>
      <c r="AR1077" s="12"/>
      <c r="AS1077" s="12"/>
      <c r="AT1077" s="12"/>
      <c r="AU1077" s="12"/>
      <c r="AV1077" s="12"/>
      <c r="AW1077" s="12"/>
      <c r="AX1077" s="12"/>
      <c r="AY1077" s="12"/>
      <c r="AZ1077" s="12"/>
      <c r="BA1077" s="12"/>
      <c r="BB1077" s="12"/>
      <c r="BC1077" s="12"/>
      <c r="BD1077" s="12"/>
      <c r="BE1077" s="12"/>
      <c r="BF1077" s="12"/>
      <c r="BG1077" s="12"/>
      <c r="BH1077" s="12"/>
      <c r="BI1077" s="12"/>
      <c r="BJ1077" s="12"/>
      <c r="BK1077" s="12"/>
      <c r="BL1077" s="12"/>
      <c r="BM1077" s="12"/>
      <c r="BN1077" s="12"/>
      <c r="BO1077" s="12"/>
      <c r="BP1077" s="12"/>
      <c r="BQ1077" s="12"/>
      <c r="BR1077" s="12"/>
      <c r="BS1077" s="12"/>
      <c r="BT1077" s="12"/>
      <c r="BU1077" s="12"/>
      <c r="BV1077" s="12"/>
      <c r="BW1077" s="12"/>
      <c r="BX1077" s="12"/>
      <c r="BY1077" s="12"/>
      <c r="BZ1077" s="12"/>
      <c r="CA1077" s="12"/>
      <c r="CB1077" s="12"/>
      <c r="CC1077" s="12"/>
      <c r="CD1077" s="12"/>
      <c r="CE1077" s="12"/>
      <c r="CF1077" s="12"/>
      <c r="CG1077" s="12"/>
      <c r="CH1077" s="12"/>
      <c r="CI1077" s="12"/>
      <c r="CJ1077" s="12"/>
      <c r="CK1077" s="12"/>
      <c r="CL1077" s="12"/>
      <c r="CM1077" s="12"/>
      <c r="CN1077" s="12"/>
      <c r="CO1077" s="12"/>
      <c r="CP1077" s="12"/>
      <c r="CQ1077" s="12"/>
      <c r="CR1077" s="12"/>
      <c r="CS1077" s="12"/>
      <c r="CT1077" s="12"/>
      <c r="CU1077" s="12"/>
      <c r="CV1077" s="12"/>
      <c r="CW1077" s="12"/>
      <c r="CX1077" s="12"/>
      <c r="CY1077" s="12"/>
      <c r="CZ1077" s="12"/>
      <c r="DA1077" s="12"/>
      <c r="DB1077" s="12"/>
      <c r="DC1077" s="12"/>
      <c r="DD1077" s="12"/>
      <c r="DE1077" s="12"/>
      <c r="DF1077" s="12"/>
      <c r="DG1077" s="12"/>
      <c r="DH1077" s="12"/>
      <c r="DI1077" s="12"/>
      <c r="DJ1077" s="12"/>
      <c r="DK1077" s="12"/>
      <c r="DL1077" s="12"/>
      <c r="DM1077" s="12"/>
      <c r="DN1077" s="12"/>
      <c r="DO1077" s="12"/>
      <c r="DP1077" s="12"/>
      <c r="DQ1077" s="12"/>
      <c r="DR1077" s="12"/>
      <c r="DS1077" s="12"/>
      <c r="DT1077" s="12"/>
      <c r="DU1077" s="12"/>
      <c r="DV1077" s="12"/>
      <c r="DW1077" s="12"/>
      <c r="DX1077" s="12"/>
      <c r="DY1077" s="12"/>
      <c r="DZ1077" s="12"/>
      <c r="EA1077" s="12"/>
      <c r="EB1077" s="12"/>
      <c r="EC1077" s="12"/>
      <c r="ED1077" s="12"/>
      <c r="EE1077" s="12"/>
      <c r="EF1077" s="12"/>
      <c r="EG1077" s="12"/>
      <c r="EH1077" s="12"/>
      <c r="EI1077" s="12"/>
      <c r="EJ1077" s="574"/>
      <c r="EK1077" s="574"/>
      <c r="EL1077" s="574"/>
      <c r="EM1077" s="574"/>
      <c r="EN1077" s="574"/>
      <c r="EO1077" s="574"/>
      <c r="EP1077" s="574"/>
      <c r="EQ1077" s="574"/>
      <c r="ER1077" s="574"/>
      <c r="ES1077" s="574"/>
      <c r="ET1077" s="574"/>
      <c r="EU1077" s="574"/>
    </row>
    <row r="1078">
      <c r="A1078" s="12"/>
      <c r="B1078" s="55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  <c r="AA1078" s="12"/>
      <c r="AB1078" s="12"/>
      <c r="AC1078" s="12"/>
      <c r="AD1078" s="12"/>
      <c r="AE1078" s="12"/>
      <c r="AF1078" s="12"/>
      <c r="AG1078" s="12"/>
      <c r="AH1078" s="12"/>
      <c r="AI1078" s="12"/>
      <c r="AJ1078" s="12"/>
      <c r="AK1078" s="12"/>
      <c r="AL1078" s="12"/>
      <c r="AM1078" s="12"/>
      <c r="AN1078" s="12"/>
      <c r="AO1078" s="12"/>
      <c r="AP1078" s="12"/>
      <c r="AQ1078" s="12"/>
      <c r="AR1078" s="12"/>
      <c r="AS1078" s="12"/>
      <c r="AT1078" s="12"/>
      <c r="AU1078" s="12"/>
      <c r="AV1078" s="12"/>
      <c r="AW1078" s="12"/>
      <c r="AX1078" s="12"/>
      <c r="AY1078" s="12"/>
      <c r="AZ1078" s="12"/>
      <c r="BA1078" s="12"/>
      <c r="BB1078" s="12"/>
      <c r="BC1078" s="12"/>
      <c r="BD1078" s="12"/>
      <c r="BE1078" s="12"/>
      <c r="BF1078" s="12"/>
      <c r="BG1078" s="12"/>
      <c r="BH1078" s="12"/>
      <c r="BI1078" s="12"/>
      <c r="BJ1078" s="12"/>
      <c r="BK1078" s="12"/>
      <c r="BL1078" s="12"/>
      <c r="BM1078" s="12"/>
      <c r="BN1078" s="12"/>
      <c r="BO1078" s="12"/>
      <c r="BP1078" s="12"/>
      <c r="BQ1078" s="12"/>
      <c r="BR1078" s="12"/>
      <c r="BS1078" s="12"/>
      <c r="BT1078" s="12"/>
      <c r="BU1078" s="12"/>
      <c r="BV1078" s="12"/>
      <c r="BW1078" s="12"/>
      <c r="BX1078" s="12"/>
      <c r="BY1078" s="12"/>
      <c r="BZ1078" s="12"/>
      <c r="CA1078" s="12"/>
      <c r="CB1078" s="12"/>
      <c r="CC1078" s="12"/>
      <c r="CD1078" s="12"/>
      <c r="CE1078" s="12"/>
      <c r="CF1078" s="12"/>
      <c r="CG1078" s="12"/>
      <c r="CH1078" s="12"/>
      <c r="CI1078" s="12"/>
      <c r="CJ1078" s="12"/>
      <c r="CK1078" s="12"/>
      <c r="CL1078" s="12"/>
      <c r="CM1078" s="12"/>
      <c r="CN1078" s="12"/>
      <c r="CO1078" s="12"/>
      <c r="CP1078" s="12"/>
      <c r="CQ1078" s="12"/>
      <c r="CR1078" s="12"/>
      <c r="CS1078" s="12"/>
      <c r="CT1078" s="12"/>
      <c r="CU1078" s="12"/>
      <c r="CV1078" s="12"/>
      <c r="CW1078" s="12"/>
      <c r="CX1078" s="12"/>
      <c r="CY1078" s="12"/>
      <c r="CZ1078" s="12"/>
      <c r="DA1078" s="12"/>
      <c r="DB1078" s="12"/>
      <c r="DC1078" s="12"/>
      <c r="DD1078" s="12"/>
      <c r="DE1078" s="12"/>
      <c r="DF1078" s="12"/>
      <c r="DG1078" s="12"/>
      <c r="DH1078" s="12"/>
      <c r="DI1078" s="12"/>
      <c r="DJ1078" s="12"/>
      <c r="DK1078" s="12"/>
      <c r="DL1078" s="12"/>
      <c r="DM1078" s="12"/>
      <c r="DN1078" s="12"/>
      <c r="DO1078" s="12"/>
      <c r="DP1078" s="12"/>
      <c r="DQ1078" s="12"/>
      <c r="DR1078" s="12"/>
      <c r="DS1078" s="12"/>
      <c r="DT1078" s="12"/>
      <c r="DU1078" s="12"/>
      <c r="DV1078" s="12"/>
      <c r="DW1078" s="12"/>
      <c r="DX1078" s="12"/>
      <c r="DY1078" s="12"/>
      <c r="DZ1078" s="12"/>
      <c r="EA1078" s="12"/>
      <c r="EB1078" s="12"/>
      <c r="EC1078" s="12"/>
      <c r="ED1078" s="12"/>
      <c r="EE1078" s="12"/>
      <c r="EF1078" s="12"/>
      <c r="EG1078" s="12"/>
      <c r="EH1078" s="12"/>
      <c r="EI1078" s="12"/>
      <c r="EJ1078" s="574"/>
      <c r="EK1078" s="574"/>
      <c r="EL1078" s="574"/>
      <c r="EM1078" s="574"/>
      <c r="EN1078" s="574"/>
      <c r="EO1078" s="574"/>
      <c r="EP1078" s="574"/>
      <c r="EQ1078" s="574"/>
      <c r="ER1078" s="574"/>
      <c r="ES1078" s="574"/>
      <c r="ET1078" s="574"/>
      <c r="EU1078" s="574"/>
    </row>
    <row r="1079">
      <c r="A1079" s="12"/>
      <c r="B1079" s="55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  <c r="AA1079" s="12"/>
      <c r="AB1079" s="12"/>
      <c r="AC1079" s="12"/>
      <c r="AD1079" s="12"/>
      <c r="AE1079" s="12"/>
      <c r="AF1079" s="12"/>
      <c r="AG1079" s="12"/>
      <c r="AH1079" s="12"/>
      <c r="AI1079" s="12"/>
      <c r="AJ1079" s="12"/>
      <c r="AK1079" s="12"/>
      <c r="AL1079" s="12"/>
      <c r="AM1079" s="12"/>
      <c r="AN1079" s="12"/>
      <c r="AO1079" s="12"/>
      <c r="AP1079" s="12"/>
      <c r="AQ1079" s="12"/>
      <c r="AR1079" s="12"/>
      <c r="AS1079" s="12"/>
      <c r="AT1079" s="12"/>
      <c r="AU1079" s="12"/>
      <c r="AV1079" s="12"/>
      <c r="AW1079" s="12"/>
      <c r="AX1079" s="12"/>
      <c r="AY1079" s="12"/>
      <c r="AZ1079" s="12"/>
      <c r="BA1079" s="12"/>
      <c r="BB1079" s="12"/>
      <c r="BC1079" s="12"/>
      <c r="BD1079" s="12"/>
      <c r="BE1079" s="12"/>
      <c r="BF1079" s="12"/>
      <c r="BG1079" s="12"/>
      <c r="BH1079" s="12"/>
      <c r="BI1079" s="12"/>
      <c r="BJ1079" s="12"/>
      <c r="BK1079" s="12"/>
      <c r="BL1079" s="12"/>
      <c r="BM1079" s="12"/>
      <c r="BN1079" s="12"/>
      <c r="BO1079" s="12"/>
      <c r="BP1079" s="12"/>
      <c r="BQ1079" s="12"/>
      <c r="BR1079" s="12"/>
      <c r="BS1079" s="12"/>
      <c r="BT1079" s="12"/>
      <c r="BU1079" s="12"/>
      <c r="BV1079" s="12"/>
      <c r="BW1079" s="12"/>
      <c r="BX1079" s="12"/>
      <c r="BY1079" s="12"/>
      <c r="BZ1079" s="12"/>
      <c r="CA1079" s="12"/>
      <c r="CB1079" s="12"/>
      <c r="CC1079" s="12"/>
      <c r="CD1079" s="12"/>
      <c r="CE1079" s="12"/>
      <c r="CF1079" s="12"/>
      <c r="CG1079" s="12"/>
      <c r="CH1079" s="12"/>
      <c r="CI1079" s="12"/>
      <c r="CJ1079" s="12"/>
      <c r="CK1079" s="12"/>
      <c r="CL1079" s="12"/>
      <c r="CM1079" s="12"/>
      <c r="CN1079" s="12"/>
      <c r="CO1079" s="12"/>
      <c r="CP1079" s="12"/>
      <c r="CQ1079" s="12"/>
      <c r="CR1079" s="12"/>
      <c r="CS1079" s="12"/>
      <c r="CT1079" s="12"/>
      <c r="CU1079" s="12"/>
      <c r="CV1079" s="12"/>
      <c r="CW1079" s="12"/>
      <c r="CX1079" s="12"/>
      <c r="CY1079" s="12"/>
      <c r="CZ1079" s="12"/>
      <c r="DA1079" s="12"/>
      <c r="DB1079" s="12"/>
      <c r="DC1079" s="12"/>
      <c r="DD1079" s="12"/>
      <c r="DE1079" s="12"/>
      <c r="DF1079" s="12"/>
      <c r="DG1079" s="12"/>
      <c r="DH1079" s="12"/>
      <c r="DI1079" s="12"/>
      <c r="DJ1079" s="12"/>
      <c r="DK1079" s="12"/>
      <c r="DL1079" s="12"/>
      <c r="DM1079" s="12"/>
      <c r="DN1079" s="12"/>
      <c r="DO1079" s="12"/>
      <c r="DP1079" s="12"/>
      <c r="DQ1079" s="12"/>
      <c r="DR1079" s="12"/>
      <c r="DS1079" s="12"/>
      <c r="DT1079" s="12"/>
      <c r="DU1079" s="12"/>
      <c r="DV1079" s="12"/>
      <c r="DW1079" s="12"/>
      <c r="DX1079" s="12"/>
      <c r="DY1079" s="12"/>
      <c r="DZ1079" s="12"/>
      <c r="EA1079" s="12"/>
      <c r="EB1079" s="12"/>
      <c r="EC1079" s="12"/>
      <c r="ED1079" s="12"/>
      <c r="EE1079" s="12"/>
      <c r="EF1079" s="12"/>
      <c r="EG1079" s="12"/>
      <c r="EH1079" s="12"/>
      <c r="EI1079" s="12"/>
      <c r="EJ1079" s="574"/>
      <c r="EK1079" s="574"/>
      <c r="EL1079" s="574"/>
      <c r="EM1079" s="574"/>
      <c r="EN1079" s="574"/>
      <c r="EO1079" s="574"/>
      <c r="EP1079" s="574"/>
      <c r="EQ1079" s="574"/>
      <c r="ER1079" s="574"/>
      <c r="ES1079" s="574"/>
      <c r="ET1079" s="574"/>
      <c r="EU1079" s="574"/>
    </row>
    <row r="1080">
      <c r="A1080" s="12"/>
      <c r="B1080" s="55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2"/>
      <c r="AB1080" s="12"/>
      <c r="AC1080" s="12"/>
      <c r="AD1080" s="12"/>
      <c r="AE1080" s="12"/>
      <c r="AF1080" s="12"/>
      <c r="AG1080" s="12"/>
      <c r="AH1080" s="12"/>
      <c r="AI1080" s="12"/>
      <c r="AJ1080" s="12"/>
      <c r="AK1080" s="12"/>
      <c r="AL1080" s="12"/>
      <c r="AM1080" s="12"/>
      <c r="AN1080" s="12"/>
      <c r="AO1080" s="12"/>
      <c r="AP1080" s="12"/>
      <c r="AQ1080" s="12"/>
      <c r="AR1080" s="12"/>
      <c r="AS1080" s="12"/>
      <c r="AT1080" s="12"/>
      <c r="AU1080" s="12"/>
      <c r="AV1080" s="12"/>
      <c r="AW1080" s="12"/>
      <c r="AX1080" s="12"/>
      <c r="AY1080" s="12"/>
      <c r="AZ1080" s="12"/>
      <c r="BA1080" s="12"/>
      <c r="BB1080" s="12"/>
      <c r="BC1080" s="12"/>
      <c r="BD1080" s="12"/>
      <c r="BE1080" s="12"/>
      <c r="BF1080" s="12"/>
      <c r="BG1080" s="12"/>
      <c r="BH1080" s="12"/>
      <c r="BI1080" s="12"/>
      <c r="BJ1080" s="12"/>
      <c r="BK1080" s="12"/>
      <c r="BL1080" s="12"/>
      <c r="BM1080" s="12"/>
      <c r="BN1080" s="12"/>
      <c r="BO1080" s="12"/>
      <c r="BP1080" s="12"/>
      <c r="BQ1080" s="12"/>
      <c r="BR1080" s="12"/>
      <c r="BS1080" s="12"/>
      <c r="BT1080" s="12"/>
      <c r="BU1080" s="12"/>
      <c r="BV1080" s="12"/>
      <c r="BW1080" s="12"/>
      <c r="BX1080" s="12"/>
      <c r="BY1080" s="12"/>
      <c r="BZ1080" s="12"/>
      <c r="CA1080" s="12"/>
      <c r="CB1080" s="12"/>
      <c r="CC1080" s="12"/>
      <c r="CD1080" s="12"/>
      <c r="CE1080" s="12"/>
      <c r="CF1080" s="12"/>
      <c r="CG1080" s="12"/>
      <c r="CH1080" s="12"/>
      <c r="CI1080" s="12"/>
      <c r="CJ1080" s="12"/>
      <c r="CK1080" s="12"/>
      <c r="CL1080" s="12"/>
      <c r="CM1080" s="12"/>
      <c r="CN1080" s="12"/>
      <c r="CO1080" s="12"/>
      <c r="CP1080" s="12"/>
      <c r="CQ1080" s="12"/>
      <c r="CR1080" s="12"/>
      <c r="CS1080" s="12"/>
      <c r="CT1080" s="12"/>
      <c r="CU1080" s="12"/>
      <c r="CV1080" s="12"/>
      <c r="CW1080" s="12"/>
      <c r="CX1080" s="12"/>
      <c r="CY1080" s="12"/>
      <c r="CZ1080" s="12"/>
      <c r="DA1080" s="12"/>
      <c r="DB1080" s="12"/>
      <c r="DC1080" s="12"/>
      <c r="DD1080" s="12"/>
      <c r="DE1080" s="12"/>
      <c r="DF1080" s="12"/>
      <c r="DG1080" s="12"/>
      <c r="DH1080" s="12"/>
      <c r="DI1080" s="12"/>
      <c r="DJ1080" s="12"/>
      <c r="DK1080" s="12"/>
      <c r="DL1080" s="12"/>
      <c r="DM1080" s="12"/>
      <c r="DN1080" s="12"/>
      <c r="DO1080" s="12"/>
      <c r="DP1080" s="12"/>
      <c r="DQ1080" s="12"/>
      <c r="DR1080" s="12"/>
      <c r="DS1080" s="12"/>
      <c r="DT1080" s="12"/>
      <c r="DU1080" s="12"/>
      <c r="DV1080" s="12"/>
      <c r="DW1080" s="12"/>
      <c r="DX1080" s="12"/>
      <c r="DY1080" s="12"/>
      <c r="DZ1080" s="12"/>
      <c r="EA1080" s="12"/>
      <c r="EB1080" s="12"/>
      <c r="EC1080" s="12"/>
      <c r="ED1080" s="12"/>
      <c r="EE1080" s="12"/>
      <c r="EF1080" s="12"/>
      <c r="EG1080" s="12"/>
      <c r="EH1080" s="12"/>
      <c r="EI1080" s="12"/>
      <c r="EJ1080" s="574"/>
      <c r="EK1080" s="574"/>
      <c r="EL1080" s="574"/>
      <c r="EM1080" s="574"/>
      <c r="EN1080" s="574"/>
      <c r="EO1080" s="574"/>
      <c r="EP1080" s="574"/>
      <c r="EQ1080" s="574"/>
      <c r="ER1080" s="574"/>
      <c r="ES1080" s="574"/>
      <c r="ET1080" s="574"/>
      <c r="EU1080" s="574"/>
    </row>
    <row r="1081">
      <c r="A1081" s="12"/>
      <c r="B1081" s="55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2"/>
      <c r="AB1081" s="12"/>
      <c r="AC1081" s="12"/>
      <c r="AD1081" s="12"/>
      <c r="AE1081" s="12"/>
      <c r="AF1081" s="12"/>
      <c r="AG1081" s="12"/>
      <c r="AH1081" s="12"/>
      <c r="AI1081" s="12"/>
      <c r="AJ1081" s="12"/>
      <c r="AK1081" s="12"/>
      <c r="AL1081" s="12"/>
      <c r="AM1081" s="12"/>
      <c r="AN1081" s="12"/>
      <c r="AO1081" s="12"/>
      <c r="AP1081" s="12"/>
      <c r="AQ1081" s="12"/>
      <c r="AR1081" s="12"/>
      <c r="AS1081" s="12"/>
      <c r="AT1081" s="12"/>
      <c r="AU1081" s="12"/>
      <c r="AV1081" s="12"/>
      <c r="AW1081" s="12"/>
      <c r="AX1081" s="12"/>
      <c r="AY1081" s="12"/>
      <c r="AZ1081" s="12"/>
      <c r="BA1081" s="12"/>
      <c r="BB1081" s="12"/>
      <c r="BC1081" s="12"/>
      <c r="BD1081" s="12"/>
      <c r="BE1081" s="12"/>
      <c r="BF1081" s="12"/>
      <c r="BG1081" s="12"/>
      <c r="BH1081" s="12"/>
      <c r="BI1081" s="12"/>
      <c r="BJ1081" s="12"/>
      <c r="BK1081" s="12"/>
      <c r="BL1081" s="12"/>
      <c r="BM1081" s="12"/>
      <c r="BN1081" s="12"/>
      <c r="BO1081" s="12"/>
      <c r="BP1081" s="12"/>
      <c r="BQ1081" s="12"/>
      <c r="BR1081" s="12"/>
      <c r="BS1081" s="12"/>
      <c r="BT1081" s="12"/>
      <c r="BU1081" s="12"/>
      <c r="BV1081" s="12"/>
      <c r="BW1081" s="12"/>
      <c r="BX1081" s="12"/>
      <c r="BY1081" s="12"/>
      <c r="BZ1081" s="12"/>
      <c r="CA1081" s="12"/>
      <c r="CB1081" s="12"/>
      <c r="CC1081" s="12"/>
      <c r="CD1081" s="12"/>
      <c r="CE1081" s="12"/>
      <c r="CF1081" s="12"/>
      <c r="CG1081" s="12"/>
      <c r="CH1081" s="12"/>
      <c r="CI1081" s="12"/>
      <c r="CJ1081" s="12"/>
      <c r="CK1081" s="12"/>
      <c r="CL1081" s="12"/>
      <c r="CM1081" s="12"/>
      <c r="CN1081" s="12"/>
      <c r="CO1081" s="12"/>
      <c r="CP1081" s="12"/>
      <c r="CQ1081" s="12"/>
      <c r="CR1081" s="12"/>
      <c r="CS1081" s="12"/>
      <c r="CT1081" s="12"/>
      <c r="CU1081" s="12"/>
      <c r="CV1081" s="12"/>
      <c r="CW1081" s="12"/>
      <c r="CX1081" s="12"/>
      <c r="CY1081" s="12"/>
      <c r="CZ1081" s="12"/>
      <c r="DA1081" s="12"/>
      <c r="DB1081" s="12"/>
      <c r="DC1081" s="12"/>
      <c r="DD1081" s="12"/>
      <c r="DE1081" s="12"/>
      <c r="DF1081" s="12"/>
      <c r="DG1081" s="12"/>
      <c r="DH1081" s="12"/>
      <c r="DI1081" s="12"/>
      <c r="DJ1081" s="12"/>
      <c r="DK1081" s="12"/>
      <c r="DL1081" s="12"/>
      <c r="DM1081" s="12"/>
      <c r="DN1081" s="12"/>
      <c r="DO1081" s="12"/>
      <c r="DP1081" s="12"/>
      <c r="DQ1081" s="12"/>
      <c r="DR1081" s="12"/>
      <c r="DS1081" s="12"/>
      <c r="DT1081" s="12"/>
      <c r="DU1081" s="12"/>
      <c r="DV1081" s="12"/>
      <c r="DW1081" s="12"/>
      <c r="DX1081" s="12"/>
      <c r="DY1081" s="12"/>
      <c r="DZ1081" s="12"/>
      <c r="EA1081" s="12"/>
      <c r="EB1081" s="12"/>
      <c r="EC1081" s="12"/>
      <c r="ED1081" s="12"/>
      <c r="EE1081" s="12"/>
      <c r="EF1081" s="12"/>
      <c r="EG1081" s="12"/>
      <c r="EH1081" s="12"/>
      <c r="EI1081" s="12"/>
      <c r="EJ1081" s="574"/>
      <c r="EK1081" s="574"/>
      <c r="EL1081" s="574"/>
      <c r="EM1081" s="574"/>
      <c r="EN1081" s="574"/>
      <c r="EO1081" s="574"/>
      <c r="EP1081" s="574"/>
      <c r="EQ1081" s="574"/>
      <c r="ER1081" s="574"/>
      <c r="ES1081" s="574"/>
      <c r="ET1081" s="574"/>
      <c r="EU1081" s="574"/>
    </row>
    <row r="1082">
      <c r="A1082" s="12"/>
      <c r="B1082" s="55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2"/>
      <c r="AB1082" s="12"/>
      <c r="AC1082" s="12"/>
      <c r="AD1082" s="12"/>
      <c r="AE1082" s="12"/>
      <c r="AF1082" s="12"/>
      <c r="AG1082" s="12"/>
      <c r="AH1082" s="12"/>
      <c r="AI1082" s="12"/>
      <c r="AJ1082" s="12"/>
      <c r="AK1082" s="12"/>
      <c r="AL1082" s="12"/>
      <c r="AM1082" s="12"/>
      <c r="AN1082" s="12"/>
      <c r="AO1082" s="12"/>
      <c r="AP1082" s="12"/>
      <c r="AQ1082" s="12"/>
      <c r="AR1082" s="12"/>
      <c r="AS1082" s="12"/>
      <c r="AT1082" s="12"/>
      <c r="AU1082" s="12"/>
      <c r="AV1082" s="12"/>
      <c r="AW1082" s="12"/>
      <c r="AX1082" s="12"/>
      <c r="AY1082" s="12"/>
      <c r="AZ1082" s="12"/>
      <c r="BA1082" s="12"/>
      <c r="BB1082" s="12"/>
      <c r="BC1082" s="12"/>
      <c r="BD1082" s="12"/>
      <c r="BE1082" s="12"/>
      <c r="BF1082" s="12"/>
      <c r="BG1082" s="12"/>
      <c r="BH1082" s="12"/>
      <c r="BI1082" s="12"/>
      <c r="BJ1082" s="12"/>
      <c r="BK1082" s="12"/>
      <c r="BL1082" s="12"/>
      <c r="BM1082" s="12"/>
      <c r="BN1082" s="12"/>
      <c r="BO1082" s="12"/>
      <c r="BP1082" s="12"/>
      <c r="BQ1082" s="12"/>
      <c r="BR1082" s="12"/>
      <c r="BS1082" s="12"/>
      <c r="BT1082" s="12"/>
      <c r="BU1082" s="12"/>
      <c r="BV1082" s="12"/>
      <c r="BW1082" s="12"/>
      <c r="BX1082" s="12"/>
      <c r="BY1082" s="12"/>
      <c r="BZ1082" s="12"/>
      <c r="CA1082" s="12"/>
      <c r="CB1082" s="12"/>
      <c r="CC1082" s="12"/>
      <c r="CD1082" s="12"/>
      <c r="CE1082" s="12"/>
      <c r="CF1082" s="12"/>
      <c r="CG1082" s="12"/>
      <c r="CH1082" s="12"/>
      <c r="CI1082" s="12"/>
      <c r="CJ1082" s="12"/>
      <c r="CK1082" s="12"/>
      <c r="CL1082" s="12"/>
      <c r="CM1082" s="12"/>
      <c r="CN1082" s="12"/>
      <c r="CO1082" s="12"/>
      <c r="CP1082" s="12"/>
      <c r="CQ1082" s="12"/>
      <c r="CR1082" s="12"/>
      <c r="CS1082" s="12"/>
      <c r="CT1082" s="12"/>
      <c r="CU1082" s="12"/>
      <c r="CV1082" s="12"/>
      <c r="CW1082" s="12"/>
      <c r="CX1082" s="12"/>
      <c r="CY1082" s="12"/>
      <c r="CZ1082" s="12"/>
      <c r="DA1082" s="12"/>
      <c r="DB1082" s="12"/>
      <c r="DC1082" s="12"/>
      <c r="DD1082" s="12"/>
      <c r="DE1082" s="12"/>
      <c r="DF1082" s="12"/>
      <c r="DG1082" s="12"/>
      <c r="DH1082" s="12"/>
      <c r="DI1082" s="12"/>
      <c r="DJ1082" s="12"/>
      <c r="DK1082" s="12"/>
      <c r="DL1082" s="12"/>
      <c r="DM1082" s="12"/>
      <c r="DN1082" s="12"/>
      <c r="DO1082" s="12"/>
      <c r="DP1082" s="12"/>
      <c r="DQ1082" s="12"/>
      <c r="DR1082" s="12"/>
      <c r="DS1082" s="12"/>
      <c r="DT1082" s="12"/>
      <c r="DU1082" s="12"/>
      <c r="DV1082" s="12"/>
      <c r="DW1082" s="12"/>
      <c r="DX1082" s="12"/>
      <c r="DY1082" s="12"/>
      <c r="DZ1082" s="12"/>
      <c r="EA1082" s="12"/>
      <c r="EB1082" s="12"/>
      <c r="EC1082" s="12"/>
      <c r="ED1082" s="12"/>
      <c r="EE1082" s="12"/>
      <c r="EF1082" s="12"/>
      <c r="EG1082" s="12"/>
      <c r="EH1082" s="12"/>
      <c r="EI1082" s="12"/>
      <c r="EJ1082" s="574"/>
      <c r="EK1082" s="574"/>
      <c r="EL1082" s="574"/>
      <c r="EM1082" s="574"/>
      <c r="EN1082" s="574"/>
      <c r="EO1082" s="574"/>
      <c r="EP1082" s="574"/>
      <c r="EQ1082" s="574"/>
      <c r="ER1082" s="574"/>
      <c r="ES1082" s="574"/>
      <c r="ET1082" s="574"/>
      <c r="EU1082" s="574"/>
    </row>
    <row r="1083">
      <c r="A1083" s="12"/>
      <c r="B1083" s="55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  <c r="AA1083" s="12"/>
      <c r="AB1083" s="12"/>
      <c r="AC1083" s="12"/>
      <c r="AD1083" s="12"/>
      <c r="AE1083" s="12"/>
      <c r="AF1083" s="12"/>
      <c r="AG1083" s="12"/>
      <c r="AH1083" s="12"/>
      <c r="AI1083" s="12"/>
      <c r="AJ1083" s="12"/>
      <c r="AK1083" s="12"/>
      <c r="AL1083" s="12"/>
      <c r="AM1083" s="12"/>
      <c r="AN1083" s="12"/>
      <c r="AO1083" s="12"/>
      <c r="AP1083" s="12"/>
      <c r="AQ1083" s="12"/>
      <c r="AR1083" s="12"/>
      <c r="AS1083" s="12"/>
      <c r="AT1083" s="12"/>
      <c r="AU1083" s="12"/>
      <c r="AV1083" s="12"/>
      <c r="AW1083" s="12"/>
      <c r="AX1083" s="12"/>
      <c r="AY1083" s="12"/>
      <c r="AZ1083" s="12"/>
      <c r="BA1083" s="12"/>
      <c r="BB1083" s="12"/>
      <c r="BC1083" s="12"/>
      <c r="BD1083" s="12"/>
      <c r="BE1083" s="12"/>
      <c r="BF1083" s="12"/>
      <c r="BG1083" s="12"/>
      <c r="BH1083" s="12"/>
      <c r="BI1083" s="12"/>
      <c r="BJ1083" s="12"/>
      <c r="BK1083" s="12"/>
      <c r="BL1083" s="12"/>
      <c r="BM1083" s="12"/>
      <c r="BN1083" s="12"/>
      <c r="BO1083" s="12"/>
      <c r="BP1083" s="12"/>
      <c r="BQ1083" s="12"/>
      <c r="BR1083" s="12"/>
      <c r="BS1083" s="12"/>
      <c r="BT1083" s="12"/>
      <c r="BU1083" s="12"/>
      <c r="BV1083" s="12"/>
      <c r="BW1083" s="12"/>
      <c r="BX1083" s="12"/>
      <c r="BY1083" s="12"/>
      <c r="BZ1083" s="12"/>
      <c r="CA1083" s="12"/>
      <c r="CB1083" s="12"/>
      <c r="CC1083" s="12"/>
      <c r="CD1083" s="12"/>
      <c r="CE1083" s="12"/>
      <c r="CF1083" s="12"/>
      <c r="CG1083" s="12"/>
      <c r="CH1083" s="12"/>
      <c r="CI1083" s="12"/>
      <c r="CJ1083" s="12"/>
      <c r="CK1083" s="12"/>
      <c r="CL1083" s="12"/>
      <c r="CM1083" s="12"/>
      <c r="CN1083" s="12"/>
      <c r="CO1083" s="12"/>
      <c r="CP1083" s="12"/>
      <c r="CQ1083" s="12"/>
      <c r="CR1083" s="12"/>
      <c r="CS1083" s="12"/>
      <c r="CT1083" s="12"/>
      <c r="CU1083" s="12"/>
      <c r="CV1083" s="12"/>
      <c r="CW1083" s="12"/>
      <c r="CX1083" s="12"/>
      <c r="CY1083" s="12"/>
      <c r="CZ1083" s="12"/>
      <c r="DA1083" s="12"/>
      <c r="DB1083" s="12"/>
      <c r="DC1083" s="12"/>
      <c r="DD1083" s="12"/>
      <c r="DE1083" s="12"/>
      <c r="DF1083" s="12"/>
      <c r="DG1083" s="12"/>
      <c r="DH1083" s="12"/>
      <c r="DI1083" s="12"/>
      <c r="DJ1083" s="12"/>
      <c r="DK1083" s="12"/>
      <c r="DL1083" s="12"/>
      <c r="DM1083" s="12"/>
      <c r="DN1083" s="12"/>
      <c r="DO1083" s="12"/>
      <c r="DP1083" s="12"/>
      <c r="DQ1083" s="12"/>
      <c r="DR1083" s="12"/>
      <c r="DS1083" s="12"/>
      <c r="DT1083" s="12"/>
      <c r="DU1083" s="12"/>
      <c r="DV1083" s="12"/>
      <c r="DW1083" s="12"/>
      <c r="DX1083" s="12"/>
      <c r="DY1083" s="12"/>
      <c r="DZ1083" s="12"/>
      <c r="EA1083" s="12"/>
      <c r="EB1083" s="12"/>
      <c r="EC1083" s="12"/>
      <c r="ED1083" s="12"/>
      <c r="EE1083" s="12"/>
      <c r="EF1083" s="12"/>
      <c r="EG1083" s="12"/>
      <c r="EH1083" s="12"/>
      <c r="EI1083" s="12"/>
      <c r="EJ1083" s="574"/>
      <c r="EK1083" s="574"/>
      <c r="EL1083" s="574"/>
      <c r="EM1083" s="574"/>
      <c r="EN1083" s="574"/>
      <c r="EO1083" s="574"/>
      <c r="EP1083" s="574"/>
      <c r="EQ1083" s="574"/>
      <c r="ER1083" s="574"/>
      <c r="ES1083" s="574"/>
      <c r="ET1083" s="574"/>
      <c r="EU1083" s="574"/>
    </row>
    <row r="1084">
      <c r="A1084" s="12"/>
      <c r="B1084" s="55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  <c r="AA1084" s="12"/>
      <c r="AB1084" s="12"/>
      <c r="AC1084" s="12"/>
      <c r="AD1084" s="12"/>
      <c r="AE1084" s="12"/>
      <c r="AF1084" s="12"/>
      <c r="AG1084" s="12"/>
      <c r="AH1084" s="12"/>
      <c r="AI1084" s="12"/>
      <c r="AJ1084" s="12"/>
      <c r="AK1084" s="12"/>
      <c r="AL1084" s="12"/>
      <c r="AM1084" s="12"/>
      <c r="AN1084" s="12"/>
      <c r="AO1084" s="12"/>
      <c r="AP1084" s="12"/>
      <c r="AQ1084" s="12"/>
      <c r="AR1084" s="12"/>
      <c r="AS1084" s="12"/>
      <c r="AT1084" s="12"/>
      <c r="AU1084" s="12"/>
      <c r="AV1084" s="12"/>
      <c r="AW1084" s="12"/>
      <c r="AX1084" s="12"/>
      <c r="AY1084" s="12"/>
      <c r="AZ1084" s="12"/>
      <c r="BA1084" s="12"/>
      <c r="BB1084" s="12"/>
      <c r="BC1084" s="12"/>
      <c r="BD1084" s="12"/>
      <c r="BE1084" s="12"/>
      <c r="BF1084" s="12"/>
      <c r="BG1084" s="12"/>
      <c r="BH1084" s="12"/>
      <c r="BI1084" s="12"/>
      <c r="BJ1084" s="12"/>
      <c r="BK1084" s="12"/>
      <c r="BL1084" s="12"/>
      <c r="BM1084" s="12"/>
      <c r="BN1084" s="12"/>
      <c r="BO1084" s="12"/>
      <c r="BP1084" s="12"/>
      <c r="BQ1084" s="12"/>
      <c r="BR1084" s="12"/>
      <c r="BS1084" s="12"/>
      <c r="BT1084" s="12"/>
      <c r="BU1084" s="12"/>
      <c r="BV1084" s="12"/>
      <c r="BW1084" s="12"/>
      <c r="BX1084" s="12"/>
      <c r="BY1084" s="12"/>
      <c r="BZ1084" s="12"/>
      <c r="CA1084" s="12"/>
      <c r="CB1084" s="12"/>
      <c r="CC1084" s="12"/>
      <c r="CD1084" s="12"/>
      <c r="CE1084" s="12"/>
      <c r="CF1084" s="12"/>
      <c r="CG1084" s="12"/>
      <c r="CH1084" s="12"/>
      <c r="CI1084" s="12"/>
      <c r="CJ1084" s="12"/>
      <c r="CK1084" s="12"/>
      <c r="CL1084" s="12"/>
      <c r="CM1084" s="12"/>
      <c r="CN1084" s="12"/>
      <c r="CO1084" s="12"/>
      <c r="CP1084" s="12"/>
      <c r="CQ1084" s="12"/>
      <c r="CR1084" s="12"/>
      <c r="CS1084" s="12"/>
      <c r="CT1084" s="12"/>
      <c r="CU1084" s="12"/>
      <c r="CV1084" s="12"/>
      <c r="CW1084" s="12"/>
      <c r="CX1084" s="12"/>
      <c r="CY1084" s="12"/>
      <c r="CZ1084" s="12"/>
      <c r="DA1084" s="12"/>
      <c r="DB1084" s="12"/>
      <c r="DC1084" s="12"/>
      <c r="DD1084" s="12"/>
      <c r="DE1084" s="12"/>
      <c r="DF1084" s="12"/>
      <c r="DG1084" s="12"/>
      <c r="DH1084" s="12"/>
      <c r="DI1084" s="12"/>
      <c r="DJ1084" s="12"/>
      <c r="DK1084" s="12"/>
      <c r="DL1084" s="12"/>
      <c r="DM1084" s="12"/>
      <c r="DN1084" s="12"/>
      <c r="DO1084" s="12"/>
      <c r="DP1084" s="12"/>
      <c r="DQ1084" s="12"/>
      <c r="DR1084" s="12"/>
      <c r="DS1084" s="12"/>
      <c r="DT1084" s="12"/>
      <c r="DU1084" s="12"/>
      <c r="DV1084" s="12"/>
      <c r="DW1084" s="12"/>
      <c r="DX1084" s="12"/>
      <c r="DY1084" s="12"/>
      <c r="DZ1084" s="12"/>
      <c r="EA1084" s="12"/>
      <c r="EB1084" s="12"/>
      <c r="EC1084" s="12"/>
      <c r="ED1084" s="12"/>
      <c r="EE1084" s="12"/>
      <c r="EF1084" s="12"/>
      <c r="EG1084" s="12"/>
      <c r="EH1084" s="12"/>
      <c r="EI1084" s="12"/>
      <c r="EJ1084" s="574"/>
      <c r="EK1084" s="574"/>
      <c r="EL1084" s="574"/>
      <c r="EM1084" s="574"/>
      <c r="EN1084" s="574"/>
      <c r="EO1084" s="574"/>
      <c r="EP1084" s="574"/>
      <c r="EQ1084" s="574"/>
      <c r="ER1084" s="574"/>
      <c r="ES1084" s="574"/>
      <c r="ET1084" s="574"/>
      <c r="EU1084" s="574"/>
    </row>
    <row r="1085">
      <c r="A1085" s="12"/>
      <c r="B1085" s="55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  <c r="AA1085" s="12"/>
      <c r="AB1085" s="12"/>
      <c r="AC1085" s="12"/>
      <c r="AD1085" s="12"/>
      <c r="AE1085" s="12"/>
      <c r="AF1085" s="12"/>
      <c r="AG1085" s="12"/>
      <c r="AH1085" s="12"/>
      <c r="AI1085" s="12"/>
      <c r="AJ1085" s="12"/>
      <c r="AK1085" s="12"/>
      <c r="AL1085" s="12"/>
      <c r="AM1085" s="12"/>
      <c r="AN1085" s="12"/>
      <c r="AO1085" s="12"/>
      <c r="AP1085" s="12"/>
      <c r="AQ1085" s="12"/>
      <c r="AR1085" s="12"/>
      <c r="AS1085" s="12"/>
      <c r="AT1085" s="12"/>
      <c r="AU1085" s="12"/>
      <c r="AV1085" s="12"/>
      <c r="AW1085" s="12"/>
      <c r="AX1085" s="12"/>
      <c r="AY1085" s="12"/>
      <c r="AZ1085" s="12"/>
      <c r="BA1085" s="12"/>
      <c r="BB1085" s="12"/>
      <c r="BC1085" s="12"/>
      <c r="BD1085" s="12"/>
      <c r="BE1085" s="12"/>
      <c r="BF1085" s="12"/>
      <c r="BG1085" s="12"/>
      <c r="BH1085" s="12"/>
      <c r="BI1085" s="12"/>
      <c r="BJ1085" s="12"/>
      <c r="BK1085" s="12"/>
      <c r="BL1085" s="12"/>
      <c r="BM1085" s="12"/>
      <c r="BN1085" s="12"/>
      <c r="BO1085" s="12"/>
      <c r="BP1085" s="12"/>
      <c r="BQ1085" s="12"/>
      <c r="BR1085" s="12"/>
      <c r="BS1085" s="12"/>
      <c r="BT1085" s="12"/>
      <c r="BU1085" s="12"/>
      <c r="BV1085" s="12"/>
      <c r="BW1085" s="12"/>
      <c r="BX1085" s="12"/>
      <c r="BY1085" s="12"/>
      <c r="BZ1085" s="12"/>
      <c r="CA1085" s="12"/>
      <c r="CB1085" s="12"/>
      <c r="CC1085" s="12"/>
      <c r="CD1085" s="12"/>
      <c r="CE1085" s="12"/>
      <c r="CF1085" s="12"/>
      <c r="CG1085" s="12"/>
      <c r="CH1085" s="12"/>
      <c r="CI1085" s="12"/>
      <c r="CJ1085" s="12"/>
      <c r="CK1085" s="12"/>
      <c r="CL1085" s="12"/>
      <c r="CM1085" s="12"/>
      <c r="CN1085" s="12"/>
      <c r="CO1085" s="12"/>
      <c r="CP1085" s="12"/>
      <c r="CQ1085" s="12"/>
      <c r="CR1085" s="12"/>
      <c r="CS1085" s="12"/>
      <c r="CT1085" s="12"/>
      <c r="CU1085" s="12"/>
      <c r="CV1085" s="12"/>
      <c r="CW1085" s="12"/>
      <c r="CX1085" s="12"/>
      <c r="CY1085" s="12"/>
      <c r="CZ1085" s="12"/>
      <c r="DA1085" s="12"/>
      <c r="DB1085" s="12"/>
      <c r="DC1085" s="12"/>
      <c r="DD1085" s="12"/>
      <c r="DE1085" s="12"/>
      <c r="DF1085" s="12"/>
      <c r="DG1085" s="12"/>
      <c r="DH1085" s="12"/>
      <c r="DI1085" s="12"/>
      <c r="DJ1085" s="12"/>
      <c r="DK1085" s="12"/>
      <c r="DL1085" s="12"/>
      <c r="DM1085" s="12"/>
      <c r="DN1085" s="12"/>
      <c r="DO1085" s="12"/>
      <c r="DP1085" s="12"/>
      <c r="DQ1085" s="12"/>
      <c r="DR1085" s="12"/>
      <c r="DS1085" s="12"/>
      <c r="DT1085" s="12"/>
      <c r="DU1085" s="12"/>
      <c r="DV1085" s="12"/>
      <c r="DW1085" s="12"/>
      <c r="DX1085" s="12"/>
      <c r="DY1085" s="12"/>
      <c r="DZ1085" s="12"/>
      <c r="EA1085" s="12"/>
      <c r="EB1085" s="12"/>
      <c r="EC1085" s="12"/>
      <c r="ED1085" s="12"/>
      <c r="EE1085" s="12"/>
      <c r="EF1085" s="12"/>
      <c r="EG1085" s="12"/>
      <c r="EH1085" s="12"/>
      <c r="EI1085" s="12"/>
      <c r="EJ1085" s="574"/>
      <c r="EK1085" s="574"/>
      <c r="EL1085" s="574"/>
      <c r="EM1085" s="574"/>
      <c r="EN1085" s="574"/>
      <c r="EO1085" s="574"/>
      <c r="EP1085" s="574"/>
      <c r="EQ1085" s="574"/>
      <c r="ER1085" s="574"/>
      <c r="ES1085" s="574"/>
      <c r="ET1085" s="574"/>
      <c r="EU1085" s="574"/>
    </row>
    <row r="1086">
      <c r="A1086" s="12"/>
      <c r="B1086" s="55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  <c r="AA1086" s="12"/>
      <c r="AB1086" s="12"/>
      <c r="AC1086" s="12"/>
      <c r="AD1086" s="12"/>
      <c r="AE1086" s="12"/>
      <c r="AF1086" s="12"/>
      <c r="AG1086" s="12"/>
      <c r="AH1086" s="12"/>
      <c r="AI1086" s="12"/>
      <c r="AJ1086" s="12"/>
      <c r="AK1086" s="12"/>
      <c r="AL1086" s="12"/>
      <c r="AM1086" s="12"/>
      <c r="AN1086" s="12"/>
      <c r="AO1086" s="12"/>
      <c r="AP1086" s="12"/>
      <c r="AQ1086" s="12"/>
      <c r="AR1086" s="12"/>
      <c r="AS1086" s="12"/>
      <c r="AT1086" s="12"/>
      <c r="AU1086" s="12"/>
      <c r="AV1086" s="12"/>
      <c r="AW1086" s="12"/>
      <c r="AX1086" s="12"/>
      <c r="AY1086" s="12"/>
      <c r="AZ1086" s="12"/>
      <c r="BA1086" s="12"/>
      <c r="BB1086" s="12"/>
      <c r="BC1086" s="12"/>
      <c r="BD1086" s="12"/>
      <c r="BE1086" s="12"/>
      <c r="BF1086" s="12"/>
      <c r="BG1086" s="12"/>
      <c r="BH1086" s="12"/>
      <c r="BI1086" s="12"/>
      <c r="BJ1086" s="12"/>
      <c r="BK1086" s="12"/>
      <c r="BL1086" s="12"/>
      <c r="BM1086" s="12"/>
      <c r="BN1086" s="12"/>
      <c r="BO1086" s="12"/>
      <c r="BP1086" s="12"/>
      <c r="BQ1086" s="12"/>
      <c r="BR1086" s="12"/>
      <c r="BS1086" s="12"/>
      <c r="BT1086" s="12"/>
      <c r="BU1086" s="12"/>
      <c r="BV1086" s="12"/>
      <c r="BW1086" s="12"/>
      <c r="BX1086" s="12"/>
      <c r="BY1086" s="12"/>
      <c r="BZ1086" s="12"/>
      <c r="CA1086" s="12"/>
      <c r="CB1086" s="12"/>
      <c r="CC1086" s="12"/>
      <c r="CD1086" s="12"/>
      <c r="CE1086" s="12"/>
      <c r="CF1086" s="12"/>
      <c r="CG1086" s="12"/>
      <c r="CH1086" s="12"/>
      <c r="CI1086" s="12"/>
      <c r="CJ1086" s="12"/>
      <c r="CK1086" s="12"/>
      <c r="CL1086" s="12"/>
      <c r="CM1086" s="12"/>
      <c r="CN1086" s="12"/>
      <c r="CO1086" s="12"/>
      <c r="CP1086" s="12"/>
      <c r="CQ1086" s="12"/>
      <c r="CR1086" s="12"/>
      <c r="CS1086" s="12"/>
      <c r="CT1086" s="12"/>
      <c r="CU1086" s="12"/>
      <c r="CV1086" s="12"/>
      <c r="CW1086" s="12"/>
      <c r="CX1086" s="12"/>
      <c r="CY1086" s="12"/>
      <c r="CZ1086" s="12"/>
      <c r="DA1086" s="12"/>
      <c r="DB1086" s="12"/>
      <c r="DC1086" s="12"/>
      <c r="DD1086" s="12"/>
      <c r="DE1086" s="12"/>
      <c r="DF1086" s="12"/>
      <c r="DG1086" s="12"/>
      <c r="DH1086" s="12"/>
      <c r="DI1086" s="12"/>
      <c r="DJ1086" s="12"/>
      <c r="DK1086" s="12"/>
      <c r="DL1086" s="12"/>
      <c r="DM1086" s="12"/>
      <c r="DN1086" s="12"/>
      <c r="DO1086" s="12"/>
      <c r="DP1086" s="12"/>
      <c r="DQ1086" s="12"/>
      <c r="DR1086" s="12"/>
      <c r="DS1086" s="12"/>
      <c r="DT1086" s="12"/>
      <c r="DU1086" s="12"/>
      <c r="DV1086" s="12"/>
      <c r="DW1086" s="12"/>
      <c r="DX1086" s="12"/>
      <c r="DY1086" s="12"/>
      <c r="DZ1086" s="12"/>
      <c r="EA1086" s="12"/>
      <c r="EB1086" s="12"/>
      <c r="EC1086" s="12"/>
      <c r="ED1086" s="12"/>
      <c r="EE1086" s="12"/>
      <c r="EF1086" s="12"/>
      <c r="EG1086" s="12"/>
      <c r="EH1086" s="12"/>
      <c r="EI1086" s="12"/>
      <c r="EJ1086" s="574"/>
      <c r="EK1086" s="574"/>
      <c r="EL1086" s="574"/>
      <c r="EM1086" s="574"/>
      <c r="EN1086" s="574"/>
      <c r="EO1086" s="574"/>
      <c r="EP1086" s="574"/>
      <c r="EQ1086" s="574"/>
      <c r="ER1086" s="574"/>
      <c r="ES1086" s="574"/>
      <c r="ET1086" s="574"/>
      <c r="EU1086" s="574"/>
    </row>
    <row r="1087">
      <c r="A1087" s="12"/>
      <c r="B1087" s="55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  <c r="AA1087" s="12"/>
      <c r="AB1087" s="12"/>
      <c r="AC1087" s="12"/>
      <c r="AD1087" s="12"/>
      <c r="AE1087" s="12"/>
      <c r="AF1087" s="12"/>
      <c r="AG1087" s="12"/>
      <c r="AH1087" s="12"/>
      <c r="AI1087" s="12"/>
      <c r="AJ1087" s="12"/>
      <c r="AK1087" s="12"/>
      <c r="AL1087" s="12"/>
      <c r="AM1087" s="12"/>
      <c r="AN1087" s="12"/>
      <c r="AO1087" s="12"/>
      <c r="AP1087" s="12"/>
      <c r="AQ1087" s="12"/>
      <c r="AR1087" s="12"/>
      <c r="AS1087" s="12"/>
      <c r="AT1087" s="12"/>
      <c r="AU1087" s="12"/>
      <c r="AV1087" s="12"/>
      <c r="AW1087" s="12"/>
      <c r="AX1087" s="12"/>
      <c r="AY1087" s="12"/>
      <c r="AZ1087" s="12"/>
      <c r="BA1087" s="12"/>
      <c r="BB1087" s="12"/>
      <c r="BC1087" s="12"/>
      <c r="BD1087" s="12"/>
      <c r="BE1087" s="12"/>
      <c r="BF1087" s="12"/>
      <c r="BG1087" s="12"/>
      <c r="BH1087" s="12"/>
      <c r="BI1087" s="12"/>
      <c r="BJ1087" s="12"/>
      <c r="BK1087" s="12"/>
      <c r="BL1087" s="12"/>
      <c r="BM1087" s="12"/>
      <c r="BN1087" s="12"/>
      <c r="BO1087" s="12"/>
      <c r="BP1087" s="12"/>
      <c r="BQ1087" s="12"/>
      <c r="BR1087" s="12"/>
      <c r="BS1087" s="12"/>
      <c r="BT1087" s="12"/>
      <c r="BU1087" s="12"/>
      <c r="BV1087" s="12"/>
      <c r="BW1087" s="12"/>
      <c r="BX1087" s="12"/>
      <c r="BY1087" s="12"/>
      <c r="BZ1087" s="12"/>
      <c r="CA1087" s="12"/>
      <c r="CB1087" s="12"/>
      <c r="CC1087" s="12"/>
      <c r="CD1087" s="12"/>
      <c r="CE1087" s="12"/>
      <c r="CF1087" s="12"/>
      <c r="CG1087" s="12"/>
      <c r="CH1087" s="12"/>
      <c r="CI1087" s="12"/>
      <c r="CJ1087" s="12"/>
      <c r="CK1087" s="12"/>
      <c r="CL1087" s="12"/>
      <c r="CM1087" s="12"/>
      <c r="CN1087" s="12"/>
      <c r="CO1087" s="12"/>
      <c r="CP1087" s="12"/>
      <c r="CQ1087" s="12"/>
      <c r="CR1087" s="12"/>
      <c r="CS1087" s="12"/>
      <c r="CT1087" s="12"/>
      <c r="CU1087" s="12"/>
      <c r="CV1087" s="12"/>
      <c r="CW1087" s="12"/>
      <c r="CX1087" s="12"/>
      <c r="CY1087" s="12"/>
      <c r="CZ1087" s="12"/>
      <c r="DA1087" s="12"/>
      <c r="DB1087" s="12"/>
      <c r="DC1087" s="12"/>
      <c r="DD1087" s="12"/>
      <c r="DE1087" s="12"/>
      <c r="DF1087" s="12"/>
      <c r="DG1087" s="12"/>
      <c r="DH1087" s="12"/>
      <c r="DI1087" s="12"/>
      <c r="DJ1087" s="12"/>
      <c r="DK1087" s="12"/>
      <c r="DL1087" s="12"/>
      <c r="DM1087" s="12"/>
      <c r="DN1087" s="12"/>
      <c r="DO1087" s="12"/>
      <c r="DP1087" s="12"/>
      <c r="DQ1087" s="12"/>
      <c r="DR1087" s="12"/>
      <c r="DS1087" s="12"/>
      <c r="DT1087" s="12"/>
      <c r="DU1087" s="12"/>
      <c r="DV1087" s="12"/>
      <c r="DW1087" s="12"/>
      <c r="DX1087" s="12"/>
      <c r="DY1087" s="12"/>
      <c r="DZ1087" s="12"/>
      <c r="EA1087" s="12"/>
      <c r="EB1087" s="12"/>
      <c r="EC1087" s="12"/>
      <c r="ED1087" s="12"/>
      <c r="EE1087" s="12"/>
      <c r="EF1087" s="12"/>
      <c r="EG1087" s="12"/>
      <c r="EH1087" s="12"/>
      <c r="EI1087" s="12"/>
      <c r="EJ1087" s="574"/>
      <c r="EK1087" s="574"/>
      <c r="EL1087" s="574"/>
      <c r="EM1087" s="574"/>
      <c r="EN1087" s="574"/>
      <c r="EO1087" s="574"/>
      <c r="EP1087" s="574"/>
      <c r="EQ1087" s="574"/>
      <c r="ER1087" s="574"/>
      <c r="ES1087" s="574"/>
      <c r="ET1087" s="574"/>
      <c r="EU1087" s="574"/>
    </row>
    <row r="1088">
      <c r="A1088" s="12"/>
      <c r="B1088" s="55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  <c r="AA1088" s="12"/>
      <c r="AB1088" s="12"/>
      <c r="AC1088" s="12"/>
      <c r="AD1088" s="12"/>
      <c r="AE1088" s="12"/>
      <c r="AF1088" s="12"/>
      <c r="AG1088" s="12"/>
      <c r="AH1088" s="12"/>
      <c r="AI1088" s="12"/>
      <c r="AJ1088" s="12"/>
      <c r="AK1088" s="12"/>
      <c r="AL1088" s="12"/>
      <c r="AM1088" s="12"/>
      <c r="AN1088" s="12"/>
      <c r="AO1088" s="12"/>
      <c r="AP1088" s="12"/>
      <c r="AQ1088" s="12"/>
      <c r="AR1088" s="12"/>
      <c r="AS1088" s="12"/>
      <c r="AT1088" s="12"/>
      <c r="AU1088" s="12"/>
      <c r="AV1088" s="12"/>
      <c r="AW1088" s="12"/>
      <c r="AX1088" s="12"/>
      <c r="AY1088" s="12"/>
      <c r="AZ1088" s="12"/>
      <c r="BA1088" s="12"/>
      <c r="BB1088" s="12"/>
      <c r="BC1088" s="12"/>
      <c r="BD1088" s="12"/>
      <c r="BE1088" s="12"/>
      <c r="BF1088" s="12"/>
      <c r="BG1088" s="12"/>
      <c r="BH1088" s="12"/>
      <c r="BI1088" s="12"/>
      <c r="BJ1088" s="12"/>
      <c r="BK1088" s="12"/>
      <c r="BL1088" s="12"/>
      <c r="BM1088" s="12"/>
      <c r="BN1088" s="12"/>
      <c r="BO1088" s="12"/>
      <c r="BP1088" s="12"/>
      <c r="BQ1088" s="12"/>
      <c r="BR1088" s="12"/>
      <c r="BS1088" s="12"/>
      <c r="BT1088" s="12"/>
      <c r="BU1088" s="12"/>
      <c r="BV1088" s="12"/>
      <c r="BW1088" s="12"/>
      <c r="BX1088" s="12"/>
      <c r="BY1088" s="12"/>
      <c r="BZ1088" s="12"/>
      <c r="CA1088" s="12"/>
      <c r="CB1088" s="12"/>
      <c r="CC1088" s="12"/>
      <c r="CD1088" s="12"/>
      <c r="CE1088" s="12"/>
      <c r="CF1088" s="12"/>
      <c r="CG1088" s="12"/>
      <c r="CH1088" s="12"/>
      <c r="CI1088" s="12"/>
      <c r="CJ1088" s="12"/>
      <c r="CK1088" s="12"/>
      <c r="CL1088" s="12"/>
      <c r="CM1088" s="12"/>
      <c r="CN1088" s="12"/>
      <c r="CO1088" s="12"/>
      <c r="CP1088" s="12"/>
      <c r="CQ1088" s="12"/>
      <c r="CR1088" s="12"/>
      <c r="CS1088" s="12"/>
      <c r="CT1088" s="12"/>
      <c r="CU1088" s="12"/>
      <c r="CV1088" s="12"/>
      <c r="CW1088" s="12"/>
      <c r="CX1088" s="12"/>
      <c r="CY1088" s="12"/>
      <c r="CZ1088" s="12"/>
      <c r="DA1088" s="12"/>
      <c r="DB1088" s="12"/>
      <c r="DC1088" s="12"/>
      <c r="DD1088" s="12"/>
      <c r="DE1088" s="12"/>
      <c r="DF1088" s="12"/>
      <c r="DG1088" s="12"/>
      <c r="DH1088" s="12"/>
      <c r="DI1088" s="12"/>
      <c r="DJ1088" s="12"/>
      <c r="DK1088" s="12"/>
      <c r="DL1088" s="12"/>
      <c r="DM1088" s="12"/>
      <c r="DN1088" s="12"/>
      <c r="DO1088" s="12"/>
      <c r="DP1088" s="12"/>
      <c r="DQ1088" s="12"/>
      <c r="DR1088" s="12"/>
      <c r="DS1088" s="12"/>
      <c r="DT1088" s="12"/>
      <c r="DU1088" s="12"/>
      <c r="DV1088" s="12"/>
      <c r="DW1088" s="12"/>
      <c r="DX1088" s="12"/>
      <c r="DY1088" s="12"/>
      <c r="DZ1088" s="12"/>
      <c r="EA1088" s="12"/>
      <c r="EB1088" s="12"/>
      <c r="EC1088" s="12"/>
      <c r="ED1088" s="12"/>
      <c r="EE1088" s="12"/>
      <c r="EF1088" s="12"/>
      <c r="EG1088" s="12"/>
      <c r="EH1088" s="12"/>
      <c r="EI1088" s="12"/>
      <c r="EJ1088" s="574"/>
      <c r="EK1088" s="574"/>
      <c r="EL1088" s="574"/>
      <c r="EM1088" s="574"/>
      <c r="EN1088" s="574"/>
      <c r="EO1088" s="574"/>
      <c r="EP1088" s="574"/>
      <c r="EQ1088" s="574"/>
      <c r="ER1088" s="574"/>
      <c r="ES1088" s="574"/>
      <c r="ET1088" s="574"/>
      <c r="EU1088" s="574"/>
    </row>
    <row r="1089">
      <c r="A1089" s="12"/>
      <c r="B1089" s="55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  <c r="AA1089" s="12"/>
      <c r="AB1089" s="12"/>
      <c r="AC1089" s="12"/>
      <c r="AD1089" s="12"/>
      <c r="AE1089" s="12"/>
      <c r="AF1089" s="12"/>
      <c r="AG1089" s="12"/>
      <c r="AH1089" s="12"/>
      <c r="AI1089" s="12"/>
      <c r="AJ1089" s="12"/>
      <c r="AK1089" s="12"/>
      <c r="AL1089" s="12"/>
      <c r="AM1089" s="12"/>
      <c r="AN1089" s="12"/>
      <c r="AO1089" s="12"/>
      <c r="AP1089" s="12"/>
      <c r="AQ1089" s="12"/>
      <c r="AR1089" s="12"/>
      <c r="AS1089" s="12"/>
      <c r="AT1089" s="12"/>
      <c r="AU1089" s="12"/>
      <c r="AV1089" s="12"/>
      <c r="AW1089" s="12"/>
      <c r="AX1089" s="12"/>
      <c r="AY1089" s="12"/>
      <c r="AZ1089" s="12"/>
      <c r="BA1089" s="12"/>
      <c r="BB1089" s="12"/>
      <c r="BC1089" s="12"/>
      <c r="BD1089" s="12"/>
      <c r="BE1089" s="12"/>
      <c r="BF1089" s="12"/>
      <c r="BG1089" s="12"/>
      <c r="BH1089" s="12"/>
      <c r="BI1089" s="12"/>
      <c r="BJ1089" s="12"/>
      <c r="BK1089" s="12"/>
      <c r="BL1089" s="12"/>
      <c r="BM1089" s="12"/>
      <c r="BN1089" s="12"/>
      <c r="BO1089" s="12"/>
      <c r="BP1089" s="12"/>
      <c r="BQ1089" s="12"/>
      <c r="BR1089" s="12"/>
      <c r="BS1089" s="12"/>
      <c r="BT1089" s="12"/>
      <c r="BU1089" s="12"/>
      <c r="BV1089" s="12"/>
      <c r="BW1089" s="12"/>
      <c r="BX1089" s="12"/>
      <c r="BY1089" s="12"/>
      <c r="BZ1089" s="12"/>
      <c r="CA1089" s="12"/>
      <c r="CB1089" s="12"/>
      <c r="CC1089" s="12"/>
      <c r="CD1089" s="12"/>
      <c r="CE1089" s="12"/>
      <c r="CF1089" s="12"/>
      <c r="CG1089" s="12"/>
      <c r="CH1089" s="12"/>
      <c r="CI1089" s="12"/>
      <c r="CJ1089" s="12"/>
      <c r="CK1089" s="12"/>
      <c r="CL1089" s="12"/>
      <c r="CM1089" s="12"/>
      <c r="CN1089" s="12"/>
      <c r="CO1089" s="12"/>
      <c r="CP1089" s="12"/>
      <c r="CQ1089" s="12"/>
      <c r="CR1089" s="12"/>
      <c r="CS1089" s="12"/>
      <c r="CT1089" s="12"/>
      <c r="CU1089" s="12"/>
      <c r="CV1089" s="12"/>
      <c r="CW1089" s="12"/>
      <c r="CX1089" s="12"/>
      <c r="CY1089" s="12"/>
      <c r="CZ1089" s="12"/>
      <c r="DA1089" s="12"/>
      <c r="DB1089" s="12"/>
      <c r="DC1089" s="12"/>
      <c r="DD1089" s="12"/>
      <c r="DE1089" s="12"/>
      <c r="DF1089" s="12"/>
      <c r="DG1089" s="12"/>
      <c r="DH1089" s="12"/>
      <c r="DI1089" s="12"/>
      <c r="DJ1089" s="12"/>
      <c r="DK1089" s="12"/>
      <c r="DL1089" s="12"/>
      <c r="DM1089" s="12"/>
      <c r="DN1089" s="12"/>
      <c r="DO1089" s="12"/>
      <c r="DP1089" s="12"/>
      <c r="DQ1089" s="12"/>
      <c r="DR1089" s="12"/>
      <c r="DS1089" s="12"/>
      <c r="DT1089" s="12"/>
      <c r="DU1089" s="12"/>
      <c r="DV1089" s="12"/>
      <c r="DW1089" s="12"/>
      <c r="DX1089" s="12"/>
      <c r="DY1089" s="12"/>
      <c r="DZ1089" s="12"/>
      <c r="EA1089" s="12"/>
      <c r="EB1089" s="12"/>
      <c r="EC1089" s="12"/>
      <c r="ED1089" s="12"/>
      <c r="EE1089" s="12"/>
      <c r="EF1089" s="12"/>
      <c r="EG1089" s="12"/>
      <c r="EH1089" s="12"/>
      <c r="EI1089" s="12"/>
      <c r="EJ1089" s="574"/>
      <c r="EK1089" s="574"/>
      <c r="EL1089" s="574"/>
      <c r="EM1089" s="574"/>
      <c r="EN1089" s="574"/>
      <c r="EO1089" s="574"/>
      <c r="EP1089" s="574"/>
      <c r="EQ1089" s="574"/>
      <c r="ER1089" s="574"/>
      <c r="ES1089" s="574"/>
      <c r="ET1089" s="574"/>
      <c r="EU1089" s="574"/>
    </row>
    <row r="1090">
      <c r="A1090" s="12"/>
      <c r="B1090" s="55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  <c r="Y1090" s="12"/>
      <c r="Z1090" s="12"/>
      <c r="AA1090" s="12"/>
      <c r="AB1090" s="12"/>
      <c r="AC1090" s="12"/>
      <c r="AD1090" s="12"/>
      <c r="AE1090" s="12"/>
      <c r="AF1090" s="12"/>
      <c r="AG1090" s="12"/>
      <c r="AH1090" s="12"/>
      <c r="AI1090" s="12"/>
      <c r="AJ1090" s="12"/>
      <c r="AK1090" s="12"/>
      <c r="AL1090" s="12"/>
      <c r="AM1090" s="12"/>
      <c r="AN1090" s="12"/>
      <c r="AO1090" s="12"/>
      <c r="AP1090" s="12"/>
      <c r="AQ1090" s="12"/>
      <c r="AR1090" s="12"/>
      <c r="AS1090" s="12"/>
      <c r="AT1090" s="12"/>
      <c r="AU1090" s="12"/>
      <c r="AV1090" s="12"/>
      <c r="AW1090" s="12"/>
      <c r="AX1090" s="12"/>
      <c r="AY1090" s="12"/>
      <c r="AZ1090" s="12"/>
      <c r="BA1090" s="12"/>
      <c r="BB1090" s="12"/>
      <c r="BC1090" s="12"/>
      <c r="BD1090" s="12"/>
      <c r="BE1090" s="12"/>
      <c r="BF1090" s="12"/>
      <c r="BG1090" s="12"/>
      <c r="BH1090" s="12"/>
      <c r="BI1090" s="12"/>
      <c r="BJ1090" s="12"/>
      <c r="BK1090" s="12"/>
      <c r="BL1090" s="12"/>
      <c r="BM1090" s="12"/>
      <c r="BN1090" s="12"/>
      <c r="BO1090" s="12"/>
      <c r="BP1090" s="12"/>
      <c r="BQ1090" s="12"/>
      <c r="BR1090" s="12"/>
      <c r="BS1090" s="12"/>
      <c r="BT1090" s="12"/>
      <c r="BU1090" s="12"/>
      <c r="BV1090" s="12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574"/>
      <c r="EK1090" s="574"/>
      <c r="EL1090" s="574"/>
      <c r="EM1090" s="574"/>
      <c r="EN1090" s="574"/>
      <c r="EO1090" s="574"/>
      <c r="EP1090" s="574"/>
      <c r="EQ1090" s="574"/>
      <c r="ER1090" s="574"/>
      <c r="ES1090" s="574"/>
      <c r="ET1090" s="574"/>
      <c r="EU1090" s="574"/>
    </row>
    <row r="1091">
      <c r="A1091" s="12"/>
      <c r="B1091" s="55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  <c r="AA1091" s="12"/>
      <c r="AB1091" s="12"/>
      <c r="AC1091" s="12"/>
      <c r="AD1091" s="12"/>
      <c r="AE1091" s="12"/>
      <c r="AF1091" s="12"/>
      <c r="AG1091" s="12"/>
      <c r="AH1091" s="12"/>
      <c r="AI1091" s="12"/>
      <c r="AJ1091" s="12"/>
      <c r="AK1091" s="12"/>
      <c r="AL1091" s="12"/>
      <c r="AM1091" s="12"/>
      <c r="AN1091" s="12"/>
      <c r="AO1091" s="12"/>
      <c r="AP1091" s="12"/>
      <c r="AQ1091" s="12"/>
      <c r="AR1091" s="12"/>
      <c r="AS1091" s="12"/>
      <c r="AT1091" s="12"/>
      <c r="AU1091" s="12"/>
      <c r="AV1091" s="12"/>
      <c r="AW1091" s="12"/>
      <c r="AX1091" s="12"/>
      <c r="AY1091" s="12"/>
      <c r="AZ1091" s="12"/>
      <c r="BA1091" s="12"/>
      <c r="BB1091" s="12"/>
      <c r="BC1091" s="12"/>
      <c r="BD1091" s="12"/>
      <c r="BE1091" s="12"/>
      <c r="BF1091" s="12"/>
      <c r="BG1091" s="12"/>
      <c r="BH1091" s="12"/>
      <c r="BI1091" s="12"/>
      <c r="BJ1091" s="12"/>
      <c r="BK1091" s="12"/>
      <c r="BL1091" s="12"/>
      <c r="BM1091" s="12"/>
      <c r="BN1091" s="12"/>
      <c r="BO1091" s="12"/>
      <c r="BP1091" s="12"/>
      <c r="BQ1091" s="12"/>
      <c r="BR1091" s="12"/>
      <c r="BS1091" s="12"/>
      <c r="BT1091" s="12"/>
      <c r="BU1091" s="12"/>
      <c r="BV1091" s="12"/>
      <c r="BW1091" s="12"/>
      <c r="BX1091" s="12"/>
      <c r="BY1091" s="12"/>
      <c r="BZ1091" s="12"/>
      <c r="CA1091" s="12"/>
      <c r="CB1091" s="12"/>
      <c r="CC1091" s="12"/>
      <c r="CD1091" s="12"/>
      <c r="CE1091" s="12"/>
      <c r="CF1091" s="12"/>
      <c r="CG1091" s="12"/>
      <c r="CH1091" s="12"/>
      <c r="CI1091" s="12"/>
      <c r="CJ1091" s="12"/>
      <c r="CK1091" s="12"/>
      <c r="CL1091" s="12"/>
      <c r="CM1091" s="12"/>
      <c r="CN1091" s="12"/>
      <c r="CO1091" s="12"/>
      <c r="CP1091" s="12"/>
      <c r="CQ1091" s="12"/>
      <c r="CR1091" s="12"/>
      <c r="CS1091" s="12"/>
      <c r="CT1091" s="12"/>
      <c r="CU1091" s="12"/>
      <c r="CV1091" s="12"/>
      <c r="CW1091" s="12"/>
      <c r="CX1091" s="12"/>
      <c r="CY1091" s="12"/>
      <c r="CZ1091" s="12"/>
      <c r="DA1091" s="12"/>
      <c r="DB1091" s="12"/>
      <c r="DC1091" s="12"/>
      <c r="DD1091" s="12"/>
      <c r="DE1091" s="12"/>
      <c r="DF1091" s="12"/>
      <c r="DG1091" s="12"/>
      <c r="DH1091" s="12"/>
      <c r="DI1091" s="12"/>
      <c r="DJ1091" s="12"/>
      <c r="DK1091" s="12"/>
      <c r="DL1091" s="12"/>
      <c r="DM1091" s="12"/>
      <c r="DN1091" s="12"/>
      <c r="DO1091" s="12"/>
      <c r="DP1091" s="12"/>
      <c r="DQ1091" s="12"/>
      <c r="DR1091" s="12"/>
      <c r="DS1091" s="12"/>
      <c r="DT1091" s="12"/>
      <c r="DU1091" s="12"/>
      <c r="DV1091" s="12"/>
      <c r="DW1091" s="12"/>
      <c r="DX1091" s="12"/>
      <c r="DY1091" s="12"/>
      <c r="DZ1091" s="12"/>
      <c r="EA1091" s="12"/>
      <c r="EB1091" s="12"/>
      <c r="EC1091" s="12"/>
      <c r="ED1091" s="12"/>
      <c r="EE1091" s="12"/>
      <c r="EF1091" s="12"/>
      <c r="EG1091" s="12"/>
      <c r="EH1091" s="12"/>
      <c r="EI1091" s="12"/>
      <c r="EJ1091" s="574"/>
      <c r="EK1091" s="574"/>
      <c r="EL1091" s="574"/>
      <c r="EM1091" s="574"/>
      <c r="EN1091" s="574"/>
      <c r="EO1091" s="574"/>
      <c r="EP1091" s="574"/>
      <c r="EQ1091" s="574"/>
      <c r="ER1091" s="574"/>
      <c r="ES1091" s="574"/>
      <c r="ET1091" s="574"/>
      <c r="EU1091" s="574"/>
    </row>
    <row r="1092">
      <c r="A1092" s="12"/>
      <c r="B1092" s="55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  <c r="Y1092" s="12"/>
      <c r="Z1092" s="12"/>
      <c r="AA1092" s="12"/>
      <c r="AB1092" s="12"/>
      <c r="AC1092" s="12"/>
      <c r="AD1092" s="12"/>
      <c r="AE1092" s="12"/>
      <c r="AF1092" s="12"/>
      <c r="AG1092" s="12"/>
      <c r="AH1092" s="12"/>
      <c r="AI1092" s="12"/>
      <c r="AJ1092" s="12"/>
      <c r="AK1092" s="12"/>
      <c r="AL1092" s="12"/>
      <c r="AM1092" s="12"/>
      <c r="AN1092" s="12"/>
      <c r="AO1092" s="12"/>
      <c r="AP1092" s="12"/>
      <c r="AQ1092" s="12"/>
      <c r="AR1092" s="12"/>
      <c r="AS1092" s="12"/>
      <c r="AT1092" s="12"/>
      <c r="AU1092" s="12"/>
      <c r="AV1092" s="12"/>
      <c r="AW1092" s="12"/>
      <c r="AX1092" s="12"/>
      <c r="AY1092" s="12"/>
      <c r="AZ1092" s="12"/>
      <c r="BA1092" s="12"/>
      <c r="BB1092" s="12"/>
      <c r="BC1092" s="12"/>
      <c r="BD1092" s="12"/>
      <c r="BE1092" s="12"/>
      <c r="BF1092" s="12"/>
      <c r="BG1092" s="12"/>
      <c r="BH1092" s="12"/>
      <c r="BI1092" s="12"/>
      <c r="BJ1092" s="12"/>
      <c r="BK1092" s="12"/>
      <c r="BL1092" s="12"/>
      <c r="BM1092" s="12"/>
      <c r="BN1092" s="12"/>
      <c r="BO1092" s="12"/>
      <c r="BP1092" s="12"/>
      <c r="BQ1092" s="12"/>
      <c r="BR1092" s="12"/>
      <c r="BS1092" s="12"/>
      <c r="BT1092" s="12"/>
      <c r="BU1092" s="12"/>
      <c r="BV1092" s="12"/>
      <c r="BW1092" s="12"/>
      <c r="BX1092" s="12"/>
      <c r="BY1092" s="12"/>
      <c r="BZ1092" s="12"/>
      <c r="CA1092" s="12"/>
      <c r="CB1092" s="12"/>
      <c r="CC1092" s="12"/>
      <c r="CD1092" s="12"/>
      <c r="CE1092" s="12"/>
      <c r="CF1092" s="12"/>
      <c r="CG1092" s="12"/>
      <c r="CH1092" s="12"/>
      <c r="CI1092" s="12"/>
      <c r="CJ1092" s="12"/>
      <c r="CK1092" s="12"/>
      <c r="CL1092" s="12"/>
      <c r="CM1092" s="12"/>
      <c r="CN1092" s="12"/>
      <c r="CO1092" s="12"/>
      <c r="CP1092" s="12"/>
      <c r="CQ1092" s="12"/>
      <c r="CR1092" s="12"/>
      <c r="CS1092" s="12"/>
      <c r="CT1092" s="12"/>
      <c r="CU1092" s="12"/>
      <c r="CV1092" s="12"/>
      <c r="CW1092" s="12"/>
      <c r="CX1092" s="12"/>
      <c r="CY1092" s="12"/>
      <c r="CZ1092" s="12"/>
      <c r="DA1092" s="12"/>
      <c r="DB1092" s="12"/>
      <c r="DC1092" s="12"/>
      <c r="DD1092" s="12"/>
      <c r="DE1092" s="12"/>
      <c r="DF1092" s="12"/>
      <c r="DG1092" s="12"/>
      <c r="DH1092" s="12"/>
      <c r="DI1092" s="12"/>
      <c r="DJ1092" s="12"/>
      <c r="DK1092" s="12"/>
      <c r="DL1092" s="12"/>
      <c r="DM1092" s="12"/>
      <c r="DN1092" s="12"/>
      <c r="DO1092" s="12"/>
      <c r="DP1092" s="12"/>
      <c r="DQ1092" s="12"/>
      <c r="DR1092" s="12"/>
      <c r="DS1092" s="12"/>
      <c r="DT1092" s="12"/>
      <c r="DU1092" s="12"/>
      <c r="DV1092" s="12"/>
      <c r="DW1092" s="12"/>
      <c r="DX1092" s="12"/>
      <c r="DY1092" s="12"/>
      <c r="DZ1092" s="12"/>
      <c r="EA1092" s="12"/>
      <c r="EB1092" s="12"/>
      <c r="EC1092" s="12"/>
      <c r="ED1092" s="12"/>
      <c r="EE1092" s="12"/>
      <c r="EF1092" s="12"/>
      <c r="EG1092" s="12"/>
      <c r="EH1092" s="12"/>
      <c r="EI1092" s="12"/>
      <c r="EJ1092" s="574"/>
      <c r="EK1092" s="574"/>
      <c r="EL1092" s="574"/>
      <c r="EM1092" s="574"/>
      <c r="EN1092" s="574"/>
      <c r="EO1092" s="574"/>
      <c r="EP1092" s="574"/>
      <c r="EQ1092" s="574"/>
      <c r="ER1092" s="574"/>
      <c r="ES1092" s="574"/>
      <c r="ET1092" s="574"/>
      <c r="EU1092" s="574"/>
    </row>
    <row r="1093">
      <c r="A1093" s="12"/>
      <c r="B1093" s="55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  <c r="AA1093" s="12"/>
      <c r="AB1093" s="12"/>
      <c r="AC1093" s="12"/>
      <c r="AD1093" s="12"/>
      <c r="AE1093" s="12"/>
      <c r="AF1093" s="12"/>
      <c r="AG1093" s="12"/>
      <c r="AH1093" s="12"/>
      <c r="AI1093" s="12"/>
      <c r="AJ1093" s="12"/>
      <c r="AK1093" s="12"/>
      <c r="AL1093" s="12"/>
      <c r="AM1093" s="12"/>
      <c r="AN1093" s="12"/>
      <c r="AO1093" s="12"/>
      <c r="AP1093" s="12"/>
      <c r="AQ1093" s="12"/>
      <c r="AR1093" s="12"/>
      <c r="AS1093" s="12"/>
      <c r="AT1093" s="12"/>
      <c r="AU1093" s="12"/>
      <c r="AV1093" s="12"/>
      <c r="AW1093" s="12"/>
      <c r="AX1093" s="12"/>
      <c r="AY1093" s="12"/>
      <c r="AZ1093" s="12"/>
      <c r="BA1093" s="12"/>
      <c r="BB1093" s="12"/>
      <c r="BC1093" s="12"/>
      <c r="BD1093" s="12"/>
      <c r="BE1093" s="12"/>
      <c r="BF1093" s="12"/>
      <c r="BG1093" s="12"/>
      <c r="BH1093" s="12"/>
      <c r="BI1093" s="12"/>
      <c r="BJ1093" s="12"/>
      <c r="BK1093" s="12"/>
      <c r="BL1093" s="12"/>
      <c r="BM1093" s="12"/>
      <c r="BN1093" s="12"/>
      <c r="BO1093" s="12"/>
      <c r="BP1093" s="12"/>
      <c r="BQ1093" s="12"/>
      <c r="BR1093" s="12"/>
      <c r="BS1093" s="12"/>
      <c r="BT1093" s="12"/>
      <c r="BU1093" s="12"/>
      <c r="BV1093" s="12"/>
      <c r="BW1093" s="12"/>
      <c r="BX1093" s="12"/>
      <c r="BY1093" s="12"/>
      <c r="BZ1093" s="12"/>
      <c r="CA1093" s="12"/>
      <c r="CB1093" s="12"/>
      <c r="CC1093" s="12"/>
      <c r="CD1093" s="12"/>
      <c r="CE1093" s="12"/>
      <c r="CF1093" s="12"/>
      <c r="CG1093" s="12"/>
      <c r="CH1093" s="12"/>
      <c r="CI1093" s="12"/>
      <c r="CJ1093" s="12"/>
      <c r="CK1093" s="12"/>
      <c r="CL1093" s="12"/>
      <c r="CM1093" s="12"/>
      <c r="CN1093" s="12"/>
      <c r="CO1093" s="12"/>
      <c r="CP1093" s="12"/>
      <c r="CQ1093" s="12"/>
      <c r="CR1093" s="12"/>
      <c r="CS1093" s="12"/>
      <c r="CT1093" s="12"/>
      <c r="CU1093" s="12"/>
      <c r="CV1093" s="12"/>
      <c r="CW1093" s="12"/>
      <c r="CX1093" s="12"/>
      <c r="CY1093" s="12"/>
      <c r="CZ1093" s="12"/>
      <c r="DA1093" s="12"/>
      <c r="DB1093" s="12"/>
      <c r="DC1093" s="12"/>
      <c r="DD1093" s="12"/>
      <c r="DE1093" s="12"/>
      <c r="DF1093" s="12"/>
      <c r="DG1093" s="12"/>
      <c r="DH1093" s="12"/>
      <c r="DI1093" s="12"/>
      <c r="DJ1093" s="12"/>
      <c r="DK1093" s="12"/>
      <c r="DL1093" s="12"/>
      <c r="DM1093" s="12"/>
      <c r="DN1093" s="12"/>
      <c r="DO1093" s="12"/>
      <c r="DP1093" s="12"/>
      <c r="DQ1093" s="12"/>
      <c r="DR1093" s="12"/>
      <c r="DS1093" s="12"/>
      <c r="DT1093" s="12"/>
      <c r="DU1093" s="12"/>
      <c r="DV1093" s="12"/>
      <c r="DW1093" s="12"/>
      <c r="DX1093" s="12"/>
      <c r="DY1093" s="12"/>
      <c r="DZ1093" s="12"/>
      <c r="EA1093" s="12"/>
      <c r="EB1093" s="12"/>
      <c r="EC1093" s="12"/>
      <c r="ED1093" s="12"/>
      <c r="EE1093" s="12"/>
      <c r="EF1093" s="12"/>
      <c r="EG1093" s="12"/>
      <c r="EH1093" s="12"/>
      <c r="EI1093" s="12"/>
      <c r="EJ1093" s="574"/>
      <c r="EK1093" s="574"/>
      <c r="EL1093" s="574"/>
      <c r="EM1093" s="574"/>
      <c r="EN1093" s="574"/>
      <c r="EO1093" s="574"/>
      <c r="EP1093" s="574"/>
      <c r="EQ1093" s="574"/>
      <c r="ER1093" s="574"/>
      <c r="ES1093" s="574"/>
      <c r="ET1093" s="574"/>
      <c r="EU1093" s="574"/>
    </row>
    <row r="1094">
      <c r="A1094" s="12"/>
      <c r="B1094" s="55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  <c r="Y1094" s="12"/>
      <c r="Z1094" s="12"/>
      <c r="AA1094" s="12"/>
      <c r="AB1094" s="12"/>
      <c r="AC1094" s="12"/>
      <c r="AD1094" s="12"/>
      <c r="AE1094" s="12"/>
      <c r="AF1094" s="12"/>
      <c r="AG1094" s="12"/>
      <c r="AH1094" s="12"/>
      <c r="AI1094" s="12"/>
      <c r="AJ1094" s="12"/>
      <c r="AK1094" s="12"/>
      <c r="AL1094" s="12"/>
      <c r="AM1094" s="12"/>
      <c r="AN1094" s="12"/>
      <c r="AO1094" s="12"/>
      <c r="AP1094" s="12"/>
      <c r="AQ1094" s="12"/>
      <c r="AR1094" s="12"/>
      <c r="AS1094" s="12"/>
      <c r="AT1094" s="12"/>
      <c r="AU1094" s="12"/>
      <c r="AV1094" s="12"/>
      <c r="AW1094" s="12"/>
      <c r="AX1094" s="12"/>
      <c r="AY1094" s="12"/>
      <c r="AZ1094" s="12"/>
      <c r="BA1094" s="12"/>
      <c r="BB1094" s="12"/>
      <c r="BC1094" s="12"/>
      <c r="BD1094" s="12"/>
      <c r="BE1094" s="12"/>
      <c r="BF1094" s="12"/>
      <c r="BG1094" s="12"/>
      <c r="BH1094" s="12"/>
      <c r="BI1094" s="12"/>
      <c r="BJ1094" s="12"/>
      <c r="BK1094" s="12"/>
      <c r="BL1094" s="12"/>
      <c r="BM1094" s="12"/>
      <c r="BN1094" s="12"/>
      <c r="BO1094" s="12"/>
      <c r="BP1094" s="12"/>
      <c r="BQ1094" s="12"/>
      <c r="BR1094" s="12"/>
      <c r="BS1094" s="12"/>
      <c r="BT1094" s="12"/>
      <c r="BU1094" s="12"/>
      <c r="BV1094" s="12"/>
      <c r="BW1094" s="12"/>
      <c r="BX1094" s="12"/>
      <c r="BY1094" s="12"/>
      <c r="BZ1094" s="12"/>
      <c r="CA1094" s="12"/>
      <c r="CB1094" s="12"/>
      <c r="CC1094" s="12"/>
      <c r="CD1094" s="12"/>
      <c r="CE1094" s="12"/>
      <c r="CF1094" s="12"/>
      <c r="CG1094" s="12"/>
      <c r="CH1094" s="12"/>
      <c r="CI1094" s="12"/>
      <c r="CJ1094" s="12"/>
      <c r="CK1094" s="12"/>
      <c r="CL1094" s="12"/>
      <c r="CM1094" s="12"/>
      <c r="CN1094" s="12"/>
      <c r="CO1094" s="12"/>
      <c r="CP1094" s="12"/>
      <c r="CQ1094" s="12"/>
      <c r="CR1094" s="12"/>
      <c r="CS1094" s="12"/>
      <c r="CT1094" s="12"/>
      <c r="CU1094" s="12"/>
      <c r="CV1094" s="12"/>
      <c r="CW1094" s="12"/>
      <c r="CX1094" s="12"/>
      <c r="CY1094" s="12"/>
      <c r="CZ1094" s="12"/>
      <c r="DA1094" s="12"/>
      <c r="DB1094" s="12"/>
      <c r="DC1094" s="12"/>
      <c r="DD1094" s="12"/>
      <c r="DE1094" s="12"/>
      <c r="DF1094" s="12"/>
      <c r="DG1094" s="12"/>
      <c r="DH1094" s="12"/>
      <c r="DI1094" s="12"/>
      <c r="DJ1094" s="12"/>
      <c r="DK1094" s="12"/>
      <c r="DL1094" s="12"/>
      <c r="DM1094" s="12"/>
      <c r="DN1094" s="12"/>
      <c r="DO1094" s="12"/>
      <c r="DP1094" s="12"/>
      <c r="DQ1094" s="12"/>
      <c r="DR1094" s="12"/>
      <c r="DS1094" s="12"/>
      <c r="DT1094" s="12"/>
      <c r="DU1094" s="12"/>
      <c r="DV1094" s="12"/>
      <c r="DW1094" s="12"/>
      <c r="DX1094" s="12"/>
      <c r="DY1094" s="12"/>
      <c r="DZ1094" s="12"/>
      <c r="EA1094" s="12"/>
      <c r="EB1094" s="12"/>
      <c r="EC1094" s="12"/>
      <c r="ED1094" s="12"/>
      <c r="EE1094" s="12"/>
      <c r="EF1094" s="12"/>
      <c r="EG1094" s="12"/>
      <c r="EH1094" s="12"/>
      <c r="EI1094" s="12"/>
      <c r="EJ1094" s="574"/>
      <c r="EK1094" s="574"/>
      <c r="EL1094" s="574"/>
      <c r="EM1094" s="574"/>
      <c r="EN1094" s="574"/>
      <c r="EO1094" s="574"/>
      <c r="EP1094" s="574"/>
      <c r="EQ1094" s="574"/>
      <c r="ER1094" s="574"/>
      <c r="ES1094" s="574"/>
      <c r="ET1094" s="574"/>
      <c r="EU1094" s="574"/>
    </row>
    <row r="1095">
      <c r="A1095" s="12"/>
      <c r="B1095" s="55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  <c r="Y1095" s="12"/>
      <c r="Z1095" s="12"/>
      <c r="AA1095" s="12"/>
      <c r="AB1095" s="12"/>
      <c r="AC1095" s="12"/>
      <c r="AD1095" s="12"/>
      <c r="AE1095" s="12"/>
      <c r="AF1095" s="12"/>
      <c r="AG1095" s="12"/>
      <c r="AH1095" s="12"/>
      <c r="AI1095" s="12"/>
      <c r="AJ1095" s="12"/>
      <c r="AK1095" s="12"/>
      <c r="AL1095" s="12"/>
      <c r="AM1095" s="12"/>
      <c r="AN1095" s="12"/>
      <c r="AO1095" s="12"/>
      <c r="AP1095" s="12"/>
      <c r="AQ1095" s="12"/>
      <c r="AR1095" s="12"/>
      <c r="AS1095" s="12"/>
      <c r="AT1095" s="12"/>
      <c r="AU1095" s="12"/>
      <c r="AV1095" s="12"/>
      <c r="AW1095" s="12"/>
      <c r="AX1095" s="12"/>
      <c r="AY1095" s="12"/>
      <c r="AZ1095" s="12"/>
      <c r="BA1095" s="12"/>
      <c r="BB1095" s="12"/>
      <c r="BC1095" s="12"/>
      <c r="BD1095" s="12"/>
      <c r="BE1095" s="12"/>
      <c r="BF1095" s="12"/>
      <c r="BG1095" s="12"/>
      <c r="BH1095" s="12"/>
      <c r="BI1095" s="12"/>
      <c r="BJ1095" s="12"/>
      <c r="BK1095" s="12"/>
      <c r="BL1095" s="12"/>
      <c r="BM1095" s="12"/>
      <c r="BN1095" s="12"/>
      <c r="BO1095" s="12"/>
      <c r="BP1095" s="12"/>
      <c r="BQ1095" s="12"/>
      <c r="BR1095" s="12"/>
      <c r="BS1095" s="12"/>
      <c r="BT1095" s="12"/>
      <c r="BU1095" s="12"/>
      <c r="BV1095" s="12"/>
      <c r="BW1095" s="12"/>
      <c r="BX1095" s="12"/>
      <c r="BY1095" s="12"/>
      <c r="BZ1095" s="12"/>
      <c r="CA1095" s="12"/>
      <c r="CB1095" s="12"/>
      <c r="CC1095" s="12"/>
      <c r="CD1095" s="12"/>
      <c r="CE1095" s="12"/>
      <c r="CF1095" s="12"/>
      <c r="CG1095" s="12"/>
      <c r="CH1095" s="12"/>
      <c r="CI1095" s="12"/>
      <c r="CJ1095" s="12"/>
      <c r="CK1095" s="12"/>
      <c r="CL1095" s="12"/>
      <c r="CM1095" s="12"/>
      <c r="CN1095" s="12"/>
      <c r="CO1095" s="12"/>
      <c r="CP1095" s="12"/>
      <c r="CQ1095" s="12"/>
      <c r="CR1095" s="12"/>
      <c r="CS1095" s="12"/>
      <c r="CT1095" s="12"/>
      <c r="CU1095" s="12"/>
      <c r="CV1095" s="12"/>
      <c r="CW1095" s="12"/>
      <c r="CX1095" s="12"/>
      <c r="CY1095" s="12"/>
      <c r="CZ1095" s="12"/>
      <c r="DA1095" s="12"/>
      <c r="DB1095" s="12"/>
      <c r="DC1095" s="12"/>
      <c r="DD1095" s="12"/>
      <c r="DE1095" s="12"/>
      <c r="DF1095" s="12"/>
      <c r="DG1095" s="12"/>
      <c r="DH1095" s="12"/>
      <c r="DI1095" s="12"/>
      <c r="DJ1095" s="12"/>
      <c r="DK1095" s="12"/>
      <c r="DL1095" s="12"/>
      <c r="DM1095" s="12"/>
      <c r="DN1095" s="12"/>
      <c r="DO1095" s="12"/>
      <c r="DP1095" s="12"/>
      <c r="DQ1095" s="12"/>
      <c r="DR1095" s="12"/>
      <c r="DS1095" s="12"/>
      <c r="DT1095" s="12"/>
      <c r="DU1095" s="12"/>
      <c r="DV1095" s="12"/>
      <c r="DW1095" s="12"/>
      <c r="DX1095" s="12"/>
      <c r="DY1095" s="12"/>
      <c r="DZ1095" s="12"/>
      <c r="EA1095" s="12"/>
      <c r="EB1095" s="12"/>
      <c r="EC1095" s="12"/>
      <c r="ED1095" s="12"/>
      <c r="EE1095" s="12"/>
      <c r="EF1095" s="12"/>
      <c r="EG1095" s="12"/>
      <c r="EH1095" s="12"/>
      <c r="EI1095" s="12"/>
      <c r="EJ1095" s="574"/>
      <c r="EK1095" s="574"/>
      <c r="EL1095" s="574"/>
      <c r="EM1095" s="574"/>
      <c r="EN1095" s="574"/>
      <c r="EO1095" s="574"/>
      <c r="EP1095" s="574"/>
      <c r="EQ1095" s="574"/>
      <c r="ER1095" s="574"/>
      <c r="ES1095" s="574"/>
      <c r="ET1095" s="574"/>
      <c r="EU1095" s="574"/>
    </row>
    <row r="1096">
      <c r="A1096" s="12"/>
      <c r="B1096" s="55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  <c r="Y1096" s="12"/>
      <c r="Z1096" s="12"/>
      <c r="AA1096" s="12"/>
      <c r="AB1096" s="12"/>
      <c r="AC1096" s="12"/>
      <c r="AD1096" s="12"/>
      <c r="AE1096" s="12"/>
      <c r="AF1096" s="12"/>
      <c r="AG1096" s="12"/>
      <c r="AH1096" s="12"/>
      <c r="AI1096" s="12"/>
      <c r="AJ1096" s="12"/>
      <c r="AK1096" s="12"/>
      <c r="AL1096" s="12"/>
      <c r="AM1096" s="12"/>
      <c r="AN1096" s="12"/>
      <c r="AO1096" s="12"/>
      <c r="AP1096" s="12"/>
      <c r="AQ1096" s="12"/>
      <c r="AR1096" s="12"/>
      <c r="AS1096" s="12"/>
      <c r="AT1096" s="12"/>
      <c r="AU1096" s="12"/>
      <c r="AV1096" s="12"/>
      <c r="AW1096" s="12"/>
      <c r="AX1096" s="12"/>
      <c r="AY1096" s="12"/>
      <c r="AZ1096" s="12"/>
      <c r="BA1096" s="12"/>
      <c r="BB1096" s="12"/>
      <c r="BC1096" s="12"/>
      <c r="BD1096" s="12"/>
      <c r="BE1096" s="12"/>
      <c r="BF1096" s="12"/>
      <c r="BG1096" s="12"/>
      <c r="BH1096" s="12"/>
      <c r="BI1096" s="12"/>
      <c r="BJ1096" s="12"/>
      <c r="BK1096" s="12"/>
      <c r="BL1096" s="12"/>
      <c r="BM1096" s="12"/>
      <c r="BN1096" s="12"/>
      <c r="BO1096" s="12"/>
      <c r="BP1096" s="12"/>
      <c r="BQ1096" s="12"/>
      <c r="BR1096" s="12"/>
      <c r="BS1096" s="12"/>
      <c r="BT1096" s="12"/>
      <c r="BU1096" s="12"/>
      <c r="BV1096" s="12"/>
      <c r="BW1096" s="12"/>
      <c r="BX1096" s="12"/>
      <c r="BY1096" s="12"/>
      <c r="BZ1096" s="12"/>
      <c r="CA1096" s="12"/>
      <c r="CB1096" s="12"/>
      <c r="CC1096" s="12"/>
      <c r="CD1096" s="12"/>
      <c r="CE1096" s="12"/>
      <c r="CF1096" s="12"/>
      <c r="CG1096" s="12"/>
      <c r="CH1096" s="12"/>
      <c r="CI1096" s="12"/>
      <c r="CJ1096" s="12"/>
      <c r="CK1096" s="12"/>
      <c r="CL1096" s="12"/>
      <c r="CM1096" s="12"/>
      <c r="CN1096" s="12"/>
      <c r="CO1096" s="12"/>
      <c r="CP1096" s="12"/>
      <c r="CQ1096" s="12"/>
      <c r="CR1096" s="12"/>
      <c r="CS1096" s="12"/>
      <c r="CT1096" s="12"/>
      <c r="CU1096" s="12"/>
      <c r="CV1096" s="12"/>
      <c r="CW1096" s="12"/>
      <c r="CX1096" s="12"/>
      <c r="CY1096" s="12"/>
      <c r="CZ1096" s="12"/>
      <c r="DA1096" s="12"/>
      <c r="DB1096" s="12"/>
      <c r="DC1096" s="12"/>
      <c r="DD1096" s="12"/>
      <c r="DE1096" s="12"/>
      <c r="DF1096" s="12"/>
      <c r="DG1096" s="12"/>
      <c r="DH1096" s="12"/>
      <c r="DI1096" s="12"/>
      <c r="DJ1096" s="12"/>
      <c r="DK1096" s="12"/>
      <c r="DL1096" s="12"/>
      <c r="DM1096" s="12"/>
      <c r="DN1096" s="12"/>
      <c r="DO1096" s="12"/>
      <c r="DP1096" s="12"/>
      <c r="DQ1096" s="12"/>
      <c r="DR1096" s="12"/>
      <c r="DS1096" s="12"/>
      <c r="DT1096" s="12"/>
      <c r="DU1096" s="12"/>
      <c r="DV1096" s="12"/>
      <c r="DW1096" s="12"/>
      <c r="DX1096" s="12"/>
      <c r="DY1096" s="12"/>
      <c r="DZ1096" s="12"/>
      <c r="EA1096" s="12"/>
      <c r="EB1096" s="12"/>
      <c r="EC1096" s="12"/>
      <c r="ED1096" s="12"/>
      <c r="EE1096" s="12"/>
      <c r="EF1096" s="12"/>
      <c r="EG1096" s="12"/>
      <c r="EH1096" s="12"/>
      <c r="EI1096" s="12"/>
      <c r="EJ1096" s="574"/>
      <c r="EK1096" s="574"/>
      <c r="EL1096" s="574"/>
      <c r="EM1096" s="574"/>
      <c r="EN1096" s="574"/>
      <c r="EO1096" s="574"/>
      <c r="EP1096" s="574"/>
      <c r="EQ1096" s="574"/>
      <c r="ER1096" s="574"/>
      <c r="ES1096" s="574"/>
      <c r="ET1096" s="574"/>
      <c r="EU1096" s="574"/>
    </row>
    <row r="1097">
      <c r="A1097" s="12"/>
      <c r="B1097" s="55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  <c r="X1097" s="12"/>
      <c r="Y1097" s="12"/>
      <c r="Z1097" s="12"/>
      <c r="AA1097" s="12"/>
      <c r="AB1097" s="12"/>
      <c r="AC1097" s="12"/>
      <c r="AD1097" s="12"/>
      <c r="AE1097" s="12"/>
      <c r="AF1097" s="12"/>
      <c r="AG1097" s="12"/>
      <c r="AH1097" s="12"/>
      <c r="AI1097" s="12"/>
      <c r="AJ1097" s="12"/>
      <c r="AK1097" s="12"/>
      <c r="AL1097" s="12"/>
      <c r="AM1097" s="12"/>
      <c r="AN1097" s="12"/>
      <c r="AO1097" s="12"/>
      <c r="AP1097" s="12"/>
      <c r="AQ1097" s="12"/>
      <c r="AR1097" s="12"/>
      <c r="AS1097" s="12"/>
      <c r="AT1097" s="12"/>
      <c r="AU1097" s="12"/>
      <c r="AV1097" s="12"/>
      <c r="AW1097" s="12"/>
      <c r="AX1097" s="12"/>
      <c r="AY1097" s="12"/>
      <c r="AZ1097" s="12"/>
      <c r="BA1097" s="12"/>
      <c r="BB1097" s="12"/>
      <c r="BC1097" s="12"/>
      <c r="BD1097" s="12"/>
      <c r="BE1097" s="12"/>
      <c r="BF1097" s="12"/>
      <c r="BG1097" s="12"/>
      <c r="BH1097" s="12"/>
      <c r="BI1097" s="12"/>
      <c r="BJ1097" s="12"/>
      <c r="BK1097" s="12"/>
      <c r="BL1097" s="12"/>
      <c r="BM1097" s="12"/>
      <c r="BN1097" s="12"/>
      <c r="BO1097" s="12"/>
      <c r="BP1097" s="12"/>
      <c r="BQ1097" s="12"/>
      <c r="BR1097" s="12"/>
      <c r="BS1097" s="12"/>
      <c r="BT1097" s="12"/>
      <c r="BU1097" s="12"/>
      <c r="BV1097" s="12"/>
      <c r="BW1097" s="12"/>
      <c r="BX1097" s="12"/>
      <c r="BY1097" s="12"/>
      <c r="BZ1097" s="12"/>
      <c r="CA1097" s="12"/>
      <c r="CB1097" s="12"/>
      <c r="CC1097" s="12"/>
      <c r="CD1097" s="12"/>
      <c r="CE1097" s="12"/>
      <c r="CF1097" s="12"/>
      <c r="CG1097" s="12"/>
      <c r="CH1097" s="12"/>
      <c r="CI1097" s="12"/>
      <c r="CJ1097" s="12"/>
      <c r="CK1097" s="12"/>
      <c r="CL1097" s="12"/>
      <c r="CM1097" s="12"/>
      <c r="CN1097" s="12"/>
      <c r="CO1097" s="12"/>
      <c r="CP1097" s="12"/>
      <c r="CQ1097" s="12"/>
      <c r="CR1097" s="12"/>
      <c r="CS1097" s="12"/>
      <c r="CT1097" s="12"/>
      <c r="CU1097" s="12"/>
      <c r="CV1097" s="12"/>
      <c r="CW1097" s="12"/>
      <c r="CX1097" s="12"/>
      <c r="CY1097" s="12"/>
      <c r="CZ1097" s="12"/>
      <c r="DA1097" s="12"/>
      <c r="DB1097" s="12"/>
      <c r="DC1097" s="12"/>
      <c r="DD1097" s="12"/>
      <c r="DE1097" s="12"/>
      <c r="DF1097" s="12"/>
      <c r="DG1097" s="12"/>
      <c r="DH1097" s="12"/>
      <c r="DI1097" s="12"/>
      <c r="DJ1097" s="12"/>
      <c r="DK1097" s="12"/>
      <c r="DL1097" s="12"/>
      <c r="DM1097" s="12"/>
      <c r="DN1097" s="12"/>
      <c r="DO1097" s="12"/>
      <c r="DP1097" s="12"/>
      <c r="DQ1097" s="12"/>
      <c r="DR1097" s="12"/>
      <c r="DS1097" s="12"/>
      <c r="DT1097" s="12"/>
      <c r="DU1097" s="12"/>
      <c r="DV1097" s="12"/>
      <c r="DW1097" s="12"/>
      <c r="DX1097" s="12"/>
      <c r="DY1097" s="12"/>
      <c r="DZ1097" s="12"/>
      <c r="EA1097" s="12"/>
      <c r="EB1097" s="12"/>
      <c r="EC1097" s="12"/>
      <c r="ED1097" s="12"/>
      <c r="EE1097" s="12"/>
      <c r="EF1097" s="12"/>
      <c r="EG1097" s="12"/>
      <c r="EH1097" s="12"/>
      <c r="EI1097" s="12"/>
      <c r="EJ1097" s="574"/>
      <c r="EK1097" s="574"/>
      <c r="EL1097" s="574"/>
      <c r="EM1097" s="574"/>
      <c r="EN1097" s="574"/>
      <c r="EO1097" s="574"/>
      <c r="EP1097" s="574"/>
      <c r="EQ1097" s="574"/>
      <c r="ER1097" s="574"/>
      <c r="ES1097" s="574"/>
      <c r="ET1097" s="574"/>
      <c r="EU1097" s="574"/>
    </row>
    <row r="1098">
      <c r="A1098" s="12"/>
      <c r="B1098" s="55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  <c r="Y1098" s="12"/>
      <c r="Z1098" s="12"/>
      <c r="AA1098" s="12"/>
      <c r="AB1098" s="12"/>
      <c r="AC1098" s="12"/>
      <c r="AD1098" s="12"/>
      <c r="AE1098" s="12"/>
      <c r="AF1098" s="12"/>
      <c r="AG1098" s="12"/>
      <c r="AH1098" s="12"/>
      <c r="AI1098" s="12"/>
      <c r="AJ1098" s="12"/>
      <c r="AK1098" s="12"/>
      <c r="AL1098" s="12"/>
      <c r="AM1098" s="12"/>
      <c r="AN1098" s="12"/>
      <c r="AO1098" s="12"/>
      <c r="AP1098" s="12"/>
      <c r="AQ1098" s="12"/>
      <c r="AR1098" s="12"/>
      <c r="AS1098" s="12"/>
      <c r="AT1098" s="12"/>
      <c r="AU1098" s="12"/>
      <c r="AV1098" s="12"/>
      <c r="AW1098" s="12"/>
      <c r="AX1098" s="12"/>
      <c r="AY1098" s="12"/>
      <c r="AZ1098" s="12"/>
      <c r="BA1098" s="12"/>
      <c r="BB1098" s="12"/>
      <c r="BC1098" s="12"/>
      <c r="BD1098" s="12"/>
      <c r="BE1098" s="12"/>
      <c r="BF1098" s="12"/>
      <c r="BG1098" s="12"/>
      <c r="BH1098" s="12"/>
      <c r="BI1098" s="12"/>
      <c r="BJ1098" s="12"/>
      <c r="BK1098" s="12"/>
      <c r="BL1098" s="12"/>
      <c r="BM1098" s="12"/>
      <c r="BN1098" s="12"/>
      <c r="BO1098" s="12"/>
      <c r="BP1098" s="12"/>
      <c r="BQ1098" s="12"/>
      <c r="BR1098" s="12"/>
      <c r="BS1098" s="12"/>
      <c r="BT1098" s="12"/>
      <c r="BU1098" s="12"/>
      <c r="BV1098" s="12"/>
      <c r="BW1098" s="12"/>
      <c r="BX1098" s="12"/>
      <c r="BY1098" s="12"/>
      <c r="BZ1098" s="12"/>
      <c r="CA1098" s="12"/>
      <c r="CB1098" s="12"/>
      <c r="CC1098" s="12"/>
      <c r="CD1098" s="12"/>
      <c r="CE1098" s="12"/>
      <c r="CF1098" s="12"/>
      <c r="CG1098" s="12"/>
      <c r="CH1098" s="12"/>
      <c r="CI1098" s="12"/>
      <c r="CJ1098" s="12"/>
      <c r="CK1098" s="12"/>
      <c r="CL1098" s="12"/>
      <c r="CM1098" s="12"/>
      <c r="CN1098" s="12"/>
      <c r="CO1098" s="12"/>
      <c r="CP1098" s="12"/>
      <c r="CQ1098" s="12"/>
      <c r="CR1098" s="12"/>
      <c r="CS1098" s="12"/>
      <c r="CT1098" s="12"/>
      <c r="CU1098" s="12"/>
      <c r="CV1098" s="12"/>
      <c r="CW1098" s="12"/>
      <c r="CX1098" s="12"/>
      <c r="CY1098" s="12"/>
      <c r="CZ1098" s="12"/>
      <c r="DA1098" s="12"/>
      <c r="DB1098" s="12"/>
      <c r="DC1098" s="12"/>
      <c r="DD1098" s="12"/>
      <c r="DE1098" s="12"/>
      <c r="DF1098" s="12"/>
      <c r="DG1098" s="12"/>
      <c r="DH1098" s="12"/>
      <c r="DI1098" s="12"/>
      <c r="DJ1098" s="12"/>
      <c r="DK1098" s="12"/>
      <c r="DL1098" s="12"/>
      <c r="DM1098" s="12"/>
      <c r="DN1098" s="12"/>
      <c r="DO1098" s="12"/>
      <c r="DP1098" s="12"/>
      <c r="DQ1098" s="12"/>
      <c r="DR1098" s="12"/>
      <c r="DS1098" s="12"/>
      <c r="DT1098" s="12"/>
      <c r="DU1098" s="12"/>
      <c r="DV1098" s="12"/>
      <c r="DW1098" s="12"/>
      <c r="DX1098" s="12"/>
      <c r="DY1098" s="12"/>
      <c r="DZ1098" s="12"/>
      <c r="EA1098" s="12"/>
      <c r="EB1098" s="12"/>
      <c r="EC1098" s="12"/>
      <c r="ED1098" s="12"/>
      <c r="EE1098" s="12"/>
      <c r="EF1098" s="12"/>
      <c r="EG1098" s="12"/>
      <c r="EH1098" s="12"/>
      <c r="EI1098" s="12"/>
      <c r="EJ1098" s="574"/>
      <c r="EK1098" s="574"/>
      <c r="EL1098" s="574"/>
      <c r="EM1098" s="574"/>
      <c r="EN1098" s="574"/>
      <c r="EO1098" s="574"/>
      <c r="EP1098" s="574"/>
      <c r="EQ1098" s="574"/>
      <c r="ER1098" s="574"/>
      <c r="ES1098" s="574"/>
      <c r="ET1098" s="574"/>
      <c r="EU1098" s="574"/>
    </row>
    <row r="1099">
      <c r="A1099" s="12"/>
      <c r="B1099" s="55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  <c r="Y1099" s="12"/>
      <c r="Z1099" s="12"/>
      <c r="AA1099" s="12"/>
      <c r="AB1099" s="12"/>
      <c r="AC1099" s="12"/>
      <c r="AD1099" s="12"/>
      <c r="AE1099" s="12"/>
      <c r="AF1099" s="12"/>
      <c r="AG1099" s="12"/>
      <c r="AH1099" s="12"/>
      <c r="AI1099" s="12"/>
      <c r="AJ1099" s="12"/>
      <c r="AK1099" s="12"/>
      <c r="AL1099" s="12"/>
      <c r="AM1099" s="12"/>
      <c r="AN1099" s="12"/>
      <c r="AO1099" s="12"/>
      <c r="AP1099" s="12"/>
      <c r="AQ1099" s="12"/>
      <c r="AR1099" s="12"/>
      <c r="AS1099" s="12"/>
      <c r="AT1099" s="12"/>
      <c r="AU1099" s="12"/>
      <c r="AV1099" s="12"/>
      <c r="AW1099" s="12"/>
      <c r="AX1099" s="12"/>
      <c r="AY1099" s="12"/>
      <c r="AZ1099" s="12"/>
      <c r="BA1099" s="12"/>
      <c r="BB1099" s="12"/>
      <c r="BC1099" s="12"/>
      <c r="BD1099" s="12"/>
      <c r="BE1099" s="12"/>
      <c r="BF1099" s="12"/>
      <c r="BG1099" s="12"/>
      <c r="BH1099" s="12"/>
      <c r="BI1099" s="12"/>
      <c r="BJ1099" s="12"/>
      <c r="BK1099" s="12"/>
      <c r="BL1099" s="12"/>
      <c r="BM1099" s="12"/>
      <c r="BN1099" s="12"/>
      <c r="BO1099" s="12"/>
      <c r="BP1099" s="12"/>
      <c r="BQ1099" s="12"/>
      <c r="BR1099" s="12"/>
      <c r="BS1099" s="12"/>
      <c r="BT1099" s="12"/>
      <c r="BU1099" s="12"/>
      <c r="BV1099" s="12"/>
      <c r="BW1099" s="12"/>
      <c r="BX1099" s="12"/>
      <c r="BY1099" s="12"/>
      <c r="BZ1099" s="12"/>
      <c r="CA1099" s="12"/>
      <c r="CB1099" s="12"/>
      <c r="CC1099" s="12"/>
      <c r="CD1099" s="12"/>
      <c r="CE1099" s="12"/>
      <c r="CF1099" s="12"/>
      <c r="CG1099" s="12"/>
      <c r="CH1099" s="12"/>
      <c r="CI1099" s="12"/>
      <c r="CJ1099" s="12"/>
      <c r="CK1099" s="12"/>
      <c r="CL1099" s="12"/>
      <c r="CM1099" s="12"/>
      <c r="CN1099" s="12"/>
      <c r="CO1099" s="12"/>
      <c r="CP1099" s="12"/>
      <c r="CQ1099" s="12"/>
      <c r="CR1099" s="12"/>
      <c r="CS1099" s="12"/>
      <c r="CT1099" s="12"/>
      <c r="CU1099" s="12"/>
      <c r="CV1099" s="12"/>
      <c r="CW1099" s="12"/>
      <c r="CX1099" s="12"/>
      <c r="CY1099" s="12"/>
      <c r="CZ1099" s="12"/>
      <c r="DA1099" s="12"/>
      <c r="DB1099" s="12"/>
      <c r="DC1099" s="12"/>
      <c r="DD1099" s="12"/>
      <c r="DE1099" s="12"/>
      <c r="DF1099" s="12"/>
      <c r="DG1099" s="12"/>
      <c r="DH1099" s="12"/>
      <c r="DI1099" s="12"/>
      <c r="DJ1099" s="12"/>
      <c r="DK1099" s="12"/>
      <c r="DL1099" s="12"/>
      <c r="DM1099" s="12"/>
      <c r="DN1099" s="12"/>
      <c r="DO1099" s="12"/>
      <c r="DP1099" s="12"/>
      <c r="DQ1099" s="12"/>
      <c r="DR1099" s="12"/>
      <c r="DS1099" s="12"/>
      <c r="DT1099" s="12"/>
      <c r="DU1099" s="12"/>
      <c r="DV1099" s="12"/>
      <c r="DW1099" s="12"/>
      <c r="DX1099" s="12"/>
      <c r="DY1099" s="12"/>
      <c r="DZ1099" s="12"/>
      <c r="EA1099" s="12"/>
      <c r="EB1099" s="12"/>
      <c r="EC1099" s="12"/>
      <c r="ED1099" s="12"/>
      <c r="EE1099" s="12"/>
      <c r="EF1099" s="12"/>
      <c r="EG1099" s="12"/>
      <c r="EH1099" s="12"/>
      <c r="EI1099" s="12"/>
      <c r="EJ1099" s="574"/>
      <c r="EK1099" s="574"/>
      <c r="EL1099" s="574"/>
      <c r="EM1099" s="574"/>
      <c r="EN1099" s="574"/>
      <c r="EO1099" s="574"/>
      <c r="EP1099" s="574"/>
      <c r="EQ1099" s="574"/>
      <c r="ER1099" s="574"/>
      <c r="ES1099" s="574"/>
      <c r="ET1099" s="574"/>
      <c r="EU1099" s="574"/>
    </row>
    <row r="1100">
      <c r="A1100" s="12"/>
      <c r="B1100" s="55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  <c r="AA1100" s="12"/>
      <c r="AB1100" s="12"/>
      <c r="AC1100" s="12"/>
      <c r="AD1100" s="12"/>
      <c r="AE1100" s="12"/>
      <c r="AF1100" s="12"/>
      <c r="AG1100" s="12"/>
      <c r="AH1100" s="12"/>
      <c r="AI1100" s="12"/>
      <c r="AJ1100" s="12"/>
      <c r="AK1100" s="12"/>
      <c r="AL1100" s="12"/>
      <c r="AM1100" s="12"/>
      <c r="AN1100" s="12"/>
      <c r="AO1100" s="12"/>
      <c r="AP1100" s="12"/>
      <c r="AQ1100" s="12"/>
      <c r="AR1100" s="12"/>
      <c r="AS1100" s="12"/>
      <c r="AT1100" s="12"/>
      <c r="AU1100" s="12"/>
      <c r="AV1100" s="12"/>
      <c r="AW1100" s="12"/>
      <c r="AX1100" s="12"/>
      <c r="AY1100" s="12"/>
      <c r="AZ1100" s="12"/>
      <c r="BA1100" s="12"/>
      <c r="BB1100" s="12"/>
      <c r="BC1100" s="12"/>
      <c r="BD1100" s="12"/>
      <c r="BE1100" s="12"/>
      <c r="BF1100" s="12"/>
      <c r="BG1100" s="12"/>
      <c r="BH1100" s="12"/>
      <c r="BI1100" s="12"/>
      <c r="BJ1100" s="12"/>
      <c r="BK1100" s="12"/>
      <c r="BL1100" s="12"/>
      <c r="BM1100" s="12"/>
      <c r="BN1100" s="12"/>
      <c r="BO1100" s="12"/>
      <c r="BP1100" s="12"/>
      <c r="BQ1100" s="12"/>
      <c r="BR1100" s="12"/>
      <c r="BS1100" s="12"/>
      <c r="BT1100" s="12"/>
      <c r="BU1100" s="12"/>
      <c r="BV1100" s="12"/>
      <c r="BW1100" s="12"/>
      <c r="BX1100" s="12"/>
      <c r="BY1100" s="12"/>
      <c r="BZ1100" s="12"/>
      <c r="CA1100" s="12"/>
      <c r="CB1100" s="12"/>
      <c r="CC1100" s="12"/>
      <c r="CD1100" s="12"/>
      <c r="CE1100" s="12"/>
      <c r="CF1100" s="12"/>
      <c r="CG1100" s="12"/>
      <c r="CH1100" s="12"/>
      <c r="CI1100" s="12"/>
      <c r="CJ1100" s="12"/>
      <c r="CK1100" s="12"/>
      <c r="CL1100" s="12"/>
      <c r="CM1100" s="12"/>
      <c r="CN1100" s="12"/>
      <c r="CO1100" s="12"/>
      <c r="CP1100" s="12"/>
      <c r="CQ1100" s="12"/>
      <c r="CR1100" s="12"/>
      <c r="CS1100" s="12"/>
      <c r="CT1100" s="12"/>
      <c r="CU1100" s="12"/>
      <c r="CV1100" s="12"/>
      <c r="CW1100" s="12"/>
      <c r="CX1100" s="12"/>
      <c r="CY1100" s="12"/>
      <c r="CZ1100" s="12"/>
      <c r="DA1100" s="12"/>
      <c r="DB1100" s="12"/>
      <c r="DC1100" s="12"/>
      <c r="DD1100" s="12"/>
      <c r="DE1100" s="12"/>
      <c r="DF1100" s="12"/>
      <c r="DG1100" s="12"/>
      <c r="DH1100" s="12"/>
      <c r="DI1100" s="12"/>
      <c r="DJ1100" s="12"/>
      <c r="DK1100" s="12"/>
      <c r="DL1100" s="12"/>
      <c r="DM1100" s="12"/>
      <c r="DN1100" s="12"/>
      <c r="DO1100" s="12"/>
      <c r="DP1100" s="12"/>
      <c r="DQ1100" s="12"/>
      <c r="DR1100" s="12"/>
      <c r="DS1100" s="12"/>
      <c r="DT1100" s="12"/>
      <c r="DU1100" s="12"/>
      <c r="DV1100" s="12"/>
      <c r="DW1100" s="12"/>
      <c r="DX1100" s="12"/>
      <c r="DY1100" s="12"/>
      <c r="DZ1100" s="12"/>
      <c r="EA1100" s="12"/>
      <c r="EB1100" s="12"/>
      <c r="EC1100" s="12"/>
      <c r="ED1100" s="12"/>
      <c r="EE1100" s="12"/>
      <c r="EF1100" s="12"/>
      <c r="EG1100" s="12"/>
      <c r="EH1100" s="12"/>
      <c r="EI1100" s="12"/>
      <c r="EJ1100" s="574"/>
      <c r="EK1100" s="574"/>
      <c r="EL1100" s="574"/>
      <c r="EM1100" s="574"/>
      <c r="EN1100" s="574"/>
      <c r="EO1100" s="574"/>
      <c r="EP1100" s="574"/>
      <c r="EQ1100" s="574"/>
      <c r="ER1100" s="574"/>
      <c r="ES1100" s="574"/>
      <c r="ET1100" s="574"/>
      <c r="EU1100" s="574"/>
    </row>
    <row r="1101">
      <c r="A1101" s="12"/>
      <c r="B1101" s="55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  <c r="Y1101" s="12"/>
      <c r="Z1101" s="12"/>
      <c r="AA1101" s="12"/>
      <c r="AB1101" s="12"/>
      <c r="AC1101" s="12"/>
      <c r="AD1101" s="12"/>
      <c r="AE1101" s="12"/>
      <c r="AF1101" s="12"/>
      <c r="AG1101" s="12"/>
      <c r="AH1101" s="12"/>
      <c r="AI1101" s="12"/>
      <c r="AJ1101" s="12"/>
      <c r="AK1101" s="12"/>
      <c r="AL1101" s="12"/>
      <c r="AM1101" s="12"/>
      <c r="AN1101" s="12"/>
      <c r="AO1101" s="12"/>
      <c r="AP1101" s="12"/>
      <c r="AQ1101" s="12"/>
      <c r="AR1101" s="12"/>
      <c r="AS1101" s="12"/>
      <c r="AT1101" s="12"/>
      <c r="AU1101" s="12"/>
      <c r="AV1101" s="12"/>
      <c r="AW1101" s="12"/>
      <c r="AX1101" s="12"/>
      <c r="AY1101" s="12"/>
      <c r="AZ1101" s="12"/>
      <c r="BA1101" s="12"/>
      <c r="BB1101" s="12"/>
      <c r="BC1101" s="12"/>
      <c r="BD1101" s="12"/>
      <c r="BE1101" s="12"/>
      <c r="BF1101" s="12"/>
      <c r="BG1101" s="12"/>
      <c r="BH1101" s="12"/>
      <c r="BI1101" s="12"/>
      <c r="BJ1101" s="12"/>
      <c r="BK1101" s="12"/>
      <c r="BL1101" s="12"/>
      <c r="BM1101" s="12"/>
      <c r="BN1101" s="12"/>
      <c r="BO1101" s="12"/>
      <c r="BP1101" s="12"/>
      <c r="BQ1101" s="12"/>
      <c r="BR1101" s="12"/>
      <c r="BS1101" s="12"/>
      <c r="BT1101" s="12"/>
      <c r="BU1101" s="12"/>
      <c r="BV1101" s="12"/>
      <c r="BW1101" s="12"/>
      <c r="BX1101" s="12"/>
      <c r="BY1101" s="12"/>
      <c r="BZ1101" s="12"/>
      <c r="CA1101" s="12"/>
      <c r="CB1101" s="12"/>
      <c r="CC1101" s="12"/>
      <c r="CD1101" s="12"/>
      <c r="CE1101" s="12"/>
      <c r="CF1101" s="12"/>
      <c r="CG1101" s="12"/>
      <c r="CH1101" s="12"/>
      <c r="CI1101" s="12"/>
      <c r="CJ1101" s="12"/>
      <c r="CK1101" s="12"/>
      <c r="CL1101" s="12"/>
      <c r="CM1101" s="12"/>
      <c r="CN1101" s="12"/>
      <c r="CO1101" s="12"/>
      <c r="CP1101" s="12"/>
      <c r="CQ1101" s="12"/>
      <c r="CR1101" s="12"/>
      <c r="CS1101" s="12"/>
      <c r="CT1101" s="12"/>
      <c r="CU1101" s="12"/>
      <c r="CV1101" s="12"/>
      <c r="CW1101" s="12"/>
      <c r="CX1101" s="12"/>
      <c r="CY1101" s="12"/>
      <c r="CZ1101" s="12"/>
      <c r="DA1101" s="12"/>
      <c r="DB1101" s="12"/>
      <c r="DC1101" s="12"/>
      <c r="DD1101" s="12"/>
      <c r="DE1101" s="12"/>
      <c r="DF1101" s="12"/>
      <c r="DG1101" s="12"/>
      <c r="DH1101" s="12"/>
      <c r="DI1101" s="12"/>
      <c r="DJ1101" s="12"/>
      <c r="DK1101" s="12"/>
      <c r="DL1101" s="12"/>
      <c r="DM1101" s="12"/>
      <c r="DN1101" s="12"/>
      <c r="DO1101" s="12"/>
      <c r="DP1101" s="12"/>
      <c r="DQ1101" s="12"/>
      <c r="DR1101" s="12"/>
      <c r="DS1101" s="12"/>
      <c r="DT1101" s="12"/>
      <c r="DU1101" s="12"/>
      <c r="DV1101" s="12"/>
      <c r="DW1101" s="12"/>
      <c r="DX1101" s="12"/>
      <c r="DY1101" s="12"/>
      <c r="DZ1101" s="12"/>
      <c r="EA1101" s="12"/>
      <c r="EB1101" s="12"/>
      <c r="EC1101" s="12"/>
      <c r="ED1101" s="12"/>
      <c r="EE1101" s="12"/>
      <c r="EF1101" s="12"/>
      <c r="EG1101" s="12"/>
      <c r="EH1101" s="12"/>
      <c r="EI1101" s="12"/>
      <c r="EJ1101" s="574"/>
      <c r="EK1101" s="574"/>
      <c r="EL1101" s="574"/>
      <c r="EM1101" s="574"/>
      <c r="EN1101" s="574"/>
      <c r="EO1101" s="574"/>
      <c r="EP1101" s="574"/>
      <c r="EQ1101" s="574"/>
      <c r="ER1101" s="574"/>
      <c r="ES1101" s="574"/>
      <c r="ET1101" s="574"/>
      <c r="EU1101" s="574"/>
    </row>
    <row r="1102">
      <c r="A1102" s="12"/>
      <c r="B1102" s="55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  <c r="Y1102" s="12"/>
      <c r="Z1102" s="12"/>
      <c r="AA1102" s="12"/>
      <c r="AB1102" s="12"/>
      <c r="AC1102" s="12"/>
      <c r="AD1102" s="12"/>
      <c r="AE1102" s="12"/>
      <c r="AF1102" s="12"/>
      <c r="AG1102" s="12"/>
      <c r="AH1102" s="12"/>
      <c r="AI1102" s="12"/>
      <c r="AJ1102" s="12"/>
      <c r="AK1102" s="12"/>
      <c r="AL1102" s="12"/>
      <c r="AM1102" s="12"/>
      <c r="AN1102" s="12"/>
      <c r="AO1102" s="12"/>
      <c r="AP1102" s="12"/>
      <c r="AQ1102" s="12"/>
      <c r="AR1102" s="12"/>
      <c r="AS1102" s="12"/>
      <c r="AT1102" s="12"/>
      <c r="AU1102" s="12"/>
      <c r="AV1102" s="12"/>
      <c r="AW1102" s="12"/>
      <c r="AX1102" s="12"/>
      <c r="AY1102" s="12"/>
      <c r="AZ1102" s="12"/>
      <c r="BA1102" s="12"/>
      <c r="BB1102" s="12"/>
      <c r="BC1102" s="12"/>
      <c r="BD1102" s="12"/>
      <c r="BE1102" s="12"/>
      <c r="BF1102" s="12"/>
      <c r="BG1102" s="12"/>
      <c r="BH1102" s="12"/>
      <c r="BI1102" s="12"/>
      <c r="BJ1102" s="12"/>
      <c r="BK1102" s="12"/>
      <c r="BL1102" s="12"/>
      <c r="BM1102" s="12"/>
      <c r="BN1102" s="12"/>
      <c r="BO1102" s="12"/>
      <c r="BP1102" s="12"/>
      <c r="BQ1102" s="12"/>
      <c r="BR1102" s="12"/>
      <c r="BS1102" s="12"/>
      <c r="BT1102" s="12"/>
      <c r="BU1102" s="12"/>
      <c r="BV1102" s="12"/>
      <c r="BW1102" s="12"/>
      <c r="BX1102" s="12"/>
      <c r="BY1102" s="12"/>
      <c r="BZ1102" s="12"/>
      <c r="CA1102" s="12"/>
      <c r="CB1102" s="12"/>
      <c r="CC1102" s="12"/>
      <c r="CD1102" s="12"/>
      <c r="CE1102" s="12"/>
      <c r="CF1102" s="12"/>
      <c r="CG1102" s="12"/>
      <c r="CH1102" s="12"/>
      <c r="CI1102" s="12"/>
      <c r="CJ1102" s="12"/>
      <c r="CK1102" s="12"/>
      <c r="CL1102" s="12"/>
      <c r="CM1102" s="12"/>
      <c r="CN1102" s="12"/>
      <c r="CO1102" s="12"/>
      <c r="CP1102" s="12"/>
      <c r="CQ1102" s="12"/>
      <c r="CR1102" s="12"/>
      <c r="CS1102" s="12"/>
      <c r="CT1102" s="12"/>
      <c r="CU1102" s="12"/>
      <c r="CV1102" s="12"/>
      <c r="CW1102" s="12"/>
      <c r="CX1102" s="12"/>
      <c r="CY1102" s="12"/>
      <c r="CZ1102" s="12"/>
      <c r="DA1102" s="12"/>
      <c r="DB1102" s="12"/>
      <c r="DC1102" s="12"/>
      <c r="DD1102" s="12"/>
      <c r="DE1102" s="12"/>
      <c r="DF1102" s="12"/>
      <c r="DG1102" s="12"/>
      <c r="DH1102" s="12"/>
      <c r="DI1102" s="12"/>
      <c r="DJ1102" s="12"/>
      <c r="DK1102" s="12"/>
      <c r="DL1102" s="12"/>
      <c r="DM1102" s="12"/>
      <c r="DN1102" s="12"/>
      <c r="DO1102" s="12"/>
      <c r="DP1102" s="12"/>
      <c r="DQ1102" s="12"/>
      <c r="DR1102" s="12"/>
      <c r="DS1102" s="12"/>
      <c r="DT1102" s="12"/>
      <c r="DU1102" s="12"/>
      <c r="DV1102" s="12"/>
      <c r="DW1102" s="12"/>
      <c r="DX1102" s="12"/>
      <c r="DY1102" s="12"/>
      <c r="DZ1102" s="12"/>
      <c r="EA1102" s="12"/>
      <c r="EB1102" s="12"/>
      <c r="EC1102" s="12"/>
      <c r="ED1102" s="12"/>
      <c r="EE1102" s="12"/>
      <c r="EF1102" s="12"/>
      <c r="EG1102" s="12"/>
      <c r="EH1102" s="12"/>
      <c r="EI1102" s="12"/>
      <c r="EJ1102" s="574"/>
      <c r="EK1102" s="574"/>
      <c r="EL1102" s="574"/>
      <c r="EM1102" s="574"/>
      <c r="EN1102" s="574"/>
      <c r="EO1102" s="574"/>
      <c r="EP1102" s="574"/>
      <c r="EQ1102" s="574"/>
      <c r="ER1102" s="574"/>
      <c r="ES1102" s="574"/>
      <c r="ET1102" s="574"/>
      <c r="EU1102" s="574"/>
    </row>
    <row r="1103">
      <c r="A1103" s="12"/>
      <c r="B1103" s="55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  <c r="Y1103" s="12"/>
      <c r="Z1103" s="12"/>
      <c r="AA1103" s="12"/>
      <c r="AB1103" s="12"/>
      <c r="AC1103" s="12"/>
      <c r="AD1103" s="12"/>
      <c r="AE1103" s="12"/>
      <c r="AF1103" s="12"/>
      <c r="AG1103" s="12"/>
      <c r="AH1103" s="12"/>
      <c r="AI1103" s="12"/>
      <c r="AJ1103" s="12"/>
      <c r="AK1103" s="12"/>
      <c r="AL1103" s="12"/>
      <c r="AM1103" s="12"/>
      <c r="AN1103" s="12"/>
      <c r="AO1103" s="12"/>
      <c r="AP1103" s="12"/>
      <c r="AQ1103" s="12"/>
      <c r="AR1103" s="12"/>
      <c r="AS1103" s="12"/>
      <c r="AT1103" s="12"/>
      <c r="AU1103" s="12"/>
      <c r="AV1103" s="12"/>
      <c r="AW1103" s="12"/>
      <c r="AX1103" s="12"/>
      <c r="AY1103" s="12"/>
      <c r="AZ1103" s="12"/>
      <c r="BA1103" s="12"/>
      <c r="BB1103" s="12"/>
      <c r="BC1103" s="12"/>
      <c r="BD1103" s="12"/>
      <c r="BE1103" s="12"/>
      <c r="BF1103" s="12"/>
      <c r="BG1103" s="12"/>
      <c r="BH1103" s="12"/>
      <c r="BI1103" s="12"/>
      <c r="BJ1103" s="12"/>
      <c r="BK1103" s="12"/>
      <c r="BL1103" s="12"/>
      <c r="BM1103" s="12"/>
      <c r="BN1103" s="12"/>
      <c r="BO1103" s="12"/>
      <c r="BP1103" s="12"/>
      <c r="BQ1103" s="12"/>
      <c r="BR1103" s="12"/>
      <c r="BS1103" s="12"/>
      <c r="BT1103" s="12"/>
      <c r="BU1103" s="12"/>
      <c r="BV1103" s="12"/>
      <c r="BW1103" s="12"/>
      <c r="BX1103" s="12"/>
      <c r="BY1103" s="12"/>
      <c r="BZ1103" s="12"/>
      <c r="CA1103" s="12"/>
      <c r="CB1103" s="12"/>
      <c r="CC1103" s="12"/>
      <c r="CD1103" s="12"/>
      <c r="CE1103" s="12"/>
      <c r="CF1103" s="12"/>
      <c r="CG1103" s="12"/>
      <c r="CH1103" s="12"/>
      <c r="CI1103" s="12"/>
      <c r="CJ1103" s="12"/>
      <c r="CK1103" s="12"/>
      <c r="CL1103" s="12"/>
      <c r="CM1103" s="12"/>
      <c r="CN1103" s="12"/>
      <c r="CO1103" s="12"/>
      <c r="CP1103" s="12"/>
      <c r="CQ1103" s="12"/>
      <c r="CR1103" s="12"/>
      <c r="CS1103" s="12"/>
      <c r="CT1103" s="12"/>
      <c r="CU1103" s="12"/>
      <c r="CV1103" s="12"/>
      <c r="CW1103" s="12"/>
      <c r="CX1103" s="12"/>
      <c r="CY1103" s="12"/>
      <c r="CZ1103" s="12"/>
      <c r="DA1103" s="12"/>
      <c r="DB1103" s="12"/>
      <c r="DC1103" s="12"/>
      <c r="DD1103" s="12"/>
      <c r="DE1103" s="12"/>
      <c r="DF1103" s="12"/>
      <c r="DG1103" s="12"/>
      <c r="DH1103" s="12"/>
      <c r="DI1103" s="12"/>
      <c r="DJ1103" s="12"/>
      <c r="DK1103" s="12"/>
      <c r="DL1103" s="12"/>
      <c r="DM1103" s="12"/>
      <c r="DN1103" s="12"/>
      <c r="DO1103" s="12"/>
      <c r="DP1103" s="12"/>
      <c r="DQ1103" s="12"/>
      <c r="DR1103" s="12"/>
      <c r="DS1103" s="12"/>
      <c r="DT1103" s="12"/>
      <c r="DU1103" s="12"/>
      <c r="DV1103" s="12"/>
      <c r="DW1103" s="12"/>
      <c r="DX1103" s="12"/>
      <c r="DY1103" s="12"/>
      <c r="DZ1103" s="12"/>
      <c r="EA1103" s="12"/>
      <c r="EB1103" s="12"/>
      <c r="EC1103" s="12"/>
      <c r="ED1103" s="12"/>
      <c r="EE1103" s="12"/>
      <c r="EF1103" s="12"/>
      <c r="EG1103" s="12"/>
      <c r="EH1103" s="12"/>
      <c r="EI1103" s="12"/>
      <c r="EJ1103" s="574"/>
      <c r="EK1103" s="574"/>
      <c r="EL1103" s="574"/>
      <c r="EM1103" s="574"/>
      <c r="EN1103" s="574"/>
      <c r="EO1103" s="574"/>
      <c r="EP1103" s="574"/>
      <c r="EQ1103" s="574"/>
      <c r="ER1103" s="574"/>
      <c r="ES1103" s="574"/>
      <c r="ET1103" s="574"/>
      <c r="EU1103" s="574"/>
    </row>
    <row r="1104">
      <c r="A1104" s="12"/>
      <c r="B1104" s="55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  <c r="Y1104" s="12"/>
      <c r="Z1104" s="12"/>
      <c r="AA1104" s="12"/>
      <c r="AB1104" s="12"/>
      <c r="AC1104" s="12"/>
      <c r="AD1104" s="12"/>
      <c r="AE1104" s="12"/>
      <c r="AF1104" s="12"/>
      <c r="AG1104" s="12"/>
      <c r="AH1104" s="12"/>
      <c r="AI1104" s="12"/>
      <c r="AJ1104" s="12"/>
      <c r="AK1104" s="12"/>
      <c r="AL1104" s="12"/>
      <c r="AM1104" s="12"/>
      <c r="AN1104" s="12"/>
      <c r="AO1104" s="12"/>
      <c r="AP1104" s="12"/>
      <c r="AQ1104" s="12"/>
      <c r="AR1104" s="12"/>
      <c r="AS1104" s="12"/>
      <c r="AT1104" s="12"/>
      <c r="AU1104" s="12"/>
      <c r="AV1104" s="12"/>
      <c r="AW1104" s="12"/>
      <c r="AX1104" s="12"/>
      <c r="AY1104" s="12"/>
      <c r="AZ1104" s="12"/>
      <c r="BA1104" s="12"/>
      <c r="BB1104" s="12"/>
      <c r="BC1104" s="12"/>
      <c r="BD1104" s="12"/>
      <c r="BE1104" s="12"/>
      <c r="BF1104" s="12"/>
      <c r="BG1104" s="12"/>
      <c r="BH1104" s="12"/>
      <c r="BI1104" s="12"/>
      <c r="BJ1104" s="12"/>
      <c r="BK1104" s="12"/>
      <c r="BL1104" s="12"/>
      <c r="BM1104" s="12"/>
      <c r="BN1104" s="12"/>
      <c r="BO1104" s="12"/>
      <c r="BP1104" s="12"/>
      <c r="BQ1104" s="12"/>
      <c r="BR1104" s="12"/>
      <c r="BS1104" s="12"/>
      <c r="BT1104" s="12"/>
      <c r="BU1104" s="12"/>
      <c r="BV1104" s="12"/>
      <c r="BW1104" s="12"/>
      <c r="BX1104" s="12"/>
      <c r="BY1104" s="12"/>
      <c r="BZ1104" s="12"/>
      <c r="CA1104" s="12"/>
      <c r="CB1104" s="12"/>
      <c r="CC1104" s="12"/>
      <c r="CD1104" s="12"/>
      <c r="CE1104" s="12"/>
      <c r="CF1104" s="12"/>
      <c r="CG1104" s="12"/>
      <c r="CH1104" s="12"/>
      <c r="CI1104" s="12"/>
      <c r="CJ1104" s="12"/>
      <c r="CK1104" s="12"/>
      <c r="CL1104" s="12"/>
      <c r="CM1104" s="12"/>
      <c r="CN1104" s="12"/>
      <c r="CO1104" s="12"/>
      <c r="CP1104" s="12"/>
      <c r="CQ1104" s="12"/>
      <c r="CR1104" s="12"/>
      <c r="CS1104" s="12"/>
      <c r="CT1104" s="12"/>
      <c r="CU1104" s="12"/>
      <c r="CV1104" s="12"/>
      <c r="CW1104" s="12"/>
      <c r="CX1104" s="12"/>
      <c r="CY1104" s="12"/>
      <c r="CZ1104" s="12"/>
      <c r="DA1104" s="12"/>
      <c r="DB1104" s="12"/>
      <c r="DC1104" s="12"/>
      <c r="DD1104" s="12"/>
      <c r="DE1104" s="12"/>
      <c r="DF1104" s="12"/>
      <c r="DG1104" s="12"/>
      <c r="DH1104" s="12"/>
      <c r="DI1104" s="12"/>
      <c r="DJ1104" s="12"/>
      <c r="DK1104" s="12"/>
      <c r="DL1104" s="12"/>
      <c r="DM1104" s="12"/>
      <c r="DN1104" s="12"/>
      <c r="DO1104" s="12"/>
      <c r="DP1104" s="12"/>
      <c r="DQ1104" s="12"/>
      <c r="DR1104" s="12"/>
      <c r="DS1104" s="12"/>
      <c r="DT1104" s="12"/>
      <c r="DU1104" s="12"/>
      <c r="DV1104" s="12"/>
      <c r="DW1104" s="12"/>
      <c r="DX1104" s="12"/>
      <c r="DY1104" s="12"/>
      <c r="DZ1104" s="12"/>
      <c r="EA1104" s="12"/>
      <c r="EB1104" s="12"/>
      <c r="EC1104" s="12"/>
      <c r="ED1104" s="12"/>
      <c r="EE1104" s="12"/>
      <c r="EF1104" s="12"/>
      <c r="EG1104" s="12"/>
      <c r="EH1104" s="12"/>
      <c r="EI1104" s="12"/>
      <c r="EJ1104" s="574"/>
      <c r="EK1104" s="574"/>
      <c r="EL1104" s="574"/>
      <c r="EM1104" s="574"/>
      <c r="EN1104" s="574"/>
      <c r="EO1104" s="574"/>
      <c r="EP1104" s="574"/>
      <c r="EQ1104" s="574"/>
      <c r="ER1104" s="574"/>
      <c r="ES1104" s="574"/>
      <c r="ET1104" s="574"/>
      <c r="EU1104" s="574"/>
    </row>
    <row r="1105">
      <c r="A1105" s="12"/>
      <c r="B1105" s="55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  <c r="AA1105" s="12"/>
      <c r="AB1105" s="12"/>
      <c r="AC1105" s="12"/>
      <c r="AD1105" s="12"/>
      <c r="AE1105" s="12"/>
      <c r="AF1105" s="12"/>
      <c r="AG1105" s="12"/>
      <c r="AH1105" s="12"/>
      <c r="AI1105" s="12"/>
      <c r="AJ1105" s="12"/>
      <c r="AK1105" s="12"/>
      <c r="AL1105" s="12"/>
      <c r="AM1105" s="12"/>
      <c r="AN1105" s="12"/>
      <c r="AO1105" s="12"/>
      <c r="AP1105" s="12"/>
      <c r="AQ1105" s="12"/>
      <c r="AR1105" s="12"/>
      <c r="AS1105" s="12"/>
      <c r="AT1105" s="12"/>
      <c r="AU1105" s="12"/>
      <c r="AV1105" s="12"/>
      <c r="AW1105" s="12"/>
      <c r="AX1105" s="12"/>
      <c r="AY1105" s="12"/>
      <c r="AZ1105" s="12"/>
      <c r="BA1105" s="12"/>
      <c r="BB1105" s="12"/>
      <c r="BC1105" s="12"/>
      <c r="BD1105" s="12"/>
      <c r="BE1105" s="12"/>
      <c r="BF1105" s="12"/>
      <c r="BG1105" s="12"/>
      <c r="BH1105" s="12"/>
      <c r="BI1105" s="12"/>
      <c r="BJ1105" s="12"/>
      <c r="BK1105" s="12"/>
      <c r="BL1105" s="12"/>
      <c r="BM1105" s="12"/>
      <c r="BN1105" s="12"/>
      <c r="BO1105" s="12"/>
      <c r="BP1105" s="12"/>
      <c r="BQ1105" s="12"/>
      <c r="BR1105" s="12"/>
      <c r="BS1105" s="12"/>
      <c r="BT1105" s="12"/>
      <c r="BU1105" s="12"/>
      <c r="BV1105" s="12"/>
      <c r="BW1105" s="12"/>
      <c r="BX1105" s="12"/>
      <c r="BY1105" s="12"/>
      <c r="BZ1105" s="12"/>
      <c r="CA1105" s="12"/>
      <c r="CB1105" s="12"/>
      <c r="CC1105" s="12"/>
      <c r="CD1105" s="12"/>
      <c r="CE1105" s="12"/>
      <c r="CF1105" s="12"/>
      <c r="CG1105" s="12"/>
      <c r="CH1105" s="12"/>
      <c r="CI1105" s="12"/>
      <c r="CJ1105" s="12"/>
      <c r="CK1105" s="12"/>
      <c r="CL1105" s="12"/>
      <c r="CM1105" s="12"/>
      <c r="CN1105" s="12"/>
      <c r="CO1105" s="12"/>
      <c r="CP1105" s="12"/>
      <c r="CQ1105" s="12"/>
      <c r="CR1105" s="12"/>
      <c r="CS1105" s="12"/>
      <c r="CT1105" s="12"/>
      <c r="CU1105" s="12"/>
      <c r="CV1105" s="12"/>
      <c r="CW1105" s="12"/>
      <c r="CX1105" s="12"/>
      <c r="CY1105" s="12"/>
      <c r="CZ1105" s="12"/>
      <c r="DA1105" s="12"/>
      <c r="DB1105" s="12"/>
      <c r="DC1105" s="12"/>
      <c r="DD1105" s="12"/>
      <c r="DE1105" s="12"/>
      <c r="DF1105" s="12"/>
      <c r="DG1105" s="12"/>
      <c r="DH1105" s="12"/>
      <c r="DI1105" s="12"/>
      <c r="DJ1105" s="12"/>
      <c r="DK1105" s="12"/>
      <c r="DL1105" s="12"/>
      <c r="DM1105" s="12"/>
      <c r="DN1105" s="12"/>
      <c r="DO1105" s="12"/>
      <c r="DP1105" s="12"/>
      <c r="DQ1105" s="12"/>
      <c r="DR1105" s="12"/>
      <c r="DS1105" s="12"/>
      <c r="DT1105" s="12"/>
      <c r="DU1105" s="12"/>
      <c r="DV1105" s="12"/>
      <c r="DW1105" s="12"/>
      <c r="DX1105" s="12"/>
      <c r="DY1105" s="12"/>
      <c r="DZ1105" s="12"/>
      <c r="EA1105" s="12"/>
      <c r="EB1105" s="12"/>
      <c r="EC1105" s="12"/>
      <c r="ED1105" s="12"/>
      <c r="EE1105" s="12"/>
      <c r="EF1105" s="12"/>
      <c r="EG1105" s="12"/>
      <c r="EH1105" s="12"/>
      <c r="EI1105" s="12"/>
      <c r="EJ1105" s="574"/>
      <c r="EK1105" s="574"/>
      <c r="EL1105" s="574"/>
      <c r="EM1105" s="574"/>
      <c r="EN1105" s="574"/>
      <c r="EO1105" s="574"/>
      <c r="EP1105" s="574"/>
      <c r="EQ1105" s="574"/>
      <c r="ER1105" s="574"/>
      <c r="ES1105" s="574"/>
      <c r="ET1105" s="574"/>
      <c r="EU1105" s="574"/>
    </row>
    <row r="1106">
      <c r="A1106" s="12"/>
      <c r="B1106" s="55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  <c r="Y1106" s="12"/>
      <c r="Z1106" s="12"/>
      <c r="AA1106" s="12"/>
      <c r="AB1106" s="12"/>
      <c r="AC1106" s="12"/>
      <c r="AD1106" s="12"/>
      <c r="AE1106" s="12"/>
      <c r="AF1106" s="12"/>
      <c r="AG1106" s="12"/>
      <c r="AH1106" s="12"/>
      <c r="AI1106" s="12"/>
      <c r="AJ1106" s="12"/>
      <c r="AK1106" s="12"/>
      <c r="AL1106" s="12"/>
      <c r="AM1106" s="12"/>
      <c r="AN1106" s="12"/>
      <c r="AO1106" s="12"/>
      <c r="AP1106" s="12"/>
      <c r="AQ1106" s="12"/>
      <c r="AR1106" s="12"/>
      <c r="AS1106" s="12"/>
      <c r="AT1106" s="12"/>
      <c r="AU1106" s="12"/>
      <c r="AV1106" s="12"/>
      <c r="AW1106" s="12"/>
      <c r="AX1106" s="12"/>
      <c r="AY1106" s="12"/>
      <c r="AZ1106" s="12"/>
      <c r="BA1106" s="12"/>
      <c r="BB1106" s="12"/>
      <c r="BC1106" s="12"/>
      <c r="BD1106" s="12"/>
      <c r="BE1106" s="12"/>
      <c r="BF1106" s="12"/>
      <c r="BG1106" s="12"/>
      <c r="BH1106" s="12"/>
      <c r="BI1106" s="12"/>
      <c r="BJ1106" s="12"/>
      <c r="BK1106" s="12"/>
      <c r="BL1106" s="12"/>
      <c r="BM1106" s="12"/>
      <c r="BN1106" s="12"/>
      <c r="BO1106" s="12"/>
      <c r="BP1106" s="12"/>
      <c r="BQ1106" s="12"/>
      <c r="BR1106" s="12"/>
      <c r="BS1106" s="12"/>
      <c r="BT1106" s="12"/>
      <c r="BU1106" s="12"/>
      <c r="BV1106" s="12"/>
      <c r="BW1106" s="12"/>
      <c r="BX1106" s="12"/>
      <c r="BY1106" s="12"/>
      <c r="BZ1106" s="12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574"/>
      <c r="EK1106" s="574"/>
      <c r="EL1106" s="574"/>
      <c r="EM1106" s="574"/>
      <c r="EN1106" s="574"/>
      <c r="EO1106" s="574"/>
      <c r="EP1106" s="574"/>
      <c r="EQ1106" s="574"/>
      <c r="ER1106" s="574"/>
      <c r="ES1106" s="574"/>
      <c r="ET1106" s="574"/>
      <c r="EU1106" s="574"/>
    </row>
    <row r="1107">
      <c r="A1107" s="12"/>
      <c r="B1107" s="55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  <c r="AA1107" s="12"/>
      <c r="AB1107" s="12"/>
      <c r="AC1107" s="12"/>
      <c r="AD1107" s="12"/>
      <c r="AE1107" s="12"/>
      <c r="AF1107" s="12"/>
      <c r="AG1107" s="12"/>
      <c r="AH1107" s="12"/>
      <c r="AI1107" s="12"/>
      <c r="AJ1107" s="12"/>
      <c r="AK1107" s="12"/>
      <c r="AL1107" s="12"/>
      <c r="AM1107" s="12"/>
      <c r="AN1107" s="12"/>
      <c r="AO1107" s="12"/>
      <c r="AP1107" s="12"/>
      <c r="AQ1107" s="12"/>
      <c r="AR1107" s="12"/>
      <c r="AS1107" s="12"/>
      <c r="AT1107" s="12"/>
      <c r="AU1107" s="12"/>
      <c r="AV1107" s="12"/>
      <c r="AW1107" s="12"/>
      <c r="AX1107" s="12"/>
      <c r="AY1107" s="12"/>
      <c r="AZ1107" s="12"/>
      <c r="BA1107" s="12"/>
      <c r="BB1107" s="12"/>
      <c r="BC1107" s="12"/>
      <c r="BD1107" s="12"/>
      <c r="BE1107" s="12"/>
      <c r="BF1107" s="12"/>
      <c r="BG1107" s="12"/>
      <c r="BH1107" s="12"/>
      <c r="BI1107" s="12"/>
      <c r="BJ1107" s="12"/>
      <c r="BK1107" s="12"/>
      <c r="BL1107" s="12"/>
      <c r="BM1107" s="12"/>
      <c r="BN1107" s="12"/>
      <c r="BO1107" s="12"/>
      <c r="BP1107" s="12"/>
      <c r="BQ1107" s="12"/>
      <c r="BR1107" s="12"/>
      <c r="BS1107" s="12"/>
      <c r="BT1107" s="12"/>
      <c r="BU1107" s="12"/>
      <c r="BV1107" s="12"/>
      <c r="BW1107" s="12"/>
      <c r="BX1107" s="12"/>
      <c r="BY1107" s="12"/>
      <c r="BZ1107" s="12"/>
      <c r="CA1107" s="12"/>
      <c r="CB1107" s="12"/>
      <c r="CC1107" s="12"/>
      <c r="CD1107" s="12"/>
      <c r="CE1107" s="12"/>
      <c r="CF1107" s="12"/>
      <c r="CG1107" s="12"/>
      <c r="CH1107" s="12"/>
      <c r="CI1107" s="12"/>
      <c r="CJ1107" s="12"/>
      <c r="CK1107" s="12"/>
      <c r="CL1107" s="12"/>
      <c r="CM1107" s="12"/>
      <c r="CN1107" s="12"/>
      <c r="CO1107" s="12"/>
      <c r="CP1107" s="12"/>
      <c r="CQ1107" s="12"/>
      <c r="CR1107" s="12"/>
      <c r="CS1107" s="12"/>
      <c r="CT1107" s="12"/>
      <c r="CU1107" s="12"/>
      <c r="CV1107" s="12"/>
      <c r="CW1107" s="12"/>
      <c r="CX1107" s="12"/>
      <c r="CY1107" s="12"/>
      <c r="CZ1107" s="12"/>
      <c r="DA1107" s="12"/>
      <c r="DB1107" s="12"/>
      <c r="DC1107" s="12"/>
      <c r="DD1107" s="12"/>
      <c r="DE1107" s="12"/>
      <c r="DF1107" s="12"/>
      <c r="DG1107" s="12"/>
      <c r="DH1107" s="12"/>
      <c r="DI1107" s="12"/>
      <c r="DJ1107" s="12"/>
      <c r="DK1107" s="12"/>
      <c r="DL1107" s="12"/>
      <c r="DM1107" s="12"/>
      <c r="DN1107" s="12"/>
      <c r="DO1107" s="12"/>
      <c r="DP1107" s="12"/>
      <c r="DQ1107" s="12"/>
      <c r="DR1107" s="12"/>
      <c r="DS1107" s="12"/>
      <c r="DT1107" s="12"/>
      <c r="DU1107" s="12"/>
      <c r="DV1107" s="12"/>
      <c r="DW1107" s="12"/>
      <c r="DX1107" s="12"/>
      <c r="DY1107" s="12"/>
      <c r="DZ1107" s="12"/>
      <c r="EA1107" s="12"/>
      <c r="EB1107" s="12"/>
      <c r="EC1107" s="12"/>
      <c r="ED1107" s="12"/>
      <c r="EE1107" s="12"/>
      <c r="EF1107" s="12"/>
      <c r="EG1107" s="12"/>
      <c r="EH1107" s="12"/>
      <c r="EI1107" s="12"/>
      <c r="EJ1107" s="574"/>
      <c r="EK1107" s="574"/>
      <c r="EL1107" s="574"/>
      <c r="EM1107" s="574"/>
      <c r="EN1107" s="574"/>
      <c r="EO1107" s="574"/>
      <c r="EP1107" s="574"/>
      <c r="EQ1107" s="574"/>
      <c r="ER1107" s="574"/>
      <c r="ES1107" s="574"/>
      <c r="ET1107" s="574"/>
      <c r="EU1107" s="574"/>
    </row>
    <row r="1108">
      <c r="A1108" s="12"/>
      <c r="B1108" s="55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  <c r="AA1108" s="12"/>
      <c r="AB1108" s="12"/>
      <c r="AC1108" s="12"/>
      <c r="AD1108" s="12"/>
      <c r="AE1108" s="12"/>
      <c r="AF1108" s="12"/>
      <c r="AG1108" s="12"/>
      <c r="AH1108" s="12"/>
      <c r="AI1108" s="12"/>
      <c r="AJ1108" s="12"/>
      <c r="AK1108" s="12"/>
      <c r="AL1108" s="12"/>
      <c r="AM1108" s="12"/>
      <c r="AN1108" s="12"/>
      <c r="AO1108" s="12"/>
      <c r="AP1108" s="12"/>
      <c r="AQ1108" s="12"/>
      <c r="AR1108" s="12"/>
      <c r="AS1108" s="12"/>
      <c r="AT1108" s="12"/>
      <c r="AU1108" s="12"/>
      <c r="AV1108" s="12"/>
      <c r="AW1108" s="12"/>
      <c r="AX1108" s="12"/>
      <c r="AY1108" s="12"/>
      <c r="AZ1108" s="12"/>
      <c r="BA1108" s="12"/>
      <c r="BB1108" s="12"/>
      <c r="BC1108" s="12"/>
      <c r="BD1108" s="12"/>
      <c r="BE1108" s="12"/>
      <c r="BF1108" s="12"/>
      <c r="BG1108" s="12"/>
      <c r="BH1108" s="12"/>
      <c r="BI1108" s="12"/>
      <c r="BJ1108" s="12"/>
      <c r="BK1108" s="12"/>
      <c r="BL1108" s="12"/>
      <c r="BM1108" s="12"/>
      <c r="BN1108" s="12"/>
      <c r="BO1108" s="12"/>
      <c r="BP1108" s="12"/>
      <c r="BQ1108" s="12"/>
      <c r="BR1108" s="12"/>
      <c r="BS1108" s="12"/>
      <c r="BT1108" s="12"/>
      <c r="BU1108" s="12"/>
      <c r="BV1108" s="12"/>
      <c r="BW1108" s="12"/>
      <c r="BX1108" s="12"/>
      <c r="BY1108" s="12"/>
      <c r="BZ1108" s="12"/>
      <c r="CA1108" s="12"/>
      <c r="CB1108" s="12"/>
      <c r="CC1108" s="12"/>
      <c r="CD1108" s="12"/>
      <c r="CE1108" s="12"/>
      <c r="CF1108" s="12"/>
      <c r="CG1108" s="12"/>
      <c r="CH1108" s="12"/>
      <c r="CI1108" s="12"/>
      <c r="CJ1108" s="12"/>
      <c r="CK1108" s="12"/>
      <c r="CL1108" s="12"/>
      <c r="CM1108" s="12"/>
      <c r="CN1108" s="12"/>
      <c r="CO1108" s="12"/>
      <c r="CP1108" s="12"/>
      <c r="CQ1108" s="12"/>
      <c r="CR1108" s="12"/>
      <c r="CS1108" s="12"/>
      <c r="CT1108" s="12"/>
      <c r="CU1108" s="12"/>
      <c r="CV1108" s="12"/>
      <c r="CW1108" s="12"/>
      <c r="CX1108" s="12"/>
      <c r="CY1108" s="12"/>
      <c r="CZ1108" s="12"/>
      <c r="DA1108" s="12"/>
      <c r="DB1108" s="12"/>
      <c r="DC1108" s="12"/>
      <c r="DD1108" s="12"/>
      <c r="DE1108" s="12"/>
      <c r="DF1108" s="12"/>
      <c r="DG1108" s="12"/>
      <c r="DH1108" s="12"/>
      <c r="DI1108" s="12"/>
      <c r="DJ1108" s="12"/>
      <c r="DK1108" s="12"/>
      <c r="DL1108" s="12"/>
      <c r="DM1108" s="12"/>
      <c r="DN1108" s="12"/>
      <c r="DO1108" s="12"/>
      <c r="DP1108" s="12"/>
      <c r="DQ1108" s="12"/>
      <c r="DR1108" s="12"/>
      <c r="DS1108" s="12"/>
      <c r="DT1108" s="12"/>
      <c r="DU1108" s="12"/>
      <c r="DV1108" s="12"/>
      <c r="DW1108" s="12"/>
      <c r="DX1108" s="12"/>
      <c r="DY1108" s="12"/>
      <c r="DZ1108" s="12"/>
      <c r="EA1108" s="12"/>
      <c r="EB1108" s="12"/>
      <c r="EC1108" s="12"/>
      <c r="ED1108" s="12"/>
      <c r="EE1108" s="12"/>
      <c r="EF1108" s="12"/>
      <c r="EG1108" s="12"/>
      <c r="EH1108" s="12"/>
      <c r="EI1108" s="12"/>
      <c r="EJ1108" s="574"/>
      <c r="EK1108" s="574"/>
      <c r="EL1108" s="574"/>
      <c r="EM1108" s="574"/>
      <c r="EN1108" s="574"/>
      <c r="EO1108" s="574"/>
      <c r="EP1108" s="574"/>
      <c r="EQ1108" s="574"/>
      <c r="ER1108" s="574"/>
      <c r="ES1108" s="574"/>
      <c r="ET1108" s="574"/>
      <c r="EU1108" s="574"/>
    </row>
    <row r="1109">
      <c r="A1109" s="12"/>
      <c r="B1109" s="55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  <c r="Z1109" s="12"/>
      <c r="AA1109" s="12"/>
      <c r="AB1109" s="12"/>
      <c r="AC1109" s="12"/>
      <c r="AD1109" s="12"/>
      <c r="AE1109" s="12"/>
      <c r="AF1109" s="12"/>
      <c r="AG1109" s="12"/>
      <c r="AH1109" s="12"/>
      <c r="AI1109" s="12"/>
      <c r="AJ1109" s="12"/>
      <c r="AK1109" s="12"/>
      <c r="AL1109" s="12"/>
      <c r="AM1109" s="12"/>
      <c r="AN1109" s="12"/>
      <c r="AO1109" s="12"/>
      <c r="AP1109" s="12"/>
      <c r="AQ1109" s="12"/>
      <c r="AR1109" s="12"/>
      <c r="AS1109" s="12"/>
      <c r="AT1109" s="12"/>
      <c r="AU1109" s="12"/>
      <c r="AV1109" s="12"/>
      <c r="AW1109" s="12"/>
      <c r="AX1109" s="12"/>
      <c r="AY1109" s="12"/>
      <c r="AZ1109" s="12"/>
      <c r="BA1109" s="12"/>
      <c r="BB1109" s="12"/>
      <c r="BC1109" s="12"/>
      <c r="BD1109" s="12"/>
      <c r="BE1109" s="12"/>
      <c r="BF1109" s="12"/>
      <c r="BG1109" s="12"/>
      <c r="BH1109" s="12"/>
      <c r="BI1109" s="12"/>
      <c r="BJ1109" s="12"/>
      <c r="BK1109" s="12"/>
      <c r="BL1109" s="12"/>
      <c r="BM1109" s="12"/>
      <c r="BN1109" s="12"/>
      <c r="BO1109" s="12"/>
      <c r="BP1109" s="12"/>
      <c r="BQ1109" s="12"/>
      <c r="BR1109" s="12"/>
      <c r="BS1109" s="12"/>
      <c r="BT1109" s="12"/>
      <c r="BU1109" s="12"/>
      <c r="BV1109" s="12"/>
      <c r="BW1109" s="12"/>
      <c r="BX1109" s="12"/>
      <c r="BY1109" s="12"/>
      <c r="BZ1109" s="12"/>
      <c r="CA1109" s="12"/>
      <c r="CB1109" s="12"/>
      <c r="CC1109" s="12"/>
      <c r="CD1109" s="12"/>
      <c r="CE1109" s="12"/>
      <c r="CF1109" s="12"/>
      <c r="CG1109" s="12"/>
      <c r="CH1109" s="12"/>
      <c r="CI1109" s="12"/>
      <c r="CJ1109" s="12"/>
      <c r="CK1109" s="12"/>
      <c r="CL1109" s="12"/>
      <c r="CM1109" s="12"/>
      <c r="CN1109" s="12"/>
      <c r="CO1109" s="12"/>
      <c r="CP1109" s="12"/>
      <c r="CQ1109" s="12"/>
      <c r="CR1109" s="12"/>
      <c r="CS1109" s="12"/>
      <c r="CT1109" s="12"/>
      <c r="CU1109" s="12"/>
      <c r="CV1109" s="12"/>
      <c r="CW1109" s="12"/>
      <c r="CX1109" s="12"/>
      <c r="CY1109" s="12"/>
      <c r="CZ1109" s="12"/>
      <c r="DA1109" s="12"/>
      <c r="DB1109" s="12"/>
      <c r="DC1109" s="12"/>
      <c r="DD1109" s="12"/>
      <c r="DE1109" s="12"/>
      <c r="DF1109" s="12"/>
      <c r="DG1109" s="12"/>
      <c r="DH1109" s="12"/>
      <c r="DI1109" s="12"/>
      <c r="DJ1109" s="12"/>
      <c r="DK1109" s="12"/>
      <c r="DL1109" s="12"/>
      <c r="DM1109" s="12"/>
      <c r="DN1109" s="12"/>
      <c r="DO1109" s="12"/>
      <c r="DP1109" s="12"/>
      <c r="DQ1109" s="12"/>
      <c r="DR1109" s="12"/>
      <c r="DS1109" s="12"/>
      <c r="DT1109" s="12"/>
      <c r="DU1109" s="12"/>
      <c r="DV1109" s="12"/>
      <c r="DW1109" s="12"/>
      <c r="DX1109" s="12"/>
      <c r="DY1109" s="12"/>
      <c r="DZ1109" s="12"/>
      <c r="EA1109" s="12"/>
      <c r="EB1109" s="12"/>
      <c r="EC1109" s="12"/>
      <c r="ED1109" s="12"/>
      <c r="EE1109" s="12"/>
      <c r="EF1109" s="12"/>
      <c r="EG1109" s="12"/>
      <c r="EH1109" s="12"/>
      <c r="EI1109" s="12"/>
      <c r="EJ1109" s="574"/>
      <c r="EK1109" s="574"/>
      <c r="EL1109" s="574"/>
      <c r="EM1109" s="574"/>
      <c r="EN1109" s="574"/>
      <c r="EO1109" s="574"/>
      <c r="EP1109" s="574"/>
      <c r="EQ1109" s="574"/>
      <c r="ER1109" s="574"/>
      <c r="ES1109" s="574"/>
      <c r="ET1109" s="574"/>
      <c r="EU1109" s="574"/>
    </row>
    <row r="1110">
      <c r="A1110" s="12"/>
      <c r="B1110" s="55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  <c r="AA1110" s="12"/>
      <c r="AB1110" s="12"/>
      <c r="AC1110" s="12"/>
      <c r="AD1110" s="12"/>
      <c r="AE1110" s="12"/>
      <c r="AF1110" s="12"/>
      <c r="AG1110" s="12"/>
      <c r="AH1110" s="12"/>
      <c r="AI1110" s="12"/>
      <c r="AJ1110" s="12"/>
      <c r="AK1110" s="12"/>
      <c r="AL1110" s="12"/>
      <c r="AM1110" s="12"/>
      <c r="AN1110" s="12"/>
      <c r="AO1110" s="12"/>
      <c r="AP1110" s="12"/>
      <c r="AQ1110" s="12"/>
      <c r="AR1110" s="12"/>
      <c r="AS1110" s="12"/>
      <c r="AT1110" s="12"/>
      <c r="AU1110" s="12"/>
      <c r="AV1110" s="12"/>
      <c r="AW1110" s="12"/>
      <c r="AX1110" s="12"/>
      <c r="AY1110" s="12"/>
      <c r="AZ1110" s="12"/>
      <c r="BA1110" s="12"/>
      <c r="BB1110" s="12"/>
      <c r="BC1110" s="12"/>
      <c r="BD1110" s="12"/>
      <c r="BE1110" s="12"/>
      <c r="BF1110" s="12"/>
      <c r="BG1110" s="12"/>
      <c r="BH1110" s="12"/>
      <c r="BI1110" s="12"/>
      <c r="BJ1110" s="12"/>
      <c r="BK1110" s="12"/>
      <c r="BL1110" s="12"/>
      <c r="BM1110" s="12"/>
      <c r="BN1110" s="12"/>
      <c r="BO1110" s="12"/>
      <c r="BP1110" s="12"/>
      <c r="BQ1110" s="12"/>
      <c r="BR1110" s="12"/>
      <c r="BS1110" s="12"/>
      <c r="BT1110" s="12"/>
      <c r="BU1110" s="12"/>
      <c r="BV1110" s="12"/>
      <c r="BW1110" s="12"/>
      <c r="BX1110" s="12"/>
      <c r="BY1110" s="12"/>
      <c r="BZ1110" s="12"/>
      <c r="CA1110" s="12"/>
      <c r="CB1110" s="12"/>
      <c r="CC1110" s="12"/>
      <c r="CD1110" s="12"/>
      <c r="CE1110" s="12"/>
      <c r="CF1110" s="12"/>
      <c r="CG1110" s="12"/>
      <c r="CH1110" s="12"/>
      <c r="CI1110" s="12"/>
      <c r="CJ1110" s="12"/>
      <c r="CK1110" s="12"/>
      <c r="CL1110" s="12"/>
      <c r="CM1110" s="12"/>
      <c r="CN1110" s="12"/>
      <c r="CO1110" s="12"/>
      <c r="CP1110" s="12"/>
      <c r="CQ1110" s="12"/>
      <c r="CR1110" s="12"/>
      <c r="CS1110" s="12"/>
      <c r="CT1110" s="12"/>
      <c r="CU1110" s="12"/>
      <c r="CV1110" s="12"/>
      <c r="CW1110" s="12"/>
      <c r="CX1110" s="12"/>
      <c r="CY1110" s="12"/>
      <c r="CZ1110" s="12"/>
      <c r="DA1110" s="12"/>
      <c r="DB1110" s="12"/>
      <c r="DC1110" s="12"/>
      <c r="DD1110" s="12"/>
      <c r="DE1110" s="12"/>
      <c r="DF1110" s="12"/>
      <c r="DG1110" s="12"/>
      <c r="DH1110" s="12"/>
      <c r="DI1110" s="12"/>
      <c r="DJ1110" s="12"/>
      <c r="DK1110" s="12"/>
      <c r="DL1110" s="12"/>
      <c r="DM1110" s="12"/>
      <c r="DN1110" s="12"/>
      <c r="DO1110" s="12"/>
      <c r="DP1110" s="12"/>
      <c r="DQ1110" s="12"/>
      <c r="DR1110" s="12"/>
      <c r="DS1110" s="12"/>
      <c r="DT1110" s="12"/>
      <c r="DU1110" s="12"/>
      <c r="DV1110" s="12"/>
      <c r="DW1110" s="12"/>
      <c r="DX1110" s="12"/>
      <c r="DY1110" s="12"/>
      <c r="DZ1110" s="12"/>
      <c r="EA1110" s="12"/>
      <c r="EB1110" s="12"/>
      <c r="EC1110" s="12"/>
      <c r="ED1110" s="12"/>
      <c r="EE1110" s="12"/>
      <c r="EF1110" s="12"/>
      <c r="EG1110" s="12"/>
      <c r="EH1110" s="12"/>
      <c r="EI1110" s="12"/>
      <c r="EJ1110" s="574"/>
      <c r="EK1110" s="574"/>
      <c r="EL1110" s="574"/>
      <c r="EM1110" s="574"/>
      <c r="EN1110" s="574"/>
      <c r="EO1110" s="574"/>
      <c r="EP1110" s="574"/>
      <c r="EQ1110" s="574"/>
      <c r="ER1110" s="574"/>
      <c r="ES1110" s="574"/>
      <c r="ET1110" s="574"/>
      <c r="EU1110" s="574"/>
    </row>
    <row r="1111">
      <c r="A1111" s="12"/>
      <c r="B1111" s="55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  <c r="Z1111" s="12"/>
      <c r="AA1111" s="12"/>
      <c r="AB1111" s="12"/>
      <c r="AC1111" s="12"/>
      <c r="AD1111" s="12"/>
      <c r="AE1111" s="12"/>
      <c r="AF1111" s="12"/>
      <c r="AG1111" s="12"/>
      <c r="AH1111" s="12"/>
      <c r="AI1111" s="12"/>
      <c r="AJ1111" s="12"/>
      <c r="AK1111" s="12"/>
      <c r="AL1111" s="12"/>
      <c r="AM1111" s="12"/>
      <c r="AN1111" s="12"/>
      <c r="AO1111" s="12"/>
      <c r="AP1111" s="12"/>
      <c r="AQ1111" s="12"/>
      <c r="AR1111" s="12"/>
      <c r="AS1111" s="12"/>
      <c r="AT1111" s="12"/>
      <c r="AU1111" s="12"/>
      <c r="AV1111" s="12"/>
      <c r="AW1111" s="12"/>
      <c r="AX1111" s="12"/>
      <c r="AY1111" s="12"/>
      <c r="AZ1111" s="12"/>
      <c r="BA1111" s="12"/>
      <c r="BB1111" s="12"/>
      <c r="BC1111" s="12"/>
      <c r="BD1111" s="12"/>
      <c r="BE1111" s="12"/>
      <c r="BF1111" s="12"/>
      <c r="BG1111" s="12"/>
      <c r="BH1111" s="12"/>
      <c r="BI1111" s="12"/>
      <c r="BJ1111" s="12"/>
      <c r="BK1111" s="12"/>
      <c r="BL1111" s="12"/>
      <c r="BM1111" s="12"/>
      <c r="BN1111" s="12"/>
      <c r="BO1111" s="12"/>
      <c r="BP1111" s="12"/>
      <c r="BQ1111" s="12"/>
      <c r="BR1111" s="12"/>
      <c r="BS1111" s="12"/>
      <c r="BT1111" s="12"/>
      <c r="BU1111" s="12"/>
      <c r="BV1111" s="12"/>
      <c r="BW1111" s="12"/>
      <c r="BX1111" s="12"/>
      <c r="BY1111" s="12"/>
      <c r="BZ1111" s="12"/>
      <c r="CA1111" s="12"/>
      <c r="CB1111" s="12"/>
      <c r="CC1111" s="12"/>
      <c r="CD1111" s="12"/>
      <c r="CE1111" s="12"/>
      <c r="CF1111" s="12"/>
      <c r="CG1111" s="12"/>
      <c r="CH1111" s="12"/>
      <c r="CI1111" s="12"/>
      <c r="CJ1111" s="12"/>
      <c r="CK1111" s="12"/>
      <c r="CL1111" s="12"/>
      <c r="CM1111" s="12"/>
      <c r="CN1111" s="12"/>
      <c r="CO1111" s="12"/>
      <c r="CP1111" s="12"/>
      <c r="CQ1111" s="12"/>
      <c r="CR1111" s="12"/>
      <c r="CS1111" s="12"/>
      <c r="CT1111" s="12"/>
      <c r="CU1111" s="12"/>
      <c r="CV1111" s="12"/>
      <c r="CW1111" s="12"/>
      <c r="CX1111" s="12"/>
      <c r="CY1111" s="12"/>
      <c r="CZ1111" s="12"/>
      <c r="DA1111" s="12"/>
      <c r="DB1111" s="12"/>
      <c r="DC1111" s="12"/>
      <c r="DD1111" s="12"/>
      <c r="DE1111" s="12"/>
      <c r="DF1111" s="12"/>
      <c r="DG1111" s="12"/>
      <c r="DH1111" s="12"/>
      <c r="DI1111" s="12"/>
      <c r="DJ1111" s="12"/>
      <c r="DK1111" s="12"/>
      <c r="DL1111" s="12"/>
      <c r="DM1111" s="12"/>
      <c r="DN1111" s="12"/>
      <c r="DO1111" s="12"/>
      <c r="DP1111" s="12"/>
      <c r="DQ1111" s="12"/>
      <c r="DR1111" s="12"/>
      <c r="DS1111" s="12"/>
      <c r="DT1111" s="12"/>
      <c r="DU1111" s="12"/>
      <c r="DV1111" s="12"/>
      <c r="DW1111" s="12"/>
      <c r="DX1111" s="12"/>
      <c r="DY1111" s="12"/>
      <c r="DZ1111" s="12"/>
      <c r="EA1111" s="12"/>
      <c r="EB1111" s="12"/>
      <c r="EC1111" s="12"/>
      <c r="ED1111" s="12"/>
      <c r="EE1111" s="12"/>
      <c r="EF1111" s="12"/>
      <c r="EG1111" s="12"/>
      <c r="EH1111" s="12"/>
      <c r="EI1111" s="12"/>
      <c r="EJ1111" s="574"/>
      <c r="EK1111" s="574"/>
      <c r="EL1111" s="574"/>
      <c r="EM1111" s="574"/>
      <c r="EN1111" s="574"/>
      <c r="EO1111" s="574"/>
      <c r="EP1111" s="574"/>
      <c r="EQ1111" s="574"/>
      <c r="ER1111" s="574"/>
      <c r="ES1111" s="574"/>
      <c r="ET1111" s="574"/>
      <c r="EU1111" s="574"/>
    </row>
    <row r="1112">
      <c r="A1112" s="12"/>
      <c r="B1112" s="55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  <c r="Y1112" s="12"/>
      <c r="Z1112" s="12"/>
      <c r="AA1112" s="12"/>
      <c r="AB1112" s="12"/>
      <c r="AC1112" s="12"/>
      <c r="AD1112" s="12"/>
      <c r="AE1112" s="12"/>
      <c r="AF1112" s="12"/>
      <c r="AG1112" s="12"/>
      <c r="AH1112" s="12"/>
      <c r="AI1112" s="12"/>
      <c r="AJ1112" s="12"/>
      <c r="AK1112" s="12"/>
      <c r="AL1112" s="12"/>
      <c r="AM1112" s="12"/>
      <c r="AN1112" s="12"/>
      <c r="AO1112" s="12"/>
      <c r="AP1112" s="12"/>
      <c r="AQ1112" s="12"/>
      <c r="AR1112" s="12"/>
      <c r="AS1112" s="12"/>
      <c r="AT1112" s="12"/>
      <c r="AU1112" s="12"/>
      <c r="AV1112" s="12"/>
      <c r="AW1112" s="12"/>
      <c r="AX1112" s="12"/>
      <c r="AY1112" s="12"/>
      <c r="AZ1112" s="12"/>
      <c r="BA1112" s="12"/>
      <c r="BB1112" s="12"/>
      <c r="BC1112" s="12"/>
      <c r="BD1112" s="12"/>
      <c r="BE1112" s="12"/>
      <c r="BF1112" s="12"/>
      <c r="BG1112" s="12"/>
      <c r="BH1112" s="12"/>
      <c r="BI1112" s="12"/>
      <c r="BJ1112" s="12"/>
      <c r="BK1112" s="12"/>
      <c r="BL1112" s="12"/>
      <c r="BM1112" s="12"/>
      <c r="BN1112" s="12"/>
      <c r="BO1112" s="12"/>
      <c r="BP1112" s="12"/>
      <c r="BQ1112" s="12"/>
      <c r="BR1112" s="12"/>
      <c r="BS1112" s="12"/>
      <c r="BT1112" s="12"/>
      <c r="BU1112" s="12"/>
      <c r="BV1112" s="12"/>
      <c r="BW1112" s="12"/>
      <c r="BX1112" s="12"/>
      <c r="BY1112" s="12"/>
      <c r="BZ1112" s="12"/>
      <c r="CA1112" s="12"/>
      <c r="CB1112" s="12"/>
      <c r="CC1112" s="12"/>
      <c r="CD1112" s="12"/>
      <c r="CE1112" s="12"/>
      <c r="CF1112" s="12"/>
      <c r="CG1112" s="12"/>
      <c r="CH1112" s="12"/>
      <c r="CI1112" s="12"/>
      <c r="CJ1112" s="12"/>
      <c r="CK1112" s="12"/>
      <c r="CL1112" s="12"/>
      <c r="CM1112" s="12"/>
      <c r="CN1112" s="12"/>
      <c r="CO1112" s="12"/>
      <c r="CP1112" s="12"/>
      <c r="CQ1112" s="12"/>
      <c r="CR1112" s="12"/>
      <c r="CS1112" s="12"/>
      <c r="CT1112" s="12"/>
      <c r="CU1112" s="12"/>
      <c r="CV1112" s="12"/>
      <c r="CW1112" s="12"/>
      <c r="CX1112" s="12"/>
      <c r="CY1112" s="12"/>
      <c r="CZ1112" s="12"/>
      <c r="DA1112" s="12"/>
      <c r="DB1112" s="12"/>
      <c r="DC1112" s="12"/>
      <c r="DD1112" s="12"/>
      <c r="DE1112" s="12"/>
      <c r="DF1112" s="12"/>
      <c r="DG1112" s="12"/>
      <c r="DH1112" s="12"/>
      <c r="DI1112" s="12"/>
      <c r="DJ1112" s="12"/>
      <c r="DK1112" s="12"/>
      <c r="DL1112" s="12"/>
      <c r="DM1112" s="12"/>
      <c r="DN1112" s="12"/>
      <c r="DO1112" s="12"/>
      <c r="DP1112" s="12"/>
      <c r="DQ1112" s="12"/>
      <c r="DR1112" s="12"/>
      <c r="DS1112" s="12"/>
      <c r="DT1112" s="12"/>
      <c r="DU1112" s="12"/>
      <c r="DV1112" s="12"/>
      <c r="DW1112" s="12"/>
      <c r="DX1112" s="12"/>
      <c r="DY1112" s="12"/>
      <c r="DZ1112" s="12"/>
      <c r="EA1112" s="12"/>
      <c r="EB1112" s="12"/>
      <c r="EC1112" s="12"/>
      <c r="ED1112" s="12"/>
      <c r="EE1112" s="12"/>
      <c r="EF1112" s="12"/>
      <c r="EG1112" s="12"/>
      <c r="EH1112" s="12"/>
      <c r="EI1112" s="12"/>
      <c r="EJ1112" s="574"/>
      <c r="EK1112" s="574"/>
      <c r="EL1112" s="574"/>
      <c r="EM1112" s="574"/>
      <c r="EN1112" s="574"/>
      <c r="EO1112" s="574"/>
      <c r="EP1112" s="574"/>
      <c r="EQ1112" s="574"/>
      <c r="ER1112" s="574"/>
      <c r="ES1112" s="574"/>
      <c r="ET1112" s="574"/>
      <c r="EU1112" s="574"/>
    </row>
    <row r="1113">
      <c r="A1113" s="12"/>
      <c r="B1113" s="55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  <c r="AA1113" s="12"/>
      <c r="AB1113" s="12"/>
      <c r="AC1113" s="12"/>
      <c r="AD1113" s="12"/>
      <c r="AE1113" s="12"/>
      <c r="AF1113" s="12"/>
      <c r="AG1113" s="12"/>
      <c r="AH1113" s="12"/>
      <c r="AI1113" s="12"/>
      <c r="AJ1113" s="12"/>
      <c r="AK1113" s="12"/>
      <c r="AL1113" s="12"/>
      <c r="AM1113" s="12"/>
      <c r="AN1113" s="12"/>
      <c r="AO1113" s="12"/>
      <c r="AP1113" s="12"/>
      <c r="AQ1113" s="12"/>
      <c r="AR1113" s="12"/>
      <c r="AS1113" s="12"/>
      <c r="AT1113" s="12"/>
      <c r="AU1113" s="12"/>
      <c r="AV1113" s="12"/>
      <c r="AW1113" s="12"/>
      <c r="AX1113" s="12"/>
      <c r="AY1113" s="12"/>
      <c r="AZ1113" s="12"/>
      <c r="BA1113" s="12"/>
      <c r="BB1113" s="12"/>
      <c r="BC1113" s="12"/>
      <c r="BD1113" s="12"/>
      <c r="BE1113" s="12"/>
      <c r="BF1113" s="12"/>
      <c r="BG1113" s="12"/>
      <c r="BH1113" s="12"/>
      <c r="BI1113" s="12"/>
      <c r="BJ1113" s="12"/>
      <c r="BK1113" s="12"/>
      <c r="BL1113" s="12"/>
      <c r="BM1113" s="12"/>
      <c r="BN1113" s="12"/>
      <c r="BO1113" s="12"/>
      <c r="BP1113" s="12"/>
      <c r="BQ1113" s="12"/>
      <c r="BR1113" s="12"/>
      <c r="BS1113" s="12"/>
      <c r="BT1113" s="12"/>
      <c r="BU1113" s="12"/>
      <c r="BV1113" s="12"/>
      <c r="BW1113" s="12"/>
      <c r="BX1113" s="12"/>
      <c r="BY1113" s="12"/>
      <c r="BZ1113" s="12"/>
      <c r="CA1113" s="12"/>
      <c r="CB1113" s="12"/>
      <c r="CC1113" s="12"/>
      <c r="CD1113" s="12"/>
      <c r="CE1113" s="12"/>
      <c r="CF1113" s="12"/>
      <c r="CG1113" s="12"/>
      <c r="CH1113" s="12"/>
      <c r="CI1113" s="12"/>
      <c r="CJ1113" s="12"/>
      <c r="CK1113" s="12"/>
      <c r="CL1113" s="12"/>
      <c r="CM1113" s="12"/>
      <c r="CN1113" s="12"/>
      <c r="CO1113" s="12"/>
      <c r="CP1113" s="12"/>
      <c r="CQ1113" s="12"/>
      <c r="CR1113" s="12"/>
      <c r="CS1113" s="12"/>
      <c r="CT1113" s="12"/>
      <c r="CU1113" s="12"/>
      <c r="CV1113" s="12"/>
      <c r="CW1113" s="12"/>
      <c r="CX1113" s="12"/>
      <c r="CY1113" s="12"/>
      <c r="CZ1113" s="12"/>
      <c r="DA1113" s="12"/>
      <c r="DB1113" s="12"/>
      <c r="DC1113" s="12"/>
      <c r="DD1113" s="12"/>
      <c r="DE1113" s="12"/>
      <c r="DF1113" s="12"/>
      <c r="DG1113" s="12"/>
      <c r="DH1113" s="12"/>
      <c r="DI1113" s="12"/>
      <c r="DJ1113" s="12"/>
      <c r="DK1113" s="12"/>
      <c r="DL1113" s="12"/>
      <c r="DM1113" s="12"/>
      <c r="DN1113" s="12"/>
      <c r="DO1113" s="12"/>
      <c r="DP1113" s="12"/>
      <c r="DQ1113" s="12"/>
      <c r="DR1113" s="12"/>
      <c r="DS1113" s="12"/>
      <c r="DT1113" s="12"/>
      <c r="DU1113" s="12"/>
      <c r="DV1113" s="12"/>
      <c r="DW1113" s="12"/>
      <c r="DX1113" s="12"/>
      <c r="DY1113" s="12"/>
      <c r="DZ1113" s="12"/>
      <c r="EA1113" s="12"/>
      <c r="EB1113" s="12"/>
      <c r="EC1113" s="12"/>
      <c r="ED1113" s="12"/>
      <c r="EE1113" s="12"/>
      <c r="EF1113" s="12"/>
      <c r="EG1113" s="12"/>
      <c r="EH1113" s="12"/>
      <c r="EI1113" s="12"/>
      <c r="EJ1113" s="574"/>
      <c r="EK1113" s="574"/>
      <c r="EL1113" s="574"/>
      <c r="EM1113" s="574"/>
      <c r="EN1113" s="574"/>
      <c r="EO1113" s="574"/>
      <c r="EP1113" s="574"/>
      <c r="EQ1113" s="574"/>
      <c r="ER1113" s="574"/>
      <c r="ES1113" s="574"/>
      <c r="ET1113" s="574"/>
      <c r="EU1113" s="574"/>
    </row>
    <row r="1114">
      <c r="A1114" s="12"/>
      <c r="B1114" s="55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  <c r="Y1114" s="12"/>
      <c r="Z1114" s="12"/>
      <c r="AA1114" s="12"/>
      <c r="AB1114" s="12"/>
      <c r="AC1114" s="12"/>
      <c r="AD1114" s="12"/>
      <c r="AE1114" s="12"/>
      <c r="AF1114" s="12"/>
      <c r="AG1114" s="12"/>
      <c r="AH1114" s="12"/>
      <c r="AI1114" s="12"/>
      <c r="AJ1114" s="12"/>
      <c r="AK1114" s="12"/>
      <c r="AL1114" s="12"/>
      <c r="AM1114" s="12"/>
      <c r="AN1114" s="12"/>
      <c r="AO1114" s="12"/>
      <c r="AP1114" s="12"/>
      <c r="AQ1114" s="12"/>
      <c r="AR1114" s="12"/>
      <c r="AS1114" s="12"/>
      <c r="AT1114" s="12"/>
      <c r="AU1114" s="12"/>
      <c r="AV1114" s="12"/>
      <c r="AW1114" s="12"/>
      <c r="AX1114" s="12"/>
      <c r="AY1114" s="12"/>
      <c r="AZ1114" s="12"/>
      <c r="BA1114" s="12"/>
      <c r="BB1114" s="12"/>
      <c r="BC1114" s="12"/>
      <c r="BD1114" s="12"/>
      <c r="BE1114" s="12"/>
      <c r="BF1114" s="12"/>
      <c r="BG1114" s="12"/>
      <c r="BH1114" s="12"/>
      <c r="BI1114" s="12"/>
      <c r="BJ1114" s="12"/>
      <c r="BK1114" s="12"/>
      <c r="BL1114" s="12"/>
      <c r="BM1114" s="12"/>
      <c r="BN1114" s="12"/>
      <c r="BO1114" s="12"/>
      <c r="BP1114" s="12"/>
      <c r="BQ1114" s="12"/>
      <c r="BR1114" s="12"/>
      <c r="BS1114" s="12"/>
      <c r="BT1114" s="12"/>
      <c r="BU1114" s="12"/>
      <c r="BV1114" s="12"/>
      <c r="BW1114" s="12"/>
      <c r="BX1114" s="12"/>
      <c r="BY1114" s="12"/>
      <c r="BZ1114" s="12"/>
      <c r="CA1114" s="12"/>
      <c r="CB1114" s="12"/>
      <c r="CC1114" s="12"/>
      <c r="CD1114" s="12"/>
      <c r="CE1114" s="12"/>
      <c r="CF1114" s="12"/>
      <c r="CG1114" s="12"/>
      <c r="CH1114" s="12"/>
      <c r="CI1114" s="12"/>
      <c r="CJ1114" s="12"/>
      <c r="CK1114" s="12"/>
      <c r="CL1114" s="12"/>
      <c r="CM1114" s="12"/>
      <c r="CN1114" s="12"/>
      <c r="CO1114" s="12"/>
      <c r="CP1114" s="12"/>
      <c r="CQ1114" s="12"/>
      <c r="CR1114" s="12"/>
      <c r="CS1114" s="12"/>
      <c r="CT1114" s="12"/>
      <c r="CU1114" s="12"/>
      <c r="CV1114" s="12"/>
      <c r="CW1114" s="12"/>
      <c r="CX1114" s="12"/>
      <c r="CY1114" s="12"/>
      <c r="CZ1114" s="12"/>
      <c r="DA1114" s="12"/>
      <c r="DB1114" s="12"/>
      <c r="DC1114" s="12"/>
      <c r="DD1114" s="12"/>
      <c r="DE1114" s="12"/>
      <c r="DF1114" s="12"/>
      <c r="DG1114" s="12"/>
      <c r="DH1114" s="12"/>
      <c r="DI1114" s="12"/>
      <c r="DJ1114" s="12"/>
      <c r="DK1114" s="12"/>
      <c r="DL1114" s="12"/>
      <c r="DM1114" s="12"/>
      <c r="DN1114" s="12"/>
      <c r="DO1114" s="12"/>
      <c r="DP1114" s="12"/>
      <c r="DQ1114" s="12"/>
      <c r="DR1114" s="12"/>
      <c r="DS1114" s="12"/>
      <c r="DT1114" s="12"/>
      <c r="DU1114" s="12"/>
      <c r="DV1114" s="12"/>
      <c r="DW1114" s="12"/>
      <c r="DX1114" s="12"/>
      <c r="DY1114" s="12"/>
      <c r="DZ1114" s="12"/>
      <c r="EA1114" s="12"/>
      <c r="EB1114" s="12"/>
      <c r="EC1114" s="12"/>
      <c r="ED1114" s="12"/>
      <c r="EE1114" s="12"/>
      <c r="EF1114" s="12"/>
      <c r="EG1114" s="12"/>
      <c r="EH1114" s="12"/>
      <c r="EI1114" s="12"/>
      <c r="EJ1114" s="574"/>
      <c r="EK1114" s="574"/>
      <c r="EL1114" s="574"/>
      <c r="EM1114" s="574"/>
      <c r="EN1114" s="574"/>
      <c r="EO1114" s="574"/>
      <c r="EP1114" s="574"/>
      <c r="EQ1114" s="574"/>
      <c r="ER1114" s="574"/>
      <c r="ES1114" s="574"/>
      <c r="ET1114" s="574"/>
      <c r="EU1114" s="574"/>
    </row>
    <row r="1115">
      <c r="A1115" s="12"/>
      <c r="B1115" s="55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  <c r="AA1115" s="12"/>
      <c r="AB1115" s="12"/>
      <c r="AC1115" s="12"/>
      <c r="AD1115" s="12"/>
      <c r="AE1115" s="12"/>
      <c r="AF1115" s="12"/>
      <c r="AG1115" s="12"/>
      <c r="AH1115" s="12"/>
      <c r="AI1115" s="12"/>
      <c r="AJ1115" s="12"/>
      <c r="AK1115" s="12"/>
      <c r="AL1115" s="12"/>
      <c r="AM1115" s="12"/>
      <c r="AN1115" s="12"/>
      <c r="AO1115" s="12"/>
      <c r="AP1115" s="12"/>
      <c r="AQ1115" s="12"/>
      <c r="AR1115" s="12"/>
      <c r="AS1115" s="12"/>
      <c r="AT1115" s="12"/>
      <c r="AU1115" s="12"/>
      <c r="AV1115" s="12"/>
      <c r="AW1115" s="12"/>
      <c r="AX1115" s="12"/>
      <c r="AY1115" s="12"/>
      <c r="AZ1115" s="12"/>
      <c r="BA1115" s="12"/>
      <c r="BB1115" s="12"/>
      <c r="BC1115" s="12"/>
      <c r="BD1115" s="12"/>
      <c r="BE1115" s="12"/>
      <c r="BF1115" s="12"/>
      <c r="BG1115" s="12"/>
      <c r="BH1115" s="12"/>
      <c r="BI1115" s="12"/>
      <c r="BJ1115" s="12"/>
      <c r="BK1115" s="12"/>
      <c r="BL1115" s="12"/>
      <c r="BM1115" s="12"/>
      <c r="BN1115" s="12"/>
      <c r="BO1115" s="12"/>
      <c r="BP1115" s="12"/>
      <c r="BQ1115" s="12"/>
      <c r="BR1115" s="12"/>
      <c r="BS1115" s="12"/>
      <c r="BT1115" s="12"/>
      <c r="BU1115" s="12"/>
      <c r="BV1115" s="12"/>
      <c r="BW1115" s="12"/>
      <c r="BX1115" s="12"/>
      <c r="BY1115" s="12"/>
      <c r="BZ1115" s="12"/>
      <c r="CA1115" s="12"/>
      <c r="CB1115" s="12"/>
      <c r="CC1115" s="12"/>
      <c r="CD1115" s="12"/>
      <c r="CE1115" s="12"/>
      <c r="CF1115" s="12"/>
      <c r="CG1115" s="12"/>
      <c r="CH1115" s="12"/>
      <c r="CI1115" s="12"/>
      <c r="CJ1115" s="12"/>
      <c r="CK1115" s="12"/>
      <c r="CL1115" s="12"/>
      <c r="CM1115" s="12"/>
      <c r="CN1115" s="12"/>
      <c r="CO1115" s="12"/>
      <c r="CP1115" s="12"/>
      <c r="CQ1115" s="12"/>
      <c r="CR1115" s="12"/>
      <c r="CS1115" s="12"/>
      <c r="CT1115" s="12"/>
      <c r="CU1115" s="12"/>
      <c r="CV1115" s="12"/>
      <c r="CW1115" s="12"/>
      <c r="CX1115" s="12"/>
      <c r="CY1115" s="12"/>
      <c r="CZ1115" s="12"/>
      <c r="DA1115" s="12"/>
      <c r="DB1115" s="12"/>
      <c r="DC1115" s="12"/>
      <c r="DD1115" s="12"/>
      <c r="DE1115" s="12"/>
      <c r="DF1115" s="12"/>
      <c r="DG1115" s="12"/>
      <c r="DH1115" s="12"/>
      <c r="DI1115" s="12"/>
      <c r="DJ1115" s="12"/>
      <c r="DK1115" s="12"/>
      <c r="DL1115" s="12"/>
      <c r="DM1115" s="12"/>
      <c r="DN1115" s="12"/>
      <c r="DO1115" s="12"/>
      <c r="DP1115" s="12"/>
      <c r="DQ1115" s="12"/>
      <c r="DR1115" s="12"/>
      <c r="DS1115" s="12"/>
      <c r="DT1115" s="12"/>
      <c r="DU1115" s="12"/>
      <c r="DV1115" s="12"/>
      <c r="DW1115" s="12"/>
      <c r="DX1115" s="12"/>
      <c r="DY1115" s="12"/>
      <c r="DZ1115" s="12"/>
      <c r="EA1115" s="12"/>
      <c r="EB1115" s="12"/>
      <c r="EC1115" s="12"/>
      <c r="ED1115" s="12"/>
      <c r="EE1115" s="12"/>
      <c r="EF1115" s="12"/>
      <c r="EG1115" s="12"/>
      <c r="EH1115" s="12"/>
      <c r="EI1115" s="12"/>
      <c r="EJ1115" s="574"/>
      <c r="EK1115" s="574"/>
      <c r="EL1115" s="574"/>
      <c r="EM1115" s="574"/>
      <c r="EN1115" s="574"/>
      <c r="EO1115" s="574"/>
      <c r="EP1115" s="574"/>
      <c r="EQ1115" s="574"/>
      <c r="ER1115" s="574"/>
      <c r="ES1115" s="574"/>
      <c r="ET1115" s="574"/>
      <c r="EU1115" s="574"/>
    </row>
    <row r="1116">
      <c r="A1116" s="12"/>
      <c r="B1116" s="55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  <c r="Y1116" s="12"/>
      <c r="Z1116" s="12"/>
      <c r="AA1116" s="12"/>
      <c r="AB1116" s="12"/>
      <c r="AC1116" s="12"/>
      <c r="AD1116" s="12"/>
      <c r="AE1116" s="12"/>
      <c r="AF1116" s="12"/>
      <c r="AG1116" s="12"/>
      <c r="AH1116" s="12"/>
      <c r="AI1116" s="12"/>
      <c r="AJ1116" s="12"/>
      <c r="AK1116" s="12"/>
      <c r="AL1116" s="12"/>
      <c r="AM1116" s="12"/>
      <c r="AN1116" s="12"/>
      <c r="AO1116" s="12"/>
      <c r="AP1116" s="12"/>
      <c r="AQ1116" s="12"/>
      <c r="AR1116" s="12"/>
      <c r="AS1116" s="12"/>
      <c r="AT1116" s="12"/>
      <c r="AU1116" s="12"/>
      <c r="AV1116" s="12"/>
      <c r="AW1116" s="12"/>
      <c r="AX1116" s="12"/>
      <c r="AY1116" s="12"/>
      <c r="AZ1116" s="12"/>
      <c r="BA1116" s="12"/>
      <c r="BB1116" s="12"/>
      <c r="BC1116" s="12"/>
      <c r="BD1116" s="12"/>
      <c r="BE1116" s="12"/>
      <c r="BF1116" s="12"/>
      <c r="BG1116" s="12"/>
      <c r="BH1116" s="12"/>
      <c r="BI1116" s="12"/>
      <c r="BJ1116" s="12"/>
      <c r="BK1116" s="12"/>
      <c r="BL1116" s="12"/>
      <c r="BM1116" s="12"/>
      <c r="BN1116" s="12"/>
      <c r="BO1116" s="12"/>
      <c r="BP1116" s="12"/>
      <c r="BQ1116" s="12"/>
      <c r="BR1116" s="12"/>
      <c r="BS1116" s="12"/>
      <c r="BT1116" s="12"/>
      <c r="BU1116" s="12"/>
      <c r="BV1116" s="12"/>
      <c r="BW1116" s="12"/>
      <c r="BX1116" s="12"/>
      <c r="BY1116" s="12"/>
      <c r="BZ1116" s="12"/>
      <c r="CA1116" s="12"/>
      <c r="CB1116" s="12"/>
      <c r="CC1116" s="12"/>
      <c r="CD1116" s="12"/>
      <c r="CE1116" s="12"/>
      <c r="CF1116" s="12"/>
      <c r="CG1116" s="12"/>
      <c r="CH1116" s="12"/>
      <c r="CI1116" s="12"/>
      <c r="CJ1116" s="12"/>
      <c r="CK1116" s="12"/>
      <c r="CL1116" s="12"/>
      <c r="CM1116" s="12"/>
      <c r="CN1116" s="12"/>
      <c r="CO1116" s="12"/>
      <c r="CP1116" s="12"/>
      <c r="CQ1116" s="12"/>
      <c r="CR1116" s="12"/>
      <c r="CS1116" s="12"/>
      <c r="CT1116" s="12"/>
      <c r="CU1116" s="12"/>
      <c r="CV1116" s="12"/>
      <c r="CW1116" s="12"/>
      <c r="CX1116" s="12"/>
      <c r="CY1116" s="12"/>
      <c r="CZ1116" s="12"/>
      <c r="DA1116" s="12"/>
      <c r="DB1116" s="12"/>
      <c r="DC1116" s="12"/>
      <c r="DD1116" s="12"/>
      <c r="DE1116" s="12"/>
      <c r="DF1116" s="12"/>
      <c r="DG1116" s="12"/>
      <c r="DH1116" s="12"/>
      <c r="DI1116" s="12"/>
      <c r="DJ1116" s="12"/>
      <c r="DK1116" s="12"/>
      <c r="DL1116" s="12"/>
      <c r="DM1116" s="12"/>
      <c r="DN1116" s="12"/>
      <c r="DO1116" s="12"/>
      <c r="DP1116" s="12"/>
      <c r="DQ1116" s="12"/>
      <c r="DR1116" s="12"/>
      <c r="DS1116" s="12"/>
      <c r="DT1116" s="12"/>
      <c r="DU1116" s="12"/>
      <c r="DV1116" s="12"/>
      <c r="DW1116" s="12"/>
      <c r="DX1116" s="12"/>
      <c r="DY1116" s="12"/>
      <c r="DZ1116" s="12"/>
      <c r="EA1116" s="12"/>
      <c r="EB1116" s="12"/>
      <c r="EC1116" s="12"/>
      <c r="ED1116" s="12"/>
      <c r="EE1116" s="12"/>
      <c r="EF1116" s="12"/>
      <c r="EG1116" s="12"/>
      <c r="EH1116" s="12"/>
      <c r="EI1116" s="12"/>
      <c r="EJ1116" s="574"/>
      <c r="EK1116" s="574"/>
      <c r="EL1116" s="574"/>
      <c r="EM1116" s="574"/>
      <c r="EN1116" s="574"/>
      <c r="EO1116" s="574"/>
      <c r="EP1116" s="574"/>
      <c r="EQ1116" s="574"/>
      <c r="ER1116" s="574"/>
      <c r="ES1116" s="574"/>
      <c r="ET1116" s="574"/>
      <c r="EU1116" s="574"/>
    </row>
    <row r="1117">
      <c r="A1117" s="12"/>
      <c r="B1117" s="55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  <c r="Y1117" s="12"/>
      <c r="Z1117" s="12"/>
      <c r="AA1117" s="12"/>
      <c r="AB1117" s="12"/>
      <c r="AC1117" s="12"/>
      <c r="AD1117" s="12"/>
      <c r="AE1117" s="12"/>
      <c r="AF1117" s="12"/>
      <c r="AG1117" s="12"/>
      <c r="AH1117" s="12"/>
      <c r="AI1117" s="12"/>
      <c r="AJ1117" s="12"/>
      <c r="AK1117" s="12"/>
      <c r="AL1117" s="12"/>
      <c r="AM1117" s="12"/>
      <c r="AN1117" s="12"/>
      <c r="AO1117" s="12"/>
      <c r="AP1117" s="12"/>
      <c r="AQ1117" s="12"/>
      <c r="AR1117" s="12"/>
      <c r="AS1117" s="12"/>
      <c r="AT1117" s="12"/>
      <c r="AU1117" s="12"/>
      <c r="AV1117" s="12"/>
      <c r="AW1117" s="12"/>
      <c r="AX1117" s="12"/>
      <c r="AY1117" s="12"/>
      <c r="AZ1117" s="12"/>
      <c r="BA1117" s="12"/>
      <c r="BB1117" s="12"/>
      <c r="BC1117" s="12"/>
      <c r="BD1117" s="12"/>
      <c r="BE1117" s="12"/>
      <c r="BF1117" s="12"/>
      <c r="BG1117" s="12"/>
      <c r="BH1117" s="12"/>
      <c r="BI1117" s="12"/>
      <c r="BJ1117" s="12"/>
      <c r="BK1117" s="12"/>
      <c r="BL1117" s="12"/>
      <c r="BM1117" s="12"/>
      <c r="BN1117" s="12"/>
      <c r="BO1117" s="12"/>
      <c r="BP1117" s="12"/>
      <c r="BQ1117" s="12"/>
      <c r="BR1117" s="12"/>
      <c r="BS1117" s="12"/>
      <c r="BT1117" s="12"/>
      <c r="BU1117" s="12"/>
      <c r="BV1117" s="12"/>
      <c r="BW1117" s="12"/>
      <c r="BX1117" s="12"/>
      <c r="BY1117" s="12"/>
      <c r="BZ1117" s="12"/>
      <c r="CA1117" s="12"/>
      <c r="CB1117" s="12"/>
      <c r="CC1117" s="12"/>
      <c r="CD1117" s="12"/>
      <c r="CE1117" s="12"/>
      <c r="CF1117" s="12"/>
      <c r="CG1117" s="12"/>
      <c r="CH1117" s="12"/>
      <c r="CI1117" s="12"/>
      <c r="CJ1117" s="12"/>
      <c r="CK1117" s="12"/>
      <c r="CL1117" s="12"/>
      <c r="CM1117" s="12"/>
      <c r="CN1117" s="12"/>
      <c r="CO1117" s="12"/>
      <c r="CP1117" s="12"/>
      <c r="CQ1117" s="12"/>
      <c r="CR1117" s="12"/>
      <c r="CS1117" s="12"/>
      <c r="CT1117" s="12"/>
      <c r="CU1117" s="12"/>
      <c r="CV1117" s="12"/>
      <c r="CW1117" s="12"/>
      <c r="CX1117" s="12"/>
      <c r="CY1117" s="12"/>
      <c r="CZ1117" s="12"/>
      <c r="DA1117" s="12"/>
      <c r="DB1117" s="12"/>
      <c r="DC1117" s="12"/>
      <c r="DD1117" s="12"/>
      <c r="DE1117" s="12"/>
      <c r="DF1117" s="12"/>
      <c r="DG1117" s="12"/>
      <c r="DH1117" s="12"/>
      <c r="DI1117" s="12"/>
      <c r="DJ1117" s="12"/>
      <c r="DK1117" s="12"/>
      <c r="DL1117" s="12"/>
      <c r="DM1117" s="12"/>
      <c r="DN1117" s="12"/>
      <c r="DO1117" s="12"/>
      <c r="DP1117" s="12"/>
      <c r="DQ1117" s="12"/>
      <c r="DR1117" s="12"/>
      <c r="DS1117" s="12"/>
      <c r="DT1117" s="12"/>
      <c r="DU1117" s="12"/>
      <c r="DV1117" s="12"/>
      <c r="DW1117" s="12"/>
      <c r="DX1117" s="12"/>
      <c r="DY1117" s="12"/>
      <c r="DZ1117" s="12"/>
      <c r="EA1117" s="12"/>
      <c r="EB1117" s="12"/>
      <c r="EC1117" s="12"/>
      <c r="ED1117" s="12"/>
      <c r="EE1117" s="12"/>
      <c r="EF1117" s="12"/>
      <c r="EG1117" s="12"/>
      <c r="EH1117" s="12"/>
      <c r="EI1117" s="12"/>
      <c r="EJ1117" s="574"/>
      <c r="EK1117" s="574"/>
      <c r="EL1117" s="574"/>
      <c r="EM1117" s="574"/>
      <c r="EN1117" s="574"/>
      <c r="EO1117" s="574"/>
      <c r="EP1117" s="574"/>
      <c r="EQ1117" s="574"/>
      <c r="ER1117" s="574"/>
      <c r="ES1117" s="574"/>
      <c r="ET1117" s="574"/>
      <c r="EU1117" s="574"/>
    </row>
    <row r="1118">
      <c r="A1118" s="12"/>
      <c r="B1118" s="55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  <c r="Y1118" s="12"/>
      <c r="Z1118" s="12"/>
      <c r="AA1118" s="12"/>
      <c r="AB1118" s="12"/>
      <c r="AC1118" s="12"/>
      <c r="AD1118" s="12"/>
      <c r="AE1118" s="12"/>
      <c r="AF1118" s="12"/>
      <c r="AG1118" s="12"/>
      <c r="AH1118" s="12"/>
      <c r="AI1118" s="12"/>
      <c r="AJ1118" s="12"/>
      <c r="AK1118" s="12"/>
      <c r="AL1118" s="12"/>
      <c r="AM1118" s="12"/>
      <c r="AN1118" s="12"/>
      <c r="AO1118" s="12"/>
      <c r="AP1118" s="12"/>
      <c r="AQ1118" s="12"/>
      <c r="AR1118" s="12"/>
      <c r="AS1118" s="12"/>
      <c r="AT1118" s="12"/>
      <c r="AU1118" s="12"/>
      <c r="AV1118" s="12"/>
      <c r="AW1118" s="12"/>
      <c r="AX1118" s="12"/>
      <c r="AY1118" s="12"/>
      <c r="AZ1118" s="12"/>
      <c r="BA1118" s="12"/>
      <c r="BB1118" s="12"/>
      <c r="BC1118" s="12"/>
      <c r="BD1118" s="12"/>
      <c r="BE1118" s="12"/>
      <c r="BF1118" s="12"/>
      <c r="BG1118" s="12"/>
      <c r="BH1118" s="12"/>
      <c r="BI1118" s="12"/>
      <c r="BJ1118" s="12"/>
      <c r="BK1118" s="12"/>
      <c r="BL1118" s="12"/>
      <c r="BM1118" s="12"/>
      <c r="BN1118" s="12"/>
      <c r="BO1118" s="12"/>
      <c r="BP1118" s="12"/>
      <c r="BQ1118" s="12"/>
      <c r="BR1118" s="12"/>
      <c r="BS1118" s="12"/>
      <c r="BT1118" s="12"/>
      <c r="BU1118" s="12"/>
      <c r="BV1118" s="12"/>
      <c r="BW1118" s="12"/>
      <c r="BX1118" s="12"/>
      <c r="BY1118" s="12"/>
      <c r="BZ1118" s="12"/>
      <c r="CA1118" s="12"/>
      <c r="CB1118" s="12"/>
      <c r="CC1118" s="12"/>
      <c r="CD1118" s="12"/>
      <c r="CE1118" s="12"/>
      <c r="CF1118" s="12"/>
      <c r="CG1118" s="12"/>
      <c r="CH1118" s="12"/>
      <c r="CI1118" s="12"/>
      <c r="CJ1118" s="12"/>
      <c r="CK1118" s="12"/>
      <c r="CL1118" s="12"/>
      <c r="CM1118" s="12"/>
      <c r="CN1118" s="12"/>
      <c r="CO1118" s="12"/>
      <c r="CP1118" s="12"/>
      <c r="CQ1118" s="12"/>
      <c r="CR1118" s="12"/>
      <c r="CS1118" s="12"/>
      <c r="CT1118" s="12"/>
      <c r="CU1118" s="12"/>
      <c r="CV1118" s="12"/>
      <c r="CW1118" s="12"/>
      <c r="CX1118" s="12"/>
      <c r="CY1118" s="12"/>
      <c r="CZ1118" s="12"/>
      <c r="DA1118" s="12"/>
      <c r="DB1118" s="12"/>
      <c r="DC1118" s="12"/>
      <c r="DD1118" s="12"/>
      <c r="DE1118" s="12"/>
      <c r="DF1118" s="12"/>
      <c r="DG1118" s="12"/>
      <c r="DH1118" s="12"/>
      <c r="DI1118" s="12"/>
      <c r="DJ1118" s="12"/>
      <c r="DK1118" s="12"/>
      <c r="DL1118" s="12"/>
      <c r="DM1118" s="12"/>
      <c r="DN1118" s="12"/>
      <c r="DO1118" s="12"/>
      <c r="DP1118" s="12"/>
      <c r="DQ1118" s="12"/>
      <c r="DR1118" s="12"/>
      <c r="DS1118" s="12"/>
      <c r="DT1118" s="12"/>
      <c r="DU1118" s="12"/>
      <c r="DV1118" s="12"/>
      <c r="DW1118" s="12"/>
      <c r="DX1118" s="12"/>
      <c r="DY1118" s="12"/>
      <c r="DZ1118" s="12"/>
      <c r="EA1118" s="12"/>
      <c r="EB1118" s="12"/>
      <c r="EC1118" s="12"/>
      <c r="ED1118" s="12"/>
      <c r="EE1118" s="12"/>
      <c r="EF1118" s="12"/>
      <c r="EG1118" s="12"/>
      <c r="EH1118" s="12"/>
      <c r="EI1118" s="12"/>
      <c r="EJ1118" s="574"/>
      <c r="EK1118" s="574"/>
      <c r="EL1118" s="574"/>
      <c r="EM1118" s="574"/>
      <c r="EN1118" s="574"/>
      <c r="EO1118" s="574"/>
      <c r="EP1118" s="574"/>
      <c r="EQ1118" s="574"/>
      <c r="ER1118" s="574"/>
      <c r="ES1118" s="574"/>
      <c r="ET1118" s="574"/>
      <c r="EU1118" s="574"/>
    </row>
    <row r="1119">
      <c r="A1119" s="12"/>
      <c r="B1119" s="55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  <c r="Y1119" s="12"/>
      <c r="Z1119" s="12"/>
      <c r="AA1119" s="12"/>
      <c r="AB1119" s="12"/>
      <c r="AC1119" s="12"/>
      <c r="AD1119" s="12"/>
      <c r="AE1119" s="12"/>
      <c r="AF1119" s="12"/>
      <c r="AG1119" s="12"/>
      <c r="AH1119" s="12"/>
      <c r="AI1119" s="12"/>
      <c r="AJ1119" s="12"/>
      <c r="AK1119" s="12"/>
      <c r="AL1119" s="12"/>
      <c r="AM1119" s="12"/>
      <c r="AN1119" s="12"/>
      <c r="AO1119" s="12"/>
      <c r="AP1119" s="12"/>
      <c r="AQ1119" s="12"/>
      <c r="AR1119" s="12"/>
      <c r="AS1119" s="12"/>
      <c r="AT1119" s="12"/>
      <c r="AU1119" s="12"/>
      <c r="AV1119" s="12"/>
      <c r="AW1119" s="12"/>
      <c r="AX1119" s="12"/>
      <c r="AY1119" s="12"/>
      <c r="AZ1119" s="12"/>
      <c r="BA1119" s="12"/>
      <c r="BB1119" s="12"/>
      <c r="BC1119" s="12"/>
      <c r="BD1119" s="12"/>
      <c r="BE1119" s="12"/>
      <c r="BF1119" s="12"/>
      <c r="BG1119" s="12"/>
      <c r="BH1119" s="12"/>
      <c r="BI1119" s="12"/>
      <c r="BJ1119" s="12"/>
      <c r="BK1119" s="12"/>
      <c r="BL1119" s="12"/>
      <c r="BM1119" s="12"/>
      <c r="BN1119" s="12"/>
      <c r="BO1119" s="12"/>
      <c r="BP1119" s="12"/>
      <c r="BQ1119" s="12"/>
      <c r="BR1119" s="12"/>
      <c r="BS1119" s="12"/>
      <c r="BT1119" s="12"/>
      <c r="BU1119" s="12"/>
      <c r="BV1119" s="12"/>
      <c r="BW1119" s="12"/>
      <c r="BX1119" s="12"/>
      <c r="BY1119" s="12"/>
      <c r="BZ1119" s="12"/>
      <c r="CA1119" s="12"/>
      <c r="CB1119" s="12"/>
      <c r="CC1119" s="12"/>
      <c r="CD1119" s="12"/>
      <c r="CE1119" s="12"/>
      <c r="CF1119" s="12"/>
      <c r="CG1119" s="12"/>
      <c r="CH1119" s="12"/>
      <c r="CI1119" s="12"/>
      <c r="CJ1119" s="12"/>
      <c r="CK1119" s="12"/>
      <c r="CL1119" s="12"/>
      <c r="CM1119" s="12"/>
      <c r="CN1119" s="12"/>
      <c r="CO1119" s="12"/>
      <c r="CP1119" s="12"/>
      <c r="CQ1119" s="12"/>
      <c r="CR1119" s="12"/>
      <c r="CS1119" s="12"/>
      <c r="CT1119" s="12"/>
      <c r="CU1119" s="12"/>
      <c r="CV1119" s="12"/>
      <c r="CW1119" s="12"/>
      <c r="CX1119" s="12"/>
      <c r="CY1119" s="12"/>
      <c r="CZ1119" s="12"/>
      <c r="DA1119" s="12"/>
      <c r="DB1119" s="12"/>
      <c r="DC1119" s="12"/>
      <c r="DD1119" s="12"/>
      <c r="DE1119" s="12"/>
      <c r="DF1119" s="12"/>
      <c r="DG1119" s="12"/>
      <c r="DH1119" s="12"/>
      <c r="DI1119" s="12"/>
      <c r="DJ1119" s="12"/>
      <c r="DK1119" s="12"/>
      <c r="DL1119" s="12"/>
      <c r="DM1119" s="12"/>
      <c r="DN1119" s="12"/>
      <c r="DO1119" s="12"/>
      <c r="DP1119" s="12"/>
      <c r="DQ1119" s="12"/>
      <c r="DR1119" s="12"/>
      <c r="DS1119" s="12"/>
      <c r="DT1119" s="12"/>
      <c r="DU1119" s="12"/>
      <c r="DV1119" s="12"/>
      <c r="DW1119" s="12"/>
      <c r="DX1119" s="12"/>
      <c r="DY1119" s="12"/>
      <c r="DZ1119" s="12"/>
      <c r="EA1119" s="12"/>
      <c r="EB1119" s="12"/>
      <c r="EC1119" s="12"/>
      <c r="ED1119" s="12"/>
      <c r="EE1119" s="12"/>
      <c r="EF1119" s="12"/>
      <c r="EG1119" s="12"/>
      <c r="EH1119" s="12"/>
      <c r="EI1119" s="12"/>
      <c r="EJ1119" s="574"/>
      <c r="EK1119" s="574"/>
      <c r="EL1119" s="574"/>
      <c r="EM1119" s="574"/>
      <c r="EN1119" s="574"/>
      <c r="EO1119" s="574"/>
      <c r="EP1119" s="574"/>
      <c r="EQ1119" s="574"/>
      <c r="ER1119" s="574"/>
      <c r="ES1119" s="574"/>
      <c r="ET1119" s="574"/>
      <c r="EU1119" s="574"/>
    </row>
    <row r="1120">
      <c r="A1120" s="12"/>
      <c r="B1120" s="55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  <c r="Y1120" s="12"/>
      <c r="Z1120" s="12"/>
      <c r="AA1120" s="12"/>
      <c r="AB1120" s="12"/>
      <c r="AC1120" s="12"/>
      <c r="AD1120" s="12"/>
      <c r="AE1120" s="12"/>
      <c r="AF1120" s="12"/>
      <c r="AG1120" s="12"/>
      <c r="AH1120" s="12"/>
      <c r="AI1120" s="12"/>
      <c r="AJ1120" s="12"/>
      <c r="AK1120" s="12"/>
      <c r="AL1120" s="12"/>
      <c r="AM1120" s="12"/>
      <c r="AN1120" s="12"/>
      <c r="AO1120" s="12"/>
      <c r="AP1120" s="12"/>
      <c r="AQ1120" s="12"/>
      <c r="AR1120" s="12"/>
      <c r="AS1120" s="12"/>
      <c r="AT1120" s="12"/>
      <c r="AU1120" s="12"/>
      <c r="AV1120" s="12"/>
      <c r="AW1120" s="12"/>
      <c r="AX1120" s="12"/>
      <c r="AY1120" s="12"/>
      <c r="AZ1120" s="12"/>
      <c r="BA1120" s="12"/>
      <c r="BB1120" s="12"/>
      <c r="BC1120" s="12"/>
      <c r="BD1120" s="12"/>
      <c r="BE1120" s="12"/>
      <c r="BF1120" s="12"/>
      <c r="BG1120" s="12"/>
      <c r="BH1120" s="12"/>
      <c r="BI1120" s="12"/>
      <c r="BJ1120" s="12"/>
      <c r="BK1120" s="12"/>
      <c r="BL1120" s="12"/>
      <c r="BM1120" s="12"/>
      <c r="BN1120" s="12"/>
      <c r="BO1120" s="12"/>
      <c r="BP1120" s="12"/>
      <c r="BQ1120" s="12"/>
      <c r="BR1120" s="12"/>
      <c r="BS1120" s="12"/>
      <c r="BT1120" s="12"/>
      <c r="BU1120" s="12"/>
      <c r="BV1120" s="12"/>
      <c r="BW1120" s="12"/>
      <c r="BX1120" s="12"/>
      <c r="BY1120" s="12"/>
      <c r="BZ1120" s="12"/>
      <c r="CA1120" s="12"/>
      <c r="CB1120" s="12"/>
      <c r="CC1120" s="12"/>
      <c r="CD1120" s="12"/>
      <c r="CE1120" s="12"/>
      <c r="CF1120" s="12"/>
      <c r="CG1120" s="12"/>
      <c r="CH1120" s="12"/>
      <c r="CI1120" s="12"/>
      <c r="CJ1120" s="12"/>
      <c r="CK1120" s="12"/>
      <c r="CL1120" s="12"/>
      <c r="CM1120" s="12"/>
      <c r="CN1120" s="12"/>
      <c r="CO1120" s="12"/>
      <c r="CP1120" s="12"/>
      <c r="CQ1120" s="12"/>
      <c r="CR1120" s="12"/>
      <c r="CS1120" s="12"/>
      <c r="CT1120" s="12"/>
      <c r="CU1120" s="12"/>
      <c r="CV1120" s="12"/>
      <c r="CW1120" s="12"/>
      <c r="CX1120" s="12"/>
      <c r="CY1120" s="12"/>
      <c r="CZ1120" s="12"/>
      <c r="DA1120" s="12"/>
      <c r="DB1120" s="12"/>
      <c r="DC1120" s="12"/>
      <c r="DD1120" s="12"/>
      <c r="DE1120" s="12"/>
      <c r="DF1120" s="12"/>
      <c r="DG1120" s="12"/>
      <c r="DH1120" s="12"/>
      <c r="DI1120" s="12"/>
      <c r="DJ1120" s="12"/>
      <c r="DK1120" s="12"/>
      <c r="DL1120" s="12"/>
      <c r="DM1120" s="12"/>
      <c r="DN1120" s="12"/>
      <c r="DO1120" s="12"/>
      <c r="DP1120" s="12"/>
      <c r="DQ1120" s="12"/>
      <c r="DR1120" s="12"/>
      <c r="DS1120" s="12"/>
      <c r="DT1120" s="12"/>
      <c r="DU1120" s="12"/>
      <c r="DV1120" s="12"/>
      <c r="DW1120" s="12"/>
      <c r="DX1120" s="12"/>
      <c r="DY1120" s="12"/>
      <c r="DZ1120" s="12"/>
      <c r="EA1120" s="12"/>
      <c r="EB1120" s="12"/>
      <c r="EC1120" s="12"/>
      <c r="ED1120" s="12"/>
      <c r="EE1120" s="12"/>
      <c r="EF1120" s="12"/>
      <c r="EG1120" s="12"/>
      <c r="EH1120" s="12"/>
      <c r="EI1120" s="12"/>
      <c r="EJ1120" s="574"/>
      <c r="EK1120" s="574"/>
      <c r="EL1120" s="574"/>
      <c r="EM1120" s="574"/>
      <c r="EN1120" s="574"/>
      <c r="EO1120" s="574"/>
      <c r="EP1120" s="574"/>
      <c r="EQ1120" s="574"/>
      <c r="ER1120" s="574"/>
      <c r="ES1120" s="574"/>
      <c r="ET1120" s="574"/>
      <c r="EU1120" s="574"/>
    </row>
    <row r="1121">
      <c r="A1121" s="12"/>
      <c r="B1121" s="55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  <c r="Y1121" s="12"/>
      <c r="Z1121" s="12"/>
      <c r="AA1121" s="12"/>
      <c r="AB1121" s="12"/>
      <c r="AC1121" s="12"/>
      <c r="AD1121" s="12"/>
      <c r="AE1121" s="12"/>
      <c r="AF1121" s="12"/>
      <c r="AG1121" s="12"/>
      <c r="AH1121" s="12"/>
      <c r="AI1121" s="12"/>
      <c r="AJ1121" s="12"/>
      <c r="AK1121" s="12"/>
      <c r="AL1121" s="12"/>
      <c r="AM1121" s="12"/>
      <c r="AN1121" s="12"/>
      <c r="AO1121" s="12"/>
      <c r="AP1121" s="12"/>
      <c r="AQ1121" s="12"/>
      <c r="AR1121" s="12"/>
      <c r="AS1121" s="12"/>
      <c r="AT1121" s="12"/>
      <c r="AU1121" s="12"/>
      <c r="AV1121" s="12"/>
      <c r="AW1121" s="12"/>
      <c r="AX1121" s="12"/>
      <c r="AY1121" s="12"/>
      <c r="AZ1121" s="12"/>
      <c r="BA1121" s="12"/>
      <c r="BB1121" s="12"/>
      <c r="BC1121" s="12"/>
      <c r="BD1121" s="12"/>
      <c r="BE1121" s="12"/>
      <c r="BF1121" s="12"/>
      <c r="BG1121" s="12"/>
      <c r="BH1121" s="12"/>
      <c r="BI1121" s="12"/>
      <c r="BJ1121" s="12"/>
      <c r="BK1121" s="12"/>
      <c r="BL1121" s="12"/>
      <c r="BM1121" s="12"/>
      <c r="BN1121" s="12"/>
      <c r="BO1121" s="12"/>
      <c r="BP1121" s="12"/>
      <c r="BQ1121" s="12"/>
      <c r="BR1121" s="12"/>
      <c r="BS1121" s="12"/>
      <c r="BT1121" s="12"/>
      <c r="BU1121" s="12"/>
      <c r="BV1121" s="12"/>
      <c r="BW1121" s="12"/>
      <c r="BX1121" s="12"/>
      <c r="BY1121" s="12"/>
      <c r="BZ1121" s="12"/>
      <c r="CA1121" s="12"/>
      <c r="CB1121" s="12"/>
      <c r="CC1121" s="12"/>
      <c r="CD1121" s="12"/>
      <c r="CE1121" s="12"/>
      <c r="CF1121" s="12"/>
      <c r="CG1121" s="12"/>
      <c r="CH1121" s="12"/>
      <c r="CI1121" s="12"/>
      <c r="CJ1121" s="12"/>
      <c r="CK1121" s="12"/>
      <c r="CL1121" s="12"/>
      <c r="CM1121" s="12"/>
      <c r="CN1121" s="12"/>
      <c r="CO1121" s="12"/>
      <c r="CP1121" s="12"/>
      <c r="CQ1121" s="12"/>
      <c r="CR1121" s="12"/>
      <c r="CS1121" s="12"/>
      <c r="CT1121" s="12"/>
      <c r="CU1121" s="12"/>
      <c r="CV1121" s="12"/>
      <c r="CW1121" s="12"/>
      <c r="CX1121" s="12"/>
      <c r="CY1121" s="12"/>
      <c r="CZ1121" s="12"/>
      <c r="DA1121" s="12"/>
      <c r="DB1121" s="12"/>
      <c r="DC1121" s="12"/>
      <c r="DD1121" s="12"/>
      <c r="DE1121" s="12"/>
      <c r="DF1121" s="12"/>
      <c r="DG1121" s="12"/>
      <c r="DH1121" s="12"/>
      <c r="DI1121" s="12"/>
      <c r="DJ1121" s="12"/>
      <c r="DK1121" s="12"/>
      <c r="DL1121" s="12"/>
      <c r="DM1121" s="12"/>
      <c r="DN1121" s="12"/>
      <c r="DO1121" s="12"/>
      <c r="DP1121" s="12"/>
      <c r="DQ1121" s="12"/>
      <c r="DR1121" s="12"/>
      <c r="DS1121" s="12"/>
      <c r="DT1121" s="12"/>
      <c r="DU1121" s="12"/>
      <c r="DV1121" s="12"/>
      <c r="DW1121" s="12"/>
      <c r="DX1121" s="12"/>
      <c r="DY1121" s="12"/>
      <c r="DZ1121" s="12"/>
      <c r="EA1121" s="12"/>
      <c r="EB1121" s="12"/>
      <c r="EC1121" s="12"/>
      <c r="ED1121" s="12"/>
      <c r="EE1121" s="12"/>
      <c r="EF1121" s="12"/>
      <c r="EG1121" s="12"/>
      <c r="EH1121" s="12"/>
      <c r="EI1121" s="12"/>
      <c r="EJ1121" s="574"/>
      <c r="EK1121" s="574"/>
      <c r="EL1121" s="574"/>
      <c r="EM1121" s="574"/>
      <c r="EN1121" s="574"/>
      <c r="EO1121" s="574"/>
      <c r="EP1121" s="574"/>
      <c r="EQ1121" s="574"/>
      <c r="ER1121" s="574"/>
      <c r="ES1121" s="574"/>
      <c r="ET1121" s="574"/>
      <c r="EU1121" s="574"/>
    </row>
    <row r="1122">
      <c r="A1122" s="12"/>
      <c r="B1122" s="55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/>
      <c r="V1122" s="12"/>
      <c r="W1122" s="12"/>
      <c r="X1122" s="12"/>
      <c r="Y1122" s="12"/>
      <c r="Z1122" s="12"/>
      <c r="AA1122" s="12"/>
      <c r="AB1122" s="12"/>
      <c r="AC1122" s="12"/>
      <c r="AD1122" s="12"/>
      <c r="AE1122" s="12"/>
      <c r="AF1122" s="12"/>
      <c r="AG1122" s="12"/>
      <c r="AH1122" s="12"/>
      <c r="AI1122" s="12"/>
      <c r="AJ1122" s="12"/>
      <c r="AK1122" s="12"/>
      <c r="AL1122" s="12"/>
      <c r="AM1122" s="12"/>
      <c r="AN1122" s="12"/>
      <c r="AO1122" s="12"/>
      <c r="AP1122" s="12"/>
      <c r="AQ1122" s="12"/>
      <c r="AR1122" s="12"/>
      <c r="AS1122" s="12"/>
      <c r="AT1122" s="12"/>
      <c r="AU1122" s="12"/>
      <c r="AV1122" s="12"/>
      <c r="AW1122" s="12"/>
      <c r="AX1122" s="12"/>
      <c r="AY1122" s="12"/>
      <c r="AZ1122" s="12"/>
      <c r="BA1122" s="12"/>
      <c r="BB1122" s="12"/>
      <c r="BC1122" s="12"/>
      <c r="BD1122" s="12"/>
      <c r="BE1122" s="12"/>
      <c r="BF1122" s="12"/>
      <c r="BG1122" s="12"/>
      <c r="BH1122" s="12"/>
      <c r="BI1122" s="12"/>
      <c r="BJ1122" s="12"/>
      <c r="BK1122" s="12"/>
      <c r="BL1122" s="12"/>
      <c r="BM1122" s="12"/>
      <c r="BN1122" s="12"/>
      <c r="BO1122" s="12"/>
      <c r="BP1122" s="12"/>
      <c r="BQ1122" s="12"/>
      <c r="BR1122" s="12"/>
      <c r="BS1122" s="12"/>
      <c r="BT1122" s="12"/>
      <c r="BU1122" s="12"/>
      <c r="BV1122" s="12"/>
      <c r="BW1122" s="12"/>
      <c r="BX1122" s="12"/>
      <c r="BY1122" s="12"/>
      <c r="BZ1122" s="12"/>
      <c r="CA1122" s="12"/>
      <c r="CB1122" s="12"/>
      <c r="CC1122" s="12"/>
      <c r="CD1122" s="12"/>
      <c r="CE1122" s="12"/>
      <c r="CF1122" s="12"/>
      <c r="CG1122" s="12"/>
      <c r="CH1122" s="12"/>
      <c r="CI1122" s="12"/>
      <c r="CJ1122" s="12"/>
      <c r="CK1122" s="12"/>
      <c r="CL1122" s="12"/>
      <c r="CM1122" s="12"/>
      <c r="CN1122" s="12"/>
      <c r="CO1122" s="12"/>
      <c r="CP1122" s="12"/>
      <c r="CQ1122" s="12"/>
      <c r="CR1122" s="12"/>
      <c r="CS1122" s="12"/>
      <c r="CT1122" s="12"/>
      <c r="CU1122" s="12"/>
      <c r="CV1122" s="12"/>
      <c r="CW1122" s="12"/>
      <c r="CX1122" s="12"/>
      <c r="CY1122" s="12"/>
      <c r="CZ1122" s="12"/>
      <c r="DA1122" s="12"/>
      <c r="DB1122" s="12"/>
      <c r="DC1122" s="12"/>
      <c r="DD1122" s="12"/>
      <c r="DE1122" s="12"/>
      <c r="DF1122" s="12"/>
      <c r="DG1122" s="12"/>
      <c r="DH1122" s="12"/>
      <c r="DI1122" s="12"/>
      <c r="DJ1122" s="12"/>
      <c r="DK1122" s="12"/>
      <c r="DL1122" s="12"/>
      <c r="DM1122" s="12"/>
      <c r="DN1122" s="12"/>
      <c r="DO1122" s="12"/>
      <c r="DP1122" s="12"/>
      <c r="DQ1122" s="12"/>
      <c r="DR1122" s="12"/>
      <c r="DS1122" s="12"/>
      <c r="DT1122" s="12"/>
      <c r="DU1122" s="12"/>
      <c r="DV1122" s="12"/>
      <c r="DW1122" s="12"/>
      <c r="DX1122" s="12"/>
      <c r="DY1122" s="12"/>
      <c r="DZ1122" s="12"/>
      <c r="EA1122" s="12"/>
      <c r="EB1122" s="12"/>
      <c r="EC1122" s="12"/>
      <c r="ED1122" s="12"/>
      <c r="EE1122" s="12"/>
      <c r="EF1122" s="12"/>
      <c r="EG1122" s="12"/>
      <c r="EH1122" s="12"/>
      <c r="EI1122" s="12"/>
      <c r="EJ1122" s="574"/>
      <c r="EK1122" s="574"/>
      <c r="EL1122" s="574"/>
      <c r="EM1122" s="574"/>
      <c r="EN1122" s="574"/>
      <c r="EO1122" s="574"/>
      <c r="EP1122" s="574"/>
      <c r="EQ1122" s="574"/>
      <c r="ER1122" s="574"/>
      <c r="ES1122" s="574"/>
      <c r="ET1122" s="574"/>
      <c r="EU1122" s="574"/>
    </row>
    <row r="1123">
      <c r="A1123" s="12"/>
      <c r="B1123" s="55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  <c r="Z1123" s="12"/>
      <c r="AA1123" s="12"/>
      <c r="AB1123" s="12"/>
      <c r="AC1123" s="12"/>
      <c r="AD1123" s="12"/>
      <c r="AE1123" s="12"/>
      <c r="AF1123" s="12"/>
      <c r="AG1123" s="12"/>
      <c r="AH1123" s="12"/>
      <c r="AI1123" s="12"/>
      <c r="AJ1123" s="12"/>
      <c r="AK1123" s="12"/>
      <c r="AL1123" s="12"/>
      <c r="AM1123" s="12"/>
      <c r="AN1123" s="12"/>
      <c r="AO1123" s="12"/>
      <c r="AP1123" s="12"/>
      <c r="AQ1123" s="12"/>
      <c r="AR1123" s="12"/>
      <c r="AS1123" s="12"/>
      <c r="AT1123" s="12"/>
      <c r="AU1123" s="12"/>
      <c r="AV1123" s="12"/>
      <c r="AW1123" s="12"/>
      <c r="AX1123" s="12"/>
      <c r="AY1123" s="12"/>
      <c r="AZ1123" s="12"/>
      <c r="BA1123" s="12"/>
      <c r="BB1123" s="12"/>
      <c r="BC1123" s="12"/>
      <c r="BD1123" s="12"/>
      <c r="BE1123" s="12"/>
      <c r="BF1123" s="12"/>
      <c r="BG1123" s="12"/>
      <c r="BH1123" s="12"/>
      <c r="BI1123" s="12"/>
      <c r="BJ1123" s="12"/>
      <c r="BK1123" s="12"/>
      <c r="BL1123" s="12"/>
      <c r="BM1123" s="12"/>
      <c r="BN1123" s="12"/>
      <c r="BO1123" s="12"/>
      <c r="BP1123" s="12"/>
      <c r="BQ1123" s="12"/>
      <c r="BR1123" s="12"/>
      <c r="BS1123" s="12"/>
      <c r="BT1123" s="12"/>
      <c r="BU1123" s="12"/>
      <c r="BV1123" s="12"/>
      <c r="BW1123" s="12"/>
      <c r="BX1123" s="12"/>
      <c r="BY1123" s="12"/>
      <c r="BZ1123" s="12"/>
      <c r="CA1123" s="12"/>
      <c r="CB1123" s="12"/>
      <c r="CC1123" s="12"/>
      <c r="CD1123" s="12"/>
      <c r="CE1123" s="12"/>
      <c r="CF1123" s="12"/>
      <c r="CG1123" s="12"/>
      <c r="CH1123" s="12"/>
      <c r="CI1123" s="12"/>
      <c r="CJ1123" s="12"/>
      <c r="CK1123" s="12"/>
      <c r="CL1123" s="12"/>
      <c r="CM1123" s="12"/>
      <c r="CN1123" s="12"/>
      <c r="CO1123" s="12"/>
      <c r="CP1123" s="12"/>
      <c r="CQ1123" s="12"/>
      <c r="CR1123" s="12"/>
      <c r="CS1123" s="12"/>
      <c r="CT1123" s="12"/>
      <c r="CU1123" s="12"/>
      <c r="CV1123" s="12"/>
      <c r="CW1123" s="12"/>
      <c r="CX1123" s="12"/>
      <c r="CY1123" s="12"/>
      <c r="CZ1123" s="12"/>
      <c r="DA1123" s="12"/>
      <c r="DB1123" s="12"/>
      <c r="DC1123" s="12"/>
      <c r="DD1123" s="12"/>
      <c r="DE1123" s="12"/>
      <c r="DF1123" s="12"/>
      <c r="DG1123" s="12"/>
      <c r="DH1123" s="12"/>
      <c r="DI1123" s="12"/>
      <c r="DJ1123" s="12"/>
      <c r="DK1123" s="12"/>
      <c r="DL1123" s="12"/>
      <c r="DM1123" s="12"/>
      <c r="DN1123" s="12"/>
      <c r="DO1123" s="12"/>
      <c r="DP1123" s="12"/>
      <c r="DQ1123" s="12"/>
      <c r="DR1123" s="12"/>
      <c r="DS1123" s="12"/>
      <c r="DT1123" s="12"/>
      <c r="DU1123" s="12"/>
      <c r="DV1123" s="12"/>
      <c r="DW1123" s="12"/>
      <c r="DX1123" s="12"/>
      <c r="DY1123" s="12"/>
      <c r="DZ1123" s="12"/>
      <c r="EA1123" s="12"/>
      <c r="EB1123" s="12"/>
      <c r="EC1123" s="12"/>
      <c r="ED1123" s="12"/>
      <c r="EE1123" s="12"/>
      <c r="EF1123" s="12"/>
      <c r="EG1123" s="12"/>
      <c r="EH1123" s="12"/>
      <c r="EI1123" s="12"/>
      <c r="EJ1123" s="574"/>
      <c r="EK1123" s="574"/>
      <c r="EL1123" s="574"/>
      <c r="EM1123" s="574"/>
      <c r="EN1123" s="574"/>
      <c r="EO1123" s="574"/>
      <c r="EP1123" s="574"/>
      <c r="EQ1123" s="574"/>
      <c r="ER1123" s="574"/>
      <c r="ES1123" s="574"/>
      <c r="ET1123" s="574"/>
      <c r="EU1123" s="574"/>
    </row>
    <row r="1124">
      <c r="A1124" s="12"/>
      <c r="B1124" s="55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  <c r="AA1124" s="12"/>
      <c r="AB1124" s="12"/>
      <c r="AC1124" s="12"/>
      <c r="AD1124" s="12"/>
      <c r="AE1124" s="12"/>
      <c r="AF1124" s="12"/>
      <c r="AG1124" s="12"/>
      <c r="AH1124" s="12"/>
      <c r="AI1124" s="12"/>
      <c r="AJ1124" s="12"/>
      <c r="AK1124" s="12"/>
      <c r="AL1124" s="12"/>
      <c r="AM1124" s="12"/>
      <c r="AN1124" s="12"/>
      <c r="AO1124" s="12"/>
      <c r="AP1124" s="12"/>
      <c r="AQ1124" s="12"/>
      <c r="AR1124" s="12"/>
      <c r="AS1124" s="12"/>
      <c r="AT1124" s="12"/>
      <c r="AU1124" s="12"/>
      <c r="AV1124" s="12"/>
      <c r="AW1124" s="12"/>
      <c r="AX1124" s="12"/>
      <c r="AY1124" s="12"/>
      <c r="AZ1124" s="12"/>
      <c r="BA1124" s="12"/>
      <c r="BB1124" s="12"/>
      <c r="BC1124" s="12"/>
      <c r="BD1124" s="12"/>
      <c r="BE1124" s="12"/>
      <c r="BF1124" s="12"/>
      <c r="BG1124" s="12"/>
      <c r="BH1124" s="12"/>
      <c r="BI1124" s="12"/>
      <c r="BJ1124" s="12"/>
      <c r="BK1124" s="12"/>
      <c r="BL1124" s="12"/>
      <c r="BM1124" s="12"/>
      <c r="BN1124" s="12"/>
      <c r="BO1124" s="12"/>
      <c r="BP1124" s="12"/>
      <c r="BQ1124" s="12"/>
      <c r="BR1124" s="12"/>
      <c r="BS1124" s="12"/>
      <c r="BT1124" s="12"/>
      <c r="BU1124" s="12"/>
      <c r="BV1124" s="12"/>
      <c r="BW1124" s="12"/>
      <c r="BX1124" s="12"/>
      <c r="BY1124" s="12"/>
      <c r="BZ1124" s="12"/>
      <c r="CA1124" s="12"/>
      <c r="CB1124" s="12"/>
      <c r="CC1124" s="12"/>
      <c r="CD1124" s="12"/>
      <c r="CE1124" s="12"/>
      <c r="CF1124" s="12"/>
      <c r="CG1124" s="12"/>
      <c r="CH1124" s="12"/>
      <c r="CI1124" s="12"/>
      <c r="CJ1124" s="12"/>
      <c r="CK1124" s="12"/>
      <c r="CL1124" s="12"/>
      <c r="CM1124" s="12"/>
      <c r="CN1124" s="12"/>
      <c r="CO1124" s="12"/>
      <c r="CP1124" s="12"/>
      <c r="CQ1124" s="12"/>
      <c r="CR1124" s="12"/>
      <c r="CS1124" s="12"/>
      <c r="CT1124" s="12"/>
      <c r="CU1124" s="12"/>
      <c r="CV1124" s="12"/>
      <c r="CW1124" s="12"/>
      <c r="CX1124" s="12"/>
      <c r="CY1124" s="12"/>
      <c r="CZ1124" s="12"/>
      <c r="DA1124" s="12"/>
      <c r="DB1124" s="12"/>
      <c r="DC1124" s="12"/>
      <c r="DD1124" s="12"/>
      <c r="DE1124" s="12"/>
      <c r="DF1124" s="12"/>
      <c r="DG1124" s="12"/>
      <c r="DH1124" s="12"/>
      <c r="DI1124" s="12"/>
      <c r="DJ1124" s="12"/>
      <c r="DK1124" s="12"/>
      <c r="DL1124" s="12"/>
      <c r="DM1124" s="12"/>
      <c r="DN1124" s="12"/>
      <c r="DO1124" s="12"/>
      <c r="DP1124" s="12"/>
      <c r="DQ1124" s="12"/>
      <c r="DR1124" s="12"/>
      <c r="DS1124" s="12"/>
      <c r="DT1124" s="12"/>
      <c r="DU1124" s="12"/>
      <c r="DV1124" s="12"/>
      <c r="DW1124" s="12"/>
      <c r="DX1124" s="12"/>
      <c r="DY1124" s="12"/>
      <c r="DZ1124" s="12"/>
      <c r="EA1124" s="12"/>
      <c r="EB1124" s="12"/>
      <c r="EC1124" s="12"/>
      <c r="ED1124" s="12"/>
      <c r="EE1124" s="12"/>
      <c r="EF1124" s="12"/>
      <c r="EG1124" s="12"/>
      <c r="EH1124" s="12"/>
      <c r="EI1124" s="12"/>
      <c r="EJ1124" s="574"/>
      <c r="EK1124" s="574"/>
      <c r="EL1124" s="574"/>
      <c r="EM1124" s="574"/>
      <c r="EN1124" s="574"/>
      <c r="EO1124" s="574"/>
      <c r="EP1124" s="574"/>
      <c r="EQ1124" s="574"/>
      <c r="ER1124" s="574"/>
      <c r="ES1124" s="574"/>
      <c r="ET1124" s="574"/>
      <c r="EU1124" s="574"/>
    </row>
    <row r="1125">
      <c r="A1125" s="12"/>
      <c r="B1125" s="55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  <c r="AA1125" s="12"/>
      <c r="AB1125" s="12"/>
      <c r="AC1125" s="12"/>
      <c r="AD1125" s="12"/>
      <c r="AE1125" s="12"/>
      <c r="AF1125" s="12"/>
      <c r="AG1125" s="12"/>
      <c r="AH1125" s="12"/>
      <c r="AI1125" s="12"/>
      <c r="AJ1125" s="12"/>
      <c r="AK1125" s="12"/>
      <c r="AL1125" s="12"/>
      <c r="AM1125" s="12"/>
      <c r="AN1125" s="12"/>
      <c r="AO1125" s="12"/>
      <c r="AP1125" s="12"/>
      <c r="AQ1125" s="12"/>
      <c r="AR1125" s="12"/>
      <c r="AS1125" s="12"/>
      <c r="AT1125" s="12"/>
      <c r="AU1125" s="12"/>
      <c r="AV1125" s="12"/>
      <c r="AW1125" s="12"/>
      <c r="AX1125" s="12"/>
      <c r="AY1125" s="12"/>
      <c r="AZ1125" s="12"/>
      <c r="BA1125" s="12"/>
      <c r="BB1125" s="12"/>
      <c r="BC1125" s="12"/>
      <c r="BD1125" s="12"/>
      <c r="BE1125" s="12"/>
      <c r="BF1125" s="12"/>
      <c r="BG1125" s="12"/>
      <c r="BH1125" s="12"/>
      <c r="BI1125" s="12"/>
      <c r="BJ1125" s="12"/>
      <c r="BK1125" s="12"/>
      <c r="BL1125" s="12"/>
      <c r="BM1125" s="12"/>
      <c r="BN1125" s="12"/>
      <c r="BO1125" s="12"/>
      <c r="BP1125" s="12"/>
      <c r="BQ1125" s="12"/>
      <c r="BR1125" s="12"/>
      <c r="BS1125" s="12"/>
      <c r="BT1125" s="12"/>
      <c r="BU1125" s="12"/>
      <c r="BV1125" s="12"/>
      <c r="BW1125" s="12"/>
      <c r="BX1125" s="12"/>
      <c r="BY1125" s="12"/>
      <c r="BZ1125" s="12"/>
      <c r="CA1125" s="12"/>
      <c r="CB1125" s="12"/>
      <c r="CC1125" s="12"/>
      <c r="CD1125" s="12"/>
      <c r="CE1125" s="12"/>
      <c r="CF1125" s="12"/>
      <c r="CG1125" s="12"/>
      <c r="CH1125" s="12"/>
      <c r="CI1125" s="12"/>
      <c r="CJ1125" s="12"/>
      <c r="CK1125" s="12"/>
      <c r="CL1125" s="12"/>
      <c r="CM1125" s="12"/>
      <c r="CN1125" s="12"/>
      <c r="CO1125" s="12"/>
      <c r="CP1125" s="12"/>
      <c r="CQ1125" s="12"/>
      <c r="CR1125" s="12"/>
      <c r="CS1125" s="12"/>
      <c r="CT1125" s="12"/>
      <c r="CU1125" s="12"/>
      <c r="CV1125" s="12"/>
      <c r="CW1125" s="12"/>
      <c r="CX1125" s="12"/>
      <c r="CY1125" s="12"/>
      <c r="CZ1125" s="12"/>
      <c r="DA1125" s="12"/>
      <c r="DB1125" s="12"/>
      <c r="DC1125" s="12"/>
      <c r="DD1125" s="12"/>
      <c r="DE1125" s="12"/>
      <c r="DF1125" s="12"/>
      <c r="DG1125" s="12"/>
      <c r="DH1125" s="12"/>
      <c r="DI1125" s="12"/>
      <c r="DJ1125" s="12"/>
      <c r="DK1125" s="12"/>
      <c r="DL1125" s="12"/>
      <c r="DM1125" s="12"/>
      <c r="DN1125" s="12"/>
      <c r="DO1125" s="12"/>
      <c r="DP1125" s="12"/>
      <c r="DQ1125" s="12"/>
      <c r="DR1125" s="12"/>
      <c r="DS1125" s="12"/>
      <c r="DT1125" s="12"/>
      <c r="DU1125" s="12"/>
      <c r="DV1125" s="12"/>
      <c r="DW1125" s="12"/>
      <c r="DX1125" s="12"/>
      <c r="DY1125" s="12"/>
      <c r="DZ1125" s="12"/>
      <c r="EA1125" s="12"/>
      <c r="EB1125" s="12"/>
      <c r="EC1125" s="12"/>
      <c r="ED1125" s="12"/>
      <c r="EE1125" s="12"/>
      <c r="EF1125" s="12"/>
      <c r="EG1125" s="12"/>
      <c r="EH1125" s="12"/>
      <c r="EI1125" s="12"/>
      <c r="EJ1125" s="574"/>
      <c r="EK1125" s="574"/>
      <c r="EL1125" s="574"/>
      <c r="EM1125" s="574"/>
      <c r="EN1125" s="574"/>
      <c r="EO1125" s="574"/>
      <c r="EP1125" s="574"/>
      <c r="EQ1125" s="574"/>
      <c r="ER1125" s="574"/>
      <c r="ES1125" s="574"/>
      <c r="ET1125" s="574"/>
      <c r="EU1125" s="574"/>
    </row>
    <row r="1126">
      <c r="A1126" s="12"/>
      <c r="B1126" s="55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  <c r="Y1126" s="12"/>
      <c r="Z1126" s="12"/>
      <c r="AA1126" s="12"/>
      <c r="AB1126" s="12"/>
      <c r="AC1126" s="12"/>
      <c r="AD1126" s="12"/>
      <c r="AE1126" s="12"/>
      <c r="AF1126" s="12"/>
      <c r="AG1126" s="12"/>
      <c r="AH1126" s="12"/>
      <c r="AI1126" s="12"/>
      <c r="AJ1126" s="12"/>
      <c r="AK1126" s="12"/>
      <c r="AL1126" s="12"/>
      <c r="AM1126" s="12"/>
      <c r="AN1126" s="12"/>
      <c r="AO1126" s="12"/>
      <c r="AP1126" s="12"/>
      <c r="AQ1126" s="12"/>
      <c r="AR1126" s="12"/>
      <c r="AS1126" s="12"/>
      <c r="AT1126" s="12"/>
      <c r="AU1126" s="12"/>
      <c r="AV1126" s="12"/>
      <c r="AW1126" s="12"/>
      <c r="AX1126" s="12"/>
      <c r="AY1126" s="12"/>
      <c r="AZ1126" s="12"/>
      <c r="BA1126" s="12"/>
      <c r="BB1126" s="12"/>
      <c r="BC1126" s="12"/>
      <c r="BD1126" s="12"/>
      <c r="BE1126" s="12"/>
      <c r="BF1126" s="12"/>
      <c r="BG1126" s="12"/>
      <c r="BH1126" s="12"/>
      <c r="BI1126" s="12"/>
      <c r="BJ1126" s="12"/>
      <c r="BK1126" s="12"/>
      <c r="BL1126" s="12"/>
      <c r="BM1126" s="12"/>
      <c r="BN1126" s="12"/>
      <c r="BO1126" s="12"/>
      <c r="BP1126" s="12"/>
      <c r="BQ1126" s="12"/>
      <c r="BR1126" s="12"/>
      <c r="BS1126" s="12"/>
      <c r="BT1126" s="12"/>
      <c r="BU1126" s="12"/>
      <c r="BV1126" s="12"/>
      <c r="BW1126" s="12"/>
      <c r="BX1126" s="12"/>
      <c r="BY1126" s="12"/>
      <c r="BZ1126" s="12"/>
      <c r="CA1126" s="12"/>
      <c r="CB1126" s="12"/>
      <c r="CC1126" s="12"/>
      <c r="CD1126" s="12"/>
      <c r="CE1126" s="12"/>
      <c r="CF1126" s="12"/>
      <c r="CG1126" s="12"/>
      <c r="CH1126" s="12"/>
      <c r="CI1126" s="12"/>
      <c r="CJ1126" s="12"/>
      <c r="CK1126" s="12"/>
      <c r="CL1126" s="12"/>
      <c r="CM1126" s="12"/>
      <c r="CN1126" s="12"/>
      <c r="CO1126" s="12"/>
      <c r="CP1126" s="12"/>
      <c r="CQ1126" s="12"/>
      <c r="CR1126" s="12"/>
      <c r="CS1126" s="12"/>
      <c r="CT1126" s="12"/>
      <c r="CU1126" s="12"/>
      <c r="CV1126" s="12"/>
      <c r="CW1126" s="12"/>
      <c r="CX1126" s="12"/>
      <c r="CY1126" s="12"/>
      <c r="CZ1126" s="12"/>
      <c r="DA1126" s="12"/>
      <c r="DB1126" s="12"/>
      <c r="DC1126" s="12"/>
      <c r="DD1126" s="12"/>
      <c r="DE1126" s="12"/>
      <c r="DF1126" s="12"/>
      <c r="DG1126" s="12"/>
      <c r="DH1126" s="12"/>
      <c r="DI1126" s="12"/>
      <c r="DJ1126" s="12"/>
      <c r="DK1126" s="12"/>
      <c r="DL1126" s="12"/>
      <c r="DM1126" s="12"/>
      <c r="DN1126" s="12"/>
      <c r="DO1126" s="12"/>
      <c r="DP1126" s="12"/>
      <c r="DQ1126" s="12"/>
      <c r="DR1126" s="12"/>
      <c r="DS1126" s="12"/>
      <c r="DT1126" s="12"/>
      <c r="DU1126" s="12"/>
      <c r="DV1126" s="12"/>
      <c r="DW1126" s="12"/>
      <c r="DX1126" s="12"/>
      <c r="DY1126" s="12"/>
      <c r="DZ1126" s="12"/>
      <c r="EA1126" s="12"/>
      <c r="EB1126" s="12"/>
      <c r="EC1126" s="12"/>
      <c r="ED1126" s="12"/>
      <c r="EE1126" s="12"/>
      <c r="EF1126" s="12"/>
      <c r="EG1126" s="12"/>
      <c r="EH1126" s="12"/>
      <c r="EI1126" s="12"/>
      <c r="EJ1126" s="574"/>
      <c r="EK1126" s="574"/>
      <c r="EL1126" s="574"/>
      <c r="EM1126" s="574"/>
      <c r="EN1126" s="574"/>
      <c r="EO1126" s="574"/>
      <c r="EP1126" s="574"/>
      <c r="EQ1126" s="574"/>
      <c r="ER1126" s="574"/>
      <c r="ES1126" s="574"/>
      <c r="ET1126" s="574"/>
      <c r="EU1126" s="574"/>
    </row>
    <row r="1127">
      <c r="A1127" s="12"/>
      <c r="B1127" s="55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  <c r="Y1127" s="12"/>
      <c r="Z1127" s="12"/>
      <c r="AA1127" s="12"/>
      <c r="AB1127" s="12"/>
      <c r="AC1127" s="12"/>
      <c r="AD1127" s="12"/>
      <c r="AE1127" s="12"/>
      <c r="AF1127" s="12"/>
      <c r="AG1127" s="12"/>
      <c r="AH1127" s="12"/>
      <c r="AI1127" s="12"/>
      <c r="AJ1127" s="12"/>
      <c r="AK1127" s="12"/>
      <c r="AL1127" s="12"/>
      <c r="AM1127" s="12"/>
      <c r="AN1127" s="12"/>
      <c r="AO1127" s="12"/>
      <c r="AP1127" s="12"/>
      <c r="AQ1127" s="12"/>
      <c r="AR1127" s="12"/>
      <c r="AS1127" s="12"/>
      <c r="AT1127" s="12"/>
      <c r="AU1127" s="12"/>
      <c r="AV1127" s="12"/>
      <c r="AW1127" s="12"/>
      <c r="AX1127" s="12"/>
      <c r="AY1127" s="12"/>
      <c r="AZ1127" s="12"/>
      <c r="BA1127" s="12"/>
      <c r="BB1127" s="12"/>
      <c r="BC1127" s="12"/>
      <c r="BD1127" s="12"/>
      <c r="BE1127" s="12"/>
      <c r="BF1127" s="12"/>
      <c r="BG1127" s="12"/>
      <c r="BH1127" s="12"/>
      <c r="BI1127" s="12"/>
      <c r="BJ1127" s="12"/>
      <c r="BK1127" s="12"/>
      <c r="BL1127" s="12"/>
      <c r="BM1127" s="12"/>
      <c r="BN1127" s="12"/>
      <c r="BO1127" s="12"/>
      <c r="BP1127" s="12"/>
      <c r="BQ1127" s="12"/>
      <c r="BR1127" s="12"/>
      <c r="BS1127" s="12"/>
      <c r="BT1127" s="12"/>
      <c r="BU1127" s="12"/>
      <c r="BV1127" s="12"/>
      <c r="BW1127" s="12"/>
      <c r="BX1127" s="12"/>
      <c r="BY1127" s="12"/>
      <c r="BZ1127" s="12"/>
      <c r="CA1127" s="12"/>
      <c r="CB1127" s="12"/>
      <c r="CC1127" s="12"/>
      <c r="CD1127" s="12"/>
      <c r="CE1127" s="12"/>
      <c r="CF1127" s="12"/>
      <c r="CG1127" s="12"/>
      <c r="CH1127" s="12"/>
      <c r="CI1127" s="12"/>
      <c r="CJ1127" s="12"/>
      <c r="CK1127" s="12"/>
      <c r="CL1127" s="12"/>
      <c r="CM1127" s="12"/>
      <c r="CN1127" s="12"/>
      <c r="CO1127" s="12"/>
      <c r="CP1127" s="12"/>
      <c r="CQ1127" s="12"/>
      <c r="CR1127" s="12"/>
      <c r="CS1127" s="12"/>
      <c r="CT1127" s="12"/>
      <c r="CU1127" s="12"/>
      <c r="CV1127" s="12"/>
      <c r="CW1127" s="12"/>
      <c r="CX1127" s="12"/>
      <c r="CY1127" s="12"/>
      <c r="CZ1127" s="12"/>
      <c r="DA1127" s="12"/>
      <c r="DB1127" s="12"/>
      <c r="DC1127" s="12"/>
      <c r="DD1127" s="12"/>
      <c r="DE1127" s="12"/>
      <c r="DF1127" s="12"/>
      <c r="DG1127" s="12"/>
      <c r="DH1127" s="12"/>
      <c r="DI1127" s="12"/>
      <c r="DJ1127" s="12"/>
      <c r="DK1127" s="12"/>
      <c r="DL1127" s="12"/>
      <c r="DM1127" s="12"/>
      <c r="DN1127" s="12"/>
      <c r="DO1127" s="12"/>
      <c r="DP1127" s="12"/>
      <c r="DQ1127" s="12"/>
      <c r="DR1127" s="12"/>
      <c r="DS1127" s="12"/>
      <c r="DT1127" s="12"/>
      <c r="DU1127" s="12"/>
      <c r="DV1127" s="12"/>
      <c r="DW1127" s="12"/>
      <c r="DX1127" s="12"/>
      <c r="DY1127" s="12"/>
      <c r="DZ1127" s="12"/>
      <c r="EA1127" s="12"/>
      <c r="EB1127" s="12"/>
      <c r="EC1127" s="12"/>
      <c r="ED1127" s="12"/>
      <c r="EE1127" s="12"/>
      <c r="EF1127" s="12"/>
      <c r="EG1127" s="12"/>
      <c r="EH1127" s="12"/>
      <c r="EI1127" s="12"/>
      <c r="EJ1127" s="574"/>
      <c r="EK1127" s="574"/>
      <c r="EL1127" s="574"/>
      <c r="EM1127" s="574"/>
      <c r="EN1127" s="574"/>
      <c r="EO1127" s="574"/>
      <c r="EP1127" s="574"/>
      <c r="EQ1127" s="574"/>
      <c r="ER1127" s="574"/>
      <c r="ES1127" s="574"/>
      <c r="ET1127" s="574"/>
      <c r="EU1127" s="574"/>
    </row>
    <row r="1128">
      <c r="A1128" s="12"/>
      <c r="B1128" s="55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  <c r="Y1128" s="12"/>
      <c r="Z1128" s="12"/>
      <c r="AA1128" s="12"/>
      <c r="AB1128" s="12"/>
      <c r="AC1128" s="12"/>
      <c r="AD1128" s="12"/>
      <c r="AE1128" s="12"/>
      <c r="AF1128" s="12"/>
      <c r="AG1128" s="12"/>
      <c r="AH1128" s="12"/>
      <c r="AI1128" s="12"/>
      <c r="AJ1128" s="12"/>
      <c r="AK1128" s="12"/>
      <c r="AL1128" s="12"/>
      <c r="AM1128" s="12"/>
      <c r="AN1128" s="12"/>
      <c r="AO1128" s="12"/>
      <c r="AP1128" s="12"/>
      <c r="AQ1128" s="12"/>
      <c r="AR1128" s="12"/>
      <c r="AS1128" s="12"/>
      <c r="AT1128" s="12"/>
      <c r="AU1128" s="12"/>
      <c r="AV1128" s="12"/>
      <c r="AW1128" s="12"/>
      <c r="AX1128" s="12"/>
      <c r="AY1128" s="12"/>
      <c r="AZ1128" s="12"/>
      <c r="BA1128" s="12"/>
      <c r="BB1128" s="12"/>
      <c r="BC1128" s="12"/>
      <c r="BD1128" s="12"/>
      <c r="BE1128" s="12"/>
      <c r="BF1128" s="12"/>
      <c r="BG1128" s="12"/>
      <c r="BH1128" s="12"/>
      <c r="BI1128" s="12"/>
      <c r="BJ1128" s="12"/>
      <c r="BK1128" s="12"/>
      <c r="BL1128" s="12"/>
      <c r="BM1128" s="12"/>
      <c r="BN1128" s="12"/>
      <c r="BO1128" s="12"/>
      <c r="BP1128" s="12"/>
      <c r="BQ1128" s="12"/>
      <c r="BR1128" s="12"/>
      <c r="BS1128" s="12"/>
      <c r="BT1128" s="12"/>
      <c r="BU1128" s="12"/>
      <c r="BV1128" s="12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574"/>
      <c r="EK1128" s="574"/>
      <c r="EL1128" s="574"/>
      <c r="EM1128" s="574"/>
      <c r="EN1128" s="574"/>
      <c r="EO1128" s="574"/>
      <c r="EP1128" s="574"/>
      <c r="EQ1128" s="574"/>
      <c r="ER1128" s="574"/>
      <c r="ES1128" s="574"/>
      <c r="ET1128" s="574"/>
      <c r="EU1128" s="574"/>
    </row>
    <row r="1129">
      <c r="A1129" s="12"/>
      <c r="B1129" s="55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  <c r="Y1129" s="12"/>
      <c r="Z1129" s="12"/>
      <c r="AA1129" s="12"/>
      <c r="AB1129" s="12"/>
      <c r="AC1129" s="12"/>
      <c r="AD1129" s="12"/>
      <c r="AE1129" s="12"/>
      <c r="AF1129" s="12"/>
      <c r="AG1129" s="12"/>
      <c r="AH1129" s="12"/>
      <c r="AI1129" s="12"/>
      <c r="AJ1129" s="12"/>
      <c r="AK1129" s="12"/>
      <c r="AL1129" s="12"/>
      <c r="AM1129" s="12"/>
      <c r="AN1129" s="12"/>
      <c r="AO1129" s="12"/>
      <c r="AP1129" s="12"/>
      <c r="AQ1129" s="12"/>
      <c r="AR1129" s="12"/>
      <c r="AS1129" s="12"/>
      <c r="AT1129" s="12"/>
      <c r="AU1129" s="12"/>
      <c r="AV1129" s="12"/>
      <c r="AW1129" s="12"/>
      <c r="AX1129" s="12"/>
      <c r="AY1129" s="12"/>
      <c r="AZ1129" s="12"/>
      <c r="BA1129" s="12"/>
      <c r="BB1129" s="12"/>
      <c r="BC1129" s="12"/>
      <c r="BD1129" s="12"/>
      <c r="BE1129" s="12"/>
      <c r="BF1129" s="12"/>
      <c r="BG1129" s="12"/>
      <c r="BH1129" s="12"/>
      <c r="BI1129" s="12"/>
      <c r="BJ1129" s="12"/>
      <c r="BK1129" s="12"/>
      <c r="BL1129" s="12"/>
      <c r="BM1129" s="12"/>
      <c r="BN1129" s="12"/>
      <c r="BO1129" s="12"/>
      <c r="BP1129" s="12"/>
      <c r="BQ1129" s="12"/>
      <c r="BR1129" s="12"/>
      <c r="BS1129" s="12"/>
      <c r="BT1129" s="12"/>
      <c r="BU1129" s="12"/>
      <c r="BV1129" s="12"/>
      <c r="BW1129" s="12"/>
      <c r="BX1129" s="12"/>
      <c r="BY1129" s="12"/>
      <c r="BZ1129" s="12"/>
      <c r="CA1129" s="12"/>
      <c r="CB1129" s="12"/>
      <c r="CC1129" s="12"/>
      <c r="CD1129" s="12"/>
      <c r="CE1129" s="12"/>
      <c r="CF1129" s="12"/>
      <c r="CG1129" s="12"/>
      <c r="CH1129" s="12"/>
      <c r="CI1129" s="12"/>
      <c r="CJ1129" s="12"/>
      <c r="CK1129" s="12"/>
      <c r="CL1129" s="12"/>
      <c r="CM1129" s="12"/>
      <c r="CN1129" s="12"/>
      <c r="CO1129" s="12"/>
      <c r="CP1129" s="12"/>
      <c r="CQ1129" s="12"/>
      <c r="CR1129" s="12"/>
      <c r="CS1129" s="12"/>
      <c r="CT1129" s="12"/>
      <c r="CU1129" s="12"/>
      <c r="CV1129" s="12"/>
      <c r="CW1129" s="12"/>
      <c r="CX1129" s="12"/>
      <c r="CY1129" s="12"/>
      <c r="CZ1129" s="12"/>
      <c r="DA1129" s="12"/>
      <c r="DB1129" s="12"/>
      <c r="DC1129" s="12"/>
      <c r="DD1129" s="12"/>
      <c r="DE1129" s="12"/>
      <c r="DF1129" s="12"/>
      <c r="DG1129" s="12"/>
      <c r="DH1129" s="12"/>
      <c r="DI1129" s="12"/>
      <c r="DJ1129" s="12"/>
      <c r="DK1129" s="12"/>
      <c r="DL1129" s="12"/>
      <c r="DM1129" s="12"/>
      <c r="DN1129" s="12"/>
      <c r="DO1129" s="12"/>
      <c r="DP1129" s="12"/>
      <c r="DQ1129" s="12"/>
      <c r="DR1129" s="12"/>
      <c r="DS1129" s="12"/>
      <c r="DT1129" s="12"/>
      <c r="DU1129" s="12"/>
      <c r="DV1129" s="12"/>
      <c r="DW1129" s="12"/>
      <c r="DX1129" s="12"/>
      <c r="DY1129" s="12"/>
      <c r="DZ1129" s="12"/>
      <c r="EA1129" s="12"/>
      <c r="EB1129" s="12"/>
      <c r="EC1129" s="12"/>
      <c r="ED1129" s="12"/>
      <c r="EE1129" s="12"/>
      <c r="EF1129" s="12"/>
      <c r="EG1129" s="12"/>
      <c r="EH1129" s="12"/>
      <c r="EI1129" s="12"/>
      <c r="EJ1129" s="574"/>
      <c r="EK1129" s="574"/>
      <c r="EL1129" s="574"/>
      <c r="EM1129" s="574"/>
      <c r="EN1129" s="574"/>
      <c r="EO1129" s="574"/>
      <c r="EP1129" s="574"/>
      <c r="EQ1129" s="574"/>
      <c r="ER1129" s="574"/>
      <c r="ES1129" s="574"/>
      <c r="ET1129" s="574"/>
      <c r="EU1129" s="574"/>
    </row>
    <row r="1130">
      <c r="A1130" s="12"/>
      <c r="B1130" s="55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  <c r="Y1130" s="12"/>
      <c r="Z1130" s="12"/>
      <c r="AA1130" s="12"/>
      <c r="AB1130" s="12"/>
      <c r="AC1130" s="12"/>
      <c r="AD1130" s="12"/>
      <c r="AE1130" s="12"/>
      <c r="AF1130" s="12"/>
      <c r="AG1130" s="12"/>
      <c r="AH1130" s="12"/>
      <c r="AI1130" s="12"/>
      <c r="AJ1130" s="12"/>
      <c r="AK1130" s="12"/>
      <c r="AL1130" s="12"/>
      <c r="AM1130" s="12"/>
      <c r="AN1130" s="12"/>
      <c r="AO1130" s="12"/>
      <c r="AP1130" s="12"/>
      <c r="AQ1130" s="12"/>
      <c r="AR1130" s="12"/>
      <c r="AS1130" s="12"/>
      <c r="AT1130" s="12"/>
      <c r="AU1130" s="12"/>
      <c r="AV1130" s="12"/>
      <c r="AW1130" s="12"/>
      <c r="AX1130" s="12"/>
      <c r="AY1130" s="12"/>
      <c r="AZ1130" s="12"/>
      <c r="BA1130" s="12"/>
      <c r="BB1130" s="12"/>
      <c r="BC1130" s="12"/>
      <c r="BD1130" s="12"/>
      <c r="BE1130" s="12"/>
      <c r="BF1130" s="12"/>
      <c r="BG1130" s="12"/>
      <c r="BH1130" s="12"/>
      <c r="BI1130" s="12"/>
      <c r="BJ1130" s="12"/>
      <c r="BK1130" s="12"/>
      <c r="BL1130" s="12"/>
      <c r="BM1130" s="12"/>
      <c r="BN1130" s="12"/>
      <c r="BO1130" s="12"/>
      <c r="BP1130" s="12"/>
      <c r="BQ1130" s="12"/>
      <c r="BR1130" s="12"/>
      <c r="BS1130" s="12"/>
      <c r="BT1130" s="12"/>
      <c r="BU1130" s="12"/>
      <c r="BV1130" s="12"/>
      <c r="BW1130" s="12"/>
      <c r="BX1130" s="12"/>
      <c r="BY1130" s="12"/>
      <c r="BZ1130" s="12"/>
      <c r="CA1130" s="12"/>
      <c r="CB1130" s="12"/>
      <c r="CC1130" s="12"/>
      <c r="CD1130" s="12"/>
      <c r="CE1130" s="12"/>
      <c r="CF1130" s="12"/>
      <c r="CG1130" s="12"/>
      <c r="CH1130" s="12"/>
      <c r="CI1130" s="12"/>
      <c r="CJ1130" s="12"/>
      <c r="CK1130" s="12"/>
      <c r="CL1130" s="12"/>
      <c r="CM1130" s="12"/>
      <c r="CN1130" s="12"/>
      <c r="CO1130" s="12"/>
      <c r="CP1130" s="12"/>
      <c r="CQ1130" s="12"/>
      <c r="CR1130" s="12"/>
      <c r="CS1130" s="12"/>
      <c r="CT1130" s="12"/>
      <c r="CU1130" s="12"/>
      <c r="CV1130" s="12"/>
      <c r="CW1130" s="12"/>
      <c r="CX1130" s="12"/>
      <c r="CY1130" s="12"/>
      <c r="CZ1130" s="12"/>
      <c r="DA1130" s="12"/>
      <c r="DB1130" s="12"/>
      <c r="DC1130" s="12"/>
      <c r="DD1130" s="12"/>
      <c r="DE1130" s="12"/>
      <c r="DF1130" s="12"/>
      <c r="DG1130" s="12"/>
      <c r="DH1130" s="12"/>
      <c r="DI1130" s="12"/>
      <c r="DJ1130" s="12"/>
      <c r="DK1130" s="12"/>
      <c r="DL1130" s="12"/>
      <c r="DM1130" s="12"/>
      <c r="DN1130" s="12"/>
      <c r="DO1130" s="12"/>
      <c r="DP1130" s="12"/>
      <c r="DQ1130" s="12"/>
      <c r="DR1130" s="12"/>
      <c r="DS1130" s="12"/>
      <c r="DT1130" s="12"/>
      <c r="DU1130" s="12"/>
      <c r="DV1130" s="12"/>
      <c r="DW1130" s="12"/>
      <c r="DX1130" s="12"/>
      <c r="DY1130" s="12"/>
      <c r="DZ1130" s="12"/>
      <c r="EA1130" s="12"/>
      <c r="EB1130" s="12"/>
      <c r="EC1130" s="12"/>
      <c r="ED1130" s="12"/>
      <c r="EE1130" s="12"/>
      <c r="EF1130" s="12"/>
      <c r="EG1130" s="12"/>
      <c r="EH1130" s="12"/>
      <c r="EI1130" s="12"/>
      <c r="EJ1130" s="574"/>
      <c r="EK1130" s="574"/>
      <c r="EL1130" s="574"/>
      <c r="EM1130" s="574"/>
      <c r="EN1130" s="574"/>
      <c r="EO1130" s="574"/>
      <c r="EP1130" s="574"/>
      <c r="EQ1130" s="574"/>
      <c r="ER1130" s="574"/>
      <c r="ES1130" s="574"/>
      <c r="ET1130" s="574"/>
      <c r="EU1130" s="574"/>
    </row>
    <row r="1131">
      <c r="A1131" s="12"/>
      <c r="B1131" s="55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  <c r="Y1131" s="12"/>
      <c r="Z1131" s="12"/>
      <c r="AA1131" s="12"/>
      <c r="AB1131" s="12"/>
      <c r="AC1131" s="12"/>
      <c r="AD1131" s="12"/>
      <c r="AE1131" s="12"/>
      <c r="AF1131" s="12"/>
      <c r="AG1131" s="12"/>
      <c r="AH1131" s="12"/>
      <c r="AI1131" s="12"/>
      <c r="AJ1131" s="12"/>
      <c r="AK1131" s="12"/>
      <c r="AL1131" s="12"/>
      <c r="AM1131" s="12"/>
      <c r="AN1131" s="12"/>
      <c r="AO1131" s="12"/>
      <c r="AP1131" s="12"/>
      <c r="AQ1131" s="12"/>
      <c r="AR1131" s="12"/>
      <c r="AS1131" s="12"/>
      <c r="AT1131" s="12"/>
      <c r="AU1131" s="12"/>
      <c r="AV1131" s="12"/>
      <c r="AW1131" s="12"/>
      <c r="AX1131" s="12"/>
      <c r="AY1131" s="12"/>
      <c r="AZ1131" s="12"/>
      <c r="BA1131" s="12"/>
      <c r="BB1131" s="12"/>
      <c r="BC1131" s="12"/>
      <c r="BD1131" s="12"/>
      <c r="BE1131" s="12"/>
      <c r="BF1131" s="12"/>
      <c r="BG1131" s="12"/>
      <c r="BH1131" s="12"/>
      <c r="BI1131" s="12"/>
      <c r="BJ1131" s="12"/>
      <c r="BK1131" s="12"/>
      <c r="BL1131" s="12"/>
      <c r="BM1131" s="12"/>
      <c r="BN1131" s="12"/>
      <c r="BO1131" s="12"/>
      <c r="BP1131" s="12"/>
      <c r="BQ1131" s="12"/>
      <c r="BR1131" s="12"/>
      <c r="BS1131" s="12"/>
      <c r="BT1131" s="12"/>
      <c r="BU1131" s="12"/>
      <c r="BV1131" s="12"/>
      <c r="BW1131" s="12"/>
      <c r="BX1131" s="12"/>
      <c r="BY1131" s="12"/>
      <c r="BZ1131" s="12"/>
      <c r="CA1131" s="12"/>
      <c r="CB1131" s="12"/>
      <c r="CC1131" s="12"/>
      <c r="CD1131" s="12"/>
      <c r="CE1131" s="12"/>
      <c r="CF1131" s="12"/>
      <c r="CG1131" s="12"/>
      <c r="CH1131" s="12"/>
      <c r="CI1131" s="12"/>
      <c r="CJ1131" s="12"/>
      <c r="CK1131" s="12"/>
      <c r="CL1131" s="12"/>
      <c r="CM1131" s="12"/>
      <c r="CN1131" s="12"/>
      <c r="CO1131" s="12"/>
      <c r="CP1131" s="12"/>
      <c r="CQ1131" s="12"/>
      <c r="CR1131" s="12"/>
      <c r="CS1131" s="12"/>
      <c r="CT1131" s="12"/>
      <c r="CU1131" s="12"/>
      <c r="CV1131" s="12"/>
      <c r="CW1131" s="12"/>
      <c r="CX1131" s="12"/>
      <c r="CY1131" s="12"/>
      <c r="CZ1131" s="12"/>
      <c r="DA1131" s="12"/>
      <c r="DB1131" s="12"/>
      <c r="DC1131" s="12"/>
      <c r="DD1131" s="12"/>
      <c r="DE1131" s="12"/>
      <c r="DF1131" s="12"/>
      <c r="DG1131" s="12"/>
      <c r="DH1131" s="12"/>
      <c r="DI1131" s="12"/>
      <c r="DJ1131" s="12"/>
      <c r="DK1131" s="12"/>
      <c r="DL1131" s="12"/>
      <c r="DM1131" s="12"/>
      <c r="DN1131" s="12"/>
      <c r="DO1131" s="12"/>
      <c r="DP1131" s="12"/>
      <c r="DQ1131" s="12"/>
      <c r="DR1131" s="12"/>
      <c r="DS1131" s="12"/>
      <c r="DT1131" s="12"/>
      <c r="DU1131" s="12"/>
      <c r="DV1131" s="12"/>
      <c r="DW1131" s="12"/>
      <c r="DX1131" s="12"/>
      <c r="DY1131" s="12"/>
      <c r="DZ1131" s="12"/>
      <c r="EA1131" s="12"/>
      <c r="EB1131" s="12"/>
      <c r="EC1131" s="12"/>
      <c r="ED1131" s="12"/>
      <c r="EE1131" s="12"/>
      <c r="EF1131" s="12"/>
      <c r="EG1131" s="12"/>
      <c r="EH1131" s="12"/>
      <c r="EI1131" s="12"/>
      <c r="EJ1131" s="574"/>
      <c r="EK1131" s="574"/>
      <c r="EL1131" s="574"/>
      <c r="EM1131" s="574"/>
      <c r="EN1131" s="574"/>
      <c r="EO1131" s="574"/>
      <c r="EP1131" s="574"/>
      <c r="EQ1131" s="574"/>
      <c r="ER1131" s="574"/>
      <c r="ES1131" s="574"/>
      <c r="ET1131" s="574"/>
      <c r="EU1131" s="574"/>
    </row>
    <row r="1132">
      <c r="A1132" s="12"/>
      <c r="B1132" s="55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2"/>
      <c r="V1132" s="12"/>
      <c r="W1132" s="12"/>
      <c r="X1132" s="12"/>
      <c r="Y1132" s="12"/>
      <c r="Z1132" s="12"/>
      <c r="AA1132" s="12"/>
      <c r="AB1132" s="12"/>
      <c r="AC1132" s="12"/>
      <c r="AD1132" s="12"/>
      <c r="AE1132" s="12"/>
      <c r="AF1132" s="12"/>
      <c r="AG1132" s="12"/>
      <c r="AH1132" s="12"/>
      <c r="AI1132" s="12"/>
      <c r="AJ1132" s="12"/>
      <c r="AK1132" s="12"/>
      <c r="AL1132" s="12"/>
      <c r="AM1132" s="12"/>
      <c r="AN1132" s="12"/>
      <c r="AO1132" s="12"/>
      <c r="AP1132" s="12"/>
      <c r="AQ1132" s="12"/>
      <c r="AR1132" s="12"/>
      <c r="AS1132" s="12"/>
      <c r="AT1132" s="12"/>
      <c r="AU1132" s="12"/>
      <c r="AV1132" s="12"/>
      <c r="AW1132" s="12"/>
      <c r="AX1132" s="12"/>
      <c r="AY1132" s="12"/>
      <c r="AZ1132" s="12"/>
      <c r="BA1132" s="12"/>
      <c r="BB1132" s="12"/>
      <c r="BC1132" s="12"/>
      <c r="BD1132" s="12"/>
      <c r="BE1132" s="12"/>
      <c r="BF1132" s="12"/>
      <c r="BG1132" s="12"/>
      <c r="BH1132" s="12"/>
      <c r="BI1132" s="12"/>
      <c r="BJ1132" s="12"/>
      <c r="BK1132" s="12"/>
      <c r="BL1132" s="12"/>
      <c r="BM1132" s="12"/>
      <c r="BN1132" s="12"/>
      <c r="BO1132" s="12"/>
      <c r="BP1132" s="12"/>
      <c r="BQ1132" s="12"/>
      <c r="BR1132" s="12"/>
      <c r="BS1132" s="12"/>
      <c r="BT1132" s="12"/>
      <c r="BU1132" s="12"/>
      <c r="BV1132" s="12"/>
      <c r="BW1132" s="12"/>
      <c r="BX1132" s="12"/>
      <c r="BY1132" s="12"/>
      <c r="BZ1132" s="12"/>
      <c r="CA1132" s="12"/>
      <c r="CB1132" s="12"/>
      <c r="CC1132" s="12"/>
      <c r="CD1132" s="12"/>
      <c r="CE1132" s="12"/>
      <c r="CF1132" s="12"/>
      <c r="CG1132" s="12"/>
      <c r="CH1132" s="12"/>
      <c r="CI1132" s="12"/>
      <c r="CJ1132" s="12"/>
      <c r="CK1132" s="12"/>
      <c r="CL1132" s="12"/>
      <c r="CM1132" s="12"/>
      <c r="CN1132" s="12"/>
      <c r="CO1132" s="12"/>
      <c r="CP1132" s="12"/>
      <c r="CQ1132" s="12"/>
      <c r="CR1132" s="12"/>
      <c r="CS1132" s="12"/>
      <c r="CT1132" s="12"/>
      <c r="CU1132" s="12"/>
      <c r="CV1132" s="12"/>
      <c r="CW1132" s="12"/>
      <c r="CX1132" s="12"/>
      <c r="CY1132" s="12"/>
      <c r="CZ1132" s="12"/>
      <c r="DA1132" s="12"/>
      <c r="DB1132" s="12"/>
      <c r="DC1132" s="12"/>
      <c r="DD1132" s="12"/>
      <c r="DE1132" s="12"/>
      <c r="DF1132" s="12"/>
      <c r="DG1132" s="12"/>
      <c r="DH1132" s="12"/>
      <c r="DI1132" s="12"/>
      <c r="DJ1132" s="12"/>
      <c r="DK1132" s="12"/>
      <c r="DL1132" s="12"/>
      <c r="DM1132" s="12"/>
      <c r="DN1132" s="12"/>
      <c r="DO1132" s="12"/>
      <c r="DP1132" s="12"/>
      <c r="DQ1132" s="12"/>
      <c r="DR1132" s="12"/>
      <c r="DS1132" s="12"/>
      <c r="DT1132" s="12"/>
      <c r="DU1132" s="12"/>
      <c r="DV1132" s="12"/>
      <c r="DW1132" s="12"/>
      <c r="DX1132" s="12"/>
      <c r="DY1132" s="12"/>
      <c r="DZ1132" s="12"/>
      <c r="EA1132" s="12"/>
      <c r="EB1132" s="12"/>
      <c r="EC1132" s="12"/>
      <c r="ED1132" s="12"/>
      <c r="EE1132" s="12"/>
      <c r="EF1132" s="12"/>
      <c r="EG1132" s="12"/>
      <c r="EH1132" s="12"/>
      <c r="EI1132" s="12"/>
      <c r="EJ1132" s="574"/>
      <c r="EK1132" s="574"/>
      <c r="EL1132" s="574"/>
      <c r="EM1132" s="574"/>
      <c r="EN1132" s="574"/>
      <c r="EO1132" s="574"/>
      <c r="EP1132" s="574"/>
      <c r="EQ1132" s="574"/>
      <c r="ER1132" s="574"/>
      <c r="ES1132" s="574"/>
      <c r="ET1132" s="574"/>
      <c r="EU1132" s="574"/>
    </row>
    <row r="1133">
      <c r="A1133" s="12"/>
      <c r="B1133" s="55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  <c r="Y1133" s="12"/>
      <c r="Z1133" s="12"/>
      <c r="AA1133" s="12"/>
      <c r="AB1133" s="12"/>
      <c r="AC1133" s="12"/>
      <c r="AD1133" s="12"/>
      <c r="AE1133" s="12"/>
      <c r="AF1133" s="12"/>
      <c r="AG1133" s="12"/>
      <c r="AH1133" s="12"/>
      <c r="AI1133" s="12"/>
      <c r="AJ1133" s="12"/>
      <c r="AK1133" s="12"/>
      <c r="AL1133" s="12"/>
      <c r="AM1133" s="12"/>
      <c r="AN1133" s="12"/>
      <c r="AO1133" s="12"/>
      <c r="AP1133" s="12"/>
      <c r="AQ1133" s="12"/>
      <c r="AR1133" s="12"/>
      <c r="AS1133" s="12"/>
      <c r="AT1133" s="12"/>
      <c r="AU1133" s="12"/>
      <c r="AV1133" s="12"/>
      <c r="AW1133" s="12"/>
      <c r="AX1133" s="12"/>
      <c r="AY1133" s="12"/>
      <c r="AZ1133" s="12"/>
      <c r="BA1133" s="12"/>
      <c r="BB1133" s="12"/>
      <c r="BC1133" s="12"/>
      <c r="BD1133" s="12"/>
      <c r="BE1133" s="12"/>
      <c r="BF1133" s="12"/>
      <c r="BG1133" s="12"/>
      <c r="BH1133" s="12"/>
      <c r="BI1133" s="12"/>
      <c r="BJ1133" s="12"/>
      <c r="BK1133" s="12"/>
      <c r="BL1133" s="12"/>
      <c r="BM1133" s="12"/>
      <c r="BN1133" s="12"/>
      <c r="BO1133" s="12"/>
      <c r="BP1133" s="12"/>
      <c r="BQ1133" s="12"/>
      <c r="BR1133" s="12"/>
      <c r="BS1133" s="12"/>
      <c r="BT1133" s="12"/>
      <c r="BU1133" s="12"/>
      <c r="BV1133" s="12"/>
      <c r="BW1133" s="12"/>
      <c r="BX1133" s="12"/>
      <c r="BY1133" s="12"/>
      <c r="BZ1133" s="12"/>
      <c r="CA1133" s="12"/>
      <c r="CB1133" s="12"/>
      <c r="CC1133" s="12"/>
      <c r="CD1133" s="12"/>
      <c r="CE1133" s="12"/>
      <c r="CF1133" s="12"/>
      <c r="CG1133" s="12"/>
      <c r="CH1133" s="12"/>
      <c r="CI1133" s="12"/>
      <c r="CJ1133" s="12"/>
      <c r="CK1133" s="12"/>
      <c r="CL1133" s="12"/>
      <c r="CM1133" s="12"/>
      <c r="CN1133" s="12"/>
      <c r="CO1133" s="12"/>
      <c r="CP1133" s="12"/>
      <c r="CQ1133" s="12"/>
      <c r="CR1133" s="12"/>
      <c r="CS1133" s="12"/>
      <c r="CT1133" s="12"/>
      <c r="CU1133" s="12"/>
      <c r="CV1133" s="12"/>
      <c r="CW1133" s="12"/>
      <c r="CX1133" s="12"/>
      <c r="CY1133" s="12"/>
      <c r="CZ1133" s="12"/>
      <c r="DA1133" s="12"/>
      <c r="DB1133" s="12"/>
      <c r="DC1133" s="12"/>
      <c r="DD1133" s="12"/>
      <c r="DE1133" s="12"/>
      <c r="DF1133" s="12"/>
      <c r="DG1133" s="12"/>
      <c r="DH1133" s="12"/>
      <c r="DI1133" s="12"/>
      <c r="DJ1133" s="12"/>
      <c r="DK1133" s="12"/>
      <c r="DL1133" s="12"/>
      <c r="DM1133" s="12"/>
      <c r="DN1133" s="12"/>
      <c r="DO1133" s="12"/>
      <c r="DP1133" s="12"/>
      <c r="DQ1133" s="12"/>
      <c r="DR1133" s="12"/>
      <c r="DS1133" s="12"/>
      <c r="DT1133" s="12"/>
      <c r="DU1133" s="12"/>
      <c r="DV1133" s="12"/>
      <c r="DW1133" s="12"/>
      <c r="DX1133" s="12"/>
      <c r="DY1133" s="12"/>
      <c r="DZ1133" s="12"/>
      <c r="EA1133" s="12"/>
      <c r="EB1133" s="12"/>
      <c r="EC1133" s="12"/>
      <c r="ED1133" s="12"/>
      <c r="EE1133" s="12"/>
      <c r="EF1133" s="12"/>
      <c r="EG1133" s="12"/>
      <c r="EH1133" s="12"/>
      <c r="EI1133" s="12"/>
      <c r="EJ1133" s="574"/>
      <c r="EK1133" s="574"/>
      <c r="EL1133" s="574"/>
      <c r="EM1133" s="574"/>
      <c r="EN1133" s="574"/>
      <c r="EO1133" s="574"/>
      <c r="EP1133" s="574"/>
      <c r="EQ1133" s="574"/>
      <c r="ER1133" s="574"/>
      <c r="ES1133" s="574"/>
      <c r="ET1133" s="574"/>
      <c r="EU1133" s="574"/>
    </row>
    <row r="1134">
      <c r="A1134" s="12"/>
      <c r="B1134" s="55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  <c r="Y1134" s="12"/>
      <c r="Z1134" s="12"/>
      <c r="AA1134" s="12"/>
      <c r="AB1134" s="12"/>
      <c r="AC1134" s="12"/>
      <c r="AD1134" s="12"/>
      <c r="AE1134" s="12"/>
      <c r="AF1134" s="12"/>
      <c r="AG1134" s="12"/>
      <c r="AH1134" s="12"/>
      <c r="AI1134" s="12"/>
      <c r="AJ1134" s="12"/>
      <c r="AK1134" s="12"/>
      <c r="AL1134" s="12"/>
      <c r="AM1134" s="12"/>
      <c r="AN1134" s="12"/>
      <c r="AO1134" s="12"/>
      <c r="AP1134" s="12"/>
      <c r="AQ1134" s="12"/>
      <c r="AR1134" s="12"/>
      <c r="AS1134" s="12"/>
      <c r="AT1134" s="12"/>
      <c r="AU1134" s="12"/>
      <c r="AV1134" s="12"/>
      <c r="AW1134" s="12"/>
      <c r="AX1134" s="12"/>
      <c r="AY1134" s="12"/>
      <c r="AZ1134" s="12"/>
      <c r="BA1134" s="12"/>
      <c r="BB1134" s="12"/>
      <c r="BC1134" s="12"/>
      <c r="BD1134" s="12"/>
      <c r="BE1134" s="12"/>
      <c r="BF1134" s="12"/>
      <c r="BG1134" s="12"/>
      <c r="BH1134" s="12"/>
      <c r="BI1134" s="12"/>
      <c r="BJ1134" s="12"/>
      <c r="BK1134" s="12"/>
      <c r="BL1134" s="12"/>
      <c r="BM1134" s="12"/>
      <c r="BN1134" s="12"/>
      <c r="BO1134" s="12"/>
      <c r="BP1134" s="12"/>
      <c r="BQ1134" s="12"/>
      <c r="BR1134" s="12"/>
      <c r="BS1134" s="12"/>
      <c r="BT1134" s="12"/>
      <c r="BU1134" s="12"/>
      <c r="BV1134" s="12"/>
      <c r="BW1134" s="12"/>
      <c r="BX1134" s="12"/>
      <c r="BY1134" s="12"/>
      <c r="BZ1134" s="12"/>
      <c r="CA1134" s="12"/>
      <c r="CB1134" s="12"/>
      <c r="CC1134" s="12"/>
      <c r="CD1134" s="12"/>
      <c r="CE1134" s="12"/>
      <c r="CF1134" s="12"/>
      <c r="CG1134" s="12"/>
      <c r="CH1134" s="12"/>
      <c r="CI1134" s="12"/>
      <c r="CJ1134" s="12"/>
      <c r="CK1134" s="12"/>
      <c r="CL1134" s="12"/>
      <c r="CM1134" s="12"/>
      <c r="CN1134" s="12"/>
      <c r="CO1134" s="12"/>
      <c r="CP1134" s="12"/>
      <c r="CQ1134" s="12"/>
      <c r="CR1134" s="12"/>
      <c r="CS1134" s="12"/>
      <c r="CT1134" s="12"/>
      <c r="CU1134" s="12"/>
      <c r="CV1134" s="12"/>
      <c r="CW1134" s="12"/>
      <c r="CX1134" s="12"/>
      <c r="CY1134" s="12"/>
      <c r="CZ1134" s="12"/>
      <c r="DA1134" s="12"/>
      <c r="DB1134" s="12"/>
      <c r="DC1134" s="12"/>
      <c r="DD1134" s="12"/>
      <c r="DE1134" s="12"/>
      <c r="DF1134" s="12"/>
      <c r="DG1134" s="12"/>
      <c r="DH1134" s="12"/>
      <c r="DI1134" s="12"/>
      <c r="DJ1134" s="12"/>
      <c r="DK1134" s="12"/>
      <c r="DL1134" s="12"/>
      <c r="DM1134" s="12"/>
      <c r="DN1134" s="12"/>
      <c r="DO1134" s="12"/>
      <c r="DP1134" s="12"/>
      <c r="DQ1134" s="12"/>
      <c r="DR1134" s="12"/>
      <c r="DS1134" s="12"/>
      <c r="DT1134" s="12"/>
      <c r="DU1134" s="12"/>
      <c r="DV1134" s="12"/>
      <c r="DW1134" s="12"/>
      <c r="DX1134" s="12"/>
      <c r="DY1134" s="12"/>
      <c r="DZ1134" s="12"/>
      <c r="EA1134" s="12"/>
      <c r="EB1134" s="12"/>
      <c r="EC1134" s="12"/>
      <c r="ED1134" s="12"/>
      <c r="EE1134" s="12"/>
      <c r="EF1134" s="12"/>
      <c r="EG1134" s="12"/>
      <c r="EH1134" s="12"/>
      <c r="EI1134" s="12"/>
      <c r="EJ1134" s="574"/>
      <c r="EK1134" s="574"/>
      <c r="EL1134" s="574"/>
      <c r="EM1134" s="574"/>
      <c r="EN1134" s="574"/>
      <c r="EO1134" s="574"/>
      <c r="EP1134" s="574"/>
      <c r="EQ1134" s="574"/>
      <c r="ER1134" s="574"/>
      <c r="ES1134" s="574"/>
      <c r="ET1134" s="574"/>
      <c r="EU1134" s="574"/>
    </row>
    <row r="1135">
      <c r="A1135" s="12"/>
      <c r="B1135" s="55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  <c r="Y1135" s="12"/>
      <c r="Z1135" s="12"/>
      <c r="AA1135" s="12"/>
      <c r="AB1135" s="12"/>
      <c r="AC1135" s="12"/>
      <c r="AD1135" s="12"/>
      <c r="AE1135" s="12"/>
      <c r="AF1135" s="12"/>
      <c r="AG1135" s="12"/>
      <c r="AH1135" s="12"/>
      <c r="AI1135" s="12"/>
      <c r="AJ1135" s="12"/>
      <c r="AK1135" s="12"/>
      <c r="AL1135" s="12"/>
      <c r="AM1135" s="12"/>
      <c r="AN1135" s="12"/>
      <c r="AO1135" s="12"/>
      <c r="AP1135" s="12"/>
      <c r="AQ1135" s="12"/>
      <c r="AR1135" s="12"/>
      <c r="AS1135" s="12"/>
      <c r="AT1135" s="12"/>
      <c r="AU1135" s="12"/>
      <c r="AV1135" s="12"/>
      <c r="AW1135" s="12"/>
      <c r="AX1135" s="12"/>
      <c r="AY1135" s="12"/>
      <c r="AZ1135" s="12"/>
      <c r="BA1135" s="12"/>
      <c r="BB1135" s="12"/>
      <c r="BC1135" s="12"/>
      <c r="BD1135" s="12"/>
      <c r="BE1135" s="12"/>
      <c r="BF1135" s="12"/>
      <c r="BG1135" s="12"/>
      <c r="BH1135" s="12"/>
      <c r="BI1135" s="12"/>
      <c r="BJ1135" s="12"/>
      <c r="BK1135" s="12"/>
      <c r="BL1135" s="12"/>
      <c r="BM1135" s="12"/>
      <c r="BN1135" s="12"/>
      <c r="BO1135" s="12"/>
      <c r="BP1135" s="12"/>
      <c r="BQ1135" s="12"/>
      <c r="BR1135" s="12"/>
      <c r="BS1135" s="12"/>
      <c r="BT1135" s="12"/>
      <c r="BU1135" s="12"/>
      <c r="BV1135" s="12"/>
      <c r="BW1135" s="12"/>
      <c r="BX1135" s="12"/>
      <c r="BY1135" s="12"/>
      <c r="BZ1135" s="12"/>
      <c r="CA1135" s="12"/>
      <c r="CB1135" s="12"/>
      <c r="CC1135" s="12"/>
      <c r="CD1135" s="12"/>
      <c r="CE1135" s="12"/>
      <c r="CF1135" s="12"/>
      <c r="CG1135" s="12"/>
      <c r="CH1135" s="12"/>
      <c r="CI1135" s="12"/>
      <c r="CJ1135" s="12"/>
      <c r="CK1135" s="12"/>
      <c r="CL1135" s="12"/>
      <c r="CM1135" s="12"/>
      <c r="CN1135" s="12"/>
      <c r="CO1135" s="12"/>
      <c r="CP1135" s="12"/>
      <c r="CQ1135" s="12"/>
      <c r="CR1135" s="12"/>
      <c r="CS1135" s="12"/>
      <c r="CT1135" s="12"/>
      <c r="CU1135" s="12"/>
      <c r="CV1135" s="12"/>
      <c r="CW1135" s="12"/>
      <c r="CX1135" s="12"/>
      <c r="CY1135" s="12"/>
      <c r="CZ1135" s="12"/>
      <c r="DA1135" s="12"/>
      <c r="DB1135" s="12"/>
      <c r="DC1135" s="12"/>
      <c r="DD1135" s="12"/>
      <c r="DE1135" s="12"/>
      <c r="DF1135" s="12"/>
      <c r="DG1135" s="12"/>
      <c r="DH1135" s="12"/>
      <c r="DI1135" s="12"/>
      <c r="DJ1135" s="12"/>
      <c r="DK1135" s="12"/>
      <c r="DL1135" s="12"/>
      <c r="DM1135" s="12"/>
      <c r="DN1135" s="12"/>
      <c r="DO1135" s="12"/>
      <c r="DP1135" s="12"/>
      <c r="DQ1135" s="12"/>
      <c r="DR1135" s="12"/>
      <c r="DS1135" s="12"/>
      <c r="DT1135" s="12"/>
      <c r="DU1135" s="12"/>
      <c r="DV1135" s="12"/>
      <c r="DW1135" s="12"/>
      <c r="DX1135" s="12"/>
      <c r="DY1135" s="12"/>
      <c r="DZ1135" s="12"/>
      <c r="EA1135" s="12"/>
      <c r="EB1135" s="12"/>
      <c r="EC1135" s="12"/>
      <c r="ED1135" s="12"/>
      <c r="EE1135" s="12"/>
      <c r="EF1135" s="12"/>
      <c r="EG1135" s="12"/>
      <c r="EH1135" s="12"/>
      <c r="EI1135" s="12"/>
      <c r="EJ1135" s="574"/>
      <c r="EK1135" s="574"/>
      <c r="EL1135" s="574"/>
      <c r="EM1135" s="574"/>
      <c r="EN1135" s="574"/>
      <c r="EO1135" s="574"/>
      <c r="EP1135" s="574"/>
      <c r="EQ1135" s="574"/>
      <c r="ER1135" s="574"/>
      <c r="ES1135" s="574"/>
      <c r="ET1135" s="574"/>
      <c r="EU1135" s="574"/>
    </row>
    <row r="1136">
      <c r="A1136" s="12"/>
      <c r="B1136" s="55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  <c r="Y1136" s="12"/>
      <c r="Z1136" s="12"/>
      <c r="AA1136" s="12"/>
      <c r="AB1136" s="12"/>
      <c r="AC1136" s="12"/>
      <c r="AD1136" s="12"/>
      <c r="AE1136" s="12"/>
      <c r="AF1136" s="12"/>
      <c r="AG1136" s="12"/>
      <c r="AH1136" s="12"/>
      <c r="AI1136" s="12"/>
      <c r="AJ1136" s="12"/>
      <c r="AK1136" s="12"/>
      <c r="AL1136" s="12"/>
      <c r="AM1136" s="12"/>
      <c r="AN1136" s="12"/>
      <c r="AO1136" s="12"/>
      <c r="AP1136" s="12"/>
      <c r="AQ1136" s="12"/>
      <c r="AR1136" s="12"/>
      <c r="AS1136" s="12"/>
      <c r="AT1136" s="12"/>
      <c r="AU1136" s="12"/>
      <c r="AV1136" s="12"/>
      <c r="AW1136" s="12"/>
      <c r="AX1136" s="12"/>
      <c r="AY1136" s="12"/>
      <c r="AZ1136" s="12"/>
      <c r="BA1136" s="12"/>
      <c r="BB1136" s="12"/>
      <c r="BC1136" s="12"/>
      <c r="BD1136" s="12"/>
      <c r="BE1136" s="12"/>
      <c r="BF1136" s="12"/>
      <c r="BG1136" s="12"/>
      <c r="BH1136" s="12"/>
      <c r="BI1136" s="12"/>
      <c r="BJ1136" s="12"/>
      <c r="BK1136" s="12"/>
      <c r="BL1136" s="12"/>
      <c r="BM1136" s="12"/>
      <c r="BN1136" s="12"/>
      <c r="BO1136" s="12"/>
      <c r="BP1136" s="12"/>
      <c r="BQ1136" s="12"/>
      <c r="BR1136" s="12"/>
      <c r="BS1136" s="12"/>
      <c r="BT1136" s="12"/>
      <c r="BU1136" s="12"/>
      <c r="BV1136" s="12"/>
      <c r="BW1136" s="12"/>
      <c r="BX1136" s="12"/>
      <c r="BY1136" s="12"/>
      <c r="BZ1136" s="12"/>
      <c r="CA1136" s="12"/>
      <c r="CB1136" s="12"/>
      <c r="CC1136" s="12"/>
      <c r="CD1136" s="12"/>
      <c r="CE1136" s="12"/>
      <c r="CF1136" s="12"/>
      <c r="CG1136" s="12"/>
      <c r="CH1136" s="12"/>
      <c r="CI1136" s="12"/>
      <c r="CJ1136" s="12"/>
      <c r="CK1136" s="12"/>
      <c r="CL1136" s="12"/>
      <c r="CM1136" s="12"/>
      <c r="CN1136" s="12"/>
      <c r="CO1136" s="12"/>
      <c r="CP1136" s="12"/>
      <c r="CQ1136" s="12"/>
      <c r="CR1136" s="12"/>
      <c r="CS1136" s="12"/>
      <c r="CT1136" s="12"/>
      <c r="CU1136" s="12"/>
      <c r="CV1136" s="12"/>
      <c r="CW1136" s="12"/>
      <c r="CX1136" s="12"/>
      <c r="CY1136" s="12"/>
      <c r="CZ1136" s="12"/>
      <c r="DA1136" s="12"/>
      <c r="DB1136" s="12"/>
      <c r="DC1136" s="12"/>
      <c r="DD1136" s="12"/>
      <c r="DE1136" s="12"/>
      <c r="DF1136" s="12"/>
      <c r="DG1136" s="12"/>
      <c r="DH1136" s="12"/>
      <c r="DI1136" s="12"/>
      <c r="DJ1136" s="12"/>
      <c r="DK1136" s="12"/>
      <c r="DL1136" s="12"/>
      <c r="DM1136" s="12"/>
      <c r="DN1136" s="12"/>
      <c r="DO1136" s="12"/>
      <c r="DP1136" s="12"/>
      <c r="DQ1136" s="12"/>
      <c r="DR1136" s="12"/>
      <c r="DS1136" s="12"/>
      <c r="DT1136" s="12"/>
      <c r="DU1136" s="12"/>
      <c r="DV1136" s="12"/>
      <c r="DW1136" s="12"/>
      <c r="DX1136" s="12"/>
      <c r="DY1136" s="12"/>
      <c r="DZ1136" s="12"/>
      <c r="EA1136" s="12"/>
      <c r="EB1136" s="12"/>
      <c r="EC1136" s="12"/>
      <c r="ED1136" s="12"/>
      <c r="EE1136" s="12"/>
      <c r="EF1136" s="12"/>
      <c r="EG1136" s="12"/>
      <c r="EH1136" s="12"/>
      <c r="EI1136" s="12"/>
      <c r="EJ1136" s="574"/>
      <c r="EK1136" s="574"/>
      <c r="EL1136" s="574"/>
      <c r="EM1136" s="574"/>
      <c r="EN1136" s="574"/>
      <c r="EO1136" s="574"/>
      <c r="EP1136" s="574"/>
      <c r="EQ1136" s="574"/>
      <c r="ER1136" s="574"/>
      <c r="ES1136" s="574"/>
      <c r="ET1136" s="574"/>
      <c r="EU1136" s="574"/>
    </row>
    <row r="1137">
      <c r="A1137" s="12"/>
      <c r="B1137" s="55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  <c r="Y1137" s="12"/>
      <c r="Z1137" s="12"/>
      <c r="AA1137" s="12"/>
      <c r="AB1137" s="12"/>
      <c r="AC1137" s="12"/>
      <c r="AD1137" s="12"/>
      <c r="AE1137" s="12"/>
      <c r="AF1137" s="12"/>
      <c r="AG1137" s="12"/>
      <c r="AH1137" s="12"/>
      <c r="AI1137" s="12"/>
      <c r="AJ1137" s="12"/>
      <c r="AK1137" s="12"/>
      <c r="AL1137" s="12"/>
      <c r="AM1137" s="12"/>
      <c r="AN1137" s="12"/>
      <c r="AO1137" s="12"/>
      <c r="AP1137" s="12"/>
      <c r="AQ1137" s="12"/>
      <c r="AR1137" s="12"/>
      <c r="AS1137" s="12"/>
      <c r="AT1137" s="12"/>
      <c r="AU1137" s="12"/>
      <c r="AV1137" s="12"/>
      <c r="AW1137" s="12"/>
      <c r="AX1137" s="12"/>
      <c r="AY1137" s="12"/>
      <c r="AZ1137" s="12"/>
      <c r="BA1137" s="12"/>
      <c r="BB1137" s="12"/>
      <c r="BC1137" s="12"/>
      <c r="BD1137" s="12"/>
      <c r="BE1137" s="12"/>
      <c r="BF1137" s="12"/>
      <c r="BG1137" s="12"/>
      <c r="BH1137" s="12"/>
      <c r="BI1137" s="12"/>
      <c r="BJ1137" s="12"/>
      <c r="BK1137" s="12"/>
      <c r="BL1137" s="12"/>
      <c r="BM1137" s="12"/>
      <c r="BN1137" s="12"/>
      <c r="BO1137" s="12"/>
      <c r="BP1137" s="12"/>
      <c r="BQ1137" s="12"/>
      <c r="BR1137" s="12"/>
      <c r="BS1137" s="12"/>
      <c r="BT1137" s="12"/>
      <c r="BU1137" s="12"/>
      <c r="BV1137" s="12"/>
      <c r="BW1137" s="12"/>
      <c r="BX1137" s="12"/>
      <c r="BY1137" s="12"/>
      <c r="BZ1137" s="12"/>
      <c r="CA1137" s="12"/>
      <c r="CB1137" s="12"/>
      <c r="CC1137" s="12"/>
      <c r="CD1137" s="12"/>
      <c r="CE1137" s="12"/>
      <c r="CF1137" s="12"/>
      <c r="CG1137" s="12"/>
      <c r="CH1137" s="12"/>
      <c r="CI1137" s="12"/>
      <c r="CJ1137" s="12"/>
      <c r="CK1137" s="12"/>
      <c r="CL1137" s="12"/>
      <c r="CM1137" s="12"/>
      <c r="CN1137" s="12"/>
      <c r="CO1137" s="12"/>
      <c r="CP1137" s="12"/>
      <c r="CQ1137" s="12"/>
      <c r="CR1137" s="12"/>
      <c r="CS1137" s="12"/>
      <c r="CT1137" s="12"/>
      <c r="CU1137" s="12"/>
      <c r="CV1137" s="12"/>
      <c r="CW1137" s="12"/>
      <c r="CX1137" s="12"/>
      <c r="CY1137" s="12"/>
      <c r="CZ1137" s="12"/>
      <c r="DA1137" s="12"/>
      <c r="DB1137" s="12"/>
      <c r="DC1137" s="12"/>
      <c r="DD1137" s="12"/>
      <c r="DE1137" s="12"/>
      <c r="DF1137" s="12"/>
      <c r="DG1137" s="12"/>
      <c r="DH1137" s="12"/>
      <c r="DI1137" s="12"/>
      <c r="DJ1137" s="12"/>
      <c r="DK1137" s="12"/>
      <c r="DL1137" s="12"/>
      <c r="DM1137" s="12"/>
      <c r="DN1137" s="12"/>
      <c r="DO1137" s="12"/>
      <c r="DP1137" s="12"/>
      <c r="DQ1137" s="12"/>
      <c r="DR1137" s="12"/>
      <c r="DS1137" s="12"/>
      <c r="DT1137" s="12"/>
      <c r="DU1137" s="12"/>
      <c r="DV1137" s="12"/>
      <c r="DW1137" s="12"/>
      <c r="DX1137" s="12"/>
      <c r="DY1137" s="12"/>
      <c r="DZ1137" s="12"/>
      <c r="EA1137" s="12"/>
      <c r="EB1137" s="12"/>
      <c r="EC1137" s="12"/>
      <c r="ED1137" s="12"/>
      <c r="EE1137" s="12"/>
      <c r="EF1137" s="12"/>
      <c r="EG1137" s="12"/>
      <c r="EH1137" s="12"/>
      <c r="EI1137" s="12"/>
      <c r="EJ1137" s="574"/>
      <c r="EK1137" s="574"/>
      <c r="EL1137" s="574"/>
      <c r="EM1137" s="574"/>
      <c r="EN1137" s="574"/>
      <c r="EO1137" s="574"/>
      <c r="EP1137" s="574"/>
      <c r="EQ1137" s="574"/>
      <c r="ER1137" s="574"/>
      <c r="ES1137" s="574"/>
      <c r="ET1137" s="574"/>
      <c r="EU1137" s="574"/>
    </row>
    <row r="1138">
      <c r="A1138" s="12"/>
      <c r="B1138" s="55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  <c r="Y1138" s="12"/>
      <c r="Z1138" s="12"/>
      <c r="AA1138" s="12"/>
      <c r="AB1138" s="12"/>
      <c r="AC1138" s="12"/>
      <c r="AD1138" s="12"/>
      <c r="AE1138" s="12"/>
      <c r="AF1138" s="12"/>
      <c r="AG1138" s="12"/>
      <c r="AH1138" s="12"/>
      <c r="AI1138" s="12"/>
      <c r="AJ1138" s="12"/>
      <c r="AK1138" s="12"/>
      <c r="AL1138" s="12"/>
      <c r="AM1138" s="12"/>
      <c r="AN1138" s="12"/>
      <c r="AO1138" s="12"/>
      <c r="AP1138" s="12"/>
      <c r="AQ1138" s="12"/>
      <c r="AR1138" s="12"/>
      <c r="AS1138" s="12"/>
      <c r="AT1138" s="12"/>
      <c r="AU1138" s="12"/>
      <c r="AV1138" s="12"/>
      <c r="AW1138" s="12"/>
      <c r="AX1138" s="12"/>
      <c r="AY1138" s="12"/>
      <c r="AZ1138" s="12"/>
      <c r="BA1138" s="12"/>
      <c r="BB1138" s="12"/>
      <c r="BC1138" s="12"/>
      <c r="BD1138" s="12"/>
      <c r="BE1138" s="12"/>
      <c r="BF1138" s="12"/>
      <c r="BG1138" s="12"/>
      <c r="BH1138" s="12"/>
      <c r="BI1138" s="12"/>
      <c r="BJ1138" s="12"/>
      <c r="BK1138" s="12"/>
      <c r="BL1138" s="12"/>
      <c r="BM1138" s="12"/>
      <c r="BN1138" s="12"/>
      <c r="BO1138" s="12"/>
      <c r="BP1138" s="12"/>
      <c r="BQ1138" s="12"/>
      <c r="BR1138" s="12"/>
      <c r="BS1138" s="12"/>
      <c r="BT1138" s="12"/>
      <c r="BU1138" s="12"/>
      <c r="BV1138" s="12"/>
      <c r="BW1138" s="12"/>
      <c r="BX1138" s="12"/>
      <c r="BY1138" s="12"/>
      <c r="BZ1138" s="12"/>
      <c r="CA1138" s="12"/>
      <c r="CB1138" s="12"/>
      <c r="CC1138" s="12"/>
      <c r="CD1138" s="12"/>
      <c r="CE1138" s="12"/>
      <c r="CF1138" s="12"/>
      <c r="CG1138" s="12"/>
      <c r="CH1138" s="12"/>
      <c r="CI1138" s="12"/>
      <c r="CJ1138" s="12"/>
      <c r="CK1138" s="12"/>
      <c r="CL1138" s="12"/>
      <c r="CM1138" s="12"/>
      <c r="CN1138" s="12"/>
      <c r="CO1138" s="12"/>
      <c r="CP1138" s="12"/>
      <c r="CQ1138" s="12"/>
      <c r="CR1138" s="12"/>
      <c r="CS1138" s="12"/>
      <c r="CT1138" s="12"/>
      <c r="CU1138" s="12"/>
      <c r="CV1138" s="12"/>
      <c r="CW1138" s="12"/>
      <c r="CX1138" s="12"/>
      <c r="CY1138" s="12"/>
      <c r="CZ1138" s="12"/>
      <c r="DA1138" s="12"/>
      <c r="DB1138" s="12"/>
      <c r="DC1138" s="12"/>
      <c r="DD1138" s="12"/>
      <c r="DE1138" s="12"/>
      <c r="DF1138" s="12"/>
      <c r="DG1138" s="12"/>
      <c r="DH1138" s="12"/>
      <c r="DI1138" s="12"/>
      <c r="DJ1138" s="12"/>
      <c r="DK1138" s="12"/>
      <c r="DL1138" s="12"/>
      <c r="DM1138" s="12"/>
      <c r="DN1138" s="12"/>
      <c r="DO1138" s="12"/>
      <c r="DP1138" s="12"/>
      <c r="DQ1138" s="12"/>
      <c r="DR1138" s="12"/>
      <c r="DS1138" s="12"/>
      <c r="DT1138" s="12"/>
      <c r="DU1138" s="12"/>
      <c r="DV1138" s="12"/>
      <c r="DW1138" s="12"/>
      <c r="DX1138" s="12"/>
      <c r="DY1138" s="12"/>
      <c r="DZ1138" s="12"/>
      <c r="EA1138" s="12"/>
      <c r="EB1138" s="12"/>
      <c r="EC1138" s="12"/>
      <c r="ED1138" s="12"/>
      <c r="EE1138" s="12"/>
      <c r="EF1138" s="12"/>
      <c r="EG1138" s="12"/>
      <c r="EH1138" s="12"/>
      <c r="EI1138" s="12"/>
      <c r="EJ1138" s="574"/>
      <c r="EK1138" s="574"/>
      <c r="EL1138" s="574"/>
      <c r="EM1138" s="574"/>
      <c r="EN1138" s="574"/>
      <c r="EO1138" s="574"/>
      <c r="EP1138" s="574"/>
      <c r="EQ1138" s="574"/>
      <c r="ER1138" s="574"/>
      <c r="ES1138" s="574"/>
      <c r="ET1138" s="574"/>
      <c r="EU1138" s="574"/>
    </row>
    <row r="1139">
      <c r="A1139" s="12"/>
      <c r="B1139" s="55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  <c r="Z1139" s="12"/>
      <c r="AA1139" s="12"/>
      <c r="AB1139" s="12"/>
      <c r="AC1139" s="12"/>
      <c r="AD1139" s="12"/>
      <c r="AE1139" s="12"/>
      <c r="AF1139" s="12"/>
      <c r="AG1139" s="12"/>
      <c r="AH1139" s="12"/>
      <c r="AI1139" s="12"/>
      <c r="AJ1139" s="12"/>
      <c r="AK1139" s="12"/>
      <c r="AL1139" s="12"/>
      <c r="AM1139" s="12"/>
      <c r="AN1139" s="12"/>
      <c r="AO1139" s="12"/>
      <c r="AP1139" s="12"/>
      <c r="AQ1139" s="12"/>
      <c r="AR1139" s="12"/>
      <c r="AS1139" s="12"/>
      <c r="AT1139" s="12"/>
      <c r="AU1139" s="12"/>
      <c r="AV1139" s="12"/>
      <c r="AW1139" s="12"/>
      <c r="AX1139" s="12"/>
      <c r="AY1139" s="12"/>
      <c r="AZ1139" s="12"/>
      <c r="BA1139" s="12"/>
      <c r="BB1139" s="12"/>
      <c r="BC1139" s="12"/>
      <c r="BD1139" s="12"/>
      <c r="BE1139" s="12"/>
      <c r="BF1139" s="12"/>
      <c r="BG1139" s="12"/>
      <c r="BH1139" s="12"/>
      <c r="BI1139" s="12"/>
      <c r="BJ1139" s="12"/>
      <c r="BK1139" s="12"/>
      <c r="BL1139" s="12"/>
      <c r="BM1139" s="12"/>
      <c r="BN1139" s="12"/>
      <c r="BO1139" s="12"/>
      <c r="BP1139" s="12"/>
      <c r="BQ1139" s="12"/>
      <c r="BR1139" s="12"/>
      <c r="BS1139" s="12"/>
      <c r="BT1139" s="12"/>
      <c r="BU1139" s="12"/>
      <c r="BV1139" s="12"/>
      <c r="BW1139" s="12"/>
      <c r="BX1139" s="12"/>
      <c r="BY1139" s="12"/>
      <c r="BZ1139" s="12"/>
      <c r="CA1139" s="12"/>
      <c r="CB1139" s="12"/>
      <c r="CC1139" s="12"/>
      <c r="CD1139" s="12"/>
      <c r="CE1139" s="12"/>
      <c r="CF1139" s="12"/>
      <c r="CG1139" s="12"/>
      <c r="CH1139" s="12"/>
      <c r="CI1139" s="12"/>
      <c r="CJ1139" s="12"/>
      <c r="CK1139" s="12"/>
      <c r="CL1139" s="12"/>
      <c r="CM1139" s="12"/>
      <c r="CN1139" s="12"/>
      <c r="CO1139" s="12"/>
      <c r="CP1139" s="12"/>
      <c r="CQ1139" s="12"/>
      <c r="CR1139" s="12"/>
      <c r="CS1139" s="12"/>
      <c r="CT1139" s="12"/>
      <c r="CU1139" s="12"/>
      <c r="CV1139" s="12"/>
      <c r="CW1139" s="12"/>
      <c r="CX1139" s="12"/>
      <c r="CY1139" s="12"/>
      <c r="CZ1139" s="12"/>
      <c r="DA1139" s="12"/>
      <c r="DB1139" s="12"/>
      <c r="DC1139" s="12"/>
      <c r="DD1139" s="12"/>
      <c r="DE1139" s="12"/>
      <c r="DF1139" s="12"/>
      <c r="DG1139" s="12"/>
      <c r="DH1139" s="12"/>
      <c r="DI1139" s="12"/>
      <c r="DJ1139" s="12"/>
      <c r="DK1139" s="12"/>
      <c r="DL1139" s="12"/>
      <c r="DM1139" s="12"/>
      <c r="DN1139" s="12"/>
      <c r="DO1139" s="12"/>
      <c r="DP1139" s="12"/>
      <c r="DQ1139" s="12"/>
      <c r="DR1139" s="12"/>
      <c r="DS1139" s="12"/>
      <c r="DT1139" s="12"/>
      <c r="DU1139" s="12"/>
      <c r="DV1139" s="12"/>
      <c r="DW1139" s="12"/>
      <c r="DX1139" s="12"/>
      <c r="DY1139" s="12"/>
      <c r="DZ1139" s="12"/>
      <c r="EA1139" s="12"/>
      <c r="EB1139" s="12"/>
      <c r="EC1139" s="12"/>
      <c r="ED1139" s="12"/>
      <c r="EE1139" s="12"/>
      <c r="EF1139" s="12"/>
      <c r="EG1139" s="12"/>
      <c r="EH1139" s="12"/>
      <c r="EI1139" s="12"/>
      <c r="EJ1139" s="574"/>
      <c r="EK1139" s="574"/>
      <c r="EL1139" s="574"/>
      <c r="EM1139" s="574"/>
      <c r="EN1139" s="574"/>
      <c r="EO1139" s="574"/>
      <c r="EP1139" s="574"/>
      <c r="EQ1139" s="574"/>
      <c r="ER1139" s="574"/>
      <c r="ES1139" s="574"/>
      <c r="ET1139" s="574"/>
      <c r="EU1139" s="574"/>
    </row>
    <row r="1140">
      <c r="A1140" s="12"/>
      <c r="B1140" s="55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  <c r="Y1140" s="12"/>
      <c r="Z1140" s="12"/>
      <c r="AA1140" s="12"/>
      <c r="AB1140" s="12"/>
      <c r="AC1140" s="12"/>
      <c r="AD1140" s="12"/>
      <c r="AE1140" s="12"/>
      <c r="AF1140" s="12"/>
      <c r="AG1140" s="12"/>
      <c r="AH1140" s="12"/>
      <c r="AI1140" s="12"/>
      <c r="AJ1140" s="12"/>
      <c r="AK1140" s="12"/>
      <c r="AL1140" s="12"/>
      <c r="AM1140" s="12"/>
      <c r="AN1140" s="12"/>
      <c r="AO1140" s="12"/>
      <c r="AP1140" s="12"/>
      <c r="AQ1140" s="12"/>
      <c r="AR1140" s="12"/>
      <c r="AS1140" s="12"/>
      <c r="AT1140" s="12"/>
      <c r="AU1140" s="12"/>
      <c r="AV1140" s="12"/>
      <c r="AW1140" s="12"/>
      <c r="AX1140" s="12"/>
      <c r="AY1140" s="12"/>
      <c r="AZ1140" s="12"/>
      <c r="BA1140" s="12"/>
      <c r="BB1140" s="12"/>
      <c r="BC1140" s="12"/>
      <c r="BD1140" s="12"/>
      <c r="BE1140" s="12"/>
      <c r="BF1140" s="12"/>
      <c r="BG1140" s="12"/>
      <c r="BH1140" s="12"/>
      <c r="BI1140" s="12"/>
      <c r="BJ1140" s="12"/>
      <c r="BK1140" s="12"/>
      <c r="BL1140" s="12"/>
      <c r="BM1140" s="12"/>
      <c r="BN1140" s="12"/>
      <c r="BO1140" s="12"/>
      <c r="BP1140" s="12"/>
      <c r="BQ1140" s="12"/>
      <c r="BR1140" s="12"/>
      <c r="BS1140" s="12"/>
      <c r="BT1140" s="12"/>
      <c r="BU1140" s="12"/>
      <c r="BV1140" s="12"/>
      <c r="BW1140" s="12"/>
      <c r="BX1140" s="12"/>
      <c r="BY1140" s="12"/>
      <c r="BZ1140" s="12"/>
      <c r="CA1140" s="12"/>
      <c r="CB1140" s="12"/>
      <c r="CC1140" s="12"/>
      <c r="CD1140" s="12"/>
      <c r="CE1140" s="12"/>
      <c r="CF1140" s="12"/>
      <c r="CG1140" s="12"/>
      <c r="CH1140" s="12"/>
      <c r="CI1140" s="12"/>
      <c r="CJ1140" s="12"/>
      <c r="CK1140" s="12"/>
      <c r="CL1140" s="12"/>
      <c r="CM1140" s="12"/>
      <c r="CN1140" s="12"/>
      <c r="CO1140" s="12"/>
      <c r="CP1140" s="12"/>
      <c r="CQ1140" s="12"/>
      <c r="CR1140" s="12"/>
      <c r="CS1140" s="12"/>
      <c r="CT1140" s="12"/>
      <c r="CU1140" s="12"/>
      <c r="CV1140" s="12"/>
      <c r="CW1140" s="12"/>
      <c r="CX1140" s="12"/>
      <c r="CY1140" s="12"/>
      <c r="CZ1140" s="12"/>
      <c r="DA1140" s="12"/>
      <c r="DB1140" s="12"/>
      <c r="DC1140" s="12"/>
      <c r="DD1140" s="12"/>
      <c r="DE1140" s="12"/>
      <c r="DF1140" s="12"/>
      <c r="DG1140" s="12"/>
      <c r="DH1140" s="12"/>
      <c r="DI1140" s="12"/>
      <c r="DJ1140" s="12"/>
      <c r="DK1140" s="12"/>
      <c r="DL1140" s="12"/>
      <c r="DM1140" s="12"/>
      <c r="DN1140" s="12"/>
      <c r="DO1140" s="12"/>
      <c r="DP1140" s="12"/>
      <c r="DQ1140" s="12"/>
      <c r="DR1140" s="12"/>
      <c r="DS1140" s="12"/>
      <c r="DT1140" s="12"/>
      <c r="DU1140" s="12"/>
      <c r="DV1140" s="12"/>
      <c r="DW1140" s="12"/>
      <c r="DX1140" s="12"/>
      <c r="DY1140" s="12"/>
      <c r="DZ1140" s="12"/>
      <c r="EA1140" s="12"/>
      <c r="EB1140" s="12"/>
      <c r="EC1140" s="12"/>
      <c r="ED1140" s="12"/>
      <c r="EE1140" s="12"/>
      <c r="EF1140" s="12"/>
      <c r="EG1140" s="12"/>
      <c r="EH1140" s="12"/>
      <c r="EI1140" s="12"/>
      <c r="EJ1140" s="574"/>
      <c r="EK1140" s="574"/>
      <c r="EL1140" s="574"/>
      <c r="EM1140" s="574"/>
      <c r="EN1140" s="574"/>
      <c r="EO1140" s="574"/>
      <c r="EP1140" s="574"/>
      <c r="EQ1140" s="574"/>
      <c r="ER1140" s="574"/>
      <c r="ES1140" s="574"/>
      <c r="ET1140" s="574"/>
      <c r="EU1140" s="574"/>
    </row>
    <row r="1141">
      <c r="A1141" s="12"/>
      <c r="B1141" s="55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  <c r="Y1141" s="12"/>
      <c r="Z1141" s="12"/>
      <c r="AA1141" s="12"/>
      <c r="AB1141" s="12"/>
      <c r="AC1141" s="12"/>
      <c r="AD1141" s="12"/>
      <c r="AE1141" s="12"/>
      <c r="AF1141" s="12"/>
      <c r="AG1141" s="12"/>
      <c r="AH1141" s="12"/>
      <c r="AI1141" s="12"/>
      <c r="AJ1141" s="12"/>
      <c r="AK1141" s="12"/>
      <c r="AL1141" s="12"/>
      <c r="AM1141" s="12"/>
      <c r="AN1141" s="12"/>
      <c r="AO1141" s="12"/>
      <c r="AP1141" s="12"/>
      <c r="AQ1141" s="12"/>
      <c r="AR1141" s="12"/>
      <c r="AS1141" s="12"/>
      <c r="AT1141" s="12"/>
      <c r="AU1141" s="12"/>
      <c r="AV1141" s="12"/>
      <c r="AW1141" s="12"/>
      <c r="AX1141" s="12"/>
      <c r="AY1141" s="12"/>
      <c r="AZ1141" s="12"/>
      <c r="BA1141" s="12"/>
      <c r="BB1141" s="12"/>
      <c r="BC1141" s="12"/>
      <c r="BD1141" s="12"/>
      <c r="BE1141" s="12"/>
      <c r="BF1141" s="12"/>
      <c r="BG1141" s="12"/>
      <c r="BH1141" s="12"/>
      <c r="BI1141" s="12"/>
      <c r="BJ1141" s="12"/>
      <c r="BK1141" s="12"/>
      <c r="BL1141" s="12"/>
      <c r="BM1141" s="12"/>
      <c r="BN1141" s="12"/>
      <c r="BO1141" s="12"/>
      <c r="BP1141" s="12"/>
      <c r="BQ1141" s="12"/>
      <c r="BR1141" s="12"/>
      <c r="BS1141" s="12"/>
      <c r="BT1141" s="12"/>
      <c r="BU1141" s="12"/>
      <c r="BV1141" s="12"/>
      <c r="BW1141" s="12"/>
      <c r="BX1141" s="12"/>
      <c r="BY1141" s="12"/>
      <c r="BZ1141" s="12"/>
      <c r="CA1141" s="12"/>
      <c r="CB1141" s="12"/>
      <c r="CC1141" s="12"/>
      <c r="CD1141" s="12"/>
      <c r="CE1141" s="12"/>
      <c r="CF1141" s="12"/>
      <c r="CG1141" s="12"/>
      <c r="CH1141" s="12"/>
      <c r="CI1141" s="12"/>
      <c r="CJ1141" s="12"/>
      <c r="CK1141" s="12"/>
      <c r="CL1141" s="12"/>
      <c r="CM1141" s="12"/>
      <c r="CN1141" s="12"/>
      <c r="CO1141" s="12"/>
      <c r="CP1141" s="12"/>
      <c r="CQ1141" s="12"/>
      <c r="CR1141" s="12"/>
      <c r="CS1141" s="12"/>
      <c r="CT1141" s="12"/>
      <c r="CU1141" s="12"/>
      <c r="CV1141" s="12"/>
      <c r="CW1141" s="12"/>
      <c r="CX1141" s="12"/>
      <c r="CY1141" s="12"/>
      <c r="CZ1141" s="12"/>
      <c r="DA1141" s="12"/>
      <c r="DB1141" s="12"/>
      <c r="DC1141" s="12"/>
      <c r="DD1141" s="12"/>
      <c r="DE1141" s="12"/>
      <c r="DF1141" s="12"/>
      <c r="DG1141" s="12"/>
      <c r="DH1141" s="12"/>
      <c r="DI1141" s="12"/>
      <c r="DJ1141" s="12"/>
      <c r="DK1141" s="12"/>
      <c r="DL1141" s="12"/>
      <c r="DM1141" s="12"/>
      <c r="DN1141" s="12"/>
      <c r="DO1141" s="12"/>
      <c r="DP1141" s="12"/>
      <c r="DQ1141" s="12"/>
      <c r="DR1141" s="12"/>
      <c r="DS1141" s="12"/>
      <c r="DT1141" s="12"/>
      <c r="DU1141" s="12"/>
      <c r="DV1141" s="12"/>
      <c r="DW1141" s="12"/>
      <c r="DX1141" s="12"/>
      <c r="DY1141" s="12"/>
      <c r="DZ1141" s="12"/>
      <c r="EA1141" s="12"/>
      <c r="EB1141" s="12"/>
      <c r="EC1141" s="12"/>
      <c r="ED1141" s="12"/>
      <c r="EE1141" s="12"/>
      <c r="EF1141" s="12"/>
      <c r="EG1141" s="12"/>
      <c r="EH1141" s="12"/>
      <c r="EI1141" s="12"/>
      <c r="EJ1141" s="574"/>
      <c r="EK1141" s="574"/>
      <c r="EL1141" s="574"/>
      <c r="EM1141" s="574"/>
      <c r="EN1141" s="574"/>
      <c r="EO1141" s="574"/>
      <c r="EP1141" s="574"/>
      <c r="EQ1141" s="574"/>
      <c r="ER1141" s="574"/>
      <c r="ES1141" s="574"/>
      <c r="ET1141" s="574"/>
      <c r="EU1141" s="574"/>
    </row>
    <row r="1142">
      <c r="A1142" s="12"/>
      <c r="B1142" s="55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2"/>
      <c r="V1142" s="12"/>
      <c r="W1142" s="12"/>
      <c r="X1142" s="12"/>
      <c r="Y1142" s="12"/>
      <c r="Z1142" s="12"/>
      <c r="AA1142" s="12"/>
      <c r="AB1142" s="12"/>
      <c r="AC1142" s="12"/>
      <c r="AD1142" s="12"/>
      <c r="AE1142" s="12"/>
      <c r="AF1142" s="12"/>
      <c r="AG1142" s="12"/>
      <c r="AH1142" s="12"/>
      <c r="AI1142" s="12"/>
      <c r="AJ1142" s="12"/>
      <c r="AK1142" s="12"/>
      <c r="AL1142" s="12"/>
      <c r="AM1142" s="12"/>
      <c r="AN1142" s="12"/>
      <c r="AO1142" s="12"/>
      <c r="AP1142" s="12"/>
      <c r="AQ1142" s="12"/>
      <c r="AR1142" s="12"/>
      <c r="AS1142" s="12"/>
      <c r="AT1142" s="12"/>
      <c r="AU1142" s="12"/>
      <c r="AV1142" s="12"/>
      <c r="AW1142" s="12"/>
      <c r="AX1142" s="12"/>
      <c r="AY1142" s="12"/>
      <c r="AZ1142" s="12"/>
      <c r="BA1142" s="12"/>
      <c r="BB1142" s="12"/>
      <c r="BC1142" s="12"/>
      <c r="BD1142" s="12"/>
      <c r="BE1142" s="12"/>
      <c r="BF1142" s="12"/>
      <c r="BG1142" s="12"/>
      <c r="BH1142" s="12"/>
      <c r="BI1142" s="12"/>
      <c r="BJ1142" s="12"/>
      <c r="BK1142" s="12"/>
      <c r="BL1142" s="12"/>
      <c r="BM1142" s="12"/>
      <c r="BN1142" s="12"/>
      <c r="BO1142" s="12"/>
      <c r="BP1142" s="12"/>
      <c r="BQ1142" s="12"/>
      <c r="BR1142" s="12"/>
      <c r="BS1142" s="12"/>
      <c r="BT1142" s="12"/>
      <c r="BU1142" s="12"/>
      <c r="BV1142" s="12"/>
      <c r="BW1142" s="12"/>
      <c r="BX1142" s="12"/>
      <c r="BY1142" s="12"/>
      <c r="BZ1142" s="12"/>
      <c r="CA1142" s="12"/>
      <c r="CB1142" s="12"/>
      <c r="CC1142" s="12"/>
      <c r="CD1142" s="12"/>
      <c r="CE1142" s="12"/>
      <c r="CF1142" s="12"/>
      <c r="CG1142" s="12"/>
      <c r="CH1142" s="12"/>
      <c r="CI1142" s="12"/>
      <c r="CJ1142" s="12"/>
      <c r="CK1142" s="12"/>
      <c r="CL1142" s="12"/>
      <c r="CM1142" s="12"/>
      <c r="CN1142" s="12"/>
      <c r="CO1142" s="12"/>
      <c r="CP1142" s="12"/>
      <c r="CQ1142" s="12"/>
      <c r="CR1142" s="12"/>
      <c r="CS1142" s="12"/>
      <c r="CT1142" s="12"/>
      <c r="CU1142" s="12"/>
      <c r="CV1142" s="12"/>
      <c r="CW1142" s="12"/>
      <c r="CX1142" s="12"/>
      <c r="CY1142" s="12"/>
      <c r="CZ1142" s="12"/>
      <c r="DA1142" s="12"/>
      <c r="DB1142" s="12"/>
      <c r="DC1142" s="12"/>
      <c r="DD1142" s="12"/>
      <c r="DE1142" s="12"/>
      <c r="DF1142" s="12"/>
      <c r="DG1142" s="12"/>
      <c r="DH1142" s="12"/>
      <c r="DI1142" s="12"/>
      <c r="DJ1142" s="12"/>
      <c r="DK1142" s="12"/>
      <c r="DL1142" s="12"/>
      <c r="DM1142" s="12"/>
      <c r="DN1142" s="12"/>
      <c r="DO1142" s="12"/>
      <c r="DP1142" s="12"/>
      <c r="DQ1142" s="12"/>
      <c r="DR1142" s="12"/>
      <c r="DS1142" s="12"/>
      <c r="DT1142" s="12"/>
      <c r="DU1142" s="12"/>
      <c r="DV1142" s="12"/>
      <c r="DW1142" s="12"/>
      <c r="DX1142" s="12"/>
      <c r="DY1142" s="12"/>
      <c r="DZ1142" s="12"/>
      <c r="EA1142" s="12"/>
      <c r="EB1142" s="12"/>
      <c r="EC1142" s="12"/>
      <c r="ED1142" s="12"/>
      <c r="EE1142" s="12"/>
      <c r="EF1142" s="12"/>
      <c r="EG1142" s="12"/>
      <c r="EH1142" s="12"/>
      <c r="EI1142" s="12"/>
      <c r="EJ1142" s="574"/>
      <c r="EK1142" s="574"/>
      <c r="EL1142" s="574"/>
      <c r="EM1142" s="574"/>
      <c r="EN1142" s="574"/>
      <c r="EO1142" s="574"/>
      <c r="EP1142" s="574"/>
      <c r="EQ1142" s="574"/>
      <c r="ER1142" s="574"/>
      <c r="ES1142" s="574"/>
      <c r="ET1142" s="574"/>
      <c r="EU1142" s="574"/>
    </row>
    <row r="1143">
      <c r="A1143" s="12"/>
      <c r="B1143" s="55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  <c r="Y1143" s="12"/>
      <c r="Z1143" s="12"/>
      <c r="AA1143" s="12"/>
      <c r="AB1143" s="12"/>
      <c r="AC1143" s="12"/>
      <c r="AD1143" s="12"/>
      <c r="AE1143" s="12"/>
      <c r="AF1143" s="12"/>
      <c r="AG1143" s="12"/>
      <c r="AH1143" s="12"/>
      <c r="AI1143" s="12"/>
      <c r="AJ1143" s="12"/>
      <c r="AK1143" s="12"/>
      <c r="AL1143" s="12"/>
      <c r="AM1143" s="12"/>
      <c r="AN1143" s="12"/>
      <c r="AO1143" s="12"/>
      <c r="AP1143" s="12"/>
      <c r="AQ1143" s="12"/>
      <c r="AR1143" s="12"/>
      <c r="AS1143" s="12"/>
      <c r="AT1143" s="12"/>
      <c r="AU1143" s="12"/>
      <c r="AV1143" s="12"/>
      <c r="AW1143" s="12"/>
      <c r="AX1143" s="12"/>
      <c r="AY1143" s="12"/>
      <c r="AZ1143" s="12"/>
      <c r="BA1143" s="12"/>
      <c r="BB1143" s="12"/>
      <c r="BC1143" s="12"/>
      <c r="BD1143" s="12"/>
      <c r="BE1143" s="12"/>
      <c r="BF1143" s="12"/>
      <c r="BG1143" s="12"/>
      <c r="BH1143" s="12"/>
      <c r="BI1143" s="12"/>
      <c r="BJ1143" s="12"/>
      <c r="BK1143" s="12"/>
      <c r="BL1143" s="12"/>
      <c r="BM1143" s="12"/>
      <c r="BN1143" s="12"/>
      <c r="BO1143" s="12"/>
      <c r="BP1143" s="12"/>
      <c r="BQ1143" s="12"/>
      <c r="BR1143" s="12"/>
      <c r="BS1143" s="12"/>
      <c r="BT1143" s="12"/>
      <c r="BU1143" s="12"/>
      <c r="BV1143" s="12"/>
      <c r="BW1143" s="12"/>
      <c r="BX1143" s="12"/>
      <c r="BY1143" s="12"/>
      <c r="BZ1143" s="12"/>
      <c r="CA1143" s="12"/>
      <c r="CB1143" s="12"/>
      <c r="CC1143" s="12"/>
      <c r="CD1143" s="12"/>
      <c r="CE1143" s="12"/>
      <c r="CF1143" s="12"/>
      <c r="CG1143" s="12"/>
      <c r="CH1143" s="12"/>
      <c r="CI1143" s="12"/>
      <c r="CJ1143" s="12"/>
      <c r="CK1143" s="12"/>
      <c r="CL1143" s="12"/>
      <c r="CM1143" s="12"/>
      <c r="CN1143" s="12"/>
      <c r="CO1143" s="12"/>
      <c r="CP1143" s="12"/>
      <c r="CQ1143" s="12"/>
      <c r="CR1143" s="12"/>
      <c r="CS1143" s="12"/>
      <c r="CT1143" s="12"/>
      <c r="CU1143" s="12"/>
      <c r="CV1143" s="12"/>
      <c r="CW1143" s="12"/>
      <c r="CX1143" s="12"/>
      <c r="CY1143" s="12"/>
      <c r="CZ1143" s="12"/>
      <c r="DA1143" s="12"/>
      <c r="DB1143" s="12"/>
      <c r="DC1143" s="12"/>
      <c r="DD1143" s="12"/>
      <c r="DE1143" s="12"/>
      <c r="DF1143" s="12"/>
      <c r="DG1143" s="12"/>
      <c r="DH1143" s="12"/>
      <c r="DI1143" s="12"/>
      <c r="DJ1143" s="12"/>
      <c r="DK1143" s="12"/>
      <c r="DL1143" s="12"/>
      <c r="DM1143" s="12"/>
      <c r="DN1143" s="12"/>
      <c r="DO1143" s="12"/>
      <c r="DP1143" s="12"/>
      <c r="DQ1143" s="12"/>
      <c r="DR1143" s="12"/>
      <c r="DS1143" s="12"/>
      <c r="DT1143" s="12"/>
      <c r="DU1143" s="12"/>
      <c r="DV1143" s="12"/>
      <c r="DW1143" s="12"/>
      <c r="DX1143" s="12"/>
      <c r="DY1143" s="12"/>
      <c r="DZ1143" s="12"/>
      <c r="EA1143" s="12"/>
      <c r="EB1143" s="12"/>
      <c r="EC1143" s="12"/>
      <c r="ED1143" s="12"/>
      <c r="EE1143" s="12"/>
      <c r="EF1143" s="12"/>
      <c r="EG1143" s="12"/>
      <c r="EH1143" s="12"/>
      <c r="EI1143" s="12"/>
      <c r="EJ1143" s="574"/>
      <c r="EK1143" s="574"/>
      <c r="EL1143" s="574"/>
      <c r="EM1143" s="574"/>
      <c r="EN1143" s="574"/>
      <c r="EO1143" s="574"/>
      <c r="EP1143" s="574"/>
      <c r="EQ1143" s="574"/>
      <c r="ER1143" s="574"/>
      <c r="ES1143" s="574"/>
      <c r="ET1143" s="574"/>
      <c r="EU1143" s="574"/>
    </row>
    <row r="1144">
      <c r="A1144" s="12"/>
      <c r="B1144" s="55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  <c r="Y1144" s="12"/>
      <c r="Z1144" s="12"/>
      <c r="AA1144" s="12"/>
      <c r="AB1144" s="12"/>
      <c r="AC1144" s="12"/>
      <c r="AD1144" s="12"/>
      <c r="AE1144" s="12"/>
      <c r="AF1144" s="12"/>
      <c r="AG1144" s="12"/>
      <c r="AH1144" s="12"/>
      <c r="AI1144" s="12"/>
      <c r="AJ1144" s="12"/>
      <c r="AK1144" s="12"/>
      <c r="AL1144" s="12"/>
      <c r="AM1144" s="12"/>
      <c r="AN1144" s="12"/>
      <c r="AO1144" s="12"/>
      <c r="AP1144" s="12"/>
      <c r="AQ1144" s="12"/>
      <c r="AR1144" s="12"/>
      <c r="AS1144" s="12"/>
      <c r="AT1144" s="12"/>
      <c r="AU1144" s="12"/>
      <c r="AV1144" s="12"/>
      <c r="AW1144" s="12"/>
      <c r="AX1144" s="12"/>
      <c r="AY1144" s="12"/>
      <c r="AZ1144" s="12"/>
      <c r="BA1144" s="12"/>
      <c r="BB1144" s="12"/>
      <c r="BC1144" s="12"/>
      <c r="BD1144" s="12"/>
      <c r="BE1144" s="12"/>
      <c r="BF1144" s="12"/>
      <c r="BG1144" s="12"/>
      <c r="BH1144" s="12"/>
      <c r="BI1144" s="12"/>
      <c r="BJ1144" s="12"/>
      <c r="BK1144" s="12"/>
      <c r="BL1144" s="12"/>
      <c r="BM1144" s="12"/>
      <c r="BN1144" s="12"/>
      <c r="BO1144" s="12"/>
      <c r="BP1144" s="12"/>
      <c r="BQ1144" s="12"/>
      <c r="BR1144" s="12"/>
      <c r="BS1144" s="12"/>
      <c r="BT1144" s="12"/>
      <c r="BU1144" s="12"/>
      <c r="BV1144" s="12"/>
      <c r="BW1144" s="12"/>
      <c r="BX1144" s="12"/>
      <c r="BY1144" s="12"/>
      <c r="BZ1144" s="12"/>
      <c r="CA1144" s="12"/>
      <c r="CB1144" s="12"/>
      <c r="CC1144" s="12"/>
      <c r="CD1144" s="12"/>
      <c r="CE1144" s="12"/>
      <c r="CF1144" s="12"/>
      <c r="CG1144" s="12"/>
      <c r="CH1144" s="12"/>
      <c r="CI1144" s="12"/>
      <c r="CJ1144" s="12"/>
      <c r="CK1144" s="12"/>
      <c r="CL1144" s="12"/>
      <c r="CM1144" s="12"/>
      <c r="CN1144" s="12"/>
      <c r="CO1144" s="12"/>
      <c r="CP1144" s="12"/>
      <c r="CQ1144" s="12"/>
      <c r="CR1144" s="12"/>
      <c r="CS1144" s="12"/>
      <c r="CT1144" s="12"/>
      <c r="CU1144" s="12"/>
      <c r="CV1144" s="12"/>
      <c r="CW1144" s="12"/>
      <c r="CX1144" s="12"/>
      <c r="CY1144" s="12"/>
      <c r="CZ1144" s="12"/>
      <c r="DA1144" s="12"/>
      <c r="DB1144" s="12"/>
      <c r="DC1144" s="12"/>
      <c r="DD1144" s="12"/>
      <c r="DE1144" s="12"/>
      <c r="DF1144" s="12"/>
      <c r="DG1144" s="12"/>
      <c r="DH1144" s="12"/>
      <c r="DI1144" s="12"/>
      <c r="DJ1144" s="12"/>
      <c r="DK1144" s="12"/>
      <c r="DL1144" s="12"/>
      <c r="DM1144" s="12"/>
      <c r="DN1144" s="12"/>
      <c r="DO1144" s="12"/>
      <c r="DP1144" s="12"/>
      <c r="DQ1144" s="12"/>
      <c r="DR1144" s="12"/>
      <c r="DS1144" s="12"/>
      <c r="DT1144" s="12"/>
      <c r="DU1144" s="12"/>
      <c r="DV1144" s="12"/>
      <c r="DW1144" s="12"/>
      <c r="DX1144" s="12"/>
      <c r="DY1144" s="12"/>
      <c r="DZ1144" s="12"/>
      <c r="EA1144" s="12"/>
      <c r="EB1144" s="12"/>
      <c r="EC1144" s="12"/>
      <c r="ED1144" s="12"/>
      <c r="EE1144" s="12"/>
      <c r="EF1144" s="12"/>
      <c r="EG1144" s="12"/>
      <c r="EH1144" s="12"/>
      <c r="EI1144" s="12"/>
      <c r="EJ1144" s="574"/>
      <c r="EK1144" s="574"/>
      <c r="EL1144" s="574"/>
      <c r="EM1144" s="574"/>
      <c r="EN1144" s="574"/>
      <c r="EO1144" s="574"/>
      <c r="EP1144" s="574"/>
      <c r="EQ1144" s="574"/>
      <c r="ER1144" s="574"/>
      <c r="ES1144" s="574"/>
      <c r="ET1144" s="574"/>
      <c r="EU1144" s="574"/>
    </row>
    <row r="1145">
      <c r="A1145" s="12"/>
      <c r="B1145" s="55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  <c r="Y1145" s="12"/>
      <c r="Z1145" s="12"/>
      <c r="AA1145" s="12"/>
      <c r="AB1145" s="12"/>
      <c r="AC1145" s="12"/>
      <c r="AD1145" s="12"/>
      <c r="AE1145" s="12"/>
      <c r="AF1145" s="12"/>
      <c r="AG1145" s="12"/>
      <c r="AH1145" s="12"/>
      <c r="AI1145" s="12"/>
      <c r="AJ1145" s="12"/>
      <c r="AK1145" s="12"/>
      <c r="AL1145" s="12"/>
      <c r="AM1145" s="12"/>
      <c r="AN1145" s="12"/>
      <c r="AO1145" s="12"/>
      <c r="AP1145" s="12"/>
      <c r="AQ1145" s="12"/>
      <c r="AR1145" s="12"/>
      <c r="AS1145" s="12"/>
      <c r="AT1145" s="12"/>
      <c r="AU1145" s="12"/>
      <c r="AV1145" s="12"/>
      <c r="AW1145" s="12"/>
      <c r="AX1145" s="12"/>
      <c r="AY1145" s="12"/>
      <c r="AZ1145" s="12"/>
      <c r="BA1145" s="12"/>
      <c r="BB1145" s="12"/>
      <c r="BC1145" s="12"/>
      <c r="BD1145" s="12"/>
      <c r="BE1145" s="12"/>
      <c r="BF1145" s="12"/>
      <c r="BG1145" s="12"/>
      <c r="BH1145" s="12"/>
      <c r="BI1145" s="12"/>
      <c r="BJ1145" s="12"/>
      <c r="BK1145" s="12"/>
      <c r="BL1145" s="12"/>
      <c r="BM1145" s="12"/>
      <c r="BN1145" s="12"/>
      <c r="BO1145" s="12"/>
      <c r="BP1145" s="12"/>
      <c r="BQ1145" s="12"/>
      <c r="BR1145" s="12"/>
      <c r="BS1145" s="12"/>
      <c r="BT1145" s="12"/>
      <c r="BU1145" s="12"/>
      <c r="BV1145" s="12"/>
      <c r="BW1145" s="12"/>
      <c r="BX1145" s="12"/>
      <c r="BY1145" s="12"/>
      <c r="BZ1145" s="12"/>
      <c r="CA1145" s="12"/>
      <c r="CB1145" s="12"/>
      <c r="CC1145" s="12"/>
      <c r="CD1145" s="12"/>
      <c r="CE1145" s="12"/>
      <c r="CF1145" s="12"/>
      <c r="CG1145" s="12"/>
      <c r="CH1145" s="12"/>
      <c r="CI1145" s="12"/>
      <c r="CJ1145" s="12"/>
      <c r="CK1145" s="12"/>
      <c r="CL1145" s="12"/>
      <c r="CM1145" s="12"/>
      <c r="CN1145" s="12"/>
      <c r="CO1145" s="12"/>
      <c r="CP1145" s="12"/>
      <c r="CQ1145" s="12"/>
      <c r="CR1145" s="12"/>
      <c r="CS1145" s="12"/>
      <c r="CT1145" s="12"/>
      <c r="CU1145" s="12"/>
      <c r="CV1145" s="12"/>
      <c r="CW1145" s="12"/>
      <c r="CX1145" s="12"/>
      <c r="CY1145" s="12"/>
      <c r="CZ1145" s="12"/>
      <c r="DA1145" s="12"/>
      <c r="DB1145" s="12"/>
      <c r="DC1145" s="12"/>
      <c r="DD1145" s="12"/>
      <c r="DE1145" s="12"/>
      <c r="DF1145" s="12"/>
      <c r="DG1145" s="12"/>
      <c r="DH1145" s="12"/>
      <c r="DI1145" s="12"/>
      <c r="DJ1145" s="12"/>
      <c r="DK1145" s="12"/>
      <c r="DL1145" s="12"/>
      <c r="DM1145" s="12"/>
      <c r="DN1145" s="12"/>
      <c r="DO1145" s="12"/>
      <c r="DP1145" s="12"/>
      <c r="DQ1145" s="12"/>
      <c r="DR1145" s="12"/>
      <c r="DS1145" s="12"/>
      <c r="DT1145" s="12"/>
      <c r="DU1145" s="12"/>
      <c r="DV1145" s="12"/>
      <c r="DW1145" s="12"/>
      <c r="DX1145" s="12"/>
      <c r="DY1145" s="12"/>
      <c r="DZ1145" s="12"/>
      <c r="EA1145" s="12"/>
      <c r="EB1145" s="12"/>
      <c r="EC1145" s="12"/>
      <c r="ED1145" s="12"/>
      <c r="EE1145" s="12"/>
      <c r="EF1145" s="12"/>
      <c r="EG1145" s="12"/>
      <c r="EH1145" s="12"/>
      <c r="EI1145" s="12"/>
      <c r="EJ1145" s="574"/>
      <c r="EK1145" s="574"/>
      <c r="EL1145" s="574"/>
      <c r="EM1145" s="574"/>
      <c r="EN1145" s="574"/>
      <c r="EO1145" s="574"/>
      <c r="EP1145" s="574"/>
      <c r="EQ1145" s="574"/>
      <c r="ER1145" s="574"/>
      <c r="ES1145" s="574"/>
      <c r="ET1145" s="574"/>
      <c r="EU1145" s="574"/>
    </row>
    <row r="1146">
      <c r="A1146" s="12"/>
      <c r="B1146" s="55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  <c r="Y1146" s="12"/>
      <c r="Z1146" s="12"/>
      <c r="AA1146" s="12"/>
      <c r="AB1146" s="12"/>
      <c r="AC1146" s="12"/>
      <c r="AD1146" s="12"/>
      <c r="AE1146" s="12"/>
      <c r="AF1146" s="12"/>
      <c r="AG1146" s="12"/>
      <c r="AH1146" s="12"/>
      <c r="AI1146" s="12"/>
      <c r="AJ1146" s="12"/>
      <c r="AK1146" s="12"/>
      <c r="AL1146" s="12"/>
      <c r="AM1146" s="12"/>
      <c r="AN1146" s="12"/>
      <c r="AO1146" s="12"/>
      <c r="AP1146" s="12"/>
      <c r="AQ1146" s="12"/>
      <c r="AR1146" s="12"/>
      <c r="AS1146" s="12"/>
      <c r="AT1146" s="12"/>
      <c r="AU1146" s="12"/>
      <c r="AV1146" s="12"/>
      <c r="AW1146" s="12"/>
      <c r="AX1146" s="12"/>
      <c r="AY1146" s="12"/>
      <c r="AZ1146" s="12"/>
      <c r="BA1146" s="12"/>
      <c r="BB1146" s="12"/>
      <c r="BC1146" s="12"/>
      <c r="BD1146" s="12"/>
      <c r="BE1146" s="12"/>
      <c r="BF1146" s="12"/>
      <c r="BG1146" s="12"/>
      <c r="BH1146" s="12"/>
      <c r="BI1146" s="12"/>
      <c r="BJ1146" s="12"/>
      <c r="BK1146" s="12"/>
      <c r="BL1146" s="12"/>
      <c r="BM1146" s="12"/>
      <c r="BN1146" s="12"/>
      <c r="BO1146" s="12"/>
      <c r="BP1146" s="12"/>
      <c r="BQ1146" s="12"/>
      <c r="BR1146" s="12"/>
      <c r="BS1146" s="12"/>
      <c r="BT1146" s="12"/>
      <c r="BU1146" s="12"/>
      <c r="BV1146" s="12"/>
      <c r="BW1146" s="12"/>
      <c r="BX1146" s="12"/>
      <c r="BY1146" s="12"/>
      <c r="BZ1146" s="12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574"/>
      <c r="EK1146" s="574"/>
      <c r="EL1146" s="574"/>
      <c r="EM1146" s="574"/>
      <c r="EN1146" s="574"/>
      <c r="EO1146" s="574"/>
      <c r="EP1146" s="574"/>
      <c r="EQ1146" s="574"/>
      <c r="ER1146" s="574"/>
      <c r="ES1146" s="574"/>
      <c r="ET1146" s="574"/>
      <c r="EU1146" s="574"/>
    </row>
    <row r="1147">
      <c r="A1147" s="12"/>
      <c r="B1147" s="55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2"/>
      <c r="V1147" s="12"/>
      <c r="W1147" s="12"/>
      <c r="X1147" s="12"/>
      <c r="Y1147" s="12"/>
      <c r="Z1147" s="12"/>
      <c r="AA1147" s="12"/>
      <c r="AB1147" s="12"/>
      <c r="AC1147" s="12"/>
      <c r="AD1147" s="12"/>
      <c r="AE1147" s="12"/>
      <c r="AF1147" s="12"/>
      <c r="AG1147" s="12"/>
      <c r="AH1147" s="12"/>
      <c r="AI1147" s="12"/>
      <c r="AJ1147" s="12"/>
      <c r="AK1147" s="12"/>
      <c r="AL1147" s="12"/>
      <c r="AM1147" s="12"/>
      <c r="AN1147" s="12"/>
      <c r="AO1147" s="12"/>
      <c r="AP1147" s="12"/>
      <c r="AQ1147" s="12"/>
      <c r="AR1147" s="12"/>
      <c r="AS1147" s="12"/>
      <c r="AT1147" s="12"/>
      <c r="AU1147" s="12"/>
      <c r="AV1147" s="12"/>
      <c r="AW1147" s="12"/>
      <c r="AX1147" s="12"/>
      <c r="AY1147" s="12"/>
      <c r="AZ1147" s="12"/>
      <c r="BA1147" s="12"/>
      <c r="BB1147" s="12"/>
      <c r="BC1147" s="12"/>
      <c r="BD1147" s="12"/>
      <c r="BE1147" s="12"/>
      <c r="BF1147" s="12"/>
      <c r="BG1147" s="12"/>
      <c r="BH1147" s="12"/>
      <c r="BI1147" s="12"/>
      <c r="BJ1147" s="12"/>
      <c r="BK1147" s="12"/>
      <c r="BL1147" s="12"/>
      <c r="BM1147" s="12"/>
      <c r="BN1147" s="12"/>
      <c r="BO1147" s="12"/>
      <c r="BP1147" s="12"/>
      <c r="BQ1147" s="12"/>
      <c r="BR1147" s="12"/>
      <c r="BS1147" s="12"/>
      <c r="BT1147" s="12"/>
      <c r="BU1147" s="12"/>
      <c r="BV1147" s="12"/>
      <c r="BW1147" s="12"/>
      <c r="BX1147" s="12"/>
      <c r="BY1147" s="12"/>
      <c r="BZ1147" s="12"/>
      <c r="CA1147" s="12"/>
      <c r="CB1147" s="12"/>
      <c r="CC1147" s="12"/>
      <c r="CD1147" s="12"/>
      <c r="CE1147" s="12"/>
      <c r="CF1147" s="12"/>
      <c r="CG1147" s="12"/>
      <c r="CH1147" s="12"/>
      <c r="CI1147" s="12"/>
      <c r="CJ1147" s="12"/>
      <c r="CK1147" s="12"/>
      <c r="CL1147" s="12"/>
      <c r="CM1147" s="12"/>
      <c r="CN1147" s="12"/>
      <c r="CO1147" s="12"/>
      <c r="CP1147" s="12"/>
      <c r="CQ1147" s="12"/>
      <c r="CR1147" s="12"/>
      <c r="CS1147" s="12"/>
      <c r="CT1147" s="12"/>
      <c r="CU1147" s="12"/>
      <c r="CV1147" s="12"/>
      <c r="CW1147" s="12"/>
      <c r="CX1147" s="12"/>
      <c r="CY1147" s="12"/>
      <c r="CZ1147" s="12"/>
      <c r="DA1147" s="12"/>
      <c r="DB1147" s="12"/>
      <c r="DC1147" s="12"/>
      <c r="DD1147" s="12"/>
      <c r="DE1147" s="12"/>
      <c r="DF1147" s="12"/>
      <c r="DG1147" s="12"/>
      <c r="DH1147" s="12"/>
      <c r="DI1147" s="12"/>
      <c r="DJ1147" s="12"/>
      <c r="DK1147" s="12"/>
      <c r="DL1147" s="12"/>
      <c r="DM1147" s="12"/>
      <c r="DN1147" s="12"/>
      <c r="DO1147" s="12"/>
      <c r="DP1147" s="12"/>
      <c r="DQ1147" s="12"/>
      <c r="DR1147" s="12"/>
      <c r="DS1147" s="12"/>
      <c r="DT1147" s="12"/>
      <c r="DU1147" s="12"/>
      <c r="DV1147" s="12"/>
      <c r="DW1147" s="12"/>
      <c r="DX1147" s="12"/>
      <c r="DY1147" s="12"/>
      <c r="DZ1147" s="12"/>
      <c r="EA1147" s="12"/>
      <c r="EB1147" s="12"/>
      <c r="EC1147" s="12"/>
      <c r="ED1147" s="12"/>
      <c r="EE1147" s="12"/>
      <c r="EF1147" s="12"/>
      <c r="EG1147" s="12"/>
      <c r="EH1147" s="12"/>
      <c r="EI1147" s="12"/>
      <c r="EJ1147" s="574"/>
      <c r="EK1147" s="574"/>
      <c r="EL1147" s="574"/>
      <c r="EM1147" s="574"/>
      <c r="EN1147" s="574"/>
      <c r="EO1147" s="574"/>
      <c r="EP1147" s="574"/>
      <c r="EQ1147" s="574"/>
      <c r="ER1147" s="574"/>
      <c r="ES1147" s="574"/>
      <c r="ET1147" s="574"/>
      <c r="EU1147" s="574"/>
    </row>
    <row r="1148">
      <c r="A1148" s="12"/>
      <c r="B1148" s="55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  <c r="Y1148" s="12"/>
      <c r="Z1148" s="12"/>
      <c r="AA1148" s="12"/>
      <c r="AB1148" s="12"/>
      <c r="AC1148" s="12"/>
      <c r="AD1148" s="12"/>
      <c r="AE1148" s="12"/>
      <c r="AF1148" s="12"/>
      <c r="AG1148" s="12"/>
      <c r="AH1148" s="12"/>
      <c r="AI1148" s="12"/>
      <c r="AJ1148" s="12"/>
      <c r="AK1148" s="12"/>
      <c r="AL1148" s="12"/>
      <c r="AM1148" s="12"/>
      <c r="AN1148" s="12"/>
      <c r="AO1148" s="12"/>
      <c r="AP1148" s="12"/>
      <c r="AQ1148" s="12"/>
      <c r="AR1148" s="12"/>
      <c r="AS1148" s="12"/>
      <c r="AT1148" s="12"/>
      <c r="AU1148" s="12"/>
      <c r="AV1148" s="12"/>
      <c r="AW1148" s="12"/>
      <c r="AX1148" s="12"/>
      <c r="AY1148" s="12"/>
      <c r="AZ1148" s="12"/>
      <c r="BA1148" s="12"/>
      <c r="BB1148" s="12"/>
      <c r="BC1148" s="12"/>
      <c r="BD1148" s="12"/>
      <c r="BE1148" s="12"/>
      <c r="BF1148" s="12"/>
      <c r="BG1148" s="12"/>
      <c r="BH1148" s="12"/>
      <c r="BI1148" s="12"/>
      <c r="BJ1148" s="12"/>
      <c r="BK1148" s="12"/>
      <c r="BL1148" s="12"/>
      <c r="BM1148" s="12"/>
      <c r="BN1148" s="12"/>
      <c r="BO1148" s="12"/>
      <c r="BP1148" s="12"/>
      <c r="BQ1148" s="12"/>
      <c r="BR1148" s="12"/>
      <c r="BS1148" s="12"/>
      <c r="BT1148" s="12"/>
      <c r="BU1148" s="12"/>
      <c r="BV1148" s="12"/>
      <c r="BW1148" s="12"/>
      <c r="BX1148" s="12"/>
      <c r="BY1148" s="12"/>
      <c r="BZ1148" s="12"/>
      <c r="CA1148" s="12"/>
      <c r="CB1148" s="12"/>
      <c r="CC1148" s="12"/>
      <c r="CD1148" s="12"/>
      <c r="CE1148" s="12"/>
      <c r="CF1148" s="12"/>
      <c r="CG1148" s="12"/>
      <c r="CH1148" s="12"/>
      <c r="CI1148" s="12"/>
      <c r="CJ1148" s="12"/>
      <c r="CK1148" s="12"/>
      <c r="CL1148" s="12"/>
      <c r="CM1148" s="12"/>
      <c r="CN1148" s="12"/>
      <c r="CO1148" s="12"/>
      <c r="CP1148" s="12"/>
      <c r="CQ1148" s="12"/>
      <c r="CR1148" s="12"/>
      <c r="CS1148" s="12"/>
      <c r="CT1148" s="12"/>
      <c r="CU1148" s="12"/>
      <c r="CV1148" s="12"/>
      <c r="CW1148" s="12"/>
      <c r="CX1148" s="12"/>
      <c r="CY1148" s="12"/>
      <c r="CZ1148" s="12"/>
      <c r="DA1148" s="12"/>
      <c r="DB1148" s="12"/>
      <c r="DC1148" s="12"/>
      <c r="DD1148" s="12"/>
      <c r="DE1148" s="12"/>
      <c r="DF1148" s="12"/>
      <c r="DG1148" s="12"/>
      <c r="DH1148" s="12"/>
      <c r="DI1148" s="12"/>
      <c r="DJ1148" s="12"/>
      <c r="DK1148" s="12"/>
      <c r="DL1148" s="12"/>
      <c r="DM1148" s="12"/>
      <c r="DN1148" s="12"/>
      <c r="DO1148" s="12"/>
      <c r="DP1148" s="12"/>
      <c r="DQ1148" s="12"/>
      <c r="DR1148" s="12"/>
      <c r="DS1148" s="12"/>
      <c r="DT1148" s="12"/>
      <c r="DU1148" s="12"/>
      <c r="DV1148" s="12"/>
      <c r="DW1148" s="12"/>
      <c r="DX1148" s="12"/>
      <c r="DY1148" s="12"/>
      <c r="DZ1148" s="12"/>
      <c r="EA1148" s="12"/>
      <c r="EB1148" s="12"/>
      <c r="EC1148" s="12"/>
      <c r="ED1148" s="12"/>
      <c r="EE1148" s="12"/>
      <c r="EF1148" s="12"/>
      <c r="EG1148" s="12"/>
      <c r="EH1148" s="12"/>
      <c r="EI1148" s="12"/>
      <c r="EJ1148" s="574"/>
      <c r="EK1148" s="574"/>
      <c r="EL1148" s="574"/>
      <c r="EM1148" s="574"/>
      <c r="EN1148" s="574"/>
      <c r="EO1148" s="574"/>
      <c r="EP1148" s="574"/>
      <c r="EQ1148" s="574"/>
      <c r="ER1148" s="574"/>
      <c r="ES1148" s="574"/>
      <c r="ET1148" s="574"/>
      <c r="EU1148" s="574"/>
    </row>
    <row r="1149">
      <c r="A1149" s="12"/>
      <c r="B1149" s="55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  <c r="Y1149" s="12"/>
      <c r="Z1149" s="12"/>
      <c r="AA1149" s="12"/>
      <c r="AB1149" s="12"/>
      <c r="AC1149" s="12"/>
      <c r="AD1149" s="12"/>
      <c r="AE1149" s="12"/>
      <c r="AF1149" s="12"/>
      <c r="AG1149" s="12"/>
      <c r="AH1149" s="12"/>
      <c r="AI1149" s="12"/>
      <c r="AJ1149" s="12"/>
      <c r="AK1149" s="12"/>
      <c r="AL1149" s="12"/>
      <c r="AM1149" s="12"/>
      <c r="AN1149" s="12"/>
      <c r="AO1149" s="12"/>
      <c r="AP1149" s="12"/>
      <c r="AQ1149" s="12"/>
      <c r="AR1149" s="12"/>
      <c r="AS1149" s="12"/>
      <c r="AT1149" s="12"/>
      <c r="AU1149" s="12"/>
      <c r="AV1149" s="12"/>
      <c r="AW1149" s="12"/>
      <c r="AX1149" s="12"/>
      <c r="AY1149" s="12"/>
      <c r="AZ1149" s="12"/>
      <c r="BA1149" s="12"/>
      <c r="BB1149" s="12"/>
      <c r="BC1149" s="12"/>
      <c r="BD1149" s="12"/>
      <c r="BE1149" s="12"/>
      <c r="BF1149" s="12"/>
      <c r="BG1149" s="12"/>
      <c r="BH1149" s="12"/>
      <c r="BI1149" s="12"/>
      <c r="BJ1149" s="12"/>
      <c r="BK1149" s="12"/>
      <c r="BL1149" s="12"/>
      <c r="BM1149" s="12"/>
      <c r="BN1149" s="12"/>
      <c r="BO1149" s="12"/>
      <c r="BP1149" s="12"/>
      <c r="BQ1149" s="12"/>
      <c r="BR1149" s="12"/>
      <c r="BS1149" s="12"/>
      <c r="BT1149" s="12"/>
      <c r="BU1149" s="12"/>
      <c r="BV1149" s="12"/>
      <c r="BW1149" s="12"/>
      <c r="BX1149" s="12"/>
      <c r="BY1149" s="12"/>
      <c r="BZ1149" s="12"/>
      <c r="CA1149" s="12"/>
      <c r="CB1149" s="12"/>
      <c r="CC1149" s="12"/>
      <c r="CD1149" s="12"/>
      <c r="CE1149" s="12"/>
      <c r="CF1149" s="12"/>
      <c r="CG1149" s="12"/>
      <c r="CH1149" s="12"/>
      <c r="CI1149" s="12"/>
      <c r="CJ1149" s="12"/>
      <c r="CK1149" s="12"/>
      <c r="CL1149" s="12"/>
      <c r="CM1149" s="12"/>
      <c r="CN1149" s="12"/>
      <c r="CO1149" s="12"/>
      <c r="CP1149" s="12"/>
      <c r="CQ1149" s="12"/>
      <c r="CR1149" s="12"/>
      <c r="CS1149" s="12"/>
      <c r="CT1149" s="12"/>
      <c r="CU1149" s="12"/>
      <c r="CV1149" s="12"/>
      <c r="CW1149" s="12"/>
      <c r="CX1149" s="12"/>
      <c r="CY1149" s="12"/>
      <c r="CZ1149" s="12"/>
      <c r="DA1149" s="12"/>
      <c r="DB1149" s="12"/>
      <c r="DC1149" s="12"/>
      <c r="DD1149" s="12"/>
      <c r="DE1149" s="12"/>
      <c r="DF1149" s="12"/>
      <c r="DG1149" s="12"/>
      <c r="DH1149" s="12"/>
      <c r="DI1149" s="12"/>
      <c r="DJ1149" s="12"/>
      <c r="DK1149" s="12"/>
      <c r="DL1149" s="12"/>
      <c r="DM1149" s="12"/>
      <c r="DN1149" s="12"/>
      <c r="DO1149" s="12"/>
      <c r="DP1149" s="12"/>
      <c r="DQ1149" s="12"/>
      <c r="DR1149" s="12"/>
      <c r="DS1149" s="12"/>
      <c r="DT1149" s="12"/>
      <c r="DU1149" s="12"/>
      <c r="DV1149" s="12"/>
      <c r="DW1149" s="12"/>
      <c r="DX1149" s="12"/>
      <c r="DY1149" s="12"/>
      <c r="DZ1149" s="12"/>
      <c r="EA1149" s="12"/>
      <c r="EB1149" s="12"/>
      <c r="EC1149" s="12"/>
      <c r="ED1149" s="12"/>
      <c r="EE1149" s="12"/>
      <c r="EF1149" s="12"/>
      <c r="EG1149" s="12"/>
      <c r="EH1149" s="12"/>
      <c r="EI1149" s="12"/>
      <c r="EJ1149" s="574"/>
      <c r="EK1149" s="574"/>
      <c r="EL1149" s="574"/>
      <c r="EM1149" s="574"/>
      <c r="EN1149" s="574"/>
      <c r="EO1149" s="574"/>
      <c r="EP1149" s="574"/>
      <c r="EQ1149" s="574"/>
      <c r="ER1149" s="574"/>
      <c r="ES1149" s="574"/>
      <c r="ET1149" s="574"/>
      <c r="EU1149" s="574"/>
    </row>
    <row r="1150">
      <c r="A1150" s="12"/>
      <c r="B1150" s="55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  <c r="Y1150" s="12"/>
      <c r="Z1150" s="12"/>
      <c r="AA1150" s="12"/>
      <c r="AB1150" s="12"/>
      <c r="AC1150" s="12"/>
      <c r="AD1150" s="12"/>
      <c r="AE1150" s="12"/>
      <c r="AF1150" s="12"/>
      <c r="AG1150" s="12"/>
      <c r="AH1150" s="12"/>
      <c r="AI1150" s="12"/>
      <c r="AJ1150" s="12"/>
      <c r="AK1150" s="12"/>
      <c r="AL1150" s="12"/>
      <c r="AM1150" s="12"/>
      <c r="AN1150" s="12"/>
      <c r="AO1150" s="12"/>
      <c r="AP1150" s="12"/>
      <c r="AQ1150" s="12"/>
      <c r="AR1150" s="12"/>
      <c r="AS1150" s="12"/>
      <c r="AT1150" s="12"/>
      <c r="AU1150" s="12"/>
      <c r="AV1150" s="12"/>
      <c r="AW1150" s="12"/>
      <c r="AX1150" s="12"/>
      <c r="AY1150" s="12"/>
      <c r="AZ1150" s="12"/>
      <c r="BA1150" s="12"/>
      <c r="BB1150" s="12"/>
      <c r="BC1150" s="12"/>
      <c r="BD1150" s="12"/>
      <c r="BE1150" s="12"/>
      <c r="BF1150" s="12"/>
      <c r="BG1150" s="12"/>
      <c r="BH1150" s="12"/>
      <c r="BI1150" s="12"/>
      <c r="BJ1150" s="12"/>
      <c r="BK1150" s="12"/>
      <c r="BL1150" s="12"/>
      <c r="BM1150" s="12"/>
      <c r="BN1150" s="12"/>
      <c r="BO1150" s="12"/>
      <c r="BP1150" s="12"/>
      <c r="BQ1150" s="12"/>
      <c r="BR1150" s="12"/>
      <c r="BS1150" s="12"/>
      <c r="BT1150" s="12"/>
      <c r="BU1150" s="12"/>
      <c r="BV1150" s="12"/>
      <c r="BW1150" s="12"/>
      <c r="BX1150" s="12"/>
      <c r="BY1150" s="12"/>
      <c r="BZ1150" s="12"/>
      <c r="CA1150" s="12"/>
      <c r="CB1150" s="12"/>
      <c r="CC1150" s="12"/>
      <c r="CD1150" s="12"/>
      <c r="CE1150" s="12"/>
      <c r="CF1150" s="12"/>
      <c r="CG1150" s="12"/>
      <c r="CH1150" s="12"/>
      <c r="CI1150" s="12"/>
      <c r="CJ1150" s="12"/>
      <c r="CK1150" s="12"/>
      <c r="CL1150" s="12"/>
      <c r="CM1150" s="12"/>
      <c r="CN1150" s="12"/>
      <c r="CO1150" s="12"/>
      <c r="CP1150" s="12"/>
      <c r="CQ1150" s="12"/>
      <c r="CR1150" s="12"/>
      <c r="CS1150" s="12"/>
      <c r="CT1150" s="12"/>
      <c r="CU1150" s="12"/>
      <c r="CV1150" s="12"/>
      <c r="CW1150" s="12"/>
      <c r="CX1150" s="12"/>
      <c r="CY1150" s="12"/>
      <c r="CZ1150" s="12"/>
      <c r="DA1150" s="12"/>
      <c r="DB1150" s="12"/>
      <c r="DC1150" s="12"/>
      <c r="DD1150" s="12"/>
      <c r="DE1150" s="12"/>
      <c r="DF1150" s="12"/>
      <c r="DG1150" s="12"/>
      <c r="DH1150" s="12"/>
      <c r="DI1150" s="12"/>
      <c r="DJ1150" s="12"/>
      <c r="DK1150" s="12"/>
      <c r="DL1150" s="12"/>
      <c r="DM1150" s="12"/>
      <c r="DN1150" s="12"/>
      <c r="DO1150" s="12"/>
      <c r="DP1150" s="12"/>
      <c r="DQ1150" s="12"/>
      <c r="DR1150" s="12"/>
      <c r="DS1150" s="12"/>
      <c r="DT1150" s="12"/>
      <c r="DU1150" s="12"/>
      <c r="DV1150" s="12"/>
      <c r="DW1150" s="12"/>
      <c r="DX1150" s="12"/>
      <c r="DY1150" s="12"/>
      <c r="DZ1150" s="12"/>
      <c r="EA1150" s="12"/>
      <c r="EB1150" s="12"/>
      <c r="EC1150" s="12"/>
      <c r="ED1150" s="12"/>
      <c r="EE1150" s="12"/>
      <c r="EF1150" s="12"/>
      <c r="EG1150" s="12"/>
      <c r="EH1150" s="12"/>
      <c r="EI1150" s="12"/>
      <c r="EJ1150" s="574"/>
      <c r="EK1150" s="574"/>
      <c r="EL1150" s="574"/>
      <c r="EM1150" s="574"/>
      <c r="EN1150" s="574"/>
      <c r="EO1150" s="574"/>
      <c r="EP1150" s="574"/>
      <c r="EQ1150" s="574"/>
      <c r="ER1150" s="574"/>
      <c r="ES1150" s="574"/>
      <c r="ET1150" s="574"/>
      <c r="EU1150" s="574"/>
    </row>
    <row r="1151">
      <c r="A1151" s="12"/>
      <c r="B1151" s="55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  <c r="Y1151" s="12"/>
      <c r="Z1151" s="12"/>
      <c r="AA1151" s="12"/>
      <c r="AB1151" s="12"/>
      <c r="AC1151" s="12"/>
      <c r="AD1151" s="12"/>
      <c r="AE1151" s="12"/>
      <c r="AF1151" s="12"/>
      <c r="AG1151" s="12"/>
      <c r="AH1151" s="12"/>
      <c r="AI1151" s="12"/>
      <c r="AJ1151" s="12"/>
      <c r="AK1151" s="12"/>
      <c r="AL1151" s="12"/>
      <c r="AM1151" s="12"/>
      <c r="AN1151" s="12"/>
      <c r="AO1151" s="12"/>
      <c r="AP1151" s="12"/>
      <c r="AQ1151" s="12"/>
      <c r="AR1151" s="12"/>
      <c r="AS1151" s="12"/>
      <c r="AT1151" s="12"/>
      <c r="AU1151" s="12"/>
      <c r="AV1151" s="12"/>
      <c r="AW1151" s="12"/>
      <c r="AX1151" s="12"/>
      <c r="AY1151" s="12"/>
      <c r="AZ1151" s="12"/>
      <c r="BA1151" s="12"/>
      <c r="BB1151" s="12"/>
      <c r="BC1151" s="12"/>
      <c r="BD1151" s="12"/>
      <c r="BE1151" s="12"/>
      <c r="BF1151" s="12"/>
      <c r="BG1151" s="12"/>
      <c r="BH1151" s="12"/>
      <c r="BI1151" s="12"/>
      <c r="BJ1151" s="12"/>
      <c r="BK1151" s="12"/>
      <c r="BL1151" s="12"/>
      <c r="BM1151" s="12"/>
      <c r="BN1151" s="12"/>
      <c r="BO1151" s="12"/>
      <c r="BP1151" s="12"/>
      <c r="BQ1151" s="12"/>
      <c r="BR1151" s="12"/>
      <c r="BS1151" s="12"/>
      <c r="BT1151" s="12"/>
      <c r="BU1151" s="12"/>
      <c r="BV1151" s="12"/>
      <c r="BW1151" s="12"/>
      <c r="BX1151" s="12"/>
      <c r="BY1151" s="12"/>
      <c r="BZ1151" s="12"/>
      <c r="CA1151" s="12"/>
      <c r="CB1151" s="12"/>
      <c r="CC1151" s="12"/>
      <c r="CD1151" s="12"/>
      <c r="CE1151" s="12"/>
      <c r="CF1151" s="12"/>
      <c r="CG1151" s="12"/>
      <c r="CH1151" s="12"/>
      <c r="CI1151" s="12"/>
      <c r="CJ1151" s="12"/>
      <c r="CK1151" s="12"/>
      <c r="CL1151" s="12"/>
      <c r="CM1151" s="12"/>
      <c r="CN1151" s="12"/>
      <c r="CO1151" s="12"/>
      <c r="CP1151" s="12"/>
      <c r="CQ1151" s="12"/>
      <c r="CR1151" s="12"/>
      <c r="CS1151" s="12"/>
      <c r="CT1151" s="12"/>
      <c r="CU1151" s="12"/>
      <c r="CV1151" s="12"/>
      <c r="CW1151" s="12"/>
      <c r="CX1151" s="12"/>
      <c r="CY1151" s="12"/>
      <c r="CZ1151" s="12"/>
      <c r="DA1151" s="12"/>
      <c r="DB1151" s="12"/>
      <c r="DC1151" s="12"/>
      <c r="DD1151" s="12"/>
      <c r="DE1151" s="12"/>
      <c r="DF1151" s="12"/>
      <c r="DG1151" s="12"/>
      <c r="DH1151" s="12"/>
      <c r="DI1151" s="12"/>
      <c r="DJ1151" s="12"/>
      <c r="DK1151" s="12"/>
      <c r="DL1151" s="12"/>
      <c r="DM1151" s="12"/>
      <c r="DN1151" s="12"/>
      <c r="DO1151" s="12"/>
      <c r="DP1151" s="12"/>
      <c r="DQ1151" s="12"/>
      <c r="DR1151" s="12"/>
      <c r="DS1151" s="12"/>
      <c r="DT1151" s="12"/>
      <c r="DU1151" s="12"/>
      <c r="DV1151" s="12"/>
      <c r="DW1151" s="12"/>
      <c r="DX1151" s="12"/>
      <c r="DY1151" s="12"/>
      <c r="DZ1151" s="12"/>
      <c r="EA1151" s="12"/>
      <c r="EB1151" s="12"/>
      <c r="EC1151" s="12"/>
      <c r="ED1151" s="12"/>
      <c r="EE1151" s="12"/>
      <c r="EF1151" s="12"/>
      <c r="EG1151" s="12"/>
      <c r="EH1151" s="12"/>
      <c r="EI1151" s="12"/>
      <c r="EJ1151" s="574"/>
      <c r="EK1151" s="574"/>
      <c r="EL1151" s="574"/>
      <c r="EM1151" s="574"/>
      <c r="EN1151" s="574"/>
      <c r="EO1151" s="574"/>
      <c r="EP1151" s="574"/>
      <c r="EQ1151" s="574"/>
      <c r="ER1151" s="574"/>
      <c r="ES1151" s="574"/>
      <c r="ET1151" s="574"/>
      <c r="EU1151" s="574"/>
    </row>
    <row r="1152">
      <c r="A1152" s="12"/>
      <c r="B1152" s="55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2"/>
      <c r="V1152" s="12"/>
      <c r="W1152" s="12"/>
      <c r="X1152" s="12"/>
      <c r="Y1152" s="12"/>
      <c r="Z1152" s="12"/>
      <c r="AA1152" s="12"/>
      <c r="AB1152" s="12"/>
      <c r="AC1152" s="12"/>
      <c r="AD1152" s="12"/>
      <c r="AE1152" s="12"/>
      <c r="AF1152" s="12"/>
      <c r="AG1152" s="12"/>
      <c r="AH1152" s="12"/>
      <c r="AI1152" s="12"/>
      <c r="AJ1152" s="12"/>
      <c r="AK1152" s="12"/>
      <c r="AL1152" s="12"/>
      <c r="AM1152" s="12"/>
      <c r="AN1152" s="12"/>
      <c r="AO1152" s="12"/>
      <c r="AP1152" s="12"/>
      <c r="AQ1152" s="12"/>
      <c r="AR1152" s="12"/>
      <c r="AS1152" s="12"/>
      <c r="AT1152" s="12"/>
      <c r="AU1152" s="12"/>
      <c r="AV1152" s="12"/>
      <c r="AW1152" s="12"/>
      <c r="AX1152" s="12"/>
      <c r="AY1152" s="12"/>
      <c r="AZ1152" s="12"/>
      <c r="BA1152" s="12"/>
      <c r="BB1152" s="12"/>
      <c r="BC1152" s="12"/>
      <c r="BD1152" s="12"/>
      <c r="BE1152" s="12"/>
      <c r="BF1152" s="12"/>
      <c r="BG1152" s="12"/>
      <c r="BH1152" s="12"/>
      <c r="BI1152" s="12"/>
      <c r="BJ1152" s="12"/>
      <c r="BK1152" s="12"/>
      <c r="BL1152" s="12"/>
      <c r="BM1152" s="12"/>
      <c r="BN1152" s="12"/>
      <c r="BO1152" s="12"/>
      <c r="BP1152" s="12"/>
      <c r="BQ1152" s="12"/>
      <c r="BR1152" s="12"/>
      <c r="BS1152" s="12"/>
      <c r="BT1152" s="12"/>
      <c r="BU1152" s="12"/>
      <c r="BV1152" s="12"/>
      <c r="BW1152" s="12"/>
      <c r="BX1152" s="12"/>
      <c r="BY1152" s="12"/>
      <c r="BZ1152" s="12"/>
      <c r="CA1152" s="12"/>
      <c r="CB1152" s="12"/>
      <c r="CC1152" s="12"/>
      <c r="CD1152" s="12"/>
      <c r="CE1152" s="12"/>
      <c r="CF1152" s="12"/>
      <c r="CG1152" s="12"/>
      <c r="CH1152" s="12"/>
      <c r="CI1152" s="12"/>
      <c r="CJ1152" s="12"/>
      <c r="CK1152" s="12"/>
      <c r="CL1152" s="12"/>
      <c r="CM1152" s="12"/>
      <c r="CN1152" s="12"/>
      <c r="CO1152" s="12"/>
      <c r="CP1152" s="12"/>
      <c r="CQ1152" s="12"/>
      <c r="CR1152" s="12"/>
      <c r="CS1152" s="12"/>
      <c r="CT1152" s="12"/>
      <c r="CU1152" s="12"/>
      <c r="CV1152" s="12"/>
      <c r="CW1152" s="12"/>
      <c r="CX1152" s="12"/>
      <c r="CY1152" s="12"/>
      <c r="CZ1152" s="12"/>
      <c r="DA1152" s="12"/>
      <c r="DB1152" s="12"/>
      <c r="DC1152" s="12"/>
      <c r="DD1152" s="12"/>
      <c r="DE1152" s="12"/>
      <c r="DF1152" s="12"/>
      <c r="DG1152" s="12"/>
      <c r="DH1152" s="12"/>
      <c r="DI1152" s="12"/>
      <c r="DJ1152" s="12"/>
      <c r="DK1152" s="12"/>
      <c r="DL1152" s="12"/>
      <c r="DM1152" s="12"/>
      <c r="DN1152" s="12"/>
      <c r="DO1152" s="12"/>
      <c r="DP1152" s="12"/>
      <c r="DQ1152" s="12"/>
      <c r="DR1152" s="12"/>
      <c r="DS1152" s="12"/>
      <c r="DT1152" s="12"/>
      <c r="DU1152" s="12"/>
      <c r="DV1152" s="12"/>
      <c r="DW1152" s="12"/>
      <c r="DX1152" s="12"/>
      <c r="DY1152" s="12"/>
      <c r="DZ1152" s="12"/>
      <c r="EA1152" s="12"/>
      <c r="EB1152" s="12"/>
      <c r="EC1152" s="12"/>
      <c r="ED1152" s="12"/>
      <c r="EE1152" s="12"/>
      <c r="EF1152" s="12"/>
      <c r="EG1152" s="12"/>
      <c r="EH1152" s="12"/>
      <c r="EI1152" s="12"/>
      <c r="EJ1152" s="574"/>
      <c r="EK1152" s="574"/>
      <c r="EL1152" s="574"/>
      <c r="EM1152" s="574"/>
      <c r="EN1152" s="574"/>
      <c r="EO1152" s="574"/>
      <c r="EP1152" s="574"/>
      <c r="EQ1152" s="574"/>
      <c r="ER1152" s="574"/>
      <c r="ES1152" s="574"/>
      <c r="ET1152" s="574"/>
      <c r="EU1152" s="574"/>
    </row>
    <row r="1153">
      <c r="A1153" s="12"/>
      <c r="B1153" s="55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  <c r="Y1153" s="12"/>
      <c r="Z1153" s="12"/>
      <c r="AA1153" s="12"/>
      <c r="AB1153" s="12"/>
      <c r="AC1153" s="12"/>
      <c r="AD1153" s="12"/>
      <c r="AE1153" s="12"/>
      <c r="AF1153" s="12"/>
      <c r="AG1153" s="12"/>
      <c r="AH1153" s="12"/>
      <c r="AI1153" s="12"/>
      <c r="AJ1153" s="12"/>
      <c r="AK1153" s="12"/>
      <c r="AL1153" s="12"/>
      <c r="AM1153" s="12"/>
      <c r="AN1153" s="12"/>
      <c r="AO1153" s="12"/>
      <c r="AP1153" s="12"/>
      <c r="AQ1153" s="12"/>
      <c r="AR1153" s="12"/>
      <c r="AS1153" s="12"/>
      <c r="AT1153" s="12"/>
      <c r="AU1153" s="12"/>
      <c r="AV1153" s="12"/>
      <c r="AW1153" s="12"/>
      <c r="AX1153" s="12"/>
      <c r="AY1153" s="12"/>
      <c r="AZ1153" s="12"/>
      <c r="BA1153" s="12"/>
      <c r="BB1153" s="12"/>
      <c r="BC1153" s="12"/>
      <c r="BD1153" s="12"/>
      <c r="BE1153" s="12"/>
      <c r="BF1153" s="12"/>
      <c r="BG1153" s="12"/>
      <c r="BH1153" s="12"/>
      <c r="BI1153" s="12"/>
      <c r="BJ1153" s="12"/>
      <c r="BK1153" s="12"/>
      <c r="BL1153" s="12"/>
      <c r="BM1153" s="12"/>
      <c r="BN1153" s="12"/>
      <c r="BO1153" s="12"/>
      <c r="BP1153" s="12"/>
      <c r="BQ1153" s="12"/>
      <c r="BR1153" s="12"/>
      <c r="BS1153" s="12"/>
      <c r="BT1153" s="12"/>
      <c r="BU1153" s="12"/>
      <c r="BV1153" s="12"/>
      <c r="BW1153" s="12"/>
      <c r="BX1153" s="12"/>
      <c r="BY1153" s="12"/>
      <c r="BZ1153" s="12"/>
      <c r="CA1153" s="12"/>
      <c r="CB1153" s="12"/>
      <c r="CC1153" s="12"/>
      <c r="CD1153" s="12"/>
      <c r="CE1153" s="12"/>
      <c r="CF1153" s="12"/>
      <c r="CG1153" s="12"/>
      <c r="CH1153" s="12"/>
      <c r="CI1153" s="12"/>
      <c r="CJ1153" s="12"/>
      <c r="CK1153" s="12"/>
      <c r="CL1153" s="12"/>
      <c r="CM1153" s="12"/>
      <c r="CN1153" s="12"/>
      <c r="CO1153" s="12"/>
      <c r="CP1153" s="12"/>
      <c r="CQ1153" s="12"/>
      <c r="CR1153" s="12"/>
      <c r="CS1153" s="12"/>
      <c r="CT1153" s="12"/>
      <c r="CU1153" s="12"/>
      <c r="CV1153" s="12"/>
      <c r="CW1153" s="12"/>
      <c r="CX1153" s="12"/>
      <c r="CY1153" s="12"/>
      <c r="CZ1153" s="12"/>
      <c r="DA1153" s="12"/>
      <c r="DB1153" s="12"/>
      <c r="DC1153" s="12"/>
      <c r="DD1153" s="12"/>
      <c r="DE1153" s="12"/>
      <c r="DF1153" s="12"/>
      <c r="DG1153" s="12"/>
      <c r="DH1153" s="12"/>
      <c r="DI1153" s="12"/>
      <c r="DJ1153" s="12"/>
      <c r="DK1153" s="12"/>
      <c r="DL1153" s="12"/>
      <c r="DM1153" s="12"/>
      <c r="DN1153" s="12"/>
      <c r="DO1153" s="12"/>
      <c r="DP1153" s="12"/>
      <c r="DQ1153" s="12"/>
      <c r="DR1153" s="12"/>
      <c r="DS1153" s="12"/>
      <c r="DT1153" s="12"/>
      <c r="DU1153" s="12"/>
      <c r="DV1153" s="12"/>
      <c r="DW1153" s="12"/>
      <c r="DX1153" s="12"/>
      <c r="DY1153" s="12"/>
      <c r="DZ1153" s="12"/>
      <c r="EA1153" s="12"/>
      <c r="EB1153" s="12"/>
      <c r="EC1153" s="12"/>
      <c r="ED1153" s="12"/>
      <c r="EE1153" s="12"/>
      <c r="EF1153" s="12"/>
      <c r="EG1153" s="12"/>
      <c r="EH1153" s="12"/>
      <c r="EI1153" s="12"/>
      <c r="EJ1153" s="574"/>
      <c r="EK1153" s="574"/>
      <c r="EL1153" s="574"/>
      <c r="EM1153" s="574"/>
      <c r="EN1153" s="574"/>
      <c r="EO1153" s="574"/>
      <c r="EP1153" s="574"/>
      <c r="EQ1153" s="574"/>
      <c r="ER1153" s="574"/>
      <c r="ES1153" s="574"/>
      <c r="ET1153" s="574"/>
      <c r="EU1153" s="574"/>
    </row>
    <row r="1154">
      <c r="A1154" s="12"/>
      <c r="B1154" s="55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  <c r="Y1154" s="12"/>
      <c r="Z1154" s="12"/>
      <c r="AA1154" s="12"/>
      <c r="AB1154" s="12"/>
      <c r="AC1154" s="12"/>
      <c r="AD1154" s="12"/>
      <c r="AE1154" s="12"/>
      <c r="AF1154" s="12"/>
      <c r="AG1154" s="12"/>
      <c r="AH1154" s="12"/>
      <c r="AI1154" s="12"/>
      <c r="AJ1154" s="12"/>
      <c r="AK1154" s="12"/>
      <c r="AL1154" s="12"/>
      <c r="AM1154" s="12"/>
      <c r="AN1154" s="12"/>
      <c r="AO1154" s="12"/>
      <c r="AP1154" s="12"/>
      <c r="AQ1154" s="12"/>
      <c r="AR1154" s="12"/>
      <c r="AS1154" s="12"/>
      <c r="AT1154" s="12"/>
      <c r="AU1154" s="12"/>
      <c r="AV1154" s="12"/>
      <c r="AW1154" s="12"/>
      <c r="AX1154" s="12"/>
      <c r="AY1154" s="12"/>
      <c r="AZ1154" s="12"/>
      <c r="BA1154" s="12"/>
      <c r="BB1154" s="12"/>
      <c r="BC1154" s="12"/>
      <c r="BD1154" s="12"/>
      <c r="BE1154" s="12"/>
      <c r="BF1154" s="12"/>
      <c r="BG1154" s="12"/>
      <c r="BH1154" s="12"/>
      <c r="BI1154" s="12"/>
      <c r="BJ1154" s="12"/>
      <c r="BK1154" s="12"/>
      <c r="BL1154" s="12"/>
      <c r="BM1154" s="12"/>
      <c r="BN1154" s="12"/>
      <c r="BO1154" s="12"/>
      <c r="BP1154" s="12"/>
      <c r="BQ1154" s="12"/>
      <c r="BR1154" s="12"/>
      <c r="BS1154" s="12"/>
      <c r="BT1154" s="12"/>
      <c r="BU1154" s="12"/>
      <c r="BV1154" s="12"/>
      <c r="BW1154" s="12"/>
      <c r="BX1154" s="12"/>
      <c r="BY1154" s="12"/>
      <c r="BZ1154" s="12"/>
      <c r="CA1154" s="12"/>
      <c r="CB1154" s="12"/>
      <c r="CC1154" s="12"/>
      <c r="CD1154" s="12"/>
      <c r="CE1154" s="12"/>
      <c r="CF1154" s="12"/>
      <c r="CG1154" s="12"/>
      <c r="CH1154" s="12"/>
      <c r="CI1154" s="12"/>
      <c r="CJ1154" s="12"/>
      <c r="CK1154" s="12"/>
      <c r="CL1154" s="12"/>
      <c r="CM1154" s="12"/>
      <c r="CN1154" s="12"/>
      <c r="CO1154" s="12"/>
      <c r="CP1154" s="12"/>
      <c r="CQ1154" s="12"/>
      <c r="CR1154" s="12"/>
      <c r="CS1154" s="12"/>
      <c r="CT1154" s="12"/>
      <c r="CU1154" s="12"/>
      <c r="CV1154" s="12"/>
      <c r="CW1154" s="12"/>
      <c r="CX1154" s="12"/>
      <c r="CY1154" s="12"/>
      <c r="CZ1154" s="12"/>
      <c r="DA1154" s="12"/>
      <c r="DB1154" s="12"/>
      <c r="DC1154" s="12"/>
      <c r="DD1154" s="12"/>
      <c r="DE1154" s="12"/>
      <c r="DF1154" s="12"/>
      <c r="DG1154" s="12"/>
      <c r="DH1154" s="12"/>
      <c r="DI1154" s="12"/>
      <c r="DJ1154" s="12"/>
      <c r="DK1154" s="12"/>
      <c r="DL1154" s="12"/>
      <c r="DM1154" s="12"/>
      <c r="DN1154" s="12"/>
      <c r="DO1154" s="12"/>
      <c r="DP1154" s="12"/>
      <c r="DQ1154" s="12"/>
      <c r="DR1154" s="12"/>
      <c r="DS1154" s="12"/>
      <c r="DT1154" s="12"/>
      <c r="DU1154" s="12"/>
      <c r="DV1154" s="12"/>
      <c r="DW1154" s="12"/>
      <c r="DX1154" s="12"/>
      <c r="DY1154" s="12"/>
      <c r="DZ1154" s="12"/>
      <c r="EA1154" s="12"/>
      <c r="EB1154" s="12"/>
      <c r="EC1154" s="12"/>
      <c r="ED1154" s="12"/>
      <c r="EE1154" s="12"/>
      <c r="EF1154" s="12"/>
      <c r="EG1154" s="12"/>
      <c r="EH1154" s="12"/>
      <c r="EI1154" s="12"/>
      <c r="EJ1154" s="574"/>
      <c r="EK1154" s="574"/>
      <c r="EL1154" s="574"/>
      <c r="EM1154" s="574"/>
      <c r="EN1154" s="574"/>
      <c r="EO1154" s="574"/>
      <c r="EP1154" s="574"/>
      <c r="EQ1154" s="574"/>
      <c r="ER1154" s="574"/>
      <c r="ES1154" s="574"/>
      <c r="ET1154" s="574"/>
      <c r="EU1154" s="574"/>
    </row>
    <row r="1155">
      <c r="A1155" s="12"/>
      <c r="B1155" s="55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  <c r="Y1155" s="12"/>
      <c r="Z1155" s="12"/>
      <c r="AA1155" s="12"/>
      <c r="AB1155" s="12"/>
      <c r="AC1155" s="12"/>
      <c r="AD1155" s="12"/>
      <c r="AE1155" s="12"/>
      <c r="AF1155" s="12"/>
      <c r="AG1155" s="12"/>
      <c r="AH1155" s="12"/>
      <c r="AI1155" s="12"/>
      <c r="AJ1155" s="12"/>
      <c r="AK1155" s="12"/>
      <c r="AL1155" s="12"/>
      <c r="AM1155" s="12"/>
      <c r="AN1155" s="12"/>
      <c r="AO1155" s="12"/>
      <c r="AP1155" s="12"/>
      <c r="AQ1155" s="12"/>
      <c r="AR1155" s="12"/>
      <c r="AS1155" s="12"/>
      <c r="AT1155" s="12"/>
      <c r="AU1155" s="12"/>
      <c r="AV1155" s="12"/>
      <c r="AW1155" s="12"/>
      <c r="AX1155" s="12"/>
      <c r="AY1155" s="12"/>
      <c r="AZ1155" s="12"/>
      <c r="BA1155" s="12"/>
      <c r="BB1155" s="12"/>
      <c r="BC1155" s="12"/>
      <c r="BD1155" s="12"/>
      <c r="BE1155" s="12"/>
      <c r="BF1155" s="12"/>
      <c r="BG1155" s="12"/>
      <c r="BH1155" s="12"/>
      <c r="BI1155" s="12"/>
      <c r="BJ1155" s="12"/>
      <c r="BK1155" s="12"/>
      <c r="BL1155" s="12"/>
      <c r="BM1155" s="12"/>
      <c r="BN1155" s="12"/>
      <c r="BO1155" s="12"/>
      <c r="BP1155" s="12"/>
      <c r="BQ1155" s="12"/>
      <c r="BR1155" s="12"/>
      <c r="BS1155" s="12"/>
      <c r="BT1155" s="12"/>
      <c r="BU1155" s="12"/>
      <c r="BV1155" s="12"/>
      <c r="BW1155" s="12"/>
      <c r="BX1155" s="12"/>
      <c r="BY1155" s="12"/>
      <c r="BZ1155" s="12"/>
      <c r="CA1155" s="12"/>
      <c r="CB1155" s="12"/>
      <c r="CC1155" s="12"/>
      <c r="CD1155" s="12"/>
      <c r="CE1155" s="12"/>
      <c r="CF1155" s="12"/>
      <c r="CG1155" s="12"/>
      <c r="CH1155" s="12"/>
      <c r="CI1155" s="12"/>
      <c r="CJ1155" s="12"/>
      <c r="CK1155" s="12"/>
      <c r="CL1155" s="12"/>
      <c r="CM1155" s="12"/>
      <c r="CN1155" s="12"/>
      <c r="CO1155" s="12"/>
      <c r="CP1155" s="12"/>
      <c r="CQ1155" s="12"/>
      <c r="CR1155" s="12"/>
      <c r="CS1155" s="12"/>
      <c r="CT1155" s="12"/>
      <c r="CU1155" s="12"/>
      <c r="CV1155" s="12"/>
      <c r="CW1155" s="12"/>
      <c r="CX1155" s="12"/>
      <c r="CY1155" s="12"/>
      <c r="CZ1155" s="12"/>
      <c r="DA1155" s="12"/>
      <c r="DB1155" s="12"/>
      <c r="DC1155" s="12"/>
      <c r="DD1155" s="12"/>
      <c r="DE1155" s="12"/>
      <c r="DF1155" s="12"/>
      <c r="DG1155" s="12"/>
      <c r="DH1155" s="12"/>
      <c r="DI1155" s="12"/>
      <c r="DJ1155" s="12"/>
      <c r="DK1155" s="12"/>
      <c r="DL1155" s="12"/>
      <c r="DM1155" s="12"/>
      <c r="DN1155" s="12"/>
      <c r="DO1155" s="12"/>
      <c r="DP1155" s="12"/>
      <c r="DQ1155" s="12"/>
      <c r="DR1155" s="12"/>
      <c r="DS1155" s="12"/>
      <c r="DT1155" s="12"/>
      <c r="DU1155" s="12"/>
      <c r="DV1155" s="12"/>
      <c r="DW1155" s="12"/>
      <c r="DX1155" s="12"/>
      <c r="DY1155" s="12"/>
      <c r="DZ1155" s="12"/>
      <c r="EA1155" s="12"/>
      <c r="EB1155" s="12"/>
      <c r="EC1155" s="12"/>
      <c r="ED1155" s="12"/>
      <c r="EE1155" s="12"/>
      <c r="EF1155" s="12"/>
      <c r="EG1155" s="12"/>
      <c r="EH1155" s="12"/>
      <c r="EI1155" s="12"/>
      <c r="EJ1155" s="574"/>
      <c r="EK1155" s="574"/>
      <c r="EL1155" s="574"/>
      <c r="EM1155" s="574"/>
      <c r="EN1155" s="574"/>
      <c r="EO1155" s="574"/>
      <c r="EP1155" s="574"/>
      <c r="EQ1155" s="574"/>
      <c r="ER1155" s="574"/>
      <c r="ES1155" s="574"/>
      <c r="ET1155" s="574"/>
      <c r="EU1155" s="574"/>
    </row>
    <row r="1156">
      <c r="A1156" s="12"/>
      <c r="B1156" s="55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  <c r="Y1156" s="12"/>
      <c r="Z1156" s="12"/>
      <c r="AA1156" s="12"/>
      <c r="AB1156" s="12"/>
      <c r="AC1156" s="12"/>
      <c r="AD1156" s="12"/>
      <c r="AE1156" s="12"/>
      <c r="AF1156" s="12"/>
      <c r="AG1156" s="12"/>
      <c r="AH1156" s="12"/>
      <c r="AI1156" s="12"/>
      <c r="AJ1156" s="12"/>
      <c r="AK1156" s="12"/>
      <c r="AL1156" s="12"/>
      <c r="AM1156" s="12"/>
      <c r="AN1156" s="12"/>
      <c r="AO1156" s="12"/>
      <c r="AP1156" s="12"/>
      <c r="AQ1156" s="12"/>
      <c r="AR1156" s="12"/>
      <c r="AS1156" s="12"/>
      <c r="AT1156" s="12"/>
      <c r="AU1156" s="12"/>
      <c r="AV1156" s="12"/>
      <c r="AW1156" s="12"/>
      <c r="AX1156" s="12"/>
      <c r="AY1156" s="12"/>
      <c r="AZ1156" s="12"/>
      <c r="BA1156" s="12"/>
      <c r="BB1156" s="12"/>
      <c r="BC1156" s="12"/>
      <c r="BD1156" s="12"/>
      <c r="BE1156" s="12"/>
      <c r="BF1156" s="12"/>
      <c r="BG1156" s="12"/>
      <c r="BH1156" s="12"/>
      <c r="BI1156" s="12"/>
      <c r="BJ1156" s="12"/>
      <c r="BK1156" s="12"/>
      <c r="BL1156" s="12"/>
      <c r="BM1156" s="12"/>
      <c r="BN1156" s="12"/>
      <c r="BO1156" s="12"/>
      <c r="BP1156" s="12"/>
      <c r="BQ1156" s="12"/>
      <c r="BR1156" s="12"/>
      <c r="BS1156" s="12"/>
      <c r="BT1156" s="12"/>
      <c r="BU1156" s="12"/>
      <c r="BV1156" s="12"/>
      <c r="BW1156" s="12"/>
      <c r="BX1156" s="12"/>
      <c r="BY1156" s="12"/>
      <c r="BZ1156" s="12"/>
      <c r="CA1156" s="12"/>
      <c r="CB1156" s="12"/>
      <c r="CC1156" s="12"/>
      <c r="CD1156" s="12"/>
      <c r="CE1156" s="12"/>
      <c r="CF1156" s="12"/>
      <c r="CG1156" s="12"/>
      <c r="CH1156" s="12"/>
      <c r="CI1156" s="12"/>
      <c r="CJ1156" s="12"/>
      <c r="CK1156" s="12"/>
      <c r="CL1156" s="12"/>
      <c r="CM1156" s="12"/>
      <c r="CN1156" s="12"/>
      <c r="CO1156" s="12"/>
      <c r="CP1156" s="12"/>
      <c r="CQ1156" s="12"/>
      <c r="CR1156" s="12"/>
      <c r="CS1156" s="12"/>
      <c r="CT1156" s="12"/>
      <c r="CU1156" s="12"/>
      <c r="CV1156" s="12"/>
      <c r="CW1156" s="12"/>
      <c r="CX1156" s="12"/>
      <c r="CY1156" s="12"/>
      <c r="CZ1156" s="12"/>
      <c r="DA1156" s="12"/>
      <c r="DB1156" s="12"/>
      <c r="DC1156" s="12"/>
      <c r="DD1156" s="12"/>
      <c r="DE1156" s="12"/>
      <c r="DF1156" s="12"/>
      <c r="DG1156" s="12"/>
      <c r="DH1156" s="12"/>
      <c r="DI1156" s="12"/>
      <c r="DJ1156" s="12"/>
      <c r="DK1156" s="12"/>
      <c r="DL1156" s="12"/>
      <c r="DM1156" s="12"/>
      <c r="DN1156" s="12"/>
      <c r="DO1156" s="12"/>
      <c r="DP1156" s="12"/>
      <c r="DQ1156" s="12"/>
      <c r="DR1156" s="12"/>
      <c r="DS1156" s="12"/>
      <c r="DT1156" s="12"/>
      <c r="DU1156" s="12"/>
      <c r="DV1156" s="12"/>
      <c r="DW1156" s="12"/>
      <c r="DX1156" s="12"/>
      <c r="DY1156" s="12"/>
      <c r="DZ1156" s="12"/>
      <c r="EA1156" s="12"/>
      <c r="EB1156" s="12"/>
      <c r="EC1156" s="12"/>
      <c r="ED1156" s="12"/>
      <c r="EE1156" s="12"/>
      <c r="EF1156" s="12"/>
      <c r="EG1156" s="12"/>
      <c r="EH1156" s="12"/>
      <c r="EI1156" s="12"/>
      <c r="EJ1156" s="574"/>
      <c r="EK1156" s="574"/>
      <c r="EL1156" s="574"/>
      <c r="EM1156" s="574"/>
      <c r="EN1156" s="574"/>
      <c r="EO1156" s="574"/>
      <c r="EP1156" s="574"/>
      <c r="EQ1156" s="574"/>
      <c r="ER1156" s="574"/>
      <c r="ES1156" s="574"/>
      <c r="ET1156" s="574"/>
      <c r="EU1156" s="574"/>
    </row>
    <row r="1157">
      <c r="A1157" s="12"/>
      <c r="B1157" s="55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  <c r="X1157" s="12"/>
      <c r="Y1157" s="12"/>
      <c r="Z1157" s="12"/>
      <c r="AA1157" s="12"/>
      <c r="AB1157" s="12"/>
      <c r="AC1157" s="12"/>
      <c r="AD1157" s="12"/>
      <c r="AE1157" s="12"/>
      <c r="AF1157" s="12"/>
      <c r="AG1157" s="12"/>
      <c r="AH1157" s="12"/>
      <c r="AI1157" s="12"/>
      <c r="AJ1157" s="12"/>
      <c r="AK1157" s="12"/>
      <c r="AL1157" s="12"/>
      <c r="AM1157" s="12"/>
      <c r="AN1157" s="12"/>
      <c r="AO1157" s="12"/>
      <c r="AP1157" s="12"/>
      <c r="AQ1157" s="12"/>
      <c r="AR1157" s="12"/>
      <c r="AS1157" s="12"/>
      <c r="AT1157" s="12"/>
      <c r="AU1157" s="12"/>
      <c r="AV1157" s="12"/>
      <c r="AW1157" s="12"/>
      <c r="AX1157" s="12"/>
      <c r="AY1157" s="12"/>
      <c r="AZ1157" s="12"/>
      <c r="BA1157" s="12"/>
      <c r="BB1157" s="12"/>
      <c r="BC1157" s="12"/>
      <c r="BD1157" s="12"/>
      <c r="BE1157" s="12"/>
      <c r="BF1157" s="12"/>
      <c r="BG1157" s="12"/>
      <c r="BH1157" s="12"/>
      <c r="BI1157" s="12"/>
      <c r="BJ1157" s="12"/>
      <c r="BK1157" s="12"/>
      <c r="BL1157" s="12"/>
      <c r="BM1157" s="12"/>
      <c r="BN1157" s="12"/>
      <c r="BO1157" s="12"/>
      <c r="BP1157" s="12"/>
      <c r="BQ1157" s="12"/>
      <c r="BR1157" s="12"/>
      <c r="BS1157" s="12"/>
      <c r="BT1157" s="12"/>
      <c r="BU1157" s="12"/>
      <c r="BV1157" s="12"/>
      <c r="BW1157" s="12"/>
      <c r="BX1157" s="12"/>
      <c r="BY1157" s="12"/>
      <c r="BZ1157" s="12"/>
      <c r="CA1157" s="12"/>
      <c r="CB1157" s="12"/>
      <c r="CC1157" s="12"/>
      <c r="CD1157" s="12"/>
      <c r="CE1157" s="12"/>
      <c r="CF1157" s="12"/>
      <c r="CG1157" s="12"/>
      <c r="CH1157" s="12"/>
      <c r="CI1157" s="12"/>
      <c r="CJ1157" s="12"/>
      <c r="CK1157" s="12"/>
      <c r="CL1157" s="12"/>
      <c r="CM1157" s="12"/>
      <c r="CN1157" s="12"/>
      <c r="CO1157" s="12"/>
      <c r="CP1157" s="12"/>
      <c r="CQ1157" s="12"/>
      <c r="CR1157" s="12"/>
      <c r="CS1157" s="12"/>
      <c r="CT1157" s="12"/>
      <c r="CU1157" s="12"/>
      <c r="CV1157" s="12"/>
      <c r="CW1157" s="12"/>
      <c r="CX1157" s="12"/>
      <c r="CY1157" s="12"/>
      <c r="CZ1157" s="12"/>
      <c r="DA1157" s="12"/>
      <c r="DB1157" s="12"/>
      <c r="DC1157" s="12"/>
      <c r="DD1157" s="12"/>
      <c r="DE1157" s="12"/>
      <c r="DF1157" s="12"/>
      <c r="DG1157" s="12"/>
      <c r="DH1157" s="12"/>
      <c r="DI1157" s="12"/>
      <c r="DJ1157" s="12"/>
      <c r="DK1157" s="12"/>
      <c r="DL1157" s="12"/>
      <c r="DM1157" s="12"/>
      <c r="DN1157" s="12"/>
      <c r="DO1157" s="12"/>
      <c r="DP1157" s="12"/>
      <c r="DQ1157" s="12"/>
      <c r="DR1157" s="12"/>
      <c r="DS1157" s="12"/>
      <c r="DT1157" s="12"/>
      <c r="DU1157" s="12"/>
      <c r="DV1157" s="12"/>
      <c r="DW1157" s="12"/>
      <c r="DX1157" s="12"/>
      <c r="DY1157" s="12"/>
      <c r="DZ1157" s="12"/>
      <c r="EA1157" s="12"/>
      <c r="EB1157" s="12"/>
      <c r="EC1157" s="12"/>
      <c r="ED1157" s="12"/>
      <c r="EE1157" s="12"/>
      <c r="EF1157" s="12"/>
      <c r="EG1157" s="12"/>
      <c r="EH1157" s="12"/>
      <c r="EI1157" s="12"/>
      <c r="EJ1157" s="574"/>
      <c r="EK1157" s="574"/>
      <c r="EL1157" s="574"/>
      <c r="EM1157" s="574"/>
      <c r="EN1157" s="574"/>
      <c r="EO1157" s="574"/>
      <c r="EP1157" s="574"/>
      <c r="EQ1157" s="574"/>
      <c r="ER1157" s="574"/>
      <c r="ES1157" s="574"/>
      <c r="ET1157" s="574"/>
      <c r="EU1157" s="574"/>
    </row>
    <row r="1158">
      <c r="A1158" s="12"/>
      <c r="B1158" s="55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  <c r="Y1158" s="12"/>
      <c r="Z1158" s="12"/>
      <c r="AA1158" s="12"/>
      <c r="AB1158" s="12"/>
      <c r="AC1158" s="12"/>
      <c r="AD1158" s="12"/>
      <c r="AE1158" s="12"/>
      <c r="AF1158" s="12"/>
      <c r="AG1158" s="12"/>
      <c r="AH1158" s="12"/>
      <c r="AI1158" s="12"/>
      <c r="AJ1158" s="12"/>
      <c r="AK1158" s="12"/>
      <c r="AL1158" s="12"/>
      <c r="AM1158" s="12"/>
      <c r="AN1158" s="12"/>
      <c r="AO1158" s="12"/>
      <c r="AP1158" s="12"/>
      <c r="AQ1158" s="12"/>
      <c r="AR1158" s="12"/>
      <c r="AS1158" s="12"/>
      <c r="AT1158" s="12"/>
      <c r="AU1158" s="12"/>
      <c r="AV1158" s="12"/>
      <c r="AW1158" s="12"/>
      <c r="AX1158" s="12"/>
      <c r="AY1158" s="12"/>
      <c r="AZ1158" s="12"/>
      <c r="BA1158" s="12"/>
      <c r="BB1158" s="12"/>
      <c r="BC1158" s="12"/>
      <c r="BD1158" s="12"/>
      <c r="BE1158" s="12"/>
      <c r="BF1158" s="12"/>
      <c r="BG1158" s="12"/>
      <c r="BH1158" s="12"/>
      <c r="BI1158" s="12"/>
      <c r="BJ1158" s="12"/>
      <c r="BK1158" s="12"/>
      <c r="BL1158" s="12"/>
      <c r="BM1158" s="12"/>
      <c r="BN1158" s="12"/>
      <c r="BO1158" s="12"/>
      <c r="BP1158" s="12"/>
      <c r="BQ1158" s="12"/>
      <c r="BR1158" s="12"/>
      <c r="BS1158" s="12"/>
      <c r="BT1158" s="12"/>
      <c r="BU1158" s="12"/>
      <c r="BV1158" s="12"/>
      <c r="BW1158" s="12"/>
      <c r="BX1158" s="12"/>
      <c r="BY1158" s="12"/>
      <c r="BZ1158" s="12"/>
      <c r="CA1158" s="12"/>
      <c r="CB1158" s="12"/>
      <c r="CC1158" s="12"/>
      <c r="CD1158" s="12"/>
      <c r="CE1158" s="12"/>
      <c r="CF1158" s="12"/>
      <c r="CG1158" s="12"/>
      <c r="CH1158" s="12"/>
      <c r="CI1158" s="12"/>
      <c r="CJ1158" s="12"/>
      <c r="CK1158" s="12"/>
      <c r="CL1158" s="12"/>
      <c r="CM1158" s="12"/>
      <c r="CN1158" s="12"/>
      <c r="CO1158" s="12"/>
      <c r="CP1158" s="12"/>
      <c r="CQ1158" s="12"/>
      <c r="CR1158" s="12"/>
      <c r="CS1158" s="12"/>
      <c r="CT1158" s="12"/>
      <c r="CU1158" s="12"/>
      <c r="CV1158" s="12"/>
      <c r="CW1158" s="12"/>
      <c r="CX1158" s="12"/>
      <c r="CY1158" s="12"/>
      <c r="CZ1158" s="12"/>
      <c r="DA1158" s="12"/>
      <c r="DB1158" s="12"/>
      <c r="DC1158" s="12"/>
      <c r="DD1158" s="12"/>
      <c r="DE1158" s="12"/>
      <c r="DF1158" s="12"/>
      <c r="DG1158" s="12"/>
      <c r="DH1158" s="12"/>
      <c r="DI1158" s="12"/>
      <c r="DJ1158" s="12"/>
      <c r="DK1158" s="12"/>
      <c r="DL1158" s="12"/>
      <c r="DM1158" s="12"/>
      <c r="DN1158" s="12"/>
      <c r="DO1158" s="12"/>
      <c r="DP1158" s="12"/>
      <c r="DQ1158" s="12"/>
      <c r="DR1158" s="12"/>
      <c r="DS1158" s="12"/>
      <c r="DT1158" s="12"/>
      <c r="DU1158" s="12"/>
      <c r="DV1158" s="12"/>
      <c r="DW1158" s="12"/>
      <c r="DX1158" s="12"/>
      <c r="DY1158" s="12"/>
      <c r="DZ1158" s="12"/>
      <c r="EA1158" s="12"/>
      <c r="EB1158" s="12"/>
      <c r="EC1158" s="12"/>
      <c r="ED1158" s="12"/>
      <c r="EE1158" s="12"/>
      <c r="EF1158" s="12"/>
      <c r="EG1158" s="12"/>
      <c r="EH1158" s="12"/>
      <c r="EI1158" s="12"/>
      <c r="EJ1158" s="574"/>
      <c r="EK1158" s="574"/>
      <c r="EL1158" s="574"/>
      <c r="EM1158" s="574"/>
      <c r="EN1158" s="574"/>
      <c r="EO1158" s="574"/>
      <c r="EP1158" s="574"/>
      <c r="EQ1158" s="574"/>
      <c r="ER1158" s="574"/>
      <c r="ES1158" s="574"/>
      <c r="ET1158" s="574"/>
      <c r="EU1158" s="574"/>
    </row>
    <row r="1159">
      <c r="A1159" s="12"/>
      <c r="B1159" s="55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  <c r="Y1159" s="12"/>
      <c r="Z1159" s="12"/>
      <c r="AA1159" s="12"/>
      <c r="AB1159" s="12"/>
      <c r="AC1159" s="12"/>
      <c r="AD1159" s="12"/>
      <c r="AE1159" s="12"/>
      <c r="AF1159" s="12"/>
      <c r="AG1159" s="12"/>
      <c r="AH1159" s="12"/>
      <c r="AI1159" s="12"/>
      <c r="AJ1159" s="12"/>
      <c r="AK1159" s="12"/>
      <c r="AL1159" s="12"/>
      <c r="AM1159" s="12"/>
      <c r="AN1159" s="12"/>
      <c r="AO1159" s="12"/>
      <c r="AP1159" s="12"/>
      <c r="AQ1159" s="12"/>
      <c r="AR1159" s="12"/>
      <c r="AS1159" s="12"/>
      <c r="AT1159" s="12"/>
      <c r="AU1159" s="12"/>
      <c r="AV1159" s="12"/>
      <c r="AW1159" s="12"/>
      <c r="AX1159" s="12"/>
      <c r="AY1159" s="12"/>
      <c r="AZ1159" s="12"/>
      <c r="BA1159" s="12"/>
      <c r="BB1159" s="12"/>
      <c r="BC1159" s="12"/>
      <c r="BD1159" s="12"/>
      <c r="BE1159" s="12"/>
      <c r="BF1159" s="12"/>
      <c r="BG1159" s="12"/>
      <c r="BH1159" s="12"/>
      <c r="BI1159" s="12"/>
      <c r="BJ1159" s="12"/>
      <c r="BK1159" s="12"/>
      <c r="BL1159" s="12"/>
      <c r="BM1159" s="12"/>
      <c r="BN1159" s="12"/>
      <c r="BO1159" s="12"/>
      <c r="BP1159" s="12"/>
      <c r="BQ1159" s="12"/>
      <c r="BR1159" s="12"/>
      <c r="BS1159" s="12"/>
      <c r="BT1159" s="12"/>
      <c r="BU1159" s="12"/>
      <c r="BV1159" s="12"/>
      <c r="BW1159" s="12"/>
      <c r="BX1159" s="12"/>
      <c r="BY1159" s="12"/>
      <c r="BZ1159" s="12"/>
      <c r="CA1159" s="12"/>
      <c r="CB1159" s="12"/>
      <c r="CC1159" s="12"/>
      <c r="CD1159" s="12"/>
      <c r="CE1159" s="12"/>
      <c r="CF1159" s="12"/>
      <c r="CG1159" s="12"/>
      <c r="CH1159" s="12"/>
      <c r="CI1159" s="12"/>
      <c r="CJ1159" s="12"/>
      <c r="CK1159" s="12"/>
      <c r="CL1159" s="12"/>
      <c r="CM1159" s="12"/>
      <c r="CN1159" s="12"/>
      <c r="CO1159" s="12"/>
      <c r="CP1159" s="12"/>
      <c r="CQ1159" s="12"/>
      <c r="CR1159" s="12"/>
      <c r="CS1159" s="12"/>
      <c r="CT1159" s="12"/>
      <c r="CU1159" s="12"/>
      <c r="CV1159" s="12"/>
      <c r="CW1159" s="12"/>
      <c r="CX1159" s="12"/>
      <c r="CY1159" s="12"/>
      <c r="CZ1159" s="12"/>
      <c r="DA1159" s="12"/>
      <c r="DB1159" s="12"/>
      <c r="DC1159" s="12"/>
      <c r="DD1159" s="12"/>
      <c r="DE1159" s="12"/>
      <c r="DF1159" s="12"/>
      <c r="DG1159" s="12"/>
      <c r="DH1159" s="12"/>
      <c r="DI1159" s="12"/>
      <c r="DJ1159" s="12"/>
      <c r="DK1159" s="12"/>
      <c r="DL1159" s="12"/>
      <c r="DM1159" s="12"/>
      <c r="DN1159" s="12"/>
      <c r="DO1159" s="12"/>
      <c r="DP1159" s="12"/>
      <c r="DQ1159" s="12"/>
      <c r="DR1159" s="12"/>
      <c r="DS1159" s="12"/>
      <c r="DT1159" s="12"/>
      <c r="DU1159" s="12"/>
      <c r="DV1159" s="12"/>
      <c r="DW1159" s="12"/>
      <c r="DX1159" s="12"/>
      <c r="DY1159" s="12"/>
      <c r="DZ1159" s="12"/>
      <c r="EA1159" s="12"/>
      <c r="EB1159" s="12"/>
      <c r="EC1159" s="12"/>
      <c r="ED1159" s="12"/>
      <c r="EE1159" s="12"/>
      <c r="EF1159" s="12"/>
      <c r="EG1159" s="12"/>
      <c r="EH1159" s="12"/>
      <c r="EI1159" s="12"/>
      <c r="EJ1159" s="574"/>
      <c r="EK1159" s="574"/>
      <c r="EL1159" s="574"/>
      <c r="EM1159" s="574"/>
      <c r="EN1159" s="574"/>
      <c r="EO1159" s="574"/>
      <c r="EP1159" s="574"/>
      <c r="EQ1159" s="574"/>
      <c r="ER1159" s="574"/>
      <c r="ES1159" s="574"/>
      <c r="ET1159" s="574"/>
      <c r="EU1159" s="574"/>
    </row>
    <row r="1160">
      <c r="A1160" s="12"/>
      <c r="B1160" s="55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  <c r="Y1160" s="12"/>
      <c r="Z1160" s="12"/>
      <c r="AA1160" s="12"/>
      <c r="AB1160" s="12"/>
      <c r="AC1160" s="12"/>
      <c r="AD1160" s="12"/>
      <c r="AE1160" s="12"/>
      <c r="AF1160" s="12"/>
      <c r="AG1160" s="12"/>
      <c r="AH1160" s="12"/>
      <c r="AI1160" s="12"/>
      <c r="AJ1160" s="12"/>
      <c r="AK1160" s="12"/>
      <c r="AL1160" s="12"/>
      <c r="AM1160" s="12"/>
      <c r="AN1160" s="12"/>
      <c r="AO1160" s="12"/>
      <c r="AP1160" s="12"/>
      <c r="AQ1160" s="12"/>
      <c r="AR1160" s="12"/>
      <c r="AS1160" s="12"/>
      <c r="AT1160" s="12"/>
      <c r="AU1160" s="12"/>
      <c r="AV1160" s="12"/>
      <c r="AW1160" s="12"/>
      <c r="AX1160" s="12"/>
      <c r="AY1160" s="12"/>
      <c r="AZ1160" s="12"/>
      <c r="BA1160" s="12"/>
      <c r="BB1160" s="12"/>
      <c r="BC1160" s="12"/>
      <c r="BD1160" s="12"/>
      <c r="BE1160" s="12"/>
      <c r="BF1160" s="12"/>
      <c r="BG1160" s="12"/>
      <c r="BH1160" s="12"/>
      <c r="BI1160" s="12"/>
      <c r="BJ1160" s="12"/>
      <c r="BK1160" s="12"/>
      <c r="BL1160" s="12"/>
      <c r="BM1160" s="12"/>
      <c r="BN1160" s="12"/>
      <c r="BO1160" s="12"/>
      <c r="BP1160" s="12"/>
      <c r="BQ1160" s="12"/>
      <c r="BR1160" s="12"/>
      <c r="BS1160" s="12"/>
      <c r="BT1160" s="12"/>
      <c r="BU1160" s="12"/>
      <c r="BV1160" s="12"/>
      <c r="BW1160" s="12"/>
      <c r="BX1160" s="12"/>
      <c r="BY1160" s="12"/>
      <c r="BZ1160" s="12"/>
      <c r="CA1160" s="12"/>
      <c r="CB1160" s="12"/>
      <c r="CC1160" s="12"/>
      <c r="CD1160" s="12"/>
      <c r="CE1160" s="12"/>
      <c r="CF1160" s="12"/>
      <c r="CG1160" s="12"/>
      <c r="CH1160" s="12"/>
      <c r="CI1160" s="12"/>
      <c r="CJ1160" s="12"/>
      <c r="CK1160" s="12"/>
      <c r="CL1160" s="12"/>
      <c r="CM1160" s="12"/>
      <c r="CN1160" s="12"/>
      <c r="CO1160" s="12"/>
      <c r="CP1160" s="12"/>
      <c r="CQ1160" s="12"/>
      <c r="CR1160" s="12"/>
      <c r="CS1160" s="12"/>
      <c r="CT1160" s="12"/>
      <c r="CU1160" s="12"/>
      <c r="CV1160" s="12"/>
      <c r="CW1160" s="12"/>
      <c r="CX1160" s="12"/>
      <c r="CY1160" s="12"/>
      <c r="CZ1160" s="12"/>
      <c r="DA1160" s="12"/>
      <c r="DB1160" s="12"/>
      <c r="DC1160" s="12"/>
      <c r="DD1160" s="12"/>
      <c r="DE1160" s="12"/>
      <c r="DF1160" s="12"/>
      <c r="DG1160" s="12"/>
      <c r="DH1160" s="12"/>
      <c r="DI1160" s="12"/>
      <c r="DJ1160" s="12"/>
      <c r="DK1160" s="12"/>
      <c r="DL1160" s="12"/>
      <c r="DM1160" s="12"/>
      <c r="DN1160" s="12"/>
      <c r="DO1160" s="12"/>
      <c r="DP1160" s="12"/>
      <c r="DQ1160" s="12"/>
      <c r="DR1160" s="12"/>
      <c r="DS1160" s="12"/>
      <c r="DT1160" s="12"/>
      <c r="DU1160" s="12"/>
      <c r="DV1160" s="12"/>
      <c r="DW1160" s="12"/>
      <c r="DX1160" s="12"/>
      <c r="DY1160" s="12"/>
      <c r="DZ1160" s="12"/>
      <c r="EA1160" s="12"/>
      <c r="EB1160" s="12"/>
      <c r="EC1160" s="12"/>
      <c r="ED1160" s="12"/>
      <c r="EE1160" s="12"/>
      <c r="EF1160" s="12"/>
      <c r="EG1160" s="12"/>
      <c r="EH1160" s="12"/>
      <c r="EI1160" s="12"/>
      <c r="EJ1160" s="574"/>
      <c r="EK1160" s="574"/>
      <c r="EL1160" s="574"/>
      <c r="EM1160" s="574"/>
      <c r="EN1160" s="574"/>
      <c r="EO1160" s="574"/>
      <c r="EP1160" s="574"/>
      <c r="EQ1160" s="574"/>
      <c r="ER1160" s="574"/>
      <c r="ES1160" s="574"/>
      <c r="ET1160" s="574"/>
      <c r="EU1160" s="574"/>
    </row>
    <row r="1161">
      <c r="A1161" s="12"/>
      <c r="B1161" s="55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  <c r="Y1161" s="12"/>
      <c r="Z1161" s="12"/>
      <c r="AA1161" s="12"/>
      <c r="AB1161" s="12"/>
      <c r="AC1161" s="12"/>
      <c r="AD1161" s="12"/>
      <c r="AE1161" s="12"/>
      <c r="AF1161" s="12"/>
      <c r="AG1161" s="12"/>
      <c r="AH1161" s="12"/>
      <c r="AI1161" s="12"/>
      <c r="AJ1161" s="12"/>
      <c r="AK1161" s="12"/>
      <c r="AL1161" s="12"/>
      <c r="AM1161" s="12"/>
      <c r="AN1161" s="12"/>
      <c r="AO1161" s="12"/>
      <c r="AP1161" s="12"/>
      <c r="AQ1161" s="12"/>
      <c r="AR1161" s="12"/>
      <c r="AS1161" s="12"/>
      <c r="AT1161" s="12"/>
      <c r="AU1161" s="12"/>
      <c r="AV1161" s="12"/>
      <c r="AW1161" s="12"/>
      <c r="AX1161" s="12"/>
      <c r="AY1161" s="12"/>
      <c r="AZ1161" s="12"/>
      <c r="BA1161" s="12"/>
      <c r="BB1161" s="12"/>
      <c r="BC1161" s="12"/>
      <c r="BD1161" s="12"/>
      <c r="BE1161" s="12"/>
      <c r="BF1161" s="12"/>
      <c r="BG1161" s="12"/>
      <c r="BH1161" s="12"/>
      <c r="BI1161" s="12"/>
      <c r="BJ1161" s="12"/>
      <c r="BK1161" s="12"/>
      <c r="BL1161" s="12"/>
      <c r="BM1161" s="12"/>
      <c r="BN1161" s="12"/>
      <c r="BO1161" s="12"/>
      <c r="BP1161" s="12"/>
      <c r="BQ1161" s="12"/>
      <c r="BR1161" s="12"/>
      <c r="BS1161" s="12"/>
      <c r="BT1161" s="12"/>
      <c r="BU1161" s="12"/>
      <c r="BV1161" s="12"/>
      <c r="BW1161" s="12"/>
      <c r="BX1161" s="12"/>
      <c r="BY1161" s="12"/>
      <c r="BZ1161" s="12"/>
      <c r="CA1161" s="12"/>
      <c r="CB1161" s="12"/>
      <c r="CC1161" s="12"/>
      <c r="CD1161" s="12"/>
      <c r="CE1161" s="12"/>
      <c r="CF1161" s="12"/>
      <c r="CG1161" s="12"/>
      <c r="CH1161" s="12"/>
      <c r="CI1161" s="12"/>
      <c r="CJ1161" s="12"/>
      <c r="CK1161" s="12"/>
      <c r="CL1161" s="12"/>
      <c r="CM1161" s="12"/>
      <c r="CN1161" s="12"/>
      <c r="CO1161" s="12"/>
      <c r="CP1161" s="12"/>
      <c r="CQ1161" s="12"/>
      <c r="CR1161" s="12"/>
      <c r="CS1161" s="12"/>
      <c r="CT1161" s="12"/>
      <c r="CU1161" s="12"/>
      <c r="CV1161" s="12"/>
      <c r="CW1161" s="12"/>
      <c r="CX1161" s="12"/>
      <c r="CY1161" s="12"/>
      <c r="CZ1161" s="12"/>
      <c r="DA1161" s="12"/>
      <c r="DB1161" s="12"/>
      <c r="DC1161" s="12"/>
      <c r="DD1161" s="12"/>
      <c r="DE1161" s="12"/>
      <c r="DF1161" s="12"/>
      <c r="DG1161" s="12"/>
      <c r="DH1161" s="12"/>
      <c r="DI1161" s="12"/>
      <c r="DJ1161" s="12"/>
      <c r="DK1161" s="12"/>
      <c r="DL1161" s="12"/>
      <c r="DM1161" s="12"/>
      <c r="DN1161" s="12"/>
      <c r="DO1161" s="12"/>
      <c r="DP1161" s="12"/>
      <c r="DQ1161" s="12"/>
      <c r="DR1161" s="12"/>
      <c r="DS1161" s="12"/>
      <c r="DT1161" s="12"/>
      <c r="DU1161" s="12"/>
      <c r="DV1161" s="12"/>
      <c r="DW1161" s="12"/>
      <c r="DX1161" s="12"/>
      <c r="DY1161" s="12"/>
      <c r="DZ1161" s="12"/>
      <c r="EA1161" s="12"/>
      <c r="EB1161" s="12"/>
      <c r="EC1161" s="12"/>
      <c r="ED1161" s="12"/>
      <c r="EE1161" s="12"/>
      <c r="EF1161" s="12"/>
      <c r="EG1161" s="12"/>
      <c r="EH1161" s="12"/>
      <c r="EI1161" s="12"/>
      <c r="EJ1161" s="574"/>
      <c r="EK1161" s="574"/>
      <c r="EL1161" s="574"/>
      <c r="EM1161" s="574"/>
      <c r="EN1161" s="574"/>
      <c r="EO1161" s="574"/>
      <c r="EP1161" s="574"/>
      <c r="EQ1161" s="574"/>
      <c r="ER1161" s="574"/>
      <c r="ES1161" s="574"/>
      <c r="ET1161" s="574"/>
      <c r="EU1161" s="574"/>
    </row>
    <row r="1162">
      <c r="A1162" s="12"/>
      <c r="B1162" s="55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  <c r="V1162" s="12"/>
      <c r="W1162" s="12"/>
      <c r="X1162" s="12"/>
      <c r="Y1162" s="12"/>
      <c r="Z1162" s="12"/>
      <c r="AA1162" s="12"/>
      <c r="AB1162" s="12"/>
      <c r="AC1162" s="12"/>
      <c r="AD1162" s="12"/>
      <c r="AE1162" s="12"/>
      <c r="AF1162" s="12"/>
      <c r="AG1162" s="12"/>
      <c r="AH1162" s="12"/>
      <c r="AI1162" s="12"/>
      <c r="AJ1162" s="12"/>
      <c r="AK1162" s="12"/>
      <c r="AL1162" s="12"/>
      <c r="AM1162" s="12"/>
      <c r="AN1162" s="12"/>
      <c r="AO1162" s="12"/>
      <c r="AP1162" s="12"/>
      <c r="AQ1162" s="12"/>
      <c r="AR1162" s="12"/>
      <c r="AS1162" s="12"/>
      <c r="AT1162" s="12"/>
      <c r="AU1162" s="12"/>
      <c r="AV1162" s="12"/>
      <c r="AW1162" s="12"/>
      <c r="AX1162" s="12"/>
      <c r="AY1162" s="12"/>
      <c r="AZ1162" s="12"/>
      <c r="BA1162" s="12"/>
      <c r="BB1162" s="12"/>
      <c r="BC1162" s="12"/>
      <c r="BD1162" s="12"/>
      <c r="BE1162" s="12"/>
      <c r="BF1162" s="12"/>
      <c r="BG1162" s="12"/>
      <c r="BH1162" s="12"/>
      <c r="BI1162" s="12"/>
      <c r="BJ1162" s="12"/>
      <c r="BK1162" s="12"/>
      <c r="BL1162" s="12"/>
      <c r="BM1162" s="12"/>
      <c r="BN1162" s="12"/>
      <c r="BO1162" s="12"/>
      <c r="BP1162" s="12"/>
      <c r="BQ1162" s="12"/>
      <c r="BR1162" s="12"/>
      <c r="BS1162" s="12"/>
      <c r="BT1162" s="12"/>
      <c r="BU1162" s="12"/>
      <c r="BV1162" s="12"/>
      <c r="BW1162" s="12"/>
      <c r="BX1162" s="12"/>
      <c r="BY1162" s="12"/>
      <c r="BZ1162" s="12"/>
      <c r="CA1162" s="12"/>
      <c r="CB1162" s="12"/>
      <c r="CC1162" s="12"/>
      <c r="CD1162" s="12"/>
      <c r="CE1162" s="12"/>
      <c r="CF1162" s="12"/>
      <c r="CG1162" s="12"/>
      <c r="CH1162" s="12"/>
      <c r="CI1162" s="12"/>
      <c r="CJ1162" s="12"/>
      <c r="CK1162" s="12"/>
      <c r="CL1162" s="12"/>
      <c r="CM1162" s="12"/>
      <c r="CN1162" s="12"/>
      <c r="CO1162" s="12"/>
      <c r="CP1162" s="12"/>
      <c r="CQ1162" s="12"/>
      <c r="CR1162" s="12"/>
      <c r="CS1162" s="12"/>
      <c r="CT1162" s="12"/>
      <c r="CU1162" s="12"/>
      <c r="CV1162" s="12"/>
      <c r="CW1162" s="12"/>
      <c r="CX1162" s="12"/>
      <c r="CY1162" s="12"/>
      <c r="CZ1162" s="12"/>
      <c r="DA1162" s="12"/>
      <c r="DB1162" s="12"/>
      <c r="DC1162" s="12"/>
      <c r="DD1162" s="12"/>
      <c r="DE1162" s="12"/>
      <c r="DF1162" s="12"/>
      <c r="DG1162" s="12"/>
      <c r="DH1162" s="12"/>
      <c r="DI1162" s="12"/>
      <c r="DJ1162" s="12"/>
      <c r="DK1162" s="12"/>
      <c r="DL1162" s="12"/>
      <c r="DM1162" s="12"/>
      <c r="DN1162" s="12"/>
      <c r="DO1162" s="12"/>
      <c r="DP1162" s="12"/>
      <c r="DQ1162" s="12"/>
      <c r="DR1162" s="12"/>
      <c r="DS1162" s="12"/>
      <c r="DT1162" s="12"/>
      <c r="DU1162" s="12"/>
      <c r="DV1162" s="12"/>
      <c r="DW1162" s="12"/>
      <c r="DX1162" s="12"/>
      <c r="DY1162" s="12"/>
      <c r="DZ1162" s="12"/>
      <c r="EA1162" s="12"/>
      <c r="EB1162" s="12"/>
      <c r="EC1162" s="12"/>
      <c r="ED1162" s="12"/>
      <c r="EE1162" s="12"/>
      <c r="EF1162" s="12"/>
      <c r="EG1162" s="12"/>
      <c r="EH1162" s="12"/>
      <c r="EI1162" s="12"/>
      <c r="EJ1162" s="574"/>
      <c r="EK1162" s="574"/>
      <c r="EL1162" s="574"/>
      <c r="EM1162" s="574"/>
      <c r="EN1162" s="574"/>
      <c r="EO1162" s="574"/>
      <c r="EP1162" s="574"/>
      <c r="EQ1162" s="574"/>
      <c r="ER1162" s="574"/>
      <c r="ES1162" s="574"/>
      <c r="ET1162" s="574"/>
      <c r="EU1162" s="574"/>
    </row>
    <row r="1163">
      <c r="A1163" s="12"/>
      <c r="B1163" s="55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  <c r="Y1163" s="12"/>
      <c r="Z1163" s="12"/>
      <c r="AA1163" s="12"/>
      <c r="AB1163" s="12"/>
      <c r="AC1163" s="12"/>
      <c r="AD1163" s="12"/>
      <c r="AE1163" s="12"/>
      <c r="AF1163" s="12"/>
      <c r="AG1163" s="12"/>
      <c r="AH1163" s="12"/>
      <c r="AI1163" s="12"/>
      <c r="AJ1163" s="12"/>
      <c r="AK1163" s="12"/>
      <c r="AL1163" s="12"/>
      <c r="AM1163" s="12"/>
      <c r="AN1163" s="12"/>
      <c r="AO1163" s="12"/>
      <c r="AP1163" s="12"/>
      <c r="AQ1163" s="12"/>
      <c r="AR1163" s="12"/>
      <c r="AS1163" s="12"/>
      <c r="AT1163" s="12"/>
      <c r="AU1163" s="12"/>
      <c r="AV1163" s="12"/>
      <c r="AW1163" s="12"/>
      <c r="AX1163" s="12"/>
      <c r="AY1163" s="12"/>
      <c r="AZ1163" s="12"/>
      <c r="BA1163" s="12"/>
      <c r="BB1163" s="12"/>
      <c r="BC1163" s="12"/>
      <c r="BD1163" s="12"/>
      <c r="BE1163" s="12"/>
      <c r="BF1163" s="12"/>
      <c r="BG1163" s="12"/>
      <c r="BH1163" s="12"/>
      <c r="BI1163" s="12"/>
      <c r="BJ1163" s="12"/>
      <c r="BK1163" s="12"/>
      <c r="BL1163" s="12"/>
      <c r="BM1163" s="12"/>
      <c r="BN1163" s="12"/>
      <c r="BO1163" s="12"/>
      <c r="BP1163" s="12"/>
      <c r="BQ1163" s="12"/>
      <c r="BR1163" s="12"/>
      <c r="BS1163" s="12"/>
      <c r="BT1163" s="12"/>
      <c r="BU1163" s="12"/>
      <c r="BV1163" s="12"/>
      <c r="BW1163" s="12"/>
      <c r="BX1163" s="12"/>
      <c r="BY1163" s="12"/>
      <c r="BZ1163" s="12"/>
      <c r="CA1163" s="12"/>
      <c r="CB1163" s="12"/>
      <c r="CC1163" s="12"/>
      <c r="CD1163" s="12"/>
      <c r="CE1163" s="12"/>
      <c r="CF1163" s="12"/>
      <c r="CG1163" s="12"/>
      <c r="CH1163" s="12"/>
      <c r="CI1163" s="12"/>
      <c r="CJ1163" s="12"/>
      <c r="CK1163" s="12"/>
      <c r="CL1163" s="12"/>
      <c r="CM1163" s="12"/>
      <c r="CN1163" s="12"/>
      <c r="CO1163" s="12"/>
      <c r="CP1163" s="12"/>
      <c r="CQ1163" s="12"/>
      <c r="CR1163" s="12"/>
      <c r="CS1163" s="12"/>
      <c r="CT1163" s="12"/>
      <c r="CU1163" s="12"/>
      <c r="CV1163" s="12"/>
      <c r="CW1163" s="12"/>
      <c r="CX1163" s="12"/>
      <c r="CY1163" s="12"/>
      <c r="CZ1163" s="12"/>
      <c r="DA1163" s="12"/>
      <c r="DB1163" s="12"/>
      <c r="DC1163" s="12"/>
      <c r="DD1163" s="12"/>
      <c r="DE1163" s="12"/>
      <c r="DF1163" s="12"/>
      <c r="DG1163" s="12"/>
      <c r="DH1163" s="12"/>
      <c r="DI1163" s="12"/>
      <c r="DJ1163" s="12"/>
      <c r="DK1163" s="12"/>
      <c r="DL1163" s="12"/>
      <c r="DM1163" s="12"/>
      <c r="DN1163" s="12"/>
      <c r="DO1163" s="12"/>
      <c r="DP1163" s="12"/>
      <c r="DQ1163" s="12"/>
      <c r="DR1163" s="12"/>
      <c r="DS1163" s="12"/>
      <c r="DT1163" s="12"/>
      <c r="DU1163" s="12"/>
      <c r="DV1163" s="12"/>
      <c r="DW1163" s="12"/>
      <c r="DX1163" s="12"/>
      <c r="DY1163" s="12"/>
      <c r="DZ1163" s="12"/>
      <c r="EA1163" s="12"/>
      <c r="EB1163" s="12"/>
      <c r="EC1163" s="12"/>
      <c r="ED1163" s="12"/>
      <c r="EE1163" s="12"/>
      <c r="EF1163" s="12"/>
      <c r="EG1163" s="12"/>
      <c r="EH1163" s="12"/>
      <c r="EI1163" s="12"/>
      <c r="EJ1163" s="574"/>
      <c r="EK1163" s="574"/>
      <c r="EL1163" s="574"/>
      <c r="EM1163" s="574"/>
      <c r="EN1163" s="574"/>
      <c r="EO1163" s="574"/>
      <c r="EP1163" s="574"/>
      <c r="EQ1163" s="574"/>
      <c r="ER1163" s="574"/>
      <c r="ES1163" s="574"/>
      <c r="ET1163" s="574"/>
      <c r="EU1163" s="574"/>
    </row>
    <row r="1164">
      <c r="A1164" s="12"/>
      <c r="B1164" s="55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  <c r="X1164" s="12"/>
      <c r="Y1164" s="12"/>
      <c r="Z1164" s="12"/>
      <c r="AA1164" s="12"/>
      <c r="AB1164" s="12"/>
      <c r="AC1164" s="12"/>
      <c r="AD1164" s="12"/>
      <c r="AE1164" s="12"/>
      <c r="AF1164" s="12"/>
      <c r="AG1164" s="12"/>
      <c r="AH1164" s="12"/>
      <c r="AI1164" s="12"/>
      <c r="AJ1164" s="12"/>
      <c r="AK1164" s="12"/>
      <c r="AL1164" s="12"/>
      <c r="AM1164" s="12"/>
      <c r="AN1164" s="12"/>
      <c r="AO1164" s="12"/>
      <c r="AP1164" s="12"/>
      <c r="AQ1164" s="12"/>
      <c r="AR1164" s="12"/>
      <c r="AS1164" s="12"/>
      <c r="AT1164" s="12"/>
      <c r="AU1164" s="12"/>
      <c r="AV1164" s="12"/>
      <c r="AW1164" s="12"/>
      <c r="AX1164" s="12"/>
      <c r="AY1164" s="12"/>
      <c r="AZ1164" s="12"/>
      <c r="BA1164" s="12"/>
      <c r="BB1164" s="12"/>
      <c r="BC1164" s="12"/>
      <c r="BD1164" s="12"/>
      <c r="BE1164" s="12"/>
      <c r="BF1164" s="12"/>
      <c r="BG1164" s="12"/>
      <c r="BH1164" s="12"/>
      <c r="BI1164" s="12"/>
      <c r="BJ1164" s="12"/>
      <c r="BK1164" s="12"/>
      <c r="BL1164" s="12"/>
      <c r="BM1164" s="12"/>
      <c r="BN1164" s="12"/>
      <c r="BO1164" s="12"/>
      <c r="BP1164" s="12"/>
      <c r="BQ1164" s="12"/>
      <c r="BR1164" s="12"/>
      <c r="BS1164" s="12"/>
      <c r="BT1164" s="12"/>
      <c r="BU1164" s="12"/>
      <c r="BV1164" s="12"/>
      <c r="BW1164" s="12"/>
      <c r="BX1164" s="12"/>
      <c r="BY1164" s="12"/>
      <c r="BZ1164" s="12"/>
      <c r="CA1164" s="12"/>
      <c r="CB1164" s="12"/>
      <c r="CC1164" s="12"/>
      <c r="CD1164" s="12"/>
      <c r="CE1164" s="12"/>
      <c r="CF1164" s="12"/>
      <c r="CG1164" s="12"/>
      <c r="CH1164" s="12"/>
      <c r="CI1164" s="12"/>
      <c r="CJ1164" s="12"/>
      <c r="CK1164" s="12"/>
      <c r="CL1164" s="12"/>
      <c r="CM1164" s="12"/>
      <c r="CN1164" s="12"/>
      <c r="CO1164" s="12"/>
      <c r="CP1164" s="12"/>
      <c r="CQ1164" s="12"/>
      <c r="CR1164" s="12"/>
      <c r="CS1164" s="12"/>
      <c r="CT1164" s="12"/>
      <c r="CU1164" s="12"/>
      <c r="CV1164" s="12"/>
      <c r="CW1164" s="12"/>
      <c r="CX1164" s="12"/>
      <c r="CY1164" s="12"/>
      <c r="CZ1164" s="12"/>
      <c r="DA1164" s="12"/>
      <c r="DB1164" s="12"/>
      <c r="DC1164" s="12"/>
      <c r="DD1164" s="12"/>
      <c r="DE1164" s="12"/>
      <c r="DF1164" s="12"/>
      <c r="DG1164" s="12"/>
      <c r="DH1164" s="12"/>
      <c r="DI1164" s="12"/>
      <c r="DJ1164" s="12"/>
      <c r="DK1164" s="12"/>
      <c r="DL1164" s="12"/>
      <c r="DM1164" s="12"/>
      <c r="DN1164" s="12"/>
      <c r="DO1164" s="12"/>
      <c r="DP1164" s="12"/>
      <c r="DQ1164" s="12"/>
      <c r="DR1164" s="12"/>
      <c r="DS1164" s="12"/>
      <c r="DT1164" s="12"/>
      <c r="DU1164" s="12"/>
      <c r="DV1164" s="12"/>
      <c r="DW1164" s="12"/>
      <c r="DX1164" s="12"/>
      <c r="DY1164" s="12"/>
      <c r="DZ1164" s="12"/>
      <c r="EA1164" s="12"/>
      <c r="EB1164" s="12"/>
      <c r="EC1164" s="12"/>
      <c r="ED1164" s="12"/>
      <c r="EE1164" s="12"/>
      <c r="EF1164" s="12"/>
      <c r="EG1164" s="12"/>
      <c r="EH1164" s="12"/>
      <c r="EI1164" s="12"/>
      <c r="EJ1164" s="574"/>
      <c r="EK1164" s="574"/>
      <c r="EL1164" s="574"/>
      <c r="EM1164" s="574"/>
      <c r="EN1164" s="574"/>
      <c r="EO1164" s="574"/>
      <c r="EP1164" s="574"/>
      <c r="EQ1164" s="574"/>
      <c r="ER1164" s="574"/>
      <c r="ES1164" s="574"/>
      <c r="ET1164" s="574"/>
      <c r="EU1164" s="574"/>
    </row>
    <row r="1165">
      <c r="A1165" s="12"/>
      <c r="B1165" s="55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/>
      <c r="V1165" s="12"/>
      <c r="W1165" s="12"/>
      <c r="X1165" s="12"/>
      <c r="Y1165" s="12"/>
      <c r="Z1165" s="12"/>
      <c r="AA1165" s="12"/>
      <c r="AB1165" s="12"/>
      <c r="AC1165" s="12"/>
      <c r="AD1165" s="12"/>
      <c r="AE1165" s="12"/>
      <c r="AF1165" s="12"/>
      <c r="AG1165" s="12"/>
      <c r="AH1165" s="12"/>
      <c r="AI1165" s="12"/>
      <c r="AJ1165" s="12"/>
      <c r="AK1165" s="12"/>
      <c r="AL1165" s="12"/>
      <c r="AM1165" s="12"/>
      <c r="AN1165" s="12"/>
      <c r="AO1165" s="12"/>
      <c r="AP1165" s="12"/>
      <c r="AQ1165" s="12"/>
      <c r="AR1165" s="12"/>
      <c r="AS1165" s="12"/>
      <c r="AT1165" s="12"/>
      <c r="AU1165" s="12"/>
      <c r="AV1165" s="12"/>
      <c r="AW1165" s="12"/>
      <c r="AX1165" s="12"/>
      <c r="AY1165" s="12"/>
      <c r="AZ1165" s="12"/>
      <c r="BA1165" s="12"/>
      <c r="BB1165" s="12"/>
      <c r="BC1165" s="12"/>
      <c r="BD1165" s="12"/>
      <c r="BE1165" s="12"/>
      <c r="BF1165" s="12"/>
      <c r="BG1165" s="12"/>
      <c r="BH1165" s="12"/>
      <c r="BI1165" s="12"/>
      <c r="BJ1165" s="12"/>
      <c r="BK1165" s="12"/>
      <c r="BL1165" s="12"/>
      <c r="BM1165" s="12"/>
      <c r="BN1165" s="12"/>
      <c r="BO1165" s="12"/>
      <c r="BP1165" s="12"/>
      <c r="BQ1165" s="12"/>
      <c r="BR1165" s="12"/>
      <c r="BS1165" s="12"/>
      <c r="BT1165" s="12"/>
      <c r="BU1165" s="12"/>
      <c r="BV1165" s="12"/>
      <c r="BW1165" s="12"/>
      <c r="BX1165" s="12"/>
      <c r="BY1165" s="12"/>
      <c r="BZ1165" s="12"/>
      <c r="CA1165" s="12"/>
      <c r="CB1165" s="12"/>
      <c r="CC1165" s="12"/>
      <c r="CD1165" s="12"/>
      <c r="CE1165" s="12"/>
      <c r="CF1165" s="12"/>
      <c r="CG1165" s="12"/>
      <c r="CH1165" s="12"/>
      <c r="CI1165" s="12"/>
      <c r="CJ1165" s="12"/>
      <c r="CK1165" s="12"/>
      <c r="CL1165" s="12"/>
      <c r="CM1165" s="12"/>
      <c r="CN1165" s="12"/>
      <c r="CO1165" s="12"/>
      <c r="CP1165" s="12"/>
      <c r="CQ1165" s="12"/>
      <c r="CR1165" s="12"/>
      <c r="CS1165" s="12"/>
      <c r="CT1165" s="12"/>
      <c r="CU1165" s="12"/>
      <c r="CV1165" s="12"/>
      <c r="CW1165" s="12"/>
      <c r="CX1165" s="12"/>
      <c r="CY1165" s="12"/>
      <c r="CZ1165" s="12"/>
      <c r="DA1165" s="12"/>
      <c r="DB1165" s="12"/>
      <c r="DC1165" s="12"/>
      <c r="DD1165" s="12"/>
      <c r="DE1165" s="12"/>
      <c r="DF1165" s="12"/>
      <c r="DG1165" s="12"/>
      <c r="DH1165" s="12"/>
      <c r="DI1165" s="12"/>
      <c r="DJ1165" s="12"/>
      <c r="DK1165" s="12"/>
      <c r="DL1165" s="12"/>
      <c r="DM1165" s="12"/>
      <c r="DN1165" s="12"/>
      <c r="DO1165" s="12"/>
      <c r="DP1165" s="12"/>
      <c r="DQ1165" s="12"/>
      <c r="DR1165" s="12"/>
      <c r="DS1165" s="12"/>
      <c r="DT1165" s="12"/>
      <c r="DU1165" s="12"/>
      <c r="DV1165" s="12"/>
      <c r="DW1165" s="12"/>
      <c r="DX1165" s="12"/>
      <c r="DY1165" s="12"/>
      <c r="DZ1165" s="12"/>
      <c r="EA1165" s="12"/>
      <c r="EB1165" s="12"/>
      <c r="EC1165" s="12"/>
      <c r="ED1165" s="12"/>
      <c r="EE1165" s="12"/>
      <c r="EF1165" s="12"/>
      <c r="EG1165" s="12"/>
      <c r="EH1165" s="12"/>
      <c r="EI1165" s="12"/>
      <c r="EJ1165" s="574"/>
      <c r="EK1165" s="574"/>
      <c r="EL1165" s="574"/>
      <c r="EM1165" s="574"/>
      <c r="EN1165" s="574"/>
      <c r="EO1165" s="574"/>
      <c r="EP1165" s="574"/>
      <c r="EQ1165" s="574"/>
      <c r="ER1165" s="574"/>
      <c r="ES1165" s="574"/>
      <c r="ET1165" s="574"/>
      <c r="EU1165" s="574"/>
    </row>
    <row r="1166">
      <c r="A1166" s="12"/>
      <c r="B1166" s="55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/>
      <c r="V1166" s="12"/>
      <c r="W1166" s="12"/>
      <c r="X1166" s="12"/>
      <c r="Y1166" s="12"/>
      <c r="Z1166" s="12"/>
      <c r="AA1166" s="12"/>
      <c r="AB1166" s="12"/>
      <c r="AC1166" s="12"/>
      <c r="AD1166" s="12"/>
      <c r="AE1166" s="12"/>
      <c r="AF1166" s="12"/>
      <c r="AG1166" s="12"/>
      <c r="AH1166" s="12"/>
      <c r="AI1166" s="12"/>
      <c r="AJ1166" s="12"/>
      <c r="AK1166" s="12"/>
      <c r="AL1166" s="12"/>
      <c r="AM1166" s="12"/>
      <c r="AN1166" s="12"/>
      <c r="AO1166" s="12"/>
      <c r="AP1166" s="12"/>
      <c r="AQ1166" s="12"/>
      <c r="AR1166" s="12"/>
      <c r="AS1166" s="12"/>
      <c r="AT1166" s="12"/>
      <c r="AU1166" s="12"/>
      <c r="AV1166" s="12"/>
      <c r="AW1166" s="12"/>
      <c r="AX1166" s="12"/>
      <c r="AY1166" s="12"/>
      <c r="AZ1166" s="12"/>
      <c r="BA1166" s="12"/>
      <c r="BB1166" s="12"/>
      <c r="BC1166" s="12"/>
      <c r="BD1166" s="12"/>
      <c r="BE1166" s="12"/>
      <c r="BF1166" s="12"/>
      <c r="BG1166" s="12"/>
      <c r="BH1166" s="12"/>
      <c r="BI1166" s="12"/>
      <c r="BJ1166" s="12"/>
      <c r="BK1166" s="12"/>
      <c r="BL1166" s="12"/>
      <c r="BM1166" s="12"/>
      <c r="BN1166" s="12"/>
      <c r="BO1166" s="12"/>
      <c r="BP1166" s="12"/>
      <c r="BQ1166" s="12"/>
      <c r="BR1166" s="12"/>
      <c r="BS1166" s="12"/>
      <c r="BT1166" s="12"/>
      <c r="BU1166" s="12"/>
      <c r="BV1166" s="12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574"/>
      <c r="EK1166" s="574"/>
      <c r="EL1166" s="574"/>
      <c r="EM1166" s="574"/>
      <c r="EN1166" s="574"/>
      <c r="EO1166" s="574"/>
      <c r="EP1166" s="574"/>
      <c r="EQ1166" s="574"/>
      <c r="ER1166" s="574"/>
      <c r="ES1166" s="574"/>
      <c r="ET1166" s="574"/>
      <c r="EU1166" s="574"/>
    </row>
    <row r="1167">
      <c r="A1167" s="12"/>
      <c r="B1167" s="55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2"/>
      <c r="R1167" s="12"/>
      <c r="S1167" s="12"/>
      <c r="T1167" s="12"/>
      <c r="U1167" s="12"/>
      <c r="V1167" s="12"/>
      <c r="W1167" s="12"/>
      <c r="X1167" s="12"/>
      <c r="Y1167" s="12"/>
      <c r="Z1167" s="12"/>
      <c r="AA1167" s="12"/>
      <c r="AB1167" s="12"/>
      <c r="AC1167" s="12"/>
      <c r="AD1167" s="12"/>
      <c r="AE1167" s="12"/>
      <c r="AF1167" s="12"/>
      <c r="AG1167" s="12"/>
      <c r="AH1167" s="12"/>
      <c r="AI1167" s="12"/>
      <c r="AJ1167" s="12"/>
      <c r="AK1167" s="12"/>
      <c r="AL1167" s="12"/>
      <c r="AM1167" s="12"/>
      <c r="AN1167" s="12"/>
      <c r="AO1167" s="12"/>
      <c r="AP1167" s="12"/>
      <c r="AQ1167" s="12"/>
      <c r="AR1167" s="12"/>
      <c r="AS1167" s="12"/>
      <c r="AT1167" s="12"/>
      <c r="AU1167" s="12"/>
      <c r="AV1167" s="12"/>
      <c r="AW1167" s="12"/>
      <c r="AX1167" s="12"/>
      <c r="AY1167" s="12"/>
      <c r="AZ1167" s="12"/>
      <c r="BA1167" s="12"/>
      <c r="BB1167" s="12"/>
      <c r="BC1167" s="12"/>
      <c r="BD1167" s="12"/>
      <c r="BE1167" s="12"/>
      <c r="BF1167" s="12"/>
      <c r="BG1167" s="12"/>
      <c r="BH1167" s="12"/>
      <c r="BI1167" s="12"/>
      <c r="BJ1167" s="12"/>
      <c r="BK1167" s="12"/>
      <c r="BL1167" s="12"/>
      <c r="BM1167" s="12"/>
      <c r="BN1167" s="12"/>
      <c r="BO1167" s="12"/>
      <c r="BP1167" s="12"/>
      <c r="BQ1167" s="12"/>
      <c r="BR1167" s="12"/>
      <c r="BS1167" s="12"/>
      <c r="BT1167" s="12"/>
      <c r="BU1167" s="12"/>
      <c r="BV1167" s="12"/>
      <c r="BW1167" s="12"/>
      <c r="BX1167" s="12"/>
      <c r="BY1167" s="12"/>
      <c r="BZ1167" s="12"/>
      <c r="CA1167" s="12"/>
      <c r="CB1167" s="12"/>
      <c r="CC1167" s="12"/>
      <c r="CD1167" s="12"/>
      <c r="CE1167" s="12"/>
      <c r="CF1167" s="12"/>
      <c r="CG1167" s="12"/>
      <c r="CH1167" s="12"/>
      <c r="CI1167" s="12"/>
      <c r="CJ1167" s="12"/>
      <c r="CK1167" s="12"/>
      <c r="CL1167" s="12"/>
      <c r="CM1167" s="12"/>
      <c r="CN1167" s="12"/>
      <c r="CO1167" s="12"/>
      <c r="CP1167" s="12"/>
      <c r="CQ1167" s="12"/>
      <c r="CR1167" s="12"/>
      <c r="CS1167" s="12"/>
      <c r="CT1167" s="12"/>
      <c r="CU1167" s="12"/>
      <c r="CV1167" s="12"/>
      <c r="CW1167" s="12"/>
      <c r="CX1167" s="12"/>
      <c r="CY1167" s="12"/>
      <c r="CZ1167" s="12"/>
      <c r="DA1167" s="12"/>
      <c r="DB1167" s="12"/>
      <c r="DC1167" s="12"/>
      <c r="DD1167" s="12"/>
      <c r="DE1167" s="12"/>
      <c r="DF1167" s="12"/>
      <c r="DG1167" s="12"/>
      <c r="DH1167" s="12"/>
      <c r="DI1167" s="12"/>
      <c r="DJ1167" s="12"/>
      <c r="DK1167" s="12"/>
      <c r="DL1167" s="12"/>
      <c r="DM1167" s="12"/>
      <c r="DN1167" s="12"/>
      <c r="DO1167" s="12"/>
      <c r="DP1167" s="12"/>
      <c r="DQ1167" s="12"/>
      <c r="DR1167" s="12"/>
      <c r="DS1167" s="12"/>
      <c r="DT1167" s="12"/>
      <c r="DU1167" s="12"/>
      <c r="DV1167" s="12"/>
      <c r="DW1167" s="12"/>
      <c r="DX1167" s="12"/>
      <c r="DY1167" s="12"/>
      <c r="DZ1167" s="12"/>
      <c r="EA1167" s="12"/>
      <c r="EB1167" s="12"/>
      <c r="EC1167" s="12"/>
      <c r="ED1167" s="12"/>
      <c r="EE1167" s="12"/>
      <c r="EF1167" s="12"/>
      <c r="EG1167" s="12"/>
      <c r="EH1167" s="12"/>
      <c r="EI1167" s="12"/>
      <c r="EJ1167" s="574"/>
      <c r="EK1167" s="574"/>
      <c r="EL1167" s="574"/>
      <c r="EM1167" s="574"/>
      <c r="EN1167" s="574"/>
      <c r="EO1167" s="574"/>
      <c r="EP1167" s="574"/>
      <c r="EQ1167" s="574"/>
      <c r="ER1167" s="574"/>
      <c r="ES1167" s="574"/>
      <c r="ET1167" s="574"/>
      <c r="EU1167" s="574"/>
    </row>
    <row r="1168">
      <c r="A1168" s="12"/>
      <c r="B1168" s="55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2"/>
      <c r="R1168" s="12"/>
      <c r="S1168" s="12"/>
      <c r="T1168" s="12"/>
      <c r="U1168" s="12"/>
      <c r="V1168" s="12"/>
      <c r="W1168" s="12"/>
      <c r="X1168" s="12"/>
      <c r="Y1168" s="12"/>
      <c r="Z1168" s="12"/>
      <c r="AA1168" s="12"/>
      <c r="AB1168" s="12"/>
      <c r="AC1168" s="12"/>
      <c r="AD1168" s="12"/>
      <c r="AE1168" s="12"/>
      <c r="AF1168" s="12"/>
      <c r="AG1168" s="12"/>
      <c r="AH1168" s="12"/>
      <c r="AI1168" s="12"/>
      <c r="AJ1168" s="12"/>
      <c r="AK1168" s="12"/>
      <c r="AL1168" s="12"/>
      <c r="AM1168" s="12"/>
      <c r="AN1168" s="12"/>
      <c r="AO1168" s="12"/>
      <c r="AP1168" s="12"/>
      <c r="AQ1168" s="12"/>
      <c r="AR1168" s="12"/>
      <c r="AS1168" s="12"/>
      <c r="AT1168" s="12"/>
      <c r="AU1168" s="12"/>
      <c r="AV1168" s="12"/>
      <c r="AW1168" s="12"/>
      <c r="AX1168" s="12"/>
      <c r="AY1168" s="12"/>
      <c r="AZ1168" s="12"/>
      <c r="BA1168" s="12"/>
      <c r="BB1168" s="12"/>
      <c r="BC1168" s="12"/>
      <c r="BD1168" s="12"/>
      <c r="BE1168" s="12"/>
      <c r="BF1168" s="12"/>
      <c r="BG1168" s="12"/>
      <c r="BH1168" s="12"/>
      <c r="BI1168" s="12"/>
      <c r="BJ1168" s="12"/>
      <c r="BK1168" s="12"/>
      <c r="BL1168" s="12"/>
      <c r="BM1168" s="12"/>
      <c r="BN1168" s="12"/>
      <c r="BO1168" s="12"/>
      <c r="BP1168" s="12"/>
      <c r="BQ1168" s="12"/>
      <c r="BR1168" s="12"/>
      <c r="BS1168" s="12"/>
      <c r="BT1168" s="12"/>
      <c r="BU1168" s="12"/>
      <c r="BV1168" s="12"/>
      <c r="BW1168" s="12"/>
      <c r="BX1168" s="12"/>
      <c r="BY1168" s="12"/>
      <c r="BZ1168" s="12"/>
      <c r="CA1168" s="12"/>
      <c r="CB1168" s="12"/>
      <c r="CC1168" s="12"/>
      <c r="CD1168" s="12"/>
      <c r="CE1168" s="12"/>
      <c r="CF1168" s="12"/>
      <c r="CG1168" s="12"/>
      <c r="CH1168" s="12"/>
      <c r="CI1168" s="12"/>
      <c r="CJ1168" s="12"/>
      <c r="CK1168" s="12"/>
      <c r="CL1168" s="12"/>
      <c r="CM1168" s="12"/>
      <c r="CN1168" s="12"/>
      <c r="CO1168" s="12"/>
      <c r="CP1168" s="12"/>
      <c r="CQ1168" s="12"/>
      <c r="CR1168" s="12"/>
      <c r="CS1168" s="12"/>
      <c r="CT1168" s="12"/>
      <c r="CU1168" s="12"/>
      <c r="CV1168" s="12"/>
      <c r="CW1168" s="12"/>
      <c r="CX1168" s="12"/>
      <c r="CY1168" s="12"/>
      <c r="CZ1168" s="12"/>
      <c r="DA1168" s="12"/>
      <c r="DB1168" s="12"/>
      <c r="DC1168" s="12"/>
      <c r="DD1168" s="12"/>
      <c r="DE1168" s="12"/>
      <c r="DF1168" s="12"/>
      <c r="DG1168" s="12"/>
      <c r="DH1168" s="12"/>
      <c r="DI1168" s="12"/>
      <c r="DJ1168" s="12"/>
      <c r="DK1168" s="12"/>
      <c r="DL1168" s="12"/>
      <c r="DM1168" s="12"/>
      <c r="DN1168" s="12"/>
      <c r="DO1168" s="12"/>
      <c r="DP1168" s="12"/>
      <c r="DQ1168" s="12"/>
      <c r="DR1168" s="12"/>
      <c r="DS1168" s="12"/>
      <c r="DT1168" s="12"/>
      <c r="DU1168" s="12"/>
      <c r="DV1168" s="12"/>
      <c r="DW1168" s="12"/>
      <c r="DX1168" s="12"/>
      <c r="DY1168" s="12"/>
      <c r="DZ1168" s="12"/>
      <c r="EA1168" s="12"/>
      <c r="EB1168" s="12"/>
      <c r="EC1168" s="12"/>
      <c r="ED1168" s="12"/>
      <c r="EE1168" s="12"/>
      <c r="EF1168" s="12"/>
      <c r="EG1168" s="12"/>
      <c r="EH1168" s="12"/>
      <c r="EI1168" s="12"/>
      <c r="EJ1168" s="574"/>
      <c r="EK1168" s="574"/>
      <c r="EL1168" s="574"/>
      <c r="EM1168" s="574"/>
      <c r="EN1168" s="574"/>
      <c r="EO1168" s="574"/>
      <c r="EP1168" s="574"/>
      <c r="EQ1168" s="574"/>
      <c r="ER1168" s="574"/>
      <c r="ES1168" s="574"/>
      <c r="ET1168" s="574"/>
      <c r="EU1168" s="574"/>
    </row>
    <row r="1169">
      <c r="A1169" s="12"/>
      <c r="B1169" s="55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2"/>
      <c r="R1169" s="12"/>
      <c r="S1169" s="12"/>
      <c r="T1169" s="12"/>
      <c r="U1169" s="12"/>
      <c r="V1169" s="12"/>
      <c r="W1169" s="12"/>
      <c r="X1169" s="12"/>
      <c r="Y1169" s="12"/>
      <c r="Z1169" s="12"/>
      <c r="AA1169" s="12"/>
      <c r="AB1169" s="12"/>
      <c r="AC1169" s="12"/>
      <c r="AD1169" s="12"/>
      <c r="AE1169" s="12"/>
      <c r="AF1169" s="12"/>
      <c r="AG1169" s="12"/>
      <c r="AH1169" s="12"/>
      <c r="AI1169" s="12"/>
      <c r="AJ1169" s="12"/>
      <c r="AK1169" s="12"/>
      <c r="AL1169" s="12"/>
      <c r="AM1169" s="12"/>
      <c r="AN1169" s="12"/>
      <c r="AO1169" s="12"/>
      <c r="AP1169" s="12"/>
      <c r="AQ1169" s="12"/>
      <c r="AR1169" s="12"/>
      <c r="AS1169" s="12"/>
      <c r="AT1169" s="12"/>
      <c r="AU1169" s="12"/>
      <c r="AV1169" s="12"/>
      <c r="AW1169" s="12"/>
      <c r="AX1169" s="12"/>
      <c r="AY1169" s="12"/>
      <c r="AZ1169" s="12"/>
      <c r="BA1169" s="12"/>
      <c r="BB1169" s="12"/>
      <c r="BC1169" s="12"/>
      <c r="BD1169" s="12"/>
      <c r="BE1169" s="12"/>
      <c r="BF1169" s="12"/>
      <c r="BG1169" s="12"/>
      <c r="BH1169" s="12"/>
      <c r="BI1169" s="12"/>
      <c r="BJ1169" s="12"/>
      <c r="BK1169" s="12"/>
      <c r="BL1169" s="12"/>
      <c r="BM1169" s="12"/>
      <c r="BN1169" s="12"/>
      <c r="BO1169" s="12"/>
      <c r="BP1169" s="12"/>
      <c r="BQ1169" s="12"/>
      <c r="BR1169" s="12"/>
      <c r="BS1169" s="12"/>
      <c r="BT1169" s="12"/>
      <c r="BU1169" s="12"/>
      <c r="BV1169" s="12"/>
      <c r="BW1169" s="12"/>
      <c r="BX1169" s="12"/>
      <c r="BY1169" s="12"/>
      <c r="BZ1169" s="12"/>
      <c r="CA1169" s="12"/>
      <c r="CB1169" s="12"/>
      <c r="CC1169" s="12"/>
      <c r="CD1169" s="12"/>
      <c r="CE1169" s="12"/>
      <c r="CF1169" s="12"/>
      <c r="CG1169" s="12"/>
      <c r="CH1169" s="12"/>
      <c r="CI1169" s="12"/>
      <c r="CJ1169" s="12"/>
      <c r="CK1169" s="12"/>
      <c r="CL1169" s="12"/>
      <c r="CM1169" s="12"/>
      <c r="CN1169" s="12"/>
      <c r="CO1169" s="12"/>
      <c r="CP1169" s="12"/>
      <c r="CQ1169" s="12"/>
      <c r="CR1169" s="12"/>
      <c r="CS1169" s="12"/>
      <c r="CT1169" s="12"/>
      <c r="CU1169" s="12"/>
      <c r="CV1169" s="12"/>
      <c r="CW1169" s="12"/>
      <c r="CX1169" s="12"/>
      <c r="CY1169" s="12"/>
      <c r="CZ1169" s="12"/>
      <c r="DA1169" s="12"/>
      <c r="DB1169" s="12"/>
      <c r="DC1169" s="12"/>
      <c r="DD1169" s="12"/>
      <c r="DE1169" s="12"/>
      <c r="DF1169" s="12"/>
      <c r="DG1169" s="12"/>
      <c r="DH1169" s="12"/>
      <c r="DI1169" s="12"/>
      <c r="DJ1169" s="12"/>
      <c r="DK1169" s="12"/>
      <c r="DL1169" s="12"/>
      <c r="DM1169" s="12"/>
      <c r="DN1169" s="12"/>
      <c r="DO1169" s="12"/>
      <c r="DP1169" s="12"/>
      <c r="DQ1169" s="12"/>
      <c r="DR1169" s="12"/>
      <c r="DS1169" s="12"/>
      <c r="DT1169" s="12"/>
      <c r="DU1169" s="12"/>
      <c r="DV1169" s="12"/>
      <c r="DW1169" s="12"/>
      <c r="DX1169" s="12"/>
      <c r="DY1169" s="12"/>
      <c r="DZ1169" s="12"/>
      <c r="EA1169" s="12"/>
      <c r="EB1169" s="12"/>
      <c r="EC1169" s="12"/>
      <c r="ED1169" s="12"/>
      <c r="EE1169" s="12"/>
      <c r="EF1169" s="12"/>
      <c r="EG1169" s="12"/>
      <c r="EH1169" s="12"/>
      <c r="EI1169" s="12"/>
      <c r="EJ1169" s="574"/>
      <c r="EK1169" s="574"/>
      <c r="EL1169" s="574"/>
      <c r="EM1169" s="574"/>
      <c r="EN1169" s="574"/>
      <c r="EO1169" s="574"/>
      <c r="EP1169" s="574"/>
      <c r="EQ1169" s="574"/>
      <c r="ER1169" s="574"/>
      <c r="ES1169" s="574"/>
      <c r="ET1169" s="574"/>
      <c r="EU1169" s="574"/>
    </row>
    <row r="1170">
      <c r="A1170" s="12"/>
      <c r="B1170" s="55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2"/>
      <c r="R1170" s="12"/>
      <c r="S1170" s="12"/>
      <c r="T1170" s="12"/>
      <c r="U1170" s="12"/>
      <c r="V1170" s="12"/>
      <c r="W1170" s="12"/>
      <c r="X1170" s="12"/>
      <c r="Y1170" s="12"/>
      <c r="Z1170" s="12"/>
      <c r="AA1170" s="12"/>
      <c r="AB1170" s="12"/>
      <c r="AC1170" s="12"/>
      <c r="AD1170" s="12"/>
      <c r="AE1170" s="12"/>
      <c r="AF1170" s="12"/>
      <c r="AG1170" s="12"/>
      <c r="AH1170" s="12"/>
      <c r="AI1170" s="12"/>
      <c r="AJ1170" s="12"/>
      <c r="AK1170" s="12"/>
      <c r="AL1170" s="12"/>
      <c r="AM1170" s="12"/>
      <c r="AN1170" s="12"/>
      <c r="AO1170" s="12"/>
      <c r="AP1170" s="12"/>
      <c r="AQ1170" s="12"/>
      <c r="AR1170" s="12"/>
      <c r="AS1170" s="12"/>
      <c r="AT1170" s="12"/>
      <c r="AU1170" s="12"/>
      <c r="AV1170" s="12"/>
      <c r="AW1170" s="12"/>
      <c r="AX1170" s="12"/>
      <c r="AY1170" s="12"/>
      <c r="AZ1170" s="12"/>
      <c r="BA1170" s="12"/>
      <c r="BB1170" s="12"/>
      <c r="BC1170" s="12"/>
      <c r="BD1170" s="12"/>
      <c r="BE1170" s="12"/>
      <c r="BF1170" s="12"/>
      <c r="BG1170" s="12"/>
      <c r="BH1170" s="12"/>
      <c r="BI1170" s="12"/>
      <c r="BJ1170" s="12"/>
      <c r="BK1170" s="12"/>
      <c r="BL1170" s="12"/>
      <c r="BM1170" s="12"/>
      <c r="BN1170" s="12"/>
      <c r="BO1170" s="12"/>
      <c r="BP1170" s="12"/>
      <c r="BQ1170" s="12"/>
      <c r="BR1170" s="12"/>
      <c r="BS1170" s="12"/>
      <c r="BT1170" s="12"/>
      <c r="BU1170" s="12"/>
      <c r="BV1170" s="12"/>
      <c r="BW1170" s="12"/>
      <c r="BX1170" s="12"/>
      <c r="BY1170" s="12"/>
      <c r="BZ1170" s="12"/>
      <c r="CA1170" s="12"/>
      <c r="CB1170" s="12"/>
      <c r="CC1170" s="12"/>
      <c r="CD1170" s="12"/>
      <c r="CE1170" s="12"/>
      <c r="CF1170" s="12"/>
      <c r="CG1170" s="12"/>
      <c r="CH1170" s="12"/>
      <c r="CI1170" s="12"/>
      <c r="CJ1170" s="12"/>
      <c r="CK1170" s="12"/>
      <c r="CL1170" s="12"/>
      <c r="CM1170" s="12"/>
      <c r="CN1170" s="12"/>
      <c r="CO1170" s="12"/>
      <c r="CP1170" s="12"/>
      <c r="CQ1170" s="12"/>
      <c r="CR1170" s="12"/>
      <c r="CS1170" s="12"/>
      <c r="CT1170" s="12"/>
      <c r="CU1170" s="12"/>
      <c r="CV1170" s="12"/>
      <c r="CW1170" s="12"/>
      <c r="CX1170" s="12"/>
      <c r="CY1170" s="12"/>
      <c r="CZ1170" s="12"/>
      <c r="DA1170" s="12"/>
      <c r="DB1170" s="12"/>
      <c r="DC1170" s="12"/>
      <c r="DD1170" s="12"/>
      <c r="DE1170" s="12"/>
      <c r="DF1170" s="12"/>
      <c r="DG1170" s="12"/>
      <c r="DH1170" s="12"/>
      <c r="DI1170" s="12"/>
      <c r="DJ1170" s="12"/>
      <c r="DK1170" s="12"/>
      <c r="DL1170" s="12"/>
      <c r="DM1170" s="12"/>
      <c r="DN1170" s="12"/>
      <c r="DO1170" s="12"/>
      <c r="DP1170" s="12"/>
      <c r="DQ1170" s="12"/>
      <c r="DR1170" s="12"/>
      <c r="DS1170" s="12"/>
      <c r="DT1170" s="12"/>
      <c r="DU1170" s="12"/>
      <c r="DV1170" s="12"/>
      <c r="DW1170" s="12"/>
      <c r="DX1170" s="12"/>
      <c r="DY1170" s="12"/>
      <c r="DZ1170" s="12"/>
      <c r="EA1170" s="12"/>
      <c r="EB1170" s="12"/>
      <c r="EC1170" s="12"/>
      <c r="ED1170" s="12"/>
      <c r="EE1170" s="12"/>
      <c r="EF1170" s="12"/>
      <c r="EG1170" s="12"/>
      <c r="EH1170" s="12"/>
      <c r="EI1170" s="12"/>
      <c r="EJ1170" s="574"/>
      <c r="EK1170" s="574"/>
      <c r="EL1170" s="574"/>
      <c r="EM1170" s="574"/>
      <c r="EN1170" s="574"/>
      <c r="EO1170" s="574"/>
      <c r="EP1170" s="574"/>
      <c r="EQ1170" s="574"/>
      <c r="ER1170" s="574"/>
      <c r="ES1170" s="574"/>
      <c r="ET1170" s="574"/>
      <c r="EU1170" s="574"/>
    </row>
    <row r="1171">
      <c r="A1171" s="12"/>
      <c r="B1171" s="55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  <c r="X1171" s="12"/>
      <c r="Y1171" s="12"/>
      <c r="Z1171" s="12"/>
      <c r="AA1171" s="12"/>
      <c r="AB1171" s="12"/>
      <c r="AC1171" s="12"/>
      <c r="AD1171" s="12"/>
      <c r="AE1171" s="12"/>
      <c r="AF1171" s="12"/>
      <c r="AG1171" s="12"/>
      <c r="AH1171" s="12"/>
      <c r="AI1171" s="12"/>
      <c r="AJ1171" s="12"/>
      <c r="AK1171" s="12"/>
      <c r="AL1171" s="12"/>
      <c r="AM1171" s="12"/>
      <c r="AN1171" s="12"/>
      <c r="AO1171" s="12"/>
      <c r="AP1171" s="12"/>
      <c r="AQ1171" s="12"/>
      <c r="AR1171" s="12"/>
      <c r="AS1171" s="12"/>
      <c r="AT1171" s="12"/>
      <c r="AU1171" s="12"/>
      <c r="AV1171" s="12"/>
      <c r="AW1171" s="12"/>
      <c r="AX1171" s="12"/>
      <c r="AY1171" s="12"/>
      <c r="AZ1171" s="12"/>
      <c r="BA1171" s="12"/>
      <c r="BB1171" s="12"/>
      <c r="BC1171" s="12"/>
      <c r="BD1171" s="12"/>
      <c r="BE1171" s="12"/>
      <c r="BF1171" s="12"/>
      <c r="BG1171" s="12"/>
      <c r="BH1171" s="12"/>
      <c r="BI1171" s="12"/>
      <c r="BJ1171" s="12"/>
      <c r="BK1171" s="12"/>
      <c r="BL1171" s="12"/>
      <c r="BM1171" s="12"/>
      <c r="BN1171" s="12"/>
      <c r="BO1171" s="12"/>
      <c r="BP1171" s="12"/>
      <c r="BQ1171" s="12"/>
      <c r="BR1171" s="12"/>
      <c r="BS1171" s="12"/>
      <c r="BT1171" s="12"/>
      <c r="BU1171" s="12"/>
      <c r="BV1171" s="12"/>
      <c r="BW1171" s="12"/>
      <c r="BX1171" s="12"/>
      <c r="BY1171" s="12"/>
      <c r="BZ1171" s="12"/>
      <c r="CA1171" s="12"/>
      <c r="CB1171" s="12"/>
      <c r="CC1171" s="12"/>
      <c r="CD1171" s="12"/>
      <c r="CE1171" s="12"/>
      <c r="CF1171" s="12"/>
      <c r="CG1171" s="12"/>
      <c r="CH1171" s="12"/>
      <c r="CI1171" s="12"/>
      <c r="CJ1171" s="12"/>
      <c r="CK1171" s="12"/>
      <c r="CL1171" s="12"/>
      <c r="CM1171" s="12"/>
      <c r="CN1171" s="12"/>
      <c r="CO1171" s="12"/>
      <c r="CP1171" s="12"/>
      <c r="CQ1171" s="12"/>
      <c r="CR1171" s="12"/>
      <c r="CS1171" s="12"/>
      <c r="CT1171" s="12"/>
      <c r="CU1171" s="12"/>
      <c r="CV1171" s="12"/>
      <c r="CW1171" s="12"/>
      <c r="CX1171" s="12"/>
      <c r="CY1171" s="12"/>
      <c r="CZ1171" s="12"/>
      <c r="DA1171" s="12"/>
      <c r="DB1171" s="12"/>
      <c r="DC1171" s="12"/>
      <c r="DD1171" s="12"/>
      <c r="DE1171" s="12"/>
      <c r="DF1171" s="12"/>
      <c r="DG1171" s="12"/>
      <c r="DH1171" s="12"/>
      <c r="DI1171" s="12"/>
      <c r="DJ1171" s="12"/>
      <c r="DK1171" s="12"/>
      <c r="DL1171" s="12"/>
      <c r="DM1171" s="12"/>
      <c r="DN1171" s="12"/>
      <c r="DO1171" s="12"/>
      <c r="DP1171" s="12"/>
      <c r="DQ1171" s="12"/>
      <c r="DR1171" s="12"/>
      <c r="DS1171" s="12"/>
      <c r="DT1171" s="12"/>
      <c r="DU1171" s="12"/>
      <c r="DV1171" s="12"/>
      <c r="DW1171" s="12"/>
      <c r="DX1171" s="12"/>
      <c r="DY1171" s="12"/>
      <c r="DZ1171" s="12"/>
      <c r="EA1171" s="12"/>
      <c r="EB1171" s="12"/>
      <c r="EC1171" s="12"/>
      <c r="ED1171" s="12"/>
      <c r="EE1171" s="12"/>
      <c r="EF1171" s="12"/>
      <c r="EG1171" s="12"/>
      <c r="EH1171" s="12"/>
      <c r="EI1171" s="12"/>
      <c r="EJ1171" s="574"/>
      <c r="EK1171" s="574"/>
      <c r="EL1171" s="574"/>
      <c r="EM1171" s="574"/>
      <c r="EN1171" s="574"/>
      <c r="EO1171" s="574"/>
      <c r="EP1171" s="574"/>
      <c r="EQ1171" s="574"/>
      <c r="ER1171" s="574"/>
      <c r="ES1171" s="574"/>
      <c r="ET1171" s="574"/>
      <c r="EU1171" s="574"/>
    </row>
    <row r="1172">
      <c r="A1172" s="12"/>
      <c r="B1172" s="55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2"/>
      <c r="R1172" s="12"/>
      <c r="S1172" s="12"/>
      <c r="T1172" s="12"/>
      <c r="U1172" s="12"/>
      <c r="V1172" s="12"/>
      <c r="W1172" s="12"/>
      <c r="X1172" s="12"/>
      <c r="Y1172" s="12"/>
      <c r="Z1172" s="12"/>
      <c r="AA1172" s="12"/>
      <c r="AB1172" s="12"/>
      <c r="AC1172" s="12"/>
      <c r="AD1172" s="12"/>
      <c r="AE1172" s="12"/>
      <c r="AF1172" s="12"/>
      <c r="AG1172" s="12"/>
      <c r="AH1172" s="12"/>
      <c r="AI1172" s="12"/>
      <c r="AJ1172" s="12"/>
      <c r="AK1172" s="12"/>
      <c r="AL1172" s="12"/>
      <c r="AM1172" s="12"/>
      <c r="AN1172" s="12"/>
      <c r="AO1172" s="12"/>
      <c r="AP1172" s="12"/>
      <c r="AQ1172" s="12"/>
      <c r="AR1172" s="12"/>
      <c r="AS1172" s="12"/>
      <c r="AT1172" s="12"/>
      <c r="AU1172" s="12"/>
      <c r="AV1172" s="12"/>
      <c r="AW1172" s="12"/>
      <c r="AX1172" s="12"/>
      <c r="AY1172" s="12"/>
      <c r="AZ1172" s="12"/>
      <c r="BA1172" s="12"/>
      <c r="BB1172" s="12"/>
      <c r="BC1172" s="12"/>
      <c r="BD1172" s="12"/>
      <c r="BE1172" s="12"/>
      <c r="BF1172" s="12"/>
      <c r="BG1172" s="12"/>
      <c r="BH1172" s="12"/>
      <c r="BI1172" s="12"/>
      <c r="BJ1172" s="12"/>
      <c r="BK1172" s="12"/>
      <c r="BL1172" s="12"/>
      <c r="BM1172" s="12"/>
      <c r="BN1172" s="12"/>
      <c r="BO1172" s="12"/>
      <c r="BP1172" s="12"/>
      <c r="BQ1172" s="12"/>
      <c r="BR1172" s="12"/>
      <c r="BS1172" s="12"/>
      <c r="BT1172" s="12"/>
      <c r="BU1172" s="12"/>
      <c r="BV1172" s="12"/>
      <c r="BW1172" s="12"/>
      <c r="BX1172" s="12"/>
      <c r="BY1172" s="12"/>
      <c r="BZ1172" s="12"/>
      <c r="CA1172" s="12"/>
      <c r="CB1172" s="12"/>
      <c r="CC1172" s="12"/>
      <c r="CD1172" s="12"/>
      <c r="CE1172" s="12"/>
      <c r="CF1172" s="12"/>
      <c r="CG1172" s="12"/>
      <c r="CH1172" s="12"/>
      <c r="CI1172" s="12"/>
      <c r="CJ1172" s="12"/>
      <c r="CK1172" s="12"/>
      <c r="CL1172" s="12"/>
      <c r="CM1172" s="12"/>
      <c r="CN1172" s="12"/>
      <c r="CO1172" s="12"/>
      <c r="CP1172" s="12"/>
      <c r="CQ1172" s="12"/>
      <c r="CR1172" s="12"/>
      <c r="CS1172" s="12"/>
      <c r="CT1172" s="12"/>
      <c r="CU1172" s="12"/>
      <c r="CV1172" s="12"/>
      <c r="CW1172" s="12"/>
      <c r="CX1172" s="12"/>
      <c r="CY1172" s="12"/>
      <c r="CZ1172" s="12"/>
      <c r="DA1172" s="12"/>
      <c r="DB1172" s="12"/>
      <c r="DC1172" s="12"/>
      <c r="DD1172" s="12"/>
      <c r="DE1172" s="12"/>
      <c r="DF1172" s="12"/>
      <c r="DG1172" s="12"/>
      <c r="DH1172" s="12"/>
      <c r="DI1172" s="12"/>
      <c r="DJ1172" s="12"/>
      <c r="DK1172" s="12"/>
      <c r="DL1172" s="12"/>
      <c r="DM1172" s="12"/>
      <c r="DN1172" s="12"/>
      <c r="DO1172" s="12"/>
      <c r="DP1172" s="12"/>
      <c r="DQ1172" s="12"/>
      <c r="DR1172" s="12"/>
      <c r="DS1172" s="12"/>
      <c r="DT1172" s="12"/>
      <c r="DU1172" s="12"/>
      <c r="DV1172" s="12"/>
      <c r="DW1172" s="12"/>
      <c r="DX1172" s="12"/>
      <c r="DY1172" s="12"/>
      <c r="DZ1172" s="12"/>
      <c r="EA1172" s="12"/>
      <c r="EB1172" s="12"/>
      <c r="EC1172" s="12"/>
      <c r="ED1172" s="12"/>
      <c r="EE1172" s="12"/>
      <c r="EF1172" s="12"/>
      <c r="EG1172" s="12"/>
      <c r="EH1172" s="12"/>
      <c r="EI1172" s="12"/>
      <c r="EJ1172" s="574"/>
      <c r="EK1172" s="574"/>
      <c r="EL1172" s="574"/>
      <c r="EM1172" s="574"/>
      <c r="EN1172" s="574"/>
      <c r="EO1172" s="574"/>
      <c r="EP1172" s="574"/>
      <c r="EQ1172" s="574"/>
      <c r="ER1172" s="574"/>
      <c r="ES1172" s="574"/>
      <c r="ET1172" s="574"/>
      <c r="EU1172" s="574"/>
    </row>
    <row r="1173">
      <c r="A1173" s="12"/>
      <c r="B1173" s="55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2"/>
      <c r="R1173" s="12"/>
      <c r="S1173" s="12"/>
      <c r="T1173" s="12"/>
      <c r="U1173" s="12"/>
      <c r="V1173" s="12"/>
      <c r="W1173" s="12"/>
      <c r="X1173" s="12"/>
      <c r="Y1173" s="12"/>
      <c r="Z1173" s="12"/>
      <c r="AA1173" s="12"/>
      <c r="AB1173" s="12"/>
      <c r="AC1173" s="12"/>
      <c r="AD1173" s="12"/>
      <c r="AE1173" s="12"/>
      <c r="AF1173" s="12"/>
      <c r="AG1173" s="12"/>
      <c r="AH1173" s="12"/>
      <c r="AI1173" s="12"/>
      <c r="AJ1173" s="12"/>
      <c r="AK1173" s="12"/>
      <c r="AL1173" s="12"/>
      <c r="AM1173" s="12"/>
      <c r="AN1173" s="12"/>
      <c r="AO1173" s="12"/>
      <c r="AP1173" s="12"/>
      <c r="AQ1173" s="12"/>
      <c r="AR1173" s="12"/>
      <c r="AS1173" s="12"/>
      <c r="AT1173" s="12"/>
      <c r="AU1173" s="12"/>
      <c r="AV1173" s="12"/>
      <c r="AW1173" s="12"/>
      <c r="AX1173" s="12"/>
      <c r="AY1173" s="12"/>
      <c r="AZ1173" s="12"/>
      <c r="BA1173" s="12"/>
      <c r="BB1173" s="12"/>
      <c r="BC1173" s="12"/>
      <c r="BD1173" s="12"/>
      <c r="BE1173" s="12"/>
      <c r="BF1173" s="12"/>
      <c r="BG1173" s="12"/>
      <c r="BH1173" s="12"/>
      <c r="BI1173" s="12"/>
      <c r="BJ1173" s="12"/>
      <c r="BK1173" s="12"/>
      <c r="BL1173" s="12"/>
      <c r="BM1173" s="12"/>
      <c r="BN1173" s="12"/>
      <c r="BO1173" s="12"/>
      <c r="BP1173" s="12"/>
      <c r="BQ1173" s="12"/>
      <c r="BR1173" s="12"/>
      <c r="BS1173" s="12"/>
      <c r="BT1173" s="12"/>
      <c r="BU1173" s="12"/>
      <c r="BV1173" s="12"/>
      <c r="BW1173" s="12"/>
      <c r="BX1173" s="12"/>
      <c r="BY1173" s="12"/>
      <c r="BZ1173" s="12"/>
      <c r="CA1173" s="12"/>
      <c r="CB1173" s="12"/>
      <c r="CC1173" s="12"/>
      <c r="CD1173" s="12"/>
      <c r="CE1173" s="12"/>
      <c r="CF1173" s="12"/>
      <c r="CG1173" s="12"/>
      <c r="CH1173" s="12"/>
      <c r="CI1173" s="12"/>
      <c r="CJ1173" s="12"/>
      <c r="CK1173" s="12"/>
      <c r="CL1173" s="12"/>
      <c r="CM1173" s="12"/>
      <c r="CN1173" s="12"/>
      <c r="CO1173" s="12"/>
      <c r="CP1173" s="12"/>
      <c r="CQ1173" s="12"/>
      <c r="CR1173" s="12"/>
      <c r="CS1173" s="12"/>
      <c r="CT1173" s="12"/>
      <c r="CU1173" s="12"/>
      <c r="CV1173" s="12"/>
      <c r="CW1173" s="12"/>
      <c r="CX1173" s="12"/>
      <c r="CY1173" s="12"/>
      <c r="CZ1173" s="12"/>
      <c r="DA1173" s="12"/>
      <c r="DB1173" s="12"/>
      <c r="DC1173" s="12"/>
      <c r="DD1173" s="12"/>
      <c r="DE1173" s="12"/>
      <c r="DF1173" s="12"/>
      <c r="DG1173" s="12"/>
      <c r="DH1173" s="12"/>
      <c r="DI1173" s="12"/>
      <c r="DJ1173" s="12"/>
      <c r="DK1173" s="12"/>
      <c r="DL1173" s="12"/>
      <c r="DM1173" s="12"/>
      <c r="DN1173" s="12"/>
      <c r="DO1173" s="12"/>
      <c r="DP1173" s="12"/>
      <c r="DQ1173" s="12"/>
      <c r="DR1173" s="12"/>
      <c r="DS1173" s="12"/>
      <c r="DT1173" s="12"/>
      <c r="DU1173" s="12"/>
      <c r="DV1173" s="12"/>
      <c r="DW1173" s="12"/>
      <c r="DX1173" s="12"/>
      <c r="DY1173" s="12"/>
      <c r="DZ1173" s="12"/>
      <c r="EA1173" s="12"/>
      <c r="EB1173" s="12"/>
      <c r="EC1173" s="12"/>
      <c r="ED1173" s="12"/>
      <c r="EE1173" s="12"/>
      <c r="EF1173" s="12"/>
      <c r="EG1173" s="12"/>
      <c r="EH1173" s="12"/>
      <c r="EI1173" s="12"/>
      <c r="EJ1173" s="574"/>
      <c r="EK1173" s="574"/>
      <c r="EL1173" s="574"/>
      <c r="EM1173" s="574"/>
      <c r="EN1173" s="574"/>
      <c r="EO1173" s="574"/>
      <c r="EP1173" s="574"/>
      <c r="EQ1173" s="574"/>
      <c r="ER1173" s="574"/>
      <c r="ES1173" s="574"/>
      <c r="ET1173" s="574"/>
      <c r="EU1173" s="574"/>
    </row>
    <row r="1174">
      <c r="A1174" s="12"/>
      <c r="B1174" s="55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2"/>
      <c r="R1174" s="12"/>
      <c r="S1174" s="12"/>
      <c r="T1174" s="12"/>
      <c r="U1174" s="12"/>
      <c r="V1174" s="12"/>
      <c r="W1174" s="12"/>
      <c r="X1174" s="12"/>
      <c r="Y1174" s="12"/>
      <c r="Z1174" s="12"/>
      <c r="AA1174" s="12"/>
      <c r="AB1174" s="12"/>
      <c r="AC1174" s="12"/>
      <c r="AD1174" s="12"/>
      <c r="AE1174" s="12"/>
      <c r="AF1174" s="12"/>
      <c r="AG1174" s="12"/>
      <c r="AH1174" s="12"/>
      <c r="AI1174" s="12"/>
      <c r="AJ1174" s="12"/>
      <c r="AK1174" s="12"/>
      <c r="AL1174" s="12"/>
      <c r="AM1174" s="12"/>
      <c r="AN1174" s="12"/>
      <c r="AO1174" s="12"/>
      <c r="AP1174" s="12"/>
      <c r="AQ1174" s="12"/>
      <c r="AR1174" s="12"/>
      <c r="AS1174" s="12"/>
      <c r="AT1174" s="12"/>
      <c r="AU1174" s="12"/>
      <c r="AV1174" s="12"/>
      <c r="AW1174" s="12"/>
      <c r="AX1174" s="12"/>
      <c r="AY1174" s="12"/>
      <c r="AZ1174" s="12"/>
      <c r="BA1174" s="12"/>
      <c r="BB1174" s="12"/>
      <c r="BC1174" s="12"/>
      <c r="BD1174" s="12"/>
      <c r="BE1174" s="12"/>
      <c r="BF1174" s="12"/>
      <c r="BG1174" s="12"/>
      <c r="BH1174" s="12"/>
      <c r="BI1174" s="12"/>
      <c r="BJ1174" s="12"/>
      <c r="BK1174" s="12"/>
      <c r="BL1174" s="12"/>
      <c r="BM1174" s="12"/>
      <c r="BN1174" s="12"/>
      <c r="BO1174" s="12"/>
      <c r="BP1174" s="12"/>
      <c r="BQ1174" s="12"/>
      <c r="BR1174" s="12"/>
      <c r="BS1174" s="12"/>
      <c r="BT1174" s="12"/>
      <c r="BU1174" s="12"/>
      <c r="BV1174" s="12"/>
      <c r="BW1174" s="12"/>
      <c r="BX1174" s="12"/>
      <c r="BY1174" s="12"/>
      <c r="BZ1174" s="12"/>
      <c r="CA1174" s="12"/>
      <c r="CB1174" s="12"/>
      <c r="CC1174" s="12"/>
      <c r="CD1174" s="12"/>
      <c r="CE1174" s="12"/>
      <c r="CF1174" s="12"/>
      <c r="CG1174" s="12"/>
      <c r="CH1174" s="12"/>
      <c r="CI1174" s="12"/>
      <c r="CJ1174" s="12"/>
      <c r="CK1174" s="12"/>
      <c r="CL1174" s="12"/>
      <c r="CM1174" s="12"/>
      <c r="CN1174" s="12"/>
      <c r="CO1174" s="12"/>
      <c r="CP1174" s="12"/>
      <c r="CQ1174" s="12"/>
      <c r="CR1174" s="12"/>
      <c r="CS1174" s="12"/>
      <c r="CT1174" s="12"/>
      <c r="CU1174" s="12"/>
      <c r="CV1174" s="12"/>
      <c r="CW1174" s="12"/>
      <c r="CX1174" s="12"/>
      <c r="CY1174" s="12"/>
      <c r="CZ1174" s="12"/>
      <c r="DA1174" s="12"/>
      <c r="DB1174" s="12"/>
      <c r="DC1174" s="12"/>
      <c r="DD1174" s="12"/>
      <c r="DE1174" s="12"/>
      <c r="DF1174" s="12"/>
      <c r="DG1174" s="12"/>
      <c r="DH1174" s="12"/>
      <c r="DI1174" s="12"/>
      <c r="DJ1174" s="12"/>
      <c r="DK1174" s="12"/>
      <c r="DL1174" s="12"/>
      <c r="DM1174" s="12"/>
      <c r="DN1174" s="12"/>
      <c r="DO1174" s="12"/>
      <c r="DP1174" s="12"/>
      <c r="DQ1174" s="12"/>
      <c r="DR1174" s="12"/>
      <c r="DS1174" s="12"/>
      <c r="DT1174" s="12"/>
      <c r="DU1174" s="12"/>
      <c r="DV1174" s="12"/>
      <c r="DW1174" s="12"/>
      <c r="DX1174" s="12"/>
      <c r="DY1174" s="12"/>
      <c r="DZ1174" s="12"/>
      <c r="EA1174" s="12"/>
      <c r="EB1174" s="12"/>
      <c r="EC1174" s="12"/>
      <c r="ED1174" s="12"/>
      <c r="EE1174" s="12"/>
      <c r="EF1174" s="12"/>
      <c r="EG1174" s="12"/>
      <c r="EH1174" s="12"/>
      <c r="EI1174" s="12"/>
      <c r="EJ1174" s="574"/>
      <c r="EK1174" s="574"/>
      <c r="EL1174" s="574"/>
      <c r="EM1174" s="574"/>
      <c r="EN1174" s="574"/>
      <c r="EO1174" s="574"/>
      <c r="EP1174" s="574"/>
      <c r="EQ1174" s="574"/>
      <c r="ER1174" s="574"/>
      <c r="ES1174" s="574"/>
      <c r="ET1174" s="574"/>
      <c r="EU1174" s="574"/>
    </row>
    <row r="1175">
      <c r="A1175" s="12"/>
      <c r="B1175" s="55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2"/>
      <c r="R1175" s="12"/>
      <c r="S1175" s="12"/>
      <c r="T1175" s="12"/>
      <c r="U1175" s="12"/>
      <c r="V1175" s="12"/>
      <c r="W1175" s="12"/>
      <c r="X1175" s="12"/>
      <c r="Y1175" s="12"/>
      <c r="Z1175" s="12"/>
      <c r="AA1175" s="12"/>
      <c r="AB1175" s="12"/>
      <c r="AC1175" s="12"/>
      <c r="AD1175" s="12"/>
      <c r="AE1175" s="12"/>
      <c r="AF1175" s="12"/>
      <c r="AG1175" s="12"/>
      <c r="AH1175" s="12"/>
      <c r="AI1175" s="12"/>
      <c r="AJ1175" s="12"/>
      <c r="AK1175" s="12"/>
      <c r="AL1175" s="12"/>
      <c r="AM1175" s="12"/>
      <c r="AN1175" s="12"/>
      <c r="AO1175" s="12"/>
      <c r="AP1175" s="12"/>
      <c r="AQ1175" s="12"/>
      <c r="AR1175" s="12"/>
      <c r="AS1175" s="12"/>
      <c r="AT1175" s="12"/>
      <c r="AU1175" s="12"/>
      <c r="AV1175" s="12"/>
      <c r="AW1175" s="12"/>
      <c r="AX1175" s="12"/>
      <c r="AY1175" s="12"/>
      <c r="AZ1175" s="12"/>
      <c r="BA1175" s="12"/>
      <c r="BB1175" s="12"/>
      <c r="BC1175" s="12"/>
      <c r="BD1175" s="12"/>
      <c r="BE1175" s="12"/>
      <c r="BF1175" s="12"/>
      <c r="BG1175" s="12"/>
      <c r="BH1175" s="12"/>
      <c r="BI1175" s="12"/>
      <c r="BJ1175" s="12"/>
      <c r="BK1175" s="12"/>
      <c r="BL1175" s="12"/>
      <c r="BM1175" s="12"/>
      <c r="BN1175" s="12"/>
      <c r="BO1175" s="12"/>
      <c r="BP1175" s="12"/>
      <c r="BQ1175" s="12"/>
      <c r="BR1175" s="12"/>
      <c r="BS1175" s="12"/>
      <c r="BT1175" s="12"/>
      <c r="BU1175" s="12"/>
      <c r="BV1175" s="12"/>
      <c r="BW1175" s="12"/>
      <c r="BX1175" s="12"/>
      <c r="BY1175" s="12"/>
      <c r="BZ1175" s="12"/>
      <c r="CA1175" s="12"/>
      <c r="CB1175" s="12"/>
      <c r="CC1175" s="12"/>
      <c r="CD1175" s="12"/>
      <c r="CE1175" s="12"/>
      <c r="CF1175" s="12"/>
      <c r="CG1175" s="12"/>
      <c r="CH1175" s="12"/>
      <c r="CI1175" s="12"/>
      <c r="CJ1175" s="12"/>
      <c r="CK1175" s="12"/>
      <c r="CL1175" s="12"/>
      <c r="CM1175" s="12"/>
      <c r="CN1175" s="12"/>
      <c r="CO1175" s="12"/>
      <c r="CP1175" s="12"/>
      <c r="CQ1175" s="12"/>
      <c r="CR1175" s="12"/>
      <c r="CS1175" s="12"/>
      <c r="CT1175" s="12"/>
      <c r="CU1175" s="12"/>
      <c r="CV1175" s="12"/>
      <c r="CW1175" s="12"/>
      <c r="CX1175" s="12"/>
      <c r="CY1175" s="12"/>
      <c r="CZ1175" s="12"/>
      <c r="DA1175" s="12"/>
      <c r="DB1175" s="12"/>
      <c r="DC1175" s="12"/>
      <c r="DD1175" s="12"/>
      <c r="DE1175" s="12"/>
      <c r="DF1175" s="12"/>
      <c r="DG1175" s="12"/>
      <c r="DH1175" s="12"/>
      <c r="DI1175" s="12"/>
      <c r="DJ1175" s="12"/>
      <c r="DK1175" s="12"/>
      <c r="DL1175" s="12"/>
      <c r="DM1175" s="12"/>
      <c r="DN1175" s="12"/>
      <c r="DO1175" s="12"/>
      <c r="DP1175" s="12"/>
      <c r="DQ1175" s="12"/>
      <c r="DR1175" s="12"/>
      <c r="DS1175" s="12"/>
      <c r="DT1175" s="12"/>
      <c r="DU1175" s="12"/>
      <c r="DV1175" s="12"/>
      <c r="DW1175" s="12"/>
      <c r="DX1175" s="12"/>
      <c r="DY1175" s="12"/>
      <c r="DZ1175" s="12"/>
      <c r="EA1175" s="12"/>
      <c r="EB1175" s="12"/>
      <c r="EC1175" s="12"/>
      <c r="ED1175" s="12"/>
      <c r="EE1175" s="12"/>
      <c r="EF1175" s="12"/>
      <c r="EG1175" s="12"/>
      <c r="EH1175" s="12"/>
      <c r="EI1175" s="12"/>
      <c r="EJ1175" s="574"/>
      <c r="EK1175" s="574"/>
      <c r="EL1175" s="574"/>
      <c r="EM1175" s="574"/>
      <c r="EN1175" s="574"/>
      <c r="EO1175" s="574"/>
      <c r="EP1175" s="574"/>
      <c r="EQ1175" s="574"/>
      <c r="ER1175" s="574"/>
      <c r="ES1175" s="574"/>
      <c r="ET1175" s="574"/>
      <c r="EU1175" s="574"/>
    </row>
    <row r="1176">
      <c r="A1176" s="12"/>
      <c r="B1176" s="55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2"/>
      <c r="R1176" s="12"/>
      <c r="S1176" s="12"/>
      <c r="T1176" s="12"/>
      <c r="U1176" s="12"/>
      <c r="V1176" s="12"/>
      <c r="W1176" s="12"/>
      <c r="X1176" s="12"/>
      <c r="Y1176" s="12"/>
      <c r="Z1176" s="12"/>
      <c r="AA1176" s="12"/>
      <c r="AB1176" s="12"/>
      <c r="AC1176" s="12"/>
      <c r="AD1176" s="12"/>
      <c r="AE1176" s="12"/>
      <c r="AF1176" s="12"/>
      <c r="AG1176" s="12"/>
      <c r="AH1176" s="12"/>
      <c r="AI1176" s="12"/>
      <c r="AJ1176" s="12"/>
      <c r="AK1176" s="12"/>
      <c r="AL1176" s="12"/>
      <c r="AM1176" s="12"/>
      <c r="AN1176" s="12"/>
      <c r="AO1176" s="12"/>
      <c r="AP1176" s="12"/>
      <c r="AQ1176" s="12"/>
      <c r="AR1176" s="12"/>
      <c r="AS1176" s="12"/>
      <c r="AT1176" s="12"/>
      <c r="AU1176" s="12"/>
      <c r="AV1176" s="12"/>
      <c r="AW1176" s="12"/>
      <c r="AX1176" s="12"/>
      <c r="AY1176" s="12"/>
      <c r="AZ1176" s="12"/>
      <c r="BA1176" s="12"/>
      <c r="BB1176" s="12"/>
      <c r="BC1176" s="12"/>
      <c r="BD1176" s="12"/>
      <c r="BE1176" s="12"/>
      <c r="BF1176" s="12"/>
      <c r="BG1176" s="12"/>
      <c r="BH1176" s="12"/>
      <c r="BI1176" s="12"/>
      <c r="BJ1176" s="12"/>
      <c r="BK1176" s="12"/>
      <c r="BL1176" s="12"/>
      <c r="BM1176" s="12"/>
      <c r="BN1176" s="12"/>
      <c r="BO1176" s="12"/>
      <c r="BP1176" s="12"/>
      <c r="BQ1176" s="12"/>
      <c r="BR1176" s="12"/>
      <c r="BS1176" s="12"/>
      <c r="BT1176" s="12"/>
      <c r="BU1176" s="12"/>
      <c r="BV1176" s="12"/>
      <c r="BW1176" s="12"/>
      <c r="BX1176" s="12"/>
      <c r="BY1176" s="12"/>
      <c r="BZ1176" s="12"/>
      <c r="CA1176" s="12"/>
      <c r="CB1176" s="12"/>
      <c r="CC1176" s="12"/>
      <c r="CD1176" s="12"/>
      <c r="CE1176" s="12"/>
      <c r="CF1176" s="12"/>
      <c r="CG1176" s="12"/>
      <c r="CH1176" s="12"/>
      <c r="CI1176" s="12"/>
      <c r="CJ1176" s="12"/>
      <c r="CK1176" s="12"/>
      <c r="CL1176" s="12"/>
      <c r="CM1176" s="12"/>
      <c r="CN1176" s="12"/>
      <c r="CO1176" s="12"/>
      <c r="CP1176" s="12"/>
      <c r="CQ1176" s="12"/>
      <c r="CR1176" s="12"/>
      <c r="CS1176" s="12"/>
      <c r="CT1176" s="12"/>
      <c r="CU1176" s="12"/>
      <c r="CV1176" s="12"/>
      <c r="CW1176" s="12"/>
      <c r="CX1176" s="12"/>
      <c r="CY1176" s="12"/>
      <c r="CZ1176" s="12"/>
      <c r="DA1176" s="12"/>
      <c r="DB1176" s="12"/>
      <c r="DC1176" s="12"/>
      <c r="DD1176" s="12"/>
      <c r="DE1176" s="12"/>
      <c r="DF1176" s="12"/>
      <c r="DG1176" s="12"/>
      <c r="DH1176" s="12"/>
      <c r="DI1176" s="12"/>
      <c r="DJ1176" s="12"/>
      <c r="DK1176" s="12"/>
      <c r="DL1176" s="12"/>
      <c r="DM1176" s="12"/>
      <c r="DN1176" s="12"/>
      <c r="DO1176" s="12"/>
      <c r="DP1176" s="12"/>
      <c r="DQ1176" s="12"/>
      <c r="DR1176" s="12"/>
      <c r="DS1176" s="12"/>
      <c r="DT1176" s="12"/>
      <c r="DU1176" s="12"/>
      <c r="DV1176" s="12"/>
      <c r="DW1176" s="12"/>
      <c r="DX1176" s="12"/>
      <c r="DY1176" s="12"/>
      <c r="DZ1176" s="12"/>
      <c r="EA1176" s="12"/>
      <c r="EB1176" s="12"/>
      <c r="EC1176" s="12"/>
      <c r="ED1176" s="12"/>
      <c r="EE1176" s="12"/>
      <c r="EF1176" s="12"/>
      <c r="EG1176" s="12"/>
      <c r="EH1176" s="12"/>
      <c r="EI1176" s="12"/>
      <c r="EJ1176" s="574"/>
      <c r="EK1176" s="574"/>
      <c r="EL1176" s="574"/>
      <c r="EM1176" s="574"/>
      <c r="EN1176" s="574"/>
      <c r="EO1176" s="574"/>
      <c r="EP1176" s="574"/>
      <c r="EQ1176" s="574"/>
      <c r="ER1176" s="574"/>
      <c r="ES1176" s="574"/>
      <c r="ET1176" s="574"/>
      <c r="EU1176" s="574"/>
    </row>
    <row r="1177">
      <c r="A1177" s="12"/>
      <c r="B1177" s="55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2"/>
      <c r="R1177" s="12"/>
      <c r="S1177" s="12"/>
      <c r="T1177" s="12"/>
      <c r="U1177" s="12"/>
      <c r="V1177" s="12"/>
      <c r="W1177" s="12"/>
      <c r="X1177" s="12"/>
      <c r="Y1177" s="12"/>
      <c r="Z1177" s="12"/>
      <c r="AA1177" s="12"/>
      <c r="AB1177" s="12"/>
      <c r="AC1177" s="12"/>
      <c r="AD1177" s="12"/>
      <c r="AE1177" s="12"/>
      <c r="AF1177" s="12"/>
      <c r="AG1177" s="12"/>
      <c r="AH1177" s="12"/>
      <c r="AI1177" s="12"/>
      <c r="AJ1177" s="12"/>
      <c r="AK1177" s="12"/>
      <c r="AL1177" s="12"/>
      <c r="AM1177" s="12"/>
      <c r="AN1177" s="12"/>
      <c r="AO1177" s="12"/>
      <c r="AP1177" s="12"/>
      <c r="AQ1177" s="12"/>
      <c r="AR1177" s="12"/>
      <c r="AS1177" s="12"/>
      <c r="AT1177" s="12"/>
      <c r="AU1177" s="12"/>
      <c r="AV1177" s="12"/>
      <c r="AW1177" s="12"/>
      <c r="AX1177" s="12"/>
      <c r="AY1177" s="12"/>
      <c r="AZ1177" s="12"/>
      <c r="BA1177" s="12"/>
      <c r="BB1177" s="12"/>
      <c r="BC1177" s="12"/>
      <c r="BD1177" s="12"/>
      <c r="BE1177" s="12"/>
      <c r="BF1177" s="12"/>
      <c r="BG1177" s="12"/>
      <c r="BH1177" s="12"/>
      <c r="BI1177" s="12"/>
      <c r="BJ1177" s="12"/>
      <c r="BK1177" s="12"/>
      <c r="BL1177" s="12"/>
      <c r="BM1177" s="12"/>
      <c r="BN1177" s="12"/>
      <c r="BO1177" s="12"/>
      <c r="BP1177" s="12"/>
      <c r="BQ1177" s="12"/>
      <c r="BR1177" s="12"/>
      <c r="BS1177" s="12"/>
      <c r="BT1177" s="12"/>
      <c r="BU1177" s="12"/>
      <c r="BV1177" s="12"/>
      <c r="BW1177" s="12"/>
      <c r="BX1177" s="12"/>
      <c r="BY1177" s="12"/>
      <c r="BZ1177" s="12"/>
      <c r="CA1177" s="12"/>
      <c r="CB1177" s="12"/>
      <c r="CC1177" s="12"/>
      <c r="CD1177" s="12"/>
      <c r="CE1177" s="12"/>
      <c r="CF1177" s="12"/>
      <c r="CG1177" s="12"/>
      <c r="CH1177" s="12"/>
      <c r="CI1177" s="12"/>
      <c r="CJ1177" s="12"/>
      <c r="CK1177" s="12"/>
      <c r="CL1177" s="12"/>
      <c r="CM1177" s="12"/>
      <c r="CN1177" s="12"/>
      <c r="CO1177" s="12"/>
      <c r="CP1177" s="12"/>
      <c r="CQ1177" s="12"/>
      <c r="CR1177" s="12"/>
      <c r="CS1177" s="12"/>
      <c r="CT1177" s="12"/>
      <c r="CU1177" s="12"/>
      <c r="CV1177" s="12"/>
      <c r="CW1177" s="12"/>
      <c r="CX1177" s="12"/>
      <c r="CY1177" s="12"/>
      <c r="CZ1177" s="12"/>
      <c r="DA1177" s="12"/>
      <c r="DB1177" s="12"/>
      <c r="DC1177" s="12"/>
      <c r="DD1177" s="12"/>
      <c r="DE1177" s="12"/>
      <c r="DF1177" s="12"/>
      <c r="DG1177" s="12"/>
      <c r="DH1177" s="12"/>
      <c r="DI1177" s="12"/>
      <c r="DJ1177" s="12"/>
      <c r="DK1177" s="12"/>
      <c r="DL1177" s="12"/>
      <c r="DM1177" s="12"/>
      <c r="DN1177" s="12"/>
      <c r="DO1177" s="12"/>
      <c r="DP1177" s="12"/>
      <c r="DQ1177" s="12"/>
      <c r="DR1177" s="12"/>
      <c r="DS1177" s="12"/>
      <c r="DT1177" s="12"/>
      <c r="DU1177" s="12"/>
      <c r="DV1177" s="12"/>
      <c r="DW1177" s="12"/>
      <c r="DX1177" s="12"/>
      <c r="DY1177" s="12"/>
      <c r="DZ1177" s="12"/>
      <c r="EA1177" s="12"/>
      <c r="EB1177" s="12"/>
      <c r="EC1177" s="12"/>
      <c r="ED1177" s="12"/>
      <c r="EE1177" s="12"/>
      <c r="EF1177" s="12"/>
      <c r="EG1177" s="12"/>
      <c r="EH1177" s="12"/>
      <c r="EI1177" s="12"/>
      <c r="EJ1177" s="574"/>
      <c r="EK1177" s="574"/>
      <c r="EL1177" s="574"/>
      <c r="EM1177" s="574"/>
      <c r="EN1177" s="574"/>
      <c r="EO1177" s="574"/>
      <c r="EP1177" s="574"/>
      <c r="EQ1177" s="574"/>
      <c r="ER1177" s="574"/>
      <c r="ES1177" s="574"/>
      <c r="ET1177" s="574"/>
      <c r="EU1177" s="574"/>
    </row>
    <row r="1178">
      <c r="A1178" s="12"/>
      <c r="B1178" s="55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2"/>
      <c r="R1178" s="12"/>
      <c r="S1178" s="12"/>
      <c r="T1178" s="12"/>
      <c r="U1178" s="12"/>
      <c r="V1178" s="12"/>
      <c r="W1178" s="12"/>
      <c r="X1178" s="12"/>
      <c r="Y1178" s="12"/>
      <c r="Z1178" s="12"/>
      <c r="AA1178" s="12"/>
      <c r="AB1178" s="12"/>
      <c r="AC1178" s="12"/>
      <c r="AD1178" s="12"/>
      <c r="AE1178" s="12"/>
      <c r="AF1178" s="12"/>
      <c r="AG1178" s="12"/>
      <c r="AH1178" s="12"/>
      <c r="AI1178" s="12"/>
      <c r="AJ1178" s="12"/>
      <c r="AK1178" s="12"/>
      <c r="AL1178" s="12"/>
      <c r="AM1178" s="12"/>
      <c r="AN1178" s="12"/>
      <c r="AO1178" s="12"/>
      <c r="AP1178" s="12"/>
      <c r="AQ1178" s="12"/>
      <c r="AR1178" s="12"/>
      <c r="AS1178" s="12"/>
      <c r="AT1178" s="12"/>
      <c r="AU1178" s="12"/>
      <c r="AV1178" s="12"/>
      <c r="AW1178" s="12"/>
      <c r="AX1178" s="12"/>
      <c r="AY1178" s="12"/>
      <c r="AZ1178" s="12"/>
      <c r="BA1178" s="12"/>
      <c r="BB1178" s="12"/>
      <c r="BC1178" s="12"/>
      <c r="BD1178" s="12"/>
      <c r="BE1178" s="12"/>
      <c r="BF1178" s="12"/>
      <c r="BG1178" s="12"/>
      <c r="BH1178" s="12"/>
      <c r="BI1178" s="12"/>
      <c r="BJ1178" s="12"/>
      <c r="BK1178" s="12"/>
      <c r="BL1178" s="12"/>
      <c r="BM1178" s="12"/>
      <c r="BN1178" s="12"/>
      <c r="BO1178" s="12"/>
      <c r="BP1178" s="12"/>
      <c r="BQ1178" s="12"/>
      <c r="BR1178" s="12"/>
      <c r="BS1178" s="12"/>
      <c r="BT1178" s="12"/>
      <c r="BU1178" s="12"/>
      <c r="BV1178" s="12"/>
      <c r="BW1178" s="12"/>
      <c r="BX1178" s="12"/>
      <c r="BY1178" s="12"/>
      <c r="BZ1178" s="12"/>
      <c r="CA1178" s="12"/>
      <c r="CB1178" s="12"/>
      <c r="CC1178" s="12"/>
      <c r="CD1178" s="12"/>
      <c r="CE1178" s="12"/>
      <c r="CF1178" s="12"/>
      <c r="CG1178" s="12"/>
      <c r="CH1178" s="12"/>
      <c r="CI1178" s="12"/>
      <c r="CJ1178" s="12"/>
      <c r="CK1178" s="12"/>
      <c r="CL1178" s="12"/>
      <c r="CM1178" s="12"/>
      <c r="CN1178" s="12"/>
      <c r="CO1178" s="12"/>
      <c r="CP1178" s="12"/>
      <c r="CQ1178" s="12"/>
      <c r="CR1178" s="12"/>
      <c r="CS1178" s="12"/>
      <c r="CT1178" s="12"/>
      <c r="CU1178" s="12"/>
      <c r="CV1178" s="12"/>
      <c r="CW1178" s="12"/>
      <c r="CX1178" s="12"/>
      <c r="CY1178" s="12"/>
      <c r="CZ1178" s="12"/>
      <c r="DA1178" s="12"/>
      <c r="DB1178" s="12"/>
      <c r="DC1178" s="12"/>
      <c r="DD1178" s="12"/>
      <c r="DE1178" s="12"/>
      <c r="DF1178" s="12"/>
      <c r="DG1178" s="12"/>
      <c r="DH1178" s="12"/>
      <c r="DI1178" s="12"/>
      <c r="DJ1178" s="12"/>
      <c r="DK1178" s="12"/>
      <c r="DL1178" s="12"/>
      <c r="DM1178" s="12"/>
      <c r="DN1178" s="12"/>
      <c r="DO1178" s="12"/>
      <c r="DP1178" s="12"/>
      <c r="DQ1178" s="12"/>
      <c r="DR1178" s="12"/>
      <c r="DS1178" s="12"/>
      <c r="DT1178" s="12"/>
      <c r="DU1178" s="12"/>
      <c r="DV1178" s="12"/>
      <c r="DW1178" s="12"/>
      <c r="DX1178" s="12"/>
      <c r="DY1178" s="12"/>
      <c r="DZ1178" s="12"/>
      <c r="EA1178" s="12"/>
      <c r="EB1178" s="12"/>
      <c r="EC1178" s="12"/>
      <c r="ED1178" s="12"/>
      <c r="EE1178" s="12"/>
      <c r="EF1178" s="12"/>
      <c r="EG1178" s="12"/>
      <c r="EH1178" s="12"/>
      <c r="EI1178" s="12"/>
      <c r="EJ1178" s="574"/>
      <c r="EK1178" s="574"/>
      <c r="EL1178" s="574"/>
      <c r="EM1178" s="574"/>
      <c r="EN1178" s="574"/>
      <c r="EO1178" s="574"/>
      <c r="EP1178" s="574"/>
      <c r="EQ1178" s="574"/>
      <c r="ER1178" s="574"/>
      <c r="ES1178" s="574"/>
      <c r="ET1178" s="574"/>
      <c r="EU1178" s="574"/>
    </row>
    <row r="1179">
      <c r="A1179" s="12"/>
      <c r="B1179" s="55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/>
      <c r="V1179" s="12"/>
      <c r="W1179" s="12"/>
      <c r="X1179" s="12"/>
      <c r="Y1179" s="12"/>
      <c r="Z1179" s="12"/>
      <c r="AA1179" s="12"/>
      <c r="AB1179" s="12"/>
      <c r="AC1179" s="12"/>
      <c r="AD1179" s="12"/>
      <c r="AE1179" s="12"/>
      <c r="AF1179" s="12"/>
      <c r="AG1179" s="12"/>
      <c r="AH1179" s="12"/>
      <c r="AI1179" s="12"/>
      <c r="AJ1179" s="12"/>
      <c r="AK1179" s="12"/>
      <c r="AL1179" s="12"/>
      <c r="AM1179" s="12"/>
      <c r="AN1179" s="12"/>
      <c r="AO1179" s="12"/>
      <c r="AP1179" s="12"/>
      <c r="AQ1179" s="12"/>
      <c r="AR1179" s="12"/>
      <c r="AS1179" s="12"/>
      <c r="AT1179" s="12"/>
      <c r="AU1179" s="12"/>
      <c r="AV1179" s="12"/>
      <c r="AW1179" s="12"/>
      <c r="AX1179" s="12"/>
      <c r="AY1179" s="12"/>
      <c r="AZ1179" s="12"/>
      <c r="BA1179" s="12"/>
      <c r="BB1179" s="12"/>
      <c r="BC1179" s="12"/>
      <c r="BD1179" s="12"/>
      <c r="BE1179" s="12"/>
      <c r="BF1179" s="12"/>
      <c r="BG1179" s="12"/>
      <c r="BH1179" s="12"/>
      <c r="BI1179" s="12"/>
      <c r="BJ1179" s="12"/>
      <c r="BK1179" s="12"/>
      <c r="BL1179" s="12"/>
      <c r="BM1179" s="12"/>
      <c r="BN1179" s="12"/>
      <c r="BO1179" s="12"/>
      <c r="BP1179" s="12"/>
      <c r="BQ1179" s="12"/>
      <c r="BR1179" s="12"/>
      <c r="BS1179" s="12"/>
      <c r="BT1179" s="12"/>
      <c r="BU1179" s="12"/>
      <c r="BV1179" s="12"/>
      <c r="BW1179" s="12"/>
      <c r="BX1179" s="12"/>
      <c r="BY1179" s="12"/>
      <c r="BZ1179" s="12"/>
      <c r="CA1179" s="12"/>
      <c r="CB1179" s="12"/>
      <c r="CC1179" s="12"/>
      <c r="CD1179" s="12"/>
      <c r="CE1179" s="12"/>
      <c r="CF1179" s="12"/>
      <c r="CG1179" s="12"/>
      <c r="CH1179" s="12"/>
      <c r="CI1179" s="12"/>
      <c r="CJ1179" s="12"/>
      <c r="CK1179" s="12"/>
      <c r="CL1179" s="12"/>
      <c r="CM1179" s="12"/>
      <c r="CN1179" s="12"/>
      <c r="CO1179" s="12"/>
      <c r="CP1179" s="12"/>
      <c r="CQ1179" s="12"/>
      <c r="CR1179" s="12"/>
      <c r="CS1179" s="12"/>
      <c r="CT1179" s="12"/>
      <c r="CU1179" s="12"/>
      <c r="CV1179" s="12"/>
      <c r="CW1179" s="12"/>
      <c r="CX1179" s="12"/>
      <c r="CY1179" s="12"/>
      <c r="CZ1179" s="12"/>
      <c r="DA1179" s="12"/>
      <c r="DB1179" s="12"/>
      <c r="DC1179" s="12"/>
      <c r="DD1179" s="12"/>
      <c r="DE1179" s="12"/>
      <c r="DF1179" s="12"/>
      <c r="DG1179" s="12"/>
      <c r="DH1179" s="12"/>
      <c r="DI1179" s="12"/>
      <c r="DJ1179" s="12"/>
      <c r="DK1179" s="12"/>
      <c r="DL1179" s="12"/>
      <c r="DM1179" s="12"/>
      <c r="DN1179" s="12"/>
      <c r="DO1179" s="12"/>
      <c r="DP1179" s="12"/>
      <c r="DQ1179" s="12"/>
      <c r="DR1179" s="12"/>
      <c r="DS1179" s="12"/>
      <c r="DT1179" s="12"/>
      <c r="DU1179" s="12"/>
      <c r="DV1179" s="12"/>
      <c r="DW1179" s="12"/>
      <c r="DX1179" s="12"/>
      <c r="DY1179" s="12"/>
      <c r="DZ1179" s="12"/>
      <c r="EA1179" s="12"/>
      <c r="EB1179" s="12"/>
      <c r="EC1179" s="12"/>
      <c r="ED1179" s="12"/>
      <c r="EE1179" s="12"/>
      <c r="EF1179" s="12"/>
      <c r="EG1179" s="12"/>
      <c r="EH1179" s="12"/>
      <c r="EI1179" s="12"/>
      <c r="EJ1179" s="574"/>
      <c r="EK1179" s="574"/>
      <c r="EL1179" s="574"/>
      <c r="EM1179" s="574"/>
      <c r="EN1179" s="574"/>
      <c r="EO1179" s="574"/>
      <c r="EP1179" s="574"/>
      <c r="EQ1179" s="574"/>
      <c r="ER1179" s="574"/>
      <c r="ES1179" s="574"/>
      <c r="ET1179" s="574"/>
      <c r="EU1179" s="574"/>
    </row>
    <row r="1180">
      <c r="A1180" s="12"/>
      <c r="B1180" s="55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2"/>
      <c r="R1180" s="12"/>
      <c r="S1180" s="12"/>
      <c r="T1180" s="12"/>
      <c r="U1180" s="12"/>
      <c r="V1180" s="12"/>
      <c r="W1180" s="12"/>
      <c r="X1180" s="12"/>
      <c r="Y1180" s="12"/>
      <c r="Z1180" s="12"/>
      <c r="AA1180" s="12"/>
      <c r="AB1180" s="12"/>
      <c r="AC1180" s="12"/>
      <c r="AD1180" s="12"/>
      <c r="AE1180" s="12"/>
      <c r="AF1180" s="12"/>
      <c r="AG1180" s="12"/>
      <c r="AH1180" s="12"/>
      <c r="AI1180" s="12"/>
      <c r="AJ1180" s="12"/>
      <c r="AK1180" s="12"/>
      <c r="AL1180" s="12"/>
      <c r="AM1180" s="12"/>
      <c r="AN1180" s="12"/>
      <c r="AO1180" s="12"/>
      <c r="AP1180" s="12"/>
      <c r="AQ1180" s="12"/>
      <c r="AR1180" s="12"/>
      <c r="AS1180" s="12"/>
      <c r="AT1180" s="12"/>
      <c r="AU1180" s="12"/>
      <c r="AV1180" s="12"/>
      <c r="AW1180" s="12"/>
      <c r="AX1180" s="12"/>
      <c r="AY1180" s="12"/>
      <c r="AZ1180" s="12"/>
      <c r="BA1180" s="12"/>
      <c r="BB1180" s="12"/>
      <c r="BC1180" s="12"/>
      <c r="BD1180" s="12"/>
      <c r="BE1180" s="12"/>
      <c r="BF1180" s="12"/>
      <c r="BG1180" s="12"/>
      <c r="BH1180" s="12"/>
      <c r="BI1180" s="12"/>
      <c r="BJ1180" s="12"/>
      <c r="BK1180" s="12"/>
      <c r="BL1180" s="12"/>
      <c r="BM1180" s="12"/>
      <c r="BN1180" s="12"/>
      <c r="BO1180" s="12"/>
      <c r="BP1180" s="12"/>
      <c r="BQ1180" s="12"/>
      <c r="BR1180" s="12"/>
      <c r="BS1180" s="12"/>
      <c r="BT1180" s="12"/>
      <c r="BU1180" s="12"/>
      <c r="BV1180" s="12"/>
      <c r="BW1180" s="12"/>
      <c r="BX1180" s="12"/>
      <c r="BY1180" s="12"/>
      <c r="BZ1180" s="12"/>
      <c r="CA1180" s="12"/>
      <c r="CB1180" s="12"/>
      <c r="CC1180" s="12"/>
      <c r="CD1180" s="12"/>
      <c r="CE1180" s="12"/>
      <c r="CF1180" s="12"/>
      <c r="CG1180" s="12"/>
      <c r="CH1180" s="12"/>
      <c r="CI1180" s="12"/>
      <c r="CJ1180" s="12"/>
      <c r="CK1180" s="12"/>
      <c r="CL1180" s="12"/>
      <c r="CM1180" s="12"/>
      <c r="CN1180" s="12"/>
      <c r="CO1180" s="12"/>
      <c r="CP1180" s="12"/>
      <c r="CQ1180" s="12"/>
      <c r="CR1180" s="12"/>
      <c r="CS1180" s="12"/>
      <c r="CT1180" s="12"/>
      <c r="CU1180" s="12"/>
      <c r="CV1180" s="12"/>
      <c r="CW1180" s="12"/>
      <c r="CX1180" s="12"/>
      <c r="CY1180" s="12"/>
      <c r="CZ1180" s="12"/>
      <c r="DA1180" s="12"/>
      <c r="DB1180" s="12"/>
      <c r="DC1180" s="12"/>
      <c r="DD1180" s="12"/>
      <c r="DE1180" s="12"/>
      <c r="DF1180" s="12"/>
      <c r="DG1180" s="12"/>
      <c r="DH1180" s="12"/>
      <c r="DI1180" s="12"/>
      <c r="DJ1180" s="12"/>
      <c r="DK1180" s="12"/>
      <c r="DL1180" s="12"/>
      <c r="DM1180" s="12"/>
      <c r="DN1180" s="12"/>
      <c r="DO1180" s="12"/>
      <c r="DP1180" s="12"/>
      <c r="DQ1180" s="12"/>
      <c r="DR1180" s="12"/>
      <c r="DS1180" s="12"/>
      <c r="DT1180" s="12"/>
      <c r="DU1180" s="12"/>
      <c r="DV1180" s="12"/>
      <c r="DW1180" s="12"/>
      <c r="DX1180" s="12"/>
      <c r="DY1180" s="12"/>
      <c r="DZ1180" s="12"/>
      <c r="EA1180" s="12"/>
      <c r="EB1180" s="12"/>
      <c r="EC1180" s="12"/>
      <c r="ED1180" s="12"/>
      <c r="EE1180" s="12"/>
      <c r="EF1180" s="12"/>
      <c r="EG1180" s="12"/>
      <c r="EH1180" s="12"/>
      <c r="EI1180" s="12"/>
      <c r="EJ1180" s="574"/>
      <c r="EK1180" s="574"/>
      <c r="EL1180" s="574"/>
      <c r="EM1180" s="574"/>
      <c r="EN1180" s="574"/>
      <c r="EO1180" s="574"/>
      <c r="EP1180" s="574"/>
      <c r="EQ1180" s="574"/>
      <c r="ER1180" s="574"/>
      <c r="ES1180" s="574"/>
      <c r="ET1180" s="574"/>
      <c r="EU1180" s="574"/>
    </row>
    <row r="1181">
      <c r="A1181" s="12"/>
      <c r="B1181" s="55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2"/>
      <c r="R1181" s="12"/>
      <c r="S1181" s="12"/>
      <c r="T1181" s="12"/>
      <c r="U1181" s="12"/>
      <c r="V1181" s="12"/>
      <c r="W1181" s="12"/>
      <c r="X1181" s="12"/>
      <c r="Y1181" s="12"/>
      <c r="Z1181" s="12"/>
      <c r="AA1181" s="12"/>
      <c r="AB1181" s="12"/>
      <c r="AC1181" s="12"/>
      <c r="AD1181" s="12"/>
      <c r="AE1181" s="12"/>
      <c r="AF1181" s="12"/>
      <c r="AG1181" s="12"/>
      <c r="AH1181" s="12"/>
      <c r="AI1181" s="12"/>
      <c r="AJ1181" s="12"/>
      <c r="AK1181" s="12"/>
      <c r="AL1181" s="12"/>
      <c r="AM1181" s="12"/>
      <c r="AN1181" s="12"/>
      <c r="AO1181" s="12"/>
      <c r="AP1181" s="12"/>
      <c r="AQ1181" s="12"/>
      <c r="AR1181" s="12"/>
      <c r="AS1181" s="12"/>
      <c r="AT1181" s="12"/>
      <c r="AU1181" s="12"/>
      <c r="AV1181" s="12"/>
      <c r="AW1181" s="12"/>
      <c r="AX1181" s="12"/>
      <c r="AY1181" s="12"/>
      <c r="AZ1181" s="12"/>
      <c r="BA1181" s="12"/>
      <c r="BB1181" s="12"/>
      <c r="BC1181" s="12"/>
      <c r="BD1181" s="12"/>
      <c r="BE1181" s="12"/>
      <c r="BF1181" s="12"/>
      <c r="BG1181" s="12"/>
      <c r="BH1181" s="12"/>
      <c r="BI1181" s="12"/>
      <c r="BJ1181" s="12"/>
      <c r="BK1181" s="12"/>
      <c r="BL1181" s="12"/>
      <c r="BM1181" s="12"/>
      <c r="BN1181" s="12"/>
      <c r="BO1181" s="12"/>
      <c r="BP1181" s="12"/>
      <c r="BQ1181" s="12"/>
      <c r="BR1181" s="12"/>
      <c r="BS1181" s="12"/>
      <c r="BT1181" s="12"/>
      <c r="BU1181" s="12"/>
      <c r="BV1181" s="12"/>
      <c r="BW1181" s="12"/>
      <c r="BX1181" s="12"/>
      <c r="BY1181" s="12"/>
      <c r="BZ1181" s="12"/>
      <c r="CA1181" s="12"/>
      <c r="CB1181" s="12"/>
      <c r="CC1181" s="12"/>
      <c r="CD1181" s="12"/>
      <c r="CE1181" s="12"/>
      <c r="CF1181" s="12"/>
      <c r="CG1181" s="12"/>
      <c r="CH1181" s="12"/>
      <c r="CI1181" s="12"/>
      <c r="CJ1181" s="12"/>
      <c r="CK1181" s="12"/>
      <c r="CL1181" s="12"/>
      <c r="CM1181" s="12"/>
      <c r="CN1181" s="12"/>
      <c r="CO1181" s="12"/>
      <c r="CP1181" s="12"/>
      <c r="CQ1181" s="12"/>
      <c r="CR1181" s="12"/>
      <c r="CS1181" s="12"/>
      <c r="CT1181" s="12"/>
      <c r="CU1181" s="12"/>
      <c r="CV1181" s="12"/>
      <c r="CW1181" s="12"/>
      <c r="CX1181" s="12"/>
      <c r="CY1181" s="12"/>
      <c r="CZ1181" s="12"/>
      <c r="DA1181" s="12"/>
      <c r="DB1181" s="12"/>
      <c r="DC1181" s="12"/>
      <c r="DD1181" s="12"/>
      <c r="DE1181" s="12"/>
      <c r="DF1181" s="12"/>
      <c r="DG1181" s="12"/>
      <c r="DH1181" s="12"/>
      <c r="DI1181" s="12"/>
      <c r="DJ1181" s="12"/>
      <c r="DK1181" s="12"/>
      <c r="DL1181" s="12"/>
      <c r="DM1181" s="12"/>
      <c r="DN1181" s="12"/>
      <c r="DO1181" s="12"/>
      <c r="DP1181" s="12"/>
      <c r="DQ1181" s="12"/>
      <c r="DR1181" s="12"/>
      <c r="DS1181" s="12"/>
      <c r="DT1181" s="12"/>
      <c r="DU1181" s="12"/>
      <c r="DV1181" s="12"/>
      <c r="DW1181" s="12"/>
      <c r="DX1181" s="12"/>
      <c r="DY1181" s="12"/>
      <c r="DZ1181" s="12"/>
      <c r="EA1181" s="12"/>
      <c r="EB1181" s="12"/>
      <c r="EC1181" s="12"/>
      <c r="ED1181" s="12"/>
      <c r="EE1181" s="12"/>
      <c r="EF1181" s="12"/>
      <c r="EG1181" s="12"/>
      <c r="EH1181" s="12"/>
      <c r="EI1181" s="12"/>
      <c r="EJ1181" s="574"/>
      <c r="EK1181" s="574"/>
      <c r="EL1181" s="574"/>
      <c r="EM1181" s="574"/>
      <c r="EN1181" s="574"/>
      <c r="EO1181" s="574"/>
      <c r="EP1181" s="574"/>
      <c r="EQ1181" s="574"/>
      <c r="ER1181" s="574"/>
      <c r="ES1181" s="574"/>
      <c r="ET1181" s="574"/>
      <c r="EU1181" s="574"/>
    </row>
    <row r="1182">
      <c r="A1182" s="12"/>
      <c r="B1182" s="55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2"/>
      <c r="R1182" s="12"/>
      <c r="S1182" s="12"/>
      <c r="T1182" s="12"/>
      <c r="U1182" s="12"/>
      <c r="V1182" s="12"/>
      <c r="W1182" s="12"/>
      <c r="X1182" s="12"/>
      <c r="Y1182" s="12"/>
      <c r="Z1182" s="12"/>
      <c r="AA1182" s="12"/>
      <c r="AB1182" s="12"/>
      <c r="AC1182" s="12"/>
      <c r="AD1182" s="12"/>
      <c r="AE1182" s="12"/>
      <c r="AF1182" s="12"/>
      <c r="AG1182" s="12"/>
      <c r="AH1182" s="12"/>
      <c r="AI1182" s="12"/>
      <c r="AJ1182" s="12"/>
      <c r="AK1182" s="12"/>
      <c r="AL1182" s="12"/>
      <c r="AM1182" s="12"/>
      <c r="AN1182" s="12"/>
      <c r="AO1182" s="12"/>
      <c r="AP1182" s="12"/>
      <c r="AQ1182" s="12"/>
      <c r="AR1182" s="12"/>
      <c r="AS1182" s="12"/>
      <c r="AT1182" s="12"/>
      <c r="AU1182" s="12"/>
      <c r="AV1182" s="12"/>
      <c r="AW1182" s="12"/>
      <c r="AX1182" s="12"/>
      <c r="AY1182" s="12"/>
      <c r="AZ1182" s="12"/>
      <c r="BA1182" s="12"/>
      <c r="BB1182" s="12"/>
      <c r="BC1182" s="12"/>
      <c r="BD1182" s="12"/>
      <c r="BE1182" s="12"/>
      <c r="BF1182" s="12"/>
      <c r="BG1182" s="12"/>
      <c r="BH1182" s="12"/>
      <c r="BI1182" s="12"/>
      <c r="BJ1182" s="12"/>
      <c r="BK1182" s="12"/>
      <c r="BL1182" s="12"/>
      <c r="BM1182" s="12"/>
      <c r="BN1182" s="12"/>
      <c r="BO1182" s="12"/>
      <c r="BP1182" s="12"/>
      <c r="BQ1182" s="12"/>
      <c r="BR1182" s="12"/>
      <c r="BS1182" s="12"/>
      <c r="BT1182" s="12"/>
      <c r="BU1182" s="12"/>
      <c r="BV1182" s="12"/>
      <c r="BW1182" s="12"/>
      <c r="BX1182" s="12"/>
      <c r="BY1182" s="12"/>
      <c r="BZ1182" s="12"/>
      <c r="CA1182" s="12"/>
      <c r="CB1182" s="12"/>
      <c r="CC1182" s="12"/>
      <c r="CD1182" s="12"/>
      <c r="CE1182" s="12"/>
      <c r="CF1182" s="12"/>
      <c r="CG1182" s="12"/>
      <c r="CH1182" s="12"/>
      <c r="CI1182" s="12"/>
      <c r="CJ1182" s="12"/>
      <c r="CK1182" s="12"/>
      <c r="CL1182" s="12"/>
      <c r="CM1182" s="12"/>
      <c r="CN1182" s="12"/>
      <c r="CO1182" s="12"/>
      <c r="CP1182" s="12"/>
      <c r="CQ1182" s="12"/>
      <c r="CR1182" s="12"/>
      <c r="CS1182" s="12"/>
      <c r="CT1182" s="12"/>
      <c r="CU1182" s="12"/>
      <c r="CV1182" s="12"/>
      <c r="CW1182" s="12"/>
      <c r="CX1182" s="12"/>
      <c r="CY1182" s="12"/>
      <c r="CZ1182" s="12"/>
      <c r="DA1182" s="12"/>
      <c r="DB1182" s="12"/>
      <c r="DC1182" s="12"/>
      <c r="DD1182" s="12"/>
      <c r="DE1182" s="12"/>
      <c r="DF1182" s="12"/>
      <c r="DG1182" s="12"/>
      <c r="DH1182" s="12"/>
      <c r="DI1182" s="12"/>
      <c r="DJ1182" s="12"/>
      <c r="DK1182" s="12"/>
      <c r="DL1182" s="12"/>
      <c r="DM1182" s="12"/>
      <c r="DN1182" s="12"/>
      <c r="DO1182" s="12"/>
      <c r="DP1182" s="12"/>
      <c r="DQ1182" s="12"/>
      <c r="DR1182" s="12"/>
      <c r="DS1182" s="12"/>
      <c r="DT1182" s="12"/>
      <c r="DU1182" s="12"/>
      <c r="DV1182" s="12"/>
      <c r="DW1182" s="12"/>
      <c r="DX1182" s="12"/>
      <c r="DY1182" s="12"/>
      <c r="DZ1182" s="12"/>
      <c r="EA1182" s="12"/>
      <c r="EB1182" s="12"/>
      <c r="EC1182" s="12"/>
      <c r="ED1182" s="12"/>
      <c r="EE1182" s="12"/>
      <c r="EF1182" s="12"/>
      <c r="EG1182" s="12"/>
      <c r="EH1182" s="12"/>
      <c r="EI1182" s="12"/>
      <c r="EJ1182" s="574"/>
      <c r="EK1182" s="574"/>
      <c r="EL1182" s="574"/>
      <c r="EM1182" s="574"/>
      <c r="EN1182" s="574"/>
      <c r="EO1182" s="574"/>
      <c r="EP1182" s="574"/>
      <c r="EQ1182" s="574"/>
      <c r="ER1182" s="574"/>
      <c r="ES1182" s="574"/>
      <c r="ET1182" s="574"/>
      <c r="EU1182" s="574"/>
    </row>
    <row r="1183">
      <c r="A1183" s="12"/>
      <c r="B1183" s="55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2"/>
      <c r="R1183" s="12"/>
      <c r="S1183" s="12"/>
      <c r="T1183" s="12"/>
      <c r="U1183" s="12"/>
      <c r="V1183" s="12"/>
      <c r="W1183" s="12"/>
      <c r="X1183" s="12"/>
      <c r="Y1183" s="12"/>
      <c r="Z1183" s="12"/>
      <c r="AA1183" s="12"/>
      <c r="AB1183" s="12"/>
      <c r="AC1183" s="12"/>
      <c r="AD1183" s="12"/>
      <c r="AE1183" s="12"/>
      <c r="AF1183" s="12"/>
      <c r="AG1183" s="12"/>
      <c r="AH1183" s="12"/>
      <c r="AI1183" s="12"/>
      <c r="AJ1183" s="12"/>
      <c r="AK1183" s="12"/>
      <c r="AL1183" s="12"/>
      <c r="AM1183" s="12"/>
      <c r="AN1183" s="12"/>
      <c r="AO1183" s="12"/>
      <c r="AP1183" s="12"/>
      <c r="AQ1183" s="12"/>
      <c r="AR1183" s="12"/>
      <c r="AS1183" s="12"/>
      <c r="AT1183" s="12"/>
      <c r="AU1183" s="12"/>
      <c r="AV1183" s="12"/>
      <c r="AW1183" s="12"/>
      <c r="AX1183" s="12"/>
      <c r="AY1183" s="12"/>
      <c r="AZ1183" s="12"/>
      <c r="BA1183" s="12"/>
      <c r="BB1183" s="12"/>
      <c r="BC1183" s="12"/>
      <c r="BD1183" s="12"/>
      <c r="BE1183" s="12"/>
      <c r="BF1183" s="12"/>
      <c r="BG1183" s="12"/>
      <c r="BH1183" s="12"/>
      <c r="BI1183" s="12"/>
      <c r="BJ1183" s="12"/>
      <c r="BK1183" s="12"/>
      <c r="BL1183" s="12"/>
      <c r="BM1183" s="12"/>
      <c r="BN1183" s="12"/>
      <c r="BO1183" s="12"/>
      <c r="BP1183" s="12"/>
      <c r="BQ1183" s="12"/>
      <c r="BR1183" s="12"/>
      <c r="BS1183" s="12"/>
      <c r="BT1183" s="12"/>
      <c r="BU1183" s="12"/>
      <c r="BV1183" s="12"/>
      <c r="BW1183" s="12"/>
      <c r="BX1183" s="12"/>
      <c r="BY1183" s="12"/>
      <c r="BZ1183" s="12"/>
      <c r="CA1183" s="12"/>
      <c r="CB1183" s="12"/>
      <c r="CC1183" s="12"/>
      <c r="CD1183" s="12"/>
      <c r="CE1183" s="12"/>
      <c r="CF1183" s="12"/>
      <c r="CG1183" s="12"/>
      <c r="CH1183" s="12"/>
      <c r="CI1183" s="12"/>
      <c r="CJ1183" s="12"/>
      <c r="CK1183" s="12"/>
      <c r="CL1183" s="12"/>
      <c r="CM1183" s="12"/>
      <c r="CN1183" s="12"/>
      <c r="CO1183" s="12"/>
      <c r="CP1183" s="12"/>
      <c r="CQ1183" s="12"/>
      <c r="CR1183" s="12"/>
      <c r="CS1183" s="12"/>
      <c r="CT1183" s="12"/>
      <c r="CU1183" s="12"/>
      <c r="CV1183" s="12"/>
      <c r="CW1183" s="12"/>
      <c r="CX1183" s="12"/>
      <c r="CY1183" s="12"/>
      <c r="CZ1183" s="12"/>
      <c r="DA1183" s="12"/>
      <c r="DB1183" s="12"/>
      <c r="DC1183" s="12"/>
      <c r="DD1183" s="12"/>
      <c r="DE1183" s="12"/>
      <c r="DF1183" s="12"/>
      <c r="DG1183" s="12"/>
      <c r="DH1183" s="12"/>
      <c r="DI1183" s="12"/>
      <c r="DJ1183" s="12"/>
      <c r="DK1183" s="12"/>
      <c r="DL1183" s="12"/>
      <c r="DM1183" s="12"/>
      <c r="DN1183" s="12"/>
      <c r="DO1183" s="12"/>
      <c r="DP1183" s="12"/>
      <c r="DQ1183" s="12"/>
      <c r="DR1183" s="12"/>
      <c r="DS1183" s="12"/>
      <c r="DT1183" s="12"/>
      <c r="DU1183" s="12"/>
      <c r="DV1183" s="12"/>
      <c r="DW1183" s="12"/>
      <c r="DX1183" s="12"/>
      <c r="DY1183" s="12"/>
      <c r="DZ1183" s="12"/>
      <c r="EA1183" s="12"/>
      <c r="EB1183" s="12"/>
      <c r="EC1183" s="12"/>
      <c r="ED1183" s="12"/>
      <c r="EE1183" s="12"/>
      <c r="EF1183" s="12"/>
      <c r="EG1183" s="12"/>
      <c r="EH1183" s="12"/>
      <c r="EI1183" s="12"/>
      <c r="EJ1183" s="574"/>
      <c r="EK1183" s="574"/>
      <c r="EL1183" s="574"/>
      <c r="EM1183" s="574"/>
      <c r="EN1183" s="574"/>
      <c r="EO1183" s="574"/>
      <c r="EP1183" s="574"/>
      <c r="EQ1183" s="574"/>
      <c r="ER1183" s="574"/>
      <c r="ES1183" s="574"/>
      <c r="ET1183" s="574"/>
      <c r="EU1183" s="574"/>
    </row>
    <row r="1184">
      <c r="A1184" s="12"/>
      <c r="B1184" s="55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2"/>
      <c r="R1184" s="12"/>
      <c r="S1184" s="12"/>
      <c r="T1184" s="12"/>
      <c r="U1184" s="12"/>
      <c r="V1184" s="12"/>
      <c r="W1184" s="12"/>
      <c r="X1184" s="12"/>
      <c r="Y1184" s="12"/>
      <c r="Z1184" s="12"/>
      <c r="AA1184" s="12"/>
      <c r="AB1184" s="12"/>
      <c r="AC1184" s="12"/>
      <c r="AD1184" s="12"/>
      <c r="AE1184" s="12"/>
      <c r="AF1184" s="12"/>
      <c r="AG1184" s="12"/>
      <c r="AH1184" s="12"/>
      <c r="AI1184" s="12"/>
      <c r="AJ1184" s="12"/>
      <c r="AK1184" s="12"/>
      <c r="AL1184" s="12"/>
      <c r="AM1184" s="12"/>
      <c r="AN1184" s="12"/>
      <c r="AO1184" s="12"/>
      <c r="AP1184" s="12"/>
      <c r="AQ1184" s="12"/>
      <c r="AR1184" s="12"/>
      <c r="AS1184" s="12"/>
      <c r="AT1184" s="12"/>
      <c r="AU1184" s="12"/>
      <c r="AV1184" s="12"/>
      <c r="AW1184" s="12"/>
      <c r="AX1184" s="12"/>
      <c r="AY1184" s="12"/>
      <c r="AZ1184" s="12"/>
      <c r="BA1184" s="12"/>
      <c r="BB1184" s="12"/>
      <c r="BC1184" s="12"/>
      <c r="BD1184" s="12"/>
      <c r="BE1184" s="12"/>
      <c r="BF1184" s="12"/>
      <c r="BG1184" s="12"/>
      <c r="BH1184" s="12"/>
      <c r="BI1184" s="12"/>
      <c r="BJ1184" s="12"/>
      <c r="BK1184" s="12"/>
      <c r="BL1184" s="12"/>
      <c r="BM1184" s="12"/>
      <c r="BN1184" s="12"/>
      <c r="BO1184" s="12"/>
      <c r="BP1184" s="12"/>
      <c r="BQ1184" s="12"/>
      <c r="BR1184" s="12"/>
      <c r="BS1184" s="12"/>
      <c r="BT1184" s="12"/>
      <c r="BU1184" s="12"/>
      <c r="BV1184" s="12"/>
      <c r="BW1184" s="12"/>
      <c r="BX1184" s="12"/>
      <c r="BY1184" s="12"/>
      <c r="BZ1184" s="12"/>
      <c r="CA1184" s="12"/>
      <c r="CB1184" s="12"/>
      <c r="CC1184" s="12"/>
      <c r="CD1184" s="12"/>
      <c r="CE1184" s="12"/>
      <c r="CF1184" s="12"/>
      <c r="CG1184" s="12"/>
      <c r="CH1184" s="12"/>
      <c r="CI1184" s="12"/>
      <c r="CJ1184" s="12"/>
      <c r="CK1184" s="12"/>
      <c r="CL1184" s="12"/>
      <c r="CM1184" s="12"/>
      <c r="CN1184" s="12"/>
      <c r="CO1184" s="12"/>
      <c r="CP1184" s="12"/>
      <c r="CQ1184" s="12"/>
      <c r="CR1184" s="12"/>
      <c r="CS1184" s="12"/>
      <c r="CT1184" s="12"/>
      <c r="CU1184" s="12"/>
      <c r="CV1184" s="12"/>
      <c r="CW1184" s="12"/>
      <c r="CX1184" s="12"/>
      <c r="CY1184" s="12"/>
      <c r="CZ1184" s="12"/>
      <c r="DA1184" s="12"/>
      <c r="DB1184" s="12"/>
      <c r="DC1184" s="12"/>
      <c r="DD1184" s="12"/>
      <c r="DE1184" s="12"/>
      <c r="DF1184" s="12"/>
      <c r="DG1184" s="12"/>
      <c r="DH1184" s="12"/>
      <c r="DI1184" s="12"/>
      <c r="DJ1184" s="12"/>
      <c r="DK1184" s="12"/>
      <c r="DL1184" s="12"/>
      <c r="DM1184" s="12"/>
      <c r="DN1184" s="12"/>
      <c r="DO1184" s="12"/>
      <c r="DP1184" s="12"/>
      <c r="DQ1184" s="12"/>
      <c r="DR1184" s="12"/>
      <c r="DS1184" s="12"/>
      <c r="DT1184" s="12"/>
      <c r="DU1184" s="12"/>
      <c r="DV1184" s="12"/>
      <c r="DW1184" s="12"/>
      <c r="DX1184" s="12"/>
      <c r="DY1184" s="12"/>
      <c r="DZ1184" s="12"/>
      <c r="EA1184" s="12"/>
      <c r="EB1184" s="12"/>
      <c r="EC1184" s="12"/>
      <c r="ED1184" s="12"/>
      <c r="EE1184" s="12"/>
      <c r="EF1184" s="12"/>
      <c r="EG1184" s="12"/>
      <c r="EH1184" s="12"/>
      <c r="EI1184" s="12"/>
      <c r="EJ1184" s="574"/>
      <c r="EK1184" s="574"/>
      <c r="EL1184" s="574"/>
      <c r="EM1184" s="574"/>
      <c r="EN1184" s="574"/>
      <c r="EO1184" s="574"/>
      <c r="EP1184" s="574"/>
      <c r="EQ1184" s="574"/>
      <c r="ER1184" s="574"/>
      <c r="ES1184" s="574"/>
      <c r="ET1184" s="574"/>
      <c r="EU1184" s="574"/>
    </row>
    <row r="1185">
      <c r="A1185" s="12"/>
      <c r="B1185" s="55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2"/>
      <c r="R1185" s="12"/>
      <c r="S1185" s="12"/>
      <c r="T1185" s="12"/>
      <c r="U1185" s="12"/>
      <c r="V1185" s="12"/>
      <c r="W1185" s="12"/>
      <c r="X1185" s="12"/>
      <c r="Y1185" s="12"/>
      <c r="Z1185" s="12"/>
      <c r="AA1185" s="12"/>
      <c r="AB1185" s="12"/>
      <c r="AC1185" s="12"/>
      <c r="AD1185" s="12"/>
      <c r="AE1185" s="12"/>
      <c r="AF1185" s="12"/>
      <c r="AG1185" s="12"/>
      <c r="AH1185" s="12"/>
      <c r="AI1185" s="12"/>
      <c r="AJ1185" s="12"/>
      <c r="AK1185" s="12"/>
      <c r="AL1185" s="12"/>
      <c r="AM1185" s="12"/>
      <c r="AN1185" s="12"/>
      <c r="AO1185" s="12"/>
      <c r="AP1185" s="12"/>
      <c r="AQ1185" s="12"/>
      <c r="AR1185" s="12"/>
      <c r="AS1185" s="12"/>
      <c r="AT1185" s="12"/>
      <c r="AU1185" s="12"/>
      <c r="AV1185" s="12"/>
      <c r="AW1185" s="12"/>
      <c r="AX1185" s="12"/>
      <c r="AY1185" s="12"/>
      <c r="AZ1185" s="12"/>
      <c r="BA1185" s="12"/>
      <c r="BB1185" s="12"/>
      <c r="BC1185" s="12"/>
      <c r="BD1185" s="12"/>
      <c r="BE1185" s="12"/>
      <c r="BF1185" s="12"/>
      <c r="BG1185" s="12"/>
      <c r="BH1185" s="12"/>
      <c r="BI1185" s="12"/>
      <c r="BJ1185" s="12"/>
      <c r="BK1185" s="12"/>
      <c r="BL1185" s="12"/>
      <c r="BM1185" s="12"/>
      <c r="BN1185" s="12"/>
      <c r="BO1185" s="12"/>
      <c r="BP1185" s="12"/>
      <c r="BQ1185" s="12"/>
      <c r="BR1185" s="12"/>
      <c r="BS1185" s="12"/>
      <c r="BT1185" s="12"/>
      <c r="BU1185" s="12"/>
      <c r="BV1185" s="12"/>
      <c r="BW1185" s="12"/>
      <c r="BX1185" s="12"/>
      <c r="BY1185" s="12"/>
      <c r="BZ1185" s="12"/>
      <c r="CA1185" s="12"/>
      <c r="CB1185" s="12"/>
      <c r="CC1185" s="12"/>
      <c r="CD1185" s="12"/>
      <c r="CE1185" s="12"/>
      <c r="CF1185" s="12"/>
      <c r="CG1185" s="12"/>
      <c r="CH1185" s="12"/>
      <c r="CI1185" s="12"/>
      <c r="CJ1185" s="12"/>
      <c r="CK1185" s="12"/>
      <c r="CL1185" s="12"/>
      <c r="CM1185" s="12"/>
      <c r="CN1185" s="12"/>
      <c r="CO1185" s="12"/>
      <c r="CP1185" s="12"/>
      <c r="CQ1185" s="12"/>
      <c r="CR1185" s="12"/>
      <c r="CS1185" s="12"/>
      <c r="CT1185" s="12"/>
      <c r="CU1185" s="12"/>
      <c r="CV1185" s="12"/>
      <c r="CW1185" s="12"/>
      <c r="CX1185" s="12"/>
      <c r="CY1185" s="12"/>
      <c r="CZ1185" s="12"/>
      <c r="DA1185" s="12"/>
      <c r="DB1185" s="12"/>
      <c r="DC1185" s="12"/>
      <c r="DD1185" s="12"/>
      <c r="DE1185" s="12"/>
      <c r="DF1185" s="12"/>
      <c r="DG1185" s="12"/>
      <c r="DH1185" s="12"/>
      <c r="DI1185" s="12"/>
      <c r="DJ1185" s="12"/>
      <c r="DK1185" s="12"/>
      <c r="DL1185" s="12"/>
      <c r="DM1185" s="12"/>
      <c r="DN1185" s="12"/>
      <c r="DO1185" s="12"/>
      <c r="DP1185" s="12"/>
      <c r="DQ1185" s="12"/>
      <c r="DR1185" s="12"/>
      <c r="DS1185" s="12"/>
      <c r="DT1185" s="12"/>
      <c r="DU1185" s="12"/>
      <c r="DV1185" s="12"/>
      <c r="DW1185" s="12"/>
      <c r="DX1185" s="12"/>
      <c r="DY1185" s="12"/>
      <c r="DZ1185" s="12"/>
      <c r="EA1185" s="12"/>
      <c r="EB1185" s="12"/>
      <c r="EC1185" s="12"/>
      <c r="ED1185" s="12"/>
      <c r="EE1185" s="12"/>
      <c r="EF1185" s="12"/>
      <c r="EG1185" s="12"/>
      <c r="EH1185" s="12"/>
      <c r="EI1185" s="12"/>
      <c r="EJ1185" s="574"/>
      <c r="EK1185" s="574"/>
      <c r="EL1185" s="574"/>
      <c r="EM1185" s="574"/>
      <c r="EN1185" s="574"/>
      <c r="EO1185" s="574"/>
      <c r="EP1185" s="574"/>
      <c r="EQ1185" s="574"/>
      <c r="ER1185" s="574"/>
      <c r="ES1185" s="574"/>
      <c r="ET1185" s="574"/>
      <c r="EU1185" s="574"/>
    </row>
    <row r="1186">
      <c r="A1186" s="12"/>
      <c r="B1186" s="55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2"/>
      <c r="R1186" s="12"/>
      <c r="S1186" s="12"/>
      <c r="T1186" s="12"/>
      <c r="U1186" s="12"/>
      <c r="V1186" s="12"/>
      <c r="W1186" s="12"/>
      <c r="X1186" s="12"/>
      <c r="Y1186" s="12"/>
      <c r="Z1186" s="12"/>
      <c r="AA1186" s="12"/>
      <c r="AB1186" s="12"/>
      <c r="AC1186" s="12"/>
      <c r="AD1186" s="12"/>
      <c r="AE1186" s="12"/>
      <c r="AF1186" s="12"/>
      <c r="AG1186" s="12"/>
      <c r="AH1186" s="12"/>
      <c r="AI1186" s="12"/>
      <c r="AJ1186" s="12"/>
      <c r="AK1186" s="12"/>
      <c r="AL1186" s="12"/>
      <c r="AM1186" s="12"/>
      <c r="AN1186" s="12"/>
      <c r="AO1186" s="12"/>
      <c r="AP1186" s="12"/>
      <c r="AQ1186" s="12"/>
      <c r="AR1186" s="12"/>
      <c r="AS1186" s="12"/>
      <c r="AT1186" s="12"/>
      <c r="AU1186" s="12"/>
      <c r="AV1186" s="12"/>
      <c r="AW1186" s="12"/>
      <c r="AX1186" s="12"/>
      <c r="AY1186" s="12"/>
      <c r="AZ1186" s="12"/>
      <c r="BA1186" s="12"/>
      <c r="BB1186" s="12"/>
      <c r="BC1186" s="12"/>
      <c r="BD1186" s="12"/>
      <c r="BE1186" s="12"/>
      <c r="BF1186" s="12"/>
      <c r="BG1186" s="12"/>
      <c r="BH1186" s="12"/>
      <c r="BI1186" s="12"/>
      <c r="BJ1186" s="12"/>
      <c r="BK1186" s="12"/>
      <c r="BL1186" s="12"/>
      <c r="BM1186" s="12"/>
      <c r="BN1186" s="12"/>
      <c r="BO1186" s="12"/>
      <c r="BP1186" s="12"/>
      <c r="BQ1186" s="12"/>
      <c r="BR1186" s="12"/>
      <c r="BS1186" s="12"/>
      <c r="BT1186" s="12"/>
      <c r="BU1186" s="12"/>
      <c r="BV1186" s="12"/>
      <c r="BW1186" s="12"/>
      <c r="BX1186" s="12"/>
      <c r="BY1186" s="12"/>
      <c r="BZ1186" s="12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574"/>
      <c r="EK1186" s="574"/>
      <c r="EL1186" s="574"/>
      <c r="EM1186" s="574"/>
      <c r="EN1186" s="574"/>
      <c r="EO1186" s="574"/>
      <c r="EP1186" s="574"/>
      <c r="EQ1186" s="574"/>
      <c r="ER1186" s="574"/>
      <c r="ES1186" s="574"/>
      <c r="ET1186" s="574"/>
      <c r="EU1186" s="574"/>
    </row>
    <row r="1187">
      <c r="A1187" s="12"/>
      <c r="B1187" s="55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2"/>
      <c r="R1187" s="12"/>
      <c r="S1187" s="12"/>
      <c r="T1187" s="12"/>
      <c r="U1187" s="12"/>
      <c r="V1187" s="12"/>
      <c r="W1187" s="12"/>
      <c r="X1187" s="12"/>
      <c r="Y1187" s="12"/>
      <c r="Z1187" s="12"/>
      <c r="AA1187" s="12"/>
      <c r="AB1187" s="12"/>
      <c r="AC1187" s="12"/>
      <c r="AD1187" s="12"/>
      <c r="AE1187" s="12"/>
      <c r="AF1187" s="12"/>
      <c r="AG1187" s="12"/>
      <c r="AH1187" s="12"/>
      <c r="AI1187" s="12"/>
      <c r="AJ1187" s="12"/>
      <c r="AK1187" s="12"/>
      <c r="AL1187" s="12"/>
      <c r="AM1187" s="12"/>
      <c r="AN1187" s="12"/>
      <c r="AO1187" s="12"/>
      <c r="AP1187" s="12"/>
      <c r="AQ1187" s="12"/>
      <c r="AR1187" s="12"/>
      <c r="AS1187" s="12"/>
      <c r="AT1187" s="12"/>
      <c r="AU1187" s="12"/>
      <c r="AV1187" s="12"/>
      <c r="AW1187" s="12"/>
      <c r="AX1187" s="12"/>
      <c r="AY1187" s="12"/>
      <c r="AZ1187" s="12"/>
      <c r="BA1187" s="12"/>
      <c r="BB1187" s="12"/>
      <c r="BC1187" s="12"/>
      <c r="BD1187" s="12"/>
      <c r="BE1187" s="12"/>
      <c r="BF1187" s="12"/>
      <c r="BG1187" s="12"/>
      <c r="BH1187" s="12"/>
      <c r="BI1187" s="12"/>
      <c r="BJ1187" s="12"/>
      <c r="BK1187" s="12"/>
      <c r="BL1187" s="12"/>
      <c r="BM1187" s="12"/>
      <c r="BN1187" s="12"/>
      <c r="BO1187" s="12"/>
      <c r="BP1187" s="12"/>
      <c r="BQ1187" s="12"/>
      <c r="BR1187" s="12"/>
      <c r="BS1187" s="12"/>
      <c r="BT1187" s="12"/>
      <c r="BU1187" s="12"/>
      <c r="BV1187" s="12"/>
      <c r="BW1187" s="12"/>
      <c r="BX1187" s="12"/>
      <c r="BY1187" s="12"/>
      <c r="BZ1187" s="12"/>
      <c r="CA1187" s="12"/>
      <c r="CB1187" s="12"/>
      <c r="CC1187" s="12"/>
      <c r="CD1187" s="12"/>
      <c r="CE1187" s="12"/>
      <c r="CF1187" s="12"/>
      <c r="CG1187" s="12"/>
      <c r="CH1187" s="12"/>
      <c r="CI1187" s="12"/>
      <c r="CJ1187" s="12"/>
      <c r="CK1187" s="12"/>
      <c r="CL1187" s="12"/>
      <c r="CM1187" s="12"/>
      <c r="CN1187" s="12"/>
      <c r="CO1187" s="12"/>
      <c r="CP1187" s="12"/>
      <c r="CQ1187" s="12"/>
      <c r="CR1187" s="12"/>
      <c r="CS1187" s="12"/>
      <c r="CT1187" s="12"/>
      <c r="CU1187" s="12"/>
      <c r="CV1187" s="12"/>
      <c r="CW1187" s="12"/>
      <c r="CX1187" s="12"/>
      <c r="CY1187" s="12"/>
      <c r="CZ1187" s="12"/>
      <c r="DA1187" s="12"/>
      <c r="DB1187" s="12"/>
      <c r="DC1187" s="12"/>
      <c r="DD1187" s="12"/>
      <c r="DE1187" s="12"/>
      <c r="DF1187" s="12"/>
      <c r="DG1187" s="12"/>
      <c r="DH1187" s="12"/>
      <c r="DI1187" s="12"/>
      <c r="DJ1187" s="12"/>
      <c r="DK1187" s="12"/>
      <c r="DL1187" s="12"/>
      <c r="DM1187" s="12"/>
      <c r="DN1187" s="12"/>
      <c r="DO1187" s="12"/>
      <c r="DP1187" s="12"/>
      <c r="DQ1187" s="12"/>
      <c r="DR1187" s="12"/>
      <c r="DS1187" s="12"/>
      <c r="DT1187" s="12"/>
      <c r="DU1187" s="12"/>
      <c r="DV1187" s="12"/>
      <c r="DW1187" s="12"/>
      <c r="DX1187" s="12"/>
      <c r="DY1187" s="12"/>
      <c r="DZ1187" s="12"/>
      <c r="EA1187" s="12"/>
      <c r="EB1187" s="12"/>
      <c r="EC1187" s="12"/>
      <c r="ED1187" s="12"/>
      <c r="EE1187" s="12"/>
      <c r="EF1187" s="12"/>
      <c r="EG1187" s="12"/>
      <c r="EH1187" s="12"/>
      <c r="EI1187" s="12"/>
      <c r="EJ1187" s="574"/>
      <c r="EK1187" s="574"/>
      <c r="EL1187" s="574"/>
      <c r="EM1187" s="574"/>
      <c r="EN1187" s="574"/>
      <c r="EO1187" s="574"/>
      <c r="EP1187" s="574"/>
      <c r="EQ1187" s="574"/>
      <c r="ER1187" s="574"/>
      <c r="ES1187" s="574"/>
      <c r="ET1187" s="574"/>
      <c r="EU1187" s="574"/>
    </row>
    <row r="1188">
      <c r="A1188" s="12"/>
      <c r="B1188" s="55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12"/>
      <c r="X1188" s="12"/>
      <c r="Y1188" s="12"/>
      <c r="Z1188" s="12"/>
      <c r="AA1188" s="12"/>
      <c r="AB1188" s="12"/>
      <c r="AC1188" s="12"/>
      <c r="AD1188" s="12"/>
      <c r="AE1188" s="12"/>
      <c r="AF1188" s="12"/>
      <c r="AG1188" s="12"/>
      <c r="AH1188" s="12"/>
      <c r="AI1188" s="12"/>
      <c r="AJ1188" s="12"/>
      <c r="AK1188" s="12"/>
      <c r="AL1188" s="12"/>
      <c r="AM1188" s="12"/>
      <c r="AN1188" s="12"/>
      <c r="AO1188" s="12"/>
      <c r="AP1188" s="12"/>
      <c r="AQ1188" s="12"/>
      <c r="AR1188" s="12"/>
      <c r="AS1188" s="12"/>
      <c r="AT1188" s="12"/>
      <c r="AU1188" s="12"/>
      <c r="AV1188" s="12"/>
      <c r="AW1188" s="12"/>
      <c r="AX1188" s="12"/>
      <c r="AY1188" s="12"/>
      <c r="AZ1188" s="12"/>
      <c r="BA1188" s="12"/>
      <c r="BB1188" s="12"/>
      <c r="BC1188" s="12"/>
      <c r="BD1188" s="12"/>
      <c r="BE1188" s="12"/>
      <c r="BF1188" s="12"/>
      <c r="BG1188" s="12"/>
      <c r="BH1188" s="12"/>
      <c r="BI1188" s="12"/>
      <c r="BJ1188" s="12"/>
      <c r="BK1188" s="12"/>
      <c r="BL1188" s="12"/>
      <c r="BM1188" s="12"/>
      <c r="BN1188" s="12"/>
      <c r="BO1188" s="12"/>
      <c r="BP1188" s="12"/>
      <c r="BQ1188" s="12"/>
      <c r="BR1188" s="12"/>
      <c r="BS1188" s="12"/>
      <c r="BT1188" s="12"/>
      <c r="BU1188" s="12"/>
      <c r="BV1188" s="12"/>
      <c r="BW1188" s="12"/>
      <c r="BX1188" s="12"/>
      <c r="BY1188" s="12"/>
      <c r="BZ1188" s="12"/>
      <c r="CA1188" s="12"/>
      <c r="CB1188" s="12"/>
      <c r="CC1188" s="12"/>
      <c r="CD1188" s="12"/>
      <c r="CE1188" s="12"/>
      <c r="CF1188" s="12"/>
      <c r="CG1188" s="12"/>
      <c r="CH1188" s="12"/>
      <c r="CI1188" s="12"/>
      <c r="CJ1188" s="12"/>
      <c r="CK1188" s="12"/>
      <c r="CL1188" s="12"/>
      <c r="CM1188" s="12"/>
      <c r="CN1188" s="12"/>
      <c r="CO1188" s="12"/>
      <c r="CP1188" s="12"/>
      <c r="CQ1188" s="12"/>
      <c r="CR1188" s="12"/>
      <c r="CS1188" s="12"/>
      <c r="CT1188" s="12"/>
      <c r="CU1188" s="12"/>
      <c r="CV1188" s="12"/>
      <c r="CW1188" s="12"/>
      <c r="CX1188" s="12"/>
      <c r="CY1188" s="12"/>
      <c r="CZ1188" s="12"/>
      <c r="DA1188" s="12"/>
      <c r="DB1188" s="12"/>
      <c r="DC1188" s="12"/>
      <c r="DD1188" s="12"/>
      <c r="DE1188" s="12"/>
      <c r="DF1188" s="12"/>
      <c r="DG1188" s="12"/>
      <c r="DH1188" s="12"/>
      <c r="DI1188" s="12"/>
      <c r="DJ1188" s="12"/>
      <c r="DK1188" s="12"/>
      <c r="DL1188" s="12"/>
      <c r="DM1188" s="12"/>
      <c r="DN1188" s="12"/>
      <c r="DO1188" s="12"/>
      <c r="DP1188" s="12"/>
      <c r="DQ1188" s="12"/>
      <c r="DR1188" s="12"/>
      <c r="DS1188" s="12"/>
      <c r="DT1188" s="12"/>
      <c r="DU1188" s="12"/>
      <c r="DV1188" s="12"/>
      <c r="DW1188" s="12"/>
      <c r="DX1188" s="12"/>
      <c r="DY1188" s="12"/>
      <c r="DZ1188" s="12"/>
      <c r="EA1188" s="12"/>
      <c r="EB1188" s="12"/>
      <c r="EC1188" s="12"/>
      <c r="ED1188" s="12"/>
      <c r="EE1188" s="12"/>
      <c r="EF1188" s="12"/>
      <c r="EG1188" s="12"/>
      <c r="EH1188" s="12"/>
      <c r="EI1188" s="12"/>
      <c r="EJ1188" s="574"/>
      <c r="EK1188" s="574"/>
      <c r="EL1188" s="574"/>
      <c r="EM1188" s="574"/>
      <c r="EN1188" s="574"/>
      <c r="EO1188" s="574"/>
      <c r="EP1188" s="574"/>
      <c r="EQ1188" s="574"/>
      <c r="ER1188" s="574"/>
      <c r="ES1188" s="574"/>
      <c r="ET1188" s="574"/>
      <c r="EU1188" s="574"/>
    </row>
    <row r="1189">
      <c r="A1189" s="12"/>
      <c r="B1189" s="55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2"/>
      <c r="R1189" s="12"/>
      <c r="S1189" s="12"/>
      <c r="T1189" s="12"/>
      <c r="U1189" s="12"/>
      <c r="V1189" s="12"/>
      <c r="W1189" s="12"/>
      <c r="X1189" s="12"/>
      <c r="Y1189" s="12"/>
      <c r="Z1189" s="12"/>
      <c r="AA1189" s="12"/>
      <c r="AB1189" s="12"/>
      <c r="AC1189" s="12"/>
      <c r="AD1189" s="12"/>
      <c r="AE1189" s="12"/>
      <c r="AF1189" s="12"/>
      <c r="AG1189" s="12"/>
      <c r="AH1189" s="12"/>
      <c r="AI1189" s="12"/>
      <c r="AJ1189" s="12"/>
      <c r="AK1189" s="12"/>
      <c r="AL1189" s="12"/>
      <c r="AM1189" s="12"/>
      <c r="AN1189" s="12"/>
      <c r="AO1189" s="12"/>
      <c r="AP1189" s="12"/>
      <c r="AQ1189" s="12"/>
      <c r="AR1189" s="12"/>
      <c r="AS1189" s="12"/>
      <c r="AT1189" s="12"/>
      <c r="AU1189" s="12"/>
      <c r="AV1189" s="12"/>
      <c r="AW1189" s="12"/>
      <c r="AX1189" s="12"/>
      <c r="AY1189" s="12"/>
      <c r="AZ1189" s="12"/>
      <c r="BA1189" s="12"/>
      <c r="BB1189" s="12"/>
      <c r="BC1189" s="12"/>
      <c r="BD1189" s="12"/>
      <c r="BE1189" s="12"/>
      <c r="BF1189" s="12"/>
      <c r="BG1189" s="12"/>
      <c r="BH1189" s="12"/>
      <c r="BI1189" s="12"/>
      <c r="BJ1189" s="12"/>
      <c r="BK1189" s="12"/>
      <c r="BL1189" s="12"/>
      <c r="BM1189" s="12"/>
      <c r="BN1189" s="12"/>
      <c r="BO1189" s="12"/>
      <c r="BP1189" s="12"/>
      <c r="BQ1189" s="12"/>
      <c r="BR1189" s="12"/>
      <c r="BS1189" s="12"/>
      <c r="BT1189" s="12"/>
      <c r="BU1189" s="12"/>
      <c r="BV1189" s="12"/>
      <c r="BW1189" s="12"/>
      <c r="BX1189" s="12"/>
      <c r="BY1189" s="12"/>
      <c r="BZ1189" s="12"/>
      <c r="CA1189" s="12"/>
      <c r="CB1189" s="12"/>
      <c r="CC1189" s="12"/>
      <c r="CD1189" s="12"/>
      <c r="CE1189" s="12"/>
      <c r="CF1189" s="12"/>
      <c r="CG1189" s="12"/>
      <c r="CH1189" s="12"/>
      <c r="CI1189" s="12"/>
      <c r="CJ1189" s="12"/>
      <c r="CK1189" s="12"/>
      <c r="CL1189" s="12"/>
      <c r="CM1189" s="12"/>
      <c r="CN1189" s="12"/>
      <c r="CO1189" s="12"/>
      <c r="CP1189" s="12"/>
      <c r="CQ1189" s="12"/>
      <c r="CR1189" s="12"/>
      <c r="CS1189" s="12"/>
      <c r="CT1189" s="12"/>
      <c r="CU1189" s="12"/>
      <c r="CV1189" s="12"/>
      <c r="CW1189" s="12"/>
      <c r="CX1189" s="12"/>
      <c r="CY1189" s="12"/>
      <c r="CZ1189" s="12"/>
      <c r="DA1189" s="12"/>
      <c r="DB1189" s="12"/>
      <c r="DC1189" s="12"/>
      <c r="DD1189" s="12"/>
      <c r="DE1189" s="12"/>
      <c r="DF1189" s="12"/>
      <c r="DG1189" s="12"/>
      <c r="DH1189" s="12"/>
      <c r="DI1189" s="12"/>
      <c r="DJ1189" s="12"/>
      <c r="DK1189" s="12"/>
      <c r="DL1189" s="12"/>
      <c r="DM1189" s="12"/>
      <c r="DN1189" s="12"/>
      <c r="DO1189" s="12"/>
      <c r="DP1189" s="12"/>
      <c r="DQ1189" s="12"/>
      <c r="DR1189" s="12"/>
      <c r="DS1189" s="12"/>
      <c r="DT1189" s="12"/>
      <c r="DU1189" s="12"/>
      <c r="DV1189" s="12"/>
      <c r="DW1189" s="12"/>
      <c r="DX1189" s="12"/>
      <c r="DY1189" s="12"/>
      <c r="DZ1189" s="12"/>
      <c r="EA1189" s="12"/>
      <c r="EB1189" s="12"/>
      <c r="EC1189" s="12"/>
      <c r="ED1189" s="12"/>
      <c r="EE1189" s="12"/>
      <c r="EF1189" s="12"/>
      <c r="EG1189" s="12"/>
      <c r="EH1189" s="12"/>
      <c r="EI1189" s="12"/>
      <c r="EJ1189" s="574"/>
      <c r="EK1189" s="574"/>
      <c r="EL1189" s="574"/>
      <c r="EM1189" s="574"/>
      <c r="EN1189" s="574"/>
      <c r="EO1189" s="574"/>
      <c r="EP1189" s="574"/>
      <c r="EQ1189" s="574"/>
      <c r="ER1189" s="574"/>
      <c r="ES1189" s="574"/>
      <c r="ET1189" s="574"/>
      <c r="EU1189" s="574"/>
    </row>
    <row r="1190">
      <c r="A1190" s="12"/>
      <c r="B1190" s="55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  <c r="Y1190" s="12"/>
      <c r="Z1190" s="12"/>
      <c r="AA1190" s="12"/>
      <c r="AB1190" s="12"/>
      <c r="AC1190" s="12"/>
      <c r="AD1190" s="12"/>
      <c r="AE1190" s="12"/>
      <c r="AF1190" s="12"/>
      <c r="AG1190" s="12"/>
      <c r="AH1190" s="12"/>
      <c r="AI1190" s="12"/>
      <c r="AJ1190" s="12"/>
      <c r="AK1190" s="12"/>
      <c r="AL1190" s="12"/>
      <c r="AM1190" s="12"/>
      <c r="AN1190" s="12"/>
      <c r="AO1190" s="12"/>
      <c r="AP1190" s="12"/>
      <c r="AQ1190" s="12"/>
      <c r="AR1190" s="12"/>
      <c r="AS1190" s="12"/>
      <c r="AT1190" s="12"/>
      <c r="AU1190" s="12"/>
      <c r="AV1190" s="12"/>
      <c r="AW1190" s="12"/>
      <c r="AX1190" s="12"/>
      <c r="AY1190" s="12"/>
      <c r="AZ1190" s="12"/>
      <c r="BA1190" s="12"/>
      <c r="BB1190" s="12"/>
      <c r="BC1190" s="12"/>
      <c r="BD1190" s="12"/>
      <c r="BE1190" s="12"/>
      <c r="BF1190" s="12"/>
      <c r="BG1190" s="12"/>
      <c r="BH1190" s="12"/>
      <c r="BI1190" s="12"/>
      <c r="BJ1190" s="12"/>
      <c r="BK1190" s="12"/>
      <c r="BL1190" s="12"/>
      <c r="BM1190" s="12"/>
      <c r="BN1190" s="12"/>
      <c r="BO1190" s="12"/>
      <c r="BP1190" s="12"/>
      <c r="BQ1190" s="12"/>
      <c r="BR1190" s="12"/>
      <c r="BS1190" s="12"/>
      <c r="BT1190" s="12"/>
      <c r="BU1190" s="12"/>
      <c r="BV1190" s="12"/>
      <c r="BW1190" s="12"/>
      <c r="BX1190" s="12"/>
      <c r="BY1190" s="12"/>
      <c r="BZ1190" s="12"/>
      <c r="CA1190" s="12"/>
      <c r="CB1190" s="12"/>
      <c r="CC1190" s="12"/>
      <c r="CD1190" s="12"/>
      <c r="CE1190" s="12"/>
      <c r="CF1190" s="12"/>
      <c r="CG1190" s="12"/>
      <c r="CH1190" s="12"/>
      <c r="CI1190" s="12"/>
      <c r="CJ1190" s="12"/>
      <c r="CK1190" s="12"/>
      <c r="CL1190" s="12"/>
      <c r="CM1190" s="12"/>
      <c r="CN1190" s="12"/>
      <c r="CO1190" s="12"/>
      <c r="CP1190" s="12"/>
      <c r="CQ1190" s="12"/>
      <c r="CR1190" s="12"/>
      <c r="CS1190" s="12"/>
      <c r="CT1190" s="12"/>
      <c r="CU1190" s="12"/>
      <c r="CV1190" s="12"/>
      <c r="CW1190" s="12"/>
      <c r="CX1190" s="12"/>
      <c r="CY1190" s="12"/>
      <c r="CZ1190" s="12"/>
      <c r="DA1190" s="12"/>
      <c r="DB1190" s="12"/>
      <c r="DC1190" s="12"/>
      <c r="DD1190" s="12"/>
      <c r="DE1190" s="12"/>
      <c r="DF1190" s="12"/>
      <c r="DG1190" s="12"/>
      <c r="DH1190" s="12"/>
      <c r="DI1190" s="12"/>
      <c r="DJ1190" s="12"/>
      <c r="DK1190" s="12"/>
      <c r="DL1190" s="12"/>
      <c r="DM1190" s="12"/>
      <c r="DN1190" s="12"/>
      <c r="DO1190" s="12"/>
      <c r="DP1190" s="12"/>
      <c r="DQ1190" s="12"/>
      <c r="DR1190" s="12"/>
      <c r="DS1190" s="12"/>
      <c r="DT1190" s="12"/>
      <c r="DU1190" s="12"/>
      <c r="DV1190" s="12"/>
      <c r="DW1190" s="12"/>
      <c r="DX1190" s="12"/>
      <c r="DY1190" s="12"/>
      <c r="DZ1190" s="12"/>
      <c r="EA1190" s="12"/>
      <c r="EB1190" s="12"/>
      <c r="EC1190" s="12"/>
      <c r="ED1190" s="12"/>
      <c r="EE1190" s="12"/>
      <c r="EF1190" s="12"/>
      <c r="EG1190" s="12"/>
      <c r="EH1190" s="12"/>
      <c r="EI1190" s="12"/>
      <c r="EJ1190" s="574"/>
      <c r="EK1190" s="574"/>
      <c r="EL1190" s="574"/>
      <c r="EM1190" s="574"/>
      <c r="EN1190" s="574"/>
      <c r="EO1190" s="574"/>
      <c r="EP1190" s="574"/>
      <c r="EQ1190" s="574"/>
      <c r="ER1190" s="574"/>
      <c r="ES1190" s="574"/>
      <c r="ET1190" s="574"/>
      <c r="EU1190" s="574"/>
    </row>
    <row r="1191">
      <c r="A1191" s="12"/>
      <c r="B1191" s="55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2"/>
      <c r="R1191" s="12"/>
      <c r="S1191" s="12"/>
      <c r="T1191" s="12"/>
      <c r="U1191" s="12"/>
      <c r="V1191" s="12"/>
      <c r="W1191" s="12"/>
      <c r="X1191" s="12"/>
      <c r="Y1191" s="12"/>
      <c r="Z1191" s="12"/>
      <c r="AA1191" s="12"/>
      <c r="AB1191" s="12"/>
      <c r="AC1191" s="12"/>
      <c r="AD1191" s="12"/>
      <c r="AE1191" s="12"/>
      <c r="AF1191" s="12"/>
      <c r="AG1191" s="12"/>
      <c r="AH1191" s="12"/>
      <c r="AI1191" s="12"/>
      <c r="AJ1191" s="12"/>
      <c r="AK1191" s="12"/>
      <c r="AL1191" s="12"/>
      <c r="AM1191" s="12"/>
      <c r="AN1191" s="12"/>
      <c r="AO1191" s="12"/>
      <c r="AP1191" s="12"/>
      <c r="AQ1191" s="12"/>
      <c r="AR1191" s="12"/>
      <c r="AS1191" s="12"/>
      <c r="AT1191" s="12"/>
      <c r="AU1191" s="12"/>
      <c r="AV1191" s="12"/>
      <c r="AW1191" s="12"/>
      <c r="AX1191" s="12"/>
      <c r="AY1191" s="12"/>
      <c r="AZ1191" s="12"/>
      <c r="BA1191" s="12"/>
      <c r="BB1191" s="12"/>
      <c r="BC1191" s="12"/>
      <c r="BD1191" s="12"/>
      <c r="BE1191" s="12"/>
      <c r="BF1191" s="12"/>
      <c r="BG1191" s="12"/>
      <c r="BH1191" s="12"/>
      <c r="BI1191" s="12"/>
      <c r="BJ1191" s="12"/>
      <c r="BK1191" s="12"/>
      <c r="BL1191" s="12"/>
      <c r="BM1191" s="12"/>
      <c r="BN1191" s="12"/>
      <c r="BO1191" s="12"/>
      <c r="BP1191" s="12"/>
      <c r="BQ1191" s="12"/>
      <c r="BR1191" s="12"/>
      <c r="BS1191" s="12"/>
      <c r="BT1191" s="12"/>
      <c r="BU1191" s="12"/>
      <c r="BV1191" s="12"/>
      <c r="BW1191" s="12"/>
      <c r="BX1191" s="12"/>
      <c r="BY1191" s="12"/>
      <c r="BZ1191" s="12"/>
      <c r="CA1191" s="12"/>
      <c r="CB1191" s="12"/>
      <c r="CC1191" s="12"/>
      <c r="CD1191" s="12"/>
      <c r="CE1191" s="12"/>
      <c r="CF1191" s="12"/>
      <c r="CG1191" s="12"/>
      <c r="CH1191" s="12"/>
      <c r="CI1191" s="12"/>
      <c r="CJ1191" s="12"/>
      <c r="CK1191" s="12"/>
      <c r="CL1191" s="12"/>
      <c r="CM1191" s="12"/>
      <c r="CN1191" s="12"/>
      <c r="CO1191" s="12"/>
      <c r="CP1191" s="12"/>
      <c r="CQ1191" s="12"/>
      <c r="CR1191" s="12"/>
      <c r="CS1191" s="12"/>
      <c r="CT1191" s="12"/>
      <c r="CU1191" s="12"/>
      <c r="CV1191" s="12"/>
      <c r="CW1191" s="12"/>
      <c r="CX1191" s="12"/>
      <c r="CY1191" s="12"/>
      <c r="CZ1191" s="12"/>
      <c r="DA1191" s="12"/>
      <c r="DB1191" s="12"/>
      <c r="DC1191" s="12"/>
      <c r="DD1191" s="12"/>
      <c r="DE1191" s="12"/>
      <c r="DF1191" s="12"/>
      <c r="DG1191" s="12"/>
      <c r="DH1191" s="12"/>
      <c r="DI1191" s="12"/>
      <c r="DJ1191" s="12"/>
      <c r="DK1191" s="12"/>
      <c r="DL1191" s="12"/>
      <c r="DM1191" s="12"/>
      <c r="DN1191" s="12"/>
      <c r="DO1191" s="12"/>
      <c r="DP1191" s="12"/>
      <c r="DQ1191" s="12"/>
      <c r="DR1191" s="12"/>
      <c r="DS1191" s="12"/>
      <c r="DT1191" s="12"/>
      <c r="DU1191" s="12"/>
      <c r="DV1191" s="12"/>
      <c r="DW1191" s="12"/>
      <c r="DX1191" s="12"/>
      <c r="DY1191" s="12"/>
      <c r="DZ1191" s="12"/>
      <c r="EA1191" s="12"/>
      <c r="EB1191" s="12"/>
      <c r="EC1191" s="12"/>
      <c r="ED1191" s="12"/>
      <c r="EE1191" s="12"/>
      <c r="EF1191" s="12"/>
      <c r="EG1191" s="12"/>
      <c r="EH1191" s="12"/>
      <c r="EI1191" s="12"/>
      <c r="EJ1191" s="574"/>
      <c r="EK1191" s="574"/>
      <c r="EL1191" s="574"/>
      <c r="EM1191" s="574"/>
      <c r="EN1191" s="574"/>
      <c r="EO1191" s="574"/>
      <c r="EP1191" s="574"/>
      <c r="EQ1191" s="574"/>
      <c r="ER1191" s="574"/>
      <c r="ES1191" s="574"/>
      <c r="ET1191" s="574"/>
      <c r="EU1191" s="574"/>
    </row>
    <row r="1192">
      <c r="A1192" s="12"/>
      <c r="B1192" s="55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2"/>
      <c r="R1192" s="12"/>
      <c r="S1192" s="12"/>
      <c r="T1192" s="12"/>
      <c r="U1192" s="12"/>
      <c r="V1192" s="12"/>
      <c r="W1192" s="12"/>
      <c r="X1192" s="12"/>
      <c r="Y1192" s="12"/>
      <c r="Z1192" s="12"/>
      <c r="AA1192" s="12"/>
      <c r="AB1192" s="12"/>
      <c r="AC1192" s="12"/>
      <c r="AD1192" s="12"/>
      <c r="AE1192" s="12"/>
      <c r="AF1192" s="12"/>
      <c r="AG1192" s="12"/>
      <c r="AH1192" s="12"/>
      <c r="AI1192" s="12"/>
      <c r="AJ1192" s="12"/>
      <c r="AK1192" s="12"/>
      <c r="AL1192" s="12"/>
      <c r="AM1192" s="12"/>
      <c r="AN1192" s="12"/>
      <c r="AO1192" s="12"/>
      <c r="AP1192" s="12"/>
      <c r="AQ1192" s="12"/>
      <c r="AR1192" s="12"/>
      <c r="AS1192" s="12"/>
      <c r="AT1192" s="12"/>
      <c r="AU1192" s="12"/>
      <c r="AV1192" s="12"/>
      <c r="AW1192" s="12"/>
      <c r="AX1192" s="12"/>
      <c r="AY1192" s="12"/>
      <c r="AZ1192" s="12"/>
      <c r="BA1192" s="12"/>
      <c r="BB1192" s="12"/>
      <c r="BC1192" s="12"/>
      <c r="BD1192" s="12"/>
      <c r="BE1192" s="12"/>
      <c r="BF1192" s="12"/>
      <c r="BG1192" s="12"/>
      <c r="BH1192" s="12"/>
      <c r="BI1192" s="12"/>
      <c r="BJ1192" s="12"/>
      <c r="BK1192" s="12"/>
      <c r="BL1192" s="12"/>
      <c r="BM1192" s="12"/>
      <c r="BN1192" s="12"/>
      <c r="BO1192" s="12"/>
      <c r="BP1192" s="12"/>
      <c r="BQ1192" s="12"/>
      <c r="BR1192" s="12"/>
      <c r="BS1192" s="12"/>
      <c r="BT1192" s="12"/>
      <c r="BU1192" s="12"/>
      <c r="BV1192" s="12"/>
      <c r="BW1192" s="12"/>
      <c r="BX1192" s="12"/>
      <c r="BY1192" s="12"/>
      <c r="BZ1192" s="12"/>
      <c r="CA1192" s="12"/>
      <c r="CB1192" s="12"/>
      <c r="CC1192" s="12"/>
      <c r="CD1192" s="12"/>
      <c r="CE1192" s="12"/>
      <c r="CF1192" s="12"/>
      <c r="CG1192" s="12"/>
      <c r="CH1192" s="12"/>
      <c r="CI1192" s="12"/>
      <c r="CJ1192" s="12"/>
      <c r="CK1192" s="12"/>
      <c r="CL1192" s="12"/>
      <c r="CM1192" s="12"/>
      <c r="CN1192" s="12"/>
      <c r="CO1192" s="12"/>
      <c r="CP1192" s="12"/>
      <c r="CQ1192" s="12"/>
      <c r="CR1192" s="12"/>
      <c r="CS1192" s="12"/>
      <c r="CT1192" s="12"/>
      <c r="CU1192" s="12"/>
      <c r="CV1192" s="12"/>
      <c r="CW1192" s="12"/>
      <c r="CX1192" s="12"/>
      <c r="CY1192" s="12"/>
      <c r="CZ1192" s="12"/>
      <c r="DA1192" s="12"/>
      <c r="DB1192" s="12"/>
      <c r="DC1192" s="12"/>
      <c r="DD1192" s="12"/>
      <c r="DE1192" s="12"/>
      <c r="DF1192" s="12"/>
      <c r="DG1192" s="12"/>
      <c r="DH1192" s="12"/>
      <c r="DI1192" s="12"/>
      <c r="DJ1192" s="12"/>
      <c r="DK1192" s="12"/>
      <c r="DL1192" s="12"/>
      <c r="DM1192" s="12"/>
      <c r="DN1192" s="12"/>
      <c r="DO1192" s="12"/>
      <c r="DP1192" s="12"/>
      <c r="DQ1192" s="12"/>
      <c r="DR1192" s="12"/>
      <c r="DS1192" s="12"/>
      <c r="DT1192" s="12"/>
      <c r="DU1192" s="12"/>
      <c r="DV1192" s="12"/>
      <c r="DW1192" s="12"/>
      <c r="DX1192" s="12"/>
      <c r="DY1192" s="12"/>
      <c r="DZ1192" s="12"/>
      <c r="EA1192" s="12"/>
      <c r="EB1192" s="12"/>
      <c r="EC1192" s="12"/>
      <c r="ED1192" s="12"/>
      <c r="EE1192" s="12"/>
      <c r="EF1192" s="12"/>
      <c r="EG1192" s="12"/>
      <c r="EH1192" s="12"/>
      <c r="EI1192" s="12"/>
      <c r="EJ1192" s="574"/>
      <c r="EK1192" s="574"/>
      <c r="EL1192" s="574"/>
      <c r="EM1192" s="574"/>
      <c r="EN1192" s="574"/>
      <c r="EO1192" s="574"/>
      <c r="EP1192" s="574"/>
      <c r="EQ1192" s="574"/>
      <c r="ER1192" s="574"/>
      <c r="ES1192" s="574"/>
      <c r="ET1192" s="574"/>
      <c r="EU1192" s="574"/>
    </row>
    <row r="1193">
      <c r="A1193" s="12"/>
      <c r="B1193" s="55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2"/>
      <c r="R1193" s="12"/>
      <c r="S1193" s="12"/>
      <c r="T1193" s="12"/>
      <c r="U1193" s="12"/>
      <c r="V1193" s="12"/>
      <c r="W1193" s="12"/>
      <c r="X1193" s="12"/>
      <c r="Y1193" s="12"/>
      <c r="Z1193" s="12"/>
      <c r="AA1193" s="12"/>
      <c r="AB1193" s="12"/>
      <c r="AC1193" s="12"/>
      <c r="AD1193" s="12"/>
      <c r="AE1193" s="12"/>
      <c r="AF1193" s="12"/>
      <c r="AG1193" s="12"/>
      <c r="AH1193" s="12"/>
      <c r="AI1193" s="12"/>
      <c r="AJ1193" s="12"/>
      <c r="AK1193" s="12"/>
      <c r="AL1193" s="12"/>
      <c r="AM1193" s="12"/>
      <c r="AN1193" s="12"/>
      <c r="AO1193" s="12"/>
      <c r="AP1193" s="12"/>
      <c r="AQ1193" s="12"/>
      <c r="AR1193" s="12"/>
      <c r="AS1193" s="12"/>
      <c r="AT1193" s="12"/>
      <c r="AU1193" s="12"/>
      <c r="AV1193" s="12"/>
      <c r="AW1193" s="12"/>
      <c r="AX1193" s="12"/>
      <c r="AY1193" s="12"/>
      <c r="AZ1193" s="12"/>
      <c r="BA1193" s="12"/>
      <c r="BB1193" s="12"/>
      <c r="BC1193" s="12"/>
      <c r="BD1193" s="12"/>
      <c r="BE1193" s="12"/>
      <c r="BF1193" s="12"/>
      <c r="BG1193" s="12"/>
      <c r="BH1193" s="12"/>
      <c r="BI1193" s="12"/>
      <c r="BJ1193" s="12"/>
      <c r="BK1193" s="12"/>
      <c r="BL1193" s="12"/>
      <c r="BM1193" s="12"/>
      <c r="BN1193" s="12"/>
      <c r="BO1193" s="12"/>
      <c r="BP1193" s="12"/>
      <c r="BQ1193" s="12"/>
      <c r="BR1193" s="12"/>
      <c r="BS1193" s="12"/>
      <c r="BT1193" s="12"/>
      <c r="BU1193" s="12"/>
      <c r="BV1193" s="12"/>
      <c r="BW1193" s="12"/>
      <c r="BX1193" s="12"/>
      <c r="BY1193" s="12"/>
      <c r="BZ1193" s="12"/>
      <c r="CA1193" s="12"/>
      <c r="CB1193" s="12"/>
      <c r="CC1193" s="12"/>
      <c r="CD1193" s="12"/>
      <c r="CE1193" s="12"/>
      <c r="CF1193" s="12"/>
      <c r="CG1193" s="12"/>
      <c r="CH1193" s="12"/>
      <c r="CI1193" s="12"/>
      <c r="CJ1193" s="12"/>
      <c r="CK1193" s="12"/>
      <c r="CL1193" s="12"/>
      <c r="CM1193" s="12"/>
      <c r="CN1193" s="12"/>
      <c r="CO1193" s="12"/>
      <c r="CP1193" s="12"/>
      <c r="CQ1193" s="12"/>
      <c r="CR1193" s="12"/>
      <c r="CS1193" s="12"/>
      <c r="CT1193" s="12"/>
      <c r="CU1193" s="12"/>
      <c r="CV1193" s="12"/>
      <c r="CW1193" s="12"/>
      <c r="CX1193" s="12"/>
      <c r="CY1193" s="12"/>
      <c r="CZ1193" s="12"/>
      <c r="DA1193" s="12"/>
      <c r="DB1193" s="12"/>
      <c r="DC1193" s="12"/>
      <c r="DD1193" s="12"/>
      <c r="DE1193" s="12"/>
      <c r="DF1193" s="12"/>
      <c r="DG1193" s="12"/>
      <c r="DH1193" s="12"/>
      <c r="DI1193" s="12"/>
      <c r="DJ1193" s="12"/>
      <c r="DK1193" s="12"/>
      <c r="DL1193" s="12"/>
      <c r="DM1193" s="12"/>
      <c r="DN1193" s="12"/>
      <c r="DO1193" s="12"/>
      <c r="DP1193" s="12"/>
      <c r="DQ1193" s="12"/>
      <c r="DR1193" s="12"/>
      <c r="DS1193" s="12"/>
      <c r="DT1193" s="12"/>
      <c r="DU1193" s="12"/>
      <c r="DV1193" s="12"/>
      <c r="DW1193" s="12"/>
      <c r="DX1193" s="12"/>
      <c r="DY1193" s="12"/>
      <c r="DZ1193" s="12"/>
      <c r="EA1193" s="12"/>
      <c r="EB1193" s="12"/>
      <c r="EC1193" s="12"/>
      <c r="ED1193" s="12"/>
      <c r="EE1193" s="12"/>
      <c r="EF1193" s="12"/>
      <c r="EG1193" s="12"/>
      <c r="EH1193" s="12"/>
      <c r="EI1193" s="12"/>
      <c r="EJ1193" s="574"/>
      <c r="EK1193" s="574"/>
      <c r="EL1193" s="574"/>
      <c r="EM1193" s="574"/>
      <c r="EN1193" s="574"/>
      <c r="EO1193" s="574"/>
      <c r="EP1193" s="574"/>
      <c r="EQ1193" s="574"/>
      <c r="ER1193" s="574"/>
      <c r="ES1193" s="574"/>
      <c r="ET1193" s="574"/>
      <c r="EU1193" s="574"/>
    </row>
    <row r="1194">
      <c r="A1194" s="12"/>
      <c r="B1194" s="55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2"/>
      <c r="R1194" s="12"/>
      <c r="S1194" s="12"/>
      <c r="T1194" s="12"/>
      <c r="U1194" s="12"/>
      <c r="V1194" s="12"/>
      <c r="W1194" s="12"/>
      <c r="X1194" s="12"/>
      <c r="Y1194" s="12"/>
      <c r="Z1194" s="12"/>
      <c r="AA1194" s="12"/>
      <c r="AB1194" s="12"/>
      <c r="AC1194" s="12"/>
      <c r="AD1194" s="12"/>
      <c r="AE1194" s="12"/>
      <c r="AF1194" s="12"/>
      <c r="AG1194" s="12"/>
      <c r="AH1194" s="12"/>
      <c r="AI1194" s="12"/>
      <c r="AJ1194" s="12"/>
      <c r="AK1194" s="12"/>
      <c r="AL1194" s="12"/>
      <c r="AM1194" s="12"/>
      <c r="AN1194" s="12"/>
      <c r="AO1194" s="12"/>
      <c r="AP1194" s="12"/>
      <c r="AQ1194" s="12"/>
      <c r="AR1194" s="12"/>
      <c r="AS1194" s="12"/>
      <c r="AT1194" s="12"/>
      <c r="AU1194" s="12"/>
      <c r="AV1194" s="12"/>
      <c r="AW1194" s="12"/>
      <c r="AX1194" s="12"/>
      <c r="AY1194" s="12"/>
      <c r="AZ1194" s="12"/>
      <c r="BA1194" s="12"/>
      <c r="BB1194" s="12"/>
      <c r="BC1194" s="12"/>
      <c r="BD1194" s="12"/>
      <c r="BE1194" s="12"/>
      <c r="BF1194" s="12"/>
      <c r="BG1194" s="12"/>
      <c r="BH1194" s="12"/>
      <c r="BI1194" s="12"/>
      <c r="BJ1194" s="12"/>
      <c r="BK1194" s="12"/>
      <c r="BL1194" s="12"/>
      <c r="BM1194" s="12"/>
      <c r="BN1194" s="12"/>
      <c r="BO1194" s="12"/>
      <c r="BP1194" s="12"/>
      <c r="BQ1194" s="12"/>
      <c r="BR1194" s="12"/>
      <c r="BS1194" s="12"/>
      <c r="BT1194" s="12"/>
      <c r="BU1194" s="12"/>
      <c r="BV1194" s="12"/>
      <c r="BW1194" s="12"/>
      <c r="BX1194" s="12"/>
      <c r="BY1194" s="12"/>
      <c r="BZ1194" s="12"/>
      <c r="CA1194" s="12"/>
      <c r="CB1194" s="12"/>
      <c r="CC1194" s="12"/>
      <c r="CD1194" s="12"/>
      <c r="CE1194" s="12"/>
      <c r="CF1194" s="12"/>
      <c r="CG1194" s="12"/>
      <c r="CH1194" s="12"/>
      <c r="CI1194" s="12"/>
      <c r="CJ1194" s="12"/>
      <c r="CK1194" s="12"/>
      <c r="CL1194" s="12"/>
      <c r="CM1194" s="12"/>
      <c r="CN1194" s="12"/>
      <c r="CO1194" s="12"/>
      <c r="CP1194" s="12"/>
      <c r="CQ1194" s="12"/>
      <c r="CR1194" s="12"/>
      <c r="CS1194" s="12"/>
      <c r="CT1194" s="12"/>
      <c r="CU1194" s="12"/>
      <c r="CV1194" s="12"/>
      <c r="CW1194" s="12"/>
      <c r="CX1194" s="12"/>
      <c r="CY1194" s="12"/>
      <c r="CZ1194" s="12"/>
      <c r="DA1194" s="12"/>
      <c r="DB1194" s="12"/>
      <c r="DC1194" s="12"/>
      <c r="DD1194" s="12"/>
      <c r="DE1194" s="12"/>
      <c r="DF1194" s="12"/>
      <c r="DG1194" s="12"/>
      <c r="DH1194" s="12"/>
      <c r="DI1194" s="12"/>
      <c r="DJ1194" s="12"/>
      <c r="DK1194" s="12"/>
      <c r="DL1194" s="12"/>
      <c r="DM1194" s="12"/>
      <c r="DN1194" s="12"/>
      <c r="DO1194" s="12"/>
      <c r="DP1194" s="12"/>
      <c r="DQ1194" s="12"/>
      <c r="DR1194" s="12"/>
      <c r="DS1194" s="12"/>
      <c r="DT1194" s="12"/>
      <c r="DU1194" s="12"/>
      <c r="DV1194" s="12"/>
      <c r="DW1194" s="12"/>
      <c r="DX1194" s="12"/>
      <c r="DY1194" s="12"/>
      <c r="DZ1194" s="12"/>
      <c r="EA1194" s="12"/>
      <c r="EB1194" s="12"/>
      <c r="EC1194" s="12"/>
      <c r="ED1194" s="12"/>
      <c r="EE1194" s="12"/>
      <c r="EF1194" s="12"/>
      <c r="EG1194" s="12"/>
      <c r="EH1194" s="12"/>
      <c r="EI1194" s="12"/>
      <c r="EJ1194" s="574"/>
      <c r="EK1194" s="574"/>
      <c r="EL1194" s="574"/>
      <c r="EM1194" s="574"/>
      <c r="EN1194" s="574"/>
      <c r="EO1194" s="574"/>
      <c r="EP1194" s="574"/>
      <c r="EQ1194" s="574"/>
      <c r="ER1194" s="574"/>
      <c r="ES1194" s="574"/>
      <c r="ET1194" s="574"/>
      <c r="EU1194" s="574"/>
    </row>
    <row r="1195">
      <c r="A1195" s="12"/>
      <c r="B1195" s="55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2"/>
      <c r="R1195" s="12"/>
      <c r="S1195" s="12"/>
      <c r="T1195" s="12"/>
      <c r="U1195" s="12"/>
      <c r="V1195" s="12"/>
      <c r="W1195" s="12"/>
      <c r="X1195" s="12"/>
      <c r="Y1195" s="12"/>
      <c r="Z1195" s="12"/>
      <c r="AA1195" s="12"/>
      <c r="AB1195" s="12"/>
      <c r="AC1195" s="12"/>
      <c r="AD1195" s="12"/>
      <c r="AE1195" s="12"/>
      <c r="AF1195" s="12"/>
      <c r="AG1195" s="12"/>
      <c r="AH1195" s="12"/>
      <c r="AI1195" s="12"/>
      <c r="AJ1195" s="12"/>
      <c r="AK1195" s="12"/>
      <c r="AL1195" s="12"/>
      <c r="AM1195" s="12"/>
      <c r="AN1195" s="12"/>
      <c r="AO1195" s="12"/>
      <c r="AP1195" s="12"/>
      <c r="AQ1195" s="12"/>
      <c r="AR1195" s="12"/>
      <c r="AS1195" s="12"/>
      <c r="AT1195" s="12"/>
      <c r="AU1195" s="12"/>
      <c r="AV1195" s="12"/>
      <c r="AW1195" s="12"/>
      <c r="AX1195" s="12"/>
      <c r="AY1195" s="12"/>
      <c r="AZ1195" s="12"/>
      <c r="BA1195" s="12"/>
      <c r="BB1195" s="12"/>
      <c r="BC1195" s="12"/>
      <c r="BD1195" s="12"/>
      <c r="BE1195" s="12"/>
      <c r="BF1195" s="12"/>
      <c r="BG1195" s="12"/>
      <c r="BH1195" s="12"/>
      <c r="BI1195" s="12"/>
      <c r="BJ1195" s="12"/>
      <c r="BK1195" s="12"/>
      <c r="BL1195" s="12"/>
      <c r="BM1195" s="12"/>
      <c r="BN1195" s="12"/>
      <c r="BO1195" s="12"/>
      <c r="BP1195" s="12"/>
      <c r="BQ1195" s="12"/>
      <c r="BR1195" s="12"/>
      <c r="BS1195" s="12"/>
      <c r="BT1195" s="12"/>
      <c r="BU1195" s="12"/>
      <c r="BV1195" s="12"/>
      <c r="BW1195" s="12"/>
      <c r="BX1195" s="12"/>
      <c r="BY1195" s="12"/>
      <c r="BZ1195" s="12"/>
      <c r="CA1195" s="12"/>
      <c r="CB1195" s="12"/>
      <c r="CC1195" s="12"/>
      <c r="CD1195" s="12"/>
      <c r="CE1195" s="12"/>
      <c r="CF1195" s="12"/>
      <c r="CG1195" s="12"/>
      <c r="CH1195" s="12"/>
      <c r="CI1195" s="12"/>
      <c r="CJ1195" s="12"/>
      <c r="CK1195" s="12"/>
      <c r="CL1195" s="12"/>
      <c r="CM1195" s="12"/>
      <c r="CN1195" s="12"/>
      <c r="CO1195" s="12"/>
      <c r="CP1195" s="12"/>
      <c r="CQ1195" s="12"/>
      <c r="CR1195" s="12"/>
      <c r="CS1195" s="12"/>
      <c r="CT1195" s="12"/>
      <c r="CU1195" s="12"/>
      <c r="CV1195" s="12"/>
      <c r="CW1195" s="12"/>
      <c r="CX1195" s="12"/>
      <c r="CY1195" s="12"/>
      <c r="CZ1195" s="12"/>
      <c r="DA1195" s="12"/>
      <c r="DB1195" s="12"/>
      <c r="DC1195" s="12"/>
      <c r="DD1195" s="12"/>
      <c r="DE1195" s="12"/>
      <c r="DF1195" s="12"/>
      <c r="DG1195" s="12"/>
      <c r="DH1195" s="12"/>
      <c r="DI1195" s="12"/>
      <c r="DJ1195" s="12"/>
      <c r="DK1195" s="12"/>
      <c r="DL1195" s="12"/>
      <c r="DM1195" s="12"/>
      <c r="DN1195" s="12"/>
      <c r="DO1195" s="12"/>
      <c r="DP1195" s="12"/>
      <c r="DQ1195" s="12"/>
      <c r="DR1195" s="12"/>
      <c r="DS1195" s="12"/>
      <c r="DT1195" s="12"/>
      <c r="DU1195" s="12"/>
      <c r="DV1195" s="12"/>
      <c r="DW1195" s="12"/>
      <c r="DX1195" s="12"/>
      <c r="DY1195" s="12"/>
      <c r="DZ1195" s="12"/>
      <c r="EA1195" s="12"/>
      <c r="EB1195" s="12"/>
      <c r="EC1195" s="12"/>
      <c r="ED1195" s="12"/>
      <c r="EE1195" s="12"/>
      <c r="EF1195" s="12"/>
      <c r="EG1195" s="12"/>
      <c r="EH1195" s="12"/>
      <c r="EI1195" s="12"/>
      <c r="EJ1195" s="574"/>
      <c r="EK1195" s="574"/>
      <c r="EL1195" s="574"/>
      <c r="EM1195" s="574"/>
      <c r="EN1195" s="574"/>
      <c r="EO1195" s="574"/>
      <c r="EP1195" s="574"/>
      <c r="EQ1195" s="574"/>
      <c r="ER1195" s="574"/>
      <c r="ES1195" s="574"/>
      <c r="ET1195" s="574"/>
      <c r="EU1195" s="574"/>
    </row>
    <row r="1196">
      <c r="A1196" s="12"/>
      <c r="B1196" s="55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2"/>
      <c r="R1196" s="12"/>
      <c r="S1196" s="12"/>
      <c r="T1196" s="12"/>
      <c r="U1196" s="12"/>
      <c r="V1196" s="12"/>
      <c r="W1196" s="12"/>
      <c r="X1196" s="12"/>
      <c r="Y1196" s="12"/>
      <c r="Z1196" s="12"/>
      <c r="AA1196" s="12"/>
      <c r="AB1196" s="12"/>
      <c r="AC1196" s="12"/>
      <c r="AD1196" s="12"/>
      <c r="AE1196" s="12"/>
      <c r="AF1196" s="12"/>
      <c r="AG1196" s="12"/>
      <c r="AH1196" s="12"/>
      <c r="AI1196" s="12"/>
      <c r="AJ1196" s="12"/>
      <c r="AK1196" s="12"/>
      <c r="AL1196" s="12"/>
      <c r="AM1196" s="12"/>
      <c r="AN1196" s="12"/>
      <c r="AO1196" s="12"/>
      <c r="AP1196" s="12"/>
      <c r="AQ1196" s="12"/>
      <c r="AR1196" s="12"/>
      <c r="AS1196" s="12"/>
      <c r="AT1196" s="12"/>
      <c r="AU1196" s="12"/>
      <c r="AV1196" s="12"/>
      <c r="AW1196" s="12"/>
      <c r="AX1196" s="12"/>
      <c r="AY1196" s="12"/>
      <c r="AZ1196" s="12"/>
      <c r="BA1196" s="12"/>
      <c r="BB1196" s="12"/>
      <c r="BC1196" s="12"/>
      <c r="BD1196" s="12"/>
      <c r="BE1196" s="12"/>
      <c r="BF1196" s="12"/>
      <c r="BG1196" s="12"/>
      <c r="BH1196" s="12"/>
      <c r="BI1196" s="12"/>
      <c r="BJ1196" s="12"/>
      <c r="BK1196" s="12"/>
      <c r="BL1196" s="12"/>
      <c r="BM1196" s="12"/>
      <c r="BN1196" s="12"/>
      <c r="BO1196" s="12"/>
      <c r="BP1196" s="12"/>
      <c r="BQ1196" s="12"/>
      <c r="BR1196" s="12"/>
      <c r="BS1196" s="12"/>
      <c r="BT1196" s="12"/>
      <c r="BU1196" s="12"/>
      <c r="BV1196" s="12"/>
      <c r="BW1196" s="12"/>
      <c r="BX1196" s="12"/>
      <c r="BY1196" s="12"/>
      <c r="BZ1196" s="12"/>
      <c r="CA1196" s="12"/>
      <c r="CB1196" s="12"/>
      <c r="CC1196" s="12"/>
      <c r="CD1196" s="12"/>
      <c r="CE1196" s="12"/>
      <c r="CF1196" s="12"/>
      <c r="CG1196" s="12"/>
      <c r="CH1196" s="12"/>
      <c r="CI1196" s="12"/>
      <c r="CJ1196" s="12"/>
      <c r="CK1196" s="12"/>
      <c r="CL1196" s="12"/>
      <c r="CM1196" s="12"/>
      <c r="CN1196" s="12"/>
      <c r="CO1196" s="12"/>
      <c r="CP1196" s="12"/>
      <c r="CQ1196" s="12"/>
      <c r="CR1196" s="12"/>
      <c r="CS1196" s="12"/>
      <c r="CT1196" s="12"/>
      <c r="CU1196" s="12"/>
      <c r="CV1196" s="12"/>
      <c r="CW1196" s="12"/>
      <c r="CX1196" s="12"/>
      <c r="CY1196" s="12"/>
      <c r="CZ1196" s="12"/>
      <c r="DA1196" s="12"/>
      <c r="DB1196" s="12"/>
      <c r="DC1196" s="12"/>
      <c r="DD1196" s="12"/>
      <c r="DE1196" s="12"/>
      <c r="DF1196" s="12"/>
      <c r="DG1196" s="12"/>
      <c r="DH1196" s="12"/>
      <c r="DI1196" s="12"/>
      <c r="DJ1196" s="12"/>
      <c r="DK1196" s="12"/>
      <c r="DL1196" s="12"/>
      <c r="DM1196" s="12"/>
      <c r="DN1196" s="12"/>
      <c r="DO1196" s="12"/>
      <c r="DP1196" s="12"/>
      <c r="DQ1196" s="12"/>
      <c r="DR1196" s="12"/>
      <c r="DS1196" s="12"/>
      <c r="DT1196" s="12"/>
      <c r="DU1196" s="12"/>
      <c r="DV1196" s="12"/>
      <c r="DW1196" s="12"/>
      <c r="DX1196" s="12"/>
      <c r="DY1196" s="12"/>
      <c r="DZ1196" s="12"/>
      <c r="EA1196" s="12"/>
      <c r="EB1196" s="12"/>
      <c r="EC1196" s="12"/>
      <c r="ED1196" s="12"/>
      <c r="EE1196" s="12"/>
      <c r="EF1196" s="12"/>
      <c r="EG1196" s="12"/>
      <c r="EH1196" s="12"/>
      <c r="EI1196" s="12"/>
      <c r="EJ1196" s="574"/>
      <c r="EK1196" s="574"/>
      <c r="EL1196" s="574"/>
      <c r="EM1196" s="574"/>
      <c r="EN1196" s="574"/>
      <c r="EO1196" s="574"/>
      <c r="EP1196" s="574"/>
      <c r="EQ1196" s="574"/>
      <c r="ER1196" s="574"/>
      <c r="ES1196" s="574"/>
      <c r="ET1196" s="574"/>
      <c r="EU1196" s="574"/>
    </row>
    <row r="1197">
      <c r="A1197" s="12"/>
      <c r="B1197" s="55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2"/>
      <c r="R1197" s="12"/>
      <c r="S1197" s="12"/>
      <c r="T1197" s="12"/>
      <c r="U1197" s="12"/>
      <c r="V1197" s="12"/>
      <c r="W1197" s="12"/>
      <c r="X1197" s="12"/>
      <c r="Y1197" s="12"/>
      <c r="Z1197" s="12"/>
      <c r="AA1197" s="12"/>
      <c r="AB1197" s="12"/>
      <c r="AC1197" s="12"/>
      <c r="AD1197" s="12"/>
      <c r="AE1197" s="12"/>
      <c r="AF1197" s="12"/>
      <c r="AG1197" s="12"/>
      <c r="AH1197" s="12"/>
      <c r="AI1197" s="12"/>
      <c r="AJ1197" s="12"/>
      <c r="AK1197" s="12"/>
      <c r="AL1197" s="12"/>
      <c r="AM1197" s="12"/>
      <c r="AN1197" s="12"/>
      <c r="AO1197" s="12"/>
      <c r="AP1197" s="12"/>
      <c r="AQ1197" s="12"/>
      <c r="AR1197" s="12"/>
      <c r="AS1197" s="12"/>
      <c r="AT1197" s="12"/>
      <c r="AU1197" s="12"/>
      <c r="AV1197" s="12"/>
      <c r="AW1197" s="12"/>
      <c r="AX1197" s="12"/>
      <c r="AY1197" s="12"/>
      <c r="AZ1197" s="12"/>
      <c r="BA1197" s="12"/>
      <c r="BB1197" s="12"/>
      <c r="BC1197" s="12"/>
      <c r="BD1197" s="12"/>
      <c r="BE1197" s="12"/>
      <c r="BF1197" s="12"/>
      <c r="BG1197" s="12"/>
      <c r="BH1197" s="12"/>
      <c r="BI1197" s="12"/>
      <c r="BJ1197" s="12"/>
      <c r="BK1197" s="12"/>
      <c r="BL1197" s="12"/>
      <c r="BM1197" s="12"/>
      <c r="BN1197" s="12"/>
      <c r="BO1197" s="12"/>
      <c r="BP1197" s="12"/>
      <c r="BQ1197" s="12"/>
      <c r="BR1197" s="12"/>
      <c r="BS1197" s="12"/>
      <c r="BT1197" s="12"/>
      <c r="BU1197" s="12"/>
      <c r="BV1197" s="12"/>
      <c r="BW1197" s="12"/>
      <c r="BX1197" s="12"/>
      <c r="BY1197" s="12"/>
      <c r="BZ1197" s="12"/>
      <c r="CA1197" s="12"/>
      <c r="CB1197" s="12"/>
      <c r="CC1197" s="12"/>
      <c r="CD1197" s="12"/>
      <c r="CE1197" s="12"/>
      <c r="CF1197" s="12"/>
      <c r="CG1197" s="12"/>
      <c r="CH1197" s="12"/>
      <c r="CI1197" s="12"/>
      <c r="CJ1197" s="12"/>
      <c r="CK1197" s="12"/>
      <c r="CL1197" s="12"/>
      <c r="CM1197" s="12"/>
      <c r="CN1197" s="12"/>
      <c r="CO1197" s="12"/>
      <c r="CP1197" s="12"/>
      <c r="CQ1197" s="12"/>
      <c r="CR1197" s="12"/>
      <c r="CS1197" s="12"/>
      <c r="CT1197" s="12"/>
      <c r="CU1197" s="12"/>
      <c r="CV1197" s="12"/>
      <c r="CW1197" s="12"/>
      <c r="CX1197" s="12"/>
      <c r="CY1197" s="12"/>
      <c r="CZ1197" s="12"/>
      <c r="DA1197" s="12"/>
      <c r="DB1197" s="12"/>
      <c r="DC1197" s="12"/>
      <c r="DD1197" s="12"/>
      <c r="DE1197" s="12"/>
      <c r="DF1197" s="12"/>
      <c r="DG1197" s="12"/>
      <c r="DH1197" s="12"/>
      <c r="DI1197" s="12"/>
      <c r="DJ1197" s="12"/>
      <c r="DK1197" s="12"/>
      <c r="DL1197" s="12"/>
      <c r="DM1197" s="12"/>
      <c r="DN1197" s="12"/>
      <c r="DO1197" s="12"/>
      <c r="DP1197" s="12"/>
      <c r="DQ1197" s="12"/>
      <c r="DR1197" s="12"/>
      <c r="DS1197" s="12"/>
      <c r="DT1197" s="12"/>
      <c r="DU1197" s="12"/>
      <c r="DV1197" s="12"/>
      <c r="DW1197" s="12"/>
      <c r="DX1197" s="12"/>
      <c r="DY1197" s="12"/>
      <c r="DZ1197" s="12"/>
      <c r="EA1197" s="12"/>
      <c r="EB1197" s="12"/>
      <c r="EC1197" s="12"/>
      <c r="ED1197" s="12"/>
      <c r="EE1197" s="12"/>
      <c r="EF1197" s="12"/>
      <c r="EG1197" s="12"/>
      <c r="EH1197" s="12"/>
      <c r="EI1197" s="12"/>
      <c r="EJ1197" s="574"/>
      <c r="EK1197" s="574"/>
      <c r="EL1197" s="574"/>
      <c r="EM1197" s="574"/>
      <c r="EN1197" s="574"/>
      <c r="EO1197" s="574"/>
      <c r="EP1197" s="574"/>
      <c r="EQ1197" s="574"/>
      <c r="ER1197" s="574"/>
      <c r="ES1197" s="574"/>
      <c r="ET1197" s="574"/>
      <c r="EU1197" s="574"/>
    </row>
    <row r="1198">
      <c r="A1198" s="12"/>
      <c r="B1198" s="55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2"/>
      <c r="R1198" s="12"/>
      <c r="S1198" s="12"/>
      <c r="T1198" s="12"/>
      <c r="U1198" s="12"/>
      <c r="V1198" s="12"/>
      <c r="W1198" s="12"/>
      <c r="X1198" s="12"/>
      <c r="Y1198" s="12"/>
      <c r="Z1198" s="12"/>
      <c r="AA1198" s="12"/>
      <c r="AB1198" s="12"/>
      <c r="AC1198" s="12"/>
      <c r="AD1198" s="12"/>
      <c r="AE1198" s="12"/>
      <c r="AF1198" s="12"/>
      <c r="AG1198" s="12"/>
      <c r="AH1198" s="12"/>
      <c r="AI1198" s="12"/>
      <c r="AJ1198" s="12"/>
      <c r="AK1198" s="12"/>
      <c r="AL1198" s="12"/>
      <c r="AM1198" s="12"/>
      <c r="AN1198" s="12"/>
      <c r="AO1198" s="12"/>
      <c r="AP1198" s="12"/>
      <c r="AQ1198" s="12"/>
      <c r="AR1198" s="12"/>
      <c r="AS1198" s="12"/>
      <c r="AT1198" s="12"/>
      <c r="AU1198" s="12"/>
      <c r="AV1198" s="12"/>
      <c r="AW1198" s="12"/>
      <c r="AX1198" s="12"/>
      <c r="AY1198" s="12"/>
      <c r="AZ1198" s="12"/>
      <c r="BA1198" s="12"/>
      <c r="BB1198" s="12"/>
      <c r="BC1198" s="12"/>
      <c r="BD1198" s="12"/>
      <c r="BE1198" s="12"/>
      <c r="BF1198" s="12"/>
      <c r="BG1198" s="12"/>
      <c r="BH1198" s="12"/>
      <c r="BI1198" s="12"/>
      <c r="BJ1198" s="12"/>
      <c r="BK1198" s="12"/>
      <c r="BL1198" s="12"/>
      <c r="BM1198" s="12"/>
      <c r="BN1198" s="12"/>
      <c r="BO1198" s="12"/>
      <c r="BP1198" s="12"/>
      <c r="BQ1198" s="12"/>
      <c r="BR1198" s="12"/>
      <c r="BS1198" s="12"/>
      <c r="BT1198" s="12"/>
      <c r="BU1198" s="12"/>
      <c r="BV1198" s="12"/>
      <c r="BW1198" s="12"/>
      <c r="BX1198" s="12"/>
      <c r="BY1198" s="12"/>
      <c r="BZ1198" s="12"/>
      <c r="CA1198" s="12"/>
      <c r="CB1198" s="12"/>
      <c r="CC1198" s="12"/>
      <c r="CD1198" s="12"/>
      <c r="CE1198" s="12"/>
      <c r="CF1198" s="12"/>
      <c r="CG1198" s="12"/>
      <c r="CH1198" s="12"/>
      <c r="CI1198" s="12"/>
      <c r="CJ1198" s="12"/>
      <c r="CK1198" s="12"/>
      <c r="CL1198" s="12"/>
      <c r="CM1198" s="12"/>
      <c r="CN1198" s="12"/>
      <c r="CO1198" s="12"/>
      <c r="CP1198" s="12"/>
      <c r="CQ1198" s="12"/>
      <c r="CR1198" s="12"/>
      <c r="CS1198" s="12"/>
      <c r="CT1198" s="12"/>
      <c r="CU1198" s="12"/>
      <c r="CV1198" s="12"/>
      <c r="CW1198" s="12"/>
      <c r="CX1198" s="12"/>
      <c r="CY1198" s="12"/>
      <c r="CZ1198" s="12"/>
      <c r="DA1198" s="12"/>
      <c r="DB1198" s="12"/>
      <c r="DC1198" s="12"/>
      <c r="DD1198" s="12"/>
      <c r="DE1198" s="12"/>
      <c r="DF1198" s="12"/>
      <c r="DG1198" s="12"/>
      <c r="DH1198" s="12"/>
      <c r="DI1198" s="12"/>
      <c r="DJ1198" s="12"/>
      <c r="DK1198" s="12"/>
      <c r="DL1198" s="12"/>
      <c r="DM1198" s="12"/>
      <c r="DN1198" s="12"/>
      <c r="DO1198" s="12"/>
      <c r="DP1198" s="12"/>
      <c r="DQ1198" s="12"/>
      <c r="DR1198" s="12"/>
      <c r="DS1198" s="12"/>
      <c r="DT1198" s="12"/>
      <c r="DU1198" s="12"/>
      <c r="DV1198" s="12"/>
      <c r="DW1198" s="12"/>
      <c r="DX1198" s="12"/>
      <c r="DY1198" s="12"/>
      <c r="DZ1198" s="12"/>
      <c r="EA1198" s="12"/>
      <c r="EB1198" s="12"/>
      <c r="EC1198" s="12"/>
      <c r="ED1198" s="12"/>
      <c r="EE1198" s="12"/>
      <c r="EF1198" s="12"/>
      <c r="EG1198" s="12"/>
      <c r="EH1198" s="12"/>
      <c r="EI1198" s="12"/>
      <c r="EJ1198" s="574"/>
      <c r="EK1198" s="574"/>
      <c r="EL1198" s="574"/>
      <c r="EM1198" s="574"/>
      <c r="EN1198" s="574"/>
      <c r="EO1198" s="574"/>
      <c r="EP1198" s="574"/>
      <c r="EQ1198" s="574"/>
      <c r="ER1198" s="574"/>
      <c r="ES1198" s="574"/>
      <c r="ET1198" s="574"/>
      <c r="EU1198" s="574"/>
    </row>
    <row r="1199">
      <c r="A1199" s="12"/>
      <c r="B1199" s="55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2"/>
      <c r="R1199" s="12"/>
      <c r="S1199" s="12"/>
      <c r="T1199" s="12"/>
      <c r="U1199" s="12"/>
      <c r="V1199" s="12"/>
      <c r="W1199" s="12"/>
      <c r="X1199" s="12"/>
      <c r="Y1199" s="12"/>
      <c r="Z1199" s="12"/>
      <c r="AA1199" s="12"/>
      <c r="AB1199" s="12"/>
      <c r="AC1199" s="12"/>
      <c r="AD1199" s="12"/>
      <c r="AE1199" s="12"/>
      <c r="AF1199" s="12"/>
      <c r="AG1199" s="12"/>
      <c r="AH1199" s="12"/>
      <c r="AI1199" s="12"/>
      <c r="AJ1199" s="12"/>
      <c r="AK1199" s="12"/>
      <c r="AL1199" s="12"/>
      <c r="AM1199" s="12"/>
      <c r="AN1199" s="12"/>
      <c r="AO1199" s="12"/>
      <c r="AP1199" s="12"/>
      <c r="AQ1199" s="12"/>
      <c r="AR1199" s="12"/>
      <c r="AS1199" s="12"/>
      <c r="AT1199" s="12"/>
      <c r="AU1199" s="12"/>
      <c r="AV1199" s="12"/>
      <c r="AW1199" s="12"/>
      <c r="AX1199" s="12"/>
      <c r="AY1199" s="12"/>
      <c r="AZ1199" s="12"/>
      <c r="BA1199" s="12"/>
      <c r="BB1199" s="12"/>
      <c r="BC1199" s="12"/>
      <c r="BD1199" s="12"/>
      <c r="BE1199" s="12"/>
      <c r="BF1199" s="12"/>
      <c r="BG1199" s="12"/>
      <c r="BH1199" s="12"/>
      <c r="BI1199" s="12"/>
      <c r="BJ1199" s="12"/>
      <c r="BK1199" s="12"/>
      <c r="BL1199" s="12"/>
      <c r="BM1199" s="12"/>
      <c r="BN1199" s="12"/>
      <c r="BO1199" s="12"/>
      <c r="BP1199" s="12"/>
      <c r="BQ1199" s="12"/>
      <c r="BR1199" s="12"/>
      <c r="BS1199" s="12"/>
      <c r="BT1199" s="12"/>
      <c r="BU1199" s="12"/>
      <c r="BV1199" s="12"/>
      <c r="BW1199" s="12"/>
      <c r="BX1199" s="12"/>
      <c r="BY1199" s="12"/>
      <c r="BZ1199" s="12"/>
      <c r="CA1199" s="12"/>
      <c r="CB1199" s="12"/>
      <c r="CC1199" s="12"/>
      <c r="CD1199" s="12"/>
      <c r="CE1199" s="12"/>
      <c r="CF1199" s="12"/>
      <c r="CG1199" s="12"/>
      <c r="CH1199" s="12"/>
      <c r="CI1199" s="12"/>
      <c r="CJ1199" s="12"/>
      <c r="CK1199" s="12"/>
      <c r="CL1199" s="12"/>
      <c r="CM1199" s="12"/>
      <c r="CN1199" s="12"/>
      <c r="CO1199" s="12"/>
      <c r="CP1199" s="12"/>
      <c r="CQ1199" s="12"/>
      <c r="CR1199" s="12"/>
      <c r="CS1199" s="12"/>
      <c r="CT1199" s="12"/>
      <c r="CU1199" s="12"/>
      <c r="CV1199" s="12"/>
      <c r="CW1199" s="12"/>
      <c r="CX1199" s="12"/>
      <c r="CY1199" s="12"/>
      <c r="CZ1199" s="12"/>
      <c r="DA1199" s="12"/>
      <c r="DB1199" s="12"/>
      <c r="DC1199" s="12"/>
      <c r="DD1199" s="12"/>
      <c r="DE1199" s="12"/>
      <c r="DF1199" s="12"/>
      <c r="DG1199" s="12"/>
      <c r="DH1199" s="12"/>
      <c r="DI1199" s="12"/>
      <c r="DJ1199" s="12"/>
      <c r="DK1199" s="12"/>
      <c r="DL1199" s="12"/>
      <c r="DM1199" s="12"/>
      <c r="DN1199" s="12"/>
      <c r="DO1199" s="12"/>
      <c r="DP1199" s="12"/>
      <c r="DQ1199" s="12"/>
      <c r="DR1199" s="12"/>
      <c r="DS1199" s="12"/>
      <c r="DT1199" s="12"/>
      <c r="DU1199" s="12"/>
      <c r="DV1199" s="12"/>
      <c r="DW1199" s="12"/>
      <c r="DX1199" s="12"/>
      <c r="DY1199" s="12"/>
      <c r="DZ1199" s="12"/>
      <c r="EA1199" s="12"/>
      <c r="EB1199" s="12"/>
      <c r="EC1199" s="12"/>
      <c r="ED1199" s="12"/>
      <c r="EE1199" s="12"/>
      <c r="EF1199" s="12"/>
      <c r="EG1199" s="12"/>
      <c r="EH1199" s="12"/>
      <c r="EI1199" s="12"/>
      <c r="EJ1199" s="574"/>
      <c r="EK1199" s="574"/>
      <c r="EL1199" s="574"/>
      <c r="EM1199" s="574"/>
      <c r="EN1199" s="574"/>
      <c r="EO1199" s="574"/>
      <c r="EP1199" s="574"/>
      <c r="EQ1199" s="574"/>
      <c r="ER1199" s="574"/>
      <c r="ES1199" s="574"/>
      <c r="ET1199" s="574"/>
      <c r="EU1199" s="574"/>
    </row>
    <row r="1200">
      <c r="A1200" s="12"/>
      <c r="B1200" s="55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2"/>
      <c r="R1200" s="12"/>
      <c r="S1200" s="12"/>
      <c r="T1200" s="12"/>
      <c r="U1200" s="12"/>
      <c r="V1200" s="12"/>
      <c r="W1200" s="12"/>
      <c r="X1200" s="12"/>
      <c r="Y1200" s="12"/>
      <c r="Z1200" s="12"/>
      <c r="AA1200" s="12"/>
      <c r="AB1200" s="12"/>
      <c r="AC1200" s="12"/>
      <c r="AD1200" s="12"/>
      <c r="AE1200" s="12"/>
      <c r="AF1200" s="12"/>
      <c r="AG1200" s="12"/>
      <c r="AH1200" s="12"/>
      <c r="AI1200" s="12"/>
      <c r="AJ1200" s="12"/>
      <c r="AK1200" s="12"/>
      <c r="AL1200" s="12"/>
      <c r="AM1200" s="12"/>
      <c r="AN1200" s="12"/>
      <c r="AO1200" s="12"/>
      <c r="AP1200" s="12"/>
      <c r="AQ1200" s="12"/>
      <c r="AR1200" s="12"/>
      <c r="AS1200" s="12"/>
      <c r="AT1200" s="12"/>
      <c r="AU1200" s="12"/>
      <c r="AV1200" s="12"/>
      <c r="AW1200" s="12"/>
      <c r="AX1200" s="12"/>
      <c r="AY1200" s="12"/>
      <c r="AZ1200" s="12"/>
      <c r="BA1200" s="12"/>
      <c r="BB1200" s="12"/>
      <c r="BC1200" s="12"/>
      <c r="BD1200" s="12"/>
      <c r="BE1200" s="12"/>
      <c r="BF1200" s="12"/>
      <c r="BG1200" s="12"/>
      <c r="BH1200" s="12"/>
      <c r="BI1200" s="12"/>
      <c r="BJ1200" s="12"/>
      <c r="BK1200" s="12"/>
      <c r="BL1200" s="12"/>
      <c r="BM1200" s="12"/>
      <c r="BN1200" s="12"/>
      <c r="BO1200" s="12"/>
      <c r="BP1200" s="12"/>
      <c r="BQ1200" s="12"/>
      <c r="BR1200" s="12"/>
      <c r="BS1200" s="12"/>
      <c r="BT1200" s="12"/>
      <c r="BU1200" s="12"/>
      <c r="BV1200" s="12"/>
      <c r="BW1200" s="12"/>
      <c r="BX1200" s="12"/>
      <c r="BY1200" s="12"/>
      <c r="BZ1200" s="12"/>
      <c r="CA1200" s="12"/>
      <c r="CB1200" s="12"/>
      <c r="CC1200" s="12"/>
      <c r="CD1200" s="12"/>
      <c r="CE1200" s="12"/>
      <c r="CF1200" s="12"/>
      <c r="CG1200" s="12"/>
      <c r="CH1200" s="12"/>
      <c r="CI1200" s="12"/>
      <c r="CJ1200" s="12"/>
      <c r="CK1200" s="12"/>
      <c r="CL1200" s="12"/>
      <c r="CM1200" s="12"/>
      <c r="CN1200" s="12"/>
      <c r="CO1200" s="12"/>
      <c r="CP1200" s="12"/>
      <c r="CQ1200" s="12"/>
      <c r="CR1200" s="12"/>
      <c r="CS1200" s="12"/>
      <c r="CT1200" s="12"/>
      <c r="CU1200" s="12"/>
      <c r="CV1200" s="12"/>
      <c r="CW1200" s="12"/>
      <c r="CX1200" s="12"/>
      <c r="CY1200" s="12"/>
      <c r="CZ1200" s="12"/>
      <c r="DA1200" s="12"/>
      <c r="DB1200" s="12"/>
      <c r="DC1200" s="12"/>
      <c r="DD1200" s="12"/>
      <c r="DE1200" s="12"/>
      <c r="DF1200" s="12"/>
      <c r="DG1200" s="12"/>
      <c r="DH1200" s="12"/>
      <c r="DI1200" s="12"/>
      <c r="DJ1200" s="12"/>
      <c r="DK1200" s="12"/>
      <c r="DL1200" s="12"/>
      <c r="DM1200" s="12"/>
      <c r="DN1200" s="12"/>
      <c r="DO1200" s="12"/>
      <c r="DP1200" s="12"/>
      <c r="DQ1200" s="12"/>
      <c r="DR1200" s="12"/>
      <c r="DS1200" s="12"/>
      <c r="DT1200" s="12"/>
      <c r="DU1200" s="12"/>
      <c r="DV1200" s="12"/>
      <c r="DW1200" s="12"/>
      <c r="DX1200" s="12"/>
      <c r="DY1200" s="12"/>
      <c r="DZ1200" s="12"/>
      <c r="EA1200" s="12"/>
      <c r="EB1200" s="12"/>
      <c r="EC1200" s="12"/>
      <c r="ED1200" s="12"/>
      <c r="EE1200" s="12"/>
      <c r="EF1200" s="12"/>
      <c r="EG1200" s="12"/>
      <c r="EH1200" s="12"/>
      <c r="EI1200" s="12"/>
      <c r="EJ1200" s="574"/>
      <c r="EK1200" s="574"/>
      <c r="EL1200" s="574"/>
      <c r="EM1200" s="574"/>
      <c r="EN1200" s="574"/>
      <c r="EO1200" s="574"/>
      <c r="EP1200" s="574"/>
      <c r="EQ1200" s="574"/>
      <c r="ER1200" s="574"/>
      <c r="ES1200" s="574"/>
      <c r="ET1200" s="574"/>
      <c r="EU1200" s="574"/>
    </row>
    <row r="1201">
      <c r="A1201" s="12"/>
      <c r="B1201" s="55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2"/>
      <c r="R1201" s="12"/>
      <c r="S1201" s="12"/>
      <c r="T1201" s="12"/>
      <c r="U1201" s="12"/>
      <c r="V1201" s="12"/>
      <c r="W1201" s="12"/>
      <c r="X1201" s="12"/>
      <c r="Y1201" s="12"/>
      <c r="Z1201" s="12"/>
      <c r="AA1201" s="12"/>
      <c r="AB1201" s="12"/>
      <c r="AC1201" s="12"/>
      <c r="AD1201" s="12"/>
      <c r="AE1201" s="12"/>
      <c r="AF1201" s="12"/>
      <c r="AG1201" s="12"/>
      <c r="AH1201" s="12"/>
      <c r="AI1201" s="12"/>
      <c r="AJ1201" s="12"/>
      <c r="AK1201" s="12"/>
      <c r="AL1201" s="12"/>
      <c r="AM1201" s="12"/>
      <c r="AN1201" s="12"/>
      <c r="AO1201" s="12"/>
      <c r="AP1201" s="12"/>
      <c r="AQ1201" s="12"/>
      <c r="AR1201" s="12"/>
      <c r="AS1201" s="12"/>
      <c r="AT1201" s="12"/>
      <c r="AU1201" s="12"/>
      <c r="AV1201" s="12"/>
      <c r="AW1201" s="12"/>
      <c r="AX1201" s="12"/>
      <c r="AY1201" s="12"/>
      <c r="AZ1201" s="12"/>
      <c r="BA1201" s="12"/>
      <c r="BB1201" s="12"/>
      <c r="BC1201" s="12"/>
      <c r="BD1201" s="12"/>
      <c r="BE1201" s="12"/>
      <c r="BF1201" s="12"/>
      <c r="BG1201" s="12"/>
      <c r="BH1201" s="12"/>
      <c r="BI1201" s="12"/>
      <c r="BJ1201" s="12"/>
      <c r="BK1201" s="12"/>
      <c r="BL1201" s="12"/>
      <c r="BM1201" s="12"/>
      <c r="BN1201" s="12"/>
      <c r="BO1201" s="12"/>
      <c r="BP1201" s="12"/>
      <c r="BQ1201" s="12"/>
      <c r="BR1201" s="12"/>
      <c r="BS1201" s="12"/>
      <c r="BT1201" s="12"/>
      <c r="BU1201" s="12"/>
      <c r="BV1201" s="12"/>
      <c r="BW1201" s="12"/>
      <c r="BX1201" s="12"/>
      <c r="BY1201" s="12"/>
      <c r="BZ1201" s="12"/>
      <c r="CA1201" s="12"/>
      <c r="CB1201" s="12"/>
      <c r="CC1201" s="12"/>
      <c r="CD1201" s="12"/>
      <c r="CE1201" s="12"/>
      <c r="CF1201" s="12"/>
      <c r="CG1201" s="12"/>
      <c r="CH1201" s="12"/>
      <c r="CI1201" s="12"/>
      <c r="CJ1201" s="12"/>
      <c r="CK1201" s="12"/>
      <c r="CL1201" s="12"/>
      <c r="CM1201" s="12"/>
      <c r="CN1201" s="12"/>
      <c r="CO1201" s="12"/>
      <c r="CP1201" s="12"/>
      <c r="CQ1201" s="12"/>
      <c r="CR1201" s="12"/>
      <c r="CS1201" s="12"/>
      <c r="CT1201" s="12"/>
      <c r="CU1201" s="12"/>
      <c r="CV1201" s="12"/>
      <c r="CW1201" s="12"/>
      <c r="CX1201" s="12"/>
      <c r="CY1201" s="12"/>
      <c r="CZ1201" s="12"/>
      <c r="DA1201" s="12"/>
      <c r="DB1201" s="12"/>
      <c r="DC1201" s="12"/>
      <c r="DD1201" s="12"/>
      <c r="DE1201" s="12"/>
      <c r="DF1201" s="12"/>
      <c r="DG1201" s="12"/>
      <c r="DH1201" s="12"/>
      <c r="DI1201" s="12"/>
      <c r="DJ1201" s="12"/>
      <c r="DK1201" s="12"/>
      <c r="DL1201" s="12"/>
      <c r="DM1201" s="12"/>
      <c r="DN1201" s="12"/>
      <c r="DO1201" s="12"/>
      <c r="DP1201" s="12"/>
      <c r="DQ1201" s="12"/>
      <c r="DR1201" s="12"/>
      <c r="DS1201" s="12"/>
      <c r="DT1201" s="12"/>
      <c r="DU1201" s="12"/>
      <c r="DV1201" s="12"/>
      <c r="DW1201" s="12"/>
      <c r="DX1201" s="12"/>
      <c r="DY1201" s="12"/>
      <c r="DZ1201" s="12"/>
      <c r="EA1201" s="12"/>
      <c r="EB1201" s="12"/>
      <c r="EC1201" s="12"/>
      <c r="ED1201" s="12"/>
      <c r="EE1201" s="12"/>
      <c r="EF1201" s="12"/>
      <c r="EG1201" s="12"/>
      <c r="EH1201" s="12"/>
      <c r="EI1201" s="12"/>
      <c r="EJ1201" s="574"/>
      <c r="EK1201" s="574"/>
      <c r="EL1201" s="574"/>
      <c r="EM1201" s="574"/>
      <c r="EN1201" s="574"/>
      <c r="EO1201" s="574"/>
      <c r="EP1201" s="574"/>
      <c r="EQ1201" s="574"/>
      <c r="ER1201" s="574"/>
      <c r="ES1201" s="574"/>
      <c r="ET1201" s="574"/>
      <c r="EU1201" s="574"/>
    </row>
    <row r="1202">
      <c r="A1202" s="12"/>
      <c r="B1202" s="55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2"/>
      <c r="R1202" s="12"/>
      <c r="S1202" s="12"/>
      <c r="T1202" s="12"/>
      <c r="U1202" s="12"/>
      <c r="V1202" s="12"/>
      <c r="W1202" s="12"/>
      <c r="X1202" s="12"/>
      <c r="Y1202" s="12"/>
      <c r="Z1202" s="12"/>
      <c r="AA1202" s="12"/>
      <c r="AB1202" s="12"/>
      <c r="AC1202" s="12"/>
      <c r="AD1202" s="12"/>
      <c r="AE1202" s="12"/>
      <c r="AF1202" s="12"/>
      <c r="AG1202" s="12"/>
      <c r="AH1202" s="12"/>
      <c r="AI1202" s="12"/>
      <c r="AJ1202" s="12"/>
      <c r="AK1202" s="12"/>
      <c r="AL1202" s="12"/>
      <c r="AM1202" s="12"/>
      <c r="AN1202" s="12"/>
      <c r="AO1202" s="12"/>
      <c r="AP1202" s="12"/>
      <c r="AQ1202" s="12"/>
      <c r="AR1202" s="12"/>
      <c r="AS1202" s="12"/>
      <c r="AT1202" s="12"/>
      <c r="AU1202" s="12"/>
      <c r="AV1202" s="12"/>
      <c r="AW1202" s="12"/>
      <c r="AX1202" s="12"/>
      <c r="AY1202" s="12"/>
      <c r="AZ1202" s="12"/>
      <c r="BA1202" s="12"/>
      <c r="BB1202" s="12"/>
      <c r="BC1202" s="12"/>
      <c r="BD1202" s="12"/>
      <c r="BE1202" s="12"/>
      <c r="BF1202" s="12"/>
      <c r="BG1202" s="12"/>
      <c r="BH1202" s="12"/>
      <c r="BI1202" s="12"/>
      <c r="BJ1202" s="12"/>
      <c r="BK1202" s="12"/>
      <c r="BL1202" s="12"/>
      <c r="BM1202" s="12"/>
      <c r="BN1202" s="12"/>
      <c r="BO1202" s="12"/>
      <c r="BP1202" s="12"/>
      <c r="BQ1202" s="12"/>
      <c r="BR1202" s="12"/>
      <c r="BS1202" s="12"/>
      <c r="BT1202" s="12"/>
      <c r="BU1202" s="12"/>
      <c r="BV1202" s="12"/>
      <c r="BW1202" s="12"/>
      <c r="BX1202" s="12"/>
      <c r="BY1202" s="12"/>
      <c r="BZ1202" s="12"/>
      <c r="CA1202" s="12"/>
      <c r="CB1202" s="12"/>
      <c r="CC1202" s="12"/>
      <c r="CD1202" s="12"/>
      <c r="CE1202" s="12"/>
      <c r="CF1202" s="12"/>
      <c r="CG1202" s="12"/>
      <c r="CH1202" s="12"/>
      <c r="CI1202" s="12"/>
      <c r="CJ1202" s="12"/>
      <c r="CK1202" s="12"/>
      <c r="CL1202" s="12"/>
      <c r="CM1202" s="12"/>
      <c r="CN1202" s="12"/>
      <c r="CO1202" s="12"/>
      <c r="CP1202" s="12"/>
      <c r="CQ1202" s="12"/>
      <c r="CR1202" s="12"/>
      <c r="CS1202" s="12"/>
      <c r="CT1202" s="12"/>
      <c r="CU1202" s="12"/>
      <c r="CV1202" s="12"/>
      <c r="CW1202" s="12"/>
      <c r="CX1202" s="12"/>
      <c r="CY1202" s="12"/>
      <c r="CZ1202" s="12"/>
      <c r="DA1202" s="12"/>
      <c r="DB1202" s="12"/>
      <c r="DC1202" s="12"/>
      <c r="DD1202" s="12"/>
      <c r="DE1202" s="12"/>
      <c r="DF1202" s="12"/>
      <c r="DG1202" s="12"/>
      <c r="DH1202" s="12"/>
      <c r="DI1202" s="12"/>
      <c r="DJ1202" s="12"/>
      <c r="DK1202" s="12"/>
      <c r="DL1202" s="12"/>
      <c r="DM1202" s="12"/>
      <c r="DN1202" s="12"/>
      <c r="DO1202" s="12"/>
      <c r="DP1202" s="12"/>
      <c r="DQ1202" s="12"/>
      <c r="DR1202" s="12"/>
      <c r="DS1202" s="12"/>
      <c r="DT1202" s="12"/>
      <c r="DU1202" s="12"/>
      <c r="DV1202" s="12"/>
      <c r="DW1202" s="12"/>
      <c r="DX1202" s="12"/>
      <c r="DY1202" s="12"/>
      <c r="DZ1202" s="12"/>
      <c r="EA1202" s="12"/>
      <c r="EB1202" s="12"/>
      <c r="EC1202" s="12"/>
      <c r="ED1202" s="12"/>
      <c r="EE1202" s="12"/>
      <c r="EF1202" s="12"/>
      <c r="EG1202" s="12"/>
      <c r="EH1202" s="12"/>
      <c r="EI1202" s="12"/>
      <c r="EJ1202" s="574"/>
      <c r="EK1202" s="574"/>
      <c r="EL1202" s="574"/>
      <c r="EM1202" s="574"/>
      <c r="EN1202" s="574"/>
      <c r="EO1202" s="574"/>
      <c r="EP1202" s="574"/>
      <c r="EQ1202" s="574"/>
      <c r="ER1202" s="574"/>
      <c r="ES1202" s="574"/>
      <c r="ET1202" s="574"/>
      <c r="EU1202" s="574"/>
    </row>
    <row r="1203">
      <c r="A1203" s="12"/>
      <c r="B1203" s="55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2"/>
      <c r="R1203" s="12"/>
      <c r="S1203" s="12"/>
      <c r="T1203" s="12"/>
      <c r="U1203" s="12"/>
      <c r="V1203" s="12"/>
      <c r="W1203" s="12"/>
      <c r="X1203" s="12"/>
      <c r="Y1203" s="12"/>
      <c r="Z1203" s="12"/>
      <c r="AA1203" s="12"/>
      <c r="AB1203" s="12"/>
      <c r="AC1203" s="12"/>
      <c r="AD1203" s="12"/>
      <c r="AE1203" s="12"/>
      <c r="AF1203" s="12"/>
      <c r="AG1203" s="12"/>
      <c r="AH1203" s="12"/>
      <c r="AI1203" s="12"/>
      <c r="AJ1203" s="12"/>
      <c r="AK1203" s="12"/>
      <c r="AL1203" s="12"/>
      <c r="AM1203" s="12"/>
      <c r="AN1203" s="12"/>
      <c r="AO1203" s="12"/>
      <c r="AP1203" s="12"/>
      <c r="AQ1203" s="12"/>
      <c r="AR1203" s="12"/>
      <c r="AS1203" s="12"/>
      <c r="AT1203" s="12"/>
      <c r="AU1203" s="12"/>
      <c r="AV1203" s="12"/>
      <c r="AW1203" s="12"/>
      <c r="AX1203" s="12"/>
      <c r="AY1203" s="12"/>
      <c r="AZ1203" s="12"/>
      <c r="BA1203" s="12"/>
      <c r="BB1203" s="12"/>
      <c r="BC1203" s="12"/>
      <c r="BD1203" s="12"/>
      <c r="BE1203" s="12"/>
      <c r="BF1203" s="12"/>
      <c r="BG1203" s="12"/>
      <c r="BH1203" s="12"/>
      <c r="BI1203" s="12"/>
      <c r="BJ1203" s="12"/>
      <c r="BK1203" s="12"/>
      <c r="BL1203" s="12"/>
      <c r="BM1203" s="12"/>
      <c r="BN1203" s="12"/>
      <c r="BO1203" s="12"/>
      <c r="BP1203" s="12"/>
      <c r="BQ1203" s="12"/>
      <c r="BR1203" s="12"/>
      <c r="BS1203" s="12"/>
      <c r="BT1203" s="12"/>
      <c r="BU1203" s="12"/>
      <c r="BV1203" s="12"/>
      <c r="BW1203" s="12"/>
      <c r="BX1203" s="12"/>
      <c r="BY1203" s="12"/>
      <c r="BZ1203" s="12"/>
      <c r="CA1203" s="12"/>
      <c r="CB1203" s="12"/>
      <c r="CC1203" s="12"/>
      <c r="CD1203" s="12"/>
      <c r="CE1203" s="12"/>
      <c r="CF1203" s="12"/>
      <c r="CG1203" s="12"/>
      <c r="CH1203" s="12"/>
      <c r="CI1203" s="12"/>
      <c r="CJ1203" s="12"/>
      <c r="CK1203" s="12"/>
      <c r="CL1203" s="12"/>
      <c r="CM1203" s="12"/>
      <c r="CN1203" s="12"/>
      <c r="CO1203" s="12"/>
      <c r="CP1203" s="12"/>
      <c r="CQ1203" s="12"/>
      <c r="CR1203" s="12"/>
      <c r="CS1203" s="12"/>
      <c r="CT1203" s="12"/>
      <c r="CU1203" s="12"/>
      <c r="CV1203" s="12"/>
      <c r="CW1203" s="12"/>
      <c r="CX1203" s="12"/>
      <c r="CY1203" s="12"/>
      <c r="CZ1203" s="12"/>
      <c r="DA1203" s="12"/>
      <c r="DB1203" s="12"/>
      <c r="DC1203" s="12"/>
      <c r="DD1203" s="12"/>
      <c r="DE1203" s="12"/>
      <c r="DF1203" s="12"/>
      <c r="DG1203" s="12"/>
      <c r="DH1203" s="12"/>
      <c r="DI1203" s="12"/>
      <c r="DJ1203" s="12"/>
      <c r="DK1203" s="12"/>
      <c r="DL1203" s="12"/>
      <c r="DM1203" s="12"/>
      <c r="DN1203" s="12"/>
      <c r="DO1203" s="12"/>
      <c r="DP1203" s="12"/>
      <c r="DQ1203" s="12"/>
      <c r="DR1203" s="12"/>
      <c r="DS1203" s="12"/>
      <c r="DT1203" s="12"/>
      <c r="DU1203" s="12"/>
      <c r="DV1203" s="12"/>
      <c r="DW1203" s="12"/>
      <c r="DX1203" s="12"/>
      <c r="DY1203" s="12"/>
      <c r="DZ1203" s="12"/>
      <c r="EA1203" s="12"/>
      <c r="EB1203" s="12"/>
      <c r="EC1203" s="12"/>
      <c r="ED1203" s="12"/>
      <c r="EE1203" s="12"/>
      <c r="EF1203" s="12"/>
      <c r="EG1203" s="12"/>
      <c r="EH1203" s="12"/>
      <c r="EI1203" s="12"/>
      <c r="EJ1203" s="574"/>
      <c r="EK1203" s="574"/>
      <c r="EL1203" s="574"/>
      <c r="EM1203" s="574"/>
      <c r="EN1203" s="574"/>
      <c r="EO1203" s="574"/>
      <c r="EP1203" s="574"/>
      <c r="EQ1203" s="574"/>
      <c r="ER1203" s="574"/>
      <c r="ES1203" s="574"/>
      <c r="ET1203" s="574"/>
      <c r="EU1203" s="574"/>
    </row>
    <row r="1204">
      <c r="A1204" s="12"/>
      <c r="B1204" s="55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2"/>
      <c r="R1204" s="12"/>
      <c r="S1204" s="12"/>
      <c r="T1204" s="12"/>
      <c r="U1204" s="12"/>
      <c r="V1204" s="12"/>
      <c r="W1204" s="12"/>
      <c r="X1204" s="12"/>
      <c r="Y1204" s="12"/>
      <c r="Z1204" s="12"/>
      <c r="AA1204" s="12"/>
      <c r="AB1204" s="12"/>
      <c r="AC1204" s="12"/>
      <c r="AD1204" s="12"/>
      <c r="AE1204" s="12"/>
      <c r="AF1204" s="12"/>
      <c r="AG1204" s="12"/>
      <c r="AH1204" s="12"/>
      <c r="AI1204" s="12"/>
      <c r="AJ1204" s="12"/>
      <c r="AK1204" s="12"/>
      <c r="AL1204" s="12"/>
      <c r="AM1204" s="12"/>
      <c r="AN1204" s="12"/>
      <c r="AO1204" s="12"/>
      <c r="AP1204" s="12"/>
      <c r="AQ1204" s="12"/>
      <c r="AR1204" s="12"/>
      <c r="AS1204" s="12"/>
      <c r="AT1204" s="12"/>
      <c r="AU1204" s="12"/>
      <c r="AV1204" s="12"/>
      <c r="AW1204" s="12"/>
      <c r="AX1204" s="12"/>
      <c r="AY1204" s="12"/>
      <c r="AZ1204" s="12"/>
      <c r="BA1204" s="12"/>
      <c r="BB1204" s="12"/>
      <c r="BC1204" s="12"/>
      <c r="BD1204" s="12"/>
      <c r="BE1204" s="12"/>
      <c r="BF1204" s="12"/>
      <c r="BG1204" s="12"/>
      <c r="BH1204" s="12"/>
      <c r="BI1204" s="12"/>
      <c r="BJ1204" s="12"/>
      <c r="BK1204" s="12"/>
      <c r="BL1204" s="12"/>
      <c r="BM1204" s="12"/>
      <c r="BN1204" s="12"/>
      <c r="BO1204" s="12"/>
      <c r="BP1204" s="12"/>
      <c r="BQ1204" s="12"/>
      <c r="BR1204" s="12"/>
      <c r="BS1204" s="12"/>
      <c r="BT1204" s="12"/>
      <c r="BU1204" s="12"/>
      <c r="BV1204" s="12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574"/>
      <c r="EK1204" s="574"/>
      <c r="EL1204" s="574"/>
      <c r="EM1204" s="574"/>
      <c r="EN1204" s="574"/>
      <c r="EO1204" s="574"/>
      <c r="EP1204" s="574"/>
      <c r="EQ1204" s="574"/>
      <c r="ER1204" s="574"/>
      <c r="ES1204" s="574"/>
      <c r="ET1204" s="574"/>
      <c r="EU1204" s="574"/>
    </row>
    <row r="1205">
      <c r="A1205" s="12"/>
      <c r="B1205" s="55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2"/>
      <c r="R1205" s="12"/>
      <c r="S1205" s="12"/>
      <c r="T1205" s="12"/>
      <c r="U1205" s="12"/>
      <c r="V1205" s="12"/>
      <c r="W1205" s="12"/>
      <c r="X1205" s="12"/>
      <c r="Y1205" s="12"/>
      <c r="Z1205" s="12"/>
      <c r="AA1205" s="12"/>
      <c r="AB1205" s="12"/>
      <c r="AC1205" s="12"/>
      <c r="AD1205" s="12"/>
      <c r="AE1205" s="12"/>
      <c r="AF1205" s="12"/>
      <c r="AG1205" s="12"/>
      <c r="AH1205" s="12"/>
      <c r="AI1205" s="12"/>
      <c r="AJ1205" s="12"/>
      <c r="AK1205" s="12"/>
      <c r="AL1205" s="12"/>
      <c r="AM1205" s="12"/>
      <c r="AN1205" s="12"/>
      <c r="AO1205" s="12"/>
      <c r="AP1205" s="12"/>
      <c r="AQ1205" s="12"/>
      <c r="AR1205" s="12"/>
      <c r="AS1205" s="12"/>
      <c r="AT1205" s="12"/>
      <c r="AU1205" s="12"/>
      <c r="AV1205" s="12"/>
      <c r="AW1205" s="12"/>
      <c r="AX1205" s="12"/>
      <c r="AY1205" s="12"/>
      <c r="AZ1205" s="12"/>
      <c r="BA1205" s="12"/>
      <c r="BB1205" s="12"/>
      <c r="BC1205" s="12"/>
      <c r="BD1205" s="12"/>
      <c r="BE1205" s="12"/>
      <c r="BF1205" s="12"/>
      <c r="BG1205" s="12"/>
      <c r="BH1205" s="12"/>
      <c r="BI1205" s="12"/>
      <c r="BJ1205" s="12"/>
      <c r="BK1205" s="12"/>
      <c r="BL1205" s="12"/>
      <c r="BM1205" s="12"/>
      <c r="BN1205" s="12"/>
      <c r="BO1205" s="12"/>
      <c r="BP1205" s="12"/>
      <c r="BQ1205" s="12"/>
      <c r="BR1205" s="12"/>
      <c r="BS1205" s="12"/>
      <c r="BT1205" s="12"/>
      <c r="BU1205" s="12"/>
      <c r="BV1205" s="12"/>
      <c r="BW1205" s="12"/>
      <c r="BX1205" s="12"/>
      <c r="BY1205" s="12"/>
      <c r="BZ1205" s="12"/>
      <c r="CA1205" s="12"/>
      <c r="CB1205" s="12"/>
      <c r="CC1205" s="12"/>
      <c r="CD1205" s="12"/>
      <c r="CE1205" s="12"/>
      <c r="CF1205" s="12"/>
      <c r="CG1205" s="12"/>
      <c r="CH1205" s="12"/>
      <c r="CI1205" s="12"/>
      <c r="CJ1205" s="12"/>
      <c r="CK1205" s="12"/>
      <c r="CL1205" s="12"/>
      <c r="CM1205" s="12"/>
      <c r="CN1205" s="12"/>
      <c r="CO1205" s="12"/>
      <c r="CP1205" s="12"/>
      <c r="CQ1205" s="12"/>
      <c r="CR1205" s="12"/>
      <c r="CS1205" s="12"/>
      <c r="CT1205" s="12"/>
      <c r="CU1205" s="12"/>
      <c r="CV1205" s="12"/>
      <c r="CW1205" s="12"/>
      <c r="CX1205" s="12"/>
      <c r="CY1205" s="12"/>
      <c r="CZ1205" s="12"/>
      <c r="DA1205" s="12"/>
      <c r="DB1205" s="12"/>
      <c r="DC1205" s="12"/>
      <c r="DD1205" s="12"/>
      <c r="DE1205" s="12"/>
      <c r="DF1205" s="12"/>
      <c r="DG1205" s="12"/>
      <c r="DH1205" s="12"/>
      <c r="DI1205" s="12"/>
      <c r="DJ1205" s="12"/>
      <c r="DK1205" s="12"/>
      <c r="DL1205" s="12"/>
      <c r="DM1205" s="12"/>
      <c r="DN1205" s="12"/>
      <c r="DO1205" s="12"/>
      <c r="DP1205" s="12"/>
      <c r="DQ1205" s="12"/>
      <c r="DR1205" s="12"/>
      <c r="DS1205" s="12"/>
      <c r="DT1205" s="12"/>
      <c r="DU1205" s="12"/>
      <c r="DV1205" s="12"/>
      <c r="DW1205" s="12"/>
      <c r="DX1205" s="12"/>
      <c r="DY1205" s="12"/>
      <c r="DZ1205" s="12"/>
      <c r="EA1205" s="12"/>
      <c r="EB1205" s="12"/>
      <c r="EC1205" s="12"/>
      <c r="ED1205" s="12"/>
      <c r="EE1205" s="12"/>
      <c r="EF1205" s="12"/>
      <c r="EG1205" s="12"/>
      <c r="EH1205" s="12"/>
      <c r="EI1205" s="12"/>
      <c r="EJ1205" s="574"/>
      <c r="EK1205" s="574"/>
      <c r="EL1205" s="574"/>
      <c r="EM1205" s="574"/>
      <c r="EN1205" s="574"/>
      <c r="EO1205" s="574"/>
      <c r="EP1205" s="574"/>
      <c r="EQ1205" s="574"/>
      <c r="ER1205" s="574"/>
      <c r="ES1205" s="574"/>
      <c r="ET1205" s="574"/>
      <c r="EU1205" s="574"/>
    </row>
    <row r="1206">
      <c r="A1206" s="12"/>
      <c r="B1206" s="55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2"/>
      <c r="R1206" s="12"/>
      <c r="S1206" s="12"/>
      <c r="T1206" s="12"/>
      <c r="U1206" s="12"/>
      <c r="V1206" s="12"/>
      <c r="W1206" s="12"/>
      <c r="X1206" s="12"/>
      <c r="Y1206" s="12"/>
      <c r="Z1206" s="12"/>
      <c r="AA1206" s="12"/>
      <c r="AB1206" s="12"/>
      <c r="AC1206" s="12"/>
      <c r="AD1206" s="12"/>
      <c r="AE1206" s="12"/>
      <c r="AF1206" s="12"/>
      <c r="AG1206" s="12"/>
      <c r="AH1206" s="12"/>
      <c r="AI1206" s="12"/>
      <c r="AJ1206" s="12"/>
      <c r="AK1206" s="12"/>
      <c r="AL1206" s="12"/>
      <c r="AM1206" s="12"/>
      <c r="AN1206" s="12"/>
      <c r="AO1206" s="12"/>
      <c r="AP1206" s="12"/>
      <c r="AQ1206" s="12"/>
      <c r="AR1206" s="12"/>
      <c r="AS1206" s="12"/>
      <c r="AT1206" s="12"/>
      <c r="AU1206" s="12"/>
      <c r="AV1206" s="12"/>
      <c r="AW1206" s="12"/>
      <c r="AX1206" s="12"/>
      <c r="AY1206" s="12"/>
      <c r="AZ1206" s="12"/>
      <c r="BA1206" s="12"/>
      <c r="BB1206" s="12"/>
      <c r="BC1206" s="12"/>
      <c r="BD1206" s="12"/>
      <c r="BE1206" s="12"/>
      <c r="BF1206" s="12"/>
      <c r="BG1206" s="12"/>
      <c r="BH1206" s="12"/>
      <c r="BI1206" s="12"/>
      <c r="BJ1206" s="12"/>
      <c r="BK1206" s="12"/>
      <c r="BL1206" s="12"/>
      <c r="BM1206" s="12"/>
      <c r="BN1206" s="12"/>
      <c r="BO1206" s="12"/>
      <c r="BP1206" s="12"/>
      <c r="BQ1206" s="12"/>
      <c r="BR1206" s="12"/>
      <c r="BS1206" s="12"/>
      <c r="BT1206" s="12"/>
      <c r="BU1206" s="12"/>
      <c r="BV1206" s="12"/>
      <c r="BW1206" s="12"/>
      <c r="BX1206" s="12"/>
      <c r="BY1206" s="12"/>
      <c r="BZ1206" s="12"/>
      <c r="CA1206" s="12"/>
      <c r="CB1206" s="12"/>
      <c r="CC1206" s="12"/>
      <c r="CD1206" s="12"/>
      <c r="CE1206" s="12"/>
      <c r="CF1206" s="12"/>
      <c r="CG1206" s="12"/>
      <c r="CH1206" s="12"/>
      <c r="CI1206" s="12"/>
      <c r="CJ1206" s="12"/>
      <c r="CK1206" s="12"/>
      <c r="CL1206" s="12"/>
      <c r="CM1206" s="12"/>
      <c r="CN1206" s="12"/>
      <c r="CO1206" s="12"/>
      <c r="CP1206" s="12"/>
      <c r="CQ1206" s="12"/>
      <c r="CR1206" s="12"/>
      <c r="CS1206" s="12"/>
      <c r="CT1206" s="12"/>
      <c r="CU1206" s="12"/>
      <c r="CV1206" s="12"/>
      <c r="CW1206" s="12"/>
      <c r="CX1206" s="12"/>
      <c r="CY1206" s="12"/>
      <c r="CZ1206" s="12"/>
      <c r="DA1206" s="12"/>
      <c r="DB1206" s="12"/>
      <c r="DC1206" s="12"/>
      <c r="DD1206" s="12"/>
      <c r="DE1206" s="12"/>
      <c r="DF1206" s="12"/>
      <c r="DG1206" s="12"/>
      <c r="DH1206" s="12"/>
      <c r="DI1206" s="12"/>
      <c r="DJ1206" s="12"/>
      <c r="DK1206" s="12"/>
      <c r="DL1206" s="12"/>
      <c r="DM1206" s="12"/>
      <c r="DN1206" s="12"/>
      <c r="DO1206" s="12"/>
      <c r="DP1206" s="12"/>
      <c r="DQ1206" s="12"/>
      <c r="DR1206" s="12"/>
      <c r="DS1206" s="12"/>
      <c r="DT1206" s="12"/>
      <c r="DU1206" s="12"/>
      <c r="DV1206" s="12"/>
      <c r="DW1206" s="12"/>
      <c r="DX1206" s="12"/>
      <c r="DY1206" s="12"/>
      <c r="DZ1206" s="12"/>
      <c r="EA1206" s="12"/>
      <c r="EB1206" s="12"/>
      <c r="EC1206" s="12"/>
      <c r="ED1206" s="12"/>
      <c r="EE1206" s="12"/>
      <c r="EF1206" s="12"/>
      <c r="EG1206" s="12"/>
      <c r="EH1206" s="12"/>
      <c r="EI1206" s="12"/>
      <c r="EJ1206" s="574"/>
      <c r="EK1206" s="574"/>
      <c r="EL1206" s="574"/>
      <c r="EM1206" s="574"/>
      <c r="EN1206" s="574"/>
      <c r="EO1206" s="574"/>
      <c r="EP1206" s="574"/>
      <c r="EQ1206" s="574"/>
      <c r="ER1206" s="574"/>
      <c r="ES1206" s="574"/>
      <c r="ET1206" s="574"/>
      <c r="EU1206" s="574"/>
    </row>
    <row r="1207">
      <c r="A1207" s="12"/>
      <c r="B1207" s="55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12"/>
      <c r="V1207" s="12"/>
      <c r="W1207" s="12"/>
      <c r="X1207" s="12"/>
      <c r="Y1207" s="12"/>
      <c r="Z1207" s="12"/>
      <c r="AA1207" s="12"/>
      <c r="AB1207" s="12"/>
      <c r="AC1207" s="12"/>
      <c r="AD1207" s="12"/>
      <c r="AE1207" s="12"/>
      <c r="AF1207" s="12"/>
      <c r="AG1207" s="12"/>
      <c r="AH1207" s="12"/>
      <c r="AI1207" s="12"/>
      <c r="AJ1207" s="12"/>
      <c r="AK1207" s="12"/>
      <c r="AL1207" s="12"/>
      <c r="AM1207" s="12"/>
      <c r="AN1207" s="12"/>
      <c r="AO1207" s="12"/>
      <c r="AP1207" s="12"/>
      <c r="AQ1207" s="12"/>
      <c r="AR1207" s="12"/>
      <c r="AS1207" s="12"/>
      <c r="AT1207" s="12"/>
      <c r="AU1207" s="12"/>
      <c r="AV1207" s="12"/>
      <c r="AW1207" s="12"/>
      <c r="AX1207" s="12"/>
      <c r="AY1207" s="12"/>
      <c r="AZ1207" s="12"/>
      <c r="BA1207" s="12"/>
      <c r="BB1207" s="12"/>
      <c r="BC1207" s="12"/>
      <c r="BD1207" s="12"/>
      <c r="BE1207" s="12"/>
      <c r="BF1207" s="12"/>
      <c r="BG1207" s="12"/>
      <c r="BH1207" s="12"/>
      <c r="BI1207" s="12"/>
      <c r="BJ1207" s="12"/>
      <c r="BK1207" s="12"/>
      <c r="BL1207" s="12"/>
      <c r="BM1207" s="12"/>
      <c r="BN1207" s="12"/>
      <c r="BO1207" s="12"/>
      <c r="BP1207" s="12"/>
      <c r="BQ1207" s="12"/>
      <c r="BR1207" s="12"/>
      <c r="BS1207" s="12"/>
      <c r="BT1207" s="12"/>
      <c r="BU1207" s="12"/>
      <c r="BV1207" s="12"/>
      <c r="BW1207" s="12"/>
      <c r="BX1207" s="12"/>
      <c r="BY1207" s="12"/>
      <c r="BZ1207" s="12"/>
      <c r="CA1207" s="12"/>
      <c r="CB1207" s="12"/>
      <c r="CC1207" s="12"/>
      <c r="CD1207" s="12"/>
      <c r="CE1207" s="12"/>
      <c r="CF1207" s="12"/>
      <c r="CG1207" s="12"/>
      <c r="CH1207" s="12"/>
      <c r="CI1207" s="12"/>
      <c r="CJ1207" s="12"/>
      <c r="CK1207" s="12"/>
      <c r="CL1207" s="12"/>
      <c r="CM1207" s="12"/>
      <c r="CN1207" s="12"/>
      <c r="CO1207" s="12"/>
      <c r="CP1207" s="12"/>
      <c r="CQ1207" s="12"/>
      <c r="CR1207" s="12"/>
      <c r="CS1207" s="12"/>
      <c r="CT1207" s="12"/>
      <c r="CU1207" s="12"/>
      <c r="CV1207" s="12"/>
      <c r="CW1207" s="12"/>
      <c r="CX1207" s="12"/>
      <c r="CY1207" s="12"/>
      <c r="CZ1207" s="12"/>
      <c r="DA1207" s="12"/>
      <c r="DB1207" s="12"/>
      <c r="DC1207" s="12"/>
      <c r="DD1207" s="12"/>
      <c r="DE1207" s="12"/>
      <c r="DF1207" s="12"/>
      <c r="DG1207" s="12"/>
      <c r="DH1207" s="12"/>
      <c r="DI1207" s="12"/>
      <c r="DJ1207" s="12"/>
      <c r="DK1207" s="12"/>
      <c r="DL1207" s="12"/>
      <c r="DM1207" s="12"/>
      <c r="DN1207" s="12"/>
      <c r="DO1207" s="12"/>
      <c r="DP1207" s="12"/>
      <c r="DQ1207" s="12"/>
      <c r="DR1207" s="12"/>
      <c r="DS1207" s="12"/>
      <c r="DT1207" s="12"/>
      <c r="DU1207" s="12"/>
      <c r="DV1207" s="12"/>
      <c r="DW1207" s="12"/>
      <c r="DX1207" s="12"/>
      <c r="DY1207" s="12"/>
      <c r="DZ1207" s="12"/>
      <c r="EA1207" s="12"/>
      <c r="EB1207" s="12"/>
      <c r="EC1207" s="12"/>
      <c r="ED1207" s="12"/>
      <c r="EE1207" s="12"/>
      <c r="EF1207" s="12"/>
      <c r="EG1207" s="12"/>
      <c r="EH1207" s="12"/>
      <c r="EI1207" s="12"/>
      <c r="EJ1207" s="574"/>
      <c r="EK1207" s="574"/>
      <c r="EL1207" s="574"/>
      <c r="EM1207" s="574"/>
      <c r="EN1207" s="574"/>
      <c r="EO1207" s="574"/>
      <c r="EP1207" s="574"/>
      <c r="EQ1207" s="574"/>
      <c r="ER1207" s="574"/>
      <c r="ES1207" s="574"/>
      <c r="ET1207" s="574"/>
      <c r="EU1207" s="574"/>
    </row>
    <row r="1208">
      <c r="A1208" s="12"/>
      <c r="B1208" s="55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2"/>
      <c r="R1208" s="12"/>
      <c r="S1208" s="12"/>
      <c r="T1208" s="12"/>
      <c r="U1208" s="12"/>
      <c r="V1208" s="12"/>
      <c r="W1208" s="12"/>
      <c r="X1208" s="12"/>
      <c r="Y1208" s="12"/>
      <c r="Z1208" s="12"/>
      <c r="AA1208" s="12"/>
      <c r="AB1208" s="12"/>
      <c r="AC1208" s="12"/>
      <c r="AD1208" s="12"/>
      <c r="AE1208" s="12"/>
      <c r="AF1208" s="12"/>
      <c r="AG1208" s="12"/>
      <c r="AH1208" s="12"/>
      <c r="AI1208" s="12"/>
      <c r="AJ1208" s="12"/>
      <c r="AK1208" s="12"/>
      <c r="AL1208" s="12"/>
      <c r="AM1208" s="12"/>
      <c r="AN1208" s="12"/>
      <c r="AO1208" s="12"/>
      <c r="AP1208" s="12"/>
      <c r="AQ1208" s="12"/>
      <c r="AR1208" s="12"/>
      <c r="AS1208" s="12"/>
      <c r="AT1208" s="12"/>
      <c r="AU1208" s="12"/>
      <c r="AV1208" s="12"/>
      <c r="AW1208" s="12"/>
      <c r="AX1208" s="12"/>
      <c r="AY1208" s="12"/>
      <c r="AZ1208" s="12"/>
      <c r="BA1208" s="12"/>
      <c r="BB1208" s="12"/>
      <c r="BC1208" s="12"/>
      <c r="BD1208" s="12"/>
      <c r="BE1208" s="12"/>
      <c r="BF1208" s="12"/>
      <c r="BG1208" s="12"/>
      <c r="BH1208" s="12"/>
      <c r="BI1208" s="12"/>
      <c r="BJ1208" s="12"/>
      <c r="BK1208" s="12"/>
      <c r="BL1208" s="12"/>
      <c r="BM1208" s="12"/>
      <c r="BN1208" s="12"/>
      <c r="BO1208" s="12"/>
      <c r="BP1208" s="12"/>
      <c r="BQ1208" s="12"/>
      <c r="BR1208" s="12"/>
      <c r="BS1208" s="12"/>
      <c r="BT1208" s="12"/>
      <c r="BU1208" s="12"/>
      <c r="BV1208" s="12"/>
      <c r="BW1208" s="12"/>
      <c r="BX1208" s="12"/>
      <c r="BY1208" s="12"/>
      <c r="BZ1208" s="12"/>
      <c r="CA1208" s="12"/>
      <c r="CB1208" s="12"/>
      <c r="CC1208" s="12"/>
      <c r="CD1208" s="12"/>
      <c r="CE1208" s="12"/>
      <c r="CF1208" s="12"/>
      <c r="CG1208" s="12"/>
      <c r="CH1208" s="12"/>
      <c r="CI1208" s="12"/>
      <c r="CJ1208" s="12"/>
      <c r="CK1208" s="12"/>
      <c r="CL1208" s="12"/>
      <c r="CM1208" s="12"/>
      <c r="CN1208" s="12"/>
      <c r="CO1208" s="12"/>
      <c r="CP1208" s="12"/>
      <c r="CQ1208" s="12"/>
      <c r="CR1208" s="12"/>
      <c r="CS1208" s="12"/>
      <c r="CT1208" s="12"/>
      <c r="CU1208" s="12"/>
      <c r="CV1208" s="12"/>
      <c r="CW1208" s="12"/>
      <c r="CX1208" s="12"/>
      <c r="CY1208" s="12"/>
      <c r="CZ1208" s="12"/>
      <c r="DA1208" s="12"/>
      <c r="DB1208" s="12"/>
      <c r="DC1208" s="12"/>
      <c r="DD1208" s="12"/>
      <c r="DE1208" s="12"/>
      <c r="DF1208" s="12"/>
      <c r="DG1208" s="12"/>
      <c r="DH1208" s="12"/>
      <c r="DI1208" s="12"/>
      <c r="DJ1208" s="12"/>
      <c r="DK1208" s="12"/>
      <c r="DL1208" s="12"/>
      <c r="DM1208" s="12"/>
      <c r="DN1208" s="12"/>
      <c r="DO1208" s="12"/>
      <c r="DP1208" s="12"/>
      <c r="DQ1208" s="12"/>
      <c r="DR1208" s="12"/>
      <c r="DS1208" s="12"/>
      <c r="DT1208" s="12"/>
      <c r="DU1208" s="12"/>
      <c r="DV1208" s="12"/>
      <c r="DW1208" s="12"/>
      <c r="DX1208" s="12"/>
      <c r="DY1208" s="12"/>
      <c r="DZ1208" s="12"/>
      <c r="EA1208" s="12"/>
      <c r="EB1208" s="12"/>
      <c r="EC1208" s="12"/>
      <c r="ED1208" s="12"/>
      <c r="EE1208" s="12"/>
      <c r="EF1208" s="12"/>
      <c r="EG1208" s="12"/>
      <c r="EH1208" s="12"/>
      <c r="EI1208" s="12"/>
      <c r="EJ1208" s="574"/>
      <c r="EK1208" s="574"/>
      <c r="EL1208" s="574"/>
      <c r="EM1208" s="574"/>
      <c r="EN1208" s="574"/>
      <c r="EO1208" s="574"/>
      <c r="EP1208" s="574"/>
      <c r="EQ1208" s="574"/>
      <c r="ER1208" s="574"/>
      <c r="ES1208" s="574"/>
      <c r="ET1208" s="574"/>
      <c r="EU1208" s="574"/>
    </row>
    <row r="1209">
      <c r="A1209" s="12"/>
      <c r="B1209" s="55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2"/>
      <c r="R1209" s="12"/>
      <c r="S1209" s="12"/>
      <c r="T1209" s="12"/>
      <c r="U1209" s="12"/>
      <c r="V1209" s="12"/>
      <c r="W1209" s="12"/>
      <c r="X1209" s="12"/>
      <c r="Y1209" s="12"/>
      <c r="Z1209" s="12"/>
      <c r="AA1209" s="12"/>
      <c r="AB1209" s="12"/>
      <c r="AC1209" s="12"/>
      <c r="AD1209" s="12"/>
      <c r="AE1209" s="12"/>
      <c r="AF1209" s="12"/>
      <c r="AG1209" s="12"/>
      <c r="AH1209" s="12"/>
      <c r="AI1209" s="12"/>
      <c r="AJ1209" s="12"/>
      <c r="AK1209" s="12"/>
      <c r="AL1209" s="12"/>
      <c r="AM1209" s="12"/>
      <c r="AN1209" s="12"/>
      <c r="AO1209" s="12"/>
      <c r="AP1209" s="12"/>
      <c r="AQ1209" s="12"/>
      <c r="AR1209" s="12"/>
      <c r="AS1209" s="12"/>
      <c r="AT1209" s="12"/>
      <c r="AU1209" s="12"/>
      <c r="AV1209" s="12"/>
      <c r="AW1209" s="12"/>
      <c r="AX1209" s="12"/>
      <c r="AY1209" s="12"/>
      <c r="AZ1209" s="12"/>
      <c r="BA1209" s="12"/>
      <c r="BB1209" s="12"/>
      <c r="BC1209" s="12"/>
      <c r="BD1209" s="12"/>
      <c r="BE1209" s="12"/>
      <c r="BF1209" s="12"/>
      <c r="BG1209" s="12"/>
      <c r="BH1209" s="12"/>
      <c r="BI1209" s="12"/>
      <c r="BJ1209" s="12"/>
      <c r="BK1209" s="12"/>
      <c r="BL1209" s="12"/>
      <c r="BM1209" s="12"/>
      <c r="BN1209" s="12"/>
      <c r="BO1209" s="12"/>
      <c r="BP1209" s="12"/>
      <c r="BQ1209" s="12"/>
      <c r="BR1209" s="12"/>
      <c r="BS1209" s="12"/>
      <c r="BT1209" s="12"/>
      <c r="BU1209" s="12"/>
      <c r="BV1209" s="12"/>
      <c r="BW1209" s="12"/>
      <c r="BX1209" s="12"/>
      <c r="BY1209" s="12"/>
      <c r="BZ1209" s="12"/>
      <c r="CA1209" s="12"/>
      <c r="CB1209" s="12"/>
      <c r="CC1209" s="12"/>
      <c r="CD1209" s="12"/>
      <c r="CE1209" s="12"/>
      <c r="CF1209" s="12"/>
      <c r="CG1209" s="12"/>
      <c r="CH1209" s="12"/>
      <c r="CI1209" s="12"/>
      <c r="CJ1209" s="12"/>
      <c r="CK1209" s="12"/>
      <c r="CL1209" s="12"/>
      <c r="CM1209" s="12"/>
      <c r="CN1209" s="12"/>
      <c r="CO1209" s="12"/>
      <c r="CP1209" s="12"/>
      <c r="CQ1209" s="12"/>
      <c r="CR1209" s="12"/>
      <c r="CS1209" s="12"/>
      <c r="CT1209" s="12"/>
      <c r="CU1209" s="12"/>
      <c r="CV1209" s="12"/>
      <c r="CW1209" s="12"/>
      <c r="CX1209" s="12"/>
      <c r="CY1209" s="12"/>
      <c r="CZ1209" s="12"/>
      <c r="DA1209" s="12"/>
      <c r="DB1209" s="12"/>
      <c r="DC1209" s="12"/>
      <c r="DD1209" s="12"/>
      <c r="DE1209" s="12"/>
      <c r="DF1209" s="12"/>
      <c r="DG1209" s="12"/>
      <c r="DH1209" s="12"/>
      <c r="DI1209" s="12"/>
      <c r="DJ1209" s="12"/>
      <c r="DK1209" s="12"/>
      <c r="DL1209" s="12"/>
      <c r="DM1209" s="12"/>
      <c r="DN1209" s="12"/>
      <c r="DO1209" s="12"/>
      <c r="DP1209" s="12"/>
      <c r="DQ1209" s="12"/>
      <c r="DR1209" s="12"/>
      <c r="DS1209" s="12"/>
      <c r="DT1209" s="12"/>
      <c r="DU1209" s="12"/>
      <c r="DV1209" s="12"/>
      <c r="DW1209" s="12"/>
      <c r="DX1209" s="12"/>
      <c r="DY1209" s="12"/>
      <c r="DZ1209" s="12"/>
      <c r="EA1209" s="12"/>
      <c r="EB1209" s="12"/>
      <c r="EC1209" s="12"/>
      <c r="ED1209" s="12"/>
      <c r="EE1209" s="12"/>
      <c r="EF1209" s="12"/>
      <c r="EG1209" s="12"/>
      <c r="EH1209" s="12"/>
      <c r="EI1209" s="12"/>
      <c r="EJ1209" s="574"/>
      <c r="EK1209" s="574"/>
      <c r="EL1209" s="574"/>
      <c r="EM1209" s="574"/>
      <c r="EN1209" s="574"/>
      <c r="EO1209" s="574"/>
      <c r="EP1209" s="574"/>
      <c r="EQ1209" s="574"/>
      <c r="ER1209" s="574"/>
      <c r="ES1209" s="574"/>
      <c r="ET1209" s="574"/>
      <c r="EU1209" s="574"/>
    </row>
    <row r="1210">
      <c r="A1210" s="12"/>
      <c r="B1210" s="55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2"/>
      <c r="R1210" s="12"/>
      <c r="S1210" s="12"/>
      <c r="T1210" s="12"/>
      <c r="U1210" s="12"/>
      <c r="V1210" s="12"/>
      <c r="W1210" s="12"/>
      <c r="X1210" s="12"/>
      <c r="Y1210" s="12"/>
      <c r="Z1210" s="12"/>
      <c r="AA1210" s="12"/>
      <c r="AB1210" s="12"/>
      <c r="AC1210" s="12"/>
      <c r="AD1210" s="12"/>
      <c r="AE1210" s="12"/>
      <c r="AF1210" s="12"/>
      <c r="AG1210" s="12"/>
      <c r="AH1210" s="12"/>
      <c r="AI1210" s="12"/>
      <c r="AJ1210" s="12"/>
      <c r="AK1210" s="12"/>
      <c r="AL1210" s="12"/>
      <c r="AM1210" s="12"/>
      <c r="AN1210" s="12"/>
      <c r="AO1210" s="12"/>
      <c r="AP1210" s="12"/>
      <c r="AQ1210" s="12"/>
      <c r="AR1210" s="12"/>
      <c r="AS1210" s="12"/>
      <c r="AT1210" s="12"/>
      <c r="AU1210" s="12"/>
      <c r="AV1210" s="12"/>
      <c r="AW1210" s="12"/>
      <c r="AX1210" s="12"/>
      <c r="AY1210" s="12"/>
      <c r="AZ1210" s="12"/>
      <c r="BA1210" s="12"/>
      <c r="BB1210" s="12"/>
      <c r="BC1210" s="12"/>
      <c r="BD1210" s="12"/>
      <c r="BE1210" s="12"/>
      <c r="BF1210" s="12"/>
      <c r="BG1210" s="12"/>
      <c r="BH1210" s="12"/>
      <c r="BI1210" s="12"/>
      <c r="BJ1210" s="12"/>
      <c r="BK1210" s="12"/>
      <c r="BL1210" s="12"/>
      <c r="BM1210" s="12"/>
      <c r="BN1210" s="12"/>
      <c r="BO1210" s="12"/>
      <c r="BP1210" s="12"/>
      <c r="BQ1210" s="12"/>
      <c r="BR1210" s="12"/>
      <c r="BS1210" s="12"/>
      <c r="BT1210" s="12"/>
      <c r="BU1210" s="12"/>
      <c r="BV1210" s="12"/>
      <c r="BW1210" s="12"/>
      <c r="BX1210" s="12"/>
      <c r="BY1210" s="12"/>
      <c r="BZ1210" s="12"/>
      <c r="CA1210" s="12"/>
      <c r="CB1210" s="12"/>
      <c r="CC1210" s="12"/>
      <c r="CD1210" s="12"/>
      <c r="CE1210" s="12"/>
      <c r="CF1210" s="12"/>
      <c r="CG1210" s="12"/>
      <c r="CH1210" s="12"/>
      <c r="CI1210" s="12"/>
      <c r="CJ1210" s="12"/>
      <c r="CK1210" s="12"/>
      <c r="CL1210" s="12"/>
      <c r="CM1210" s="12"/>
      <c r="CN1210" s="12"/>
      <c r="CO1210" s="12"/>
      <c r="CP1210" s="12"/>
      <c r="CQ1210" s="12"/>
      <c r="CR1210" s="12"/>
      <c r="CS1210" s="12"/>
      <c r="CT1210" s="12"/>
      <c r="CU1210" s="12"/>
      <c r="CV1210" s="12"/>
      <c r="CW1210" s="12"/>
      <c r="CX1210" s="12"/>
      <c r="CY1210" s="12"/>
      <c r="CZ1210" s="12"/>
      <c r="DA1210" s="12"/>
      <c r="DB1210" s="12"/>
      <c r="DC1210" s="12"/>
      <c r="DD1210" s="12"/>
      <c r="DE1210" s="12"/>
      <c r="DF1210" s="12"/>
      <c r="DG1210" s="12"/>
      <c r="DH1210" s="12"/>
      <c r="DI1210" s="12"/>
      <c r="DJ1210" s="12"/>
      <c r="DK1210" s="12"/>
      <c r="DL1210" s="12"/>
      <c r="DM1210" s="12"/>
      <c r="DN1210" s="12"/>
      <c r="DO1210" s="12"/>
      <c r="DP1210" s="12"/>
      <c r="DQ1210" s="12"/>
      <c r="DR1210" s="12"/>
      <c r="DS1210" s="12"/>
      <c r="DT1210" s="12"/>
      <c r="DU1210" s="12"/>
      <c r="DV1210" s="12"/>
      <c r="DW1210" s="12"/>
      <c r="DX1210" s="12"/>
      <c r="DY1210" s="12"/>
      <c r="DZ1210" s="12"/>
      <c r="EA1210" s="12"/>
      <c r="EB1210" s="12"/>
      <c r="EC1210" s="12"/>
      <c r="ED1210" s="12"/>
      <c r="EE1210" s="12"/>
      <c r="EF1210" s="12"/>
      <c r="EG1210" s="12"/>
      <c r="EH1210" s="12"/>
      <c r="EI1210" s="12"/>
      <c r="EJ1210" s="574"/>
      <c r="EK1210" s="574"/>
      <c r="EL1210" s="574"/>
      <c r="EM1210" s="574"/>
      <c r="EN1210" s="574"/>
      <c r="EO1210" s="574"/>
      <c r="EP1210" s="574"/>
      <c r="EQ1210" s="574"/>
      <c r="ER1210" s="574"/>
      <c r="ES1210" s="574"/>
      <c r="ET1210" s="574"/>
      <c r="EU1210" s="574"/>
    </row>
    <row r="1211">
      <c r="A1211" s="12"/>
      <c r="B1211" s="55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2"/>
      <c r="R1211" s="12"/>
      <c r="S1211" s="12"/>
      <c r="T1211" s="12"/>
      <c r="U1211" s="12"/>
      <c r="V1211" s="12"/>
      <c r="W1211" s="12"/>
      <c r="X1211" s="12"/>
      <c r="Y1211" s="12"/>
      <c r="Z1211" s="12"/>
      <c r="AA1211" s="12"/>
      <c r="AB1211" s="12"/>
      <c r="AC1211" s="12"/>
      <c r="AD1211" s="12"/>
      <c r="AE1211" s="12"/>
      <c r="AF1211" s="12"/>
      <c r="AG1211" s="12"/>
      <c r="AH1211" s="12"/>
      <c r="AI1211" s="12"/>
      <c r="AJ1211" s="12"/>
      <c r="AK1211" s="12"/>
      <c r="AL1211" s="12"/>
      <c r="AM1211" s="12"/>
      <c r="AN1211" s="12"/>
      <c r="AO1211" s="12"/>
      <c r="AP1211" s="12"/>
      <c r="AQ1211" s="12"/>
      <c r="AR1211" s="12"/>
      <c r="AS1211" s="12"/>
      <c r="AT1211" s="12"/>
      <c r="AU1211" s="12"/>
      <c r="AV1211" s="12"/>
      <c r="AW1211" s="12"/>
      <c r="AX1211" s="12"/>
      <c r="AY1211" s="12"/>
      <c r="AZ1211" s="12"/>
      <c r="BA1211" s="12"/>
      <c r="BB1211" s="12"/>
      <c r="BC1211" s="12"/>
      <c r="BD1211" s="12"/>
      <c r="BE1211" s="12"/>
      <c r="BF1211" s="12"/>
      <c r="BG1211" s="12"/>
      <c r="BH1211" s="12"/>
      <c r="BI1211" s="12"/>
      <c r="BJ1211" s="12"/>
      <c r="BK1211" s="12"/>
      <c r="BL1211" s="12"/>
      <c r="BM1211" s="12"/>
      <c r="BN1211" s="12"/>
      <c r="BO1211" s="12"/>
      <c r="BP1211" s="12"/>
      <c r="BQ1211" s="12"/>
      <c r="BR1211" s="12"/>
      <c r="BS1211" s="12"/>
      <c r="BT1211" s="12"/>
      <c r="BU1211" s="12"/>
      <c r="BV1211" s="12"/>
      <c r="BW1211" s="12"/>
      <c r="BX1211" s="12"/>
      <c r="BY1211" s="12"/>
      <c r="BZ1211" s="12"/>
      <c r="CA1211" s="12"/>
      <c r="CB1211" s="12"/>
      <c r="CC1211" s="12"/>
      <c r="CD1211" s="12"/>
      <c r="CE1211" s="12"/>
      <c r="CF1211" s="12"/>
      <c r="CG1211" s="12"/>
      <c r="CH1211" s="12"/>
      <c r="CI1211" s="12"/>
      <c r="CJ1211" s="12"/>
      <c r="CK1211" s="12"/>
      <c r="CL1211" s="12"/>
      <c r="CM1211" s="12"/>
      <c r="CN1211" s="12"/>
      <c r="CO1211" s="12"/>
      <c r="CP1211" s="12"/>
      <c r="CQ1211" s="12"/>
      <c r="CR1211" s="12"/>
      <c r="CS1211" s="12"/>
      <c r="CT1211" s="12"/>
      <c r="CU1211" s="12"/>
      <c r="CV1211" s="12"/>
      <c r="CW1211" s="12"/>
      <c r="CX1211" s="12"/>
      <c r="CY1211" s="12"/>
      <c r="CZ1211" s="12"/>
      <c r="DA1211" s="12"/>
      <c r="DB1211" s="12"/>
      <c r="DC1211" s="12"/>
      <c r="DD1211" s="12"/>
      <c r="DE1211" s="12"/>
      <c r="DF1211" s="12"/>
      <c r="DG1211" s="12"/>
      <c r="DH1211" s="12"/>
      <c r="DI1211" s="12"/>
      <c r="DJ1211" s="12"/>
      <c r="DK1211" s="12"/>
      <c r="DL1211" s="12"/>
      <c r="DM1211" s="12"/>
      <c r="DN1211" s="12"/>
      <c r="DO1211" s="12"/>
      <c r="DP1211" s="12"/>
      <c r="DQ1211" s="12"/>
      <c r="DR1211" s="12"/>
      <c r="DS1211" s="12"/>
      <c r="DT1211" s="12"/>
      <c r="DU1211" s="12"/>
      <c r="DV1211" s="12"/>
      <c r="DW1211" s="12"/>
      <c r="DX1211" s="12"/>
      <c r="DY1211" s="12"/>
      <c r="DZ1211" s="12"/>
      <c r="EA1211" s="12"/>
      <c r="EB1211" s="12"/>
      <c r="EC1211" s="12"/>
      <c r="ED1211" s="12"/>
      <c r="EE1211" s="12"/>
      <c r="EF1211" s="12"/>
      <c r="EG1211" s="12"/>
      <c r="EH1211" s="12"/>
      <c r="EI1211" s="12"/>
      <c r="EJ1211" s="574"/>
      <c r="EK1211" s="574"/>
      <c r="EL1211" s="574"/>
      <c r="EM1211" s="574"/>
      <c r="EN1211" s="574"/>
      <c r="EO1211" s="574"/>
      <c r="EP1211" s="574"/>
      <c r="EQ1211" s="574"/>
      <c r="ER1211" s="574"/>
      <c r="ES1211" s="574"/>
      <c r="ET1211" s="574"/>
      <c r="EU1211" s="574"/>
    </row>
    <row r="1212">
      <c r="A1212" s="12"/>
      <c r="B1212" s="55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2"/>
      <c r="R1212" s="12"/>
      <c r="S1212" s="12"/>
      <c r="T1212" s="12"/>
      <c r="U1212" s="12"/>
      <c r="V1212" s="12"/>
      <c r="W1212" s="12"/>
      <c r="X1212" s="12"/>
      <c r="Y1212" s="12"/>
      <c r="Z1212" s="12"/>
      <c r="AA1212" s="12"/>
      <c r="AB1212" s="12"/>
      <c r="AC1212" s="12"/>
      <c r="AD1212" s="12"/>
      <c r="AE1212" s="12"/>
      <c r="AF1212" s="12"/>
      <c r="AG1212" s="12"/>
      <c r="AH1212" s="12"/>
      <c r="AI1212" s="12"/>
      <c r="AJ1212" s="12"/>
      <c r="AK1212" s="12"/>
      <c r="AL1212" s="12"/>
      <c r="AM1212" s="12"/>
      <c r="AN1212" s="12"/>
      <c r="AO1212" s="12"/>
      <c r="AP1212" s="12"/>
      <c r="AQ1212" s="12"/>
      <c r="AR1212" s="12"/>
      <c r="AS1212" s="12"/>
      <c r="AT1212" s="12"/>
      <c r="AU1212" s="12"/>
      <c r="AV1212" s="12"/>
      <c r="AW1212" s="12"/>
      <c r="AX1212" s="12"/>
      <c r="AY1212" s="12"/>
      <c r="AZ1212" s="12"/>
      <c r="BA1212" s="12"/>
      <c r="BB1212" s="12"/>
      <c r="BC1212" s="12"/>
      <c r="BD1212" s="12"/>
      <c r="BE1212" s="12"/>
      <c r="BF1212" s="12"/>
      <c r="BG1212" s="12"/>
      <c r="BH1212" s="12"/>
      <c r="BI1212" s="12"/>
      <c r="BJ1212" s="12"/>
      <c r="BK1212" s="12"/>
      <c r="BL1212" s="12"/>
      <c r="BM1212" s="12"/>
      <c r="BN1212" s="12"/>
      <c r="BO1212" s="12"/>
      <c r="BP1212" s="12"/>
      <c r="BQ1212" s="12"/>
      <c r="BR1212" s="12"/>
      <c r="BS1212" s="12"/>
      <c r="BT1212" s="12"/>
      <c r="BU1212" s="12"/>
      <c r="BV1212" s="12"/>
      <c r="BW1212" s="12"/>
      <c r="BX1212" s="12"/>
      <c r="BY1212" s="12"/>
      <c r="BZ1212" s="12"/>
      <c r="CA1212" s="12"/>
      <c r="CB1212" s="12"/>
      <c r="CC1212" s="12"/>
      <c r="CD1212" s="12"/>
      <c r="CE1212" s="12"/>
      <c r="CF1212" s="12"/>
      <c r="CG1212" s="12"/>
      <c r="CH1212" s="12"/>
      <c r="CI1212" s="12"/>
      <c r="CJ1212" s="12"/>
      <c r="CK1212" s="12"/>
      <c r="CL1212" s="12"/>
      <c r="CM1212" s="12"/>
      <c r="CN1212" s="12"/>
      <c r="CO1212" s="12"/>
      <c r="CP1212" s="12"/>
      <c r="CQ1212" s="12"/>
      <c r="CR1212" s="12"/>
      <c r="CS1212" s="12"/>
      <c r="CT1212" s="12"/>
      <c r="CU1212" s="12"/>
      <c r="CV1212" s="12"/>
      <c r="CW1212" s="12"/>
      <c r="CX1212" s="12"/>
      <c r="CY1212" s="12"/>
      <c r="CZ1212" s="12"/>
      <c r="DA1212" s="12"/>
      <c r="DB1212" s="12"/>
      <c r="DC1212" s="12"/>
      <c r="DD1212" s="12"/>
      <c r="DE1212" s="12"/>
      <c r="DF1212" s="12"/>
      <c r="DG1212" s="12"/>
      <c r="DH1212" s="12"/>
      <c r="DI1212" s="12"/>
      <c r="DJ1212" s="12"/>
      <c r="DK1212" s="12"/>
      <c r="DL1212" s="12"/>
      <c r="DM1212" s="12"/>
      <c r="DN1212" s="12"/>
      <c r="DO1212" s="12"/>
      <c r="DP1212" s="12"/>
      <c r="DQ1212" s="12"/>
      <c r="DR1212" s="12"/>
      <c r="DS1212" s="12"/>
      <c r="DT1212" s="12"/>
      <c r="DU1212" s="12"/>
      <c r="DV1212" s="12"/>
      <c r="DW1212" s="12"/>
      <c r="DX1212" s="12"/>
      <c r="DY1212" s="12"/>
      <c r="DZ1212" s="12"/>
      <c r="EA1212" s="12"/>
      <c r="EB1212" s="12"/>
      <c r="EC1212" s="12"/>
      <c r="ED1212" s="12"/>
      <c r="EE1212" s="12"/>
      <c r="EF1212" s="12"/>
      <c r="EG1212" s="12"/>
      <c r="EH1212" s="12"/>
      <c r="EI1212" s="12"/>
      <c r="EJ1212" s="574"/>
      <c r="EK1212" s="574"/>
      <c r="EL1212" s="574"/>
      <c r="EM1212" s="574"/>
      <c r="EN1212" s="574"/>
      <c r="EO1212" s="574"/>
      <c r="EP1212" s="574"/>
      <c r="EQ1212" s="574"/>
      <c r="ER1212" s="574"/>
      <c r="ES1212" s="574"/>
      <c r="ET1212" s="574"/>
      <c r="EU1212" s="574"/>
    </row>
    <row r="1213">
      <c r="A1213" s="12"/>
      <c r="B1213" s="55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2"/>
      <c r="R1213" s="12"/>
      <c r="S1213" s="12"/>
      <c r="T1213" s="12"/>
      <c r="U1213" s="12"/>
      <c r="V1213" s="12"/>
      <c r="W1213" s="12"/>
      <c r="X1213" s="12"/>
      <c r="Y1213" s="12"/>
      <c r="Z1213" s="12"/>
      <c r="AA1213" s="12"/>
      <c r="AB1213" s="12"/>
      <c r="AC1213" s="12"/>
      <c r="AD1213" s="12"/>
      <c r="AE1213" s="12"/>
      <c r="AF1213" s="12"/>
      <c r="AG1213" s="12"/>
      <c r="AH1213" s="12"/>
      <c r="AI1213" s="12"/>
      <c r="AJ1213" s="12"/>
      <c r="AK1213" s="12"/>
      <c r="AL1213" s="12"/>
      <c r="AM1213" s="12"/>
      <c r="AN1213" s="12"/>
      <c r="AO1213" s="12"/>
      <c r="AP1213" s="12"/>
      <c r="AQ1213" s="12"/>
      <c r="AR1213" s="12"/>
      <c r="AS1213" s="12"/>
      <c r="AT1213" s="12"/>
      <c r="AU1213" s="12"/>
      <c r="AV1213" s="12"/>
      <c r="AW1213" s="12"/>
      <c r="AX1213" s="12"/>
      <c r="AY1213" s="12"/>
      <c r="AZ1213" s="12"/>
      <c r="BA1213" s="12"/>
      <c r="BB1213" s="12"/>
      <c r="BC1213" s="12"/>
      <c r="BD1213" s="12"/>
      <c r="BE1213" s="12"/>
      <c r="BF1213" s="12"/>
      <c r="BG1213" s="12"/>
      <c r="BH1213" s="12"/>
      <c r="BI1213" s="12"/>
      <c r="BJ1213" s="12"/>
      <c r="BK1213" s="12"/>
      <c r="BL1213" s="12"/>
      <c r="BM1213" s="12"/>
      <c r="BN1213" s="12"/>
      <c r="BO1213" s="12"/>
      <c r="BP1213" s="12"/>
      <c r="BQ1213" s="12"/>
      <c r="BR1213" s="12"/>
      <c r="BS1213" s="12"/>
      <c r="BT1213" s="12"/>
      <c r="BU1213" s="12"/>
      <c r="BV1213" s="12"/>
      <c r="BW1213" s="12"/>
      <c r="BX1213" s="12"/>
      <c r="BY1213" s="12"/>
      <c r="BZ1213" s="12"/>
      <c r="CA1213" s="12"/>
      <c r="CB1213" s="12"/>
      <c r="CC1213" s="12"/>
      <c r="CD1213" s="12"/>
      <c r="CE1213" s="12"/>
      <c r="CF1213" s="12"/>
      <c r="CG1213" s="12"/>
      <c r="CH1213" s="12"/>
      <c r="CI1213" s="12"/>
      <c r="CJ1213" s="12"/>
      <c r="CK1213" s="12"/>
      <c r="CL1213" s="12"/>
      <c r="CM1213" s="12"/>
      <c r="CN1213" s="12"/>
      <c r="CO1213" s="12"/>
      <c r="CP1213" s="12"/>
      <c r="CQ1213" s="12"/>
      <c r="CR1213" s="12"/>
      <c r="CS1213" s="12"/>
      <c r="CT1213" s="12"/>
      <c r="CU1213" s="12"/>
      <c r="CV1213" s="12"/>
      <c r="CW1213" s="12"/>
      <c r="CX1213" s="12"/>
      <c r="CY1213" s="12"/>
      <c r="CZ1213" s="12"/>
      <c r="DA1213" s="12"/>
      <c r="DB1213" s="12"/>
      <c r="DC1213" s="12"/>
      <c r="DD1213" s="12"/>
      <c r="DE1213" s="12"/>
      <c r="DF1213" s="12"/>
      <c r="DG1213" s="12"/>
      <c r="DH1213" s="12"/>
      <c r="DI1213" s="12"/>
      <c r="DJ1213" s="12"/>
      <c r="DK1213" s="12"/>
      <c r="DL1213" s="12"/>
      <c r="DM1213" s="12"/>
      <c r="DN1213" s="12"/>
      <c r="DO1213" s="12"/>
      <c r="DP1213" s="12"/>
      <c r="DQ1213" s="12"/>
      <c r="DR1213" s="12"/>
      <c r="DS1213" s="12"/>
      <c r="DT1213" s="12"/>
      <c r="DU1213" s="12"/>
      <c r="DV1213" s="12"/>
      <c r="DW1213" s="12"/>
      <c r="DX1213" s="12"/>
      <c r="DY1213" s="12"/>
      <c r="DZ1213" s="12"/>
      <c r="EA1213" s="12"/>
      <c r="EB1213" s="12"/>
      <c r="EC1213" s="12"/>
      <c r="ED1213" s="12"/>
      <c r="EE1213" s="12"/>
      <c r="EF1213" s="12"/>
      <c r="EG1213" s="12"/>
      <c r="EH1213" s="12"/>
      <c r="EI1213" s="12"/>
      <c r="EJ1213" s="574"/>
      <c r="EK1213" s="574"/>
      <c r="EL1213" s="574"/>
      <c r="EM1213" s="574"/>
      <c r="EN1213" s="574"/>
      <c r="EO1213" s="574"/>
      <c r="EP1213" s="574"/>
      <c r="EQ1213" s="574"/>
      <c r="ER1213" s="574"/>
      <c r="ES1213" s="574"/>
      <c r="ET1213" s="574"/>
      <c r="EU1213" s="574"/>
    </row>
    <row r="1214">
      <c r="A1214" s="12"/>
      <c r="B1214" s="55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2"/>
      <c r="R1214" s="12"/>
      <c r="S1214" s="12"/>
      <c r="T1214" s="12"/>
      <c r="U1214" s="12"/>
      <c r="V1214" s="12"/>
      <c r="W1214" s="12"/>
      <c r="X1214" s="12"/>
      <c r="Y1214" s="12"/>
      <c r="Z1214" s="12"/>
      <c r="AA1214" s="12"/>
      <c r="AB1214" s="12"/>
      <c r="AC1214" s="12"/>
      <c r="AD1214" s="12"/>
      <c r="AE1214" s="12"/>
      <c r="AF1214" s="12"/>
      <c r="AG1214" s="12"/>
      <c r="AH1214" s="12"/>
      <c r="AI1214" s="12"/>
      <c r="AJ1214" s="12"/>
      <c r="AK1214" s="12"/>
      <c r="AL1214" s="12"/>
      <c r="AM1214" s="12"/>
      <c r="AN1214" s="12"/>
      <c r="AO1214" s="12"/>
      <c r="AP1214" s="12"/>
      <c r="AQ1214" s="12"/>
      <c r="AR1214" s="12"/>
      <c r="AS1214" s="12"/>
      <c r="AT1214" s="12"/>
      <c r="AU1214" s="12"/>
      <c r="AV1214" s="12"/>
      <c r="AW1214" s="12"/>
      <c r="AX1214" s="12"/>
      <c r="AY1214" s="12"/>
      <c r="AZ1214" s="12"/>
      <c r="BA1214" s="12"/>
      <c r="BB1214" s="12"/>
      <c r="BC1214" s="12"/>
      <c r="BD1214" s="12"/>
      <c r="BE1214" s="12"/>
      <c r="BF1214" s="12"/>
      <c r="BG1214" s="12"/>
      <c r="BH1214" s="12"/>
      <c r="BI1214" s="12"/>
      <c r="BJ1214" s="12"/>
      <c r="BK1214" s="12"/>
      <c r="BL1214" s="12"/>
      <c r="BM1214" s="12"/>
      <c r="BN1214" s="12"/>
      <c r="BO1214" s="12"/>
      <c r="BP1214" s="12"/>
      <c r="BQ1214" s="12"/>
      <c r="BR1214" s="12"/>
      <c r="BS1214" s="12"/>
      <c r="BT1214" s="12"/>
      <c r="BU1214" s="12"/>
      <c r="BV1214" s="12"/>
      <c r="BW1214" s="12"/>
      <c r="BX1214" s="12"/>
      <c r="BY1214" s="12"/>
      <c r="BZ1214" s="12"/>
      <c r="CA1214" s="12"/>
      <c r="CB1214" s="12"/>
      <c r="CC1214" s="12"/>
      <c r="CD1214" s="12"/>
      <c r="CE1214" s="12"/>
      <c r="CF1214" s="12"/>
      <c r="CG1214" s="12"/>
      <c r="CH1214" s="12"/>
      <c r="CI1214" s="12"/>
      <c r="CJ1214" s="12"/>
      <c r="CK1214" s="12"/>
      <c r="CL1214" s="12"/>
      <c r="CM1214" s="12"/>
      <c r="CN1214" s="12"/>
      <c r="CO1214" s="12"/>
      <c r="CP1214" s="12"/>
      <c r="CQ1214" s="12"/>
      <c r="CR1214" s="12"/>
      <c r="CS1214" s="12"/>
      <c r="CT1214" s="12"/>
      <c r="CU1214" s="12"/>
      <c r="CV1214" s="12"/>
      <c r="CW1214" s="12"/>
      <c r="CX1214" s="12"/>
      <c r="CY1214" s="12"/>
      <c r="CZ1214" s="12"/>
      <c r="DA1214" s="12"/>
      <c r="DB1214" s="12"/>
      <c r="DC1214" s="12"/>
      <c r="DD1214" s="12"/>
      <c r="DE1214" s="12"/>
      <c r="DF1214" s="12"/>
      <c r="DG1214" s="12"/>
      <c r="DH1214" s="12"/>
      <c r="DI1214" s="12"/>
      <c r="DJ1214" s="12"/>
      <c r="DK1214" s="12"/>
      <c r="DL1214" s="12"/>
      <c r="DM1214" s="12"/>
      <c r="DN1214" s="12"/>
      <c r="DO1214" s="12"/>
      <c r="DP1214" s="12"/>
      <c r="DQ1214" s="12"/>
      <c r="DR1214" s="12"/>
      <c r="DS1214" s="12"/>
      <c r="DT1214" s="12"/>
      <c r="DU1214" s="12"/>
      <c r="DV1214" s="12"/>
      <c r="DW1214" s="12"/>
      <c r="DX1214" s="12"/>
      <c r="DY1214" s="12"/>
      <c r="DZ1214" s="12"/>
      <c r="EA1214" s="12"/>
      <c r="EB1214" s="12"/>
      <c r="EC1214" s="12"/>
      <c r="ED1214" s="12"/>
      <c r="EE1214" s="12"/>
      <c r="EF1214" s="12"/>
      <c r="EG1214" s="12"/>
      <c r="EH1214" s="12"/>
      <c r="EI1214" s="12"/>
      <c r="EJ1214" s="574"/>
      <c r="EK1214" s="574"/>
      <c r="EL1214" s="574"/>
      <c r="EM1214" s="574"/>
      <c r="EN1214" s="574"/>
      <c r="EO1214" s="574"/>
      <c r="EP1214" s="574"/>
      <c r="EQ1214" s="574"/>
      <c r="ER1214" s="574"/>
      <c r="ES1214" s="574"/>
      <c r="ET1214" s="574"/>
      <c r="EU1214" s="574"/>
    </row>
    <row r="1215">
      <c r="A1215" s="12"/>
      <c r="B1215" s="55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2"/>
      <c r="R1215" s="12"/>
      <c r="S1215" s="12"/>
      <c r="T1215" s="12"/>
      <c r="U1215" s="12"/>
      <c r="V1215" s="12"/>
      <c r="W1215" s="12"/>
      <c r="X1215" s="12"/>
      <c r="Y1215" s="12"/>
      <c r="Z1215" s="12"/>
      <c r="AA1215" s="12"/>
      <c r="AB1215" s="12"/>
      <c r="AC1215" s="12"/>
      <c r="AD1215" s="12"/>
      <c r="AE1215" s="12"/>
      <c r="AF1215" s="12"/>
      <c r="AG1215" s="12"/>
      <c r="AH1215" s="12"/>
      <c r="AI1215" s="12"/>
      <c r="AJ1215" s="12"/>
      <c r="AK1215" s="12"/>
      <c r="AL1215" s="12"/>
      <c r="AM1215" s="12"/>
      <c r="AN1215" s="12"/>
      <c r="AO1215" s="12"/>
      <c r="AP1215" s="12"/>
      <c r="AQ1215" s="12"/>
      <c r="AR1215" s="12"/>
      <c r="AS1215" s="12"/>
      <c r="AT1215" s="12"/>
      <c r="AU1215" s="12"/>
      <c r="AV1215" s="12"/>
      <c r="AW1215" s="12"/>
      <c r="AX1215" s="12"/>
      <c r="AY1215" s="12"/>
      <c r="AZ1215" s="12"/>
      <c r="BA1215" s="12"/>
      <c r="BB1215" s="12"/>
      <c r="BC1215" s="12"/>
      <c r="BD1215" s="12"/>
      <c r="BE1215" s="12"/>
      <c r="BF1215" s="12"/>
      <c r="BG1215" s="12"/>
      <c r="BH1215" s="12"/>
      <c r="BI1215" s="12"/>
      <c r="BJ1215" s="12"/>
      <c r="BK1215" s="12"/>
      <c r="BL1215" s="12"/>
      <c r="BM1215" s="12"/>
      <c r="BN1215" s="12"/>
      <c r="BO1215" s="12"/>
      <c r="BP1215" s="12"/>
      <c r="BQ1215" s="12"/>
      <c r="BR1215" s="12"/>
      <c r="BS1215" s="12"/>
      <c r="BT1215" s="12"/>
      <c r="BU1215" s="12"/>
      <c r="BV1215" s="12"/>
      <c r="BW1215" s="12"/>
      <c r="BX1215" s="12"/>
      <c r="BY1215" s="12"/>
      <c r="BZ1215" s="12"/>
      <c r="CA1215" s="12"/>
      <c r="CB1215" s="12"/>
      <c r="CC1215" s="12"/>
      <c r="CD1215" s="12"/>
      <c r="CE1215" s="12"/>
      <c r="CF1215" s="12"/>
      <c r="CG1215" s="12"/>
      <c r="CH1215" s="12"/>
      <c r="CI1215" s="12"/>
      <c r="CJ1215" s="12"/>
      <c r="CK1215" s="12"/>
      <c r="CL1215" s="12"/>
      <c r="CM1215" s="12"/>
      <c r="CN1215" s="12"/>
      <c r="CO1215" s="12"/>
      <c r="CP1215" s="12"/>
      <c r="CQ1215" s="12"/>
      <c r="CR1215" s="12"/>
      <c r="CS1215" s="12"/>
      <c r="CT1215" s="12"/>
      <c r="CU1215" s="12"/>
      <c r="CV1215" s="12"/>
      <c r="CW1215" s="12"/>
      <c r="CX1215" s="12"/>
      <c r="CY1215" s="12"/>
      <c r="CZ1215" s="12"/>
      <c r="DA1215" s="12"/>
      <c r="DB1215" s="12"/>
      <c r="DC1215" s="12"/>
      <c r="DD1215" s="12"/>
      <c r="DE1215" s="12"/>
      <c r="DF1215" s="12"/>
      <c r="DG1215" s="12"/>
      <c r="DH1215" s="12"/>
      <c r="DI1215" s="12"/>
      <c r="DJ1215" s="12"/>
      <c r="DK1215" s="12"/>
      <c r="DL1215" s="12"/>
      <c r="DM1215" s="12"/>
      <c r="DN1215" s="12"/>
      <c r="DO1215" s="12"/>
      <c r="DP1215" s="12"/>
      <c r="DQ1215" s="12"/>
      <c r="DR1215" s="12"/>
      <c r="DS1215" s="12"/>
      <c r="DT1215" s="12"/>
      <c r="DU1215" s="12"/>
      <c r="DV1215" s="12"/>
      <c r="DW1215" s="12"/>
      <c r="DX1215" s="12"/>
      <c r="DY1215" s="12"/>
      <c r="DZ1215" s="12"/>
      <c r="EA1215" s="12"/>
      <c r="EB1215" s="12"/>
      <c r="EC1215" s="12"/>
      <c r="ED1215" s="12"/>
      <c r="EE1215" s="12"/>
      <c r="EF1215" s="12"/>
      <c r="EG1215" s="12"/>
      <c r="EH1215" s="12"/>
      <c r="EI1215" s="12"/>
      <c r="EJ1215" s="574"/>
      <c r="EK1215" s="574"/>
      <c r="EL1215" s="574"/>
      <c r="EM1215" s="574"/>
      <c r="EN1215" s="574"/>
      <c r="EO1215" s="574"/>
      <c r="EP1215" s="574"/>
      <c r="EQ1215" s="574"/>
      <c r="ER1215" s="574"/>
      <c r="ES1215" s="574"/>
      <c r="ET1215" s="574"/>
      <c r="EU1215" s="574"/>
    </row>
    <row r="1216">
      <c r="A1216" s="12"/>
      <c r="B1216" s="55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2"/>
      <c r="R1216" s="12"/>
      <c r="S1216" s="12"/>
      <c r="T1216" s="12"/>
      <c r="U1216" s="12"/>
      <c r="V1216" s="12"/>
      <c r="W1216" s="12"/>
      <c r="X1216" s="12"/>
      <c r="Y1216" s="12"/>
      <c r="Z1216" s="12"/>
      <c r="AA1216" s="12"/>
      <c r="AB1216" s="12"/>
      <c r="AC1216" s="12"/>
      <c r="AD1216" s="12"/>
      <c r="AE1216" s="12"/>
      <c r="AF1216" s="12"/>
      <c r="AG1216" s="12"/>
      <c r="AH1216" s="12"/>
      <c r="AI1216" s="12"/>
      <c r="AJ1216" s="12"/>
      <c r="AK1216" s="12"/>
      <c r="AL1216" s="12"/>
      <c r="AM1216" s="12"/>
      <c r="AN1216" s="12"/>
      <c r="AO1216" s="12"/>
      <c r="AP1216" s="12"/>
      <c r="AQ1216" s="12"/>
      <c r="AR1216" s="12"/>
      <c r="AS1216" s="12"/>
      <c r="AT1216" s="12"/>
      <c r="AU1216" s="12"/>
      <c r="AV1216" s="12"/>
      <c r="AW1216" s="12"/>
      <c r="AX1216" s="12"/>
      <c r="AY1216" s="12"/>
      <c r="AZ1216" s="12"/>
      <c r="BA1216" s="12"/>
      <c r="BB1216" s="12"/>
      <c r="BC1216" s="12"/>
      <c r="BD1216" s="12"/>
      <c r="BE1216" s="12"/>
      <c r="BF1216" s="12"/>
      <c r="BG1216" s="12"/>
      <c r="BH1216" s="12"/>
      <c r="BI1216" s="12"/>
      <c r="BJ1216" s="12"/>
      <c r="BK1216" s="12"/>
      <c r="BL1216" s="12"/>
      <c r="BM1216" s="12"/>
      <c r="BN1216" s="12"/>
      <c r="BO1216" s="12"/>
      <c r="BP1216" s="12"/>
      <c r="BQ1216" s="12"/>
      <c r="BR1216" s="12"/>
      <c r="BS1216" s="12"/>
      <c r="BT1216" s="12"/>
      <c r="BU1216" s="12"/>
      <c r="BV1216" s="12"/>
      <c r="BW1216" s="12"/>
      <c r="BX1216" s="12"/>
      <c r="BY1216" s="12"/>
      <c r="BZ1216" s="12"/>
      <c r="CA1216" s="12"/>
      <c r="CB1216" s="12"/>
      <c r="CC1216" s="12"/>
      <c r="CD1216" s="12"/>
      <c r="CE1216" s="12"/>
      <c r="CF1216" s="12"/>
      <c r="CG1216" s="12"/>
      <c r="CH1216" s="12"/>
      <c r="CI1216" s="12"/>
      <c r="CJ1216" s="12"/>
      <c r="CK1216" s="12"/>
      <c r="CL1216" s="12"/>
      <c r="CM1216" s="12"/>
      <c r="CN1216" s="12"/>
      <c r="CO1216" s="12"/>
      <c r="CP1216" s="12"/>
      <c r="CQ1216" s="12"/>
      <c r="CR1216" s="12"/>
      <c r="CS1216" s="12"/>
      <c r="CT1216" s="12"/>
      <c r="CU1216" s="12"/>
      <c r="CV1216" s="12"/>
      <c r="CW1216" s="12"/>
      <c r="CX1216" s="12"/>
      <c r="CY1216" s="12"/>
      <c r="CZ1216" s="12"/>
      <c r="DA1216" s="12"/>
      <c r="DB1216" s="12"/>
      <c r="DC1216" s="12"/>
      <c r="DD1216" s="12"/>
      <c r="DE1216" s="12"/>
      <c r="DF1216" s="12"/>
      <c r="DG1216" s="12"/>
      <c r="DH1216" s="12"/>
      <c r="DI1216" s="12"/>
      <c r="DJ1216" s="12"/>
      <c r="DK1216" s="12"/>
      <c r="DL1216" s="12"/>
      <c r="DM1216" s="12"/>
      <c r="DN1216" s="12"/>
      <c r="DO1216" s="12"/>
      <c r="DP1216" s="12"/>
      <c r="DQ1216" s="12"/>
      <c r="DR1216" s="12"/>
      <c r="DS1216" s="12"/>
      <c r="DT1216" s="12"/>
      <c r="DU1216" s="12"/>
      <c r="DV1216" s="12"/>
      <c r="DW1216" s="12"/>
      <c r="DX1216" s="12"/>
      <c r="DY1216" s="12"/>
      <c r="DZ1216" s="12"/>
      <c r="EA1216" s="12"/>
      <c r="EB1216" s="12"/>
      <c r="EC1216" s="12"/>
      <c r="ED1216" s="12"/>
      <c r="EE1216" s="12"/>
      <c r="EF1216" s="12"/>
      <c r="EG1216" s="12"/>
      <c r="EH1216" s="12"/>
      <c r="EI1216" s="12"/>
      <c r="EJ1216" s="574"/>
      <c r="EK1216" s="574"/>
      <c r="EL1216" s="574"/>
      <c r="EM1216" s="574"/>
      <c r="EN1216" s="574"/>
      <c r="EO1216" s="574"/>
      <c r="EP1216" s="574"/>
      <c r="EQ1216" s="574"/>
      <c r="ER1216" s="574"/>
      <c r="ES1216" s="574"/>
      <c r="ET1216" s="574"/>
      <c r="EU1216" s="574"/>
    </row>
    <row r="1217">
      <c r="A1217" s="552"/>
      <c r="B1217" s="552"/>
      <c r="C1217" s="552"/>
      <c r="D1217" s="552"/>
      <c r="E1217" s="552"/>
      <c r="F1217" s="552"/>
      <c r="G1217" s="552"/>
      <c r="H1217" s="552"/>
      <c r="I1217" s="552"/>
      <c r="J1217" s="552"/>
      <c r="K1217" s="552"/>
      <c r="L1217" s="552"/>
      <c r="M1217" s="552"/>
      <c r="N1217" s="552"/>
      <c r="O1217" s="552"/>
      <c r="P1217" s="552"/>
      <c r="Q1217" s="552"/>
      <c r="R1217" s="552"/>
      <c r="S1217" s="552"/>
      <c r="T1217" s="552"/>
      <c r="U1217" s="552"/>
      <c r="V1217" s="552"/>
      <c r="W1217" s="552"/>
      <c r="X1217" s="552"/>
      <c r="Y1217" s="552"/>
      <c r="Z1217" s="552"/>
      <c r="AA1217" s="552"/>
      <c r="AB1217" s="552"/>
      <c r="AC1217" s="552"/>
      <c r="AD1217" s="552"/>
      <c r="AE1217" s="552"/>
      <c r="AF1217" s="552"/>
      <c r="AG1217" s="552"/>
      <c r="AH1217" s="552"/>
      <c r="AI1217" s="552"/>
      <c r="AJ1217" s="552"/>
      <c r="AK1217" s="552"/>
      <c r="AL1217" s="552"/>
      <c r="AM1217" s="552"/>
      <c r="AN1217" s="552"/>
      <c r="AO1217" s="552"/>
      <c r="AP1217" s="552"/>
      <c r="AQ1217" s="552"/>
      <c r="AR1217" s="552"/>
      <c r="AS1217" s="552"/>
      <c r="AT1217" s="552"/>
      <c r="AU1217" s="552"/>
      <c r="AV1217" s="552"/>
      <c r="AW1217" s="552"/>
      <c r="AX1217" s="552"/>
      <c r="AY1217" s="552"/>
      <c r="AZ1217" s="552"/>
      <c r="BA1217" s="552"/>
      <c r="BB1217" s="552"/>
      <c r="BC1217" s="552"/>
      <c r="BD1217" s="552"/>
      <c r="BE1217" s="552"/>
      <c r="BF1217" s="552"/>
      <c r="BG1217" s="552"/>
      <c r="BH1217" s="552"/>
      <c r="BI1217" s="552"/>
      <c r="BJ1217" s="552"/>
      <c r="BK1217" s="552"/>
      <c r="BL1217" s="552"/>
      <c r="BM1217" s="552"/>
      <c r="BN1217" s="552"/>
      <c r="BO1217" s="552"/>
      <c r="BP1217" s="552"/>
      <c r="BQ1217" s="552"/>
      <c r="BR1217" s="552"/>
      <c r="BS1217" s="552"/>
      <c r="BT1217" s="552"/>
      <c r="BU1217" s="552"/>
      <c r="BV1217" s="552"/>
      <c r="BW1217" s="552"/>
      <c r="BX1217" s="552"/>
      <c r="BY1217" s="552"/>
      <c r="BZ1217" s="552"/>
      <c r="CA1217" s="552"/>
      <c r="CB1217" s="552"/>
      <c r="CC1217" s="552"/>
      <c r="CD1217" s="552"/>
      <c r="CE1217" s="552"/>
      <c r="CF1217" s="12"/>
      <c r="CG1217" s="12"/>
      <c r="CH1217" s="12"/>
      <c r="CI1217" s="12"/>
      <c r="CJ1217" s="12"/>
      <c r="CK1217" s="552"/>
      <c r="CL1217" s="552"/>
      <c r="CM1217" s="552"/>
      <c r="CN1217" s="552"/>
      <c r="CO1217" s="552"/>
      <c r="CP1217" s="552"/>
      <c r="CQ1217" s="552"/>
      <c r="CR1217" s="552"/>
      <c r="CS1217" s="552"/>
      <c r="CT1217" s="552"/>
      <c r="CU1217" s="552"/>
      <c r="CV1217" s="552"/>
      <c r="CW1217" s="12"/>
      <c r="CX1217" s="12"/>
      <c r="CY1217" s="12"/>
      <c r="CZ1217" s="12"/>
      <c r="DA1217" s="12"/>
      <c r="DB1217" s="552"/>
      <c r="DC1217" s="552"/>
      <c r="DD1217" s="552"/>
      <c r="DE1217" s="552"/>
      <c r="DF1217" s="552"/>
      <c r="DG1217" s="12"/>
      <c r="DH1217" s="12"/>
      <c r="DI1217" s="12"/>
      <c r="DJ1217" s="12"/>
      <c r="DK1217" s="12"/>
      <c r="DL1217" s="12"/>
      <c r="DM1217" s="12"/>
      <c r="DN1217" s="12"/>
      <c r="DO1217" s="12"/>
      <c r="DP1217" s="12"/>
      <c r="DQ1217" s="12"/>
      <c r="DR1217" s="12"/>
      <c r="DS1217" s="552"/>
      <c r="DT1217" s="552"/>
      <c r="DU1217" s="552"/>
      <c r="DV1217" s="552"/>
      <c r="DW1217" s="552"/>
      <c r="DX1217" s="12"/>
      <c r="DY1217" s="12"/>
      <c r="DZ1217" s="12"/>
      <c r="EA1217" s="12"/>
      <c r="EB1217" s="12"/>
      <c r="EC1217" s="12"/>
      <c r="ED1217" s="12"/>
      <c r="EE1217" s="12"/>
      <c r="EF1217" s="12"/>
      <c r="EG1217" s="12"/>
      <c r="EH1217" s="12"/>
      <c r="EI1217" s="12"/>
      <c r="EJ1217" s="574"/>
      <c r="EK1217" s="574"/>
      <c r="EL1217" s="574"/>
      <c r="EM1217" s="574"/>
      <c r="EN1217" s="574"/>
      <c r="EO1217" s="574"/>
      <c r="EP1217" s="574"/>
      <c r="EQ1217" s="574"/>
      <c r="ER1217" s="574"/>
      <c r="ES1217" s="574"/>
      <c r="ET1217" s="574"/>
      <c r="EU1217" s="574"/>
    </row>
    <row r="1218">
      <c r="A1218" s="12"/>
      <c r="B1218" s="55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/>
      <c r="V1218" s="12"/>
      <c r="W1218" s="12"/>
      <c r="X1218" s="12"/>
      <c r="Y1218" s="12"/>
      <c r="Z1218" s="12"/>
      <c r="AA1218" s="12"/>
      <c r="AB1218" s="12"/>
      <c r="AC1218" s="12"/>
      <c r="AD1218" s="12"/>
      <c r="AE1218" s="12"/>
      <c r="AF1218" s="12"/>
      <c r="AG1218" s="12"/>
      <c r="AH1218" s="12"/>
      <c r="AI1218" s="12"/>
      <c r="AJ1218" s="12"/>
      <c r="AK1218" s="12"/>
      <c r="AL1218" s="12"/>
      <c r="AM1218" s="12"/>
      <c r="AN1218" s="12"/>
      <c r="AO1218" s="12"/>
      <c r="AP1218" s="12"/>
      <c r="AQ1218" s="12"/>
      <c r="AR1218" s="12"/>
      <c r="AS1218" s="12"/>
      <c r="AT1218" s="12"/>
      <c r="AU1218" s="12"/>
      <c r="AV1218" s="12"/>
      <c r="AW1218" s="12"/>
      <c r="AX1218" s="12"/>
      <c r="AY1218" s="12"/>
      <c r="AZ1218" s="12"/>
      <c r="BA1218" s="12"/>
      <c r="BB1218" s="12"/>
      <c r="BC1218" s="12"/>
      <c r="BD1218" s="12"/>
      <c r="BE1218" s="12"/>
      <c r="BF1218" s="12"/>
      <c r="BG1218" s="12"/>
      <c r="BH1218" s="12"/>
      <c r="BI1218" s="12"/>
      <c r="BJ1218" s="12"/>
      <c r="BK1218" s="12"/>
      <c r="BL1218" s="12"/>
      <c r="BM1218" s="12"/>
      <c r="BN1218" s="12"/>
      <c r="BO1218" s="12"/>
      <c r="BP1218" s="12"/>
      <c r="BQ1218" s="12"/>
      <c r="BR1218" s="12"/>
      <c r="BS1218" s="12"/>
      <c r="BT1218" s="12"/>
      <c r="BU1218" s="12"/>
      <c r="BV1218" s="12"/>
      <c r="BW1218" s="12"/>
      <c r="BX1218" s="12"/>
      <c r="BY1218" s="12"/>
      <c r="BZ1218" s="12"/>
      <c r="CA1218" s="12"/>
      <c r="CB1218" s="12"/>
      <c r="CC1218" s="12"/>
      <c r="CD1218" s="12"/>
      <c r="CE1218" s="12"/>
      <c r="CF1218" s="12"/>
      <c r="CG1218" s="12"/>
      <c r="CH1218" s="12"/>
      <c r="CI1218" s="12"/>
      <c r="CJ1218" s="12"/>
      <c r="CK1218" s="12"/>
      <c r="CL1218" s="12"/>
      <c r="CM1218" s="12"/>
      <c r="CN1218" s="12"/>
      <c r="CO1218" s="12"/>
      <c r="CP1218" s="12"/>
      <c r="CQ1218" s="12"/>
      <c r="CR1218" s="12"/>
      <c r="CS1218" s="12"/>
      <c r="CT1218" s="12"/>
      <c r="CU1218" s="12"/>
      <c r="CV1218" s="12"/>
      <c r="CW1218" s="12"/>
      <c r="CX1218" s="12"/>
      <c r="CY1218" s="12"/>
      <c r="CZ1218" s="12"/>
      <c r="DA1218" s="12"/>
      <c r="DB1218" s="12"/>
      <c r="DC1218" s="12"/>
      <c r="DD1218" s="12"/>
      <c r="DE1218" s="12"/>
      <c r="DF1218" s="12"/>
      <c r="DG1218" s="12"/>
      <c r="DH1218" s="12"/>
      <c r="DI1218" s="12"/>
      <c r="DJ1218" s="12"/>
      <c r="DK1218" s="12"/>
      <c r="DL1218" s="12"/>
      <c r="DM1218" s="12"/>
      <c r="DN1218" s="12"/>
      <c r="DO1218" s="12"/>
      <c r="DP1218" s="12"/>
      <c r="DQ1218" s="12"/>
      <c r="DR1218" s="12"/>
      <c r="DS1218" s="12"/>
      <c r="DT1218" s="12"/>
      <c r="DU1218" s="12"/>
      <c r="DV1218" s="12"/>
      <c r="DW1218" s="12"/>
      <c r="DX1218" s="12"/>
      <c r="DY1218" s="12"/>
      <c r="DZ1218" s="12"/>
      <c r="EA1218" s="12"/>
      <c r="EB1218" s="12"/>
      <c r="EC1218" s="12"/>
      <c r="ED1218" s="12"/>
      <c r="EE1218" s="12"/>
      <c r="EF1218" s="12"/>
      <c r="EG1218" s="12"/>
      <c r="EH1218" s="12"/>
      <c r="EI1218" s="12"/>
      <c r="EJ1218" s="574"/>
      <c r="EK1218" s="574"/>
      <c r="EL1218" s="574"/>
      <c r="EM1218" s="574"/>
      <c r="EN1218" s="574"/>
      <c r="EO1218" s="574"/>
      <c r="EP1218" s="574"/>
      <c r="EQ1218" s="574"/>
      <c r="ER1218" s="574"/>
      <c r="ES1218" s="574"/>
      <c r="ET1218" s="574"/>
      <c r="EU1218" s="574"/>
    </row>
    <row r="1219">
      <c r="A1219" s="12"/>
      <c r="B1219" s="55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2"/>
      <c r="R1219" s="12"/>
      <c r="S1219" s="12"/>
      <c r="T1219" s="12"/>
      <c r="U1219" s="12"/>
      <c r="V1219" s="12"/>
      <c r="W1219" s="12"/>
      <c r="X1219" s="12"/>
      <c r="Y1219" s="12"/>
      <c r="Z1219" s="12"/>
      <c r="AA1219" s="12"/>
      <c r="AB1219" s="12"/>
      <c r="AC1219" s="12"/>
      <c r="AD1219" s="12"/>
      <c r="AE1219" s="12"/>
      <c r="AF1219" s="12"/>
      <c r="AG1219" s="12"/>
      <c r="AH1219" s="12"/>
      <c r="AI1219" s="12"/>
      <c r="AJ1219" s="12"/>
      <c r="AK1219" s="12"/>
      <c r="AL1219" s="12"/>
      <c r="AM1219" s="12"/>
      <c r="AN1219" s="12"/>
      <c r="AO1219" s="12"/>
      <c r="AP1219" s="12"/>
      <c r="AQ1219" s="12"/>
      <c r="AR1219" s="12"/>
      <c r="AS1219" s="12"/>
      <c r="AT1219" s="12"/>
      <c r="AU1219" s="12"/>
      <c r="AV1219" s="12"/>
      <c r="AW1219" s="12"/>
      <c r="AX1219" s="12"/>
      <c r="AY1219" s="12"/>
      <c r="AZ1219" s="12"/>
      <c r="BA1219" s="12"/>
      <c r="BB1219" s="12"/>
      <c r="BC1219" s="12"/>
      <c r="BD1219" s="12"/>
      <c r="BE1219" s="12"/>
      <c r="BF1219" s="12"/>
      <c r="BG1219" s="12"/>
      <c r="BH1219" s="12"/>
      <c r="BI1219" s="12"/>
      <c r="BJ1219" s="12"/>
      <c r="BK1219" s="12"/>
      <c r="BL1219" s="12"/>
      <c r="BM1219" s="12"/>
      <c r="BN1219" s="12"/>
      <c r="BO1219" s="12"/>
      <c r="BP1219" s="12"/>
      <c r="BQ1219" s="12"/>
      <c r="BR1219" s="12"/>
      <c r="BS1219" s="12"/>
      <c r="BT1219" s="12"/>
      <c r="BU1219" s="12"/>
      <c r="BV1219" s="12"/>
      <c r="BW1219" s="12"/>
      <c r="BX1219" s="12"/>
      <c r="BY1219" s="12"/>
      <c r="BZ1219" s="12"/>
      <c r="CA1219" s="12"/>
      <c r="CB1219" s="12"/>
      <c r="CC1219" s="12"/>
      <c r="CD1219" s="12"/>
      <c r="CE1219" s="12"/>
      <c r="CF1219" s="12"/>
      <c r="CG1219" s="12"/>
      <c r="CH1219" s="12"/>
      <c r="CI1219" s="12"/>
      <c r="CJ1219" s="12"/>
      <c r="CK1219" s="12"/>
      <c r="CL1219" s="12"/>
      <c r="CM1219" s="12"/>
      <c r="CN1219" s="12"/>
      <c r="CO1219" s="12"/>
      <c r="CP1219" s="12"/>
      <c r="CQ1219" s="12"/>
      <c r="CR1219" s="12"/>
      <c r="CS1219" s="12"/>
      <c r="CT1219" s="12"/>
      <c r="CU1219" s="12"/>
      <c r="CV1219" s="12"/>
      <c r="CW1219" s="12"/>
      <c r="CX1219" s="12"/>
      <c r="CY1219" s="12"/>
      <c r="CZ1219" s="12"/>
      <c r="DA1219" s="12"/>
      <c r="DB1219" s="12"/>
      <c r="DC1219" s="12"/>
      <c r="DD1219" s="12"/>
      <c r="DE1219" s="12"/>
      <c r="DF1219" s="12"/>
      <c r="DG1219" s="12"/>
      <c r="DH1219" s="12"/>
      <c r="DI1219" s="12"/>
      <c r="DJ1219" s="12"/>
      <c r="DK1219" s="12"/>
      <c r="DL1219" s="12"/>
      <c r="DM1219" s="12"/>
      <c r="DN1219" s="12"/>
      <c r="DO1219" s="12"/>
      <c r="DP1219" s="12"/>
      <c r="DQ1219" s="12"/>
      <c r="DR1219" s="12"/>
      <c r="DS1219" s="12"/>
      <c r="DT1219" s="12"/>
      <c r="DU1219" s="12"/>
      <c r="DV1219" s="12"/>
      <c r="DW1219" s="12"/>
      <c r="DX1219" s="12"/>
      <c r="DY1219" s="12"/>
      <c r="DZ1219" s="12"/>
      <c r="EA1219" s="12"/>
      <c r="EB1219" s="12"/>
      <c r="EC1219" s="12"/>
      <c r="ED1219" s="12"/>
      <c r="EE1219" s="12"/>
      <c r="EF1219" s="12"/>
      <c r="EG1219" s="12"/>
      <c r="EH1219" s="12"/>
      <c r="EI1219" s="12"/>
      <c r="EJ1219" s="574"/>
      <c r="EK1219" s="574"/>
      <c r="EL1219" s="574"/>
      <c r="EM1219" s="574"/>
      <c r="EN1219" s="574"/>
      <c r="EO1219" s="574"/>
      <c r="EP1219" s="574"/>
      <c r="EQ1219" s="574"/>
      <c r="ER1219" s="574"/>
      <c r="ES1219" s="574"/>
      <c r="ET1219" s="574"/>
      <c r="EU1219" s="574"/>
    </row>
    <row r="1220">
      <c r="A1220" s="12"/>
      <c r="B1220" s="55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  <c r="Y1220" s="12"/>
      <c r="Z1220" s="12"/>
      <c r="AA1220" s="12"/>
      <c r="AB1220" s="12"/>
      <c r="AC1220" s="12"/>
      <c r="AD1220" s="12"/>
      <c r="AE1220" s="12"/>
      <c r="AF1220" s="12"/>
      <c r="AG1220" s="12"/>
      <c r="AH1220" s="12"/>
      <c r="AI1220" s="12"/>
      <c r="AJ1220" s="12"/>
      <c r="AK1220" s="12"/>
      <c r="AL1220" s="12"/>
      <c r="AM1220" s="12"/>
      <c r="AN1220" s="12"/>
      <c r="AO1220" s="12"/>
      <c r="AP1220" s="12"/>
      <c r="AQ1220" s="12"/>
      <c r="AR1220" s="12"/>
      <c r="AS1220" s="12"/>
      <c r="AT1220" s="12"/>
      <c r="AU1220" s="12"/>
      <c r="AV1220" s="12"/>
      <c r="AW1220" s="12"/>
      <c r="AX1220" s="12"/>
      <c r="AY1220" s="12"/>
      <c r="AZ1220" s="12"/>
      <c r="BA1220" s="12"/>
      <c r="BB1220" s="12"/>
      <c r="BC1220" s="12"/>
      <c r="BD1220" s="12"/>
      <c r="BE1220" s="12"/>
      <c r="BF1220" s="12"/>
      <c r="BG1220" s="12"/>
      <c r="BH1220" s="12"/>
      <c r="BI1220" s="12"/>
      <c r="BJ1220" s="12"/>
      <c r="BK1220" s="12"/>
      <c r="BL1220" s="12"/>
      <c r="BM1220" s="12"/>
      <c r="BN1220" s="12"/>
      <c r="BO1220" s="12"/>
      <c r="BP1220" s="12"/>
      <c r="BQ1220" s="12"/>
      <c r="BR1220" s="12"/>
      <c r="BS1220" s="12"/>
      <c r="BT1220" s="12"/>
      <c r="BU1220" s="12"/>
      <c r="BV1220" s="12"/>
      <c r="BW1220" s="12"/>
      <c r="BX1220" s="12"/>
      <c r="BY1220" s="12"/>
      <c r="BZ1220" s="12"/>
      <c r="CA1220" s="12"/>
      <c r="CB1220" s="12"/>
      <c r="CC1220" s="12"/>
      <c r="CD1220" s="12"/>
      <c r="CE1220" s="12"/>
      <c r="CF1220" s="12"/>
      <c r="CG1220" s="12"/>
      <c r="CH1220" s="12"/>
      <c r="CI1220" s="12"/>
      <c r="CJ1220" s="12"/>
      <c r="CK1220" s="12"/>
      <c r="CL1220" s="12"/>
      <c r="CM1220" s="12"/>
      <c r="CN1220" s="12"/>
      <c r="CO1220" s="12"/>
      <c r="CP1220" s="12"/>
      <c r="CQ1220" s="12"/>
      <c r="CR1220" s="12"/>
      <c r="CS1220" s="12"/>
      <c r="CT1220" s="12"/>
      <c r="CU1220" s="12"/>
      <c r="CV1220" s="12"/>
      <c r="CW1220" s="12"/>
      <c r="CX1220" s="12"/>
      <c r="CY1220" s="12"/>
      <c r="CZ1220" s="12"/>
      <c r="DA1220" s="12"/>
      <c r="DB1220" s="12"/>
      <c r="DC1220" s="12"/>
      <c r="DD1220" s="12"/>
      <c r="DE1220" s="12"/>
      <c r="DF1220" s="12"/>
      <c r="DG1220" s="12"/>
      <c r="DH1220" s="12"/>
      <c r="DI1220" s="12"/>
      <c r="DJ1220" s="12"/>
      <c r="DK1220" s="12"/>
      <c r="DL1220" s="12"/>
      <c r="DM1220" s="12"/>
      <c r="DN1220" s="12"/>
      <c r="DO1220" s="12"/>
      <c r="DP1220" s="12"/>
      <c r="DQ1220" s="12"/>
      <c r="DR1220" s="12"/>
      <c r="DS1220" s="12"/>
      <c r="DT1220" s="12"/>
      <c r="DU1220" s="12"/>
      <c r="DV1220" s="12"/>
      <c r="DW1220" s="12"/>
      <c r="DX1220" s="12"/>
      <c r="DY1220" s="12"/>
      <c r="DZ1220" s="12"/>
      <c r="EA1220" s="12"/>
      <c r="EB1220" s="12"/>
      <c r="EC1220" s="12"/>
      <c r="ED1220" s="12"/>
      <c r="EE1220" s="12"/>
      <c r="EF1220" s="12"/>
      <c r="EG1220" s="12"/>
      <c r="EH1220" s="12"/>
      <c r="EI1220" s="12"/>
      <c r="EJ1220" s="574"/>
      <c r="EK1220" s="574"/>
      <c r="EL1220" s="574"/>
      <c r="EM1220" s="574"/>
      <c r="EN1220" s="574"/>
      <c r="EO1220" s="574"/>
      <c r="EP1220" s="574"/>
      <c r="EQ1220" s="574"/>
      <c r="ER1220" s="574"/>
      <c r="ES1220" s="574"/>
      <c r="ET1220" s="574"/>
      <c r="EU1220" s="574"/>
    </row>
    <row r="1221">
      <c r="A1221" s="12"/>
      <c r="B1221" s="55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2"/>
      <c r="R1221" s="12"/>
      <c r="S1221" s="12"/>
      <c r="T1221" s="12"/>
      <c r="U1221" s="12"/>
      <c r="V1221" s="12"/>
      <c r="W1221" s="12"/>
      <c r="X1221" s="12"/>
      <c r="Y1221" s="12"/>
      <c r="Z1221" s="12"/>
      <c r="AA1221" s="12"/>
      <c r="AB1221" s="12"/>
      <c r="AC1221" s="12"/>
      <c r="AD1221" s="12"/>
      <c r="AE1221" s="12"/>
      <c r="AF1221" s="12"/>
      <c r="AG1221" s="12"/>
      <c r="AH1221" s="12"/>
      <c r="AI1221" s="12"/>
      <c r="AJ1221" s="12"/>
      <c r="AK1221" s="12"/>
      <c r="AL1221" s="12"/>
      <c r="AM1221" s="12"/>
      <c r="AN1221" s="12"/>
      <c r="AO1221" s="12"/>
      <c r="AP1221" s="12"/>
      <c r="AQ1221" s="12"/>
      <c r="AR1221" s="12"/>
      <c r="AS1221" s="12"/>
      <c r="AT1221" s="12"/>
      <c r="AU1221" s="12"/>
      <c r="AV1221" s="12"/>
      <c r="AW1221" s="12"/>
      <c r="AX1221" s="12"/>
      <c r="AY1221" s="12"/>
      <c r="AZ1221" s="12"/>
      <c r="BA1221" s="12"/>
      <c r="BB1221" s="12"/>
      <c r="BC1221" s="12"/>
      <c r="BD1221" s="12"/>
      <c r="BE1221" s="12"/>
      <c r="BF1221" s="12"/>
      <c r="BG1221" s="12"/>
      <c r="BH1221" s="12"/>
      <c r="BI1221" s="12"/>
      <c r="BJ1221" s="12"/>
      <c r="BK1221" s="12"/>
      <c r="BL1221" s="12"/>
      <c r="BM1221" s="12"/>
      <c r="BN1221" s="12"/>
      <c r="BO1221" s="12"/>
      <c r="BP1221" s="12"/>
      <c r="BQ1221" s="12"/>
      <c r="BR1221" s="12"/>
      <c r="BS1221" s="12"/>
      <c r="BT1221" s="12"/>
      <c r="BU1221" s="12"/>
      <c r="BV1221" s="12"/>
      <c r="BW1221" s="12"/>
      <c r="BX1221" s="12"/>
      <c r="BY1221" s="12"/>
      <c r="BZ1221" s="12"/>
      <c r="CA1221" s="12"/>
      <c r="CB1221" s="12"/>
      <c r="CC1221" s="12"/>
      <c r="CD1221" s="12"/>
      <c r="CE1221" s="12"/>
      <c r="CF1221" s="12"/>
      <c r="CG1221" s="12"/>
      <c r="CH1221" s="12"/>
      <c r="CI1221" s="12"/>
      <c r="CJ1221" s="12"/>
      <c r="CK1221" s="12"/>
      <c r="CL1221" s="12"/>
      <c r="CM1221" s="12"/>
      <c r="CN1221" s="12"/>
      <c r="CO1221" s="12"/>
      <c r="CP1221" s="12"/>
      <c r="CQ1221" s="12"/>
      <c r="CR1221" s="12"/>
      <c r="CS1221" s="12"/>
      <c r="CT1221" s="12"/>
      <c r="CU1221" s="12"/>
      <c r="CV1221" s="12"/>
      <c r="CW1221" s="12"/>
      <c r="CX1221" s="12"/>
      <c r="CY1221" s="12"/>
      <c r="CZ1221" s="12"/>
      <c r="DA1221" s="12"/>
      <c r="DB1221" s="12"/>
      <c r="DC1221" s="12"/>
      <c r="DD1221" s="12"/>
      <c r="DE1221" s="12"/>
      <c r="DF1221" s="12"/>
      <c r="DG1221" s="12"/>
      <c r="DH1221" s="12"/>
      <c r="DI1221" s="12"/>
      <c r="DJ1221" s="12"/>
      <c r="DK1221" s="12"/>
      <c r="DL1221" s="12"/>
      <c r="DM1221" s="12"/>
      <c r="DN1221" s="12"/>
      <c r="DO1221" s="12"/>
      <c r="DP1221" s="12"/>
      <c r="DQ1221" s="12"/>
      <c r="DR1221" s="12"/>
      <c r="DS1221" s="12"/>
      <c r="DT1221" s="12"/>
      <c r="DU1221" s="12"/>
      <c r="DV1221" s="12"/>
      <c r="DW1221" s="12"/>
      <c r="DX1221" s="12"/>
      <c r="DY1221" s="12"/>
      <c r="DZ1221" s="12"/>
      <c r="EA1221" s="12"/>
      <c r="EB1221" s="12"/>
      <c r="EC1221" s="12"/>
      <c r="ED1221" s="12"/>
      <c r="EE1221" s="12"/>
      <c r="EF1221" s="12"/>
      <c r="EG1221" s="12"/>
      <c r="EH1221" s="12"/>
      <c r="EI1221" s="12"/>
      <c r="EJ1221" s="574"/>
      <c r="EK1221" s="574"/>
      <c r="EL1221" s="574"/>
      <c r="EM1221" s="574"/>
      <c r="EN1221" s="574"/>
      <c r="EO1221" s="574"/>
      <c r="EP1221" s="574"/>
      <c r="EQ1221" s="574"/>
      <c r="ER1221" s="574"/>
      <c r="ES1221" s="574"/>
      <c r="ET1221" s="574"/>
      <c r="EU1221" s="574"/>
    </row>
    <row r="1222">
      <c r="A1222" s="12"/>
      <c r="B1222" s="55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2"/>
      <c r="R1222" s="12"/>
      <c r="S1222" s="12"/>
      <c r="T1222" s="12"/>
      <c r="U1222" s="12"/>
      <c r="V1222" s="12"/>
      <c r="W1222" s="12"/>
      <c r="X1222" s="12"/>
      <c r="Y1222" s="12"/>
      <c r="Z1222" s="12"/>
      <c r="AA1222" s="12"/>
      <c r="AB1222" s="12"/>
      <c r="AC1222" s="12"/>
      <c r="AD1222" s="12"/>
      <c r="AE1222" s="12"/>
      <c r="AF1222" s="12"/>
      <c r="AG1222" s="12"/>
      <c r="AH1222" s="12"/>
      <c r="AI1222" s="12"/>
      <c r="AJ1222" s="12"/>
      <c r="AK1222" s="12"/>
      <c r="AL1222" s="12"/>
      <c r="AM1222" s="12"/>
      <c r="AN1222" s="12"/>
      <c r="AO1222" s="12"/>
      <c r="AP1222" s="12"/>
      <c r="AQ1222" s="12"/>
      <c r="AR1222" s="12"/>
      <c r="AS1222" s="12"/>
      <c r="AT1222" s="12"/>
      <c r="AU1222" s="12"/>
      <c r="AV1222" s="12"/>
      <c r="AW1222" s="12"/>
      <c r="AX1222" s="12"/>
      <c r="AY1222" s="12"/>
      <c r="AZ1222" s="12"/>
      <c r="BA1222" s="12"/>
      <c r="BB1222" s="12"/>
      <c r="BC1222" s="12"/>
      <c r="BD1222" s="12"/>
      <c r="BE1222" s="12"/>
      <c r="BF1222" s="12"/>
      <c r="BG1222" s="12"/>
      <c r="BH1222" s="12"/>
      <c r="BI1222" s="12"/>
      <c r="BJ1222" s="12"/>
      <c r="BK1222" s="12"/>
      <c r="BL1222" s="12"/>
      <c r="BM1222" s="12"/>
      <c r="BN1222" s="12"/>
      <c r="BO1222" s="12"/>
      <c r="BP1222" s="12"/>
      <c r="BQ1222" s="12"/>
      <c r="BR1222" s="12"/>
      <c r="BS1222" s="12"/>
      <c r="BT1222" s="12"/>
      <c r="BU1222" s="12"/>
      <c r="BV1222" s="12"/>
      <c r="BW1222" s="12"/>
      <c r="BX1222" s="12"/>
      <c r="BY1222" s="12"/>
      <c r="BZ1222" s="12"/>
      <c r="CA1222" s="12"/>
      <c r="CB1222" s="12"/>
      <c r="CC1222" s="12"/>
      <c r="CD1222" s="12"/>
      <c r="CE1222" s="12"/>
      <c r="CF1222" s="12"/>
      <c r="CG1222" s="12"/>
      <c r="CH1222" s="12"/>
      <c r="CI1222" s="12"/>
      <c r="CJ1222" s="12"/>
      <c r="CK1222" s="12"/>
      <c r="CL1222" s="12"/>
      <c r="CM1222" s="12"/>
      <c r="CN1222" s="12"/>
      <c r="CO1222" s="12"/>
      <c r="CP1222" s="12"/>
      <c r="CQ1222" s="12"/>
      <c r="CR1222" s="12"/>
      <c r="CS1222" s="12"/>
      <c r="CT1222" s="12"/>
      <c r="CU1222" s="12"/>
      <c r="CV1222" s="12"/>
      <c r="CW1222" s="12"/>
      <c r="CX1222" s="12"/>
      <c r="CY1222" s="12"/>
      <c r="CZ1222" s="12"/>
      <c r="DA1222" s="12"/>
      <c r="DB1222" s="12"/>
      <c r="DC1222" s="12"/>
      <c r="DD1222" s="12"/>
      <c r="DE1222" s="12"/>
      <c r="DF1222" s="12"/>
      <c r="DG1222" s="12"/>
      <c r="DH1222" s="12"/>
      <c r="DI1222" s="12"/>
      <c r="DJ1222" s="12"/>
      <c r="DK1222" s="12"/>
      <c r="DL1222" s="12"/>
      <c r="DM1222" s="12"/>
      <c r="DN1222" s="12"/>
      <c r="DO1222" s="12"/>
      <c r="DP1222" s="12"/>
      <c r="DQ1222" s="12"/>
      <c r="DR1222" s="12"/>
      <c r="DS1222" s="12"/>
      <c r="DT1222" s="12"/>
      <c r="DU1222" s="12"/>
      <c r="DV1222" s="12"/>
      <c r="DW1222" s="12"/>
      <c r="DX1222" s="12"/>
      <c r="DY1222" s="12"/>
      <c r="DZ1222" s="12"/>
      <c r="EA1222" s="12"/>
      <c r="EB1222" s="12"/>
      <c r="EC1222" s="12"/>
      <c r="ED1222" s="12"/>
      <c r="EE1222" s="12"/>
      <c r="EF1222" s="12"/>
      <c r="EG1222" s="12"/>
      <c r="EH1222" s="12"/>
      <c r="EI1222" s="12"/>
      <c r="EJ1222" s="574"/>
      <c r="EK1222" s="574"/>
      <c r="EL1222" s="574"/>
      <c r="EM1222" s="574"/>
      <c r="EN1222" s="574"/>
      <c r="EO1222" s="574"/>
      <c r="EP1222" s="574"/>
      <c r="EQ1222" s="574"/>
      <c r="ER1222" s="574"/>
      <c r="ES1222" s="574"/>
      <c r="ET1222" s="574"/>
      <c r="EU1222" s="574"/>
    </row>
    <row r="1223">
      <c r="A1223" s="12"/>
      <c r="B1223" s="55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2"/>
      <c r="R1223" s="12"/>
      <c r="S1223" s="12"/>
      <c r="T1223" s="12"/>
      <c r="U1223" s="12"/>
      <c r="V1223" s="12"/>
      <c r="W1223" s="12"/>
      <c r="X1223" s="12"/>
      <c r="Y1223" s="12"/>
      <c r="Z1223" s="12"/>
      <c r="AA1223" s="12"/>
      <c r="AB1223" s="12"/>
      <c r="AC1223" s="12"/>
      <c r="AD1223" s="12"/>
      <c r="AE1223" s="12"/>
      <c r="AF1223" s="12"/>
      <c r="AG1223" s="12"/>
      <c r="AH1223" s="12"/>
      <c r="AI1223" s="12"/>
      <c r="AJ1223" s="12"/>
      <c r="AK1223" s="12"/>
      <c r="AL1223" s="12"/>
      <c r="AM1223" s="12"/>
      <c r="AN1223" s="12"/>
      <c r="AO1223" s="12"/>
      <c r="AP1223" s="12"/>
      <c r="AQ1223" s="12"/>
      <c r="AR1223" s="12"/>
      <c r="AS1223" s="12"/>
      <c r="AT1223" s="12"/>
      <c r="AU1223" s="12"/>
      <c r="AV1223" s="12"/>
      <c r="AW1223" s="12"/>
      <c r="AX1223" s="12"/>
      <c r="AY1223" s="12"/>
      <c r="AZ1223" s="12"/>
      <c r="BA1223" s="12"/>
      <c r="BB1223" s="12"/>
      <c r="BC1223" s="12"/>
      <c r="BD1223" s="12"/>
      <c r="BE1223" s="12"/>
      <c r="BF1223" s="12"/>
      <c r="BG1223" s="12"/>
      <c r="BH1223" s="12"/>
      <c r="BI1223" s="12"/>
      <c r="BJ1223" s="12"/>
      <c r="BK1223" s="12"/>
      <c r="BL1223" s="12"/>
      <c r="BM1223" s="12"/>
      <c r="BN1223" s="12"/>
      <c r="BO1223" s="12"/>
      <c r="BP1223" s="12"/>
      <c r="BQ1223" s="12"/>
      <c r="BR1223" s="12"/>
      <c r="BS1223" s="12"/>
      <c r="BT1223" s="12"/>
      <c r="BU1223" s="12"/>
      <c r="BV1223" s="12"/>
      <c r="BW1223" s="12"/>
      <c r="BX1223" s="12"/>
      <c r="BY1223" s="12"/>
      <c r="BZ1223" s="12"/>
      <c r="CA1223" s="12"/>
      <c r="CB1223" s="12"/>
      <c r="CC1223" s="12"/>
      <c r="CD1223" s="12"/>
      <c r="CE1223" s="12"/>
      <c r="CF1223" s="12"/>
      <c r="CG1223" s="12"/>
      <c r="CH1223" s="12"/>
      <c r="CI1223" s="12"/>
      <c r="CJ1223" s="12"/>
      <c r="CK1223" s="12"/>
      <c r="CL1223" s="12"/>
      <c r="CM1223" s="12"/>
      <c r="CN1223" s="12"/>
      <c r="CO1223" s="12"/>
      <c r="CP1223" s="12"/>
      <c r="CQ1223" s="12"/>
      <c r="CR1223" s="12"/>
      <c r="CS1223" s="12"/>
      <c r="CT1223" s="12"/>
      <c r="CU1223" s="12"/>
      <c r="CV1223" s="12"/>
      <c r="CW1223" s="12"/>
      <c r="CX1223" s="12"/>
      <c r="CY1223" s="12"/>
      <c r="CZ1223" s="12"/>
      <c r="DA1223" s="12"/>
      <c r="DB1223" s="12"/>
      <c r="DC1223" s="12"/>
      <c r="DD1223" s="12"/>
      <c r="DE1223" s="12"/>
      <c r="DF1223" s="12"/>
      <c r="DG1223" s="12"/>
      <c r="DH1223" s="12"/>
      <c r="DI1223" s="12"/>
      <c r="DJ1223" s="12"/>
      <c r="DK1223" s="12"/>
      <c r="DL1223" s="12"/>
      <c r="DM1223" s="12"/>
      <c r="DN1223" s="12"/>
      <c r="DO1223" s="12"/>
      <c r="DP1223" s="12"/>
      <c r="DQ1223" s="12"/>
      <c r="DR1223" s="12"/>
      <c r="DS1223" s="12"/>
      <c r="DT1223" s="12"/>
      <c r="DU1223" s="12"/>
      <c r="DV1223" s="12"/>
      <c r="DW1223" s="12"/>
      <c r="DX1223" s="12"/>
      <c r="DY1223" s="12"/>
      <c r="DZ1223" s="12"/>
      <c r="EA1223" s="12"/>
      <c r="EB1223" s="12"/>
      <c r="EC1223" s="12"/>
      <c r="ED1223" s="12"/>
      <c r="EE1223" s="12"/>
      <c r="EF1223" s="12"/>
      <c r="EG1223" s="12"/>
      <c r="EH1223" s="12"/>
      <c r="EI1223" s="12"/>
      <c r="EJ1223" s="574"/>
      <c r="EK1223" s="574"/>
      <c r="EL1223" s="574"/>
      <c r="EM1223" s="574"/>
      <c r="EN1223" s="574"/>
      <c r="EO1223" s="574"/>
      <c r="EP1223" s="574"/>
      <c r="EQ1223" s="574"/>
      <c r="ER1223" s="574"/>
      <c r="ES1223" s="574"/>
      <c r="ET1223" s="574"/>
      <c r="EU1223" s="574"/>
    </row>
    <row r="1224">
      <c r="A1224" s="12"/>
      <c r="B1224" s="55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2"/>
      <c r="R1224" s="12"/>
      <c r="S1224" s="12"/>
      <c r="T1224" s="12"/>
      <c r="U1224" s="12"/>
      <c r="V1224" s="12"/>
      <c r="W1224" s="12"/>
      <c r="X1224" s="12"/>
      <c r="Y1224" s="12"/>
      <c r="Z1224" s="12"/>
      <c r="AA1224" s="12"/>
      <c r="AB1224" s="12"/>
      <c r="AC1224" s="12"/>
      <c r="AD1224" s="12"/>
      <c r="AE1224" s="12"/>
      <c r="AF1224" s="12"/>
      <c r="AG1224" s="12"/>
      <c r="AH1224" s="12"/>
      <c r="AI1224" s="12"/>
      <c r="AJ1224" s="12"/>
      <c r="AK1224" s="12"/>
      <c r="AL1224" s="12"/>
      <c r="AM1224" s="12"/>
      <c r="AN1224" s="12"/>
      <c r="AO1224" s="12"/>
      <c r="AP1224" s="12"/>
      <c r="AQ1224" s="12"/>
      <c r="AR1224" s="12"/>
      <c r="AS1224" s="12"/>
      <c r="AT1224" s="12"/>
      <c r="AU1224" s="12"/>
      <c r="AV1224" s="12"/>
      <c r="AW1224" s="12"/>
      <c r="AX1224" s="12"/>
      <c r="AY1224" s="12"/>
      <c r="AZ1224" s="12"/>
      <c r="BA1224" s="12"/>
      <c r="BB1224" s="12"/>
      <c r="BC1224" s="12"/>
      <c r="BD1224" s="12"/>
      <c r="BE1224" s="12"/>
      <c r="BF1224" s="12"/>
      <c r="BG1224" s="12"/>
      <c r="BH1224" s="12"/>
      <c r="BI1224" s="12"/>
      <c r="BJ1224" s="12"/>
      <c r="BK1224" s="12"/>
      <c r="BL1224" s="12"/>
      <c r="BM1224" s="12"/>
      <c r="BN1224" s="12"/>
      <c r="BO1224" s="12"/>
      <c r="BP1224" s="12"/>
      <c r="BQ1224" s="12"/>
      <c r="BR1224" s="12"/>
      <c r="BS1224" s="12"/>
      <c r="BT1224" s="12"/>
      <c r="BU1224" s="12"/>
      <c r="BV1224" s="12"/>
      <c r="BW1224" s="12"/>
      <c r="BX1224" s="12"/>
      <c r="BY1224" s="12"/>
      <c r="BZ1224" s="12"/>
      <c r="CA1224" s="12"/>
      <c r="CB1224" s="12"/>
      <c r="CC1224" s="12"/>
      <c r="CD1224" s="12"/>
      <c r="CE1224" s="12"/>
      <c r="CF1224" s="12"/>
      <c r="CG1224" s="12"/>
      <c r="CH1224" s="12"/>
      <c r="CI1224" s="12"/>
      <c r="CJ1224" s="12"/>
      <c r="CK1224" s="12"/>
      <c r="CL1224" s="12"/>
      <c r="CM1224" s="12"/>
      <c r="CN1224" s="12"/>
      <c r="CO1224" s="12"/>
      <c r="CP1224" s="12"/>
      <c r="CQ1224" s="12"/>
      <c r="CR1224" s="12"/>
      <c r="CS1224" s="12"/>
      <c r="CT1224" s="12"/>
      <c r="CU1224" s="12"/>
      <c r="CV1224" s="12"/>
      <c r="CW1224" s="12"/>
      <c r="CX1224" s="12"/>
      <c r="CY1224" s="12"/>
      <c r="CZ1224" s="12"/>
      <c r="DA1224" s="12"/>
      <c r="DB1224" s="12"/>
      <c r="DC1224" s="12"/>
      <c r="DD1224" s="12"/>
      <c r="DE1224" s="12"/>
      <c r="DF1224" s="12"/>
      <c r="DG1224" s="12"/>
      <c r="DH1224" s="12"/>
      <c r="DI1224" s="12"/>
      <c r="DJ1224" s="12"/>
      <c r="DK1224" s="12"/>
      <c r="DL1224" s="12"/>
      <c r="DM1224" s="12"/>
      <c r="DN1224" s="12"/>
      <c r="DO1224" s="12"/>
      <c r="DP1224" s="12"/>
      <c r="DQ1224" s="12"/>
      <c r="DR1224" s="12"/>
      <c r="DS1224" s="12"/>
      <c r="DT1224" s="12"/>
      <c r="DU1224" s="12"/>
      <c r="DV1224" s="12"/>
      <c r="DW1224" s="12"/>
      <c r="DX1224" s="12"/>
      <c r="DY1224" s="12"/>
      <c r="DZ1224" s="12"/>
      <c r="EA1224" s="12"/>
      <c r="EB1224" s="12"/>
      <c r="EC1224" s="12"/>
      <c r="ED1224" s="12"/>
      <c r="EE1224" s="12"/>
      <c r="EF1224" s="12"/>
      <c r="EG1224" s="12"/>
      <c r="EH1224" s="12"/>
      <c r="EI1224" s="12"/>
      <c r="EJ1224" s="574"/>
      <c r="EK1224" s="574"/>
      <c r="EL1224" s="574"/>
      <c r="EM1224" s="574"/>
      <c r="EN1224" s="574"/>
      <c r="EO1224" s="574"/>
      <c r="EP1224" s="574"/>
      <c r="EQ1224" s="574"/>
      <c r="ER1224" s="574"/>
      <c r="ES1224" s="574"/>
      <c r="ET1224" s="574"/>
      <c r="EU1224" s="574"/>
    </row>
    <row r="1225">
      <c r="A1225" s="12"/>
      <c r="B1225" s="55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2"/>
      <c r="R1225" s="12"/>
      <c r="S1225" s="12"/>
      <c r="T1225" s="12"/>
      <c r="U1225" s="12"/>
      <c r="V1225" s="12"/>
      <c r="W1225" s="12"/>
      <c r="X1225" s="12"/>
      <c r="Y1225" s="12"/>
      <c r="Z1225" s="12"/>
      <c r="AA1225" s="12"/>
      <c r="AB1225" s="12"/>
      <c r="AC1225" s="12"/>
      <c r="AD1225" s="12"/>
      <c r="AE1225" s="12"/>
      <c r="AF1225" s="12"/>
      <c r="AG1225" s="12"/>
      <c r="AH1225" s="12"/>
      <c r="AI1225" s="12"/>
      <c r="AJ1225" s="12"/>
      <c r="AK1225" s="12"/>
      <c r="AL1225" s="12"/>
      <c r="AM1225" s="12"/>
      <c r="AN1225" s="12"/>
      <c r="AO1225" s="12"/>
      <c r="AP1225" s="12"/>
      <c r="AQ1225" s="12"/>
      <c r="AR1225" s="12"/>
      <c r="AS1225" s="12"/>
      <c r="AT1225" s="12"/>
      <c r="AU1225" s="12"/>
      <c r="AV1225" s="12"/>
      <c r="AW1225" s="12"/>
      <c r="AX1225" s="12"/>
      <c r="AY1225" s="12"/>
      <c r="AZ1225" s="12"/>
      <c r="BA1225" s="12"/>
      <c r="BB1225" s="12"/>
      <c r="BC1225" s="12"/>
      <c r="BD1225" s="12"/>
      <c r="BE1225" s="12"/>
      <c r="BF1225" s="12"/>
      <c r="BG1225" s="12"/>
      <c r="BH1225" s="12"/>
      <c r="BI1225" s="12"/>
      <c r="BJ1225" s="12"/>
      <c r="BK1225" s="12"/>
      <c r="BL1225" s="12"/>
      <c r="BM1225" s="12"/>
      <c r="BN1225" s="12"/>
      <c r="BO1225" s="12"/>
      <c r="BP1225" s="12"/>
      <c r="BQ1225" s="12"/>
      <c r="BR1225" s="12"/>
      <c r="BS1225" s="12"/>
      <c r="BT1225" s="12"/>
      <c r="BU1225" s="12"/>
      <c r="BV1225" s="12"/>
      <c r="BW1225" s="12"/>
      <c r="BX1225" s="12"/>
      <c r="BY1225" s="12"/>
      <c r="BZ1225" s="12"/>
      <c r="CA1225" s="12"/>
      <c r="CB1225" s="12"/>
      <c r="CC1225" s="12"/>
      <c r="CD1225" s="12"/>
      <c r="CE1225" s="12"/>
      <c r="CF1225" s="12"/>
      <c r="CG1225" s="12"/>
      <c r="CH1225" s="12"/>
      <c r="CI1225" s="12"/>
      <c r="CJ1225" s="12"/>
      <c r="CK1225" s="12"/>
      <c r="CL1225" s="12"/>
      <c r="CM1225" s="12"/>
      <c r="CN1225" s="12"/>
      <c r="CO1225" s="12"/>
      <c r="CP1225" s="12"/>
      <c r="CQ1225" s="12"/>
      <c r="CR1225" s="12"/>
      <c r="CS1225" s="12"/>
      <c r="CT1225" s="12"/>
      <c r="CU1225" s="12"/>
      <c r="CV1225" s="12"/>
      <c r="CW1225" s="12"/>
      <c r="CX1225" s="12"/>
      <c r="CY1225" s="12"/>
      <c r="CZ1225" s="12"/>
      <c r="DA1225" s="12"/>
      <c r="DB1225" s="12"/>
      <c r="DC1225" s="12"/>
      <c r="DD1225" s="12"/>
      <c r="DE1225" s="12"/>
      <c r="DF1225" s="12"/>
      <c r="DG1225" s="12"/>
      <c r="DH1225" s="12"/>
      <c r="DI1225" s="12"/>
      <c r="DJ1225" s="12"/>
      <c r="DK1225" s="12"/>
      <c r="DL1225" s="12"/>
      <c r="DM1225" s="12"/>
      <c r="DN1225" s="12"/>
      <c r="DO1225" s="12"/>
      <c r="DP1225" s="12"/>
      <c r="DQ1225" s="12"/>
      <c r="DR1225" s="12"/>
      <c r="DS1225" s="12"/>
      <c r="DT1225" s="12"/>
      <c r="DU1225" s="12"/>
      <c r="DV1225" s="12"/>
      <c r="DW1225" s="12"/>
      <c r="DX1225" s="12"/>
      <c r="DY1225" s="12"/>
      <c r="DZ1225" s="12"/>
      <c r="EA1225" s="12"/>
      <c r="EB1225" s="12"/>
      <c r="EC1225" s="12"/>
      <c r="ED1225" s="12"/>
      <c r="EE1225" s="12"/>
      <c r="EF1225" s="12"/>
      <c r="EG1225" s="12"/>
      <c r="EH1225" s="12"/>
      <c r="EI1225" s="12"/>
      <c r="EJ1225" s="574"/>
      <c r="EK1225" s="574"/>
      <c r="EL1225" s="574"/>
      <c r="EM1225" s="574"/>
      <c r="EN1225" s="574"/>
      <c r="EO1225" s="574"/>
      <c r="EP1225" s="574"/>
      <c r="EQ1225" s="574"/>
      <c r="ER1225" s="574"/>
      <c r="ES1225" s="574"/>
      <c r="ET1225" s="574"/>
      <c r="EU1225" s="574"/>
    </row>
    <row r="1226">
      <c r="A1226" s="12"/>
      <c r="B1226" s="55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2"/>
      <c r="R1226" s="12"/>
      <c r="S1226" s="12"/>
      <c r="T1226" s="12"/>
      <c r="U1226" s="12"/>
      <c r="V1226" s="12"/>
      <c r="W1226" s="12"/>
      <c r="X1226" s="12"/>
      <c r="Y1226" s="12"/>
      <c r="Z1226" s="12"/>
      <c r="AA1226" s="12"/>
      <c r="AB1226" s="12"/>
      <c r="AC1226" s="12"/>
      <c r="AD1226" s="12"/>
      <c r="AE1226" s="12"/>
      <c r="AF1226" s="12"/>
      <c r="AG1226" s="12"/>
      <c r="AH1226" s="12"/>
      <c r="AI1226" s="12"/>
      <c r="AJ1226" s="12"/>
      <c r="AK1226" s="12"/>
      <c r="AL1226" s="12"/>
      <c r="AM1226" s="12"/>
      <c r="AN1226" s="12"/>
      <c r="AO1226" s="12"/>
      <c r="AP1226" s="12"/>
      <c r="AQ1226" s="12"/>
      <c r="AR1226" s="12"/>
      <c r="AS1226" s="12"/>
      <c r="AT1226" s="12"/>
      <c r="AU1226" s="12"/>
      <c r="AV1226" s="12"/>
      <c r="AW1226" s="12"/>
      <c r="AX1226" s="12"/>
      <c r="AY1226" s="12"/>
      <c r="AZ1226" s="12"/>
      <c r="BA1226" s="12"/>
      <c r="BB1226" s="12"/>
      <c r="BC1226" s="12"/>
      <c r="BD1226" s="12"/>
      <c r="BE1226" s="12"/>
      <c r="BF1226" s="12"/>
      <c r="BG1226" s="12"/>
      <c r="BH1226" s="12"/>
      <c r="BI1226" s="12"/>
      <c r="BJ1226" s="12"/>
      <c r="BK1226" s="12"/>
      <c r="BL1226" s="12"/>
      <c r="BM1226" s="12"/>
      <c r="BN1226" s="12"/>
      <c r="BO1226" s="12"/>
      <c r="BP1226" s="12"/>
      <c r="BQ1226" s="12"/>
      <c r="BR1226" s="12"/>
      <c r="BS1226" s="12"/>
      <c r="BT1226" s="12"/>
      <c r="BU1226" s="12"/>
      <c r="BV1226" s="12"/>
      <c r="BW1226" s="12"/>
      <c r="BX1226" s="12"/>
      <c r="BY1226" s="12"/>
      <c r="BZ1226" s="12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574"/>
      <c r="EK1226" s="574"/>
      <c r="EL1226" s="574"/>
      <c r="EM1226" s="574"/>
      <c r="EN1226" s="574"/>
      <c r="EO1226" s="574"/>
      <c r="EP1226" s="574"/>
      <c r="EQ1226" s="574"/>
      <c r="ER1226" s="574"/>
      <c r="ES1226" s="574"/>
      <c r="ET1226" s="574"/>
      <c r="EU1226" s="574"/>
    </row>
    <row r="1227">
      <c r="A1227" s="12"/>
      <c r="B1227" s="55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2"/>
      <c r="R1227" s="12"/>
      <c r="S1227" s="12"/>
      <c r="T1227" s="12"/>
      <c r="U1227" s="12"/>
      <c r="V1227" s="12"/>
      <c r="W1227" s="12"/>
      <c r="X1227" s="12"/>
      <c r="Y1227" s="12"/>
      <c r="Z1227" s="12"/>
      <c r="AA1227" s="12"/>
      <c r="AB1227" s="12"/>
      <c r="AC1227" s="12"/>
      <c r="AD1227" s="12"/>
      <c r="AE1227" s="12"/>
      <c r="AF1227" s="12"/>
      <c r="AG1227" s="12"/>
      <c r="AH1227" s="12"/>
      <c r="AI1227" s="12"/>
      <c r="AJ1227" s="12"/>
      <c r="AK1227" s="12"/>
      <c r="AL1227" s="12"/>
      <c r="AM1227" s="12"/>
      <c r="AN1227" s="12"/>
      <c r="AO1227" s="12"/>
      <c r="AP1227" s="12"/>
      <c r="AQ1227" s="12"/>
      <c r="AR1227" s="12"/>
      <c r="AS1227" s="12"/>
      <c r="AT1227" s="12"/>
      <c r="AU1227" s="12"/>
      <c r="AV1227" s="12"/>
      <c r="AW1227" s="12"/>
      <c r="AX1227" s="12"/>
      <c r="AY1227" s="12"/>
      <c r="AZ1227" s="12"/>
      <c r="BA1227" s="12"/>
      <c r="BB1227" s="12"/>
      <c r="BC1227" s="12"/>
      <c r="BD1227" s="12"/>
      <c r="BE1227" s="12"/>
      <c r="BF1227" s="12"/>
      <c r="BG1227" s="12"/>
      <c r="BH1227" s="12"/>
      <c r="BI1227" s="12"/>
      <c r="BJ1227" s="12"/>
      <c r="BK1227" s="12"/>
      <c r="BL1227" s="12"/>
      <c r="BM1227" s="12"/>
      <c r="BN1227" s="12"/>
      <c r="BO1227" s="12"/>
      <c r="BP1227" s="12"/>
      <c r="BQ1227" s="12"/>
      <c r="BR1227" s="12"/>
      <c r="BS1227" s="12"/>
      <c r="BT1227" s="12"/>
      <c r="BU1227" s="12"/>
      <c r="BV1227" s="12"/>
      <c r="BW1227" s="12"/>
      <c r="BX1227" s="12"/>
      <c r="BY1227" s="12"/>
      <c r="BZ1227" s="12"/>
      <c r="CA1227" s="12"/>
      <c r="CB1227" s="12"/>
      <c r="CC1227" s="12"/>
      <c r="CD1227" s="12"/>
      <c r="CE1227" s="12"/>
      <c r="CF1227" s="12"/>
      <c r="CG1227" s="12"/>
      <c r="CH1227" s="12"/>
      <c r="CI1227" s="12"/>
      <c r="CJ1227" s="12"/>
      <c r="CK1227" s="12"/>
      <c r="CL1227" s="12"/>
      <c r="CM1227" s="12"/>
      <c r="CN1227" s="12"/>
      <c r="CO1227" s="12"/>
      <c r="CP1227" s="12"/>
      <c r="CQ1227" s="12"/>
      <c r="CR1227" s="12"/>
      <c r="CS1227" s="12"/>
      <c r="CT1227" s="12"/>
      <c r="CU1227" s="12"/>
      <c r="CV1227" s="12"/>
      <c r="CW1227" s="12"/>
      <c r="CX1227" s="12"/>
      <c r="CY1227" s="12"/>
      <c r="CZ1227" s="12"/>
      <c r="DA1227" s="12"/>
      <c r="DB1227" s="12"/>
      <c r="DC1227" s="12"/>
      <c r="DD1227" s="12"/>
      <c r="DE1227" s="12"/>
      <c r="DF1227" s="12"/>
      <c r="DG1227" s="12"/>
      <c r="DH1227" s="12"/>
      <c r="DI1227" s="12"/>
      <c r="DJ1227" s="12"/>
      <c r="DK1227" s="12"/>
      <c r="DL1227" s="12"/>
      <c r="DM1227" s="12"/>
      <c r="DN1227" s="12"/>
      <c r="DO1227" s="12"/>
      <c r="DP1227" s="12"/>
      <c r="DQ1227" s="12"/>
      <c r="DR1227" s="12"/>
      <c r="DS1227" s="12"/>
      <c r="DT1227" s="12"/>
      <c r="DU1227" s="12"/>
      <c r="DV1227" s="12"/>
      <c r="DW1227" s="12"/>
      <c r="DX1227" s="12"/>
      <c r="DY1227" s="12"/>
      <c r="DZ1227" s="12"/>
      <c r="EA1227" s="12"/>
      <c r="EB1227" s="12"/>
      <c r="EC1227" s="12"/>
      <c r="ED1227" s="12"/>
      <c r="EE1227" s="12"/>
      <c r="EF1227" s="12"/>
      <c r="EG1227" s="12"/>
      <c r="EH1227" s="12"/>
      <c r="EI1227" s="12"/>
      <c r="EJ1227" s="574"/>
      <c r="EK1227" s="574"/>
      <c r="EL1227" s="574"/>
      <c r="EM1227" s="574"/>
      <c r="EN1227" s="574"/>
      <c r="EO1227" s="574"/>
      <c r="EP1227" s="574"/>
      <c r="EQ1227" s="574"/>
      <c r="ER1227" s="574"/>
      <c r="ES1227" s="574"/>
      <c r="ET1227" s="574"/>
      <c r="EU1227" s="574"/>
    </row>
    <row r="1228">
      <c r="A1228" s="12"/>
      <c r="B1228" s="55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2"/>
      <c r="R1228" s="12"/>
      <c r="S1228" s="12"/>
      <c r="T1228" s="12"/>
      <c r="U1228" s="12"/>
      <c r="V1228" s="12"/>
      <c r="W1228" s="12"/>
      <c r="X1228" s="12"/>
      <c r="Y1228" s="12"/>
      <c r="Z1228" s="12"/>
      <c r="AA1228" s="12"/>
      <c r="AB1228" s="12"/>
      <c r="AC1228" s="12"/>
      <c r="AD1228" s="12"/>
      <c r="AE1228" s="12"/>
      <c r="AF1228" s="12"/>
      <c r="AG1228" s="12"/>
      <c r="AH1228" s="12"/>
      <c r="AI1228" s="12"/>
      <c r="AJ1228" s="12"/>
      <c r="AK1228" s="12"/>
      <c r="AL1228" s="12"/>
      <c r="AM1228" s="12"/>
      <c r="AN1228" s="12"/>
      <c r="AO1228" s="12"/>
      <c r="AP1228" s="12"/>
      <c r="AQ1228" s="12"/>
      <c r="AR1228" s="12"/>
      <c r="AS1228" s="12"/>
      <c r="AT1228" s="12"/>
      <c r="AU1228" s="12"/>
      <c r="AV1228" s="12"/>
      <c r="AW1228" s="12"/>
      <c r="AX1228" s="12"/>
      <c r="AY1228" s="12"/>
      <c r="AZ1228" s="12"/>
      <c r="BA1228" s="12"/>
      <c r="BB1228" s="12"/>
      <c r="BC1228" s="12"/>
      <c r="BD1228" s="12"/>
      <c r="BE1228" s="12"/>
      <c r="BF1228" s="12"/>
      <c r="BG1228" s="12"/>
      <c r="BH1228" s="12"/>
      <c r="BI1228" s="12"/>
      <c r="BJ1228" s="12"/>
      <c r="BK1228" s="12"/>
      <c r="BL1228" s="12"/>
      <c r="BM1228" s="12"/>
      <c r="BN1228" s="12"/>
      <c r="BO1228" s="12"/>
      <c r="BP1228" s="12"/>
      <c r="BQ1228" s="12"/>
      <c r="BR1228" s="12"/>
      <c r="BS1228" s="12"/>
      <c r="BT1228" s="12"/>
      <c r="BU1228" s="12"/>
      <c r="BV1228" s="12"/>
      <c r="BW1228" s="12"/>
      <c r="BX1228" s="12"/>
      <c r="BY1228" s="12"/>
      <c r="BZ1228" s="12"/>
      <c r="CA1228" s="12"/>
      <c r="CB1228" s="12"/>
      <c r="CC1228" s="12"/>
      <c r="CD1228" s="12"/>
      <c r="CE1228" s="12"/>
      <c r="CF1228" s="12"/>
      <c r="CG1228" s="12"/>
      <c r="CH1228" s="12"/>
      <c r="CI1228" s="12"/>
      <c r="CJ1228" s="12"/>
      <c r="CK1228" s="12"/>
      <c r="CL1228" s="12"/>
      <c r="CM1228" s="12"/>
      <c r="CN1228" s="12"/>
      <c r="CO1228" s="12"/>
      <c r="CP1228" s="12"/>
      <c r="CQ1228" s="12"/>
      <c r="CR1228" s="12"/>
      <c r="CS1228" s="12"/>
      <c r="CT1228" s="12"/>
      <c r="CU1228" s="12"/>
      <c r="CV1228" s="12"/>
      <c r="CW1228" s="12"/>
      <c r="CX1228" s="12"/>
      <c r="CY1228" s="12"/>
      <c r="CZ1228" s="12"/>
      <c r="DA1228" s="12"/>
      <c r="DB1228" s="12"/>
      <c r="DC1228" s="12"/>
      <c r="DD1228" s="12"/>
      <c r="DE1228" s="12"/>
      <c r="DF1228" s="12"/>
      <c r="DG1228" s="12"/>
      <c r="DH1228" s="12"/>
      <c r="DI1228" s="12"/>
      <c r="DJ1228" s="12"/>
      <c r="DK1228" s="12"/>
      <c r="DL1228" s="12"/>
      <c r="DM1228" s="12"/>
      <c r="DN1228" s="12"/>
      <c r="DO1228" s="12"/>
      <c r="DP1228" s="12"/>
      <c r="DQ1228" s="12"/>
      <c r="DR1228" s="12"/>
      <c r="DS1228" s="12"/>
      <c r="DT1228" s="12"/>
      <c r="DU1228" s="12"/>
      <c r="DV1228" s="12"/>
      <c r="DW1228" s="12"/>
      <c r="DX1228" s="12"/>
      <c r="DY1228" s="12"/>
      <c r="DZ1228" s="12"/>
      <c r="EA1228" s="12"/>
      <c r="EB1228" s="12"/>
      <c r="EC1228" s="12"/>
      <c r="ED1228" s="12"/>
      <c r="EE1228" s="12"/>
      <c r="EF1228" s="12"/>
      <c r="EG1228" s="12"/>
      <c r="EH1228" s="12"/>
      <c r="EI1228" s="12"/>
      <c r="EJ1228" s="574"/>
      <c r="EK1228" s="574"/>
      <c r="EL1228" s="574"/>
      <c r="EM1228" s="574"/>
      <c r="EN1228" s="574"/>
      <c r="EO1228" s="574"/>
      <c r="EP1228" s="574"/>
      <c r="EQ1228" s="574"/>
      <c r="ER1228" s="574"/>
      <c r="ES1228" s="574"/>
      <c r="ET1228" s="574"/>
      <c r="EU1228" s="574"/>
    </row>
    <row r="1229">
      <c r="A1229" s="12"/>
      <c r="B1229" s="55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2"/>
      <c r="R1229" s="12"/>
      <c r="S1229" s="12"/>
      <c r="T1229" s="12"/>
      <c r="U1229" s="12"/>
      <c r="V1229" s="12"/>
      <c r="W1229" s="12"/>
      <c r="X1229" s="12"/>
      <c r="Y1229" s="12"/>
      <c r="Z1229" s="12"/>
      <c r="AA1229" s="12"/>
      <c r="AB1229" s="12"/>
      <c r="AC1229" s="12"/>
      <c r="AD1229" s="12"/>
      <c r="AE1229" s="12"/>
      <c r="AF1229" s="12"/>
      <c r="AG1229" s="12"/>
      <c r="AH1229" s="12"/>
      <c r="AI1229" s="12"/>
      <c r="AJ1229" s="12"/>
      <c r="AK1229" s="12"/>
      <c r="AL1229" s="12"/>
      <c r="AM1229" s="12"/>
      <c r="AN1229" s="12"/>
      <c r="AO1229" s="12"/>
      <c r="AP1229" s="12"/>
      <c r="AQ1229" s="12"/>
      <c r="AR1229" s="12"/>
      <c r="AS1229" s="12"/>
      <c r="AT1229" s="12"/>
      <c r="AU1229" s="12"/>
      <c r="AV1229" s="12"/>
      <c r="AW1229" s="12"/>
      <c r="AX1229" s="12"/>
      <c r="AY1229" s="12"/>
      <c r="AZ1229" s="12"/>
      <c r="BA1229" s="12"/>
      <c r="BB1229" s="12"/>
      <c r="BC1229" s="12"/>
      <c r="BD1229" s="12"/>
      <c r="BE1229" s="12"/>
      <c r="BF1229" s="12"/>
      <c r="BG1229" s="12"/>
      <c r="BH1229" s="12"/>
      <c r="BI1229" s="12"/>
      <c r="BJ1229" s="12"/>
      <c r="BK1229" s="12"/>
      <c r="BL1229" s="12"/>
      <c r="BM1229" s="12"/>
      <c r="BN1229" s="12"/>
      <c r="BO1229" s="12"/>
      <c r="BP1229" s="12"/>
      <c r="BQ1229" s="12"/>
      <c r="BR1229" s="12"/>
      <c r="BS1229" s="12"/>
      <c r="BT1229" s="12"/>
      <c r="BU1229" s="12"/>
      <c r="BV1229" s="12"/>
      <c r="BW1229" s="12"/>
      <c r="BX1229" s="12"/>
      <c r="BY1229" s="12"/>
      <c r="BZ1229" s="12"/>
      <c r="CA1229" s="12"/>
      <c r="CB1229" s="12"/>
      <c r="CC1229" s="12"/>
      <c r="CD1229" s="12"/>
      <c r="CE1229" s="12"/>
      <c r="CF1229" s="12"/>
      <c r="CG1229" s="12"/>
      <c r="CH1229" s="12"/>
      <c r="CI1229" s="12"/>
      <c r="CJ1229" s="12"/>
      <c r="CK1229" s="12"/>
      <c r="CL1229" s="12"/>
      <c r="CM1229" s="12"/>
      <c r="CN1229" s="12"/>
      <c r="CO1229" s="12"/>
      <c r="CP1229" s="12"/>
      <c r="CQ1229" s="12"/>
      <c r="CR1229" s="12"/>
      <c r="CS1229" s="12"/>
      <c r="CT1229" s="12"/>
      <c r="CU1229" s="12"/>
      <c r="CV1229" s="12"/>
      <c r="CW1229" s="12"/>
      <c r="CX1229" s="12"/>
      <c r="CY1229" s="12"/>
      <c r="CZ1229" s="12"/>
      <c r="DA1229" s="12"/>
      <c r="DB1229" s="12"/>
      <c r="DC1229" s="12"/>
      <c r="DD1229" s="12"/>
      <c r="DE1229" s="12"/>
      <c r="DF1229" s="12"/>
      <c r="DG1229" s="12"/>
      <c r="DH1229" s="12"/>
      <c r="DI1229" s="12"/>
      <c r="DJ1229" s="12"/>
      <c r="DK1229" s="12"/>
      <c r="DL1229" s="12"/>
      <c r="DM1229" s="12"/>
      <c r="DN1229" s="12"/>
      <c r="DO1229" s="12"/>
      <c r="DP1229" s="12"/>
      <c r="DQ1229" s="12"/>
      <c r="DR1229" s="12"/>
      <c r="DS1229" s="12"/>
      <c r="DT1229" s="12"/>
      <c r="DU1229" s="12"/>
      <c r="DV1229" s="12"/>
      <c r="DW1229" s="12"/>
      <c r="DX1229" s="12"/>
      <c r="DY1229" s="12"/>
      <c r="DZ1229" s="12"/>
      <c r="EA1229" s="12"/>
      <c r="EB1229" s="12"/>
      <c r="EC1229" s="12"/>
      <c r="ED1229" s="12"/>
      <c r="EE1229" s="12"/>
      <c r="EF1229" s="12"/>
      <c r="EG1229" s="12"/>
      <c r="EH1229" s="12"/>
      <c r="EI1229" s="12"/>
      <c r="EJ1229" s="574"/>
      <c r="EK1229" s="574"/>
      <c r="EL1229" s="574"/>
      <c r="EM1229" s="574"/>
      <c r="EN1229" s="574"/>
      <c r="EO1229" s="574"/>
      <c r="EP1229" s="574"/>
      <c r="EQ1229" s="574"/>
      <c r="ER1229" s="574"/>
      <c r="ES1229" s="574"/>
      <c r="ET1229" s="574"/>
      <c r="EU1229" s="574"/>
    </row>
    <row r="1230">
      <c r="A1230" s="12"/>
      <c r="B1230" s="55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2"/>
      <c r="R1230" s="12"/>
      <c r="S1230" s="12"/>
      <c r="T1230" s="12"/>
      <c r="U1230" s="12"/>
      <c r="V1230" s="12"/>
      <c r="W1230" s="12"/>
      <c r="X1230" s="12"/>
      <c r="Y1230" s="12"/>
      <c r="Z1230" s="12"/>
      <c r="AA1230" s="12"/>
      <c r="AB1230" s="12"/>
      <c r="AC1230" s="12"/>
      <c r="AD1230" s="12"/>
      <c r="AE1230" s="12"/>
      <c r="AF1230" s="12"/>
      <c r="AG1230" s="12"/>
      <c r="AH1230" s="12"/>
      <c r="AI1230" s="12"/>
      <c r="AJ1230" s="12"/>
      <c r="AK1230" s="12"/>
      <c r="AL1230" s="12"/>
      <c r="AM1230" s="12"/>
      <c r="AN1230" s="12"/>
      <c r="AO1230" s="12"/>
      <c r="AP1230" s="12"/>
      <c r="AQ1230" s="12"/>
      <c r="AR1230" s="12"/>
      <c r="AS1230" s="12"/>
      <c r="AT1230" s="12"/>
      <c r="AU1230" s="12"/>
      <c r="AV1230" s="12"/>
      <c r="AW1230" s="12"/>
      <c r="AX1230" s="12"/>
      <c r="AY1230" s="12"/>
      <c r="AZ1230" s="12"/>
      <c r="BA1230" s="12"/>
      <c r="BB1230" s="12"/>
      <c r="BC1230" s="12"/>
      <c r="BD1230" s="12"/>
      <c r="BE1230" s="12"/>
      <c r="BF1230" s="12"/>
      <c r="BG1230" s="12"/>
      <c r="BH1230" s="12"/>
      <c r="BI1230" s="12"/>
      <c r="BJ1230" s="12"/>
      <c r="BK1230" s="12"/>
      <c r="BL1230" s="12"/>
      <c r="BM1230" s="12"/>
      <c r="BN1230" s="12"/>
      <c r="BO1230" s="12"/>
      <c r="BP1230" s="12"/>
      <c r="BQ1230" s="12"/>
      <c r="BR1230" s="12"/>
      <c r="BS1230" s="12"/>
      <c r="BT1230" s="12"/>
      <c r="BU1230" s="12"/>
      <c r="BV1230" s="12"/>
      <c r="BW1230" s="12"/>
      <c r="BX1230" s="12"/>
      <c r="BY1230" s="12"/>
      <c r="BZ1230" s="12"/>
      <c r="CA1230" s="12"/>
      <c r="CB1230" s="12"/>
      <c r="CC1230" s="12"/>
      <c r="CD1230" s="12"/>
      <c r="CE1230" s="12"/>
      <c r="CF1230" s="12"/>
      <c r="CG1230" s="12"/>
      <c r="CH1230" s="12"/>
      <c r="CI1230" s="12"/>
      <c r="CJ1230" s="12"/>
      <c r="CK1230" s="12"/>
      <c r="CL1230" s="12"/>
      <c r="CM1230" s="12"/>
      <c r="CN1230" s="12"/>
      <c r="CO1230" s="12"/>
      <c r="CP1230" s="12"/>
      <c r="CQ1230" s="12"/>
      <c r="CR1230" s="12"/>
      <c r="CS1230" s="12"/>
      <c r="CT1230" s="12"/>
      <c r="CU1230" s="12"/>
      <c r="CV1230" s="12"/>
      <c r="CW1230" s="12"/>
      <c r="CX1230" s="12"/>
      <c r="CY1230" s="12"/>
      <c r="CZ1230" s="12"/>
      <c r="DA1230" s="12"/>
      <c r="DB1230" s="12"/>
      <c r="DC1230" s="12"/>
      <c r="DD1230" s="12"/>
      <c r="DE1230" s="12"/>
      <c r="DF1230" s="12"/>
      <c r="DG1230" s="12"/>
      <c r="DH1230" s="12"/>
      <c r="DI1230" s="12"/>
      <c r="DJ1230" s="12"/>
      <c r="DK1230" s="12"/>
      <c r="DL1230" s="12"/>
      <c r="DM1230" s="12"/>
      <c r="DN1230" s="12"/>
      <c r="DO1230" s="12"/>
      <c r="DP1230" s="12"/>
      <c r="DQ1230" s="12"/>
      <c r="DR1230" s="12"/>
      <c r="DS1230" s="12"/>
      <c r="DT1230" s="12"/>
      <c r="DU1230" s="12"/>
      <c r="DV1230" s="12"/>
      <c r="DW1230" s="12"/>
      <c r="DX1230" s="12"/>
      <c r="DY1230" s="12"/>
      <c r="DZ1230" s="12"/>
      <c r="EA1230" s="12"/>
      <c r="EB1230" s="12"/>
      <c r="EC1230" s="12"/>
      <c r="ED1230" s="12"/>
      <c r="EE1230" s="12"/>
      <c r="EF1230" s="12"/>
      <c r="EG1230" s="12"/>
      <c r="EH1230" s="12"/>
      <c r="EI1230" s="12"/>
      <c r="EJ1230" s="574"/>
      <c r="EK1230" s="574"/>
      <c r="EL1230" s="574"/>
      <c r="EM1230" s="574"/>
      <c r="EN1230" s="574"/>
      <c r="EO1230" s="574"/>
      <c r="EP1230" s="574"/>
      <c r="EQ1230" s="574"/>
      <c r="ER1230" s="574"/>
      <c r="ES1230" s="574"/>
      <c r="ET1230" s="574"/>
      <c r="EU1230" s="574"/>
    </row>
    <row r="1231">
      <c r="A1231" s="12"/>
      <c r="B1231" s="55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2"/>
      <c r="R1231" s="12"/>
      <c r="S1231" s="12"/>
      <c r="T1231" s="12"/>
      <c r="U1231" s="12"/>
      <c r="V1231" s="12"/>
      <c r="W1231" s="12"/>
      <c r="X1231" s="12"/>
      <c r="Y1231" s="12"/>
      <c r="Z1231" s="12"/>
      <c r="AA1231" s="12"/>
      <c r="AB1231" s="12"/>
      <c r="AC1231" s="12"/>
      <c r="AD1231" s="12"/>
      <c r="AE1231" s="12"/>
      <c r="AF1231" s="12"/>
      <c r="AG1231" s="12"/>
      <c r="AH1231" s="12"/>
      <c r="AI1231" s="12"/>
      <c r="AJ1231" s="12"/>
      <c r="AK1231" s="12"/>
      <c r="AL1231" s="12"/>
      <c r="AM1231" s="12"/>
      <c r="AN1231" s="12"/>
      <c r="AO1231" s="12"/>
      <c r="AP1231" s="12"/>
      <c r="AQ1231" s="12"/>
      <c r="AR1231" s="12"/>
      <c r="AS1231" s="12"/>
      <c r="AT1231" s="12"/>
      <c r="AU1231" s="12"/>
      <c r="AV1231" s="12"/>
      <c r="AW1231" s="12"/>
      <c r="AX1231" s="12"/>
      <c r="AY1231" s="12"/>
      <c r="AZ1231" s="12"/>
      <c r="BA1231" s="12"/>
      <c r="BB1231" s="12"/>
      <c r="BC1231" s="12"/>
      <c r="BD1231" s="12"/>
      <c r="BE1231" s="12"/>
      <c r="BF1231" s="12"/>
      <c r="BG1231" s="12"/>
      <c r="BH1231" s="12"/>
      <c r="BI1231" s="12"/>
      <c r="BJ1231" s="12"/>
      <c r="BK1231" s="12"/>
      <c r="BL1231" s="12"/>
      <c r="BM1231" s="12"/>
      <c r="BN1231" s="12"/>
      <c r="BO1231" s="12"/>
      <c r="BP1231" s="12"/>
      <c r="BQ1231" s="12"/>
      <c r="BR1231" s="12"/>
      <c r="BS1231" s="12"/>
      <c r="BT1231" s="12"/>
      <c r="BU1231" s="12"/>
      <c r="BV1231" s="12"/>
      <c r="BW1231" s="12"/>
      <c r="BX1231" s="12"/>
      <c r="BY1231" s="12"/>
      <c r="BZ1231" s="12"/>
      <c r="CA1231" s="12"/>
      <c r="CB1231" s="12"/>
      <c r="CC1231" s="12"/>
      <c r="CD1231" s="12"/>
      <c r="CE1231" s="12"/>
      <c r="CF1231" s="12"/>
      <c r="CG1231" s="12"/>
      <c r="CH1231" s="12"/>
      <c r="CI1231" s="12"/>
      <c r="CJ1231" s="12"/>
      <c r="CK1231" s="12"/>
      <c r="CL1231" s="12"/>
      <c r="CM1231" s="12"/>
      <c r="CN1231" s="12"/>
      <c r="CO1231" s="12"/>
      <c r="CP1231" s="12"/>
      <c r="CQ1231" s="12"/>
      <c r="CR1231" s="12"/>
      <c r="CS1231" s="12"/>
      <c r="CT1231" s="12"/>
      <c r="CU1231" s="12"/>
      <c r="CV1231" s="12"/>
      <c r="CW1231" s="12"/>
      <c r="CX1231" s="12"/>
      <c r="CY1231" s="12"/>
      <c r="CZ1231" s="12"/>
      <c r="DA1231" s="12"/>
      <c r="DB1231" s="12"/>
      <c r="DC1231" s="12"/>
      <c r="DD1231" s="12"/>
      <c r="DE1231" s="12"/>
      <c r="DF1231" s="12"/>
      <c r="DG1231" s="12"/>
      <c r="DH1231" s="12"/>
      <c r="DI1231" s="12"/>
      <c r="DJ1231" s="12"/>
      <c r="DK1231" s="12"/>
      <c r="DL1231" s="12"/>
      <c r="DM1231" s="12"/>
      <c r="DN1231" s="12"/>
      <c r="DO1231" s="12"/>
      <c r="DP1231" s="12"/>
      <c r="DQ1231" s="12"/>
      <c r="DR1231" s="12"/>
      <c r="DS1231" s="12"/>
      <c r="DT1231" s="12"/>
      <c r="DU1231" s="12"/>
      <c r="DV1231" s="12"/>
      <c r="DW1231" s="12"/>
      <c r="DX1231" s="12"/>
      <c r="DY1231" s="12"/>
      <c r="DZ1231" s="12"/>
      <c r="EA1231" s="12"/>
      <c r="EB1231" s="12"/>
      <c r="EC1231" s="12"/>
      <c r="ED1231" s="12"/>
      <c r="EE1231" s="12"/>
      <c r="EF1231" s="12"/>
      <c r="EG1231" s="12"/>
      <c r="EH1231" s="12"/>
      <c r="EI1231" s="12"/>
      <c r="EJ1231" s="574"/>
      <c r="EK1231" s="574"/>
      <c r="EL1231" s="574"/>
      <c r="EM1231" s="574"/>
      <c r="EN1231" s="574"/>
      <c r="EO1231" s="574"/>
      <c r="EP1231" s="574"/>
      <c r="EQ1231" s="574"/>
      <c r="ER1231" s="574"/>
      <c r="ES1231" s="574"/>
      <c r="ET1231" s="574"/>
      <c r="EU1231" s="574"/>
    </row>
    <row r="1232">
      <c r="A1232" s="12"/>
      <c r="B1232" s="55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2"/>
      <c r="R1232" s="12"/>
      <c r="S1232" s="12"/>
      <c r="T1232" s="12"/>
      <c r="U1232" s="12"/>
      <c r="V1232" s="12"/>
      <c r="W1232" s="12"/>
      <c r="X1232" s="12"/>
      <c r="Y1232" s="12"/>
      <c r="Z1232" s="12"/>
      <c r="AA1232" s="12"/>
      <c r="AB1232" s="12"/>
      <c r="AC1232" s="12"/>
      <c r="AD1232" s="12"/>
      <c r="AE1232" s="12"/>
      <c r="AF1232" s="12"/>
      <c r="AG1232" s="12"/>
      <c r="AH1232" s="12"/>
      <c r="AI1232" s="12"/>
      <c r="AJ1232" s="12"/>
      <c r="AK1232" s="12"/>
      <c r="AL1232" s="12"/>
      <c r="AM1232" s="12"/>
      <c r="AN1232" s="12"/>
      <c r="AO1232" s="12"/>
      <c r="AP1232" s="12"/>
      <c r="AQ1232" s="12"/>
      <c r="AR1232" s="12"/>
      <c r="AS1232" s="12"/>
      <c r="AT1232" s="12"/>
      <c r="AU1232" s="12"/>
      <c r="AV1232" s="12"/>
      <c r="AW1232" s="12"/>
      <c r="AX1232" s="12"/>
      <c r="AY1232" s="12"/>
      <c r="AZ1232" s="12"/>
      <c r="BA1232" s="12"/>
      <c r="BB1232" s="12"/>
      <c r="BC1232" s="12"/>
      <c r="BD1232" s="12"/>
      <c r="BE1232" s="12"/>
      <c r="BF1232" s="12"/>
      <c r="BG1232" s="12"/>
      <c r="BH1232" s="12"/>
      <c r="BI1232" s="12"/>
      <c r="BJ1232" s="12"/>
      <c r="BK1232" s="12"/>
      <c r="BL1232" s="12"/>
      <c r="BM1232" s="12"/>
      <c r="BN1232" s="12"/>
      <c r="BO1232" s="12"/>
      <c r="BP1232" s="12"/>
      <c r="BQ1232" s="12"/>
      <c r="BR1232" s="12"/>
      <c r="BS1232" s="12"/>
      <c r="BT1232" s="12"/>
      <c r="BU1232" s="12"/>
      <c r="BV1232" s="12"/>
      <c r="BW1232" s="12"/>
      <c r="BX1232" s="12"/>
      <c r="BY1232" s="12"/>
      <c r="BZ1232" s="12"/>
      <c r="CA1232" s="12"/>
      <c r="CB1232" s="12"/>
      <c r="CC1232" s="12"/>
      <c r="CD1232" s="12"/>
      <c r="CE1232" s="12"/>
      <c r="CF1232" s="12"/>
      <c r="CG1232" s="12"/>
      <c r="CH1232" s="12"/>
      <c r="CI1232" s="12"/>
      <c r="CJ1232" s="12"/>
      <c r="CK1232" s="12"/>
      <c r="CL1232" s="12"/>
      <c r="CM1232" s="12"/>
      <c r="CN1232" s="12"/>
      <c r="CO1232" s="12"/>
      <c r="CP1232" s="12"/>
      <c r="CQ1232" s="12"/>
      <c r="CR1232" s="12"/>
      <c r="CS1232" s="12"/>
      <c r="CT1232" s="12"/>
      <c r="CU1232" s="12"/>
      <c r="CV1232" s="12"/>
      <c r="CW1232" s="12"/>
      <c r="CX1232" s="12"/>
      <c r="CY1232" s="12"/>
      <c r="CZ1232" s="12"/>
      <c r="DA1232" s="12"/>
      <c r="DB1232" s="12"/>
      <c r="DC1232" s="12"/>
      <c r="DD1232" s="12"/>
      <c r="DE1232" s="12"/>
      <c r="DF1232" s="12"/>
      <c r="DG1232" s="12"/>
      <c r="DH1232" s="12"/>
      <c r="DI1232" s="12"/>
      <c r="DJ1232" s="12"/>
      <c r="DK1232" s="12"/>
      <c r="DL1232" s="12"/>
      <c r="DM1232" s="12"/>
      <c r="DN1232" s="12"/>
      <c r="DO1232" s="12"/>
      <c r="DP1232" s="12"/>
      <c r="DQ1232" s="12"/>
      <c r="DR1232" s="12"/>
      <c r="DS1232" s="12"/>
      <c r="DT1232" s="12"/>
      <c r="DU1232" s="12"/>
      <c r="DV1232" s="12"/>
      <c r="DW1232" s="12"/>
      <c r="DX1232" s="12"/>
      <c r="DY1232" s="12"/>
      <c r="DZ1232" s="12"/>
      <c r="EA1232" s="12"/>
      <c r="EB1232" s="12"/>
      <c r="EC1232" s="12"/>
      <c r="ED1232" s="12"/>
      <c r="EE1232" s="12"/>
      <c r="EF1232" s="12"/>
      <c r="EG1232" s="12"/>
      <c r="EH1232" s="12"/>
      <c r="EI1232" s="12"/>
      <c r="EJ1232" s="574"/>
      <c r="EK1232" s="574"/>
      <c r="EL1232" s="574"/>
      <c r="EM1232" s="574"/>
      <c r="EN1232" s="574"/>
      <c r="EO1232" s="574"/>
      <c r="EP1232" s="574"/>
      <c r="EQ1232" s="574"/>
      <c r="ER1232" s="574"/>
      <c r="ES1232" s="574"/>
      <c r="ET1232" s="574"/>
      <c r="EU1232" s="574"/>
    </row>
    <row r="1233">
      <c r="A1233" s="12"/>
      <c r="B1233" s="55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2"/>
      <c r="R1233" s="12"/>
      <c r="S1233" s="12"/>
      <c r="T1233" s="12"/>
      <c r="U1233" s="12"/>
      <c r="V1233" s="12"/>
      <c r="W1233" s="12"/>
      <c r="X1233" s="12"/>
      <c r="Y1233" s="12"/>
      <c r="Z1233" s="12"/>
      <c r="AA1233" s="12"/>
      <c r="AB1233" s="12"/>
      <c r="AC1233" s="12"/>
      <c r="AD1233" s="12"/>
      <c r="AE1233" s="12"/>
      <c r="AF1233" s="12"/>
      <c r="AG1233" s="12"/>
      <c r="AH1233" s="12"/>
      <c r="AI1233" s="12"/>
      <c r="AJ1233" s="12"/>
      <c r="AK1233" s="12"/>
      <c r="AL1233" s="12"/>
      <c r="AM1233" s="12"/>
      <c r="AN1233" s="12"/>
      <c r="AO1233" s="12"/>
      <c r="AP1233" s="12"/>
      <c r="AQ1233" s="12"/>
      <c r="AR1233" s="12"/>
      <c r="AS1233" s="12"/>
      <c r="AT1233" s="12"/>
      <c r="AU1233" s="12"/>
      <c r="AV1233" s="12"/>
      <c r="AW1233" s="12"/>
      <c r="AX1233" s="12"/>
      <c r="AY1233" s="12"/>
      <c r="AZ1233" s="12"/>
      <c r="BA1233" s="12"/>
      <c r="BB1233" s="12"/>
      <c r="BC1233" s="12"/>
      <c r="BD1233" s="12"/>
      <c r="BE1233" s="12"/>
      <c r="BF1233" s="12"/>
      <c r="BG1233" s="12"/>
      <c r="BH1233" s="12"/>
      <c r="BI1233" s="12"/>
      <c r="BJ1233" s="12"/>
      <c r="BK1233" s="12"/>
      <c r="BL1233" s="12"/>
      <c r="BM1233" s="12"/>
      <c r="BN1233" s="12"/>
      <c r="BO1233" s="12"/>
      <c r="BP1233" s="12"/>
      <c r="BQ1233" s="12"/>
      <c r="BR1233" s="12"/>
      <c r="BS1233" s="12"/>
      <c r="BT1233" s="12"/>
      <c r="BU1233" s="12"/>
      <c r="BV1233" s="12"/>
      <c r="BW1233" s="12"/>
      <c r="BX1233" s="12"/>
      <c r="BY1233" s="12"/>
      <c r="BZ1233" s="12"/>
      <c r="CA1233" s="12"/>
      <c r="CB1233" s="12"/>
      <c r="CC1233" s="12"/>
      <c r="CD1233" s="12"/>
      <c r="CE1233" s="12"/>
      <c r="CF1233" s="12"/>
      <c r="CG1233" s="12"/>
      <c r="CH1233" s="12"/>
      <c r="CI1233" s="12"/>
      <c r="CJ1233" s="12"/>
      <c r="CK1233" s="12"/>
      <c r="CL1233" s="12"/>
      <c r="CM1233" s="12"/>
      <c r="CN1233" s="12"/>
      <c r="CO1233" s="12"/>
      <c r="CP1233" s="12"/>
      <c r="CQ1233" s="12"/>
      <c r="CR1233" s="12"/>
      <c r="CS1233" s="12"/>
      <c r="CT1233" s="12"/>
      <c r="CU1233" s="12"/>
      <c r="CV1233" s="12"/>
      <c r="CW1233" s="12"/>
      <c r="CX1233" s="12"/>
      <c r="CY1233" s="12"/>
      <c r="CZ1233" s="12"/>
      <c r="DA1233" s="12"/>
      <c r="DB1233" s="12"/>
      <c r="DC1233" s="12"/>
      <c r="DD1233" s="12"/>
      <c r="DE1233" s="12"/>
      <c r="DF1233" s="12"/>
      <c r="DG1233" s="12"/>
      <c r="DH1233" s="12"/>
      <c r="DI1233" s="12"/>
      <c r="DJ1233" s="12"/>
      <c r="DK1233" s="12"/>
      <c r="DL1233" s="12"/>
      <c r="DM1233" s="12"/>
      <c r="DN1233" s="12"/>
      <c r="DO1233" s="12"/>
      <c r="DP1233" s="12"/>
      <c r="DQ1233" s="12"/>
      <c r="DR1233" s="12"/>
      <c r="DS1233" s="12"/>
      <c r="DT1233" s="12"/>
      <c r="DU1233" s="12"/>
      <c r="DV1233" s="12"/>
      <c r="DW1233" s="12"/>
      <c r="DX1233" s="12"/>
      <c r="DY1233" s="12"/>
      <c r="DZ1233" s="12"/>
      <c r="EA1233" s="12"/>
      <c r="EB1233" s="12"/>
      <c r="EC1233" s="12"/>
      <c r="ED1233" s="12"/>
      <c r="EE1233" s="12"/>
      <c r="EF1233" s="12"/>
      <c r="EG1233" s="12"/>
      <c r="EH1233" s="12"/>
      <c r="EI1233" s="12"/>
      <c r="EJ1233" s="574"/>
      <c r="EK1233" s="574"/>
      <c r="EL1233" s="574"/>
      <c r="EM1233" s="574"/>
      <c r="EN1233" s="574"/>
      <c r="EO1233" s="574"/>
      <c r="EP1233" s="574"/>
      <c r="EQ1233" s="574"/>
      <c r="ER1233" s="574"/>
      <c r="ES1233" s="574"/>
      <c r="ET1233" s="574"/>
      <c r="EU1233" s="574"/>
    </row>
    <row r="1234">
      <c r="A1234" s="12"/>
      <c r="B1234" s="55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2"/>
      <c r="R1234" s="12"/>
      <c r="S1234" s="12"/>
      <c r="T1234" s="12"/>
      <c r="U1234" s="12"/>
      <c r="V1234" s="12"/>
      <c r="W1234" s="12"/>
      <c r="X1234" s="12"/>
      <c r="Y1234" s="12"/>
      <c r="Z1234" s="12"/>
      <c r="AA1234" s="12"/>
      <c r="AB1234" s="12"/>
      <c r="AC1234" s="12"/>
      <c r="AD1234" s="12"/>
      <c r="AE1234" s="12"/>
      <c r="AF1234" s="12"/>
      <c r="AG1234" s="12"/>
      <c r="AH1234" s="12"/>
      <c r="AI1234" s="12"/>
      <c r="AJ1234" s="12"/>
      <c r="AK1234" s="12"/>
      <c r="AL1234" s="12"/>
      <c r="AM1234" s="12"/>
      <c r="AN1234" s="12"/>
      <c r="AO1234" s="12"/>
      <c r="AP1234" s="12"/>
      <c r="AQ1234" s="12"/>
      <c r="AR1234" s="12"/>
      <c r="AS1234" s="12"/>
      <c r="AT1234" s="12"/>
      <c r="AU1234" s="12"/>
      <c r="AV1234" s="12"/>
      <c r="AW1234" s="12"/>
      <c r="AX1234" s="12"/>
      <c r="AY1234" s="12"/>
      <c r="AZ1234" s="12"/>
      <c r="BA1234" s="12"/>
      <c r="BB1234" s="12"/>
      <c r="BC1234" s="12"/>
      <c r="BD1234" s="12"/>
      <c r="BE1234" s="12"/>
      <c r="BF1234" s="12"/>
      <c r="BG1234" s="12"/>
      <c r="BH1234" s="12"/>
      <c r="BI1234" s="12"/>
      <c r="BJ1234" s="12"/>
      <c r="BK1234" s="12"/>
      <c r="BL1234" s="12"/>
      <c r="BM1234" s="12"/>
      <c r="BN1234" s="12"/>
      <c r="BO1234" s="12"/>
      <c r="BP1234" s="12"/>
      <c r="BQ1234" s="12"/>
      <c r="BR1234" s="12"/>
      <c r="BS1234" s="12"/>
      <c r="BT1234" s="12"/>
      <c r="BU1234" s="12"/>
      <c r="BV1234" s="12"/>
      <c r="BW1234" s="12"/>
      <c r="BX1234" s="12"/>
      <c r="BY1234" s="12"/>
      <c r="BZ1234" s="12"/>
      <c r="CA1234" s="12"/>
      <c r="CB1234" s="12"/>
      <c r="CC1234" s="12"/>
      <c r="CD1234" s="12"/>
      <c r="CE1234" s="12"/>
      <c r="CF1234" s="12"/>
      <c r="CG1234" s="12"/>
      <c r="CH1234" s="12"/>
      <c r="CI1234" s="12"/>
      <c r="CJ1234" s="12"/>
      <c r="CK1234" s="12"/>
      <c r="CL1234" s="12"/>
      <c r="CM1234" s="12"/>
      <c r="CN1234" s="12"/>
      <c r="CO1234" s="12"/>
      <c r="CP1234" s="12"/>
      <c r="CQ1234" s="12"/>
      <c r="CR1234" s="12"/>
      <c r="CS1234" s="12"/>
      <c r="CT1234" s="12"/>
      <c r="CU1234" s="12"/>
      <c r="CV1234" s="12"/>
      <c r="CW1234" s="12"/>
      <c r="CX1234" s="12"/>
      <c r="CY1234" s="12"/>
      <c r="CZ1234" s="12"/>
      <c r="DA1234" s="12"/>
      <c r="DB1234" s="12"/>
      <c r="DC1234" s="12"/>
      <c r="DD1234" s="12"/>
      <c r="DE1234" s="12"/>
      <c r="DF1234" s="12"/>
      <c r="DG1234" s="12"/>
      <c r="DH1234" s="12"/>
      <c r="DI1234" s="12"/>
      <c r="DJ1234" s="12"/>
      <c r="DK1234" s="12"/>
      <c r="DL1234" s="12"/>
      <c r="DM1234" s="12"/>
      <c r="DN1234" s="12"/>
      <c r="DO1234" s="12"/>
      <c r="DP1234" s="12"/>
      <c r="DQ1234" s="12"/>
      <c r="DR1234" s="12"/>
      <c r="DS1234" s="12"/>
      <c r="DT1234" s="12"/>
      <c r="DU1234" s="12"/>
      <c r="DV1234" s="12"/>
      <c r="DW1234" s="12"/>
      <c r="DX1234" s="12"/>
      <c r="DY1234" s="12"/>
      <c r="DZ1234" s="12"/>
      <c r="EA1234" s="12"/>
      <c r="EB1234" s="12"/>
      <c r="EC1234" s="12"/>
      <c r="ED1234" s="12"/>
      <c r="EE1234" s="12"/>
      <c r="EF1234" s="12"/>
      <c r="EG1234" s="12"/>
      <c r="EH1234" s="12"/>
      <c r="EI1234" s="12"/>
      <c r="EJ1234" s="574"/>
      <c r="EK1234" s="574"/>
      <c r="EL1234" s="574"/>
      <c r="EM1234" s="574"/>
      <c r="EN1234" s="574"/>
      <c r="EO1234" s="574"/>
      <c r="EP1234" s="574"/>
      <c r="EQ1234" s="574"/>
      <c r="ER1234" s="574"/>
      <c r="ES1234" s="574"/>
      <c r="ET1234" s="574"/>
      <c r="EU1234" s="574"/>
    </row>
    <row r="1235">
      <c r="A1235" s="12"/>
      <c r="B1235" s="55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2"/>
      <c r="R1235" s="12"/>
      <c r="S1235" s="12"/>
      <c r="T1235" s="12"/>
      <c r="U1235" s="12"/>
      <c r="V1235" s="12"/>
      <c r="W1235" s="12"/>
      <c r="X1235" s="12"/>
      <c r="Y1235" s="12"/>
      <c r="Z1235" s="12"/>
      <c r="AA1235" s="12"/>
      <c r="AB1235" s="12"/>
      <c r="AC1235" s="12"/>
      <c r="AD1235" s="12"/>
      <c r="AE1235" s="12"/>
      <c r="AF1235" s="12"/>
      <c r="AG1235" s="12"/>
      <c r="AH1235" s="12"/>
      <c r="AI1235" s="12"/>
      <c r="AJ1235" s="12"/>
      <c r="AK1235" s="12"/>
      <c r="AL1235" s="12"/>
      <c r="AM1235" s="12"/>
      <c r="AN1235" s="12"/>
      <c r="AO1235" s="12"/>
      <c r="AP1235" s="12"/>
      <c r="AQ1235" s="12"/>
      <c r="AR1235" s="12"/>
      <c r="AS1235" s="12"/>
      <c r="AT1235" s="12"/>
      <c r="AU1235" s="12"/>
      <c r="AV1235" s="12"/>
      <c r="AW1235" s="12"/>
      <c r="AX1235" s="12"/>
      <c r="AY1235" s="12"/>
      <c r="AZ1235" s="12"/>
      <c r="BA1235" s="12"/>
      <c r="BB1235" s="12"/>
      <c r="BC1235" s="12"/>
      <c r="BD1235" s="12"/>
      <c r="BE1235" s="12"/>
      <c r="BF1235" s="12"/>
      <c r="BG1235" s="12"/>
      <c r="BH1235" s="12"/>
      <c r="BI1235" s="12"/>
      <c r="BJ1235" s="12"/>
      <c r="BK1235" s="12"/>
      <c r="BL1235" s="12"/>
      <c r="BM1235" s="12"/>
      <c r="BN1235" s="12"/>
      <c r="BO1235" s="12"/>
      <c r="BP1235" s="12"/>
      <c r="BQ1235" s="12"/>
      <c r="BR1235" s="12"/>
      <c r="BS1235" s="12"/>
      <c r="BT1235" s="12"/>
      <c r="BU1235" s="12"/>
      <c r="BV1235" s="12"/>
      <c r="BW1235" s="12"/>
      <c r="BX1235" s="12"/>
      <c r="BY1235" s="12"/>
      <c r="BZ1235" s="12"/>
      <c r="CA1235" s="12"/>
      <c r="CB1235" s="12"/>
      <c r="CC1235" s="12"/>
      <c r="CD1235" s="12"/>
      <c r="CE1235" s="12"/>
      <c r="CF1235" s="12"/>
      <c r="CG1235" s="12"/>
      <c r="CH1235" s="12"/>
      <c r="CI1235" s="12"/>
      <c r="CJ1235" s="12"/>
      <c r="CK1235" s="12"/>
      <c r="CL1235" s="12"/>
      <c r="CM1235" s="12"/>
      <c r="CN1235" s="12"/>
      <c r="CO1235" s="12"/>
      <c r="CP1235" s="12"/>
      <c r="CQ1235" s="12"/>
      <c r="CR1235" s="12"/>
      <c r="CS1235" s="12"/>
      <c r="CT1235" s="12"/>
      <c r="CU1235" s="12"/>
      <c r="CV1235" s="12"/>
      <c r="CW1235" s="12"/>
      <c r="CX1235" s="12"/>
      <c r="CY1235" s="12"/>
      <c r="CZ1235" s="12"/>
      <c r="DA1235" s="12"/>
      <c r="DB1235" s="12"/>
      <c r="DC1235" s="12"/>
      <c r="DD1235" s="12"/>
      <c r="DE1235" s="12"/>
      <c r="DF1235" s="12"/>
      <c r="DG1235" s="12"/>
      <c r="DH1235" s="12"/>
      <c r="DI1235" s="12"/>
      <c r="DJ1235" s="12"/>
      <c r="DK1235" s="12"/>
      <c r="DL1235" s="12"/>
      <c r="DM1235" s="12"/>
      <c r="DN1235" s="12"/>
      <c r="DO1235" s="12"/>
      <c r="DP1235" s="12"/>
      <c r="DQ1235" s="12"/>
      <c r="DR1235" s="12"/>
      <c r="DS1235" s="12"/>
      <c r="DT1235" s="12"/>
      <c r="DU1235" s="12"/>
      <c r="DV1235" s="12"/>
      <c r="DW1235" s="12"/>
      <c r="DX1235" s="12"/>
      <c r="DY1235" s="12"/>
      <c r="DZ1235" s="12"/>
      <c r="EA1235" s="12"/>
      <c r="EB1235" s="12"/>
      <c r="EC1235" s="12"/>
      <c r="ED1235" s="12"/>
      <c r="EE1235" s="12"/>
      <c r="EF1235" s="12"/>
      <c r="EG1235" s="12"/>
      <c r="EH1235" s="12"/>
      <c r="EI1235" s="12"/>
      <c r="EJ1235" s="574"/>
      <c r="EK1235" s="574"/>
      <c r="EL1235" s="574"/>
      <c r="EM1235" s="574"/>
      <c r="EN1235" s="574"/>
      <c r="EO1235" s="574"/>
      <c r="EP1235" s="574"/>
      <c r="EQ1235" s="574"/>
      <c r="ER1235" s="574"/>
      <c r="ES1235" s="574"/>
      <c r="ET1235" s="574"/>
      <c r="EU1235" s="574"/>
    </row>
    <row r="1236">
      <c r="A1236" s="12"/>
      <c r="B1236" s="55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2"/>
      <c r="R1236" s="12"/>
      <c r="S1236" s="12"/>
      <c r="T1236" s="12"/>
      <c r="U1236" s="12"/>
      <c r="V1236" s="12"/>
      <c r="W1236" s="12"/>
      <c r="X1236" s="12"/>
      <c r="Y1236" s="12"/>
      <c r="Z1236" s="12"/>
      <c r="AA1236" s="12"/>
      <c r="AB1236" s="12"/>
      <c r="AC1236" s="12"/>
      <c r="AD1236" s="12"/>
      <c r="AE1236" s="12"/>
      <c r="AF1236" s="12"/>
      <c r="AG1236" s="12"/>
      <c r="AH1236" s="12"/>
      <c r="AI1236" s="12"/>
      <c r="AJ1236" s="12"/>
      <c r="AK1236" s="12"/>
      <c r="AL1236" s="12"/>
      <c r="AM1236" s="12"/>
      <c r="AN1236" s="12"/>
      <c r="AO1236" s="12"/>
      <c r="AP1236" s="12"/>
      <c r="AQ1236" s="12"/>
      <c r="AR1236" s="12"/>
      <c r="AS1236" s="12"/>
      <c r="AT1236" s="12"/>
      <c r="AU1236" s="12"/>
      <c r="AV1236" s="12"/>
      <c r="AW1236" s="12"/>
      <c r="AX1236" s="12"/>
      <c r="AY1236" s="12"/>
      <c r="AZ1236" s="12"/>
      <c r="BA1236" s="12"/>
      <c r="BB1236" s="12"/>
      <c r="BC1236" s="12"/>
      <c r="BD1236" s="12"/>
      <c r="BE1236" s="12"/>
      <c r="BF1236" s="12"/>
      <c r="BG1236" s="12"/>
      <c r="BH1236" s="12"/>
      <c r="BI1236" s="12"/>
      <c r="BJ1236" s="12"/>
      <c r="BK1236" s="12"/>
      <c r="BL1236" s="12"/>
      <c r="BM1236" s="12"/>
      <c r="BN1236" s="12"/>
      <c r="BO1236" s="12"/>
      <c r="BP1236" s="12"/>
      <c r="BQ1236" s="12"/>
      <c r="BR1236" s="12"/>
      <c r="BS1236" s="12"/>
      <c r="BT1236" s="12"/>
      <c r="BU1236" s="12"/>
      <c r="BV1236" s="12"/>
      <c r="BW1236" s="12"/>
      <c r="BX1236" s="12"/>
      <c r="BY1236" s="12"/>
      <c r="BZ1236" s="12"/>
      <c r="CA1236" s="12"/>
      <c r="CB1236" s="12"/>
      <c r="CC1236" s="12"/>
      <c r="CD1236" s="12"/>
      <c r="CE1236" s="12"/>
      <c r="CF1236" s="12"/>
      <c r="CG1236" s="12"/>
      <c r="CH1236" s="12"/>
      <c r="CI1236" s="12"/>
      <c r="CJ1236" s="12"/>
      <c r="CK1236" s="12"/>
      <c r="CL1236" s="12"/>
      <c r="CM1236" s="12"/>
      <c r="CN1236" s="12"/>
      <c r="CO1236" s="12"/>
      <c r="CP1236" s="12"/>
      <c r="CQ1236" s="12"/>
      <c r="CR1236" s="12"/>
      <c r="CS1236" s="12"/>
      <c r="CT1236" s="12"/>
      <c r="CU1236" s="12"/>
      <c r="CV1236" s="12"/>
      <c r="CW1236" s="12"/>
      <c r="CX1236" s="12"/>
      <c r="CY1236" s="12"/>
      <c r="CZ1236" s="12"/>
      <c r="DA1236" s="12"/>
      <c r="DB1236" s="12"/>
      <c r="DC1236" s="12"/>
      <c r="DD1236" s="12"/>
      <c r="DE1236" s="12"/>
      <c r="DF1236" s="12"/>
      <c r="DG1236" s="12"/>
      <c r="DH1236" s="12"/>
      <c r="DI1236" s="12"/>
      <c r="DJ1236" s="12"/>
      <c r="DK1236" s="12"/>
      <c r="DL1236" s="12"/>
      <c r="DM1236" s="12"/>
      <c r="DN1236" s="12"/>
      <c r="DO1236" s="12"/>
      <c r="DP1236" s="12"/>
      <c r="DQ1236" s="12"/>
      <c r="DR1236" s="12"/>
      <c r="DS1236" s="12"/>
      <c r="DT1236" s="12"/>
      <c r="DU1236" s="12"/>
      <c r="DV1236" s="12"/>
      <c r="DW1236" s="12"/>
      <c r="DX1236" s="12"/>
      <c r="DY1236" s="12"/>
      <c r="DZ1236" s="12"/>
      <c r="EA1236" s="12"/>
      <c r="EB1236" s="12"/>
      <c r="EC1236" s="12"/>
      <c r="ED1236" s="12"/>
      <c r="EE1236" s="12"/>
      <c r="EF1236" s="12"/>
      <c r="EG1236" s="12"/>
      <c r="EH1236" s="12"/>
      <c r="EI1236" s="12"/>
      <c r="EJ1236" s="574"/>
      <c r="EK1236" s="574"/>
      <c r="EL1236" s="574"/>
      <c r="EM1236" s="574"/>
      <c r="EN1236" s="574"/>
      <c r="EO1236" s="574"/>
      <c r="EP1236" s="574"/>
      <c r="EQ1236" s="574"/>
      <c r="ER1236" s="574"/>
      <c r="ES1236" s="574"/>
      <c r="ET1236" s="574"/>
      <c r="EU1236" s="574"/>
    </row>
    <row r="1237">
      <c r="A1237" s="12"/>
      <c r="B1237" s="55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2"/>
      <c r="R1237" s="12"/>
      <c r="S1237" s="12"/>
      <c r="T1237" s="12"/>
      <c r="U1237" s="12"/>
      <c r="V1237" s="12"/>
      <c r="W1237" s="12"/>
      <c r="X1237" s="12"/>
      <c r="Y1237" s="12"/>
      <c r="Z1237" s="12"/>
      <c r="AA1237" s="12"/>
      <c r="AB1237" s="12"/>
      <c r="AC1237" s="12"/>
      <c r="AD1237" s="12"/>
      <c r="AE1237" s="12"/>
      <c r="AF1237" s="12"/>
      <c r="AG1237" s="12"/>
      <c r="AH1237" s="12"/>
      <c r="AI1237" s="12"/>
      <c r="AJ1237" s="12"/>
      <c r="AK1237" s="12"/>
      <c r="AL1237" s="12"/>
      <c r="AM1237" s="12"/>
      <c r="AN1237" s="12"/>
      <c r="AO1237" s="12"/>
      <c r="AP1237" s="12"/>
      <c r="AQ1237" s="12"/>
      <c r="AR1237" s="12"/>
      <c r="AS1237" s="12"/>
      <c r="AT1237" s="12"/>
      <c r="AU1237" s="12"/>
      <c r="AV1237" s="12"/>
      <c r="AW1237" s="12"/>
      <c r="AX1237" s="12"/>
      <c r="AY1237" s="12"/>
      <c r="AZ1237" s="12"/>
      <c r="BA1237" s="12"/>
      <c r="BB1237" s="12"/>
      <c r="BC1237" s="12"/>
      <c r="BD1237" s="12"/>
      <c r="BE1237" s="12"/>
      <c r="BF1237" s="12"/>
      <c r="BG1237" s="12"/>
      <c r="BH1237" s="12"/>
      <c r="BI1237" s="12"/>
      <c r="BJ1237" s="12"/>
      <c r="BK1237" s="12"/>
      <c r="BL1237" s="12"/>
      <c r="BM1237" s="12"/>
      <c r="BN1237" s="12"/>
      <c r="BO1237" s="12"/>
      <c r="BP1237" s="12"/>
      <c r="BQ1237" s="12"/>
      <c r="BR1237" s="12"/>
      <c r="BS1237" s="12"/>
      <c r="BT1237" s="12"/>
      <c r="BU1237" s="12"/>
      <c r="BV1237" s="12"/>
      <c r="BW1237" s="12"/>
      <c r="BX1237" s="12"/>
      <c r="BY1237" s="12"/>
      <c r="BZ1237" s="12"/>
      <c r="CA1237" s="12"/>
      <c r="CB1237" s="12"/>
      <c r="CC1237" s="12"/>
      <c r="CD1237" s="12"/>
      <c r="CE1237" s="12"/>
      <c r="CF1237" s="12"/>
      <c r="CG1237" s="12"/>
      <c r="CH1237" s="12"/>
      <c r="CI1237" s="12"/>
      <c r="CJ1237" s="12"/>
      <c r="CK1237" s="12"/>
      <c r="CL1237" s="12"/>
      <c r="CM1237" s="12"/>
      <c r="CN1237" s="12"/>
      <c r="CO1237" s="12"/>
      <c r="CP1237" s="12"/>
      <c r="CQ1237" s="12"/>
      <c r="CR1237" s="12"/>
      <c r="CS1237" s="12"/>
      <c r="CT1237" s="12"/>
      <c r="CU1237" s="12"/>
      <c r="CV1237" s="12"/>
      <c r="CW1237" s="12"/>
      <c r="CX1237" s="12"/>
      <c r="CY1237" s="12"/>
      <c r="CZ1237" s="12"/>
      <c r="DA1237" s="12"/>
      <c r="DB1237" s="12"/>
      <c r="DC1237" s="12"/>
      <c r="DD1237" s="12"/>
      <c r="DE1237" s="12"/>
      <c r="DF1237" s="12"/>
      <c r="DG1237" s="12"/>
      <c r="DH1237" s="12"/>
      <c r="DI1237" s="12"/>
      <c r="DJ1237" s="12"/>
      <c r="DK1237" s="12"/>
      <c r="DL1237" s="12"/>
      <c r="DM1237" s="12"/>
      <c r="DN1237" s="12"/>
      <c r="DO1237" s="12"/>
      <c r="DP1237" s="12"/>
      <c r="DQ1237" s="12"/>
      <c r="DR1237" s="12"/>
      <c r="DS1237" s="12"/>
      <c r="DT1237" s="12"/>
      <c r="DU1237" s="12"/>
      <c r="DV1237" s="12"/>
      <c r="DW1237" s="12"/>
      <c r="DX1237" s="12"/>
      <c r="DY1237" s="12"/>
      <c r="DZ1237" s="12"/>
      <c r="EA1237" s="12"/>
      <c r="EB1237" s="12"/>
      <c r="EC1237" s="12"/>
      <c r="ED1237" s="12"/>
      <c r="EE1237" s="12"/>
      <c r="EF1237" s="12"/>
      <c r="EG1237" s="12"/>
      <c r="EH1237" s="12"/>
      <c r="EI1237" s="12"/>
      <c r="EJ1237" s="574"/>
      <c r="EK1237" s="574"/>
      <c r="EL1237" s="574"/>
      <c r="EM1237" s="574"/>
      <c r="EN1237" s="574"/>
      <c r="EO1237" s="574"/>
      <c r="EP1237" s="574"/>
      <c r="EQ1237" s="574"/>
      <c r="ER1237" s="574"/>
      <c r="ES1237" s="574"/>
      <c r="ET1237" s="574"/>
      <c r="EU1237" s="574"/>
    </row>
    <row r="1238">
      <c r="A1238" s="12"/>
      <c r="B1238" s="55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2"/>
      <c r="R1238" s="12"/>
      <c r="S1238" s="12"/>
      <c r="T1238" s="12"/>
      <c r="U1238" s="12"/>
      <c r="V1238" s="12"/>
      <c r="W1238" s="12"/>
      <c r="X1238" s="12"/>
      <c r="Y1238" s="12"/>
      <c r="Z1238" s="12"/>
      <c r="AA1238" s="12"/>
      <c r="AB1238" s="12"/>
      <c r="AC1238" s="12"/>
      <c r="AD1238" s="12"/>
      <c r="AE1238" s="12"/>
      <c r="AF1238" s="12"/>
      <c r="AG1238" s="12"/>
      <c r="AH1238" s="12"/>
      <c r="AI1238" s="12"/>
      <c r="AJ1238" s="12"/>
      <c r="AK1238" s="12"/>
      <c r="AL1238" s="12"/>
      <c r="AM1238" s="12"/>
      <c r="AN1238" s="12"/>
      <c r="AO1238" s="12"/>
      <c r="AP1238" s="12"/>
      <c r="AQ1238" s="12"/>
      <c r="AR1238" s="12"/>
      <c r="AS1238" s="12"/>
      <c r="AT1238" s="12"/>
      <c r="AU1238" s="12"/>
      <c r="AV1238" s="12"/>
      <c r="AW1238" s="12"/>
      <c r="AX1238" s="12"/>
      <c r="AY1238" s="12"/>
      <c r="AZ1238" s="12"/>
      <c r="BA1238" s="12"/>
      <c r="BB1238" s="12"/>
      <c r="BC1238" s="12"/>
      <c r="BD1238" s="12"/>
      <c r="BE1238" s="12"/>
      <c r="BF1238" s="12"/>
      <c r="BG1238" s="12"/>
      <c r="BH1238" s="12"/>
      <c r="BI1238" s="12"/>
      <c r="BJ1238" s="12"/>
      <c r="BK1238" s="12"/>
      <c r="BL1238" s="12"/>
      <c r="BM1238" s="12"/>
      <c r="BN1238" s="12"/>
      <c r="BO1238" s="12"/>
      <c r="BP1238" s="12"/>
      <c r="BQ1238" s="12"/>
      <c r="BR1238" s="12"/>
      <c r="BS1238" s="12"/>
      <c r="BT1238" s="12"/>
      <c r="BU1238" s="12"/>
      <c r="BV1238" s="12"/>
      <c r="BW1238" s="12"/>
      <c r="BX1238" s="12"/>
      <c r="BY1238" s="12"/>
      <c r="BZ1238" s="12"/>
      <c r="CA1238" s="12"/>
      <c r="CB1238" s="12"/>
      <c r="CC1238" s="12"/>
      <c r="CD1238" s="12"/>
      <c r="CE1238" s="12"/>
      <c r="CF1238" s="12"/>
      <c r="CG1238" s="12"/>
      <c r="CH1238" s="12"/>
      <c r="CI1238" s="12"/>
      <c r="CJ1238" s="12"/>
      <c r="CK1238" s="12"/>
      <c r="CL1238" s="12"/>
      <c r="CM1238" s="12"/>
      <c r="CN1238" s="12"/>
      <c r="CO1238" s="12"/>
      <c r="CP1238" s="12"/>
      <c r="CQ1238" s="12"/>
      <c r="CR1238" s="12"/>
      <c r="CS1238" s="12"/>
      <c r="CT1238" s="12"/>
      <c r="CU1238" s="12"/>
      <c r="CV1238" s="12"/>
      <c r="CW1238" s="12"/>
      <c r="CX1238" s="12"/>
      <c r="CY1238" s="12"/>
      <c r="CZ1238" s="12"/>
      <c r="DA1238" s="12"/>
      <c r="DB1238" s="12"/>
      <c r="DC1238" s="12"/>
      <c r="DD1238" s="12"/>
      <c r="DE1238" s="12"/>
      <c r="DF1238" s="12"/>
      <c r="DG1238" s="12"/>
      <c r="DH1238" s="12"/>
      <c r="DI1238" s="12"/>
      <c r="DJ1238" s="12"/>
      <c r="DK1238" s="12"/>
      <c r="DL1238" s="12"/>
      <c r="DM1238" s="12"/>
      <c r="DN1238" s="12"/>
      <c r="DO1238" s="12"/>
      <c r="DP1238" s="12"/>
      <c r="DQ1238" s="12"/>
      <c r="DR1238" s="12"/>
      <c r="DS1238" s="12"/>
      <c r="DT1238" s="12"/>
      <c r="DU1238" s="12"/>
      <c r="DV1238" s="12"/>
      <c r="DW1238" s="12"/>
      <c r="DX1238" s="12"/>
      <c r="DY1238" s="12"/>
      <c r="DZ1238" s="12"/>
      <c r="EA1238" s="12"/>
      <c r="EB1238" s="12"/>
      <c r="EC1238" s="12"/>
      <c r="ED1238" s="12"/>
      <c r="EE1238" s="12"/>
      <c r="EF1238" s="12"/>
      <c r="EG1238" s="12"/>
      <c r="EH1238" s="12"/>
      <c r="EI1238" s="12"/>
      <c r="EJ1238" s="574"/>
      <c r="EK1238" s="574"/>
      <c r="EL1238" s="574"/>
      <c r="EM1238" s="574"/>
      <c r="EN1238" s="574"/>
      <c r="EO1238" s="574"/>
      <c r="EP1238" s="574"/>
      <c r="EQ1238" s="574"/>
      <c r="ER1238" s="574"/>
      <c r="ES1238" s="574"/>
      <c r="ET1238" s="574"/>
      <c r="EU1238" s="574"/>
    </row>
    <row r="1239">
      <c r="A1239" s="12"/>
      <c r="B1239" s="55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2"/>
      <c r="R1239" s="12"/>
      <c r="S1239" s="12"/>
      <c r="T1239" s="12"/>
      <c r="U1239" s="12"/>
      <c r="V1239" s="12"/>
      <c r="W1239" s="12"/>
      <c r="X1239" s="12"/>
      <c r="Y1239" s="12"/>
      <c r="Z1239" s="12"/>
      <c r="AA1239" s="12"/>
      <c r="AB1239" s="12"/>
      <c r="AC1239" s="12"/>
      <c r="AD1239" s="12"/>
      <c r="AE1239" s="12"/>
      <c r="AF1239" s="12"/>
      <c r="AG1239" s="12"/>
      <c r="AH1239" s="12"/>
      <c r="AI1239" s="12"/>
      <c r="AJ1239" s="12"/>
      <c r="AK1239" s="12"/>
      <c r="AL1239" s="12"/>
      <c r="AM1239" s="12"/>
      <c r="AN1239" s="12"/>
      <c r="AO1239" s="12"/>
      <c r="AP1239" s="12"/>
      <c r="AQ1239" s="12"/>
      <c r="AR1239" s="12"/>
      <c r="AS1239" s="12"/>
      <c r="AT1239" s="12"/>
      <c r="AU1239" s="12"/>
      <c r="AV1239" s="12"/>
      <c r="AW1239" s="12"/>
      <c r="AX1239" s="12"/>
      <c r="AY1239" s="12"/>
      <c r="AZ1239" s="12"/>
      <c r="BA1239" s="12"/>
      <c r="BB1239" s="12"/>
      <c r="BC1239" s="12"/>
      <c r="BD1239" s="12"/>
      <c r="BE1239" s="12"/>
      <c r="BF1239" s="12"/>
      <c r="BG1239" s="12"/>
      <c r="BH1239" s="12"/>
      <c r="BI1239" s="12"/>
      <c r="BJ1239" s="12"/>
      <c r="BK1239" s="12"/>
      <c r="BL1239" s="12"/>
      <c r="BM1239" s="12"/>
      <c r="BN1239" s="12"/>
      <c r="BO1239" s="12"/>
      <c r="BP1239" s="12"/>
      <c r="BQ1239" s="12"/>
      <c r="BR1239" s="12"/>
      <c r="BS1239" s="12"/>
      <c r="BT1239" s="12"/>
      <c r="BU1239" s="12"/>
      <c r="BV1239" s="12"/>
      <c r="BW1239" s="12"/>
      <c r="BX1239" s="12"/>
      <c r="BY1239" s="12"/>
      <c r="BZ1239" s="12"/>
      <c r="CA1239" s="12"/>
      <c r="CB1239" s="12"/>
      <c r="CC1239" s="12"/>
      <c r="CD1239" s="12"/>
      <c r="CE1239" s="12"/>
      <c r="CF1239" s="12"/>
      <c r="CG1239" s="12"/>
      <c r="CH1239" s="12"/>
      <c r="CI1239" s="12"/>
      <c r="CJ1239" s="12"/>
      <c r="CK1239" s="12"/>
      <c r="CL1239" s="12"/>
      <c r="CM1239" s="12"/>
      <c r="CN1239" s="12"/>
      <c r="CO1239" s="12"/>
      <c r="CP1239" s="12"/>
      <c r="CQ1239" s="12"/>
      <c r="CR1239" s="12"/>
      <c r="CS1239" s="12"/>
      <c r="CT1239" s="12"/>
      <c r="CU1239" s="12"/>
      <c r="CV1239" s="12"/>
      <c r="CW1239" s="12"/>
      <c r="CX1239" s="12"/>
      <c r="CY1239" s="12"/>
      <c r="CZ1239" s="12"/>
      <c r="DA1239" s="12"/>
      <c r="DB1239" s="12"/>
      <c r="DC1239" s="12"/>
      <c r="DD1239" s="12"/>
      <c r="DE1239" s="12"/>
      <c r="DF1239" s="12"/>
      <c r="DG1239" s="12"/>
      <c r="DH1239" s="12"/>
      <c r="DI1239" s="12"/>
      <c r="DJ1239" s="12"/>
      <c r="DK1239" s="12"/>
      <c r="DL1239" s="12"/>
      <c r="DM1239" s="12"/>
      <c r="DN1239" s="12"/>
      <c r="DO1239" s="12"/>
      <c r="DP1239" s="12"/>
      <c r="DQ1239" s="12"/>
      <c r="DR1239" s="12"/>
      <c r="DS1239" s="12"/>
      <c r="DT1239" s="12"/>
      <c r="DU1239" s="12"/>
      <c r="DV1239" s="12"/>
      <c r="DW1239" s="12"/>
      <c r="DX1239" s="12"/>
      <c r="DY1239" s="12"/>
      <c r="DZ1239" s="12"/>
      <c r="EA1239" s="12"/>
      <c r="EB1239" s="12"/>
      <c r="EC1239" s="12"/>
      <c r="ED1239" s="12"/>
      <c r="EE1239" s="12"/>
      <c r="EF1239" s="12"/>
      <c r="EG1239" s="12"/>
      <c r="EH1239" s="12"/>
      <c r="EI1239" s="12"/>
      <c r="EJ1239" s="574"/>
      <c r="EK1239" s="574"/>
      <c r="EL1239" s="574"/>
      <c r="EM1239" s="574"/>
      <c r="EN1239" s="574"/>
      <c r="EO1239" s="574"/>
      <c r="EP1239" s="574"/>
      <c r="EQ1239" s="574"/>
      <c r="ER1239" s="574"/>
      <c r="ES1239" s="574"/>
      <c r="ET1239" s="574"/>
      <c r="EU1239" s="574"/>
    </row>
    <row r="1240">
      <c r="A1240" s="12"/>
      <c r="B1240" s="55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2"/>
      <c r="R1240" s="12"/>
      <c r="S1240" s="12"/>
      <c r="T1240" s="12"/>
      <c r="U1240" s="12"/>
      <c r="V1240" s="12"/>
      <c r="W1240" s="12"/>
      <c r="X1240" s="12"/>
      <c r="Y1240" s="12"/>
      <c r="Z1240" s="12"/>
      <c r="AA1240" s="12"/>
      <c r="AB1240" s="12"/>
      <c r="AC1240" s="12"/>
      <c r="AD1240" s="12"/>
      <c r="AE1240" s="12"/>
      <c r="AF1240" s="12"/>
      <c r="AG1240" s="12"/>
      <c r="AH1240" s="12"/>
      <c r="AI1240" s="12"/>
      <c r="AJ1240" s="12"/>
      <c r="AK1240" s="12"/>
      <c r="AL1240" s="12"/>
      <c r="AM1240" s="12"/>
      <c r="AN1240" s="12"/>
      <c r="AO1240" s="12"/>
      <c r="AP1240" s="12"/>
      <c r="AQ1240" s="12"/>
      <c r="AR1240" s="12"/>
      <c r="AS1240" s="12"/>
      <c r="AT1240" s="12"/>
      <c r="AU1240" s="12"/>
      <c r="AV1240" s="12"/>
      <c r="AW1240" s="12"/>
      <c r="AX1240" s="12"/>
      <c r="AY1240" s="12"/>
      <c r="AZ1240" s="12"/>
      <c r="BA1240" s="12"/>
      <c r="BB1240" s="12"/>
      <c r="BC1240" s="12"/>
      <c r="BD1240" s="12"/>
      <c r="BE1240" s="12"/>
      <c r="BF1240" s="12"/>
      <c r="BG1240" s="12"/>
      <c r="BH1240" s="12"/>
      <c r="BI1240" s="12"/>
      <c r="BJ1240" s="12"/>
      <c r="BK1240" s="12"/>
      <c r="BL1240" s="12"/>
      <c r="BM1240" s="12"/>
      <c r="BN1240" s="12"/>
      <c r="BO1240" s="12"/>
      <c r="BP1240" s="12"/>
      <c r="BQ1240" s="12"/>
      <c r="BR1240" s="12"/>
      <c r="BS1240" s="12"/>
      <c r="BT1240" s="12"/>
      <c r="BU1240" s="12"/>
      <c r="BV1240" s="12"/>
      <c r="BW1240" s="12"/>
      <c r="BX1240" s="12"/>
      <c r="BY1240" s="12"/>
      <c r="BZ1240" s="12"/>
      <c r="CA1240" s="12"/>
      <c r="CB1240" s="12"/>
      <c r="CC1240" s="12"/>
      <c r="CD1240" s="12"/>
      <c r="CE1240" s="12"/>
      <c r="CF1240" s="12"/>
      <c r="CG1240" s="12"/>
      <c r="CH1240" s="12"/>
      <c r="CI1240" s="12"/>
      <c r="CJ1240" s="12"/>
      <c r="CK1240" s="12"/>
      <c r="CL1240" s="12"/>
      <c r="CM1240" s="12"/>
      <c r="CN1240" s="12"/>
      <c r="CO1240" s="12"/>
      <c r="CP1240" s="12"/>
      <c r="CQ1240" s="12"/>
      <c r="CR1240" s="12"/>
      <c r="CS1240" s="12"/>
      <c r="CT1240" s="12"/>
      <c r="CU1240" s="12"/>
      <c r="CV1240" s="12"/>
      <c r="CW1240" s="12"/>
      <c r="CX1240" s="12"/>
      <c r="CY1240" s="12"/>
      <c r="CZ1240" s="12"/>
      <c r="DA1240" s="12"/>
      <c r="DB1240" s="12"/>
      <c r="DC1240" s="12"/>
      <c r="DD1240" s="12"/>
      <c r="DE1240" s="12"/>
      <c r="DF1240" s="12"/>
      <c r="DG1240" s="12"/>
      <c r="DH1240" s="12"/>
      <c r="DI1240" s="12"/>
      <c r="DJ1240" s="12"/>
      <c r="DK1240" s="12"/>
      <c r="DL1240" s="12"/>
      <c r="DM1240" s="12"/>
      <c r="DN1240" s="12"/>
      <c r="DO1240" s="12"/>
      <c r="DP1240" s="12"/>
      <c r="DQ1240" s="12"/>
      <c r="DR1240" s="12"/>
      <c r="DS1240" s="12"/>
      <c r="DT1240" s="12"/>
      <c r="DU1240" s="12"/>
      <c r="DV1240" s="12"/>
      <c r="DW1240" s="12"/>
      <c r="DX1240" s="12"/>
      <c r="DY1240" s="12"/>
      <c r="DZ1240" s="12"/>
      <c r="EA1240" s="12"/>
      <c r="EB1240" s="12"/>
      <c r="EC1240" s="12"/>
      <c r="ED1240" s="12"/>
      <c r="EE1240" s="12"/>
      <c r="EF1240" s="12"/>
      <c r="EG1240" s="12"/>
      <c r="EH1240" s="12"/>
      <c r="EI1240" s="12"/>
      <c r="EJ1240" s="574"/>
      <c r="EK1240" s="574"/>
      <c r="EL1240" s="574"/>
      <c r="EM1240" s="574"/>
      <c r="EN1240" s="574"/>
      <c r="EO1240" s="574"/>
      <c r="EP1240" s="574"/>
      <c r="EQ1240" s="574"/>
      <c r="ER1240" s="574"/>
      <c r="ES1240" s="574"/>
      <c r="ET1240" s="574"/>
      <c r="EU1240" s="574"/>
    </row>
    <row r="1241">
      <c r="A1241" s="12"/>
      <c r="B1241" s="55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2"/>
      <c r="R1241" s="12"/>
      <c r="S1241" s="12"/>
      <c r="T1241" s="12"/>
      <c r="U1241" s="12"/>
      <c r="V1241" s="12"/>
      <c r="W1241" s="12"/>
      <c r="X1241" s="12"/>
      <c r="Y1241" s="12"/>
      <c r="Z1241" s="12"/>
      <c r="AA1241" s="12"/>
      <c r="AB1241" s="12"/>
      <c r="AC1241" s="12"/>
      <c r="AD1241" s="12"/>
      <c r="AE1241" s="12"/>
      <c r="AF1241" s="12"/>
      <c r="AG1241" s="12"/>
      <c r="AH1241" s="12"/>
      <c r="AI1241" s="12"/>
      <c r="AJ1241" s="12"/>
      <c r="AK1241" s="12"/>
      <c r="AL1241" s="12"/>
      <c r="AM1241" s="12"/>
      <c r="AN1241" s="12"/>
      <c r="AO1241" s="12"/>
      <c r="AP1241" s="12"/>
      <c r="AQ1241" s="12"/>
      <c r="AR1241" s="12"/>
      <c r="AS1241" s="12"/>
      <c r="AT1241" s="12"/>
      <c r="AU1241" s="12"/>
      <c r="AV1241" s="12"/>
      <c r="AW1241" s="12"/>
      <c r="AX1241" s="12"/>
      <c r="AY1241" s="12"/>
      <c r="AZ1241" s="12"/>
      <c r="BA1241" s="12"/>
      <c r="BB1241" s="12"/>
      <c r="BC1241" s="12"/>
      <c r="BD1241" s="12"/>
      <c r="BE1241" s="12"/>
      <c r="BF1241" s="12"/>
      <c r="BG1241" s="12"/>
      <c r="BH1241" s="12"/>
      <c r="BI1241" s="12"/>
      <c r="BJ1241" s="12"/>
      <c r="BK1241" s="12"/>
      <c r="BL1241" s="12"/>
      <c r="BM1241" s="12"/>
      <c r="BN1241" s="12"/>
      <c r="BO1241" s="12"/>
      <c r="BP1241" s="12"/>
      <c r="BQ1241" s="12"/>
      <c r="BR1241" s="12"/>
      <c r="BS1241" s="12"/>
      <c r="BT1241" s="12"/>
      <c r="BU1241" s="12"/>
      <c r="BV1241" s="12"/>
      <c r="BW1241" s="12"/>
      <c r="BX1241" s="12"/>
      <c r="BY1241" s="12"/>
      <c r="BZ1241" s="12"/>
      <c r="CA1241" s="12"/>
      <c r="CB1241" s="12"/>
      <c r="CC1241" s="12"/>
      <c r="CD1241" s="12"/>
      <c r="CE1241" s="12"/>
      <c r="CF1241" s="12"/>
      <c r="CG1241" s="12"/>
      <c r="CH1241" s="12"/>
      <c r="CI1241" s="12"/>
      <c r="CJ1241" s="12"/>
      <c r="CK1241" s="12"/>
      <c r="CL1241" s="12"/>
      <c r="CM1241" s="12"/>
      <c r="CN1241" s="12"/>
      <c r="CO1241" s="12"/>
      <c r="CP1241" s="12"/>
      <c r="CQ1241" s="12"/>
      <c r="CR1241" s="12"/>
      <c r="CS1241" s="12"/>
      <c r="CT1241" s="12"/>
      <c r="CU1241" s="12"/>
      <c r="CV1241" s="12"/>
      <c r="CW1241" s="12"/>
      <c r="CX1241" s="12"/>
      <c r="CY1241" s="12"/>
      <c r="CZ1241" s="12"/>
      <c r="DA1241" s="12"/>
      <c r="DB1241" s="12"/>
      <c r="DC1241" s="12"/>
      <c r="DD1241" s="12"/>
      <c r="DE1241" s="12"/>
      <c r="DF1241" s="12"/>
      <c r="DG1241" s="12"/>
      <c r="DH1241" s="12"/>
      <c r="DI1241" s="12"/>
      <c r="DJ1241" s="12"/>
      <c r="DK1241" s="12"/>
      <c r="DL1241" s="12"/>
      <c r="DM1241" s="12"/>
      <c r="DN1241" s="12"/>
      <c r="DO1241" s="12"/>
      <c r="DP1241" s="12"/>
      <c r="DQ1241" s="12"/>
      <c r="DR1241" s="12"/>
      <c r="DS1241" s="12"/>
      <c r="DT1241" s="12"/>
      <c r="DU1241" s="12"/>
      <c r="DV1241" s="12"/>
      <c r="DW1241" s="12"/>
      <c r="DX1241" s="12"/>
      <c r="DY1241" s="12"/>
      <c r="DZ1241" s="12"/>
      <c r="EA1241" s="12"/>
      <c r="EB1241" s="12"/>
      <c r="EC1241" s="12"/>
      <c r="ED1241" s="12"/>
      <c r="EE1241" s="12"/>
      <c r="EF1241" s="12"/>
      <c r="EG1241" s="12"/>
      <c r="EH1241" s="12"/>
      <c r="EI1241" s="12"/>
      <c r="EJ1241" s="574"/>
      <c r="EK1241" s="574"/>
      <c r="EL1241" s="574"/>
      <c r="EM1241" s="574"/>
      <c r="EN1241" s="574"/>
      <c r="EO1241" s="574"/>
      <c r="EP1241" s="574"/>
      <c r="EQ1241" s="574"/>
      <c r="ER1241" s="574"/>
      <c r="ES1241" s="574"/>
      <c r="ET1241" s="574"/>
      <c r="EU1241" s="574"/>
    </row>
    <row r="1242">
      <c r="A1242" s="12"/>
      <c r="B1242" s="55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2"/>
      <c r="R1242" s="12"/>
      <c r="S1242" s="12"/>
      <c r="T1242" s="12"/>
      <c r="U1242" s="12"/>
      <c r="V1242" s="12"/>
      <c r="W1242" s="12"/>
      <c r="X1242" s="12"/>
      <c r="Y1242" s="12"/>
      <c r="Z1242" s="12"/>
      <c r="AA1242" s="12"/>
      <c r="AB1242" s="12"/>
      <c r="AC1242" s="12"/>
      <c r="AD1242" s="12"/>
      <c r="AE1242" s="12"/>
      <c r="AF1242" s="12"/>
      <c r="AG1242" s="12"/>
      <c r="AH1242" s="12"/>
      <c r="AI1242" s="12"/>
      <c r="AJ1242" s="12"/>
      <c r="AK1242" s="12"/>
      <c r="AL1242" s="12"/>
      <c r="AM1242" s="12"/>
      <c r="AN1242" s="12"/>
      <c r="AO1242" s="12"/>
      <c r="AP1242" s="12"/>
      <c r="AQ1242" s="12"/>
      <c r="AR1242" s="12"/>
      <c r="AS1242" s="12"/>
      <c r="AT1242" s="12"/>
      <c r="AU1242" s="12"/>
      <c r="AV1242" s="12"/>
      <c r="AW1242" s="12"/>
      <c r="AX1242" s="12"/>
      <c r="AY1242" s="12"/>
      <c r="AZ1242" s="12"/>
      <c r="BA1242" s="12"/>
      <c r="BB1242" s="12"/>
      <c r="BC1242" s="12"/>
      <c r="BD1242" s="12"/>
      <c r="BE1242" s="12"/>
      <c r="BF1242" s="12"/>
      <c r="BG1242" s="12"/>
      <c r="BH1242" s="12"/>
      <c r="BI1242" s="12"/>
      <c r="BJ1242" s="12"/>
      <c r="BK1242" s="12"/>
      <c r="BL1242" s="12"/>
      <c r="BM1242" s="12"/>
      <c r="BN1242" s="12"/>
      <c r="BO1242" s="12"/>
      <c r="BP1242" s="12"/>
      <c r="BQ1242" s="12"/>
      <c r="BR1242" s="12"/>
      <c r="BS1242" s="12"/>
      <c r="BT1242" s="12"/>
      <c r="BU1242" s="12"/>
      <c r="BV1242" s="12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574"/>
      <c r="EK1242" s="574"/>
      <c r="EL1242" s="574"/>
      <c r="EM1242" s="574"/>
      <c r="EN1242" s="574"/>
      <c r="EO1242" s="574"/>
      <c r="EP1242" s="574"/>
      <c r="EQ1242" s="574"/>
      <c r="ER1242" s="574"/>
      <c r="ES1242" s="574"/>
      <c r="ET1242" s="574"/>
      <c r="EU1242" s="574"/>
    </row>
    <row r="1243">
      <c r="A1243" s="12"/>
      <c r="B1243" s="55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2"/>
      <c r="R1243" s="12"/>
      <c r="S1243" s="12"/>
      <c r="T1243" s="12"/>
      <c r="U1243" s="12"/>
      <c r="V1243" s="12"/>
      <c r="W1243" s="12"/>
      <c r="X1243" s="12"/>
      <c r="Y1243" s="12"/>
      <c r="Z1243" s="12"/>
      <c r="AA1243" s="12"/>
      <c r="AB1243" s="12"/>
      <c r="AC1243" s="12"/>
      <c r="AD1243" s="12"/>
      <c r="AE1243" s="12"/>
      <c r="AF1243" s="12"/>
      <c r="AG1243" s="12"/>
      <c r="AH1243" s="12"/>
      <c r="AI1243" s="12"/>
      <c r="AJ1243" s="12"/>
      <c r="AK1243" s="12"/>
      <c r="AL1243" s="12"/>
      <c r="AM1243" s="12"/>
      <c r="AN1243" s="12"/>
      <c r="AO1243" s="12"/>
      <c r="AP1243" s="12"/>
      <c r="AQ1243" s="12"/>
      <c r="AR1243" s="12"/>
      <c r="AS1243" s="12"/>
      <c r="AT1243" s="12"/>
      <c r="AU1243" s="12"/>
      <c r="AV1243" s="12"/>
      <c r="AW1243" s="12"/>
      <c r="AX1243" s="12"/>
      <c r="AY1243" s="12"/>
      <c r="AZ1243" s="12"/>
      <c r="BA1243" s="12"/>
      <c r="BB1243" s="12"/>
      <c r="BC1243" s="12"/>
      <c r="BD1243" s="12"/>
      <c r="BE1243" s="12"/>
      <c r="BF1243" s="12"/>
      <c r="BG1243" s="12"/>
      <c r="BH1243" s="12"/>
      <c r="BI1243" s="12"/>
      <c r="BJ1243" s="12"/>
      <c r="BK1243" s="12"/>
      <c r="BL1243" s="12"/>
      <c r="BM1243" s="12"/>
      <c r="BN1243" s="12"/>
      <c r="BO1243" s="12"/>
      <c r="BP1243" s="12"/>
      <c r="BQ1243" s="12"/>
      <c r="BR1243" s="12"/>
      <c r="BS1243" s="12"/>
      <c r="BT1243" s="12"/>
      <c r="BU1243" s="12"/>
      <c r="BV1243" s="12"/>
      <c r="BW1243" s="12"/>
      <c r="BX1243" s="12"/>
      <c r="BY1243" s="12"/>
      <c r="BZ1243" s="12"/>
      <c r="CA1243" s="12"/>
      <c r="CB1243" s="12"/>
      <c r="CC1243" s="12"/>
      <c r="CD1243" s="12"/>
      <c r="CE1243" s="12"/>
      <c r="CF1243" s="12"/>
      <c r="CG1243" s="12"/>
      <c r="CH1243" s="12"/>
      <c r="CI1243" s="12"/>
      <c r="CJ1243" s="12"/>
      <c r="CK1243" s="12"/>
      <c r="CL1243" s="12"/>
      <c r="CM1243" s="12"/>
      <c r="CN1243" s="12"/>
      <c r="CO1243" s="12"/>
      <c r="CP1243" s="12"/>
      <c r="CQ1243" s="12"/>
      <c r="CR1243" s="12"/>
      <c r="CS1243" s="12"/>
      <c r="CT1243" s="12"/>
      <c r="CU1243" s="12"/>
      <c r="CV1243" s="12"/>
      <c r="CW1243" s="12"/>
      <c r="CX1243" s="12"/>
      <c r="CY1243" s="12"/>
      <c r="CZ1243" s="12"/>
      <c r="DA1243" s="12"/>
      <c r="DB1243" s="12"/>
      <c r="DC1243" s="12"/>
      <c r="DD1243" s="12"/>
      <c r="DE1243" s="12"/>
      <c r="DF1243" s="12"/>
      <c r="DG1243" s="12"/>
      <c r="DH1243" s="12"/>
      <c r="DI1243" s="12"/>
      <c r="DJ1243" s="12"/>
      <c r="DK1243" s="12"/>
      <c r="DL1243" s="12"/>
      <c r="DM1243" s="12"/>
      <c r="DN1243" s="12"/>
      <c r="DO1243" s="12"/>
      <c r="DP1243" s="12"/>
      <c r="DQ1243" s="12"/>
      <c r="DR1243" s="12"/>
      <c r="DS1243" s="12"/>
      <c r="DT1243" s="12"/>
      <c r="DU1243" s="12"/>
      <c r="DV1243" s="12"/>
      <c r="DW1243" s="12"/>
      <c r="DX1243" s="12"/>
      <c r="DY1243" s="12"/>
      <c r="DZ1243" s="12"/>
      <c r="EA1243" s="12"/>
      <c r="EB1243" s="12"/>
      <c r="EC1243" s="12"/>
      <c r="ED1243" s="12"/>
      <c r="EE1243" s="12"/>
      <c r="EF1243" s="12"/>
      <c r="EG1243" s="12"/>
      <c r="EH1243" s="12"/>
      <c r="EI1243" s="12"/>
      <c r="EJ1243" s="574"/>
      <c r="EK1243" s="574"/>
      <c r="EL1243" s="574"/>
      <c r="EM1243" s="574"/>
      <c r="EN1243" s="574"/>
      <c r="EO1243" s="574"/>
      <c r="EP1243" s="574"/>
      <c r="EQ1243" s="574"/>
      <c r="ER1243" s="574"/>
      <c r="ES1243" s="574"/>
      <c r="ET1243" s="574"/>
      <c r="EU1243" s="574"/>
    </row>
    <row r="1244">
      <c r="A1244" s="12"/>
      <c r="B1244" s="55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2"/>
      <c r="R1244" s="12"/>
      <c r="S1244" s="12"/>
      <c r="T1244" s="12"/>
      <c r="U1244" s="12"/>
      <c r="V1244" s="12"/>
      <c r="W1244" s="12"/>
      <c r="X1244" s="12"/>
      <c r="Y1244" s="12"/>
      <c r="Z1244" s="12"/>
      <c r="AA1244" s="12"/>
      <c r="AB1244" s="12"/>
      <c r="AC1244" s="12"/>
      <c r="AD1244" s="12"/>
      <c r="AE1244" s="12"/>
      <c r="AF1244" s="12"/>
      <c r="AG1244" s="12"/>
      <c r="AH1244" s="12"/>
      <c r="AI1244" s="12"/>
      <c r="AJ1244" s="12"/>
      <c r="AK1244" s="12"/>
      <c r="AL1244" s="12"/>
      <c r="AM1244" s="12"/>
      <c r="AN1244" s="12"/>
      <c r="AO1244" s="12"/>
      <c r="AP1244" s="12"/>
      <c r="AQ1244" s="12"/>
      <c r="AR1244" s="12"/>
      <c r="AS1244" s="12"/>
      <c r="AT1244" s="12"/>
      <c r="AU1244" s="12"/>
      <c r="AV1244" s="12"/>
      <c r="AW1244" s="12"/>
      <c r="AX1244" s="12"/>
      <c r="AY1244" s="12"/>
      <c r="AZ1244" s="12"/>
      <c r="BA1244" s="12"/>
      <c r="BB1244" s="12"/>
      <c r="BC1244" s="12"/>
      <c r="BD1244" s="12"/>
      <c r="BE1244" s="12"/>
      <c r="BF1244" s="12"/>
      <c r="BG1244" s="12"/>
      <c r="BH1244" s="12"/>
      <c r="BI1244" s="12"/>
      <c r="BJ1244" s="12"/>
      <c r="BK1244" s="12"/>
      <c r="BL1244" s="12"/>
      <c r="BM1244" s="12"/>
      <c r="BN1244" s="12"/>
      <c r="BO1244" s="12"/>
      <c r="BP1244" s="12"/>
      <c r="BQ1244" s="12"/>
      <c r="BR1244" s="12"/>
      <c r="BS1244" s="12"/>
      <c r="BT1244" s="12"/>
      <c r="BU1244" s="12"/>
      <c r="BV1244" s="12"/>
      <c r="BW1244" s="12"/>
      <c r="BX1244" s="12"/>
      <c r="BY1244" s="12"/>
      <c r="BZ1244" s="12"/>
      <c r="CA1244" s="12"/>
      <c r="CB1244" s="12"/>
      <c r="CC1244" s="12"/>
      <c r="CD1244" s="12"/>
      <c r="CE1244" s="12"/>
      <c r="CF1244" s="12"/>
      <c r="CG1244" s="12"/>
      <c r="CH1244" s="12"/>
      <c r="CI1244" s="12"/>
      <c r="CJ1244" s="12"/>
      <c r="CK1244" s="12"/>
      <c r="CL1244" s="12"/>
      <c r="CM1244" s="12"/>
      <c r="CN1244" s="12"/>
      <c r="CO1244" s="12"/>
      <c r="CP1244" s="12"/>
      <c r="CQ1244" s="12"/>
      <c r="CR1244" s="12"/>
      <c r="CS1244" s="12"/>
      <c r="CT1244" s="12"/>
      <c r="CU1244" s="12"/>
      <c r="CV1244" s="12"/>
      <c r="CW1244" s="12"/>
      <c r="CX1244" s="12"/>
      <c r="CY1244" s="12"/>
      <c r="CZ1244" s="12"/>
      <c r="DA1244" s="12"/>
      <c r="DB1244" s="12"/>
      <c r="DC1244" s="12"/>
      <c r="DD1244" s="12"/>
      <c r="DE1244" s="12"/>
      <c r="DF1244" s="12"/>
      <c r="DG1244" s="12"/>
      <c r="DH1244" s="12"/>
      <c r="DI1244" s="12"/>
      <c r="DJ1244" s="12"/>
      <c r="DK1244" s="12"/>
      <c r="DL1244" s="12"/>
      <c r="DM1244" s="12"/>
      <c r="DN1244" s="12"/>
      <c r="DO1244" s="12"/>
      <c r="DP1244" s="12"/>
      <c r="DQ1244" s="12"/>
      <c r="DR1244" s="12"/>
      <c r="DS1244" s="12"/>
      <c r="DT1244" s="12"/>
      <c r="DU1244" s="12"/>
      <c r="DV1244" s="12"/>
      <c r="DW1244" s="12"/>
      <c r="DX1244" s="12"/>
      <c r="DY1244" s="12"/>
      <c r="DZ1244" s="12"/>
      <c r="EA1244" s="12"/>
      <c r="EB1244" s="12"/>
      <c r="EC1244" s="12"/>
      <c r="ED1244" s="12"/>
      <c r="EE1244" s="12"/>
      <c r="EF1244" s="12"/>
      <c r="EG1244" s="12"/>
      <c r="EH1244" s="12"/>
      <c r="EI1244" s="12"/>
      <c r="EJ1244" s="574"/>
      <c r="EK1244" s="574"/>
      <c r="EL1244" s="574"/>
      <c r="EM1244" s="574"/>
      <c r="EN1244" s="574"/>
      <c r="EO1244" s="574"/>
      <c r="EP1244" s="574"/>
      <c r="EQ1244" s="574"/>
      <c r="ER1244" s="574"/>
      <c r="ES1244" s="574"/>
      <c r="ET1244" s="574"/>
      <c r="EU1244" s="574"/>
    </row>
    <row r="1245">
      <c r="A1245" s="12"/>
      <c r="B1245" s="55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2"/>
      <c r="R1245" s="12"/>
      <c r="S1245" s="12"/>
      <c r="T1245" s="12"/>
      <c r="U1245" s="12"/>
      <c r="V1245" s="12"/>
      <c r="W1245" s="12"/>
      <c r="X1245" s="12"/>
      <c r="Y1245" s="12"/>
      <c r="Z1245" s="12"/>
      <c r="AA1245" s="12"/>
      <c r="AB1245" s="12"/>
      <c r="AC1245" s="12"/>
      <c r="AD1245" s="12"/>
      <c r="AE1245" s="12"/>
      <c r="AF1245" s="12"/>
      <c r="AG1245" s="12"/>
      <c r="AH1245" s="12"/>
      <c r="AI1245" s="12"/>
      <c r="AJ1245" s="12"/>
      <c r="AK1245" s="12"/>
      <c r="AL1245" s="12"/>
      <c r="AM1245" s="12"/>
      <c r="AN1245" s="12"/>
      <c r="AO1245" s="12"/>
      <c r="AP1245" s="12"/>
      <c r="AQ1245" s="12"/>
      <c r="AR1245" s="12"/>
      <c r="AS1245" s="12"/>
      <c r="AT1245" s="12"/>
      <c r="AU1245" s="12"/>
      <c r="AV1245" s="12"/>
      <c r="AW1245" s="12"/>
      <c r="AX1245" s="12"/>
      <c r="AY1245" s="12"/>
      <c r="AZ1245" s="12"/>
      <c r="BA1245" s="12"/>
      <c r="BB1245" s="12"/>
      <c r="BC1245" s="12"/>
      <c r="BD1245" s="12"/>
      <c r="BE1245" s="12"/>
      <c r="BF1245" s="12"/>
      <c r="BG1245" s="12"/>
      <c r="BH1245" s="12"/>
      <c r="BI1245" s="12"/>
      <c r="BJ1245" s="12"/>
      <c r="BK1245" s="12"/>
      <c r="BL1245" s="12"/>
      <c r="BM1245" s="12"/>
      <c r="BN1245" s="12"/>
      <c r="BO1245" s="12"/>
      <c r="BP1245" s="12"/>
      <c r="BQ1245" s="12"/>
      <c r="BR1245" s="12"/>
      <c r="BS1245" s="12"/>
      <c r="BT1245" s="12"/>
      <c r="BU1245" s="12"/>
      <c r="BV1245" s="12"/>
      <c r="BW1245" s="12"/>
      <c r="BX1245" s="12"/>
      <c r="BY1245" s="12"/>
      <c r="BZ1245" s="12"/>
      <c r="CA1245" s="12"/>
      <c r="CB1245" s="12"/>
      <c r="CC1245" s="12"/>
      <c r="CD1245" s="12"/>
      <c r="CE1245" s="12"/>
      <c r="CF1245" s="12"/>
      <c r="CG1245" s="12"/>
      <c r="CH1245" s="12"/>
      <c r="CI1245" s="12"/>
      <c r="CJ1245" s="12"/>
      <c r="CK1245" s="12"/>
      <c r="CL1245" s="12"/>
      <c r="CM1245" s="12"/>
      <c r="CN1245" s="12"/>
      <c r="CO1245" s="12"/>
      <c r="CP1245" s="12"/>
      <c r="CQ1245" s="12"/>
      <c r="CR1245" s="12"/>
      <c r="CS1245" s="12"/>
      <c r="CT1245" s="12"/>
      <c r="CU1245" s="12"/>
      <c r="CV1245" s="12"/>
      <c r="CW1245" s="12"/>
      <c r="CX1245" s="12"/>
      <c r="CY1245" s="12"/>
      <c r="CZ1245" s="12"/>
      <c r="DA1245" s="12"/>
      <c r="DB1245" s="12"/>
      <c r="DC1245" s="12"/>
      <c r="DD1245" s="12"/>
      <c r="DE1245" s="12"/>
      <c r="DF1245" s="12"/>
      <c r="DG1245" s="12"/>
      <c r="DH1245" s="12"/>
      <c r="DI1245" s="12"/>
      <c r="DJ1245" s="12"/>
      <c r="DK1245" s="12"/>
      <c r="DL1245" s="12"/>
      <c r="DM1245" s="12"/>
      <c r="DN1245" s="12"/>
      <c r="DO1245" s="12"/>
      <c r="DP1245" s="12"/>
      <c r="DQ1245" s="12"/>
      <c r="DR1245" s="12"/>
      <c r="DS1245" s="12"/>
      <c r="DT1245" s="12"/>
      <c r="DU1245" s="12"/>
      <c r="DV1245" s="12"/>
      <c r="DW1245" s="12"/>
      <c r="DX1245" s="12"/>
      <c r="DY1245" s="12"/>
      <c r="DZ1245" s="12"/>
      <c r="EA1245" s="12"/>
      <c r="EB1245" s="12"/>
      <c r="EC1245" s="12"/>
      <c r="ED1245" s="12"/>
      <c r="EE1245" s="12"/>
      <c r="EF1245" s="12"/>
      <c r="EG1245" s="12"/>
      <c r="EH1245" s="12"/>
      <c r="EI1245" s="12"/>
      <c r="EJ1245" s="574"/>
      <c r="EK1245" s="574"/>
      <c r="EL1245" s="574"/>
      <c r="EM1245" s="574"/>
      <c r="EN1245" s="574"/>
      <c r="EO1245" s="574"/>
      <c r="EP1245" s="574"/>
      <c r="EQ1245" s="574"/>
      <c r="ER1245" s="574"/>
      <c r="ES1245" s="574"/>
      <c r="ET1245" s="574"/>
      <c r="EU1245" s="574"/>
    </row>
    <row r="1246">
      <c r="A1246" s="12"/>
      <c r="B1246" s="55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2"/>
      <c r="R1246" s="12"/>
      <c r="S1246" s="12"/>
      <c r="T1246" s="12"/>
      <c r="U1246" s="12"/>
      <c r="V1246" s="12"/>
      <c r="W1246" s="12"/>
      <c r="X1246" s="12"/>
      <c r="Y1246" s="12"/>
      <c r="Z1246" s="12"/>
      <c r="AA1246" s="12"/>
      <c r="AB1246" s="12"/>
      <c r="AC1246" s="12"/>
      <c r="AD1246" s="12"/>
      <c r="AE1246" s="12"/>
      <c r="AF1246" s="12"/>
      <c r="AG1246" s="12"/>
      <c r="AH1246" s="12"/>
      <c r="AI1246" s="12"/>
      <c r="AJ1246" s="12"/>
      <c r="AK1246" s="12"/>
      <c r="AL1246" s="12"/>
      <c r="AM1246" s="12"/>
      <c r="AN1246" s="12"/>
      <c r="AO1246" s="12"/>
      <c r="AP1246" s="12"/>
      <c r="AQ1246" s="12"/>
      <c r="AR1246" s="12"/>
      <c r="AS1246" s="12"/>
      <c r="AT1246" s="12"/>
      <c r="AU1246" s="12"/>
      <c r="AV1246" s="12"/>
      <c r="AW1246" s="12"/>
      <c r="AX1246" s="12"/>
      <c r="AY1246" s="12"/>
      <c r="AZ1246" s="12"/>
      <c r="BA1246" s="12"/>
      <c r="BB1246" s="12"/>
      <c r="BC1246" s="12"/>
      <c r="BD1246" s="12"/>
      <c r="BE1246" s="12"/>
      <c r="BF1246" s="12"/>
      <c r="BG1246" s="12"/>
      <c r="BH1246" s="12"/>
      <c r="BI1246" s="12"/>
      <c r="BJ1246" s="12"/>
      <c r="BK1246" s="12"/>
      <c r="BL1246" s="12"/>
      <c r="BM1246" s="12"/>
      <c r="BN1246" s="12"/>
      <c r="BO1246" s="12"/>
      <c r="BP1246" s="12"/>
      <c r="BQ1246" s="12"/>
      <c r="BR1246" s="12"/>
      <c r="BS1246" s="12"/>
      <c r="BT1246" s="12"/>
      <c r="BU1246" s="12"/>
      <c r="BV1246" s="12"/>
      <c r="BW1246" s="12"/>
      <c r="BX1246" s="12"/>
      <c r="BY1246" s="12"/>
      <c r="BZ1246" s="12"/>
      <c r="CA1246" s="12"/>
      <c r="CB1246" s="12"/>
      <c r="CC1246" s="12"/>
      <c r="CD1246" s="12"/>
      <c r="CE1246" s="12"/>
      <c r="CF1246" s="12"/>
      <c r="CG1246" s="12"/>
      <c r="CH1246" s="12"/>
      <c r="CI1246" s="12"/>
      <c r="CJ1246" s="12"/>
      <c r="CK1246" s="12"/>
      <c r="CL1246" s="12"/>
      <c r="CM1246" s="12"/>
      <c r="CN1246" s="12"/>
      <c r="CO1246" s="12"/>
      <c r="CP1246" s="12"/>
      <c r="CQ1246" s="12"/>
      <c r="CR1246" s="12"/>
      <c r="CS1246" s="12"/>
      <c r="CT1246" s="12"/>
      <c r="CU1246" s="12"/>
      <c r="CV1246" s="12"/>
      <c r="CW1246" s="12"/>
      <c r="CX1246" s="12"/>
      <c r="CY1246" s="12"/>
      <c r="CZ1246" s="12"/>
      <c r="DA1246" s="12"/>
      <c r="DB1246" s="12"/>
      <c r="DC1246" s="12"/>
      <c r="DD1246" s="12"/>
      <c r="DE1246" s="12"/>
      <c r="DF1246" s="12"/>
      <c r="DG1246" s="12"/>
      <c r="DH1246" s="12"/>
      <c r="DI1246" s="12"/>
      <c r="DJ1246" s="12"/>
      <c r="DK1246" s="12"/>
      <c r="DL1246" s="12"/>
      <c r="DM1246" s="12"/>
      <c r="DN1246" s="12"/>
      <c r="DO1246" s="12"/>
      <c r="DP1246" s="12"/>
      <c r="DQ1246" s="12"/>
      <c r="DR1246" s="12"/>
      <c r="DS1246" s="12"/>
      <c r="DT1246" s="12"/>
      <c r="DU1246" s="12"/>
      <c r="DV1246" s="12"/>
      <c r="DW1246" s="12"/>
      <c r="DX1246" s="12"/>
      <c r="DY1246" s="12"/>
      <c r="DZ1246" s="12"/>
      <c r="EA1246" s="12"/>
      <c r="EB1246" s="12"/>
      <c r="EC1246" s="12"/>
      <c r="ED1246" s="12"/>
      <c r="EE1246" s="12"/>
      <c r="EF1246" s="12"/>
      <c r="EG1246" s="12"/>
      <c r="EH1246" s="12"/>
      <c r="EI1246" s="12"/>
      <c r="EJ1246" s="574"/>
      <c r="EK1246" s="574"/>
      <c r="EL1246" s="574"/>
      <c r="EM1246" s="574"/>
      <c r="EN1246" s="574"/>
      <c r="EO1246" s="574"/>
      <c r="EP1246" s="574"/>
      <c r="EQ1246" s="574"/>
      <c r="ER1246" s="574"/>
      <c r="ES1246" s="574"/>
      <c r="ET1246" s="574"/>
      <c r="EU1246" s="574"/>
    </row>
    <row r="1247">
      <c r="A1247" s="12"/>
      <c r="B1247" s="55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2"/>
      <c r="R1247" s="12"/>
      <c r="S1247" s="12"/>
      <c r="T1247" s="12"/>
      <c r="U1247" s="12"/>
      <c r="V1247" s="12"/>
      <c r="W1247" s="12"/>
      <c r="X1247" s="12"/>
      <c r="Y1247" s="12"/>
      <c r="Z1247" s="12"/>
      <c r="AA1247" s="12"/>
      <c r="AB1247" s="12"/>
      <c r="AC1247" s="12"/>
      <c r="AD1247" s="12"/>
      <c r="AE1247" s="12"/>
      <c r="AF1247" s="12"/>
      <c r="AG1247" s="12"/>
      <c r="AH1247" s="12"/>
      <c r="AI1247" s="12"/>
      <c r="AJ1247" s="12"/>
      <c r="AK1247" s="12"/>
      <c r="AL1247" s="12"/>
      <c r="AM1247" s="12"/>
      <c r="AN1247" s="12"/>
      <c r="AO1247" s="12"/>
      <c r="AP1247" s="12"/>
      <c r="AQ1247" s="12"/>
      <c r="AR1247" s="12"/>
      <c r="AS1247" s="12"/>
      <c r="AT1247" s="12"/>
      <c r="AU1247" s="12"/>
      <c r="AV1247" s="12"/>
      <c r="AW1247" s="12"/>
      <c r="AX1247" s="12"/>
      <c r="AY1247" s="12"/>
      <c r="AZ1247" s="12"/>
      <c r="BA1247" s="12"/>
      <c r="BB1247" s="12"/>
      <c r="BC1247" s="12"/>
      <c r="BD1247" s="12"/>
      <c r="BE1247" s="12"/>
      <c r="BF1247" s="12"/>
      <c r="BG1247" s="12"/>
      <c r="BH1247" s="12"/>
      <c r="BI1247" s="12"/>
      <c r="BJ1247" s="12"/>
      <c r="BK1247" s="12"/>
      <c r="BL1247" s="12"/>
      <c r="BM1247" s="12"/>
      <c r="BN1247" s="12"/>
      <c r="BO1247" s="12"/>
      <c r="BP1247" s="12"/>
      <c r="BQ1247" s="12"/>
      <c r="BR1247" s="12"/>
      <c r="BS1247" s="12"/>
      <c r="BT1247" s="12"/>
      <c r="BU1247" s="12"/>
      <c r="BV1247" s="12"/>
      <c r="BW1247" s="12"/>
      <c r="BX1247" s="12"/>
      <c r="BY1247" s="12"/>
      <c r="BZ1247" s="12"/>
      <c r="CA1247" s="12"/>
      <c r="CB1247" s="12"/>
      <c r="CC1247" s="12"/>
      <c r="CD1247" s="12"/>
      <c r="CE1247" s="12"/>
      <c r="CF1247" s="12"/>
      <c r="CG1247" s="12"/>
      <c r="CH1247" s="12"/>
      <c r="CI1247" s="12"/>
      <c r="CJ1247" s="12"/>
      <c r="CK1247" s="12"/>
      <c r="CL1247" s="12"/>
      <c r="CM1247" s="12"/>
      <c r="CN1247" s="12"/>
      <c r="CO1247" s="12"/>
      <c r="CP1247" s="12"/>
      <c r="CQ1247" s="12"/>
      <c r="CR1247" s="12"/>
      <c r="CS1247" s="12"/>
      <c r="CT1247" s="12"/>
      <c r="CU1247" s="12"/>
      <c r="CV1247" s="12"/>
      <c r="CW1247" s="12"/>
      <c r="CX1247" s="12"/>
      <c r="CY1247" s="12"/>
      <c r="CZ1247" s="12"/>
      <c r="DA1247" s="12"/>
      <c r="DB1247" s="12"/>
      <c r="DC1247" s="12"/>
      <c r="DD1247" s="12"/>
      <c r="DE1247" s="12"/>
      <c r="DF1247" s="12"/>
      <c r="DG1247" s="12"/>
      <c r="DH1247" s="12"/>
      <c r="DI1247" s="12"/>
      <c r="DJ1247" s="12"/>
      <c r="DK1247" s="12"/>
      <c r="DL1247" s="12"/>
      <c r="DM1247" s="12"/>
      <c r="DN1247" s="12"/>
      <c r="DO1247" s="12"/>
      <c r="DP1247" s="12"/>
      <c r="DQ1247" s="12"/>
      <c r="DR1247" s="12"/>
      <c r="DS1247" s="12"/>
      <c r="DT1247" s="12"/>
      <c r="DU1247" s="12"/>
      <c r="DV1247" s="12"/>
      <c r="DW1247" s="12"/>
      <c r="DX1247" s="12"/>
      <c r="DY1247" s="12"/>
      <c r="DZ1247" s="12"/>
      <c r="EA1247" s="12"/>
      <c r="EB1247" s="12"/>
      <c r="EC1247" s="12"/>
      <c r="ED1247" s="12"/>
      <c r="EE1247" s="12"/>
      <c r="EF1247" s="12"/>
      <c r="EG1247" s="12"/>
      <c r="EH1247" s="12"/>
      <c r="EI1247" s="12"/>
      <c r="EJ1247" s="574"/>
      <c r="EK1247" s="574"/>
      <c r="EL1247" s="574"/>
      <c r="EM1247" s="574"/>
      <c r="EN1247" s="574"/>
      <c r="EO1247" s="574"/>
      <c r="EP1247" s="574"/>
      <c r="EQ1247" s="574"/>
      <c r="ER1247" s="574"/>
      <c r="ES1247" s="574"/>
      <c r="ET1247" s="574"/>
      <c r="EU1247" s="574"/>
    </row>
    <row r="1248">
      <c r="A1248" s="12"/>
      <c r="B1248" s="55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2"/>
      <c r="R1248" s="12"/>
      <c r="S1248" s="12"/>
      <c r="T1248" s="12"/>
      <c r="U1248" s="12"/>
      <c r="V1248" s="12"/>
      <c r="W1248" s="12"/>
      <c r="X1248" s="12"/>
      <c r="Y1248" s="12"/>
      <c r="Z1248" s="12"/>
      <c r="AA1248" s="12"/>
      <c r="AB1248" s="12"/>
      <c r="AC1248" s="12"/>
      <c r="AD1248" s="12"/>
      <c r="AE1248" s="12"/>
      <c r="AF1248" s="12"/>
      <c r="AG1248" s="12"/>
      <c r="AH1248" s="12"/>
      <c r="AI1248" s="12"/>
      <c r="AJ1248" s="12"/>
      <c r="AK1248" s="12"/>
      <c r="AL1248" s="12"/>
      <c r="AM1248" s="12"/>
      <c r="AN1248" s="12"/>
      <c r="AO1248" s="12"/>
      <c r="AP1248" s="12"/>
      <c r="AQ1248" s="12"/>
      <c r="AR1248" s="12"/>
      <c r="AS1248" s="12"/>
      <c r="AT1248" s="12"/>
      <c r="AU1248" s="12"/>
      <c r="AV1248" s="12"/>
      <c r="AW1248" s="12"/>
      <c r="AX1248" s="12"/>
      <c r="AY1248" s="12"/>
      <c r="AZ1248" s="12"/>
      <c r="BA1248" s="12"/>
      <c r="BB1248" s="12"/>
      <c r="BC1248" s="12"/>
      <c r="BD1248" s="12"/>
      <c r="BE1248" s="12"/>
      <c r="BF1248" s="12"/>
      <c r="BG1248" s="12"/>
      <c r="BH1248" s="12"/>
      <c r="BI1248" s="12"/>
      <c r="BJ1248" s="12"/>
      <c r="BK1248" s="12"/>
      <c r="BL1248" s="12"/>
      <c r="BM1248" s="12"/>
      <c r="BN1248" s="12"/>
      <c r="BO1248" s="12"/>
      <c r="BP1248" s="12"/>
      <c r="BQ1248" s="12"/>
      <c r="BR1248" s="12"/>
      <c r="BS1248" s="12"/>
      <c r="BT1248" s="12"/>
      <c r="BU1248" s="12"/>
      <c r="BV1248" s="12"/>
      <c r="BW1248" s="12"/>
      <c r="BX1248" s="12"/>
      <c r="BY1248" s="12"/>
      <c r="BZ1248" s="12"/>
      <c r="CA1248" s="12"/>
      <c r="CB1248" s="12"/>
      <c r="CC1248" s="12"/>
      <c r="CD1248" s="12"/>
      <c r="CE1248" s="12"/>
      <c r="CF1248" s="12"/>
      <c r="CG1248" s="12"/>
      <c r="CH1248" s="12"/>
      <c r="CI1248" s="12"/>
      <c r="CJ1248" s="12"/>
      <c r="CK1248" s="12"/>
      <c r="CL1248" s="12"/>
      <c r="CM1248" s="12"/>
      <c r="CN1248" s="12"/>
      <c r="CO1248" s="12"/>
      <c r="CP1248" s="12"/>
      <c r="CQ1248" s="12"/>
      <c r="CR1248" s="12"/>
      <c r="CS1248" s="12"/>
      <c r="CT1248" s="12"/>
      <c r="CU1248" s="12"/>
      <c r="CV1248" s="12"/>
      <c r="CW1248" s="12"/>
      <c r="CX1248" s="12"/>
      <c r="CY1248" s="12"/>
      <c r="CZ1248" s="12"/>
      <c r="DA1248" s="12"/>
      <c r="DB1248" s="12"/>
      <c r="DC1248" s="12"/>
      <c r="DD1248" s="12"/>
      <c r="DE1248" s="12"/>
      <c r="DF1248" s="12"/>
      <c r="DG1248" s="12"/>
      <c r="DH1248" s="12"/>
      <c r="DI1248" s="12"/>
      <c r="DJ1248" s="12"/>
      <c r="DK1248" s="12"/>
      <c r="DL1248" s="12"/>
      <c r="DM1248" s="12"/>
      <c r="DN1248" s="12"/>
      <c r="DO1248" s="12"/>
      <c r="DP1248" s="12"/>
      <c r="DQ1248" s="12"/>
      <c r="DR1248" s="12"/>
      <c r="DS1248" s="12"/>
      <c r="DT1248" s="12"/>
      <c r="DU1248" s="12"/>
      <c r="DV1248" s="12"/>
      <c r="DW1248" s="12"/>
      <c r="DX1248" s="12"/>
      <c r="DY1248" s="12"/>
      <c r="DZ1248" s="12"/>
      <c r="EA1248" s="12"/>
      <c r="EB1248" s="12"/>
      <c r="EC1248" s="12"/>
      <c r="ED1248" s="12"/>
      <c r="EE1248" s="12"/>
      <c r="EF1248" s="12"/>
      <c r="EG1248" s="12"/>
      <c r="EH1248" s="12"/>
      <c r="EI1248" s="12"/>
      <c r="EJ1248" s="574"/>
      <c r="EK1248" s="574"/>
      <c r="EL1248" s="574"/>
      <c r="EM1248" s="574"/>
      <c r="EN1248" s="574"/>
      <c r="EO1248" s="574"/>
      <c r="EP1248" s="574"/>
      <c r="EQ1248" s="574"/>
      <c r="ER1248" s="574"/>
      <c r="ES1248" s="574"/>
      <c r="ET1248" s="574"/>
      <c r="EU1248" s="574"/>
    </row>
    <row r="1249">
      <c r="A1249" s="12"/>
      <c r="B1249" s="55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2"/>
      <c r="R1249" s="12"/>
      <c r="S1249" s="12"/>
      <c r="T1249" s="12"/>
      <c r="U1249" s="12"/>
      <c r="V1249" s="12"/>
      <c r="W1249" s="12"/>
      <c r="X1249" s="12"/>
      <c r="Y1249" s="12"/>
      <c r="Z1249" s="12"/>
      <c r="AA1249" s="12"/>
      <c r="AB1249" s="12"/>
      <c r="AC1249" s="12"/>
      <c r="AD1249" s="12"/>
      <c r="AE1249" s="12"/>
      <c r="AF1249" s="12"/>
      <c r="AG1249" s="12"/>
      <c r="AH1249" s="12"/>
      <c r="AI1249" s="12"/>
      <c r="AJ1249" s="12"/>
      <c r="AK1249" s="12"/>
      <c r="AL1249" s="12"/>
      <c r="AM1249" s="12"/>
      <c r="AN1249" s="12"/>
      <c r="AO1249" s="12"/>
      <c r="AP1249" s="12"/>
      <c r="AQ1249" s="12"/>
      <c r="AR1249" s="12"/>
      <c r="AS1249" s="12"/>
      <c r="AT1249" s="12"/>
      <c r="AU1249" s="12"/>
      <c r="AV1249" s="12"/>
      <c r="AW1249" s="12"/>
      <c r="AX1249" s="12"/>
      <c r="AY1249" s="12"/>
      <c r="AZ1249" s="12"/>
      <c r="BA1249" s="12"/>
      <c r="BB1249" s="12"/>
      <c r="BC1249" s="12"/>
      <c r="BD1249" s="12"/>
      <c r="BE1249" s="12"/>
      <c r="BF1249" s="12"/>
      <c r="BG1249" s="12"/>
      <c r="BH1249" s="12"/>
      <c r="BI1249" s="12"/>
      <c r="BJ1249" s="12"/>
      <c r="BK1249" s="12"/>
      <c r="BL1249" s="12"/>
      <c r="BM1249" s="12"/>
      <c r="BN1249" s="12"/>
      <c r="BO1249" s="12"/>
      <c r="BP1249" s="12"/>
      <c r="BQ1249" s="12"/>
      <c r="BR1249" s="12"/>
      <c r="BS1249" s="12"/>
      <c r="BT1249" s="12"/>
      <c r="BU1249" s="12"/>
      <c r="BV1249" s="12"/>
      <c r="BW1249" s="12"/>
      <c r="BX1249" s="12"/>
      <c r="BY1249" s="12"/>
      <c r="BZ1249" s="12"/>
      <c r="CA1249" s="12"/>
      <c r="CB1249" s="12"/>
      <c r="CC1249" s="12"/>
      <c r="CD1249" s="12"/>
      <c r="CE1249" s="12"/>
      <c r="CF1249" s="12"/>
      <c r="CG1249" s="12"/>
      <c r="CH1249" s="12"/>
      <c r="CI1249" s="12"/>
      <c r="CJ1249" s="12"/>
      <c r="CK1249" s="12"/>
      <c r="CL1249" s="12"/>
      <c r="CM1249" s="12"/>
      <c r="CN1249" s="12"/>
      <c r="CO1249" s="12"/>
      <c r="CP1249" s="12"/>
      <c r="CQ1249" s="12"/>
      <c r="CR1249" s="12"/>
      <c r="CS1249" s="12"/>
      <c r="CT1249" s="12"/>
      <c r="CU1249" s="12"/>
      <c r="CV1249" s="12"/>
      <c r="CW1249" s="12"/>
      <c r="CX1249" s="12"/>
      <c r="CY1249" s="12"/>
      <c r="CZ1249" s="12"/>
      <c r="DA1249" s="12"/>
      <c r="DB1249" s="12"/>
      <c r="DC1249" s="12"/>
      <c r="DD1249" s="12"/>
      <c r="DE1249" s="12"/>
      <c r="DF1249" s="12"/>
      <c r="DG1249" s="12"/>
      <c r="DH1249" s="12"/>
      <c r="DI1249" s="12"/>
      <c r="DJ1249" s="12"/>
      <c r="DK1249" s="12"/>
      <c r="DL1249" s="12"/>
      <c r="DM1249" s="12"/>
      <c r="DN1249" s="12"/>
      <c r="DO1249" s="12"/>
      <c r="DP1249" s="12"/>
      <c r="DQ1249" s="12"/>
      <c r="DR1249" s="12"/>
      <c r="DS1249" s="12"/>
      <c r="DT1249" s="12"/>
      <c r="DU1249" s="12"/>
      <c r="DV1249" s="12"/>
      <c r="DW1249" s="12"/>
      <c r="DX1249" s="12"/>
      <c r="DY1249" s="12"/>
      <c r="DZ1249" s="12"/>
      <c r="EA1249" s="12"/>
      <c r="EB1249" s="12"/>
      <c r="EC1249" s="12"/>
      <c r="ED1249" s="12"/>
      <c r="EE1249" s="12"/>
      <c r="EF1249" s="12"/>
      <c r="EG1249" s="12"/>
      <c r="EH1249" s="12"/>
      <c r="EI1249" s="12"/>
      <c r="EJ1249" s="574"/>
      <c r="EK1249" s="574"/>
      <c r="EL1249" s="574"/>
      <c r="EM1249" s="574"/>
      <c r="EN1249" s="574"/>
      <c r="EO1249" s="574"/>
      <c r="EP1249" s="574"/>
      <c r="EQ1249" s="574"/>
      <c r="ER1249" s="574"/>
      <c r="ES1249" s="574"/>
      <c r="ET1249" s="574"/>
      <c r="EU1249" s="574"/>
    </row>
    <row r="1250">
      <c r="A1250" s="12"/>
      <c r="B1250" s="55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2"/>
      <c r="R1250" s="12"/>
      <c r="S1250" s="12"/>
      <c r="T1250" s="12"/>
      <c r="U1250" s="12"/>
      <c r="V1250" s="12"/>
      <c r="W1250" s="12"/>
      <c r="X1250" s="12"/>
      <c r="Y1250" s="12"/>
      <c r="Z1250" s="12"/>
      <c r="AA1250" s="12"/>
      <c r="AB1250" s="12"/>
      <c r="AC1250" s="12"/>
      <c r="AD1250" s="12"/>
      <c r="AE1250" s="12"/>
      <c r="AF1250" s="12"/>
      <c r="AG1250" s="12"/>
      <c r="AH1250" s="12"/>
      <c r="AI1250" s="12"/>
      <c r="AJ1250" s="12"/>
      <c r="AK1250" s="12"/>
      <c r="AL1250" s="12"/>
      <c r="AM1250" s="12"/>
      <c r="AN1250" s="12"/>
      <c r="AO1250" s="12"/>
      <c r="AP1250" s="12"/>
      <c r="AQ1250" s="12"/>
      <c r="AR1250" s="12"/>
      <c r="AS1250" s="12"/>
      <c r="AT1250" s="12"/>
      <c r="AU1250" s="12"/>
      <c r="AV1250" s="12"/>
      <c r="AW1250" s="12"/>
      <c r="AX1250" s="12"/>
      <c r="AY1250" s="12"/>
      <c r="AZ1250" s="12"/>
      <c r="BA1250" s="12"/>
      <c r="BB1250" s="12"/>
      <c r="BC1250" s="12"/>
      <c r="BD1250" s="12"/>
      <c r="BE1250" s="12"/>
      <c r="BF1250" s="12"/>
      <c r="BG1250" s="12"/>
      <c r="BH1250" s="12"/>
      <c r="BI1250" s="12"/>
      <c r="BJ1250" s="12"/>
      <c r="BK1250" s="12"/>
      <c r="BL1250" s="12"/>
      <c r="BM1250" s="12"/>
      <c r="BN1250" s="12"/>
      <c r="BO1250" s="12"/>
      <c r="BP1250" s="12"/>
      <c r="BQ1250" s="12"/>
      <c r="BR1250" s="12"/>
      <c r="BS1250" s="12"/>
      <c r="BT1250" s="12"/>
      <c r="BU1250" s="12"/>
      <c r="BV1250" s="12"/>
      <c r="BW1250" s="12"/>
      <c r="BX1250" s="12"/>
      <c r="BY1250" s="12"/>
      <c r="BZ1250" s="12"/>
      <c r="CA1250" s="12"/>
      <c r="CB1250" s="12"/>
      <c r="CC1250" s="12"/>
      <c r="CD1250" s="12"/>
      <c r="CE1250" s="12"/>
      <c r="CF1250" s="12"/>
      <c r="CG1250" s="12"/>
      <c r="CH1250" s="12"/>
      <c r="CI1250" s="12"/>
      <c r="CJ1250" s="12"/>
      <c r="CK1250" s="12"/>
      <c r="CL1250" s="12"/>
      <c r="CM1250" s="12"/>
      <c r="CN1250" s="12"/>
      <c r="CO1250" s="12"/>
      <c r="CP1250" s="12"/>
      <c r="CQ1250" s="12"/>
      <c r="CR1250" s="12"/>
      <c r="CS1250" s="12"/>
      <c r="CT1250" s="12"/>
      <c r="CU1250" s="12"/>
      <c r="CV1250" s="12"/>
      <c r="CW1250" s="12"/>
      <c r="CX1250" s="12"/>
      <c r="CY1250" s="12"/>
      <c r="CZ1250" s="12"/>
      <c r="DA1250" s="12"/>
      <c r="DB1250" s="12"/>
      <c r="DC1250" s="12"/>
      <c r="DD1250" s="12"/>
      <c r="DE1250" s="12"/>
      <c r="DF1250" s="12"/>
      <c r="DG1250" s="12"/>
      <c r="DH1250" s="12"/>
      <c r="DI1250" s="12"/>
      <c r="DJ1250" s="12"/>
      <c r="DK1250" s="12"/>
      <c r="DL1250" s="12"/>
      <c r="DM1250" s="12"/>
      <c r="DN1250" s="12"/>
      <c r="DO1250" s="12"/>
      <c r="DP1250" s="12"/>
      <c r="DQ1250" s="12"/>
      <c r="DR1250" s="12"/>
      <c r="DS1250" s="12"/>
      <c r="DT1250" s="12"/>
      <c r="DU1250" s="12"/>
      <c r="DV1250" s="12"/>
      <c r="DW1250" s="12"/>
      <c r="DX1250" s="12"/>
      <c r="DY1250" s="12"/>
      <c r="DZ1250" s="12"/>
      <c r="EA1250" s="12"/>
      <c r="EB1250" s="12"/>
      <c r="EC1250" s="12"/>
      <c r="ED1250" s="12"/>
      <c r="EE1250" s="12"/>
      <c r="EF1250" s="12"/>
      <c r="EG1250" s="12"/>
      <c r="EH1250" s="12"/>
      <c r="EI1250" s="12"/>
      <c r="EJ1250" s="574"/>
      <c r="EK1250" s="574"/>
      <c r="EL1250" s="574"/>
      <c r="EM1250" s="574"/>
      <c r="EN1250" s="574"/>
      <c r="EO1250" s="574"/>
      <c r="EP1250" s="574"/>
      <c r="EQ1250" s="574"/>
      <c r="ER1250" s="574"/>
      <c r="ES1250" s="574"/>
      <c r="ET1250" s="574"/>
      <c r="EU1250" s="574"/>
    </row>
    <row r="1251">
      <c r="A1251" s="12"/>
      <c r="B1251" s="55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2"/>
      <c r="R1251" s="12"/>
      <c r="S1251" s="12"/>
      <c r="T1251" s="12"/>
      <c r="U1251" s="12"/>
      <c r="V1251" s="12"/>
      <c r="W1251" s="12"/>
      <c r="X1251" s="12"/>
      <c r="Y1251" s="12"/>
      <c r="Z1251" s="12"/>
      <c r="AA1251" s="12"/>
      <c r="AB1251" s="12"/>
      <c r="AC1251" s="12"/>
      <c r="AD1251" s="12"/>
      <c r="AE1251" s="12"/>
      <c r="AF1251" s="12"/>
      <c r="AG1251" s="12"/>
      <c r="AH1251" s="12"/>
      <c r="AI1251" s="12"/>
      <c r="AJ1251" s="12"/>
      <c r="AK1251" s="12"/>
      <c r="AL1251" s="12"/>
      <c r="AM1251" s="12"/>
      <c r="AN1251" s="12"/>
      <c r="AO1251" s="12"/>
      <c r="AP1251" s="12"/>
      <c r="AQ1251" s="12"/>
      <c r="AR1251" s="12"/>
      <c r="AS1251" s="12"/>
      <c r="AT1251" s="12"/>
      <c r="AU1251" s="12"/>
      <c r="AV1251" s="12"/>
      <c r="AW1251" s="12"/>
      <c r="AX1251" s="12"/>
      <c r="AY1251" s="12"/>
      <c r="AZ1251" s="12"/>
      <c r="BA1251" s="12"/>
      <c r="BB1251" s="12"/>
      <c r="BC1251" s="12"/>
      <c r="BD1251" s="12"/>
      <c r="BE1251" s="12"/>
      <c r="BF1251" s="12"/>
      <c r="BG1251" s="12"/>
      <c r="BH1251" s="12"/>
      <c r="BI1251" s="12"/>
      <c r="BJ1251" s="12"/>
      <c r="BK1251" s="12"/>
      <c r="BL1251" s="12"/>
      <c r="BM1251" s="12"/>
      <c r="BN1251" s="12"/>
      <c r="BO1251" s="12"/>
      <c r="BP1251" s="12"/>
      <c r="BQ1251" s="12"/>
      <c r="BR1251" s="12"/>
      <c r="BS1251" s="12"/>
      <c r="BT1251" s="12"/>
      <c r="BU1251" s="12"/>
      <c r="BV1251" s="12"/>
      <c r="BW1251" s="12"/>
      <c r="BX1251" s="12"/>
      <c r="BY1251" s="12"/>
      <c r="BZ1251" s="12"/>
      <c r="CA1251" s="12"/>
      <c r="CB1251" s="12"/>
      <c r="CC1251" s="12"/>
      <c r="CD1251" s="12"/>
      <c r="CE1251" s="12"/>
      <c r="CF1251" s="12"/>
      <c r="CG1251" s="12"/>
      <c r="CH1251" s="12"/>
      <c r="CI1251" s="12"/>
      <c r="CJ1251" s="12"/>
      <c r="CK1251" s="12"/>
      <c r="CL1251" s="12"/>
      <c r="CM1251" s="12"/>
      <c r="CN1251" s="12"/>
      <c r="CO1251" s="12"/>
      <c r="CP1251" s="12"/>
      <c r="CQ1251" s="12"/>
      <c r="CR1251" s="12"/>
      <c r="CS1251" s="12"/>
      <c r="CT1251" s="12"/>
      <c r="CU1251" s="12"/>
      <c r="CV1251" s="12"/>
      <c r="CW1251" s="12"/>
      <c r="CX1251" s="12"/>
      <c r="CY1251" s="12"/>
      <c r="CZ1251" s="12"/>
      <c r="DA1251" s="12"/>
      <c r="DB1251" s="12"/>
      <c r="DC1251" s="12"/>
      <c r="DD1251" s="12"/>
      <c r="DE1251" s="12"/>
      <c r="DF1251" s="12"/>
      <c r="DG1251" s="12"/>
      <c r="DH1251" s="12"/>
      <c r="DI1251" s="12"/>
      <c r="DJ1251" s="12"/>
      <c r="DK1251" s="12"/>
      <c r="DL1251" s="12"/>
      <c r="DM1251" s="12"/>
      <c r="DN1251" s="12"/>
      <c r="DO1251" s="12"/>
      <c r="DP1251" s="12"/>
      <c r="DQ1251" s="12"/>
      <c r="DR1251" s="12"/>
      <c r="DS1251" s="12"/>
      <c r="DT1251" s="12"/>
      <c r="DU1251" s="12"/>
      <c r="DV1251" s="12"/>
      <c r="DW1251" s="12"/>
      <c r="DX1251" s="12"/>
      <c r="DY1251" s="12"/>
      <c r="DZ1251" s="12"/>
      <c r="EA1251" s="12"/>
      <c r="EB1251" s="12"/>
      <c r="EC1251" s="12"/>
      <c r="ED1251" s="12"/>
      <c r="EE1251" s="12"/>
      <c r="EF1251" s="12"/>
      <c r="EG1251" s="12"/>
      <c r="EH1251" s="12"/>
      <c r="EI1251" s="12"/>
      <c r="EJ1251" s="574"/>
      <c r="EK1251" s="574"/>
      <c r="EL1251" s="574"/>
      <c r="EM1251" s="574"/>
      <c r="EN1251" s="574"/>
      <c r="EO1251" s="574"/>
      <c r="EP1251" s="574"/>
      <c r="EQ1251" s="574"/>
      <c r="ER1251" s="574"/>
      <c r="ES1251" s="574"/>
      <c r="ET1251" s="574"/>
      <c r="EU1251" s="574"/>
    </row>
    <row r="1252">
      <c r="A1252" s="12"/>
      <c r="B1252" s="55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2"/>
      <c r="R1252" s="12"/>
      <c r="S1252" s="12"/>
      <c r="T1252" s="12"/>
      <c r="U1252" s="12"/>
      <c r="V1252" s="12"/>
      <c r="W1252" s="12"/>
      <c r="X1252" s="12"/>
      <c r="Y1252" s="12"/>
      <c r="Z1252" s="12"/>
      <c r="AA1252" s="12"/>
      <c r="AB1252" s="12"/>
      <c r="AC1252" s="12"/>
      <c r="AD1252" s="12"/>
      <c r="AE1252" s="12"/>
      <c r="AF1252" s="12"/>
      <c r="AG1252" s="12"/>
      <c r="AH1252" s="12"/>
      <c r="AI1252" s="12"/>
      <c r="AJ1252" s="12"/>
      <c r="AK1252" s="12"/>
      <c r="AL1252" s="12"/>
      <c r="AM1252" s="12"/>
      <c r="AN1252" s="12"/>
      <c r="AO1252" s="12"/>
      <c r="AP1252" s="12"/>
      <c r="AQ1252" s="12"/>
      <c r="AR1252" s="12"/>
      <c r="AS1252" s="12"/>
      <c r="AT1252" s="12"/>
      <c r="AU1252" s="12"/>
      <c r="AV1252" s="12"/>
      <c r="AW1252" s="12"/>
      <c r="AX1252" s="12"/>
      <c r="AY1252" s="12"/>
      <c r="AZ1252" s="12"/>
      <c r="BA1252" s="12"/>
      <c r="BB1252" s="12"/>
      <c r="BC1252" s="12"/>
      <c r="BD1252" s="12"/>
      <c r="BE1252" s="12"/>
      <c r="BF1252" s="12"/>
      <c r="BG1252" s="12"/>
      <c r="BH1252" s="12"/>
      <c r="BI1252" s="12"/>
      <c r="BJ1252" s="12"/>
      <c r="BK1252" s="12"/>
      <c r="BL1252" s="12"/>
      <c r="BM1252" s="12"/>
      <c r="BN1252" s="12"/>
      <c r="BO1252" s="12"/>
      <c r="BP1252" s="12"/>
      <c r="BQ1252" s="12"/>
      <c r="BR1252" s="12"/>
      <c r="BS1252" s="12"/>
      <c r="BT1252" s="12"/>
      <c r="BU1252" s="12"/>
      <c r="BV1252" s="12"/>
      <c r="BW1252" s="12"/>
      <c r="BX1252" s="12"/>
      <c r="BY1252" s="12"/>
      <c r="BZ1252" s="12"/>
      <c r="CA1252" s="12"/>
      <c r="CB1252" s="12"/>
      <c r="CC1252" s="12"/>
      <c r="CD1252" s="12"/>
      <c r="CE1252" s="12"/>
      <c r="CF1252" s="12"/>
      <c r="CG1252" s="12"/>
      <c r="CH1252" s="12"/>
      <c r="CI1252" s="12"/>
      <c r="CJ1252" s="12"/>
      <c r="CK1252" s="12"/>
      <c r="CL1252" s="12"/>
      <c r="CM1252" s="12"/>
      <c r="CN1252" s="12"/>
      <c r="CO1252" s="12"/>
      <c r="CP1252" s="12"/>
      <c r="CQ1252" s="12"/>
      <c r="CR1252" s="12"/>
      <c r="CS1252" s="12"/>
      <c r="CT1252" s="12"/>
      <c r="CU1252" s="12"/>
      <c r="CV1252" s="12"/>
      <c r="CW1252" s="12"/>
      <c r="CX1252" s="12"/>
      <c r="CY1252" s="12"/>
      <c r="CZ1252" s="12"/>
      <c r="DA1252" s="12"/>
      <c r="DB1252" s="12"/>
      <c r="DC1252" s="12"/>
      <c r="DD1252" s="12"/>
      <c r="DE1252" s="12"/>
      <c r="DF1252" s="12"/>
      <c r="DG1252" s="12"/>
      <c r="DH1252" s="12"/>
      <c r="DI1252" s="12"/>
      <c r="DJ1252" s="12"/>
      <c r="DK1252" s="12"/>
      <c r="DL1252" s="12"/>
      <c r="DM1252" s="12"/>
      <c r="DN1252" s="12"/>
      <c r="DO1252" s="12"/>
      <c r="DP1252" s="12"/>
      <c r="DQ1252" s="12"/>
      <c r="DR1252" s="12"/>
      <c r="DS1252" s="12"/>
      <c r="DT1252" s="12"/>
      <c r="DU1252" s="12"/>
      <c r="DV1252" s="12"/>
      <c r="DW1252" s="12"/>
      <c r="DX1252" s="12"/>
      <c r="DY1252" s="12"/>
      <c r="DZ1252" s="12"/>
      <c r="EA1252" s="12"/>
      <c r="EB1252" s="12"/>
      <c r="EC1252" s="12"/>
      <c r="ED1252" s="12"/>
      <c r="EE1252" s="12"/>
      <c r="EF1252" s="12"/>
      <c r="EG1252" s="12"/>
      <c r="EH1252" s="12"/>
      <c r="EI1252" s="12"/>
      <c r="EJ1252" s="574"/>
      <c r="EK1252" s="574"/>
      <c r="EL1252" s="574"/>
      <c r="EM1252" s="574"/>
      <c r="EN1252" s="574"/>
      <c r="EO1252" s="574"/>
      <c r="EP1252" s="574"/>
      <c r="EQ1252" s="574"/>
      <c r="ER1252" s="574"/>
      <c r="ES1252" s="574"/>
      <c r="ET1252" s="574"/>
      <c r="EU1252" s="574"/>
    </row>
    <row r="1253">
      <c r="A1253" s="12"/>
      <c r="B1253" s="55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2"/>
      <c r="R1253" s="12"/>
      <c r="S1253" s="12"/>
      <c r="T1253" s="12"/>
      <c r="U1253" s="12"/>
      <c r="V1253" s="12"/>
      <c r="W1253" s="12"/>
      <c r="X1253" s="12"/>
      <c r="Y1253" s="12"/>
      <c r="Z1253" s="12"/>
      <c r="AA1253" s="12"/>
      <c r="AB1253" s="12"/>
      <c r="AC1253" s="12"/>
      <c r="AD1253" s="12"/>
      <c r="AE1253" s="12"/>
      <c r="AF1253" s="12"/>
      <c r="AG1253" s="12"/>
      <c r="AH1253" s="12"/>
      <c r="AI1253" s="12"/>
      <c r="AJ1253" s="12"/>
      <c r="AK1253" s="12"/>
      <c r="AL1253" s="12"/>
      <c r="AM1253" s="12"/>
      <c r="AN1253" s="12"/>
      <c r="AO1253" s="12"/>
      <c r="AP1253" s="12"/>
      <c r="AQ1253" s="12"/>
      <c r="AR1253" s="12"/>
      <c r="AS1253" s="12"/>
      <c r="AT1253" s="12"/>
      <c r="AU1253" s="12"/>
      <c r="AV1253" s="12"/>
      <c r="AW1253" s="12"/>
      <c r="AX1253" s="12"/>
      <c r="AY1253" s="12"/>
      <c r="AZ1253" s="12"/>
      <c r="BA1253" s="12"/>
      <c r="BB1253" s="12"/>
      <c r="BC1253" s="12"/>
      <c r="BD1253" s="12"/>
      <c r="BE1253" s="12"/>
      <c r="BF1253" s="12"/>
      <c r="BG1253" s="12"/>
      <c r="BH1253" s="12"/>
      <c r="BI1253" s="12"/>
      <c r="BJ1253" s="12"/>
      <c r="BK1253" s="12"/>
      <c r="BL1253" s="12"/>
      <c r="BM1253" s="12"/>
      <c r="BN1253" s="12"/>
      <c r="BO1253" s="12"/>
      <c r="BP1253" s="12"/>
      <c r="BQ1253" s="12"/>
      <c r="BR1253" s="12"/>
      <c r="BS1253" s="12"/>
      <c r="BT1253" s="12"/>
      <c r="BU1253" s="12"/>
      <c r="BV1253" s="12"/>
      <c r="BW1253" s="12"/>
      <c r="BX1253" s="12"/>
      <c r="BY1253" s="12"/>
      <c r="BZ1253" s="12"/>
      <c r="CA1253" s="12"/>
      <c r="CB1253" s="12"/>
      <c r="CC1253" s="12"/>
      <c r="CD1253" s="12"/>
      <c r="CE1253" s="12"/>
      <c r="CF1253" s="12"/>
      <c r="CG1253" s="12"/>
      <c r="CH1253" s="12"/>
      <c r="CI1253" s="12"/>
      <c r="CJ1253" s="12"/>
      <c r="CK1253" s="12"/>
      <c r="CL1253" s="12"/>
      <c r="CM1253" s="12"/>
      <c r="CN1253" s="12"/>
      <c r="CO1253" s="12"/>
      <c r="CP1253" s="12"/>
      <c r="CQ1253" s="12"/>
      <c r="CR1253" s="12"/>
      <c r="CS1253" s="12"/>
      <c r="CT1253" s="12"/>
      <c r="CU1253" s="12"/>
      <c r="CV1253" s="12"/>
      <c r="CW1253" s="12"/>
      <c r="CX1253" s="12"/>
      <c r="CY1253" s="12"/>
      <c r="CZ1253" s="12"/>
      <c r="DA1253" s="12"/>
      <c r="DB1253" s="12"/>
      <c r="DC1253" s="12"/>
      <c r="DD1253" s="12"/>
      <c r="DE1253" s="12"/>
      <c r="DF1253" s="12"/>
      <c r="DG1253" s="12"/>
      <c r="DH1253" s="12"/>
      <c r="DI1253" s="12"/>
      <c r="DJ1253" s="12"/>
      <c r="DK1253" s="12"/>
      <c r="DL1253" s="12"/>
      <c r="DM1253" s="12"/>
      <c r="DN1253" s="12"/>
      <c r="DO1253" s="12"/>
      <c r="DP1253" s="12"/>
      <c r="DQ1253" s="12"/>
      <c r="DR1253" s="12"/>
      <c r="DS1253" s="12"/>
      <c r="DT1253" s="12"/>
      <c r="DU1253" s="12"/>
      <c r="DV1253" s="12"/>
      <c r="DW1253" s="12"/>
      <c r="DX1253" s="12"/>
      <c r="DY1253" s="12"/>
      <c r="DZ1253" s="12"/>
      <c r="EA1253" s="12"/>
      <c r="EB1253" s="12"/>
      <c r="EC1253" s="12"/>
      <c r="ED1253" s="12"/>
      <c r="EE1253" s="12"/>
      <c r="EF1253" s="12"/>
      <c r="EG1253" s="12"/>
      <c r="EH1253" s="12"/>
      <c r="EI1253" s="12"/>
      <c r="EJ1253" s="574"/>
      <c r="EK1253" s="574"/>
      <c r="EL1253" s="574"/>
      <c r="EM1253" s="574"/>
      <c r="EN1253" s="574"/>
      <c r="EO1253" s="574"/>
      <c r="EP1253" s="574"/>
      <c r="EQ1253" s="574"/>
      <c r="ER1253" s="574"/>
      <c r="ES1253" s="574"/>
      <c r="ET1253" s="574"/>
      <c r="EU1253" s="574"/>
    </row>
    <row r="1254">
      <c r="A1254" s="552"/>
      <c r="B1254" s="552"/>
      <c r="C1254" s="552"/>
      <c r="D1254" s="552"/>
      <c r="E1254" s="552"/>
      <c r="F1254" s="552"/>
      <c r="G1254" s="552"/>
      <c r="H1254" s="552"/>
      <c r="I1254" s="552"/>
      <c r="J1254" s="552"/>
      <c r="K1254" s="552"/>
      <c r="L1254" s="552"/>
      <c r="M1254" s="552"/>
      <c r="N1254" s="552"/>
      <c r="O1254" s="552"/>
      <c r="P1254" s="552"/>
      <c r="Q1254" s="552"/>
      <c r="R1254" s="552"/>
      <c r="S1254" s="552"/>
      <c r="T1254" s="552"/>
      <c r="U1254" s="552"/>
      <c r="V1254" s="552"/>
      <c r="W1254" s="552"/>
      <c r="X1254" s="552"/>
      <c r="Y1254" s="552"/>
      <c r="Z1254" s="552"/>
      <c r="AA1254" s="552"/>
      <c r="AB1254" s="552"/>
      <c r="AC1254" s="552"/>
      <c r="AD1254" s="552"/>
      <c r="AE1254" s="552"/>
      <c r="AF1254" s="552"/>
      <c r="AG1254" s="552"/>
      <c r="AH1254" s="552"/>
      <c r="AI1254" s="552"/>
      <c r="AJ1254" s="552"/>
      <c r="AK1254" s="552"/>
      <c r="AL1254" s="552"/>
      <c r="AM1254" s="552"/>
      <c r="AN1254" s="552"/>
      <c r="AO1254" s="552"/>
      <c r="AP1254" s="552"/>
      <c r="AQ1254" s="552"/>
      <c r="AR1254" s="552"/>
      <c r="AS1254" s="552"/>
      <c r="AT1254" s="552"/>
      <c r="AU1254" s="552"/>
      <c r="AV1254" s="552"/>
      <c r="AW1254" s="552"/>
      <c r="AX1254" s="552"/>
      <c r="AY1254" s="552"/>
      <c r="AZ1254" s="552"/>
      <c r="BA1254" s="552"/>
      <c r="BB1254" s="552"/>
      <c r="BC1254" s="552"/>
      <c r="BD1254" s="552"/>
      <c r="BE1254" s="552"/>
      <c r="BF1254" s="552"/>
      <c r="BG1254" s="552"/>
      <c r="BH1254" s="552"/>
      <c r="BI1254" s="552"/>
      <c r="BJ1254" s="552"/>
      <c r="BK1254" s="552"/>
      <c r="BL1254" s="552"/>
      <c r="BM1254" s="552"/>
      <c r="BN1254" s="552"/>
      <c r="BO1254" s="552"/>
      <c r="BP1254" s="552"/>
      <c r="BQ1254" s="552"/>
      <c r="BR1254" s="552"/>
      <c r="BS1254" s="552"/>
      <c r="BT1254" s="552"/>
      <c r="BU1254" s="552"/>
      <c r="BV1254" s="552"/>
      <c r="BW1254" s="552"/>
      <c r="BX1254" s="552"/>
      <c r="BY1254" s="552"/>
      <c r="BZ1254" s="552"/>
      <c r="CA1254" s="552"/>
      <c r="CB1254" s="552"/>
      <c r="CC1254" s="552"/>
      <c r="CD1254" s="552"/>
      <c r="CE1254" s="552"/>
      <c r="CF1254" s="12"/>
      <c r="CG1254" s="12"/>
      <c r="CH1254" s="12"/>
      <c r="CI1254" s="12"/>
      <c r="CJ1254" s="12"/>
      <c r="CK1254" s="552"/>
      <c r="CL1254" s="552"/>
      <c r="CM1254" s="552"/>
      <c r="CN1254" s="552"/>
      <c r="CO1254" s="552"/>
      <c r="CP1254" s="552"/>
      <c r="CQ1254" s="552"/>
      <c r="CR1254" s="552"/>
      <c r="CS1254" s="552"/>
      <c r="CT1254" s="552"/>
      <c r="CU1254" s="552"/>
      <c r="CV1254" s="552"/>
      <c r="CW1254" s="12"/>
      <c r="CX1254" s="12"/>
      <c r="CY1254" s="12"/>
      <c r="CZ1254" s="12"/>
      <c r="DA1254" s="12"/>
      <c r="DB1254" s="552"/>
      <c r="DC1254" s="552"/>
      <c r="DD1254" s="552"/>
      <c r="DE1254" s="552"/>
      <c r="DF1254" s="552"/>
      <c r="DG1254" s="12"/>
      <c r="DH1254" s="12"/>
      <c r="DI1254" s="12"/>
      <c r="DJ1254" s="12"/>
      <c r="DK1254" s="12"/>
      <c r="DL1254" s="12"/>
      <c r="DM1254" s="12"/>
      <c r="DN1254" s="12"/>
      <c r="DO1254" s="12"/>
      <c r="DP1254" s="12"/>
      <c r="DQ1254" s="12"/>
      <c r="DR1254" s="12"/>
      <c r="DS1254" s="552"/>
      <c r="DT1254" s="552"/>
      <c r="DU1254" s="552"/>
      <c r="DV1254" s="552"/>
      <c r="DW1254" s="552"/>
      <c r="DX1254" s="12"/>
      <c r="DY1254" s="12"/>
      <c r="DZ1254" s="12"/>
      <c r="EA1254" s="12"/>
      <c r="EB1254" s="12"/>
      <c r="EC1254" s="12"/>
      <c r="ED1254" s="12"/>
      <c r="EE1254" s="12"/>
      <c r="EF1254" s="12"/>
      <c r="EG1254" s="12"/>
      <c r="EH1254" s="12"/>
      <c r="EI1254" s="12"/>
      <c r="EJ1254" s="574"/>
      <c r="EK1254" s="574"/>
      <c r="EL1254" s="574"/>
      <c r="EM1254" s="574"/>
      <c r="EN1254" s="574"/>
      <c r="EO1254" s="574"/>
      <c r="EP1254" s="574"/>
      <c r="EQ1254" s="574"/>
      <c r="ER1254" s="574"/>
      <c r="ES1254" s="574"/>
      <c r="ET1254" s="574"/>
      <c r="EU1254" s="574"/>
    </row>
    <row r="1255">
      <c r="A1255" s="12"/>
      <c r="B1255" s="55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2"/>
      <c r="R1255" s="12"/>
      <c r="S1255" s="12"/>
      <c r="T1255" s="12"/>
      <c r="U1255" s="12"/>
      <c r="V1255" s="12"/>
      <c r="W1255" s="12"/>
      <c r="X1255" s="12"/>
      <c r="Y1255" s="12"/>
      <c r="Z1255" s="12"/>
      <c r="AA1255" s="12"/>
      <c r="AB1255" s="12"/>
      <c r="AC1255" s="12"/>
      <c r="AD1255" s="12"/>
      <c r="AE1255" s="12"/>
      <c r="AF1255" s="12"/>
      <c r="AG1255" s="12"/>
      <c r="AH1255" s="12"/>
      <c r="AI1255" s="12"/>
      <c r="AJ1255" s="12"/>
      <c r="AK1255" s="12"/>
      <c r="AL1255" s="12"/>
      <c r="AM1255" s="12"/>
      <c r="AN1255" s="12"/>
      <c r="AO1255" s="12"/>
      <c r="AP1255" s="12"/>
      <c r="AQ1255" s="12"/>
      <c r="AR1255" s="12"/>
      <c r="AS1255" s="12"/>
      <c r="AT1255" s="12"/>
      <c r="AU1255" s="12"/>
      <c r="AV1255" s="12"/>
      <c r="AW1255" s="12"/>
      <c r="AX1255" s="12"/>
      <c r="AY1255" s="12"/>
      <c r="AZ1255" s="12"/>
      <c r="BA1255" s="12"/>
      <c r="BB1255" s="12"/>
      <c r="BC1255" s="12"/>
      <c r="BD1255" s="12"/>
      <c r="BE1255" s="12"/>
      <c r="BF1255" s="12"/>
      <c r="BG1255" s="12"/>
      <c r="BH1255" s="12"/>
      <c r="BI1255" s="12"/>
      <c r="BJ1255" s="12"/>
      <c r="BK1255" s="12"/>
      <c r="BL1255" s="12"/>
      <c r="BM1255" s="12"/>
      <c r="BN1255" s="12"/>
      <c r="BO1255" s="12"/>
      <c r="BP1255" s="12"/>
      <c r="BQ1255" s="12"/>
      <c r="BR1255" s="12"/>
      <c r="BS1255" s="12"/>
      <c r="BT1255" s="12"/>
      <c r="BU1255" s="12"/>
      <c r="BV1255" s="12"/>
      <c r="BW1255" s="12"/>
      <c r="BX1255" s="12"/>
      <c r="BY1255" s="12"/>
      <c r="BZ1255" s="12"/>
      <c r="CA1255" s="12"/>
      <c r="CB1255" s="12"/>
      <c r="CC1255" s="12"/>
      <c r="CD1255" s="12"/>
      <c r="CE1255" s="12"/>
      <c r="CF1255" s="12"/>
      <c r="CG1255" s="12"/>
      <c r="CH1255" s="12"/>
      <c r="CI1255" s="12"/>
      <c r="CJ1255" s="12"/>
      <c r="CK1255" s="12"/>
      <c r="CL1255" s="12"/>
      <c r="CM1255" s="12"/>
      <c r="CN1255" s="12"/>
      <c r="CO1255" s="12"/>
      <c r="CP1255" s="12"/>
      <c r="CQ1255" s="12"/>
      <c r="CR1255" s="12"/>
      <c r="CS1255" s="12"/>
      <c r="CT1255" s="12"/>
      <c r="CU1255" s="12"/>
      <c r="CV1255" s="12"/>
      <c r="CW1255" s="12"/>
      <c r="CX1255" s="12"/>
      <c r="CY1255" s="12"/>
      <c r="CZ1255" s="12"/>
      <c r="DA1255" s="12"/>
      <c r="DB1255" s="12"/>
      <c r="DC1255" s="12"/>
      <c r="DD1255" s="12"/>
      <c r="DE1255" s="12"/>
      <c r="DF1255" s="12"/>
      <c r="DG1255" s="12"/>
      <c r="DH1255" s="12"/>
      <c r="DI1255" s="12"/>
      <c r="DJ1255" s="12"/>
      <c r="DK1255" s="12"/>
      <c r="DL1255" s="12"/>
      <c r="DM1255" s="12"/>
      <c r="DN1255" s="12"/>
      <c r="DO1255" s="12"/>
      <c r="DP1255" s="12"/>
      <c r="DQ1255" s="12"/>
      <c r="DR1255" s="12"/>
      <c r="DS1255" s="12"/>
      <c r="DT1255" s="12"/>
      <c r="DU1255" s="12"/>
      <c r="DV1255" s="12"/>
      <c r="DW1255" s="12"/>
      <c r="DX1255" s="12"/>
      <c r="DY1255" s="12"/>
      <c r="DZ1255" s="12"/>
      <c r="EA1255" s="12"/>
      <c r="EB1255" s="12"/>
      <c r="EC1255" s="12"/>
      <c r="ED1255" s="12"/>
      <c r="EE1255" s="12"/>
      <c r="EF1255" s="12"/>
      <c r="EG1255" s="12"/>
      <c r="EH1255" s="12"/>
      <c r="EI1255" s="12"/>
      <c r="EJ1255" s="574"/>
      <c r="EK1255" s="574"/>
      <c r="EL1255" s="574"/>
      <c r="EM1255" s="574"/>
      <c r="EN1255" s="574"/>
      <c r="EO1255" s="574"/>
      <c r="EP1255" s="574"/>
      <c r="EQ1255" s="574"/>
      <c r="ER1255" s="574"/>
      <c r="ES1255" s="574"/>
      <c r="ET1255" s="574"/>
      <c r="EU1255" s="574"/>
    </row>
    <row r="1256">
      <c r="A1256" s="12"/>
      <c r="B1256" s="55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2"/>
      <c r="R1256" s="12"/>
      <c r="S1256" s="12"/>
      <c r="T1256" s="12"/>
      <c r="U1256" s="12"/>
      <c r="V1256" s="12"/>
      <c r="W1256" s="12"/>
      <c r="X1256" s="12"/>
      <c r="Y1256" s="12"/>
      <c r="Z1256" s="12"/>
      <c r="AA1256" s="12"/>
      <c r="AB1256" s="12"/>
      <c r="AC1256" s="12"/>
      <c r="AD1256" s="12"/>
      <c r="AE1256" s="12"/>
      <c r="AF1256" s="12"/>
      <c r="AG1256" s="12"/>
      <c r="AH1256" s="12"/>
      <c r="AI1256" s="12"/>
      <c r="AJ1256" s="12"/>
      <c r="AK1256" s="12"/>
      <c r="AL1256" s="12"/>
      <c r="AM1256" s="12"/>
      <c r="AN1256" s="12"/>
      <c r="AO1256" s="12"/>
      <c r="AP1256" s="12"/>
      <c r="AQ1256" s="12"/>
      <c r="AR1256" s="12"/>
      <c r="AS1256" s="12"/>
      <c r="AT1256" s="12"/>
      <c r="AU1256" s="12"/>
      <c r="AV1256" s="12"/>
      <c r="AW1256" s="12"/>
      <c r="AX1256" s="12"/>
      <c r="AY1256" s="12"/>
      <c r="AZ1256" s="12"/>
      <c r="BA1256" s="12"/>
      <c r="BB1256" s="12"/>
      <c r="BC1256" s="12"/>
      <c r="BD1256" s="12"/>
      <c r="BE1256" s="12"/>
      <c r="BF1256" s="12"/>
      <c r="BG1256" s="12"/>
      <c r="BH1256" s="12"/>
      <c r="BI1256" s="12"/>
      <c r="BJ1256" s="12"/>
      <c r="BK1256" s="12"/>
      <c r="BL1256" s="12"/>
      <c r="BM1256" s="12"/>
      <c r="BN1256" s="12"/>
      <c r="BO1256" s="12"/>
      <c r="BP1256" s="12"/>
      <c r="BQ1256" s="12"/>
      <c r="BR1256" s="12"/>
      <c r="BS1256" s="12"/>
      <c r="BT1256" s="12"/>
      <c r="BU1256" s="12"/>
      <c r="BV1256" s="12"/>
      <c r="BW1256" s="12"/>
      <c r="BX1256" s="12"/>
      <c r="BY1256" s="12"/>
      <c r="BZ1256" s="12"/>
      <c r="CA1256" s="12"/>
      <c r="CB1256" s="12"/>
      <c r="CC1256" s="12"/>
      <c r="CD1256" s="12"/>
      <c r="CE1256" s="12"/>
      <c r="CF1256" s="12"/>
      <c r="CG1256" s="12"/>
      <c r="CH1256" s="12"/>
      <c r="CI1256" s="12"/>
      <c r="CJ1256" s="12"/>
      <c r="CK1256" s="12"/>
      <c r="CL1256" s="12"/>
      <c r="CM1256" s="12"/>
      <c r="CN1256" s="12"/>
      <c r="CO1256" s="12"/>
      <c r="CP1256" s="12"/>
      <c r="CQ1256" s="12"/>
      <c r="CR1256" s="12"/>
      <c r="CS1256" s="12"/>
      <c r="CT1256" s="12"/>
      <c r="CU1256" s="12"/>
      <c r="CV1256" s="12"/>
      <c r="CW1256" s="12"/>
      <c r="CX1256" s="12"/>
      <c r="CY1256" s="12"/>
      <c r="CZ1256" s="12"/>
      <c r="DA1256" s="12"/>
      <c r="DB1256" s="12"/>
      <c r="DC1256" s="12"/>
      <c r="DD1256" s="12"/>
      <c r="DE1256" s="12"/>
      <c r="DF1256" s="12"/>
      <c r="DG1256" s="12"/>
      <c r="DH1256" s="12"/>
      <c r="DI1256" s="12"/>
      <c r="DJ1256" s="12"/>
      <c r="DK1256" s="12"/>
      <c r="DL1256" s="12"/>
      <c r="DM1256" s="12"/>
      <c r="DN1256" s="12"/>
      <c r="DO1256" s="12"/>
      <c r="DP1256" s="12"/>
      <c r="DQ1256" s="12"/>
      <c r="DR1256" s="12"/>
      <c r="DS1256" s="12"/>
      <c r="DT1256" s="12"/>
      <c r="DU1256" s="12"/>
      <c r="DV1256" s="12"/>
      <c r="DW1256" s="12"/>
      <c r="DX1256" s="12"/>
      <c r="DY1256" s="12"/>
      <c r="DZ1256" s="12"/>
      <c r="EA1256" s="12"/>
      <c r="EB1256" s="12"/>
      <c r="EC1256" s="12"/>
      <c r="ED1256" s="12"/>
      <c r="EE1256" s="12"/>
      <c r="EF1256" s="12"/>
      <c r="EG1256" s="12"/>
      <c r="EH1256" s="12"/>
      <c r="EI1256" s="12"/>
      <c r="EJ1256" s="574"/>
      <c r="EK1256" s="574"/>
      <c r="EL1256" s="574"/>
      <c r="EM1256" s="574"/>
      <c r="EN1256" s="574"/>
      <c r="EO1256" s="574"/>
      <c r="EP1256" s="574"/>
      <c r="EQ1256" s="574"/>
      <c r="ER1256" s="574"/>
      <c r="ES1256" s="574"/>
      <c r="ET1256" s="574"/>
      <c r="EU1256" s="574"/>
    </row>
    <row r="1257">
      <c r="A1257" s="12"/>
      <c r="B1257" s="55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2"/>
      <c r="R1257" s="12"/>
      <c r="S1257" s="12"/>
      <c r="T1257" s="12"/>
      <c r="U1257" s="12"/>
      <c r="V1257" s="12"/>
      <c r="W1257" s="12"/>
      <c r="X1257" s="12"/>
      <c r="Y1257" s="12"/>
      <c r="Z1257" s="12"/>
      <c r="AA1257" s="12"/>
      <c r="AB1257" s="12"/>
      <c r="AC1257" s="12"/>
      <c r="AD1257" s="12"/>
      <c r="AE1257" s="12"/>
      <c r="AF1257" s="12"/>
      <c r="AG1257" s="12"/>
      <c r="AH1257" s="12"/>
      <c r="AI1257" s="12"/>
      <c r="AJ1257" s="12"/>
      <c r="AK1257" s="12"/>
      <c r="AL1257" s="12"/>
      <c r="AM1257" s="12"/>
      <c r="AN1257" s="12"/>
      <c r="AO1257" s="12"/>
      <c r="AP1257" s="12"/>
      <c r="AQ1257" s="12"/>
      <c r="AR1257" s="12"/>
      <c r="AS1257" s="12"/>
      <c r="AT1257" s="12"/>
      <c r="AU1257" s="12"/>
      <c r="AV1257" s="12"/>
      <c r="AW1257" s="12"/>
      <c r="AX1257" s="12"/>
      <c r="AY1257" s="12"/>
      <c r="AZ1257" s="12"/>
      <c r="BA1257" s="12"/>
      <c r="BB1257" s="12"/>
      <c r="BC1257" s="12"/>
      <c r="BD1257" s="12"/>
      <c r="BE1257" s="12"/>
      <c r="BF1257" s="12"/>
      <c r="BG1257" s="12"/>
      <c r="BH1257" s="12"/>
      <c r="BI1257" s="12"/>
      <c r="BJ1257" s="12"/>
      <c r="BK1257" s="12"/>
      <c r="BL1257" s="12"/>
      <c r="BM1257" s="12"/>
      <c r="BN1257" s="12"/>
      <c r="BO1257" s="12"/>
      <c r="BP1257" s="12"/>
      <c r="BQ1257" s="12"/>
      <c r="BR1257" s="12"/>
      <c r="BS1257" s="12"/>
      <c r="BT1257" s="12"/>
      <c r="BU1257" s="12"/>
      <c r="BV1257" s="12"/>
      <c r="BW1257" s="12"/>
      <c r="BX1257" s="12"/>
      <c r="BY1257" s="12"/>
      <c r="BZ1257" s="12"/>
      <c r="CA1257" s="12"/>
      <c r="CB1257" s="12"/>
      <c r="CC1257" s="12"/>
      <c r="CD1257" s="12"/>
      <c r="CE1257" s="12"/>
      <c r="CF1257" s="12"/>
      <c r="CG1257" s="12"/>
      <c r="CH1257" s="12"/>
      <c r="CI1257" s="12"/>
      <c r="CJ1257" s="12"/>
      <c r="CK1257" s="12"/>
      <c r="CL1257" s="12"/>
      <c r="CM1257" s="12"/>
      <c r="CN1257" s="12"/>
      <c r="CO1257" s="12"/>
      <c r="CP1257" s="12"/>
      <c r="CQ1257" s="12"/>
      <c r="CR1257" s="12"/>
      <c r="CS1257" s="12"/>
      <c r="CT1257" s="12"/>
      <c r="CU1257" s="12"/>
      <c r="CV1257" s="12"/>
      <c r="CW1257" s="12"/>
      <c r="CX1257" s="12"/>
      <c r="CY1257" s="12"/>
      <c r="CZ1257" s="12"/>
      <c r="DA1257" s="12"/>
      <c r="DB1257" s="12"/>
      <c r="DC1257" s="12"/>
      <c r="DD1257" s="12"/>
      <c r="DE1257" s="12"/>
      <c r="DF1257" s="12"/>
      <c r="DG1257" s="12"/>
      <c r="DH1257" s="12"/>
      <c r="DI1257" s="12"/>
      <c r="DJ1257" s="12"/>
      <c r="DK1257" s="12"/>
      <c r="DL1257" s="12"/>
      <c r="DM1257" s="12"/>
      <c r="DN1257" s="12"/>
      <c r="DO1257" s="12"/>
      <c r="DP1257" s="12"/>
      <c r="DQ1257" s="12"/>
      <c r="DR1257" s="12"/>
      <c r="DS1257" s="12"/>
      <c r="DT1257" s="12"/>
      <c r="DU1257" s="12"/>
      <c r="DV1257" s="12"/>
      <c r="DW1257" s="12"/>
      <c r="DX1257" s="12"/>
      <c r="DY1257" s="12"/>
      <c r="DZ1257" s="12"/>
      <c r="EA1257" s="12"/>
      <c r="EB1257" s="12"/>
      <c r="EC1257" s="12"/>
      <c r="ED1257" s="12"/>
      <c r="EE1257" s="12"/>
      <c r="EF1257" s="12"/>
      <c r="EG1257" s="12"/>
      <c r="EH1257" s="12"/>
      <c r="EI1257" s="12"/>
      <c r="EJ1257" s="574"/>
      <c r="EK1257" s="574"/>
      <c r="EL1257" s="574"/>
      <c r="EM1257" s="574"/>
      <c r="EN1257" s="574"/>
      <c r="EO1257" s="574"/>
      <c r="EP1257" s="574"/>
      <c r="EQ1257" s="574"/>
      <c r="ER1257" s="574"/>
      <c r="ES1257" s="574"/>
      <c r="ET1257" s="574"/>
      <c r="EU1257" s="574"/>
    </row>
    <row r="1258">
      <c r="A1258" s="12"/>
      <c r="B1258" s="55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2"/>
      <c r="R1258" s="12"/>
      <c r="S1258" s="12"/>
      <c r="T1258" s="12"/>
      <c r="U1258" s="12"/>
      <c r="V1258" s="12"/>
      <c r="W1258" s="12"/>
      <c r="X1258" s="12"/>
      <c r="Y1258" s="12"/>
      <c r="Z1258" s="12"/>
      <c r="AA1258" s="12"/>
      <c r="AB1258" s="12"/>
      <c r="AC1258" s="12"/>
      <c r="AD1258" s="12"/>
      <c r="AE1258" s="12"/>
      <c r="AF1258" s="12"/>
      <c r="AG1258" s="12"/>
      <c r="AH1258" s="12"/>
      <c r="AI1258" s="12"/>
      <c r="AJ1258" s="12"/>
      <c r="AK1258" s="12"/>
      <c r="AL1258" s="12"/>
      <c r="AM1258" s="12"/>
      <c r="AN1258" s="12"/>
      <c r="AO1258" s="12"/>
      <c r="AP1258" s="12"/>
      <c r="AQ1258" s="12"/>
      <c r="AR1258" s="12"/>
      <c r="AS1258" s="12"/>
      <c r="AT1258" s="12"/>
      <c r="AU1258" s="12"/>
      <c r="AV1258" s="12"/>
      <c r="AW1258" s="12"/>
      <c r="AX1258" s="12"/>
      <c r="AY1258" s="12"/>
      <c r="AZ1258" s="12"/>
      <c r="BA1258" s="12"/>
      <c r="BB1258" s="12"/>
      <c r="BC1258" s="12"/>
      <c r="BD1258" s="12"/>
      <c r="BE1258" s="12"/>
      <c r="BF1258" s="12"/>
      <c r="BG1258" s="12"/>
      <c r="BH1258" s="12"/>
      <c r="BI1258" s="12"/>
      <c r="BJ1258" s="12"/>
      <c r="BK1258" s="12"/>
      <c r="BL1258" s="12"/>
      <c r="BM1258" s="12"/>
      <c r="BN1258" s="12"/>
      <c r="BO1258" s="12"/>
      <c r="BP1258" s="12"/>
      <c r="BQ1258" s="12"/>
      <c r="BR1258" s="12"/>
      <c r="BS1258" s="12"/>
      <c r="BT1258" s="12"/>
      <c r="BU1258" s="12"/>
      <c r="BV1258" s="12"/>
      <c r="BW1258" s="12"/>
      <c r="BX1258" s="12"/>
      <c r="BY1258" s="12"/>
      <c r="BZ1258" s="12"/>
      <c r="CA1258" s="12"/>
      <c r="CB1258" s="12"/>
      <c r="CC1258" s="12"/>
      <c r="CD1258" s="12"/>
      <c r="CE1258" s="12"/>
      <c r="CF1258" s="12"/>
      <c r="CG1258" s="12"/>
      <c r="CH1258" s="12"/>
      <c r="CI1258" s="12"/>
      <c r="CJ1258" s="12"/>
      <c r="CK1258" s="12"/>
      <c r="CL1258" s="12"/>
      <c r="CM1258" s="12"/>
      <c r="CN1258" s="12"/>
      <c r="CO1258" s="12"/>
      <c r="CP1258" s="12"/>
      <c r="CQ1258" s="12"/>
      <c r="CR1258" s="12"/>
      <c r="CS1258" s="12"/>
      <c r="CT1258" s="12"/>
      <c r="CU1258" s="12"/>
      <c r="CV1258" s="12"/>
      <c r="CW1258" s="12"/>
      <c r="CX1258" s="12"/>
      <c r="CY1258" s="12"/>
      <c r="CZ1258" s="12"/>
      <c r="DA1258" s="12"/>
      <c r="DB1258" s="12"/>
      <c r="DC1258" s="12"/>
      <c r="DD1258" s="12"/>
      <c r="DE1258" s="12"/>
      <c r="DF1258" s="12"/>
      <c r="DG1258" s="12"/>
      <c r="DH1258" s="12"/>
      <c r="DI1258" s="12"/>
      <c r="DJ1258" s="12"/>
      <c r="DK1258" s="12"/>
      <c r="DL1258" s="12"/>
      <c r="DM1258" s="12"/>
      <c r="DN1258" s="12"/>
      <c r="DO1258" s="12"/>
      <c r="DP1258" s="12"/>
      <c r="DQ1258" s="12"/>
      <c r="DR1258" s="12"/>
      <c r="DS1258" s="12"/>
      <c r="DT1258" s="12"/>
      <c r="DU1258" s="12"/>
      <c r="DV1258" s="12"/>
      <c r="DW1258" s="12"/>
      <c r="DX1258" s="12"/>
      <c r="DY1258" s="12"/>
      <c r="DZ1258" s="12"/>
      <c r="EA1258" s="12"/>
      <c r="EB1258" s="12"/>
      <c r="EC1258" s="12"/>
      <c r="ED1258" s="12"/>
      <c r="EE1258" s="12"/>
      <c r="EF1258" s="12"/>
      <c r="EG1258" s="12"/>
      <c r="EH1258" s="12"/>
      <c r="EI1258" s="12"/>
      <c r="EJ1258" s="574"/>
      <c r="EK1258" s="574"/>
      <c r="EL1258" s="574"/>
      <c r="EM1258" s="574"/>
      <c r="EN1258" s="574"/>
      <c r="EO1258" s="574"/>
      <c r="EP1258" s="574"/>
      <c r="EQ1258" s="574"/>
      <c r="ER1258" s="574"/>
      <c r="ES1258" s="574"/>
      <c r="ET1258" s="574"/>
      <c r="EU1258" s="574"/>
    </row>
    <row r="1259">
      <c r="A1259" s="552"/>
      <c r="B1259" s="552"/>
      <c r="C1259" s="552"/>
      <c r="D1259" s="552"/>
      <c r="E1259" s="552"/>
      <c r="F1259" s="552"/>
      <c r="G1259" s="552"/>
      <c r="H1259" s="552"/>
      <c r="I1259" s="552"/>
      <c r="J1259" s="552"/>
      <c r="K1259" s="552"/>
      <c r="L1259" s="552"/>
      <c r="M1259" s="552"/>
      <c r="N1259" s="552"/>
      <c r="O1259" s="552"/>
      <c r="P1259" s="552"/>
      <c r="Q1259" s="552"/>
      <c r="R1259" s="552"/>
      <c r="S1259" s="552"/>
      <c r="T1259" s="552"/>
      <c r="U1259" s="552"/>
      <c r="V1259" s="552"/>
      <c r="W1259" s="552"/>
      <c r="X1259" s="552"/>
      <c r="Y1259" s="552"/>
      <c r="Z1259" s="552"/>
      <c r="AA1259" s="552"/>
      <c r="AB1259" s="552"/>
      <c r="AC1259" s="552"/>
      <c r="AD1259" s="552"/>
      <c r="AE1259" s="552"/>
      <c r="AF1259" s="552"/>
      <c r="AG1259" s="552"/>
      <c r="AH1259" s="552"/>
      <c r="AI1259" s="552"/>
      <c r="AJ1259" s="552"/>
      <c r="AK1259" s="552"/>
      <c r="AL1259" s="552"/>
      <c r="AM1259" s="552"/>
      <c r="AN1259" s="552"/>
      <c r="AO1259" s="552"/>
      <c r="AP1259" s="552"/>
      <c r="AQ1259" s="552"/>
      <c r="AR1259" s="552"/>
      <c r="AS1259" s="552"/>
      <c r="AT1259" s="552"/>
      <c r="AU1259" s="552"/>
      <c r="AV1259" s="552"/>
      <c r="AW1259" s="552"/>
      <c r="AX1259" s="552"/>
      <c r="AY1259" s="552"/>
      <c r="AZ1259" s="552"/>
      <c r="BA1259" s="552"/>
      <c r="BB1259" s="552"/>
      <c r="BC1259" s="552"/>
      <c r="BD1259" s="552"/>
      <c r="BE1259" s="552"/>
      <c r="BF1259" s="552"/>
      <c r="BG1259" s="552"/>
      <c r="BH1259" s="552"/>
      <c r="BI1259" s="552"/>
      <c r="BJ1259" s="552"/>
      <c r="BK1259" s="552"/>
      <c r="BL1259" s="552"/>
      <c r="BM1259" s="552"/>
      <c r="BN1259" s="552"/>
      <c r="BO1259" s="552"/>
      <c r="BP1259" s="552"/>
      <c r="BQ1259" s="552"/>
      <c r="BR1259" s="552"/>
      <c r="BS1259" s="552"/>
      <c r="BT1259" s="552"/>
      <c r="BU1259" s="552"/>
      <c r="BV1259" s="552"/>
      <c r="BW1259" s="552"/>
      <c r="BX1259" s="552"/>
      <c r="BY1259" s="552"/>
      <c r="BZ1259" s="552"/>
      <c r="CA1259" s="552"/>
      <c r="CB1259" s="552"/>
      <c r="CC1259" s="552"/>
      <c r="CD1259" s="552"/>
      <c r="CE1259" s="552"/>
      <c r="CF1259" s="12"/>
      <c r="CG1259" s="12"/>
      <c r="CH1259" s="12"/>
      <c r="CI1259" s="12"/>
      <c r="CJ1259" s="12"/>
      <c r="CK1259" s="552"/>
      <c r="CL1259" s="552"/>
      <c r="CM1259" s="552"/>
      <c r="CN1259" s="552"/>
      <c r="CO1259" s="552"/>
      <c r="CP1259" s="552"/>
      <c r="CQ1259" s="552"/>
      <c r="CR1259" s="552"/>
      <c r="CS1259" s="552"/>
      <c r="CT1259" s="552"/>
      <c r="CU1259" s="552"/>
      <c r="CV1259" s="552"/>
      <c r="CW1259" s="12"/>
      <c r="CX1259" s="12"/>
      <c r="CY1259" s="12"/>
      <c r="CZ1259" s="12"/>
      <c r="DA1259" s="12"/>
      <c r="DB1259" s="552"/>
      <c r="DC1259" s="552"/>
      <c r="DD1259" s="552"/>
      <c r="DE1259" s="552"/>
      <c r="DF1259" s="552"/>
      <c r="DG1259" s="12"/>
      <c r="DH1259" s="12"/>
      <c r="DI1259" s="12"/>
      <c r="DJ1259" s="12"/>
      <c r="DK1259" s="12"/>
      <c r="DL1259" s="12"/>
      <c r="DM1259" s="12"/>
      <c r="DN1259" s="12"/>
      <c r="DO1259" s="12"/>
      <c r="DP1259" s="12"/>
      <c r="DQ1259" s="12"/>
      <c r="DR1259" s="12"/>
      <c r="DS1259" s="552"/>
      <c r="DT1259" s="552"/>
      <c r="DU1259" s="552"/>
      <c r="DV1259" s="552"/>
      <c r="DW1259" s="552"/>
      <c r="DX1259" s="12"/>
      <c r="DY1259" s="12"/>
      <c r="DZ1259" s="12"/>
      <c r="EA1259" s="12"/>
      <c r="EB1259" s="12"/>
      <c r="EC1259" s="12"/>
      <c r="ED1259" s="12"/>
      <c r="EE1259" s="12"/>
      <c r="EF1259" s="12"/>
      <c r="EG1259" s="12"/>
      <c r="EH1259" s="12"/>
      <c r="EI1259" s="12"/>
      <c r="EJ1259" s="574"/>
      <c r="EK1259" s="574"/>
      <c r="EL1259" s="574"/>
      <c r="EM1259" s="574"/>
      <c r="EN1259" s="574"/>
      <c r="EO1259" s="574"/>
      <c r="EP1259" s="574"/>
      <c r="EQ1259" s="574"/>
      <c r="ER1259" s="574"/>
      <c r="ES1259" s="574"/>
      <c r="ET1259" s="574"/>
      <c r="EU1259" s="574"/>
    </row>
    <row r="1260">
      <c r="A1260" s="552"/>
      <c r="B1260" s="552"/>
      <c r="C1260" s="552"/>
      <c r="D1260" s="552"/>
      <c r="E1260" s="552"/>
      <c r="F1260" s="552"/>
      <c r="G1260" s="552"/>
      <c r="H1260" s="552"/>
      <c r="I1260" s="552"/>
      <c r="J1260" s="552"/>
      <c r="K1260" s="552"/>
      <c r="L1260" s="552"/>
      <c r="M1260" s="552"/>
      <c r="N1260" s="552"/>
      <c r="O1260" s="552"/>
      <c r="P1260" s="552"/>
      <c r="Q1260" s="552"/>
      <c r="R1260" s="552"/>
      <c r="S1260" s="552"/>
      <c r="T1260" s="552"/>
      <c r="U1260" s="552"/>
      <c r="V1260" s="552"/>
      <c r="W1260" s="552"/>
      <c r="X1260" s="552"/>
      <c r="Y1260" s="552"/>
      <c r="Z1260" s="552"/>
      <c r="AA1260" s="552"/>
      <c r="AB1260" s="552"/>
      <c r="AC1260" s="552"/>
      <c r="AD1260" s="552"/>
      <c r="AE1260" s="552"/>
      <c r="AF1260" s="552"/>
      <c r="AG1260" s="552"/>
      <c r="AH1260" s="552"/>
      <c r="AI1260" s="552"/>
      <c r="AJ1260" s="552"/>
      <c r="AK1260" s="552"/>
      <c r="AL1260" s="552"/>
      <c r="AM1260" s="552"/>
      <c r="AN1260" s="552"/>
      <c r="AO1260" s="552"/>
      <c r="AP1260" s="552"/>
      <c r="AQ1260" s="552"/>
      <c r="AR1260" s="552"/>
      <c r="AS1260" s="552"/>
      <c r="AT1260" s="552"/>
      <c r="AU1260" s="552"/>
      <c r="AV1260" s="552"/>
      <c r="AW1260" s="552"/>
      <c r="AX1260" s="552"/>
      <c r="AY1260" s="552"/>
      <c r="AZ1260" s="552"/>
      <c r="BA1260" s="552"/>
      <c r="BB1260" s="552"/>
      <c r="BC1260" s="552"/>
      <c r="BD1260" s="552"/>
      <c r="BE1260" s="552"/>
      <c r="BF1260" s="552"/>
      <c r="BG1260" s="552"/>
      <c r="BH1260" s="552"/>
      <c r="BI1260" s="552"/>
      <c r="BJ1260" s="552"/>
      <c r="BK1260" s="552"/>
      <c r="BL1260" s="552"/>
      <c r="BM1260" s="552"/>
      <c r="BN1260" s="552"/>
      <c r="BO1260" s="552"/>
      <c r="BP1260" s="552"/>
      <c r="BQ1260" s="552"/>
      <c r="BR1260" s="552"/>
      <c r="BS1260" s="552"/>
      <c r="BT1260" s="552"/>
      <c r="BU1260" s="552"/>
      <c r="BV1260" s="552"/>
      <c r="BW1260" s="552"/>
      <c r="BX1260" s="552"/>
      <c r="BY1260" s="552"/>
      <c r="BZ1260" s="552"/>
      <c r="CA1260" s="552"/>
      <c r="CB1260" s="552"/>
      <c r="CC1260" s="552"/>
      <c r="CD1260" s="552"/>
      <c r="CE1260" s="552"/>
      <c r="CF1260" s="12"/>
      <c r="CG1260" s="12"/>
      <c r="CH1260" s="12"/>
      <c r="CI1260" s="12"/>
      <c r="CJ1260" s="12"/>
      <c r="CK1260" s="552"/>
      <c r="CL1260" s="552"/>
      <c r="CM1260" s="552"/>
      <c r="CN1260" s="552"/>
      <c r="CO1260" s="552"/>
      <c r="CP1260" s="552"/>
      <c r="CQ1260" s="552"/>
      <c r="CR1260" s="552"/>
      <c r="CS1260" s="552"/>
      <c r="CT1260" s="552"/>
      <c r="CU1260" s="552"/>
      <c r="CV1260" s="552"/>
      <c r="CW1260" s="12"/>
      <c r="CX1260" s="12"/>
      <c r="CY1260" s="12"/>
      <c r="CZ1260" s="12"/>
      <c r="DA1260" s="12"/>
      <c r="DB1260" s="552"/>
      <c r="DC1260" s="552"/>
      <c r="DD1260" s="552"/>
      <c r="DE1260" s="552"/>
      <c r="DF1260" s="552"/>
      <c r="DG1260" s="12"/>
      <c r="DH1260" s="12"/>
      <c r="DI1260" s="12"/>
      <c r="DJ1260" s="12"/>
      <c r="DK1260" s="12"/>
      <c r="DL1260" s="12"/>
      <c r="DM1260" s="12"/>
      <c r="DN1260" s="12"/>
      <c r="DO1260" s="12"/>
      <c r="DP1260" s="12"/>
      <c r="DQ1260" s="12"/>
      <c r="DR1260" s="12"/>
      <c r="DS1260" s="552"/>
      <c r="DT1260" s="552"/>
      <c r="DU1260" s="552"/>
      <c r="DV1260" s="552"/>
      <c r="DW1260" s="552"/>
      <c r="DX1260" s="12"/>
      <c r="DY1260" s="12"/>
      <c r="DZ1260" s="12"/>
      <c r="EA1260" s="12"/>
      <c r="EB1260" s="12"/>
      <c r="EC1260" s="12"/>
      <c r="ED1260" s="12"/>
      <c r="EE1260" s="12"/>
      <c r="EF1260" s="12"/>
      <c r="EG1260" s="12"/>
      <c r="EH1260" s="12"/>
      <c r="EI1260" s="12"/>
      <c r="EJ1260" s="574"/>
      <c r="EK1260" s="574"/>
      <c r="EL1260" s="574"/>
      <c r="EM1260" s="574"/>
      <c r="EN1260" s="574"/>
      <c r="EO1260" s="574"/>
      <c r="EP1260" s="574"/>
      <c r="EQ1260" s="574"/>
      <c r="ER1260" s="574"/>
      <c r="ES1260" s="574"/>
      <c r="ET1260" s="574"/>
      <c r="EU1260" s="574"/>
    </row>
    <row r="1261">
      <c r="A1261" s="552"/>
      <c r="B1261" s="552"/>
      <c r="C1261" s="552"/>
      <c r="D1261" s="552"/>
      <c r="E1261" s="552"/>
      <c r="F1261" s="552"/>
      <c r="G1261" s="552"/>
      <c r="H1261" s="552"/>
      <c r="I1261" s="552"/>
      <c r="J1261" s="552"/>
      <c r="K1261" s="552"/>
      <c r="L1261" s="552"/>
      <c r="M1261" s="552"/>
      <c r="N1261" s="552"/>
      <c r="O1261" s="552"/>
      <c r="P1261" s="552"/>
      <c r="Q1261" s="552"/>
      <c r="R1261" s="552"/>
      <c r="S1261" s="552"/>
      <c r="T1261" s="552"/>
      <c r="U1261" s="552"/>
      <c r="V1261" s="552"/>
      <c r="W1261" s="552"/>
      <c r="X1261" s="552"/>
      <c r="Y1261" s="552"/>
      <c r="Z1261" s="552"/>
      <c r="AA1261" s="552"/>
      <c r="AB1261" s="552"/>
      <c r="AC1261" s="552"/>
      <c r="AD1261" s="552"/>
      <c r="AE1261" s="552"/>
      <c r="AF1261" s="552"/>
      <c r="AG1261" s="552"/>
      <c r="AH1261" s="552"/>
      <c r="AI1261" s="552"/>
      <c r="AJ1261" s="552"/>
      <c r="AK1261" s="552"/>
      <c r="AL1261" s="552"/>
      <c r="AM1261" s="552"/>
      <c r="AN1261" s="552"/>
      <c r="AO1261" s="552"/>
      <c r="AP1261" s="552"/>
      <c r="AQ1261" s="552"/>
      <c r="AR1261" s="552"/>
      <c r="AS1261" s="552"/>
      <c r="AT1261" s="552"/>
      <c r="AU1261" s="552"/>
      <c r="AV1261" s="552"/>
      <c r="AW1261" s="552"/>
      <c r="AX1261" s="552"/>
      <c r="AY1261" s="552"/>
      <c r="AZ1261" s="552"/>
      <c r="BA1261" s="552"/>
      <c r="BB1261" s="552"/>
      <c r="BC1261" s="552"/>
      <c r="BD1261" s="552"/>
      <c r="BE1261" s="552"/>
      <c r="BF1261" s="552"/>
      <c r="BG1261" s="552"/>
      <c r="BH1261" s="552"/>
      <c r="BI1261" s="552"/>
      <c r="BJ1261" s="552"/>
      <c r="BK1261" s="552"/>
      <c r="BL1261" s="552"/>
      <c r="BM1261" s="552"/>
      <c r="BN1261" s="552"/>
      <c r="BO1261" s="552"/>
      <c r="BP1261" s="552"/>
      <c r="BQ1261" s="552"/>
      <c r="BR1261" s="552"/>
      <c r="BS1261" s="552"/>
      <c r="BT1261" s="552"/>
      <c r="BU1261" s="552"/>
      <c r="BV1261" s="552"/>
      <c r="BW1261" s="552"/>
      <c r="BX1261" s="552"/>
      <c r="BY1261" s="552"/>
      <c r="BZ1261" s="552"/>
      <c r="CA1261" s="552"/>
      <c r="CB1261" s="552"/>
      <c r="CC1261" s="552"/>
      <c r="CD1261" s="552"/>
      <c r="CE1261" s="552"/>
      <c r="CF1261" s="12"/>
      <c r="CG1261" s="12"/>
      <c r="CH1261" s="12"/>
      <c r="CI1261" s="12"/>
      <c r="CJ1261" s="12"/>
      <c r="CK1261" s="552"/>
      <c r="CL1261" s="552"/>
      <c r="CM1261" s="552"/>
      <c r="CN1261" s="552"/>
      <c r="CO1261" s="552"/>
      <c r="CP1261" s="552"/>
      <c r="CQ1261" s="552"/>
      <c r="CR1261" s="552"/>
      <c r="CS1261" s="552"/>
      <c r="CT1261" s="552"/>
      <c r="CU1261" s="552"/>
      <c r="CV1261" s="552"/>
      <c r="CW1261" s="12"/>
      <c r="CX1261" s="12"/>
      <c r="CY1261" s="12"/>
      <c r="CZ1261" s="12"/>
      <c r="DA1261" s="12"/>
      <c r="DB1261" s="552"/>
      <c r="DC1261" s="552"/>
      <c r="DD1261" s="552"/>
      <c r="DE1261" s="552"/>
      <c r="DF1261" s="552"/>
      <c r="DG1261" s="12"/>
      <c r="DH1261" s="12"/>
      <c r="DI1261" s="12"/>
      <c r="DJ1261" s="12"/>
      <c r="DK1261" s="12"/>
      <c r="DL1261" s="12"/>
      <c r="DM1261" s="12"/>
      <c r="DN1261" s="12"/>
      <c r="DO1261" s="12"/>
      <c r="DP1261" s="12"/>
      <c r="DQ1261" s="12"/>
      <c r="DR1261" s="12"/>
      <c r="DS1261" s="552"/>
      <c r="DT1261" s="552"/>
      <c r="DU1261" s="552"/>
      <c r="DV1261" s="552"/>
      <c r="DW1261" s="552"/>
      <c r="DX1261" s="12"/>
      <c r="DY1261" s="12"/>
      <c r="DZ1261" s="12"/>
      <c r="EA1261" s="12"/>
      <c r="EB1261" s="12"/>
      <c r="EC1261" s="12"/>
      <c r="ED1261" s="12"/>
      <c r="EE1261" s="12"/>
      <c r="EF1261" s="12"/>
      <c r="EG1261" s="12"/>
      <c r="EH1261" s="12"/>
      <c r="EI1261" s="12"/>
      <c r="EJ1261" s="574"/>
      <c r="EK1261" s="574"/>
      <c r="EL1261" s="574"/>
      <c r="EM1261" s="574"/>
      <c r="EN1261" s="574"/>
      <c r="EO1261" s="574"/>
      <c r="EP1261" s="574"/>
      <c r="EQ1261" s="574"/>
      <c r="ER1261" s="574"/>
      <c r="ES1261" s="574"/>
      <c r="ET1261" s="574"/>
      <c r="EU1261" s="574"/>
    </row>
    <row r="1262">
      <c r="A1262" s="552"/>
      <c r="B1262" s="552"/>
      <c r="C1262" s="552"/>
      <c r="D1262" s="552"/>
      <c r="E1262" s="552"/>
      <c r="F1262" s="552"/>
      <c r="G1262" s="552"/>
      <c r="H1262" s="552"/>
      <c r="I1262" s="552"/>
      <c r="J1262" s="552"/>
      <c r="K1262" s="552"/>
      <c r="L1262" s="552"/>
      <c r="M1262" s="552"/>
      <c r="N1262" s="552"/>
      <c r="O1262" s="552"/>
      <c r="P1262" s="552"/>
      <c r="Q1262" s="552"/>
      <c r="R1262" s="552"/>
      <c r="S1262" s="552"/>
      <c r="T1262" s="552"/>
      <c r="U1262" s="552"/>
      <c r="V1262" s="552"/>
      <c r="W1262" s="552"/>
      <c r="X1262" s="552"/>
      <c r="Y1262" s="552"/>
      <c r="Z1262" s="552"/>
      <c r="AA1262" s="552"/>
      <c r="AB1262" s="552"/>
      <c r="AC1262" s="552"/>
      <c r="AD1262" s="552"/>
      <c r="AE1262" s="552"/>
      <c r="AF1262" s="552"/>
      <c r="AG1262" s="552"/>
      <c r="AH1262" s="552"/>
      <c r="AI1262" s="552"/>
      <c r="AJ1262" s="552"/>
      <c r="AK1262" s="552"/>
      <c r="AL1262" s="552"/>
      <c r="AM1262" s="552"/>
      <c r="AN1262" s="552"/>
      <c r="AO1262" s="552"/>
      <c r="AP1262" s="552"/>
      <c r="AQ1262" s="552"/>
      <c r="AR1262" s="552"/>
      <c r="AS1262" s="552"/>
      <c r="AT1262" s="552"/>
      <c r="AU1262" s="552"/>
      <c r="AV1262" s="552"/>
      <c r="AW1262" s="552"/>
      <c r="AX1262" s="552"/>
      <c r="AY1262" s="552"/>
      <c r="AZ1262" s="552"/>
      <c r="BA1262" s="552"/>
      <c r="BB1262" s="552"/>
      <c r="BC1262" s="552"/>
      <c r="BD1262" s="552"/>
      <c r="BE1262" s="552"/>
      <c r="BF1262" s="552"/>
      <c r="BG1262" s="552"/>
      <c r="BH1262" s="552"/>
      <c r="BI1262" s="552"/>
      <c r="BJ1262" s="552"/>
      <c r="BK1262" s="552"/>
      <c r="BL1262" s="552"/>
      <c r="BM1262" s="552"/>
      <c r="BN1262" s="552"/>
      <c r="BO1262" s="552"/>
      <c r="BP1262" s="552"/>
      <c r="BQ1262" s="552"/>
      <c r="BR1262" s="552"/>
      <c r="BS1262" s="552"/>
      <c r="BT1262" s="552"/>
      <c r="BU1262" s="552"/>
      <c r="BV1262" s="552"/>
      <c r="BW1262" s="552"/>
      <c r="BX1262" s="552"/>
      <c r="BY1262" s="552"/>
      <c r="BZ1262" s="552"/>
      <c r="CA1262" s="552"/>
      <c r="CB1262" s="552"/>
      <c r="CC1262" s="552"/>
      <c r="CD1262" s="552"/>
      <c r="CE1262" s="552"/>
      <c r="CF1262" s="12"/>
      <c r="CG1262" s="12"/>
      <c r="CH1262" s="12"/>
      <c r="CI1262" s="12"/>
      <c r="CJ1262" s="12"/>
      <c r="CK1262" s="552"/>
      <c r="CL1262" s="552"/>
      <c r="CM1262" s="552"/>
      <c r="CN1262" s="552"/>
      <c r="CO1262" s="552"/>
      <c r="CP1262" s="552"/>
      <c r="CQ1262" s="552"/>
      <c r="CR1262" s="552"/>
      <c r="CS1262" s="552"/>
      <c r="CT1262" s="552"/>
      <c r="CU1262" s="552"/>
      <c r="CV1262" s="552"/>
      <c r="CW1262" s="12"/>
      <c r="CX1262" s="12"/>
      <c r="CY1262" s="12"/>
      <c r="CZ1262" s="12"/>
      <c r="DA1262" s="12"/>
      <c r="DB1262" s="552"/>
      <c r="DC1262" s="552"/>
      <c r="DD1262" s="552"/>
      <c r="DE1262" s="552"/>
      <c r="DF1262" s="552"/>
      <c r="DG1262" s="12"/>
      <c r="DH1262" s="12"/>
      <c r="DI1262" s="12"/>
      <c r="DJ1262" s="12"/>
      <c r="DK1262" s="12"/>
      <c r="DL1262" s="12"/>
      <c r="DM1262" s="12"/>
      <c r="DN1262" s="12"/>
      <c r="DO1262" s="12"/>
      <c r="DP1262" s="12"/>
      <c r="DQ1262" s="12"/>
      <c r="DR1262" s="12"/>
      <c r="DS1262" s="552"/>
      <c r="DT1262" s="552"/>
      <c r="DU1262" s="552"/>
      <c r="DV1262" s="552"/>
      <c r="DW1262" s="552"/>
      <c r="DX1262" s="12"/>
      <c r="DY1262" s="12"/>
      <c r="DZ1262" s="12"/>
      <c r="EA1262" s="12"/>
      <c r="EB1262" s="12"/>
      <c r="EC1262" s="12"/>
      <c r="ED1262" s="12"/>
      <c r="EE1262" s="12"/>
      <c r="EF1262" s="12"/>
      <c r="EG1262" s="12"/>
      <c r="EH1262" s="12"/>
      <c r="EI1262" s="12"/>
      <c r="EJ1262" s="574"/>
      <c r="EK1262" s="574"/>
      <c r="EL1262" s="574"/>
      <c r="EM1262" s="574"/>
      <c r="EN1262" s="574"/>
      <c r="EO1262" s="574"/>
      <c r="EP1262" s="574"/>
      <c r="EQ1262" s="574"/>
      <c r="ER1262" s="574"/>
      <c r="ES1262" s="574"/>
      <c r="ET1262" s="574"/>
      <c r="EU1262" s="574"/>
    </row>
    <row r="1263">
      <c r="A1263" s="552"/>
      <c r="B1263" s="552"/>
      <c r="C1263" s="552"/>
      <c r="D1263" s="552"/>
      <c r="E1263" s="552"/>
      <c r="F1263" s="552"/>
      <c r="G1263" s="552"/>
      <c r="H1263" s="552"/>
      <c r="I1263" s="552"/>
      <c r="J1263" s="552"/>
      <c r="K1263" s="552"/>
      <c r="L1263" s="552"/>
      <c r="M1263" s="552"/>
      <c r="N1263" s="552"/>
      <c r="O1263" s="552"/>
      <c r="P1263" s="552"/>
      <c r="Q1263" s="552"/>
      <c r="R1263" s="552"/>
      <c r="S1263" s="552"/>
      <c r="T1263" s="552"/>
      <c r="U1263" s="552"/>
      <c r="V1263" s="552"/>
      <c r="W1263" s="552"/>
      <c r="X1263" s="552"/>
      <c r="Y1263" s="552"/>
      <c r="Z1263" s="552"/>
      <c r="AA1263" s="552"/>
      <c r="AB1263" s="552"/>
      <c r="AC1263" s="552"/>
      <c r="AD1263" s="552"/>
      <c r="AE1263" s="552"/>
      <c r="AF1263" s="552"/>
      <c r="AG1263" s="552"/>
      <c r="AH1263" s="552"/>
      <c r="AI1263" s="552"/>
      <c r="AJ1263" s="552"/>
      <c r="AK1263" s="552"/>
      <c r="AL1263" s="552"/>
      <c r="AM1263" s="552"/>
      <c r="AN1263" s="552"/>
      <c r="AO1263" s="552"/>
      <c r="AP1263" s="552"/>
      <c r="AQ1263" s="552"/>
      <c r="AR1263" s="552"/>
      <c r="AS1263" s="552"/>
      <c r="AT1263" s="552"/>
      <c r="AU1263" s="552"/>
      <c r="AV1263" s="552"/>
      <c r="AW1263" s="552"/>
      <c r="AX1263" s="552"/>
      <c r="AY1263" s="552"/>
      <c r="AZ1263" s="552"/>
      <c r="BA1263" s="552"/>
      <c r="BB1263" s="552"/>
      <c r="BC1263" s="552"/>
      <c r="BD1263" s="552"/>
      <c r="BE1263" s="552"/>
      <c r="BF1263" s="552"/>
      <c r="BG1263" s="552"/>
      <c r="BH1263" s="552"/>
      <c r="BI1263" s="552"/>
      <c r="BJ1263" s="552"/>
      <c r="BK1263" s="552"/>
      <c r="BL1263" s="552"/>
      <c r="BM1263" s="552"/>
      <c r="BN1263" s="552"/>
      <c r="BO1263" s="552"/>
      <c r="BP1263" s="552"/>
      <c r="BQ1263" s="552"/>
      <c r="BR1263" s="552"/>
      <c r="BS1263" s="552"/>
      <c r="BT1263" s="552"/>
      <c r="BU1263" s="552"/>
      <c r="BV1263" s="552"/>
      <c r="BW1263" s="552"/>
      <c r="BX1263" s="552"/>
      <c r="BY1263" s="552"/>
      <c r="BZ1263" s="552"/>
      <c r="CA1263" s="552"/>
      <c r="CB1263" s="552"/>
      <c r="CC1263" s="552"/>
      <c r="CD1263" s="552"/>
      <c r="CE1263" s="552"/>
      <c r="CF1263" s="12"/>
      <c r="CG1263" s="12"/>
      <c r="CH1263" s="12"/>
      <c r="CI1263" s="12"/>
      <c r="CJ1263" s="12"/>
      <c r="CK1263" s="552"/>
      <c r="CL1263" s="552"/>
      <c r="CM1263" s="552"/>
      <c r="CN1263" s="552"/>
      <c r="CO1263" s="552"/>
      <c r="CP1263" s="552"/>
      <c r="CQ1263" s="552"/>
      <c r="CR1263" s="552"/>
      <c r="CS1263" s="552"/>
      <c r="CT1263" s="552"/>
      <c r="CU1263" s="552"/>
      <c r="CV1263" s="552"/>
      <c r="CW1263" s="12"/>
      <c r="CX1263" s="12"/>
      <c r="CY1263" s="12"/>
      <c r="CZ1263" s="12"/>
      <c r="DA1263" s="12"/>
      <c r="DB1263" s="552"/>
      <c r="DC1263" s="552"/>
      <c r="DD1263" s="552"/>
      <c r="DE1263" s="552"/>
      <c r="DF1263" s="552"/>
      <c r="DG1263" s="12"/>
      <c r="DH1263" s="12"/>
      <c r="DI1263" s="12"/>
      <c r="DJ1263" s="12"/>
      <c r="DK1263" s="12"/>
      <c r="DL1263" s="12"/>
      <c r="DM1263" s="12"/>
      <c r="DN1263" s="12"/>
      <c r="DO1263" s="12"/>
      <c r="DP1263" s="12"/>
      <c r="DQ1263" s="12"/>
      <c r="DR1263" s="12"/>
      <c r="DS1263" s="552"/>
      <c r="DT1263" s="552"/>
      <c r="DU1263" s="552"/>
      <c r="DV1263" s="552"/>
      <c r="DW1263" s="552"/>
      <c r="DX1263" s="12"/>
      <c r="DY1263" s="12"/>
      <c r="DZ1263" s="12"/>
      <c r="EA1263" s="12"/>
      <c r="EB1263" s="12"/>
      <c r="EC1263" s="12"/>
      <c r="ED1263" s="12"/>
      <c r="EE1263" s="12"/>
      <c r="EF1263" s="12"/>
      <c r="EG1263" s="12"/>
      <c r="EH1263" s="12"/>
      <c r="EI1263" s="12"/>
      <c r="EJ1263" s="574"/>
      <c r="EK1263" s="574"/>
      <c r="EL1263" s="574"/>
      <c r="EM1263" s="574"/>
      <c r="EN1263" s="574"/>
      <c r="EO1263" s="574"/>
      <c r="EP1263" s="574"/>
      <c r="EQ1263" s="574"/>
      <c r="ER1263" s="574"/>
      <c r="ES1263" s="574"/>
      <c r="ET1263" s="574"/>
      <c r="EU1263" s="574"/>
    </row>
    <row r="1264">
      <c r="A1264" s="552"/>
      <c r="B1264" s="552"/>
      <c r="C1264" s="552"/>
      <c r="D1264" s="552"/>
      <c r="E1264" s="552"/>
      <c r="F1264" s="552"/>
      <c r="G1264" s="552"/>
      <c r="H1264" s="552"/>
      <c r="I1264" s="552"/>
      <c r="J1264" s="552"/>
      <c r="K1264" s="552"/>
      <c r="L1264" s="552"/>
      <c r="M1264" s="552"/>
      <c r="N1264" s="552"/>
      <c r="O1264" s="552"/>
      <c r="P1264" s="552"/>
      <c r="Q1264" s="552"/>
      <c r="R1264" s="552"/>
      <c r="S1264" s="552"/>
      <c r="T1264" s="552"/>
      <c r="U1264" s="552"/>
      <c r="V1264" s="552"/>
      <c r="W1264" s="552"/>
      <c r="X1264" s="552"/>
      <c r="Y1264" s="552"/>
      <c r="Z1264" s="552"/>
      <c r="AA1264" s="552"/>
      <c r="AB1264" s="552"/>
      <c r="AC1264" s="552"/>
      <c r="AD1264" s="552"/>
      <c r="AE1264" s="552"/>
      <c r="AF1264" s="552"/>
      <c r="AG1264" s="552"/>
      <c r="AH1264" s="552"/>
      <c r="AI1264" s="552"/>
      <c r="AJ1264" s="552"/>
      <c r="AK1264" s="552"/>
      <c r="AL1264" s="552"/>
      <c r="AM1264" s="552"/>
      <c r="AN1264" s="552"/>
      <c r="AO1264" s="552"/>
      <c r="AP1264" s="552"/>
      <c r="AQ1264" s="552"/>
      <c r="AR1264" s="552"/>
      <c r="AS1264" s="552"/>
      <c r="AT1264" s="552"/>
      <c r="AU1264" s="552"/>
      <c r="AV1264" s="552"/>
      <c r="AW1264" s="552"/>
      <c r="AX1264" s="552"/>
      <c r="AY1264" s="552"/>
      <c r="AZ1264" s="552"/>
      <c r="BA1264" s="552"/>
      <c r="BB1264" s="552"/>
      <c r="BC1264" s="552"/>
      <c r="BD1264" s="552"/>
      <c r="BE1264" s="552"/>
      <c r="BF1264" s="552"/>
      <c r="BG1264" s="552"/>
      <c r="BH1264" s="552"/>
      <c r="BI1264" s="552"/>
      <c r="BJ1264" s="552"/>
      <c r="BK1264" s="552"/>
      <c r="BL1264" s="552"/>
      <c r="BM1264" s="552"/>
      <c r="BN1264" s="552"/>
      <c r="BO1264" s="552"/>
      <c r="BP1264" s="552"/>
      <c r="BQ1264" s="552"/>
      <c r="BR1264" s="552"/>
      <c r="BS1264" s="552"/>
      <c r="BT1264" s="552"/>
      <c r="BU1264" s="552"/>
      <c r="BV1264" s="552"/>
      <c r="BW1264" s="552"/>
      <c r="BX1264" s="552"/>
      <c r="BY1264" s="552"/>
      <c r="BZ1264" s="552"/>
      <c r="CA1264" s="552"/>
      <c r="CB1264" s="552"/>
      <c r="CC1264" s="552"/>
      <c r="CD1264" s="552"/>
      <c r="CE1264" s="552"/>
      <c r="CF1264" s="12"/>
      <c r="CG1264" s="12"/>
      <c r="CH1264" s="12"/>
      <c r="CI1264" s="12"/>
      <c r="CJ1264" s="12"/>
      <c r="CK1264" s="552"/>
      <c r="CL1264" s="552"/>
      <c r="CM1264" s="552"/>
      <c r="CN1264" s="552"/>
      <c r="CO1264" s="552"/>
      <c r="CP1264" s="552"/>
      <c r="CQ1264" s="552"/>
      <c r="CR1264" s="552"/>
      <c r="CS1264" s="552"/>
      <c r="CT1264" s="552"/>
      <c r="CU1264" s="552"/>
      <c r="CV1264" s="552"/>
      <c r="CW1264" s="12"/>
      <c r="CX1264" s="12"/>
      <c r="CY1264" s="12"/>
      <c r="CZ1264" s="12"/>
      <c r="DA1264" s="12"/>
      <c r="DB1264" s="552"/>
      <c r="DC1264" s="552"/>
      <c r="DD1264" s="552"/>
      <c r="DE1264" s="552"/>
      <c r="DF1264" s="552"/>
      <c r="DG1264" s="12"/>
      <c r="DH1264" s="12"/>
      <c r="DI1264" s="12"/>
      <c r="DJ1264" s="12"/>
      <c r="DK1264" s="12"/>
      <c r="DL1264" s="12"/>
      <c r="DM1264" s="12"/>
      <c r="DN1264" s="12"/>
      <c r="DO1264" s="12"/>
      <c r="DP1264" s="12"/>
      <c r="DQ1264" s="12"/>
      <c r="DR1264" s="12"/>
      <c r="DS1264" s="552"/>
      <c r="DT1264" s="552"/>
      <c r="DU1264" s="552"/>
      <c r="DV1264" s="552"/>
      <c r="DW1264" s="552"/>
      <c r="DX1264" s="12"/>
      <c r="DY1264" s="12"/>
      <c r="DZ1264" s="12"/>
      <c r="EA1264" s="12"/>
      <c r="EB1264" s="12"/>
      <c r="EC1264" s="12"/>
      <c r="ED1264" s="12"/>
      <c r="EE1264" s="12"/>
      <c r="EF1264" s="12"/>
      <c r="EG1264" s="12"/>
      <c r="EH1264" s="12"/>
      <c r="EI1264" s="12"/>
      <c r="EJ1264" s="574"/>
      <c r="EK1264" s="574"/>
      <c r="EL1264" s="574"/>
      <c r="EM1264" s="574"/>
      <c r="EN1264" s="574"/>
      <c r="EO1264" s="574"/>
      <c r="EP1264" s="574"/>
      <c r="EQ1264" s="574"/>
      <c r="ER1264" s="574"/>
      <c r="ES1264" s="574"/>
      <c r="ET1264" s="574"/>
      <c r="EU1264" s="574"/>
    </row>
    <row r="1265">
      <c r="A1265" s="552"/>
      <c r="B1265" s="552"/>
      <c r="C1265" s="552"/>
      <c r="D1265" s="552"/>
      <c r="E1265" s="552"/>
      <c r="F1265" s="552"/>
      <c r="G1265" s="552"/>
      <c r="H1265" s="552"/>
      <c r="I1265" s="552"/>
      <c r="J1265" s="552"/>
      <c r="K1265" s="552"/>
      <c r="L1265" s="552"/>
      <c r="M1265" s="552"/>
      <c r="N1265" s="552"/>
      <c r="O1265" s="552"/>
      <c r="P1265" s="552"/>
      <c r="Q1265" s="552"/>
      <c r="R1265" s="552"/>
      <c r="S1265" s="552"/>
      <c r="T1265" s="552"/>
      <c r="U1265" s="552"/>
      <c r="V1265" s="552"/>
      <c r="W1265" s="552"/>
      <c r="X1265" s="552"/>
      <c r="Y1265" s="552"/>
      <c r="Z1265" s="552"/>
      <c r="AA1265" s="552"/>
      <c r="AB1265" s="552"/>
      <c r="AC1265" s="552"/>
      <c r="AD1265" s="552"/>
      <c r="AE1265" s="552"/>
      <c r="AF1265" s="552"/>
      <c r="AG1265" s="552"/>
      <c r="AH1265" s="552"/>
      <c r="AI1265" s="552"/>
      <c r="AJ1265" s="552"/>
      <c r="AK1265" s="552"/>
      <c r="AL1265" s="552"/>
      <c r="AM1265" s="552"/>
      <c r="AN1265" s="552"/>
      <c r="AO1265" s="552"/>
      <c r="AP1265" s="552"/>
      <c r="AQ1265" s="552"/>
      <c r="AR1265" s="552"/>
      <c r="AS1265" s="552"/>
      <c r="AT1265" s="552"/>
      <c r="AU1265" s="552"/>
      <c r="AV1265" s="552"/>
      <c r="AW1265" s="552"/>
      <c r="AX1265" s="552"/>
      <c r="AY1265" s="552"/>
      <c r="AZ1265" s="552"/>
      <c r="BA1265" s="552"/>
      <c r="BB1265" s="552"/>
      <c r="BC1265" s="552"/>
      <c r="BD1265" s="552"/>
      <c r="BE1265" s="552"/>
      <c r="BF1265" s="552"/>
      <c r="BG1265" s="552"/>
      <c r="BH1265" s="552"/>
      <c r="BI1265" s="552"/>
      <c r="BJ1265" s="552"/>
      <c r="BK1265" s="552"/>
      <c r="BL1265" s="552"/>
      <c r="BM1265" s="552"/>
      <c r="BN1265" s="552"/>
      <c r="BO1265" s="552"/>
      <c r="BP1265" s="552"/>
      <c r="BQ1265" s="552"/>
      <c r="BR1265" s="552"/>
      <c r="BS1265" s="552"/>
      <c r="BT1265" s="552"/>
      <c r="BU1265" s="552"/>
      <c r="BV1265" s="552"/>
      <c r="BW1265" s="552"/>
      <c r="BX1265" s="552"/>
      <c r="BY1265" s="552"/>
      <c r="BZ1265" s="552"/>
      <c r="CA1265" s="552"/>
      <c r="CB1265" s="552"/>
      <c r="CC1265" s="552"/>
      <c r="CD1265" s="552"/>
      <c r="CE1265" s="552"/>
      <c r="CF1265" s="12"/>
      <c r="CG1265" s="12"/>
      <c r="CH1265" s="12"/>
      <c r="CI1265" s="12"/>
      <c r="CJ1265" s="12"/>
      <c r="CK1265" s="552"/>
      <c r="CL1265" s="552"/>
      <c r="CM1265" s="552"/>
      <c r="CN1265" s="552"/>
      <c r="CO1265" s="552"/>
      <c r="CP1265" s="552"/>
      <c r="CQ1265" s="552"/>
      <c r="CR1265" s="552"/>
      <c r="CS1265" s="552"/>
      <c r="CT1265" s="552"/>
      <c r="CU1265" s="552"/>
      <c r="CV1265" s="552"/>
      <c r="CW1265" s="12"/>
      <c r="CX1265" s="12"/>
      <c r="CY1265" s="12"/>
      <c r="CZ1265" s="12"/>
      <c r="DA1265" s="12"/>
      <c r="DB1265" s="552"/>
      <c r="DC1265" s="552"/>
      <c r="DD1265" s="552"/>
      <c r="DE1265" s="552"/>
      <c r="DF1265" s="552"/>
      <c r="DG1265" s="12"/>
      <c r="DH1265" s="12"/>
      <c r="DI1265" s="12"/>
      <c r="DJ1265" s="12"/>
      <c r="DK1265" s="12"/>
      <c r="DL1265" s="12"/>
      <c r="DM1265" s="12"/>
      <c r="DN1265" s="12"/>
      <c r="DO1265" s="12"/>
      <c r="DP1265" s="12"/>
      <c r="DQ1265" s="12"/>
      <c r="DR1265" s="12"/>
      <c r="DS1265" s="552"/>
      <c r="DT1265" s="552"/>
      <c r="DU1265" s="552"/>
      <c r="DV1265" s="552"/>
      <c r="DW1265" s="552"/>
      <c r="DX1265" s="12"/>
      <c r="DY1265" s="12"/>
      <c r="DZ1265" s="12"/>
      <c r="EA1265" s="12"/>
      <c r="EB1265" s="12"/>
      <c r="EC1265" s="12"/>
      <c r="ED1265" s="12"/>
      <c r="EE1265" s="12"/>
      <c r="EF1265" s="12"/>
      <c r="EG1265" s="12"/>
      <c r="EH1265" s="12"/>
      <c r="EI1265" s="12"/>
      <c r="EJ1265" s="574"/>
      <c r="EK1265" s="574"/>
      <c r="EL1265" s="574"/>
      <c r="EM1265" s="574"/>
      <c r="EN1265" s="574"/>
      <c r="EO1265" s="574"/>
      <c r="EP1265" s="574"/>
      <c r="EQ1265" s="574"/>
      <c r="ER1265" s="574"/>
      <c r="ES1265" s="574"/>
      <c r="ET1265" s="574"/>
      <c r="EU1265" s="574"/>
    </row>
    <row r="1266">
      <c r="A1266" s="552"/>
      <c r="B1266" s="552"/>
      <c r="C1266" s="552"/>
      <c r="D1266" s="552"/>
      <c r="E1266" s="552"/>
      <c r="F1266" s="552"/>
      <c r="G1266" s="552"/>
      <c r="H1266" s="552"/>
      <c r="I1266" s="552"/>
      <c r="J1266" s="552"/>
      <c r="K1266" s="552"/>
      <c r="L1266" s="552"/>
      <c r="M1266" s="552"/>
      <c r="N1266" s="552"/>
      <c r="O1266" s="552"/>
      <c r="P1266" s="552"/>
      <c r="Q1266" s="552"/>
      <c r="R1266" s="552"/>
      <c r="S1266" s="552"/>
      <c r="T1266" s="552"/>
      <c r="U1266" s="552"/>
      <c r="V1266" s="552"/>
      <c r="W1266" s="552"/>
      <c r="X1266" s="552"/>
      <c r="Y1266" s="552"/>
      <c r="Z1266" s="552"/>
      <c r="AA1266" s="552"/>
      <c r="AB1266" s="552"/>
      <c r="AC1266" s="552"/>
      <c r="AD1266" s="552"/>
      <c r="AE1266" s="552"/>
      <c r="AF1266" s="552"/>
      <c r="AG1266" s="552"/>
      <c r="AH1266" s="552"/>
      <c r="AI1266" s="552"/>
      <c r="AJ1266" s="552"/>
      <c r="AK1266" s="552"/>
      <c r="AL1266" s="552"/>
      <c r="AM1266" s="552"/>
      <c r="AN1266" s="552"/>
      <c r="AO1266" s="552"/>
      <c r="AP1266" s="552"/>
      <c r="AQ1266" s="552"/>
      <c r="AR1266" s="552"/>
      <c r="AS1266" s="552"/>
      <c r="AT1266" s="552"/>
      <c r="AU1266" s="552"/>
      <c r="AV1266" s="552"/>
      <c r="AW1266" s="552"/>
      <c r="AX1266" s="552"/>
      <c r="AY1266" s="552"/>
      <c r="AZ1266" s="552"/>
      <c r="BA1266" s="552"/>
      <c r="BB1266" s="552"/>
      <c r="BC1266" s="552"/>
      <c r="BD1266" s="552"/>
      <c r="BE1266" s="552"/>
      <c r="BF1266" s="552"/>
      <c r="BG1266" s="552"/>
      <c r="BH1266" s="552"/>
      <c r="BI1266" s="552"/>
      <c r="BJ1266" s="552"/>
      <c r="BK1266" s="552"/>
      <c r="BL1266" s="552"/>
      <c r="BM1266" s="552"/>
      <c r="BN1266" s="552"/>
      <c r="BO1266" s="552"/>
      <c r="BP1266" s="552"/>
      <c r="BQ1266" s="552"/>
      <c r="BR1266" s="552"/>
      <c r="BS1266" s="552"/>
      <c r="BT1266" s="552"/>
      <c r="BU1266" s="552"/>
      <c r="BV1266" s="552"/>
      <c r="BW1266" s="552"/>
      <c r="BX1266" s="552"/>
      <c r="BY1266" s="552"/>
      <c r="BZ1266" s="552"/>
      <c r="CA1266" s="552"/>
      <c r="CB1266" s="552"/>
      <c r="CC1266" s="552"/>
      <c r="CD1266" s="552"/>
      <c r="CE1266" s="552"/>
      <c r="CF1266" s="12"/>
      <c r="CG1266" s="12"/>
      <c r="CH1266" s="12"/>
      <c r="CI1266" s="12"/>
      <c r="CJ1266" s="12"/>
      <c r="CK1266" s="552"/>
      <c r="CL1266" s="552"/>
      <c r="CM1266" s="552"/>
      <c r="CN1266" s="552"/>
      <c r="CO1266" s="552"/>
      <c r="CP1266" s="552"/>
      <c r="CQ1266" s="552"/>
      <c r="CR1266" s="552"/>
      <c r="CS1266" s="552"/>
      <c r="CT1266" s="552"/>
      <c r="CU1266" s="552"/>
      <c r="CV1266" s="552"/>
      <c r="CW1266" s="12"/>
      <c r="CX1266" s="12"/>
      <c r="CY1266" s="12"/>
      <c r="CZ1266" s="12"/>
      <c r="DA1266" s="12"/>
      <c r="DB1266" s="552"/>
      <c r="DC1266" s="552"/>
      <c r="DD1266" s="552"/>
      <c r="DE1266" s="552"/>
      <c r="DF1266" s="55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552"/>
      <c r="DT1266" s="552"/>
      <c r="DU1266" s="552"/>
      <c r="DV1266" s="552"/>
      <c r="DW1266" s="55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574"/>
      <c r="EK1266" s="574"/>
      <c r="EL1266" s="574"/>
      <c r="EM1266" s="574"/>
      <c r="EN1266" s="574"/>
      <c r="EO1266" s="574"/>
      <c r="EP1266" s="574"/>
      <c r="EQ1266" s="574"/>
      <c r="ER1266" s="574"/>
      <c r="ES1266" s="574"/>
      <c r="ET1266" s="574"/>
      <c r="EU1266" s="574"/>
    </row>
    <row r="1267">
      <c r="A1267" s="552"/>
      <c r="B1267" s="552"/>
      <c r="C1267" s="552"/>
      <c r="D1267" s="552"/>
      <c r="E1267" s="552"/>
      <c r="F1267" s="552"/>
      <c r="G1267" s="552"/>
      <c r="H1267" s="552"/>
      <c r="I1267" s="552"/>
      <c r="J1267" s="552"/>
      <c r="K1267" s="552"/>
      <c r="L1267" s="552"/>
      <c r="M1267" s="552"/>
      <c r="N1267" s="552"/>
      <c r="O1267" s="552"/>
      <c r="P1267" s="552"/>
      <c r="Q1267" s="552"/>
      <c r="R1267" s="552"/>
      <c r="S1267" s="552"/>
      <c r="T1267" s="552"/>
      <c r="U1267" s="552"/>
      <c r="V1267" s="552"/>
      <c r="W1267" s="552"/>
      <c r="X1267" s="552"/>
      <c r="Y1267" s="552"/>
      <c r="Z1267" s="552"/>
      <c r="AA1267" s="552"/>
      <c r="AB1267" s="552"/>
      <c r="AC1267" s="552"/>
      <c r="AD1267" s="552"/>
      <c r="AE1267" s="552"/>
      <c r="AF1267" s="552"/>
      <c r="AG1267" s="552"/>
      <c r="AH1267" s="552"/>
      <c r="AI1267" s="552"/>
      <c r="AJ1267" s="552"/>
      <c r="AK1267" s="552"/>
      <c r="AL1267" s="552"/>
      <c r="AM1267" s="552"/>
      <c r="AN1267" s="552"/>
      <c r="AO1267" s="552"/>
      <c r="AP1267" s="552"/>
      <c r="AQ1267" s="552"/>
      <c r="AR1267" s="552"/>
      <c r="AS1267" s="552"/>
      <c r="AT1267" s="552"/>
      <c r="AU1267" s="552"/>
      <c r="AV1267" s="552"/>
      <c r="AW1267" s="552"/>
      <c r="AX1267" s="552"/>
      <c r="AY1267" s="552"/>
      <c r="AZ1267" s="552"/>
      <c r="BA1267" s="552"/>
      <c r="BB1267" s="552"/>
      <c r="BC1267" s="552"/>
      <c r="BD1267" s="552"/>
      <c r="BE1267" s="552"/>
      <c r="BF1267" s="552"/>
      <c r="BG1267" s="552"/>
      <c r="BH1267" s="552"/>
      <c r="BI1267" s="552"/>
      <c r="BJ1267" s="552"/>
      <c r="BK1267" s="552"/>
      <c r="BL1267" s="552"/>
      <c r="BM1267" s="552"/>
      <c r="BN1267" s="552"/>
      <c r="BO1267" s="552"/>
      <c r="BP1267" s="552"/>
      <c r="BQ1267" s="552"/>
      <c r="BR1267" s="552"/>
      <c r="BS1267" s="552"/>
      <c r="BT1267" s="552"/>
      <c r="BU1267" s="552"/>
      <c r="BV1267" s="552"/>
      <c r="BW1267" s="552"/>
      <c r="BX1267" s="552"/>
      <c r="BY1267" s="552"/>
      <c r="BZ1267" s="552"/>
      <c r="CA1267" s="552"/>
      <c r="CB1267" s="552"/>
      <c r="CC1267" s="552"/>
      <c r="CD1267" s="552"/>
      <c r="CE1267" s="552"/>
      <c r="CF1267" s="12"/>
      <c r="CG1267" s="12"/>
      <c r="CH1267" s="12"/>
      <c r="CI1267" s="12"/>
      <c r="CJ1267" s="12"/>
      <c r="CK1267" s="552"/>
      <c r="CL1267" s="552"/>
      <c r="CM1267" s="552"/>
      <c r="CN1267" s="552"/>
      <c r="CO1267" s="552"/>
      <c r="CP1267" s="552"/>
      <c r="CQ1267" s="552"/>
      <c r="CR1267" s="552"/>
      <c r="CS1267" s="552"/>
      <c r="CT1267" s="552"/>
      <c r="CU1267" s="552"/>
      <c r="CV1267" s="552"/>
      <c r="CW1267" s="12"/>
      <c r="CX1267" s="12"/>
      <c r="CY1267" s="12"/>
      <c r="CZ1267" s="12"/>
      <c r="DA1267" s="12"/>
      <c r="DB1267" s="552"/>
      <c r="DC1267" s="552"/>
      <c r="DD1267" s="552"/>
      <c r="DE1267" s="552"/>
      <c r="DF1267" s="552"/>
      <c r="DG1267" s="12"/>
      <c r="DH1267" s="12"/>
      <c r="DI1267" s="12"/>
      <c r="DJ1267" s="12"/>
      <c r="DK1267" s="12"/>
      <c r="DL1267" s="12"/>
      <c r="DM1267" s="12"/>
      <c r="DN1267" s="12"/>
      <c r="DO1267" s="12"/>
      <c r="DP1267" s="12"/>
      <c r="DQ1267" s="12"/>
      <c r="DR1267" s="12"/>
      <c r="DS1267" s="552"/>
      <c r="DT1267" s="552"/>
      <c r="DU1267" s="552"/>
      <c r="DV1267" s="552"/>
      <c r="DW1267" s="552"/>
      <c r="DX1267" s="12"/>
      <c r="DY1267" s="12"/>
      <c r="DZ1267" s="12"/>
      <c r="EA1267" s="12"/>
      <c r="EB1267" s="12"/>
      <c r="EC1267" s="12"/>
      <c r="ED1267" s="12"/>
      <c r="EE1267" s="12"/>
      <c r="EF1267" s="12"/>
      <c r="EG1267" s="12"/>
      <c r="EH1267" s="12"/>
      <c r="EI1267" s="12"/>
      <c r="EJ1267" s="574"/>
      <c r="EK1267" s="574"/>
      <c r="EL1267" s="574"/>
      <c r="EM1267" s="574"/>
      <c r="EN1267" s="574"/>
      <c r="EO1267" s="574"/>
      <c r="EP1267" s="574"/>
      <c r="EQ1267" s="574"/>
      <c r="ER1267" s="574"/>
      <c r="ES1267" s="574"/>
      <c r="ET1267" s="574"/>
      <c r="EU1267" s="574"/>
    </row>
    <row r="1268">
      <c r="A1268" s="552"/>
      <c r="B1268" s="552"/>
      <c r="C1268" s="552"/>
      <c r="D1268" s="552"/>
      <c r="E1268" s="552"/>
      <c r="F1268" s="552"/>
      <c r="G1268" s="552"/>
      <c r="H1268" s="552"/>
      <c r="I1268" s="552"/>
      <c r="J1268" s="552"/>
      <c r="K1268" s="552"/>
      <c r="L1268" s="552"/>
      <c r="M1268" s="552"/>
      <c r="N1268" s="552"/>
      <c r="O1268" s="552"/>
      <c r="P1268" s="552"/>
      <c r="Q1268" s="552"/>
      <c r="R1268" s="552"/>
      <c r="S1268" s="552"/>
      <c r="T1268" s="552"/>
      <c r="U1268" s="552"/>
      <c r="V1268" s="552"/>
      <c r="W1268" s="552"/>
      <c r="X1268" s="552"/>
      <c r="Y1268" s="552"/>
      <c r="Z1268" s="552"/>
      <c r="AA1268" s="552"/>
      <c r="AB1268" s="552"/>
      <c r="AC1268" s="552"/>
      <c r="AD1268" s="552"/>
      <c r="AE1268" s="552"/>
      <c r="AF1268" s="552"/>
      <c r="AG1268" s="552"/>
      <c r="AH1268" s="552"/>
      <c r="AI1268" s="552"/>
      <c r="AJ1268" s="552"/>
      <c r="AK1268" s="552"/>
      <c r="AL1268" s="552"/>
      <c r="AM1268" s="552"/>
      <c r="AN1268" s="552"/>
      <c r="AO1268" s="552"/>
      <c r="AP1268" s="552"/>
      <c r="AQ1268" s="552"/>
      <c r="AR1268" s="552"/>
      <c r="AS1268" s="552"/>
      <c r="AT1268" s="552"/>
      <c r="AU1268" s="552"/>
      <c r="AV1268" s="552"/>
      <c r="AW1268" s="552"/>
      <c r="AX1268" s="552"/>
      <c r="AY1268" s="552"/>
      <c r="AZ1268" s="552"/>
      <c r="BA1268" s="552"/>
      <c r="BB1268" s="552"/>
      <c r="BC1268" s="552"/>
      <c r="BD1268" s="552"/>
      <c r="BE1268" s="552"/>
      <c r="BF1268" s="552"/>
      <c r="BG1268" s="552"/>
      <c r="BH1268" s="552"/>
      <c r="BI1268" s="552"/>
      <c r="BJ1268" s="552"/>
      <c r="BK1268" s="552"/>
      <c r="BL1268" s="552"/>
      <c r="BM1268" s="552"/>
      <c r="BN1268" s="552"/>
      <c r="BO1268" s="552"/>
      <c r="BP1268" s="552"/>
      <c r="BQ1268" s="552"/>
      <c r="BR1268" s="552"/>
      <c r="BS1268" s="552"/>
      <c r="BT1268" s="552"/>
      <c r="BU1268" s="552"/>
      <c r="BV1268" s="552"/>
      <c r="BW1268" s="552"/>
      <c r="BX1268" s="552"/>
      <c r="BY1268" s="552"/>
      <c r="BZ1268" s="552"/>
      <c r="CA1268" s="552"/>
      <c r="CB1268" s="552"/>
      <c r="CC1268" s="552"/>
      <c r="CD1268" s="552"/>
      <c r="CE1268" s="552"/>
      <c r="CF1268" s="12"/>
      <c r="CG1268" s="12"/>
      <c r="CH1268" s="12"/>
      <c r="CI1268" s="12"/>
      <c r="CJ1268" s="12"/>
      <c r="CK1268" s="552"/>
      <c r="CL1268" s="552"/>
      <c r="CM1268" s="552"/>
      <c r="CN1268" s="552"/>
      <c r="CO1268" s="552"/>
      <c r="CP1268" s="552"/>
      <c r="CQ1268" s="552"/>
      <c r="CR1268" s="552"/>
      <c r="CS1268" s="552"/>
      <c r="CT1268" s="552"/>
      <c r="CU1268" s="552"/>
      <c r="CV1268" s="552"/>
      <c r="CW1268" s="12"/>
      <c r="CX1268" s="12"/>
      <c r="CY1268" s="12"/>
      <c r="CZ1268" s="12"/>
      <c r="DA1268" s="12"/>
      <c r="DB1268" s="552"/>
      <c r="DC1268" s="552"/>
      <c r="DD1268" s="552"/>
      <c r="DE1268" s="552"/>
      <c r="DF1268" s="552"/>
      <c r="DG1268" s="12"/>
      <c r="DH1268" s="12"/>
      <c r="DI1268" s="12"/>
      <c r="DJ1268" s="12"/>
      <c r="DK1268" s="12"/>
      <c r="DL1268" s="12"/>
      <c r="DM1268" s="12"/>
      <c r="DN1268" s="12"/>
      <c r="DO1268" s="12"/>
      <c r="DP1268" s="12"/>
      <c r="DQ1268" s="12"/>
      <c r="DR1268" s="12"/>
      <c r="DS1268" s="552"/>
      <c r="DT1268" s="552"/>
      <c r="DU1268" s="552"/>
      <c r="DV1268" s="552"/>
      <c r="DW1268" s="552"/>
      <c r="DX1268" s="12"/>
      <c r="DY1268" s="12"/>
      <c r="DZ1268" s="12"/>
      <c r="EA1268" s="12"/>
      <c r="EB1268" s="12"/>
      <c r="EC1268" s="12"/>
      <c r="ED1268" s="12"/>
      <c r="EE1268" s="12"/>
      <c r="EF1268" s="12"/>
      <c r="EG1268" s="12"/>
      <c r="EH1268" s="12"/>
      <c r="EI1268" s="12"/>
      <c r="EJ1268" s="574"/>
      <c r="EK1268" s="574"/>
      <c r="EL1268" s="574"/>
      <c r="EM1268" s="574"/>
      <c r="EN1268" s="574"/>
      <c r="EO1268" s="574"/>
      <c r="EP1268" s="574"/>
      <c r="EQ1268" s="574"/>
      <c r="ER1268" s="574"/>
      <c r="ES1268" s="574"/>
      <c r="ET1268" s="574"/>
      <c r="EU1268" s="574"/>
    </row>
    <row r="1269">
      <c r="A1269" s="552"/>
      <c r="B1269" s="552"/>
      <c r="C1269" s="552"/>
      <c r="D1269" s="552"/>
      <c r="E1269" s="552"/>
      <c r="F1269" s="552"/>
      <c r="G1269" s="552"/>
      <c r="H1269" s="552"/>
      <c r="I1269" s="552"/>
      <c r="J1269" s="552"/>
      <c r="K1269" s="552"/>
      <c r="L1269" s="552"/>
      <c r="M1269" s="552"/>
      <c r="N1269" s="552"/>
      <c r="O1269" s="552"/>
      <c r="P1269" s="552"/>
      <c r="Q1269" s="552"/>
      <c r="R1269" s="552"/>
      <c r="S1269" s="552"/>
      <c r="T1269" s="552"/>
      <c r="U1269" s="552"/>
      <c r="V1269" s="552"/>
      <c r="W1269" s="552"/>
      <c r="X1269" s="552"/>
      <c r="Y1269" s="552"/>
      <c r="Z1269" s="552"/>
      <c r="AA1269" s="552"/>
      <c r="AB1269" s="552"/>
      <c r="AC1269" s="552"/>
      <c r="AD1269" s="552"/>
      <c r="AE1269" s="552"/>
      <c r="AF1269" s="552"/>
      <c r="AG1269" s="552"/>
      <c r="AH1269" s="552"/>
      <c r="AI1269" s="552"/>
      <c r="AJ1269" s="552"/>
      <c r="AK1269" s="552"/>
      <c r="AL1269" s="552"/>
      <c r="AM1269" s="552"/>
      <c r="AN1269" s="552"/>
      <c r="AO1269" s="552"/>
      <c r="AP1269" s="552"/>
      <c r="AQ1269" s="552"/>
      <c r="AR1269" s="552"/>
      <c r="AS1269" s="552"/>
      <c r="AT1269" s="552"/>
      <c r="AU1269" s="552"/>
      <c r="AV1269" s="552"/>
      <c r="AW1269" s="552"/>
      <c r="AX1269" s="552"/>
      <c r="AY1269" s="552"/>
      <c r="AZ1269" s="552"/>
      <c r="BA1269" s="552"/>
      <c r="BB1269" s="552"/>
      <c r="BC1269" s="552"/>
      <c r="BD1269" s="552"/>
      <c r="BE1269" s="552"/>
      <c r="BF1269" s="552"/>
      <c r="BG1269" s="552"/>
      <c r="BH1269" s="552"/>
      <c r="BI1269" s="552"/>
      <c r="BJ1269" s="552"/>
      <c r="BK1269" s="552"/>
      <c r="BL1269" s="552"/>
      <c r="BM1269" s="552"/>
      <c r="BN1269" s="552"/>
      <c r="BO1269" s="552"/>
      <c r="BP1269" s="552"/>
      <c r="BQ1269" s="552"/>
      <c r="BR1269" s="552"/>
      <c r="BS1269" s="552"/>
      <c r="BT1269" s="552"/>
      <c r="BU1269" s="552"/>
      <c r="BV1269" s="552"/>
      <c r="BW1269" s="552"/>
      <c r="BX1269" s="552"/>
      <c r="BY1269" s="552"/>
      <c r="BZ1269" s="552"/>
      <c r="CA1269" s="552"/>
      <c r="CB1269" s="552"/>
      <c r="CC1269" s="552"/>
      <c r="CD1269" s="552"/>
      <c r="CE1269" s="552"/>
      <c r="CF1269" s="12"/>
      <c r="CG1269" s="12"/>
      <c r="CH1269" s="12"/>
      <c r="CI1269" s="12"/>
      <c r="CJ1269" s="12"/>
      <c r="CK1269" s="552"/>
      <c r="CL1269" s="552"/>
      <c r="CM1269" s="552"/>
      <c r="CN1269" s="552"/>
      <c r="CO1269" s="552"/>
      <c r="CP1269" s="552"/>
      <c r="CQ1269" s="552"/>
      <c r="CR1269" s="552"/>
      <c r="CS1269" s="552"/>
      <c r="CT1269" s="552"/>
      <c r="CU1269" s="552"/>
      <c r="CV1269" s="552"/>
      <c r="CW1269" s="12"/>
      <c r="CX1269" s="12"/>
      <c r="CY1269" s="12"/>
      <c r="CZ1269" s="12"/>
      <c r="DA1269" s="12"/>
      <c r="DB1269" s="552"/>
      <c r="DC1269" s="552"/>
      <c r="DD1269" s="552"/>
      <c r="DE1269" s="552"/>
      <c r="DF1269" s="552"/>
      <c r="DG1269" s="12"/>
      <c r="DH1269" s="12"/>
      <c r="DI1269" s="12"/>
      <c r="DJ1269" s="12"/>
      <c r="DK1269" s="12"/>
      <c r="DL1269" s="12"/>
      <c r="DM1269" s="12"/>
      <c r="DN1269" s="12"/>
      <c r="DO1269" s="12"/>
      <c r="DP1269" s="12"/>
      <c r="DQ1269" s="12"/>
      <c r="DR1269" s="12"/>
      <c r="DS1269" s="552"/>
      <c r="DT1269" s="552"/>
      <c r="DU1269" s="552"/>
      <c r="DV1269" s="552"/>
      <c r="DW1269" s="552"/>
      <c r="DX1269" s="12"/>
      <c r="DY1269" s="12"/>
      <c r="DZ1269" s="12"/>
      <c r="EA1269" s="12"/>
      <c r="EB1269" s="12"/>
      <c r="EC1269" s="12"/>
      <c r="ED1269" s="12"/>
      <c r="EE1269" s="12"/>
      <c r="EF1269" s="12"/>
      <c r="EG1269" s="12"/>
      <c r="EH1269" s="12"/>
      <c r="EI1269" s="12"/>
      <c r="EJ1269" s="574"/>
      <c r="EK1269" s="574"/>
      <c r="EL1269" s="574"/>
      <c r="EM1269" s="574"/>
      <c r="EN1269" s="574"/>
      <c r="EO1269" s="574"/>
      <c r="EP1269" s="574"/>
      <c r="EQ1269" s="574"/>
      <c r="ER1269" s="574"/>
      <c r="ES1269" s="574"/>
      <c r="ET1269" s="574"/>
      <c r="EU1269" s="574"/>
    </row>
    <row r="1270">
      <c r="A1270" s="552"/>
      <c r="B1270" s="552"/>
      <c r="C1270" s="552"/>
      <c r="D1270" s="552"/>
      <c r="E1270" s="552"/>
      <c r="F1270" s="552"/>
      <c r="G1270" s="552"/>
      <c r="H1270" s="552"/>
      <c r="I1270" s="552"/>
      <c r="J1270" s="552"/>
      <c r="K1270" s="552"/>
      <c r="L1270" s="552"/>
      <c r="M1270" s="552"/>
      <c r="N1270" s="552"/>
      <c r="O1270" s="552"/>
      <c r="P1270" s="552"/>
      <c r="Q1270" s="552"/>
      <c r="R1270" s="552"/>
      <c r="S1270" s="552"/>
      <c r="T1270" s="552"/>
      <c r="U1270" s="552"/>
      <c r="V1270" s="552"/>
      <c r="W1270" s="552"/>
      <c r="X1270" s="552"/>
      <c r="Y1270" s="552"/>
      <c r="Z1270" s="552"/>
      <c r="AA1270" s="552"/>
      <c r="AB1270" s="552"/>
      <c r="AC1270" s="552"/>
      <c r="AD1270" s="552"/>
      <c r="AE1270" s="552"/>
      <c r="AF1270" s="552"/>
      <c r="AG1270" s="552"/>
      <c r="AH1270" s="552"/>
      <c r="AI1270" s="552"/>
      <c r="AJ1270" s="552"/>
      <c r="AK1270" s="552"/>
      <c r="AL1270" s="552"/>
      <c r="AM1270" s="552"/>
      <c r="AN1270" s="552"/>
      <c r="AO1270" s="552"/>
      <c r="AP1270" s="552"/>
      <c r="AQ1270" s="552"/>
      <c r="AR1270" s="552"/>
      <c r="AS1270" s="552"/>
      <c r="AT1270" s="552"/>
      <c r="AU1270" s="552"/>
      <c r="AV1270" s="552"/>
      <c r="AW1270" s="552"/>
      <c r="AX1270" s="552"/>
      <c r="AY1270" s="552"/>
      <c r="AZ1270" s="552"/>
      <c r="BA1270" s="552"/>
      <c r="BB1270" s="552"/>
      <c r="BC1270" s="552"/>
      <c r="BD1270" s="552"/>
      <c r="BE1270" s="552"/>
      <c r="BF1270" s="552"/>
      <c r="BG1270" s="552"/>
      <c r="BH1270" s="552"/>
      <c r="BI1270" s="552"/>
      <c r="BJ1270" s="552"/>
      <c r="BK1270" s="552"/>
      <c r="BL1270" s="552"/>
      <c r="BM1270" s="552"/>
      <c r="BN1270" s="552"/>
      <c r="BO1270" s="552"/>
      <c r="BP1270" s="552"/>
      <c r="BQ1270" s="552"/>
      <c r="BR1270" s="552"/>
      <c r="BS1270" s="552"/>
      <c r="BT1270" s="552"/>
      <c r="BU1270" s="552"/>
      <c r="BV1270" s="552"/>
      <c r="BW1270" s="552"/>
      <c r="BX1270" s="552"/>
      <c r="BY1270" s="552"/>
      <c r="BZ1270" s="552"/>
      <c r="CA1270" s="552"/>
      <c r="CB1270" s="552"/>
      <c r="CC1270" s="552"/>
      <c r="CD1270" s="552"/>
      <c r="CE1270" s="552"/>
      <c r="CF1270" s="12"/>
      <c r="CG1270" s="12"/>
      <c r="CH1270" s="12"/>
      <c r="CI1270" s="12"/>
      <c r="CJ1270" s="12"/>
      <c r="CK1270" s="552"/>
      <c r="CL1270" s="552"/>
      <c r="CM1270" s="552"/>
      <c r="CN1270" s="552"/>
      <c r="CO1270" s="552"/>
      <c r="CP1270" s="552"/>
      <c r="CQ1270" s="552"/>
      <c r="CR1270" s="552"/>
      <c r="CS1270" s="552"/>
      <c r="CT1270" s="552"/>
      <c r="CU1270" s="552"/>
      <c r="CV1270" s="552"/>
      <c r="CW1270" s="12"/>
      <c r="CX1270" s="12"/>
      <c r="CY1270" s="12"/>
      <c r="CZ1270" s="12"/>
      <c r="DA1270" s="12"/>
      <c r="DB1270" s="552"/>
      <c r="DC1270" s="552"/>
      <c r="DD1270" s="552"/>
      <c r="DE1270" s="552"/>
      <c r="DF1270" s="552"/>
      <c r="DG1270" s="12"/>
      <c r="DH1270" s="12"/>
      <c r="DI1270" s="12"/>
      <c r="DJ1270" s="12"/>
      <c r="DK1270" s="12"/>
      <c r="DL1270" s="12"/>
      <c r="DM1270" s="12"/>
      <c r="DN1270" s="12"/>
      <c r="DO1270" s="12"/>
      <c r="DP1270" s="12"/>
      <c r="DQ1270" s="12"/>
      <c r="DR1270" s="12"/>
      <c r="DS1270" s="552"/>
      <c r="DT1270" s="552"/>
      <c r="DU1270" s="552"/>
      <c r="DV1270" s="552"/>
      <c r="DW1270" s="552"/>
      <c r="DX1270" s="12"/>
      <c r="DY1270" s="12"/>
      <c r="DZ1270" s="12"/>
      <c r="EA1270" s="12"/>
      <c r="EB1270" s="12"/>
      <c r="EC1270" s="12"/>
      <c r="ED1270" s="12"/>
      <c r="EE1270" s="12"/>
      <c r="EF1270" s="12"/>
      <c r="EG1270" s="12"/>
      <c r="EH1270" s="12"/>
      <c r="EI1270" s="12"/>
      <c r="EJ1270" s="574"/>
      <c r="EK1270" s="574"/>
      <c r="EL1270" s="574"/>
      <c r="EM1270" s="574"/>
      <c r="EN1270" s="574"/>
      <c r="EO1270" s="574"/>
      <c r="EP1270" s="574"/>
      <c r="EQ1270" s="574"/>
      <c r="ER1270" s="574"/>
      <c r="ES1270" s="574"/>
      <c r="ET1270" s="574"/>
      <c r="EU1270" s="574"/>
    </row>
    <row r="1271">
      <c r="A1271" s="552"/>
      <c r="B1271" s="552"/>
      <c r="C1271" s="552"/>
      <c r="D1271" s="552"/>
      <c r="E1271" s="552"/>
      <c r="F1271" s="552"/>
      <c r="G1271" s="552"/>
      <c r="H1271" s="552"/>
      <c r="I1271" s="552"/>
      <c r="J1271" s="552"/>
      <c r="K1271" s="552"/>
      <c r="L1271" s="552"/>
      <c r="M1271" s="552"/>
      <c r="N1271" s="552"/>
      <c r="O1271" s="552"/>
      <c r="P1271" s="552"/>
      <c r="Q1271" s="552"/>
      <c r="R1271" s="552"/>
      <c r="S1271" s="552"/>
      <c r="T1271" s="552"/>
      <c r="U1271" s="552"/>
      <c r="V1271" s="552"/>
      <c r="W1271" s="552"/>
      <c r="X1271" s="552"/>
      <c r="Y1271" s="552"/>
      <c r="Z1271" s="552"/>
      <c r="AA1271" s="552"/>
      <c r="AB1271" s="552"/>
      <c r="AC1271" s="552"/>
      <c r="AD1271" s="552"/>
      <c r="AE1271" s="552"/>
      <c r="AF1271" s="552"/>
      <c r="AG1271" s="552"/>
      <c r="AH1271" s="552"/>
      <c r="AI1271" s="552"/>
      <c r="AJ1271" s="552"/>
      <c r="AK1271" s="552"/>
      <c r="AL1271" s="552"/>
      <c r="AM1271" s="552"/>
      <c r="AN1271" s="552"/>
      <c r="AO1271" s="552"/>
      <c r="AP1271" s="552"/>
      <c r="AQ1271" s="552"/>
      <c r="AR1271" s="552"/>
      <c r="AS1271" s="552"/>
      <c r="AT1271" s="552"/>
      <c r="AU1271" s="552"/>
      <c r="AV1271" s="552"/>
      <c r="AW1271" s="552"/>
      <c r="AX1271" s="552"/>
      <c r="AY1271" s="552"/>
      <c r="AZ1271" s="552"/>
      <c r="BA1271" s="552"/>
      <c r="BB1271" s="552"/>
      <c r="BC1271" s="552"/>
      <c r="BD1271" s="552"/>
      <c r="BE1271" s="552"/>
      <c r="BF1271" s="552"/>
      <c r="BG1271" s="552"/>
      <c r="BH1271" s="552"/>
      <c r="BI1271" s="552"/>
      <c r="BJ1271" s="552"/>
      <c r="BK1271" s="552"/>
      <c r="BL1271" s="552"/>
      <c r="BM1271" s="552"/>
      <c r="BN1271" s="552"/>
      <c r="BO1271" s="552"/>
      <c r="BP1271" s="552"/>
      <c r="BQ1271" s="552"/>
      <c r="BR1271" s="552"/>
      <c r="BS1271" s="552"/>
      <c r="BT1271" s="552"/>
      <c r="BU1271" s="552"/>
      <c r="BV1271" s="552"/>
      <c r="BW1271" s="552"/>
      <c r="BX1271" s="552"/>
      <c r="BY1271" s="552"/>
      <c r="BZ1271" s="552"/>
      <c r="CA1271" s="552"/>
      <c r="CB1271" s="552"/>
      <c r="CC1271" s="552"/>
      <c r="CD1271" s="552"/>
      <c r="CE1271" s="552"/>
      <c r="CF1271" s="12"/>
      <c r="CG1271" s="12"/>
      <c r="CH1271" s="12"/>
      <c r="CI1271" s="12"/>
      <c r="CJ1271" s="12"/>
      <c r="CK1271" s="552"/>
      <c r="CL1271" s="552"/>
      <c r="CM1271" s="552"/>
      <c r="CN1271" s="552"/>
      <c r="CO1271" s="552"/>
      <c r="CP1271" s="552"/>
      <c r="CQ1271" s="552"/>
      <c r="CR1271" s="552"/>
      <c r="CS1271" s="552"/>
      <c r="CT1271" s="552"/>
      <c r="CU1271" s="552"/>
      <c r="CV1271" s="552"/>
      <c r="CW1271" s="12"/>
      <c r="CX1271" s="12"/>
      <c r="CY1271" s="12"/>
      <c r="CZ1271" s="12"/>
      <c r="DA1271" s="12"/>
      <c r="DB1271" s="552"/>
      <c r="DC1271" s="552"/>
      <c r="DD1271" s="552"/>
      <c r="DE1271" s="552"/>
      <c r="DF1271" s="552"/>
      <c r="DG1271" s="12"/>
      <c r="DH1271" s="12"/>
      <c r="DI1271" s="12"/>
      <c r="DJ1271" s="12"/>
      <c r="DK1271" s="12"/>
      <c r="DL1271" s="12"/>
      <c r="DM1271" s="12"/>
      <c r="DN1271" s="12"/>
      <c r="DO1271" s="12"/>
      <c r="DP1271" s="12"/>
      <c r="DQ1271" s="12"/>
      <c r="DR1271" s="12"/>
      <c r="DS1271" s="552"/>
      <c r="DT1271" s="552"/>
      <c r="DU1271" s="552"/>
      <c r="DV1271" s="552"/>
      <c r="DW1271" s="552"/>
      <c r="DX1271" s="12"/>
      <c r="DY1271" s="12"/>
      <c r="DZ1271" s="12"/>
      <c r="EA1271" s="12"/>
      <c r="EB1271" s="12"/>
      <c r="EC1271" s="12"/>
      <c r="ED1271" s="12"/>
      <c r="EE1271" s="12"/>
      <c r="EF1271" s="12"/>
      <c r="EG1271" s="12"/>
      <c r="EH1271" s="12"/>
      <c r="EI1271" s="12"/>
      <c r="EJ1271" s="574"/>
      <c r="EK1271" s="574"/>
      <c r="EL1271" s="574"/>
      <c r="EM1271" s="574"/>
      <c r="EN1271" s="574"/>
      <c r="EO1271" s="574"/>
      <c r="EP1271" s="574"/>
      <c r="EQ1271" s="574"/>
      <c r="ER1271" s="574"/>
      <c r="ES1271" s="574"/>
      <c r="ET1271" s="574"/>
      <c r="EU1271" s="574"/>
    </row>
    <row r="1272">
      <c r="A1272" s="552"/>
      <c r="B1272" s="552"/>
      <c r="C1272" s="552"/>
      <c r="D1272" s="552"/>
      <c r="E1272" s="552"/>
      <c r="F1272" s="552"/>
      <c r="G1272" s="552"/>
      <c r="H1272" s="552"/>
      <c r="I1272" s="552"/>
      <c r="J1272" s="552"/>
      <c r="K1272" s="552"/>
      <c r="L1272" s="552"/>
      <c r="M1272" s="552"/>
      <c r="N1272" s="552"/>
      <c r="O1272" s="552"/>
      <c r="P1272" s="552"/>
      <c r="Q1272" s="552"/>
      <c r="R1272" s="552"/>
      <c r="S1272" s="552"/>
      <c r="T1272" s="552"/>
      <c r="U1272" s="552"/>
      <c r="V1272" s="552"/>
      <c r="W1272" s="552"/>
      <c r="X1272" s="552"/>
      <c r="Y1272" s="552"/>
      <c r="Z1272" s="552"/>
      <c r="AA1272" s="552"/>
      <c r="AB1272" s="552"/>
      <c r="AC1272" s="552"/>
      <c r="AD1272" s="552"/>
      <c r="AE1272" s="552"/>
      <c r="AF1272" s="552"/>
      <c r="AG1272" s="552"/>
      <c r="AH1272" s="552"/>
      <c r="AI1272" s="552"/>
      <c r="AJ1272" s="552"/>
      <c r="AK1272" s="552"/>
      <c r="AL1272" s="552"/>
      <c r="AM1272" s="552"/>
      <c r="AN1272" s="552"/>
      <c r="AO1272" s="552"/>
      <c r="AP1272" s="552"/>
      <c r="AQ1272" s="552"/>
      <c r="AR1272" s="552"/>
      <c r="AS1272" s="552"/>
      <c r="AT1272" s="552"/>
      <c r="AU1272" s="552"/>
      <c r="AV1272" s="552"/>
      <c r="AW1272" s="552"/>
      <c r="AX1272" s="552"/>
      <c r="AY1272" s="552"/>
      <c r="AZ1272" s="552"/>
      <c r="BA1272" s="552"/>
      <c r="BB1272" s="552"/>
      <c r="BC1272" s="552"/>
      <c r="BD1272" s="552"/>
      <c r="BE1272" s="552"/>
      <c r="BF1272" s="552"/>
      <c r="BG1272" s="552"/>
      <c r="BH1272" s="552"/>
      <c r="BI1272" s="552"/>
      <c r="BJ1272" s="552"/>
      <c r="BK1272" s="552"/>
      <c r="BL1272" s="552"/>
      <c r="BM1272" s="552"/>
      <c r="BN1272" s="552"/>
      <c r="BO1272" s="552"/>
      <c r="BP1272" s="552"/>
      <c r="BQ1272" s="552"/>
      <c r="BR1272" s="552"/>
      <c r="BS1272" s="552"/>
      <c r="BT1272" s="552"/>
      <c r="BU1272" s="552"/>
      <c r="BV1272" s="552"/>
      <c r="BW1272" s="552"/>
      <c r="BX1272" s="552"/>
      <c r="BY1272" s="552"/>
      <c r="BZ1272" s="552"/>
      <c r="CA1272" s="552"/>
      <c r="CB1272" s="552"/>
      <c r="CC1272" s="552"/>
      <c r="CD1272" s="552"/>
      <c r="CE1272" s="552"/>
      <c r="CF1272" s="12"/>
      <c r="CG1272" s="12"/>
      <c r="CH1272" s="12"/>
      <c r="CI1272" s="12"/>
      <c r="CJ1272" s="12"/>
      <c r="CK1272" s="552"/>
      <c r="CL1272" s="552"/>
      <c r="CM1272" s="552"/>
      <c r="CN1272" s="552"/>
      <c r="CO1272" s="552"/>
      <c r="CP1272" s="552"/>
      <c r="CQ1272" s="552"/>
      <c r="CR1272" s="552"/>
      <c r="CS1272" s="552"/>
      <c r="CT1272" s="552"/>
      <c r="CU1272" s="552"/>
      <c r="CV1272" s="552"/>
      <c r="CW1272" s="12"/>
      <c r="CX1272" s="12"/>
      <c r="CY1272" s="12"/>
      <c r="CZ1272" s="12"/>
      <c r="DA1272" s="12"/>
      <c r="DB1272" s="552"/>
      <c r="DC1272" s="552"/>
      <c r="DD1272" s="552"/>
      <c r="DE1272" s="552"/>
      <c r="DF1272" s="552"/>
      <c r="DG1272" s="12"/>
      <c r="DH1272" s="12"/>
      <c r="DI1272" s="12"/>
      <c r="DJ1272" s="12"/>
      <c r="DK1272" s="12"/>
      <c r="DL1272" s="12"/>
      <c r="DM1272" s="12"/>
      <c r="DN1272" s="12"/>
      <c r="DO1272" s="12"/>
      <c r="DP1272" s="12"/>
      <c r="DQ1272" s="12"/>
      <c r="DR1272" s="12"/>
      <c r="DS1272" s="552"/>
      <c r="DT1272" s="552"/>
      <c r="DU1272" s="552"/>
      <c r="DV1272" s="552"/>
      <c r="DW1272" s="552"/>
      <c r="DX1272" s="12"/>
      <c r="DY1272" s="12"/>
      <c r="DZ1272" s="12"/>
      <c r="EA1272" s="12"/>
      <c r="EB1272" s="12"/>
      <c r="EC1272" s="12"/>
      <c r="ED1272" s="12"/>
      <c r="EE1272" s="12"/>
      <c r="EF1272" s="12"/>
      <c r="EG1272" s="12"/>
      <c r="EH1272" s="12"/>
      <c r="EI1272" s="12"/>
      <c r="EJ1272" s="574"/>
      <c r="EK1272" s="574"/>
      <c r="EL1272" s="574"/>
      <c r="EM1272" s="574"/>
      <c r="EN1272" s="574"/>
      <c r="EO1272" s="574"/>
      <c r="EP1272" s="574"/>
      <c r="EQ1272" s="574"/>
      <c r="ER1272" s="574"/>
      <c r="ES1272" s="574"/>
      <c r="ET1272" s="574"/>
      <c r="EU1272" s="574"/>
    </row>
    <row r="1273">
      <c r="A1273" s="552"/>
      <c r="B1273" s="552"/>
      <c r="C1273" s="552"/>
      <c r="D1273" s="552"/>
      <c r="E1273" s="552"/>
      <c r="F1273" s="552"/>
      <c r="G1273" s="552"/>
      <c r="H1273" s="552"/>
      <c r="I1273" s="552"/>
      <c r="J1273" s="552"/>
      <c r="K1273" s="552"/>
      <c r="L1273" s="552"/>
      <c r="M1273" s="552"/>
      <c r="N1273" s="552"/>
      <c r="O1273" s="552"/>
      <c r="P1273" s="552"/>
      <c r="Q1273" s="552"/>
      <c r="R1273" s="552"/>
      <c r="S1273" s="552"/>
      <c r="T1273" s="552"/>
      <c r="U1273" s="552"/>
      <c r="V1273" s="552"/>
      <c r="W1273" s="552"/>
      <c r="X1273" s="552"/>
      <c r="Y1273" s="552"/>
      <c r="Z1273" s="552"/>
      <c r="AA1273" s="552"/>
      <c r="AB1273" s="552"/>
      <c r="AC1273" s="552"/>
      <c r="AD1273" s="552"/>
      <c r="AE1273" s="552"/>
      <c r="AF1273" s="552"/>
      <c r="AG1273" s="552"/>
      <c r="AH1273" s="552"/>
      <c r="AI1273" s="552"/>
      <c r="AJ1273" s="552"/>
      <c r="AK1273" s="552"/>
      <c r="AL1273" s="552"/>
      <c r="AM1273" s="552"/>
      <c r="AN1273" s="552"/>
      <c r="AO1273" s="552"/>
      <c r="AP1273" s="552"/>
      <c r="AQ1273" s="552"/>
      <c r="AR1273" s="552"/>
      <c r="AS1273" s="552"/>
      <c r="AT1273" s="552"/>
      <c r="AU1273" s="552"/>
      <c r="AV1273" s="552"/>
      <c r="AW1273" s="552"/>
      <c r="AX1273" s="552"/>
      <c r="AY1273" s="552"/>
      <c r="AZ1273" s="552"/>
      <c r="BA1273" s="552"/>
      <c r="BB1273" s="552"/>
      <c r="BC1273" s="552"/>
      <c r="BD1273" s="552"/>
      <c r="BE1273" s="552"/>
      <c r="BF1273" s="552"/>
      <c r="BG1273" s="552"/>
      <c r="BH1273" s="552"/>
      <c r="BI1273" s="552"/>
      <c r="BJ1273" s="552"/>
      <c r="BK1273" s="552"/>
      <c r="BL1273" s="552"/>
      <c r="BM1273" s="552"/>
      <c r="BN1273" s="552"/>
      <c r="BO1273" s="552"/>
      <c r="BP1273" s="552"/>
      <c r="BQ1273" s="552"/>
      <c r="BR1273" s="552"/>
      <c r="BS1273" s="552"/>
      <c r="BT1273" s="552"/>
      <c r="BU1273" s="552"/>
      <c r="BV1273" s="552"/>
      <c r="BW1273" s="552"/>
      <c r="BX1273" s="552"/>
      <c r="BY1273" s="552"/>
      <c r="BZ1273" s="552"/>
      <c r="CA1273" s="552"/>
      <c r="CB1273" s="552"/>
      <c r="CC1273" s="552"/>
      <c r="CD1273" s="552"/>
      <c r="CE1273" s="552"/>
      <c r="CF1273" s="12"/>
      <c r="CG1273" s="12"/>
      <c r="CH1273" s="12"/>
      <c r="CI1273" s="12"/>
      <c r="CJ1273" s="12"/>
      <c r="CK1273" s="552"/>
      <c r="CL1273" s="552"/>
      <c r="CM1273" s="552"/>
      <c r="CN1273" s="552"/>
      <c r="CO1273" s="552"/>
      <c r="CP1273" s="552"/>
      <c r="CQ1273" s="552"/>
      <c r="CR1273" s="552"/>
      <c r="CS1273" s="552"/>
      <c r="CT1273" s="552"/>
      <c r="CU1273" s="552"/>
      <c r="CV1273" s="552"/>
      <c r="CW1273" s="12"/>
      <c r="CX1273" s="12"/>
      <c r="CY1273" s="12"/>
      <c r="CZ1273" s="12"/>
      <c r="DA1273" s="12"/>
      <c r="DB1273" s="552"/>
      <c r="DC1273" s="552"/>
      <c r="DD1273" s="552"/>
      <c r="DE1273" s="552"/>
      <c r="DF1273" s="552"/>
      <c r="DG1273" s="12"/>
      <c r="DH1273" s="12"/>
      <c r="DI1273" s="12"/>
      <c r="DJ1273" s="12"/>
      <c r="DK1273" s="12"/>
      <c r="DL1273" s="12"/>
      <c r="DM1273" s="12"/>
      <c r="DN1273" s="12"/>
      <c r="DO1273" s="12"/>
      <c r="DP1273" s="12"/>
      <c r="DQ1273" s="12"/>
      <c r="DR1273" s="12"/>
      <c r="DS1273" s="552"/>
      <c r="DT1273" s="552"/>
      <c r="DU1273" s="552"/>
      <c r="DV1273" s="552"/>
      <c r="DW1273" s="552"/>
      <c r="DX1273" s="12"/>
      <c r="DY1273" s="12"/>
      <c r="DZ1273" s="12"/>
      <c r="EA1273" s="12"/>
      <c r="EB1273" s="12"/>
      <c r="EC1273" s="12"/>
      <c r="ED1273" s="12"/>
      <c r="EE1273" s="12"/>
      <c r="EF1273" s="12"/>
      <c r="EG1273" s="12"/>
      <c r="EH1273" s="12"/>
      <c r="EI1273" s="12"/>
      <c r="EJ1273" s="574"/>
      <c r="EK1273" s="574"/>
      <c r="EL1273" s="574"/>
      <c r="EM1273" s="574"/>
      <c r="EN1273" s="574"/>
      <c r="EO1273" s="574"/>
      <c r="EP1273" s="574"/>
      <c r="EQ1273" s="574"/>
      <c r="ER1273" s="574"/>
      <c r="ES1273" s="574"/>
      <c r="ET1273" s="574"/>
      <c r="EU1273" s="574"/>
    </row>
    <row r="1274">
      <c r="A1274" s="552"/>
      <c r="B1274" s="552"/>
      <c r="C1274" s="552"/>
      <c r="D1274" s="552"/>
      <c r="E1274" s="552"/>
      <c r="F1274" s="552"/>
      <c r="G1274" s="552"/>
      <c r="H1274" s="552"/>
      <c r="I1274" s="552"/>
      <c r="J1274" s="552"/>
      <c r="K1274" s="552"/>
      <c r="L1274" s="552"/>
      <c r="M1274" s="552"/>
      <c r="N1274" s="552"/>
      <c r="O1274" s="552"/>
      <c r="P1274" s="552"/>
      <c r="Q1274" s="552"/>
      <c r="R1274" s="552"/>
      <c r="S1274" s="552"/>
      <c r="T1274" s="552"/>
      <c r="U1274" s="552"/>
      <c r="V1274" s="552"/>
      <c r="W1274" s="552"/>
      <c r="X1274" s="552"/>
      <c r="Y1274" s="552"/>
      <c r="Z1274" s="552"/>
      <c r="AA1274" s="552"/>
      <c r="AB1274" s="552"/>
      <c r="AC1274" s="552"/>
      <c r="AD1274" s="552"/>
      <c r="AE1274" s="552"/>
      <c r="AF1274" s="552"/>
      <c r="AG1274" s="552"/>
      <c r="AH1274" s="552"/>
      <c r="AI1274" s="552"/>
      <c r="AJ1274" s="552"/>
      <c r="AK1274" s="552"/>
      <c r="AL1274" s="552"/>
      <c r="AM1274" s="552"/>
      <c r="AN1274" s="552"/>
      <c r="AO1274" s="552"/>
      <c r="AP1274" s="552"/>
      <c r="AQ1274" s="552"/>
      <c r="AR1274" s="552"/>
      <c r="AS1274" s="552"/>
      <c r="AT1274" s="552"/>
      <c r="AU1274" s="552"/>
      <c r="AV1274" s="552"/>
      <c r="AW1274" s="552"/>
      <c r="AX1274" s="552"/>
      <c r="AY1274" s="552"/>
      <c r="AZ1274" s="552"/>
      <c r="BA1274" s="552"/>
      <c r="BB1274" s="552"/>
      <c r="BC1274" s="552"/>
      <c r="BD1274" s="552"/>
      <c r="BE1274" s="552"/>
      <c r="BF1274" s="552"/>
      <c r="BG1274" s="552"/>
      <c r="BH1274" s="552"/>
      <c r="BI1274" s="552"/>
      <c r="BJ1274" s="552"/>
      <c r="BK1274" s="552"/>
      <c r="BL1274" s="552"/>
      <c r="BM1274" s="552"/>
      <c r="BN1274" s="552"/>
      <c r="BO1274" s="552"/>
      <c r="BP1274" s="552"/>
      <c r="BQ1274" s="552"/>
      <c r="BR1274" s="552"/>
      <c r="BS1274" s="552"/>
      <c r="BT1274" s="552"/>
      <c r="BU1274" s="552"/>
      <c r="BV1274" s="552"/>
      <c r="BW1274" s="552"/>
      <c r="BX1274" s="552"/>
      <c r="BY1274" s="552"/>
      <c r="BZ1274" s="552"/>
      <c r="CA1274" s="552"/>
      <c r="CB1274" s="552"/>
      <c r="CC1274" s="552"/>
      <c r="CD1274" s="552"/>
      <c r="CE1274" s="552"/>
      <c r="CF1274" s="12"/>
      <c r="CG1274" s="12"/>
      <c r="CH1274" s="12"/>
      <c r="CI1274" s="12"/>
      <c r="CJ1274" s="12"/>
      <c r="CK1274" s="552"/>
      <c r="CL1274" s="552"/>
      <c r="CM1274" s="552"/>
      <c r="CN1274" s="552"/>
      <c r="CO1274" s="552"/>
      <c r="CP1274" s="552"/>
      <c r="CQ1274" s="552"/>
      <c r="CR1274" s="552"/>
      <c r="CS1274" s="552"/>
      <c r="CT1274" s="552"/>
      <c r="CU1274" s="552"/>
      <c r="CV1274" s="552"/>
      <c r="CW1274" s="12"/>
      <c r="CX1274" s="12"/>
      <c r="CY1274" s="12"/>
      <c r="CZ1274" s="12"/>
      <c r="DA1274" s="12"/>
      <c r="DB1274" s="552"/>
      <c r="DC1274" s="552"/>
      <c r="DD1274" s="552"/>
      <c r="DE1274" s="552"/>
      <c r="DF1274" s="552"/>
      <c r="DG1274" s="12"/>
      <c r="DH1274" s="12"/>
      <c r="DI1274" s="12"/>
      <c r="DJ1274" s="12"/>
      <c r="DK1274" s="12"/>
      <c r="DL1274" s="12"/>
      <c r="DM1274" s="12"/>
      <c r="DN1274" s="12"/>
      <c r="DO1274" s="12"/>
      <c r="DP1274" s="12"/>
      <c r="DQ1274" s="12"/>
      <c r="DR1274" s="12"/>
      <c r="DS1274" s="552"/>
      <c r="DT1274" s="552"/>
      <c r="DU1274" s="552"/>
      <c r="DV1274" s="552"/>
      <c r="DW1274" s="552"/>
      <c r="DX1274" s="12"/>
      <c r="DY1274" s="12"/>
      <c r="DZ1274" s="12"/>
      <c r="EA1274" s="12"/>
      <c r="EB1274" s="12"/>
      <c r="EC1274" s="12"/>
      <c r="ED1274" s="12"/>
      <c r="EE1274" s="12"/>
      <c r="EF1274" s="12"/>
      <c r="EG1274" s="12"/>
      <c r="EH1274" s="12"/>
      <c r="EI1274" s="12"/>
      <c r="EJ1274" s="574"/>
      <c r="EK1274" s="574"/>
      <c r="EL1274" s="574"/>
      <c r="EM1274" s="574"/>
      <c r="EN1274" s="574"/>
      <c r="EO1274" s="574"/>
      <c r="EP1274" s="574"/>
      <c r="EQ1274" s="574"/>
      <c r="ER1274" s="574"/>
      <c r="ES1274" s="574"/>
      <c r="ET1274" s="574"/>
      <c r="EU1274" s="574"/>
    </row>
    <row r="1275">
      <c r="A1275" s="552"/>
      <c r="B1275" s="552"/>
      <c r="C1275" s="552"/>
      <c r="D1275" s="552"/>
      <c r="E1275" s="552"/>
      <c r="F1275" s="552"/>
      <c r="G1275" s="552"/>
      <c r="H1275" s="552"/>
      <c r="I1275" s="552"/>
      <c r="J1275" s="552"/>
      <c r="K1275" s="552"/>
      <c r="L1275" s="552"/>
      <c r="M1275" s="552"/>
      <c r="N1275" s="552"/>
      <c r="O1275" s="552"/>
      <c r="P1275" s="552"/>
      <c r="Q1275" s="552"/>
      <c r="R1275" s="552"/>
      <c r="S1275" s="552"/>
      <c r="T1275" s="552"/>
      <c r="U1275" s="552"/>
      <c r="V1275" s="552"/>
      <c r="W1275" s="552"/>
      <c r="X1275" s="552"/>
      <c r="Y1275" s="552"/>
      <c r="Z1275" s="552"/>
      <c r="AA1275" s="552"/>
      <c r="AB1275" s="552"/>
      <c r="AC1275" s="552"/>
      <c r="AD1275" s="552"/>
      <c r="AE1275" s="552"/>
      <c r="AF1275" s="552"/>
      <c r="AG1275" s="552"/>
      <c r="AH1275" s="552"/>
      <c r="AI1275" s="552"/>
      <c r="AJ1275" s="552"/>
      <c r="AK1275" s="552"/>
      <c r="AL1275" s="552"/>
      <c r="AM1275" s="552"/>
      <c r="AN1275" s="552"/>
      <c r="AO1275" s="552"/>
      <c r="AP1275" s="552"/>
      <c r="AQ1275" s="552"/>
      <c r="AR1275" s="552"/>
      <c r="AS1275" s="552"/>
      <c r="AT1275" s="552"/>
      <c r="AU1275" s="552"/>
      <c r="AV1275" s="552"/>
      <c r="AW1275" s="552"/>
      <c r="AX1275" s="552"/>
      <c r="AY1275" s="552"/>
      <c r="AZ1275" s="552"/>
      <c r="BA1275" s="552"/>
      <c r="BB1275" s="552"/>
      <c r="BC1275" s="552"/>
      <c r="BD1275" s="552"/>
      <c r="BE1275" s="552"/>
      <c r="BF1275" s="552"/>
      <c r="BG1275" s="552"/>
      <c r="BH1275" s="552"/>
      <c r="BI1275" s="552"/>
      <c r="BJ1275" s="552"/>
      <c r="BK1275" s="552"/>
      <c r="BL1275" s="552"/>
      <c r="BM1275" s="552"/>
      <c r="BN1275" s="552"/>
      <c r="BO1275" s="552"/>
      <c r="BP1275" s="552"/>
      <c r="BQ1275" s="552"/>
      <c r="BR1275" s="552"/>
      <c r="BS1275" s="552"/>
      <c r="BT1275" s="552"/>
      <c r="BU1275" s="552"/>
      <c r="BV1275" s="552"/>
      <c r="BW1275" s="552"/>
      <c r="BX1275" s="552"/>
      <c r="BY1275" s="552"/>
      <c r="BZ1275" s="552"/>
      <c r="CA1275" s="552"/>
      <c r="CB1275" s="552"/>
      <c r="CC1275" s="552"/>
      <c r="CD1275" s="552"/>
      <c r="CE1275" s="552"/>
      <c r="CF1275" s="12"/>
      <c r="CG1275" s="12"/>
      <c r="CH1275" s="12"/>
      <c r="CI1275" s="12"/>
      <c r="CJ1275" s="12"/>
      <c r="CK1275" s="552"/>
      <c r="CL1275" s="552"/>
      <c r="CM1275" s="552"/>
      <c r="CN1275" s="552"/>
      <c r="CO1275" s="552"/>
      <c r="CP1275" s="552"/>
      <c r="CQ1275" s="552"/>
      <c r="CR1275" s="552"/>
      <c r="CS1275" s="552"/>
      <c r="CT1275" s="552"/>
      <c r="CU1275" s="552"/>
      <c r="CV1275" s="552"/>
      <c r="CW1275" s="12"/>
      <c r="CX1275" s="12"/>
      <c r="CY1275" s="12"/>
      <c r="CZ1275" s="12"/>
      <c r="DA1275" s="12"/>
      <c r="DB1275" s="552"/>
      <c r="DC1275" s="552"/>
      <c r="DD1275" s="552"/>
      <c r="DE1275" s="552"/>
      <c r="DF1275" s="552"/>
      <c r="DG1275" s="12"/>
      <c r="DH1275" s="12"/>
      <c r="DI1275" s="12"/>
      <c r="DJ1275" s="12"/>
      <c r="DK1275" s="12"/>
      <c r="DL1275" s="12"/>
      <c r="DM1275" s="12"/>
      <c r="DN1275" s="12"/>
      <c r="DO1275" s="12"/>
      <c r="DP1275" s="12"/>
      <c r="DQ1275" s="12"/>
      <c r="DR1275" s="12"/>
      <c r="DS1275" s="552"/>
      <c r="DT1275" s="552"/>
      <c r="DU1275" s="552"/>
      <c r="DV1275" s="552"/>
      <c r="DW1275" s="552"/>
      <c r="DX1275" s="12"/>
      <c r="DY1275" s="12"/>
      <c r="DZ1275" s="12"/>
      <c r="EA1275" s="12"/>
      <c r="EB1275" s="12"/>
      <c r="EC1275" s="12"/>
      <c r="ED1275" s="12"/>
      <c r="EE1275" s="12"/>
      <c r="EF1275" s="12"/>
      <c r="EG1275" s="12"/>
      <c r="EH1275" s="12"/>
      <c r="EI1275" s="12"/>
      <c r="EJ1275" s="574"/>
      <c r="EK1275" s="574"/>
      <c r="EL1275" s="574"/>
      <c r="EM1275" s="574"/>
      <c r="EN1275" s="574"/>
      <c r="EO1275" s="574"/>
      <c r="EP1275" s="574"/>
      <c r="EQ1275" s="574"/>
      <c r="ER1275" s="574"/>
      <c r="ES1275" s="574"/>
      <c r="ET1275" s="574"/>
      <c r="EU1275" s="574"/>
    </row>
    <row r="1276">
      <c r="A1276" s="552"/>
      <c r="B1276" s="552"/>
      <c r="C1276" s="552"/>
      <c r="D1276" s="552"/>
      <c r="E1276" s="552"/>
      <c r="F1276" s="552"/>
      <c r="G1276" s="552"/>
      <c r="H1276" s="552"/>
      <c r="I1276" s="552"/>
      <c r="J1276" s="552"/>
      <c r="K1276" s="552"/>
      <c r="L1276" s="552"/>
      <c r="M1276" s="552"/>
      <c r="N1276" s="552"/>
      <c r="O1276" s="552"/>
      <c r="P1276" s="552"/>
      <c r="Q1276" s="552"/>
      <c r="R1276" s="552"/>
      <c r="S1276" s="552"/>
      <c r="T1276" s="552"/>
      <c r="U1276" s="552"/>
      <c r="V1276" s="552"/>
      <c r="W1276" s="552"/>
      <c r="X1276" s="552"/>
      <c r="Y1276" s="552"/>
      <c r="Z1276" s="552"/>
      <c r="AA1276" s="552"/>
      <c r="AB1276" s="552"/>
      <c r="AC1276" s="552"/>
      <c r="AD1276" s="552"/>
      <c r="AE1276" s="552"/>
      <c r="AF1276" s="552"/>
      <c r="AG1276" s="552"/>
      <c r="AH1276" s="552"/>
      <c r="AI1276" s="552"/>
      <c r="AJ1276" s="552"/>
      <c r="AK1276" s="552"/>
      <c r="AL1276" s="552"/>
      <c r="AM1276" s="552"/>
      <c r="AN1276" s="552"/>
      <c r="AO1276" s="552"/>
      <c r="AP1276" s="552"/>
      <c r="AQ1276" s="552"/>
      <c r="AR1276" s="552"/>
      <c r="AS1276" s="552"/>
      <c r="AT1276" s="552"/>
      <c r="AU1276" s="552"/>
      <c r="AV1276" s="552"/>
      <c r="AW1276" s="552"/>
      <c r="AX1276" s="552"/>
      <c r="AY1276" s="552"/>
      <c r="AZ1276" s="552"/>
      <c r="BA1276" s="552"/>
      <c r="BB1276" s="552"/>
      <c r="BC1276" s="552"/>
      <c r="BD1276" s="552"/>
      <c r="BE1276" s="552"/>
      <c r="BF1276" s="552"/>
      <c r="BG1276" s="552"/>
      <c r="BH1276" s="552"/>
      <c r="BI1276" s="552"/>
      <c r="BJ1276" s="552"/>
      <c r="BK1276" s="552"/>
      <c r="BL1276" s="552"/>
      <c r="BM1276" s="552"/>
      <c r="BN1276" s="552"/>
      <c r="BO1276" s="552"/>
      <c r="BP1276" s="552"/>
      <c r="BQ1276" s="552"/>
      <c r="BR1276" s="552"/>
      <c r="BS1276" s="552"/>
      <c r="BT1276" s="552"/>
      <c r="BU1276" s="552"/>
      <c r="BV1276" s="552"/>
      <c r="BW1276" s="552"/>
      <c r="BX1276" s="552"/>
      <c r="BY1276" s="552"/>
      <c r="BZ1276" s="552"/>
      <c r="CA1276" s="552"/>
      <c r="CB1276" s="552"/>
      <c r="CC1276" s="552"/>
      <c r="CD1276" s="552"/>
      <c r="CE1276" s="552"/>
      <c r="CF1276" s="12"/>
      <c r="CG1276" s="12"/>
      <c r="CH1276" s="12"/>
      <c r="CI1276" s="12"/>
      <c r="CJ1276" s="12"/>
      <c r="CK1276" s="552"/>
      <c r="CL1276" s="552"/>
      <c r="CM1276" s="552"/>
      <c r="CN1276" s="552"/>
      <c r="CO1276" s="552"/>
      <c r="CP1276" s="552"/>
      <c r="CQ1276" s="552"/>
      <c r="CR1276" s="552"/>
      <c r="CS1276" s="552"/>
      <c r="CT1276" s="552"/>
      <c r="CU1276" s="552"/>
      <c r="CV1276" s="552"/>
      <c r="CW1276" s="12"/>
      <c r="CX1276" s="12"/>
      <c r="CY1276" s="12"/>
      <c r="CZ1276" s="12"/>
      <c r="DA1276" s="12"/>
      <c r="DB1276" s="552"/>
      <c r="DC1276" s="552"/>
      <c r="DD1276" s="552"/>
      <c r="DE1276" s="552"/>
      <c r="DF1276" s="552"/>
      <c r="DG1276" s="12"/>
      <c r="DH1276" s="12"/>
      <c r="DI1276" s="12"/>
      <c r="DJ1276" s="12"/>
      <c r="DK1276" s="12"/>
      <c r="DL1276" s="12"/>
      <c r="DM1276" s="12"/>
      <c r="DN1276" s="12"/>
      <c r="DO1276" s="12"/>
      <c r="DP1276" s="12"/>
      <c r="DQ1276" s="12"/>
      <c r="DR1276" s="12"/>
      <c r="DS1276" s="552"/>
      <c r="DT1276" s="552"/>
      <c r="DU1276" s="552"/>
      <c r="DV1276" s="552"/>
      <c r="DW1276" s="552"/>
      <c r="DX1276" s="12"/>
      <c r="DY1276" s="12"/>
      <c r="DZ1276" s="12"/>
      <c r="EA1276" s="12"/>
      <c r="EB1276" s="12"/>
      <c r="EC1276" s="12"/>
      <c r="ED1276" s="12"/>
      <c r="EE1276" s="12"/>
      <c r="EF1276" s="12"/>
      <c r="EG1276" s="12"/>
      <c r="EH1276" s="12"/>
      <c r="EI1276" s="12"/>
      <c r="EJ1276" s="574"/>
      <c r="EK1276" s="574"/>
      <c r="EL1276" s="574"/>
      <c r="EM1276" s="574"/>
      <c r="EN1276" s="574"/>
      <c r="EO1276" s="574"/>
      <c r="EP1276" s="574"/>
      <c r="EQ1276" s="574"/>
      <c r="ER1276" s="574"/>
      <c r="ES1276" s="574"/>
      <c r="ET1276" s="574"/>
      <c r="EU1276" s="574"/>
    </row>
  </sheetData>
  <mergeCells count="14">
    <mergeCell ref="BC3:BS3"/>
    <mergeCell ref="BT3:CJ3"/>
    <mergeCell ref="CK3:DA3"/>
    <mergeCell ref="DB3:DR3"/>
    <mergeCell ref="DS3:EI3"/>
    <mergeCell ref="EK123:EL123"/>
    <mergeCell ref="A2:C2"/>
    <mergeCell ref="A3:A4"/>
    <mergeCell ref="B3:B4"/>
    <mergeCell ref="C3:C4"/>
    <mergeCell ref="D3:T3"/>
    <mergeCell ref="U3:AK3"/>
    <mergeCell ref="AL3:BB3"/>
    <mergeCell ref="B232:C232"/>
  </mergeCell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1.57"/>
    <col customWidth="1" min="2" max="2" width="7.0"/>
    <col customWidth="1" min="3" max="3" width="48.14"/>
    <col customWidth="1" min="4" max="4" width="11.57"/>
    <col customWidth="1" min="5" max="5" width="12.29"/>
    <col customWidth="1" min="6" max="6" width="20.71"/>
    <col customWidth="1" min="8" max="8" width="17.86"/>
    <col customWidth="1" min="9" max="9" width="5.0"/>
    <col customWidth="1" min="11" max="11" width="17.57"/>
    <col customWidth="1" min="15" max="16" width="3.43"/>
    <col customWidth="1" min="17" max="17" width="4.86"/>
    <col customWidth="1" min="18" max="18" width="8.0"/>
    <col customWidth="1" min="19" max="19" width="24.57"/>
    <col customWidth="1" min="20" max="20" width="23.14"/>
    <col customWidth="1" min="26" max="26" width="21.57"/>
    <col customWidth="1" min="28" max="28" width="18.57"/>
  </cols>
  <sheetData>
    <row r="1">
      <c r="A1" s="677"/>
      <c r="B1" s="677"/>
      <c r="C1" s="677" t="s">
        <v>328</v>
      </c>
      <c r="D1" s="677" t="s">
        <v>329</v>
      </c>
      <c r="F1" s="678" t="s">
        <v>330</v>
      </c>
      <c r="G1" s="678" t="s">
        <v>331</v>
      </c>
      <c r="H1" s="678" t="s">
        <v>332</v>
      </c>
      <c r="I1" s="677"/>
      <c r="J1" s="678" t="s">
        <v>333</v>
      </c>
      <c r="K1" s="678" t="s">
        <v>334</v>
      </c>
      <c r="L1" s="678" t="s">
        <v>335</v>
      </c>
      <c r="M1" s="678" t="s">
        <v>336</v>
      </c>
      <c r="N1" s="678" t="s">
        <v>337</v>
      </c>
      <c r="O1" s="679"/>
      <c r="P1" s="679"/>
      <c r="Q1" s="680"/>
      <c r="R1" s="680" t="s">
        <v>338</v>
      </c>
      <c r="S1" s="680" t="s">
        <v>339</v>
      </c>
      <c r="T1" s="680" t="s">
        <v>340</v>
      </c>
      <c r="U1" s="681" t="s">
        <v>341</v>
      </c>
      <c r="V1" s="681" t="s">
        <v>342</v>
      </c>
      <c r="W1" s="681" t="s">
        <v>343</v>
      </c>
      <c r="X1" s="681" t="s">
        <v>344</v>
      </c>
      <c r="Y1" s="681" t="s">
        <v>345</v>
      </c>
      <c r="Z1" s="680" t="s">
        <v>346</v>
      </c>
      <c r="AA1" s="680" t="s">
        <v>347</v>
      </c>
      <c r="AB1" s="681" t="s">
        <v>348</v>
      </c>
      <c r="AC1" s="681" t="s">
        <v>349</v>
      </c>
      <c r="AD1" s="680" t="s">
        <v>350</v>
      </c>
      <c r="AE1" s="680" t="s">
        <v>351</v>
      </c>
      <c r="AF1" s="681" t="s">
        <v>352</v>
      </c>
      <c r="AG1" s="681" t="s">
        <v>353</v>
      </c>
      <c r="AH1" s="680" t="s">
        <v>354</v>
      </c>
      <c r="AI1" s="680" t="s">
        <v>355</v>
      </c>
      <c r="AJ1" s="681" t="s">
        <v>356</v>
      </c>
      <c r="AK1" s="681" t="s">
        <v>357</v>
      </c>
      <c r="AL1" s="680" t="s">
        <v>358</v>
      </c>
      <c r="AM1" s="680" t="s">
        <v>359</v>
      </c>
      <c r="AN1" s="681" t="s">
        <v>360</v>
      </c>
      <c r="AO1" s="681" t="s">
        <v>361</v>
      </c>
      <c r="AP1" s="679"/>
      <c r="AQ1" s="680"/>
      <c r="AR1" s="680" t="s">
        <v>338</v>
      </c>
      <c r="AS1" s="680" t="s">
        <v>339</v>
      </c>
      <c r="AT1" s="680" t="s">
        <v>340</v>
      </c>
      <c r="AU1" s="681" t="s">
        <v>341</v>
      </c>
      <c r="AV1" s="681" t="s">
        <v>342</v>
      </c>
      <c r="AW1" s="681" t="s">
        <v>343</v>
      </c>
      <c r="AX1" s="681" t="s">
        <v>344</v>
      </c>
      <c r="AY1" s="681" t="s">
        <v>345</v>
      </c>
      <c r="AZ1" s="680" t="s">
        <v>346</v>
      </c>
      <c r="BA1" s="680" t="s">
        <v>347</v>
      </c>
      <c r="BB1" s="681" t="s">
        <v>348</v>
      </c>
      <c r="BC1" s="681" t="s">
        <v>349</v>
      </c>
      <c r="BD1" s="680" t="s">
        <v>350</v>
      </c>
      <c r="BE1" s="680" t="s">
        <v>351</v>
      </c>
      <c r="BF1" s="681" t="s">
        <v>352</v>
      </c>
      <c r="BG1" s="681" t="s">
        <v>353</v>
      </c>
      <c r="BH1" s="680" t="s">
        <v>354</v>
      </c>
      <c r="BI1" s="680" t="s">
        <v>355</v>
      </c>
      <c r="BJ1" s="681" t="s">
        <v>356</v>
      </c>
      <c r="BK1" s="681" t="s">
        <v>357</v>
      </c>
      <c r="BL1" s="680" t="s">
        <v>358</v>
      </c>
      <c r="BM1" s="680" t="s">
        <v>359</v>
      </c>
      <c r="BN1" s="681" t="s">
        <v>360</v>
      </c>
      <c r="BO1" s="681" t="s">
        <v>361</v>
      </c>
      <c r="BP1" s="682"/>
    </row>
    <row r="2">
      <c r="A2" s="683"/>
      <c r="B2" s="683" t="str">
        <f>IFERROR(__xludf.DUMMYFUNCTION("IMPORTRANGE(""https://docs.google.com/spreadsheets/d/1NAA5c6yHINJLh0ZFy_xIOaZYdIHz2OMl_kXKvYunARY/edit#gid=1783348145"",""'Tabulasi  SKTNPB'!A3:M3"")"),"A1a")</f>
        <v>A1a</v>
      </c>
      <c r="C2" s="684" t="str">
        <f>IFERROR(__xludf.DUMMYFUNCTION("""COMPUTED_VALUE"""),"PERTANIAN TANAMAN PANGAN")</f>
        <v>PERTANIAN TANAMAN PANGAN</v>
      </c>
      <c r="D2" s="684">
        <f>IFERROR(__xludf.DUMMYFUNCTION("""COMPUTED_VALUE"""),0.0)</f>
        <v>0</v>
      </c>
      <c r="E2" s="684">
        <f>IFERROR(__xludf.DUMMYFUNCTION("""COMPUTED_VALUE"""),0.0)</f>
        <v>0</v>
      </c>
      <c r="F2" s="684">
        <f>IFERROR(__xludf.DUMMYFUNCTION("""COMPUTED_VALUE"""),0.0)</f>
        <v>0</v>
      </c>
      <c r="G2" s="684">
        <f>IFERROR(__xludf.DUMMYFUNCTION("""COMPUTED_VALUE"""),0.0)</f>
        <v>0</v>
      </c>
      <c r="H2" s="684">
        <f>IFERROR(__xludf.DUMMYFUNCTION("""COMPUTED_VALUE"""),0.0)</f>
        <v>0</v>
      </c>
      <c r="I2" s="684"/>
      <c r="J2" s="685" t="str">
        <f>IFERROR(__xludf.DUMMYFUNCTION("""COMPUTED_VALUE"""),"#DIV/0!")</f>
        <v>#DIV/0!</v>
      </c>
      <c r="K2" s="685" t="str">
        <f>IFERROR(__xludf.DUMMYFUNCTION("""COMPUTED_VALUE"""),"#DIV/0!")</f>
        <v>#DIV/0!</v>
      </c>
      <c r="L2" s="685" t="str">
        <f>IFERROR(__xludf.DUMMYFUNCTION("""COMPUTED_VALUE"""),"#DIV/0!")</f>
        <v>#DIV/0!</v>
      </c>
      <c r="M2" s="685" t="str">
        <f>IFERROR(__xludf.DUMMYFUNCTION("""COMPUTED_VALUE"""),"#DIV/0!")</f>
        <v>#DIV/0!</v>
      </c>
      <c r="N2" s="685" t="str">
        <f>IFERROR(__xludf.DUMMYFUNCTION("""COMPUTED_VALUE"""),"#DIV/0!")</f>
        <v>#DIV/0!</v>
      </c>
      <c r="O2" s="686"/>
      <c r="P2" s="686"/>
      <c r="Q2" s="686" t="str">
        <f>IFERROR(__xludf.DUMMYFUNCTION("IMPORTRANGE(""https://docs.google.com/spreadsheets/d/1NAA5c6yHINJLh0ZFy_xIOaZYdIHz2OMl_kXKvYunARY/edit#gid=1783348145"",""'PERTAMBANGAN LOGAM DASAR'!A2:AZ100"")"),"#N/A")</f>
        <v>#N/A</v>
      </c>
      <c r="R2" s="687"/>
      <c r="S2" s="682"/>
      <c r="T2" s="682"/>
      <c r="U2" s="687"/>
      <c r="V2" s="687"/>
      <c r="W2" s="688"/>
      <c r="X2" s="688"/>
      <c r="Y2" s="688"/>
      <c r="Z2" s="682"/>
      <c r="AA2" s="682"/>
      <c r="AB2" s="688"/>
      <c r="AC2" s="688"/>
      <c r="AD2" s="682"/>
      <c r="AE2" s="682"/>
      <c r="AF2" s="682"/>
      <c r="AG2" s="682"/>
      <c r="AH2" s="682"/>
      <c r="AI2" s="682"/>
      <c r="AJ2" s="682"/>
      <c r="AK2" s="682"/>
      <c r="AL2" s="682"/>
      <c r="AM2" s="682"/>
      <c r="AN2" s="682"/>
      <c r="AO2" s="682"/>
      <c r="AP2" s="682"/>
      <c r="AQ2" s="686" t="str">
        <f>IFERROR(__xludf.DUMMYFUNCTION("""COMPUTED_VALUE"""),"#N/A")</f>
        <v>#N/A</v>
      </c>
      <c r="AR2" s="687"/>
      <c r="AS2" s="682"/>
      <c r="AT2" s="682"/>
      <c r="AU2" s="687"/>
      <c r="AV2" s="687"/>
      <c r="AW2" s="688"/>
      <c r="AX2" s="688"/>
      <c r="AY2" s="688"/>
      <c r="AZ2" s="682"/>
      <c r="BA2" s="682"/>
      <c r="BB2" s="687"/>
      <c r="BC2" s="687"/>
      <c r="BD2" s="682"/>
      <c r="BE2" s="682"/>
      <c r="BF2" s="682"/>
      <c r="BG2" s="682"/>
      <c r="BH2" s="682"/>
      <c r="BI2" s="682"/>
      <c r="BJ2" s="682"/>
      <c r="BK2" s="682"/>
      <c r="BL2" s="682"/>
      <c r="BM2" s="682"/>
      <c r="BN2" s="682"/>
      <c r="BO2" s="682"/>
      <c r="BP2" s="682"/>
    </row>
    <row r="3">
      <c r="A3" s="682"/>
      <c r="B3" s="682"/>
      <c r="C3" s="682"/>
      <c r="D3" s="682"/>
      <c r="E3" s="682"/>
      <c r="F3" s="682"/>
      <c r="G3" s="682"/>
      <c r="H3" s="682"/>
      <c r="I3" s="682"/>
      <c r="J3" s="682"/>
      <c r="K3" s="682"/>
      <c r="L3" s="682"/>
      <c r="M3" s="682"/>
      <c r="N3" s="682"/>
      <c r="O3" s="686"/>
      <c r="P3" s="686"/>
      <c r="Q3" s="682"/>
      <c r="R3" s="682"/>
      <c r="S3" s="682"/>
      <c r="T3" s="682"/>
      <c r="U3" s="682"/>
      <c r="V3" s="682"/>
      <c r="W3" s="682"/>
      <c r="X3" s="682"/>
      <c r="Y3" s="682"/>
      <c r="Z3" s="682"/>
      <c r="AA3" s="682"/>
      <c r="AB3" s="689"/>
      <c r="AC3" s="689"/>
      <c r="AD3" s="682"/>
      <c r="AE3" s="682"/>
      <c r="AF3" s="682"/>
      <c r="AG3" s="682"/>
      <c r="AH3" s="682"/>
      <c r="AI3" s="682"/>
      <c r="AJ3" s="682"/>
      <c r="AK3" s="682"/>
      <c r="AL3" s="682"/>
      <c r="AM3" s="682"/>
      <c r="AN3" s="682"/>
      <c r="AO3" s="682"/>
      <c r="AP3" s="682"/>
      <c r="AQ3" s="682"/>
      <c r="AR3" s="687"/>
      <c r="AS3" s="682"/>
      <c r="AT3" s="682"/>
      <c r="AU3" s="687"/>
      <c r="AV3" s="687"/>
      <c r="AW3" s="688"/>
      <c r="AX3" s="688"/>
      <c r="AY3" s="688"/>
      <c r="AZ3" s="682"/>
      <c r="BA3" s="682"/>
      <c r="BB3" s="687"/>
      <c r="BC3" s="687"/>
      <c r="BD3" s="682"/>
      <c r="BE3" s="682"/>
      <c r="BF3" s="682"/>
      <c r="BG3" s="682"/>
      <c r="BH3" s="682"/>
      <c r="BI3" s="682"/>
      <c r="BJ3" s="682"/>
      <c r="BK3" s="682"/>
      <c r="BL3" s="682"/>
      <c r="BM3" s="682"/>
      <c r="BN3" s="682"/>
      <c r="BO3" s="682"/>
      <c r="BP3" s="682"/>
    </row>
    <row r="4">
      <c r="A4" s="686"/>
      <c r="B4" s="686" t="str">
        <f>IFERROR(__xludf.DUMMYFUNCTION("IMPORTRANGE(""https://docs.google.com/spreadsheets/d/1NAA5c6yHINJLh0ZFy_xIOaZYdIHz2OMl_kXKvYunARY/edit#gid=1783348145"",""'Tabulasi  SKTNPB'!A11:M11"")"),"#REF!")</f>
        <v>#REF!</v>
      </c>
      <c r="C4" s="690" t="s">
        <v>362</v>
      </c>
      <c r="D4" s="691">
        <v>4.0</v>
      </c>
      <c r="E4" s="691">
        <v>6.0</v>
      </c>
      <c r="F4" s="692">
        <v>1.05514124779719E12</v>
      </c>
      <c r="G4" s="692">
        <v>8.8794823045357E11</v>
      </c>
      <c r="H4" s="692">
        <v>4.32017708078E11</v>
      </c>
      <c r="I4" s="682"/>
      <c r="J4" s="693">
        <v>1.7585687463287E11</v>
      </c>
      <c r="K4" s="693">
        <v>1.47991371742262E11</v>
      </c>
      <c r="L4" s="693">
        <v>1.080044270195E11</v>
      </c>
      <c r="M4" s="694">
        <v>-15.85</v>
      </c>
      <c r="N4" s="694">
        <v>37.02</v>
      </c>
      <c r="O4" s="686"/>
      <c r="P4" s="686"/>
      <c r="Q4" s="682"/>
      <c r="R4" s="682"/>
      <c r="S4" s="682"/>
      <c r="T4" s="682"/>
      <c r="U4" s="682"/>
      <c r="V4" s="682"/>
      <c r="W4" s="682"/>
      <c r="X4" s="682"/>
      <c r="Y4" s="682"/>
      <c r="Z4" s="682"/>
      <c r="AA4" s="682"/>
      <c r="AB4" s="682"/>
      <c r="AC4" s="682"/>
      <c r="AD4" s="682"/>
      <c r="AE4" s="682"/>
      <c r="AF4" s="682"/>
      <c r="AG4" s="682"/>
      <c r="AH4" s="682"/>
      <c r="AI4" s="682"/>
      <c r="AJ4" s="682"/>
      <c r="AK4" s="682"/>
      <c r="AL4" s="682"/>
      <c r="AM4" s="682"/>
      <c r="AN4" s="682"/>
      <c r="AO4" s="682"/>
      <c r="AP4" s="682"/>
      <c r="AQ4" s="682"/>
      <c r="AR4" s="687"/>
      <c r="AS4" s="682"/>
      <c r="AT4" s="682"/>
      <c r="AU4" s="687"/>
      <c r="AV4" s="687"/>
      <c r="AW4" s="688"/>
      <c r="AX4" s="688"/>
      <c r="AY4" s="688"/>
      <c r="AZ4" s="682"/>
      <c r="BA4" s="682"/>
      <c r="BB4" s="687"/>
      <c r="BC4" s="687"/>
      <c r="BD4" s="682"/>
      <c r="BE4" s="682"/>
      <c r="BF4" s="682"/>
      <c r="BG4" s="682"/>
      <c r="BH4" s="682"/>
      <c r="BI4" s="682"/>
      <c r="BJ4" s="682"/>
      <c r="BK4" s="682"/>
      <c r="BL4" s="682"/>
      <c r="BM4" s="682"/>
      <c r="BN4" s="682"/>
      <c r="BO4" s="682"/>
      <c r="BP4" s="682"/>
    </row>
    <row r="5">
      <c r="A5" s="682"/>
      <c r="B5" s="682"/>
      <c r="C5" s="682"/>
      <c r="D5" s="682"/>
      <c r="E5" s="682"/>
      <c r="F5" s="682"/>
      <c r="G5" s="682"/>
      <c r="H5" s="682"/>
      <c r="I5" s="682"/>
      <c r="J5" s="682"/>
      <c r="K5" s="682"/>
      <c r="L5" s="682"/>
      <c r="M5" s="682"/>
      <c r="N5" s="682"/>
      <c r="O5" s="686"/>
      <c r="P5" s="686"/>
      <c r="Q5" s="682"/>
      <c r="R5" s="682"/>
      <c r="S5" s="682"/>
      <c r="T5" s="682"/>
      <c r="U5" s="682"/>
      <c r="V5" s="682"/>
      <c r="W5" s="682"/>
      <c r="X5" s="682"/>
      <c r="Y5" s="682"/>
      <c r="Z5" s="682"/>
      <c r="AA5" s="682"/>
      <c r="AB5" s="682"/>
      <c r="AC5" s="682"/>
      <c r="AD5" s="682"/>
      <c r="AE5" s="682"/>
      <c r="AF5" s="682"/>
      <c r="AG5" s="682"/>
      <c r="AH5" s="682"/>
      <c r="AI5" s="682"/>
      <c r="AJ5" s="682"/>
      <c r="AK5" s="682"/>
      <c r="AL5" s="682"/>
      <c r="AM5" s="682"/>
      <c r="AN5" s="682"/>
      <c r="AO5" s="682"/>
      <c r="AP5" s="682"/>
      <c r="AQ5" s="682"/>
      <c r="AR5" s="687"/>
      <c r="AS5" s="682"/>
      <c r="AT5" s="682"/>
      <c r="AU5" s="687"/>
      <c r="AV5" s="687"/>
      <c r="AW5" s="688"/>
      <c r="AX5" s="688"/>
      <c r="AY5" s="688"/>
      <c r="AZ5" s="682"/>
      <c r="BA5" s="682"/>
      <c r="BB5" s="687"/>
      <c r="BC5" s="687"/>
      <c r="BD5" s="682"/>
      <c r="BE5" s="682"/>
      <c r="BF5" s="682"/>
      <c r="BG5" s="682"/>
      <c r="BH5" s="682"/>
      <c r="BI5" s="682"/>
      <c r="BJ5" s="682"/>
      <c r="BK5" s="682"/>
      <c r="BL5" s="682"/>
      <c r="BM5" s="682"/>
      <c r="BN5" s="682"/>
      <c r="BO5" s="682"/>
      <c r="BP5" s="682"/>
    </row>
    <row r="6">
      <c r="A6" s="682"/>
      <c r="B6" s="682"/>
      <c r="C6" s="682"/>
      <c r="D6" s="682"/>
      <c r="E6" s="682"/>
      <c r="F6" s="682"/>
      <c r="G6" s="682"/>
      <c r="H6" s="682"/>
      <c r="I6" s="682"/>
      <c r="J6" s="682"/>
      <c r="K6" s="682"/>
      <c r="L6" s="682"/>
      <c r="M6" s="682"/>
      <c r="N6" s="682"/>
      <c r="O6" s="686"/>
      <c r="P6" s="686"/>
      <c r="Q6" s="682"/>
      <c r="R6" s="682"/>
      <c r="S6" s="682"/>
      <c r="T6" s="682"/>
      <c r="U6" s="682"/>
      <c r="V6" s="682"/>
      <c r="W6" s="682"/>
      <c r="X6" s="682"/>
      <c r="Y6" s="682"/>
      <c r="Z6" s="682"/>
      <c r="AA6" s="682"/>
      <c r="AB6" s="682"/>
      <c r="AC6" s="682"/>
      <c r="AD6" s="682"/>
      <c r="AE6" s="682"/>
      <c r="AF6" s="682"/>
      <c r="AG6" s="682"/>
      <c r="AH6" s="682"/>
      <c r="AI6" s="682"/>
      <c r="AJ6" s="682"/>
      <c r="AK6" s="682"/>
      <c r="AL6" s="682"/>
      <c r="AM6" s="682"/>
      <c r="AN6" s="682"/>
      <c r="AO6" s="682"/>
      <c r="AP6" s="682"/>
      <c r="AQ6" s="682"/>
      <c r="AR6" s="687"/>
      <c r="AS6" s="682"/>
      <c r="AT6" s="682"/>
      <c r="AU6" s="687"/>
      <c r="AV6" s="687"/>
      <c r="AW6" s="688"/>
      <c r="AX6" s="688"/>
      <c r="AY6" s="695"/>
      <c r="AZ6" s="682"/>
      <c r="BA6" s="682"/>
      <c r="BB6" s="687"/>
      <c r="BC6" s="687"/>
      <c r="BD6" s="682"/>
      <c r="BE6" s="682"/>
      <c r="BF6" s="682"/>
      <c r="BG6" s="682"/>
      <c r="BH6" s="682"/>
      <c r="BI6" s="682"/>
      <c r="BJ6" s="682"/>
      <c r="BK6" s="682"/>
      <c r="BL6" s="682"/>
      <c r="BM6" s="682"/>
      <c r="BN6" s="682"/>
      <c r="BO6" s="682"/>
      <c r="BP6" s="682"/>
    </row>
    <row r="7">
      <c r="A7" s="682"/>
      <c r="B7" s="682"/>
      <c r="C7" s="682"/>
      <c r="D7" s="682"/>
      <c r="E7" s="682"/>
      <c r="F7" s="682"/>
      <c r="G7" s="682"/>
      <c r="H7" s="682"/>
      <c r="I7" s="682"/>
      <c r="J7" s="682"/>
      <c r="K7" s="682"/>
      <c r="L7" s="682"/>
      <c r="M7" s="682"/>
      <c r="N7" s="682"/>
      <c r="O7" s="686"/>
      <c r="P7" s="686"/>
      <c r="Q7" s="682"/>
      <c r="R7" s="682"/>
      <c r="S7" s="682"/>
      <c r="T7" s="682"/>
      <c r="U7" s="682"/>
      <c r="V7" s="682"/>
      <c r="W7" s="682"/>
      <c r="X7" s="682"/>
      <c r="Y7" s="682"/>
      <c r="Z7" s="682"/>
      <c r="AA7" s="682"/>
      <c r="AB7" s="682"/>
      <c r="AC7" s="682"/>
      <c r="AD7" s="682"/>
      <c r="AE7" s="682"/>
      <c r="AF7" s="682"/>
      <c r="AG7" s="682"/>
      <c r="AH7" s="682"/>
      <c r="AI7" s="682"/>
      <c r="AJ7" s="682"/>
      <c r="AK7" s="682"/>
      <c r="AL7" s="682"/>
      <c r="AM7" s="682"/>
      <c r="AN7" s="682"/>
      <c r="AO7" s="682"/>
      <c r="AP7" s="682"/>
      <c r="AQ7" s="682"/>
      <c r="AR7" s="682"/>
      <c r="AS7" s="682"/>
      <c r="AT7" s="682"/>
      <c r="AU7" s="682"/>
      <c r="AV7" s="682"/>
      <c r="AW7" s="682"/>
      <c r="AX7" s="682"/>
      <c r="AY7" s="682"/>
      <c r="AZ7" s="682"/>
      <c r="BA7" s="682"/>
      <c r="BB7" s="682"/>
      <c r="BC7" s="682"/>
      <c r="BD7" s="682"/>
      <c r="BE7" s="682"/>
      <c r="BF7" s="682"/>
      <c r="BG7" s="682"/>
      <c r="BH7" s="682"/>
      <c r="BI7" s="682"/>
      <c r="BJ7" s="682"/>
      <c r="BK7" s="682"/>
      <c r="BL7" s="682"/>
      <c r="BM7" s="682"/>
      <c r="BN7" s="682"/>
      <c r="BO7" s="682"/>
      <c r="BP7" s="682"/>
    </row>
    <row r="8">
      <c r="A8" s="682"/>
      <c r="B8" s="682"/>
      <c r="C8" s="682"/>
      <c r="D8" s="682"/>
      <c r="E8" s="682"/>
      <c r="F8" s="682"/>
      <c r="G8" s="682"/>
      <c r="H8" s="682"/>
      <c r="I8" s="682"/>
      <c r="J8" s="682"/>
      <c r="K8" s="682"/>
      <c r="L8" s="682"/>
      <c r="M8" s="682"/>
      <c r="N8" s="682"/>
      <c r="O8" s="686"/>
      <c r="P8" s="686"/>
      <c r="Q8" s="682"/>
      <c r="R8" s="682"/>
      <c r="S8" s="682"/>
      <c r="T8" s="682"/>
      <c r="U8" s="682"/>
      <c r="V8" s="682"/>
      <c r="W8" s="682"/>
      <c r="X8" s="682"/>
      <c r="Y8" s="682"/>
      <c r="Z8" s="682"/>
      <c r="AA8" s="682"/>
      <c r="AB8" s="682"/>
      <c r="AC8" s="682"/>
      <c r="AD8" s="682"/>
      <c r="AE8" s="682"/>
      <c r="AF8" s="682"/>
      <c r="AG8" s="682"/>
      <c r="AH8" s="682"/>
      <c r="AI8" s="682"/>
      <c r="AJ8" s="682"/>
      <c r="AK8" s="682"/>
      <c r="AL8" s="682"/>
      <c r="AM8" s="682"/>
      <c r="AN8" s="682"/>
      <c r="AO8" s="682"/>
      <c r="AP8" s="682"/>
      <c r="AQ8" s="682"/>
      <c r="AR8" s="682"/>
      <c r="AS8" s="682"/>
      <c r="AT8" s="682"/>
      <c r="AU8" s="682"/>
      <c r="AV8" s="682"/>
      <c r="AW8" s="682"/>
      <c r="AX8" s="682"/>
      <c r="AY8" s="682"/>
      <c r="AZ8" s="682"/>
      <c r="BA8" s="682"/>
      <c r="BB8" s="682"/>
      <c r="BC8" s="682"/>
      <c r="BD8" s="682"/>
      <c r="BE8" s="682"/>
      <c r="BF8" s="682"/>
      <c r="BG8" s="682"/>
      <c r="BH8" s="682"/>
      <c r="BI8" s="682"/>
      <c r="BJ8" s="682"/>
      <c r="BK8" s="682"/>
      <c r="BL8" s="682"/>
      <c r="BM8" s="682"/>
      <c r="BN8" s="682"/>
      <c r="BO8" s="682"/>
      <c r="BP8" s="682"/>
    </row>
    <row r="9">
      <c r="A9" s="682"/>
      <c r="B9" s="682"/>
      <c r="C9" s="682"/>
      <c r="D9" s="682"/>
      <c r="E9" s="682"/>
      <c r="F9" s="682"/>
      <c r="G9" s="682"/>
      <c r="H9" s="682"/>
      <c r="I9" s="682"/>
      <c r="J9" s="682"/>
      <c r="K9" s="682"/>
      <c r="L9" s="682"/>
      <c r="M9" s="682"/>
      <c r="N9" s="682"/>
      <c r="O9" s="686"/>
      <c r="P9" s="686"/>
      <c r="Q9" s="682"/>
      <c r="R9" s="682"/>
      <c r="S9" s="682"/>
      <c r="T9" s="682"/>
      <c r="U9" s="682"/>
      <c r="V9" s="682"/>
      <c r="W9" s="682"/>
      <c r="X9" s="682"/>
      <c r="Y9" s="682"/>
      <c r="Z9" s="682"/>
      <c r="AA9" s="682"/>
      <c r="AB9" s="682"/>
      <c r="AC9" s="682"/>
      <c r="AD9" s="682"/>
      <c r="AE9" s="682"/>
      <c r="AF9" s="682"/>
      <c r="AG9" s="682"/>
      <c r="AH9" s="682"/>
      <c r="AI9" s="682"/>
      <c r="AJ9" s="682"/>
      <c r="AK9" s="682"/>
      <c r="AL9" s="682"/>
      <c r="AM9" s="682"/>
      <c r="AN9" s="682"/>
      <c r="AO9" s="682"/>
      <c r="AP9" s="682"/>
      <c r="AQ9" s="682"/>
      <c r="AR9" s="682"/>
      <c r="AS9" s="682"/>
      <c r="AT9" s="682"/>
      <c r="AU9" s="682"/>
      <c r="AV9" s="682"/>
      <c r="AW9" s="682"/>
      <c r="AX9" s="682"/>
      <c r="AY9" s="682"/>
      <c r="AZ9" s="682"/>
      <c r="BA9" s="682"/>
      <c r="BB9" s="682"/>
      <c r="BC9" s="682"/>
      <c r="BD9" s="682"/>
      <c r="BE9" s="682"/>
      <c r="BF9" s="682"/>
      <c r="BG9" s="682"/>
      <c r="BH9" s="682"/>
      <c r="BI9" s="682"/>
      <c r="BJ9" s="682"/>
      <c r="BK9" s="682"/>
      <c r="BL9" s="682"/>
      <c r="BM9" s="682"/>
      <c r="BN9" s="682"/>
      <c r="BO9" s="682"/>
      <c r="BP9" s="682"/>
    </row>
    <row r="10">
      <c r="A10" s="682"/>
      <c r="B10" s="682"/>
      <c r="C10" s="682"/>
      <c r="D10" s="682"/>
      <c r="E10" s="682"/>
      <c r="F10" s="682"/>
      <c r="G10" s="682"/>
      <c r="H10" s="682"/>
      <c r="I10" s="682"/>
      <c r="J10" s="682"/>
      <c r="K10" s="682"/>
      <c r="L10" s="682"/>
      <c r="M10" s="682"/>
      <c r="N10" s="682"/>
      <c r="O10" s="686"/>
      <c r="P10" s="686"/>
      <c r="Q10" s="682"/>
      <c r="R10" s="682"/>
      <c r="S10" s="682"/>
      <c r="T10" s="682"/>
      <c r="U10" s="682"/>
      <c r="V10" s="682"/>
      <c r="W10" s="682"/>
      <c r="X10" s="682"/>
      <c r="Y10" s="682"/>
      <c r="Z10" s="682"/>
      <c r="AA10" s="682"/>
      <c r="AB10" s="682"/>
      <c r="AC10" s="682"/>
      <c r="AD10" s="682"/>
      <c r="AE10" s="682"/>
      <c r="AF10" s="682"/>
      <c r="AG10" s="682"/>
      <c r="AH10" s="682"/>
      <c r="AI10" s="682"/>
      <c r="AJ10" s="682"/>
      <c r="AK10" s="682"/>
      <c r="AL10" s="682"/>
      <c r="AM10" s="682"/>
      <c r="AN10" s="682"/>
      <c r="AO10" s="682"/>
      <c r="AP10" s="682"/>
      <c r="AQ10" s="682"/>
      <c r="AR10" s="682"/>
      <c r="AS10" s="682"/>
      <c r="AT10" s="682"/>
      <c r="AU10" s="682"/>
      <c r="AV10" s="682"/>
      <c r="AW10" s="682"/>
      <c r="AX10" s="687"/>
      <c r="AY10" s="682"/>
      <c r="AZ10" s="682"/>
      <c r="BA10" s="682"/>
      <c r="BB10" s="687"/>
      <c r="BC10" s="682"/>
      <c r="BD10" s="682"/>
      <c r="BE10" s="682"/>
      <c r="BF10" s="682"/>
      <c r="BG10" s="682"/>
      <c r="BH10" s="682"/>
      <c r="BI10" s="682"/>
      <c r="BJ10" s="682"/>
      <c r="BK10" s="682"/>
      <c r="BL10" s="682"/>
      <c r="BM10" s="682"/>
      <c r="BN10" s="682"/>
      <c r="BO10" s="682"/>
      <c r="BP10" s="682"/>
    </row>
    <row r="11">
      <c r="A11" s="696"/>
      <c r="B11" s="696"/>
      <c r="C11" s="696" t="s">
        <v>328</v>
      </c>
      <c r="D11" s="697" t="s">
        <v>329</v>
      </c>
      <c r="F11" s="698" t="s">
        <v>330</v>
      </c>
      <c r="G11" s="698" t="s">
        <v>331</v>
      </c>
      <c r="H11" s="698" t="s">
        <v>332</v>
      </c>
      <c r="I11" s="696"/>
      <c r="J11" s="698" t="s">
        <v>333</v>
      </c>
      <c r="K11" s="698" t="s">
        <v>334</v>
      </c>
      <c r="L11" s="698" t="s">
        <v>335</v>
      </c>
      <c r="M11" s="699" t="s">
        <v>336</v>
      </c>
      <c r="N11" s="699" t="s">
        <v>337</v>
      </c>
      <c r="O11" s="686"/>
      <c r="P11" s="686"/>
      <c r="Q11" s="682"/>
      <c r="R11" s="682"/>
      <c r="S11" s="682"/>
      <c r="T11" s="682"/>
      <c r="U11" s="682"/>
      <c r="V11" s="682"/>
      <c r="W11" s="682"/>
      <c r="X11" s="682"/>
      <c r="Y11" s="682"/>
      <c r="Z11" s="682"/>
      <c r="AA11" s="682"/>
      <c r="AB11" s="682"/>
      <c r="AC11" s="682"/>
      <c r="AD11" s="682"/>
      <c r="AE11" s="682"/>
      <c r="AF11" s="682"/>
      <c r="AG11" s="682"/>
      <c r="AH11" s="682"/>
      <c r="AI11" s="682"/>
      <c r="AJ11" s="682"/>
      <c r="AK11" s="682"/>
      <c r="AL11" s="682"/>
      <c r="AM11" s="682"/>
      <c r="AN11" s="682"/>
      <c r="AO11" s="682"/>
      <c r="AP11" s="682"/>
      <c r="AQ11" s="682"/>
      <c r="AR11" s="682"/>
      <c r="AS11" s="682"/>
      <c r="AT11" s="682"/>
      <c r="AU11" s="682"/>
      <c r="AV11" s="682"/>
      <c r="AW11" s="682"/>
      <c r="AX11" s="682"/>
      <c r="AY11" s="682"/>
      <c r="AZ11" s="682"/>
      <c r="BA11" s="682"/>
      <c r="BB11" s="682"/>
      <c r="BC11" s="682"/>
      <c r="BD11" s="682"/>
      <c r="BE11" s="682"/>
      <c r="BF11" s="682"/>
      <c r="BG11" s="682"/>
      <c r="BH11" s="682"/>
      <c r="BI11" s="682"/>
      <c r="BJ11" s="682"/>
      <c r="BK11" s="682"/>
      <c r="BL11" s="682"/>
      <c r="BM11" s="682"/>
      <c r="BN11" s="682"/>
      <c r="BO11" s="682"/>
      <c r="BP11" s="682"/>
    </row>
    <row r="12" ht="37.5" customHeight="1">
      <c r="A12" s="700"/>
      <c r="B12" s="700"/>
      <c r="C12" s="700"/>
      <c r="D12" s="701" t="s">
        <v>363</v>
      </c>
      <c r="E12" s="701" t="s">
        <v>364</v>
      </c>
      <c r="F12" s="701" t="s">
        <v>365</v>
      </c>
      <c r="G12" s="701" t="s">
        <v>364</v>
      </c>
      <c r="H12" s="701" t="s">
        <v>363</v>
      </c>
      <c r="I12" s="700"/>
      <c r="J12" s="701" t="s">
        <v>365</v>
      </c>
      <c r="K12" s="701" t="s">
        <v>364</v>
      </c>
      <c r="L12" s="701" t="s">
        <v>363</v>
      </c>
      <c r="M12" s="700"/>
      <c r="N12" s="700"/>
      <c r="O12" s="686"/>
      <c r="P12" s="686"/>
      <c r="Q12" s="682"/>
      <c r="R12" s="682"/>
      <c r="S12" s="682"/>
      <c r="T12" s="682"/>
      <c r="U12" s="682"/>
      <c r="V12" s="682"/>
      <c r="W12" s="682"/>
      <c r="X12" s="682"/>
      <c r="Y12" s="682"/>
      <c r="Z12" s="682"/>
      <c r="AA12" s="682"/>
      <c r="AB12" s="682"/>
      <c r="AC12" s="682"/>
      <c r="AD12" s="682"/>
      <c r="AE12" s="682"/>
      <c r="AF12" s="682"/>
      <c r="AG12" s="682"/>
      <c r="AH12" s="682"/>
      <c r="AI12" s="682"/>
      <c r="AJ12" s="682"/>
      <c r="AK12" s="682"/>
      <c r="AL12" s="682"/>
      <c r="AM12" s="682"/>
      <c r="AN12" s="682"/>
      <c r="AO12" s="682"/>
      <c r="AP12" s="682"/>
      <c r="AQ12" s="682"/>
      <c r="AR12" s="682"/>
      <c r="AS12" s="682"/>
      <c r="AT12" s="682"/>
      <c r="AU12" s="682"/>
      <c r="AV12" s="682"/>
      <c r="AW12" s="682"/>
      <c r="AX12" s="682"/>
      <c r="AY12" s="682"/>
      <c r="AZ12" s="682"/>
      <c r="BA12" s="682"/>
      <c r="BB12" s="682"/>
      <c r="BC12" s="682"/>
      <c r="BD12" s="682"/>
      <c r="BE12" s="682"/>
      <c r="BF12" s="682"/>
      <c r="BG12" s="682"/>
      <c r="BH12" s="682"/>
      <c r="BI12" s="682"/>
      <c r="BJ12" s="682"/>
      <c r="BK12" s="682"/>
      <c r="BL12" s="682"/>
      <c r="BM12" s="682"/>
      <c r="BN12" s="682"/>
      <c r="BO12" s="682"/>
      <c r="BP12" s="682"/>
    </row>
    <row r="13">
      <c r="A13" s="694"/>
      <c r="B13" s="694" t="s">
        <v>366</v>
      </c>
      <c r="C13" s="694" t="s">
        <v>367</v>
      </c>
      <c r="D13" s="694">
        <v>5.0</v>
      </c>
      <c r="E13" s="694">
        <v>2.0</v>
      </c>
      <c r="F13" s="693">
        <v>3.290230036E10</v>
      </c>
      <c r="G13" s="693">
        <v>3.3729834465E10</v>
      </c>
      <c r="H13" s="693">
        <v>1.08482774387419E12</v>
      </c>
      <c r="I13" s="682"/>
      <c r="J13" s="693">
        <v>1.645115018E10</v>
      </c>
      <c r="K13" s="693">
        <v>1.68649172325E10</v>
      </c>
      <c r="L13" s="693">
        <v>2.1696554877484E11</v>
      </c>
      <c r="M13" s="694">
        <v>2.52</v>
      </c>
      <c r="N13" s="694">
        <v>-92.23</v>
      </c>
      <c r="O13" s="686"/>
      <c r="P13" s="686"/>
      <c r="Q13" s="682"/>
      <c r="R13" s="682"/>
      <c r="S13" s="682"/>
      <c r="T13" s="682"/>
      <c r="U13" s="682"/>
      <c r="V13" s="682"/>
      <c r="W13" s="682"/>
      <c r="X13" s="682"/>
      <c r="Y13" s="682"/>
      <c r="Z13" s="682"/>
      <c r="AA13" s="682"/>
      <c r="AB13" s="682"/>
      <c r="AC13" s="682"/>
      <c r="AD13" s="682"/>
      <c r="AE13" s="682"/>
      <c r="AF13" s="682"/>
      <c r="AG13" s="682"/>
      <c r="AH13" s="682"/>
      <c r="AI13" s="682"/>
      <c r="AJ13" s="682"/>
      <c r="AK13" s="682"/>
      <c r="AL13" s="682"/>
      <c r="AM13" s="682"/>
      <c r="AN13" s="682"/>
      <c r="AO13" s="682"/>
      <c r="AP13" s="682"/>
      <c r="AQ13" s="682"/>
      <c r="AR13" s="682"/>
      <c r="AS13" s="682"/>
      <c r="AT13" s="682"/>
      <c r="AU13" s="682"/>
      <c r="AV13" s="682"/>
      <c r="AW13" s="682"/>
      <c r="AX13" s="682"/>
      <c r="AY13" s="682"/>
      <c r="AZ13" s="682"/>
      <c r="BA13" s="682"/>
      <c r="BB13" s="682"/>
      <c r="BC13" s="682"/>
      <c r="BD13" s="682"/>
      <c r="BE13" s="682"/>
      <c r="BF13" s="682"/>
      <c r="BG13" s="682"/>
      <c r="BH13" s="682"/>
      <c r="BI13" s="682"/>
      <c r="BJ13" s="682"/>
      <c r="BK13" s="682"/>
      <c r="BL13" s="682"/>
      <c r="BM13" s="682"/>
      <c r="BN13" s="682"/>
      <c r="BO13" s="682"/>
      <c r="BP13" s="682"/>
    </row>
    <row r="14">
      <c r="A14" s="694"/>
      <c r="B14" s="694" t="s">
        <v>368</v>
      </c>
      <c r="C14" s="694" t="s">
        <v>369</v>
      </c>
      <c r="D14" s="694">
        <v>38.0</v>
      </c>
      <c r="E14" s="694">
        <v>26.0</v>
      </c>
      <c r="F14" s="693">
        <v>1.71813E9</v>
      </c>
      <c r="G14" s="693">
        <v>2.426866798E9</v>
      </c>
      <c r="H14" s="693">
        <v>2.5376015645E10</v>
      </c>
      <c r="I14" s="682"/>
      <c r="J14" s="693">
        <v>6.608192308E7</v>
      </c>
      <c r="K14" s="693">
        <v>9.334103069E7</v>
      </c>
      <c r="L14" s="693">
        <v>6.6778988539E8</v>
      </c>
      <c r="M14" s="694">
        <v>41.25</v>
      </c>
      <c r="N14" s="694">
        <v>-86.02</v>
      </c>
      <c r="O14" s="686"/>
      <c r="P14" s="686"/>
      <c r="Q14" s="682"/>
      <c r="R14" s="682"/>
      <c r="S14" s="682"/>
      <c r="T14" s="682"/>
      <c r="U14" s="682"/>
      <c r="V14" s="682"/>
      <c r="W14" s="682"/>
      <c r="X14" s="682"/>
      <c r="Y14" s="682"/>
      <c r="Z14" s="682"/>
      <c r="AA14" s="682"/>
      <c r="AB14" s="682"/>
      <c r="AC14" s="682"/>
      <c r="AD14" s="682"/>
      <c r="AE14" s="682"/>
      <c r="AF14" s="682"/>
      <c r="AG14" s="682"/>
      <c r="AH14" s="682"/>
      <c r="AI14" s="682"/>
      <c r="AJ14" s="682"/>
      <c r="AK14" s="682"/>
      <c r="AL14" s="682"/>
      <c r="AM14" s="682"/>
      <c r="AN14" s="682"/>
      <c r="AO14" s="682"/>
      <c r="AP14" s="682"/>
      <c r="AQ14" s="682"/>
      <c r="AR14" s="682"/>
      <c r="AS14" s="682"/>
      <c r="AT14" s="682"/>
      <c r="AU14" s="682"/>
      <c r="AV14" s="682"/>
      <c r="AW14" s="682"/>
      <c r="AX14" s="682"/>
      <c r="AY14" s="682"/>
      <c r="AZ14" s="682"/>
      <c r="BA14" s="682"/>
      <c r="BB14" s="682"/>
      <c r="BC14" s="682"/>
      <c r="BD14" s="682"/>
      <c r="BE14" s="682"/>
      <c r="BF14" s="682"/>
      <c r="BG14" s="682"/>
      <c r="BH14" s="682"/>
      <c r="BI14" s="682"/>
      <c r="BJ14" s="682"/>
      <c r="BK14" s="682"/>
      <c r="BL14" s="682"/>
      <c r="BM14" s="682"/>
      <c r="BN14" s="682"/>
      <c r="BO14" s="682"/>
      <c r="BP14" s="682"/>
    </row>
    <row r="15">
      <c r="A15" s="694" t="s">
        <v>370</v>
      </c>
      <c r="B15" s="694" t="s">
        <v>366</v>
      </c>
      <c r="C15" s="694" t="s">
        <v>367</v>
      </c>
      <c r="D15" s="694">
        <v>6.0</v>
      </c>
      <c r="E15" s="694">
        <v>2.0</v>
      </c>
      <c r="F15" s="693">
        <v>3.3729854485E10</v>
      </c>
      <c r="G15" s="693">
        <v>7.1811574875E10</v>
      </c>
      <c r="H15" s="693">
        <v>8.8794823045357E11</v>
      </c>
      <c r="I15" s="682"/>
      <c r="J15" s="693">
        <v>1.68649272425E10</v>
      </c>
      <c r="K15" s="693">
        <v>3.59057874375E10</v>
      </c>
      <c r="L15" s="693">
        <v>1.4799137174226E11</v>
      </c>
      <c r="M15" s="694">
        <v>112.9</v>
      </c>
      <c r="N15" s="694">
        <v>-75.74</v>
      </c>
      <c r="O15" s="686"/>
      <c r="P15" s="686"/>
      <c r="Q15" s="682"/>
      <c r="R15" s="682"/>
      <c r="S15" s="682"/>
      <c r="T15" s="682"/>
      <c r="U15" s="682"/>
      <c r="V15" s="682"/>
      <c r="W15" s="682"/>
      <c r="X15" s="682"/>
      <c r="Y15" s="682"/>
      <c r="Z15" s="682"/>
      <c r="AA15" s="682"/>
      <c r="AB15" s="682"/>
      <c r="AC15" s="682"/>
      <c r="AD15" s="682"/>
      <c r="AE15" s="682"/>
      <c r="AF15" s="682"/>
      <c r="AG15" s="682"/>
      <c r="AH15" s="682"/>
      <c r="AI15" s="682"/>
      <c r="AJ15" s="682"/>
      <c r="AK15" s="682"/>
      <c r="AL15" s="682"/>
      <c r="AM15" s="682"/>
      <c r="AN15" s="682"/>
      <c r="AO15" s="682"/>
      <c r="AP15" s="682"/>
      <c r="AQ15" s="682"/>
      <c r="AR15" s="682"/>
      <c r="AS15" s="682"/>
      <c r="AT15" s="682"/>
      <c r="AU15" s="682"/>
      <c r="AV15" s="682"/>
      <c r="AW15" s="682"/>
      <c r="AX15" s="682"/>
      <c r="AY15" s="682"/>
      <c r="AZ15" s="682"/>
      <c r="BA15" s="682"/>
      <c r="BB15" s="682"/>
      <c r="BC15" s="682"/>
      <c r="BD15" s="682"/>
      <c r="BE15" s="682"/>
      <c r="BF15" s="682"/>
      <c r="BG15" s="682"/>
      <c r="BH15" s="682"/>
      <c r="BI15" s="682"/>
      <c r="BJ15" s="682"/>
      <c r="BK15" s="682"/>
      <c r="BL15" s="682"/>
      <c r="BM15" s="682"/>
      <c r="BN15" s="682"/>
      <c r="BO15" s="682"/>
      <c r="BP15" s="682"/>
    </row>
    <row r="16">
      <c r="A16" s="694"/>
      <c r="B16" s="694" t="s">
        <v>368</v>
      </c>
      <c r="C16" s="694" t="s">
        <v>369</v>
      </c>
      <c r="D16" s="694">
        <v>31.0</v>
      </c>
      <c r="E16" s="694">
        <v>29.0</v>
      </c>
      <c r="F16" s="693">
        <v>2.789005E9</v>
      </c>
      <c r="G16" s="693">
        <v>2.320295E9</v>
      </c>
      <c r="H16" s="693">
        <v>4.3325788484E10</v>
      </c>
      <c r="I16" s="682"/>
      <c r="J16" s="693">
        <v>9.617258621E7</v>
      </c>
      <c r="K16" s="693">
        <v>8.001017241E7</v>
      </c>
      <c r="L16" s="693">
        <v>1.39760608013E9</v>
      </c>
      <c r="M16" s="694">
        <v>-16.81</v>
      </c>
      <c r="N16" s="694">
        <v>-94.28</v>
      </c>
      <c r="O16" s="686"/>
      <c r="P16" s="686"/>
      <c r="Q16" s="682"/>
      <c r="R16" s="682"/>
      <c r="S16" s="682"/>
      <c r="T16" s="682"/>
      <c r="U16" s="682"/>
      <c r="V16" s="682"/>
      <c r="W16" s="682"/>
      <c r="X16" s="682"/>
      <c r="Y16" s="682"/>
      <c r="Z16" s="682"/>
      <c r="AA16" s="682"/>
      <c r="AB16" s="682"/>
      <c r="AC16" s="682"/>
      <c r="AD16" s="682"/>
      <c r="AE16" s="682"/>
      <c r="AF16" s="682"/>
      <c r="AG16" s="682"/>
      <c r="AH16" s="682"/>
      <c r="AI16" s="682"/>
      <c r="AJ16" s="682"/>
      <c r="AK16" s="682"/>
      <c r="AL16" s="682"/>
      <c r="AM16" s="682"/>
      <c r="AN16" s="682"/>
      <c r="AO16" s="682"/>
      <c r="AP16" s="682"/>
      <c r="AQ16" s="682"/>
      <c r="AR16" s="682"/>
      <c r="AS16" s="682"/>
      <c r="AT16" s="682"/>
      <c r="AU16" s="682"/>
      <c r="AV16" s="682"/>
      <c r="AW16" s="682"/>
      <c r="AX16" s="682"/>
      <c r="AY16" s="682"/>
      <c r="AZ16" s="682"/>
      <c r="BA16" s="682"/>
      <c r="BB16" s="682"/>
      <c r="BC16" s="682"/>
      <c r="BD16" s="682"/>
      <c r="BE16" s="682"/>
      <c r="BF16" s="682"/>
      <c r="BG16" s="682"/>
      <c r="BH16" s="682"/>
      <c r="BI16" s="682"/>
      <c r="BJ16" s="682"/>
      <c r="BK16" s="682"/>
      <c r="BL16" s="682"/>
      <c r="BM16" s="682"/>
      <c r="BN16" s="682"/>
      <c r="BO16" s="682"/>
      <c r="BP16" s="682"/>
    </row>
    <row r="17">
      <c r="A17" s="682"/>
      <c r="B17" s="682"/>
      <c r="C17" s="682"/>
      <c r="D17" s="682"/>
      <c r="E17" s="682"/>
      <c r="F17" s="682"/>
      <c r="G17" s="682"/>
      <c r="H17" s="682"/>
      <c r="I17" s="682"/>
      <c r="J17" s="682"/>
      <c r="K17" s="682"/>
      <c r="L17" s="682"/>
      <c r="M17" s="682"/>
      <c r="N17" s="682"/>
      <c r="O17" s="686"/>
      <c r="P17" s="686"/>
      <c r="Q17" s="682"/>
      <c r="R17" s="682"/>
      <c r="S17" s="682"/>
      <c r="T17" s="682"/>
      <c r="U17" s="682"/>
      <c r="V17" s="682"/>
      <c r="W17" s="682"/>
      <c r="X17" s="682"/>
      <c r="Y17" s="682"/>
      <c r="Z17" s="682"/>
      <c r="AA17" s="682"/>
      <c r="AB17" s="682"/>
      <c r="AC17" s="682"/>
      <c r="AD17" s="682"/>
      <c r="AE17" s="682"/>
      <c r="AF17" s="682"/>
      <c r="AG17" s="682"/>
      <c r="AH17" s="682"/>
      <c r="AI17" s="682"/>
      <c r="AJ17" s="682"/>
      <c r="AK17" s="682"/>
      <c r="AL17" s="682"/>
      <c r="AM17" s="682"/>
      <c r="AN17" s="682"/>
      <c r="AO17" s="682"/>
      <c r="AP17" s="682"/>
      <c r="AQ17" s="682"/>
      <c r="AR17" s="682"/>
      <c r="AS17" s="682"/>
      <c r="AT17" s="682"/>
      <c r="AU17" s="682"/>
      <c r="AV17" s="682"/>
      <c r="AW17" s="682"/>
      <c r="AX17" s="682"/>
      <c r="AY17" s="682"/>
      <c r="AZ17" s="682"/>
      <c r="BA17" s="682"/>
      <c r="BB17" s="682"/>
      <c r="BC17" s="682"/>
      <c r="BD17" s="682"/>
      <c r="BE17" s="682"/>
      <c r="BF17" s="682"/>
      <c r="BG17" s="682"/>
      <c r="BH17" s="682"/>
      <c r="BI17" s="682"/>
      <c r="BJ17" s="682"/>
      <c r="BK17" s="682"/>
      <c r="BL17" s="682"/>
      <c r="BM17" s="682"/>
      <c r="BN17" s="682"/>
      <c r="BO17" s="682"/>
      <c r="BP17" s="682"/>
    </row>
    <row r="18">
      <c r="A18" s="682"/>
      <c r="B18" s="682"/>
      <c r="C18" s="682"/>
      <c r="D18" s="682"/>
      <c r="E18" s="682"/>
      <c r="F18" s="682"/>
      <c r="G18" s="682"/>
      <c r="H18" s="682"/>
      <c r="I18" s="682"/>
      <c r="J18" s="682"/>
      <c r="K18" s="682"/>
      <c r="L18" s="682"/>
      <c r="M18" s="682"/>
      <c r="N18" s="682"/>
      <c r="O18" s="686"/>
      <c r="P18" s="686"/>
      <c r="Q18" s="682"/>
      <c r="R18" s="682"/>
      <c r="S18" s="682"/>
      <c r="T18" s="682"/>
      <c r="U18" s="682"/>
      <c r="V18" s="682"/>
      <c r="W18" s="682"/>
      <c r="X18" s="682"/>
      <c r="Y18" s="682"/>
      <c r="Z18" s="682"/>
      <c r="AA18" s="682"/>
      <c r="AB18" s="682"/>
      <c r="AC18" s="682"/>
      <c r="AD18" s="682"/>
      <c r="AE18" s="682"/>
      <c r="AF18" s="682"/>
      <c r="AG18" s="682"/>
      <c r="AH18" s="682"/>
      <c r="AI18" s="682"/>
      <c r="AJ18" s="682"/>
      <c r="AK18" s="682"/>
      <c r="AL18" s="682"/>
      <c r="AM18" s="682"/>
      <c r="AN18" s="682"/>
      <c r="AO18" s="682"/>
      <c r="AP18" s="682"/>
      <c r="AQ18" s="682"/>
      <c r="AR18" s="682"/>
      <c r="AS18" s="682"/>
      <c r="AT18" s="682"/>
      <c r="AU18" s="682"/>
      <c r="AV18" s="682"/>
      <c r="AW18" s="682"/>
      <c r="AX18" s="682"/>
      <c r="AY18" s="682"/>
      <c r="AZ18" s="682"/>
      <c r="BA18" s="682"/>
      <c r="BB18" s="682"/>
      <c r="BC18" s="682"/>
      <c r="BD18" s="682"/>
      <c r="BE18" s="682"/>
      <c r="BF18" s="682"/>
      <c r="BG18" s="682"/>
      <c r="BH18" s="682"/>
      <c r="BI18" s="682"/>
      <c r="BJ18" s="682"/>
      <c r="BK18" s="682"/>
      <c r="BL18" s="682"/>
      <c r="BM18" s="682"/>
      <c r="BN18" s="682"/>
      <c r="BO18" s="682"/>
      <c r="BP18" s="682"/>
    </row>
    <row r="19">
      <c r="A19" s="682"/>
      <c r="B19" s="682"/>
      <c r="C19" s="682"/>
      <c r="D19" s="682"/>
      <c r="E19" s="682"/>
      <c r="F19" s="682"/>
      <c r="G19" s="682"/>
      <c r="H19" s="682"/>
      <c r="I19" s="682"/>
      <c r="J19" s="682"/>
      <c r="K19" s="682"/>
      <c r="L19" s="682"/>
      <c r="M19" s="682"/>
      <c r="N19" s="682"/>
      <c r="O19" s="686"/>
      <c r="P19" s="686"/>
      <c r="Q19" s="682"/>
      <c r="R19" s="682"/>
      <c r="S19" s="682"/>
      <c r="T19" s="682"/>
      <c r="U19" s="682"/>
      <c r="V19" s="682"/>
      <c r="W19" s="682"/>
      <c r="X19" s="682"/>
      <c r="Y19" s="682"/>
      <c r="Z19" s="682"/>
      <c r="AA19" s="682"/>
      <c r="AB19" s="682"/>
      <c r="AC19" s="682"/>
      <c r="AD19" s="682"/>
      <c r="AE19" s="682"/>
      <c r="AF19" s="682"/>
      <c r="AG19" s="682"/>
      <c r="AH19" s="682"/>
      <c r="AI19" s="682"/>
      <c r="AJ19" s="682"/>
      <c r="AK19" s="682"/>
      <c r="AL19" s="682"/>
      <c r="AM19" s="682"/>
      <c r="AN19" s="682"/>
      <c r="AO19" s="682"/>
      <c r="AP19" s="682"/>
      <c r="AQ19" s="682"/>
      <c r="AR19" s="682"/>
      <c r="AS19" s="682"/>
      <c r="AT19" s="682"/>
      <c r="AU19" s="682"/>
      <c r="AV19" s="682"/>
      <c r="AW19" s="682"/>
      <c r="AX19" s="682"/>
      <c r="AY19" s="682"/>
      <c r="AZ19" s="682"/>
      <c r="BA19" s="682"/>
      <c r="BB19" s="682"/>
      <c r="BC19" s="682"/>
      <c r="BD19" s="682"/>
      <c r="BE19" s="682"/>
      <c r="BF19" s="682"/>
      <c r="BG19" s="682"/>
      <c r="BH19" s="682"/>
      <c r="BI19" s="682"/>
      <c r="BJ19" s="682"/>
      <c r="BK19" s="682"/>
      <c r="BL19" s="682"/>
      <c r="BM19" s="682"/>
      <c r="BN19" s="682"/>
      <c r="BO19" s="682"/>
      <c r="BP19" s="682"/>
    </row>
    <row r="20">
      <c r="A20" s="682"/>
      <c r="B20" s="682"/>
      <c r="C20" s="682"/>
      <c r="D20" s="682"/>
      <c r="E20" s="682"/>
      <c r="F20" s="682"/>
      <c r="G20" s="682"/>
      <c r="H20" s="682"/>
      <c r="I20" s="682"/>
      <c r="J20" s="682"/>
      <c r="K20" s="682"/>
      <c r="L20" s="682"/>
      <c r="M20" s="682"/>
      <c r="N20" s="682"/>
      <c r="O20" s="686"/>
      <c r="P20" s="686"/>
      <c r="Q20" s="682"/>
      <c r="R20" s="682"/>
      <c r="S20" s="682"/>
      <c r="T20" s="682"/>
      <c r="U20" s="682"/>
      <c r="V20" s="682"/>
      <c r="W20" s="682"/>
      <c r="X20" s="682"/>
      <c r="Y20" s="682"/>
      <c r="Z20" s="682"/>
      <c r="AA20" s="682"/>
      <c r="AB20" s="682"/>
      <c r="AC20" s="682"/>
      <c r="AD20" s="682"/>
      <c r="AE20" s="682"/>
      <c r="AF20" s="682"/>
      <c r="AG20" s="682"/>
      <c r="AH20" s="682"/>
      <c r="AI20" s="682"/>
      <c r="AJ20" s="682"/>
      <c r="AK20" s="682"/>
      <c r="AL20" s="682"/>
      <c r="AM20" s="682"/>
      <c r="AN20" s="682"/>
      <c r="AO20" s="682"/>
      <c r="AP20" s="682"/>
      <c r="AQ20" s="682"/>
      <c r="AR20" s="682"/>
      <c r="AS20" s="682"/>
      <c r="AT20" s="682"/>
      <c r="AU20" s="682"/>
      <c r="AV20" s="682"/>
      <c r="AW20" s="682"/>
      <c r="AX20" s="682"/>
      <c r="AY20" s="682"/>
      <c r="AZ20" s="682"/>
      <c r="BA20" s="682"/>
      <c r="BB20" s="682"/>
      <c r="BC20" s="682"/>
      <c r="BD20" s="682"/>
      <c r="BE20" s="682"/>
      <c r="BF20" s="682"/>
      <c r="BG20" s="682"/>
      <c r="BH20" s="682"/>
      <c r="BI20" s="682"/>
      <c r="BJ20" s="682"/>
      <c r="BK20" s="682"/>
      <c r="BL20" s="682"/>
      <c r="BM20" s="682"/>
      <c r="BN20" s="682"/>
      <c r="BO20" s="682"/>
      <c r="BP20" s="682"/>
    </row>
    <row r="21">
      <c r="A21" s="682"/>
      <c r="B21" s="682"/>
      <c r="C21" s="682"/>
      <c r="D21" s="682"/>
      <c r="E21" s="682"/>
      <c r="F21" s="682"/>
      <c r="G21" s="682"/>
      <c r="H21" s="682"/>
      <c r="I21" s="682"/>
      <c r="J21" s="682"/>
      <c r="K21" s="682"/>
      <c r="L21" s="682"/>
      <c r="M21" s="682"/>
      <c r="N21" s="682"/>
      <c r="O21" s="686"/>
      <c r="P21" s="686"/>
      <c r="Q21" s="682"/>
      <c r="R21" s="682"/>
      <c r="S21" s="682"/>
      <c r="T21" s="682"/>
      <c r="U21" s="682"/>
      <c r="V21" s="682"/>
      <c r="W21" s="682"/>
      <c r="X21" s="682"/>
      <c r="Y21" s="682"/>
      <c r="Z21" s="682"/>
      <c r="AA21" s="682"/>
      <c r="AB21" s="682"/>
      <c r="AC21" s="682"/>
      <c r="AD21" s="682"/>
      <c r="AE21" s="682"/>
      <c r="AF21" s="682"/>
      <c r="AG21" s="682"/>
      <c r="AH21" s="682"/>
      <c r="AI21" s="682"/>
      <c r="AJ21" s="682"/>
      <c r="AK21" s="682"/>
      <c r="AL21" s="682"/>
      <c r="AM21" s="682"/>
      <c r="AN21" s="682"/>
      <c r="AO21" s="682"/>
      <c r="AP21" s="682"/>
      <c r="AQ21" s="682"/>
      <c r="AR21" s="682"/>
      <c r="AS21" s="682"/>
      <c r="AT21" s="682"/>
      <c r="AU21" s="682"/>
      <c r="AV21" s="682"/>
      <c r="AW21" s="682"/>
      <c r="AX21" s="682"/>
      <c r="AY21" s="682"/>
      <c r="AZ21" s="682"/>
      <c r="BA21" s="682"/>
      <c r="BB21" s="682"/>
      <c r="BC21" s="682"/>
      <c r="BD21" s="682"/>
      <c r="BE21" s="682"/>
      <c r="BF21" s="682"/>
      <c r="BG21" s="682"/>
      <c r="BH21" s="682"/>
      <c r="BI21" s="682"/>
      <c r="BJ21" s="682"/>
      <c r="BK21" s="682"/>
      <c r="BL21" s="682"/>
      <c r="BM21" s="682"/>
      <c r="BN21" s="682"/>
      <c r="BO21" s="682"/>
      <c r="BP21" s="682"/>
    </row>
    <row r="22">
      <c r="O22" s="702"/>
      <c r="P22" s="702"/>
      <c r="Q22" s="529"/>
      <c r="R22" s="529"/>
      <c r="S22" s="529"/>
      <c r="T22" s="529"/>
      <c r="U22" s="529"/>
      <c r="V22" s="529"/>
      <c r="W22" s="529"/>
      <c r="X22" s="529"/>
      <c r="Y22" s="529"/>
      <c r="Z22" s="529"/>
      <c r="AA22" s="529"/>
      <c r="AB22" s="529"/>
      <c r="AC22" s="529"/>
      <c r="AD22" s="529"/>
      <c r="AE22" s="529"/>
      <c r="AF22" s="529"/>
      <c r="AG22" s="529"/>
      <c r="AH22" s="529"/>
      <c r="AI22" s="529"/>
      <c r="AJ22" s="529"/>
      <c r="AK22" s="529"/>
      <c r="AL22" s="529"/>
      <c r="AM22" s="529"/>
      <c r="AN22" s="529"/>
      <c r="AO22" s="529"/>
      <c r="AP22" s="529"/>
      <c r="AQ22" s="529"/>
      <c r="AR22" s="529"/>
      <c r="AS22" s="529"/>
      <c r="AT22" s="529"/>
      <c r="AU22" s="529"/>
      <c r="AV22" s="529"/>
      <c r="AW22" s="529"/>
      <c r="AX22" s="529"/>
      <c r="AY22" s="529"/>
      <c r="AZ22" s="529"/>
      <c r="BA22" s="529"/>
      <c r="BB22" s="529"/>
      <c r="BC22" s="529"/>
      <c r="BD22" s="529"/>
      <c r="BE22" s="529"/>
      <c r="BF22" s="529"/>
      <c r="BG22" s="529"/>
      <c r="BH22" s="529"/>
      <c r="BI22" s="529"/>
      <c r="BJ22" s="529"/>
      <c r="BK22" s="529"/>
      <c r="BL22" s="529"/>
      <c r="BM22" s="529"/>
      <c r="BN22" s="529"/>
      <c r="BO22" s="529"/>
      <c r="BP22" s="529"/>
    </row>
    <row r="23">
      <c r="O23" s="702"/>
      <c r="P23" s="702"/>
      <c r="Q23" s="529"/>
      <c r="R23" s="529"/>
      <c r="S23" s="529"/>
      <c r="T23" s="529"/>
      <c r="U23" s="529"/>
      <c r="V23" s="529"/>
      <c r="W23" s="529"/>
      <c r="X23" s="529"/>
      <c r="Y23" s="529"/>
      <c r="Z23" s="529"/>
      <c r="AA23" s="529"/>
      <c r="AB23" s="529"/>
      <c r="AC23" s="529"/>
      <c r="AD23" s="529"/>
      <c r="AE23" s="529"/>
      <c r="AF23" s="529"/>
      <c r="AG23" s="529"/>
      <c r="AH23" s="529"/>
      <c r="AI23" s="529"/>
      <c r="AJ23" s="529"/>
      <c r="AK23" s="529"/>
      <c r="AL23" s="529"/>
      <c r="AM23" s="529"/>
      <c r="AN23" s="529"/>
      <c r="AO23" s="529"/>
      <c r="AP23" s="529"/>
      <c r="AQ23" s="529"/>
      <c r="AR23" s="529"/>
      <c r="AS23" s="529"/>
      <c r="AT23" s="529"/>
      <c r="AU23" s="529"/>
      <c r="AV23" s="529"/>
      <c r="AW23" s="529"/>
      <c r="AX23" s="529"/>
      <c r="AY23" s="529"/>
      <c r="AZ23" s="529"/>
      <c r="BA23" s="529"/>
      <c r="BB23" s="529"/>
      <c r="BC23" s="529"/>
      <c r="BD23" s="529"/>
      <c r="BE23" s="529"/>
      <c r="BF23" s="529"/>
      <c r="BG23" s="529"/>
      <c r="BH23" s="529"/>
      <c r="BI23" s="529"/>
      <c r="BJ23" s="529"/>
      <c r="BK23" s="529"/>
      <c r="BL23" s="529"/>
      <c r="BM23" s="529"/>
      <c r="BN23" s="529"/>
      <c r="BO23" s="529"/>
      <c r="BP23" s="529"/>
    </row>
    <row r="24">
      <c r="O24" s="702"/>
      <c r="P24" s="702"/>
      <c r="Q24" s="529"/>
      <c r="R24" s="529"/>
      <c r="S24" s="529"/>
      <c r="T24" s="529"/>
      <c r="U24" s="529"/>
      <c r="V24" s="529"/>
      <c r="W24" s="529"/>
      <c r="X24" s="529"/>
      <c r="Y24" s="529"/>
      <c r="Z24" s="529"/>
      <c r="AA24" s="529"/>
      <c r="AB24" s="529"/>
      <c r="AC24" s="529"/>
      <c r="AD24" s="529"/>
      <c r="AE24" s="529"/>
      <c r="AF24" s="529"/>
      <c r="AG24" s="529"/>
      <c r="AH24" s="529"/>
      <c r="AI24" s="529"/>
      <c r="AJ24" s="529"/>
      <c r="AK24" s="529"/>
      <c r="AL24" s="529"/>
      <c r="AM24" s="529"/>
      <c r="AN24" s="529"/>
      <c r="AO24" s="529"/>
      <c r="AP24" s="529"/>
      <c r="AQ24" s="529"/>
      <c r="AR24" s="529"/>
      <c r="AS24" s="529"/>
      <c r="AT24" s="529"/>
      <c r="AU24" s="529"/>
      <c r="AV24" s="529"/>
      <c r="AW24" s="529"/>
      <c r="AX24" s="529"/>
      <c r="AY24" s="529"/>
      <c r="AZ24" s="529"/>
      <c r="BA24" s="529"/>
      <c r="BB24" s="529"/>
      <c r="BC24" s="529"/>
      <c r="BD24" s="529"/>
      <c r="BE24" s="529"/>
      <c r="BF24" s="529"/>
      <c r="BG24" s="529"/>
      <c r="BH24" s="529"/>
      <c r="BI24" s="529"/>
      <c r="BJ24" s="529"/>
      <c r="BK24" s="529"/>
      <c r="BL24" s="529"/>
      <c r="BM24" s="529"/>
      <c r="BN24" s="529"/>
      <c r="BO24" s="529"/>
      <c r="BP24" s="529"/>
    </row>
    <row r="25">
      <c r="O25" s="702"/>
      <c r="P25" s="702"/>
      <c r="Q25" s="529"/>
      <c r="R25" s="529"/>
      <c r="S25" s="529"/>
      <c r="T25" s="529"/>
      <c r="U25" s="529"/>
      <c r="V25" s="529"/>
      <c r="W25" s="529"/>
      <c r="X25" s="529"/>
      <c r="Y25" s="529"/>
      <c r="Z25" s="529"/>
      <c r="AA25" s="529"/>
      <c r="AB25" s="529"/>
      <c r="AC25" s="529"/>
      <c r="AD25" s="529"/>
      <c r="AE25" s="529"/>
      <c r="AF25" s="529"/>
      <c r="AG25" s="529"/>
      <c r="AH25" s="529"/>
      <c r="AI25" s="529"/>
      <c r="AJ25" s="529"/>
      <c r="AK25" s="529"/>
      <c r="AL25" s="529"/>
      <c r="AM25" s="529"/>
      <c r="AN25" s="529"/>
      <c r="AO25" s="529"/>
      <c r="AP25" s="529"/>
      <c r="AQ25" s="529"/>
      <c r="AR25" s="529"/>
      <c r="AS25" s="529"/>
      <c r="AT25" s="529"/>
      <c r="AU25" s="529"/>
      <c r="AV25" s="529"/>
      <c r="AW25" s="529"/>
      <c r="AX25" s="529"/>
      <c r="AY25" s="529"/>
      <c r="AZ25" s="529"/>
      <c r="BA25" s="529"/>
      <c r="BB25" s="529"/>
      <c r="BC25" s="529"/>
      <c r="BD25" s="529"/>
      <c r="BE25" s="529"/>
      <c r="BF25" s="529"/>
      <c r="BG25" s="529"/>
      <c r="BH25" s="529"/>
      <c r="BI25" s="529"/>
      <c r="BJ25" s="529"/>
      <c r="BK25" s="529"/>
      <c r="BL25" s="529"/>
      <c r="BM25" s="529"/>
      <c r="BN25" s="529"/>
      <c r="BO25" s="529"/>
      <c r="BP25" s="529"/>
    </row>
    <row r="26">
      <c r="O26" s="702"/>
      <c r="P26" s="702"/>
      <c r="Q26" s="529"/>
      <c r="R26" s="529"/>
      <c r="S26" s="529"/>
      <c r="T26" s="529"/>
      <c r="U26" s="529"/>
      <c r="V26" s="529"/>
      <c r="W26" s="529"/>
      <c r="X26" s="529"/>
      <c r="Y26" s="529"/>
      <c r="Z26" s="529"/>
      <c r="AA26" s="529"/>
      <c r="AB26" s="529"/>
      <c r="AC26" s="529"/>
      <c r="AD26" s="529"/>
      <c r="AE26" s="529"/>
      <c r="AF26" s="529"/>
      <c r="AG26" s="529"/>
      <c r="AH26" s="529"/>
      <c r="AI26" s="529"/>
      <c r="AJ26" s="529"/>
      <c r="AK26" s="529"/>
      <c r="AL26" s="529"/>
      <c r="AM26" s="529"/>
      <c r="AN26" s="529"/>
      <c r="AO26" s="529"/>
      <c r="AP26" s="529"/>
      <c r="AQ26" s="529"/>
      <c r="AR26" s="529"/>
      <c r="AS26" s="529"/>
      <c r="AT26" s="529"/>
      <c r="AU26" s="529"/>
      <c r="AV26" s="529"/>
      <c r="AW26" s="529"/>
      <c r="AX26" s="529"/>
      <c r="AY26" s="529"/>
      <c r="AZ26" s="529"/>
      <c r="BA26" s="529"/>
      <c r="BB26" s="529"/>
      <c r="BC26" s="529"/>
      <c r="BD26" s="529"/>
      <c r="BE26" s="529"/>
      <c r="BF26" s="529"/>
      <c r="BG26" s="529"/>
      <c r="BH26" s="529"/>
      <c r="BI26" s="529"/>
      <c r="BJ26" s="529"/>
      <c r="BK26" s="529"/>
      <c r="BL26" s="529"/>
      <c r="BM26" s="529"/>
      <c r="BN26" s="529"/>
      <c r="BO26" s="529"/>
      <c r="BP26" s="529"/>
    </row>
    <row r="27">
      <c r="O27" s="702"/>
      <c r="P27" s="702"/>
      <c r="Q27" s="529"/>
      <c r="R27" s="529"/>
      <c r="S27" s="529"/>
      <c r="T27" s="529"/>
      <c r="U27" s="529"/>
      <c r="V27" s="529"/>
      <c r="W27" s="529"/>
      <c r="X27" s="529"/>
      <c r="Y27" s="529"/>
      <c r="Z27" s="529"/>
      <c r="AA27" s="529"/>
      <c r="AB27" s="529"/>
      <c r="AC27" s="529"/>
      <c r="AD27" s="529"/>
      <c r="AE27" s="529"/>
      <c r="AF27" s="529"/>
      <c r="AG27" s="529"/>
      <c r="AH27" s="529"/>
      <c r="AI27" s="529"/>
      <c r="AJ27" s="529"/>
      <c r="AK27" s="529"/>
      <c r="AL27" s="529"/>
      <c r="AM27" s="529"/>
      <c r="AN27" s="529"/>
      <c r="AO27" s="529"/>
      <c r="AP27" s="529"/>
      <c r="AQ27" s="529"/>
      <c r="AR27" s="529"/>
      <c r="AS27" s="529"/>
      <c r="AT27" s="529"/>
      <c r="AU27" s="529"/>
      <c r="AV27" s="529"/>
      <c r="AW27" s="529"/>
      <c r="AX27" s="529"/>
      <c r="AY27" s="529"/>
      <c r="AZ27" s="529"/>
      <c r="BA27" s="529"/>
      <c r="BB27" s="529"/>
      <c r="BC27" s="529"/>
      <c r="BD27" s="529"/>
      <c r="BE27" s="529"/>
      <c r="BF27" s="529"/>
      <c r="BG27" s="529"/>
      <c r="BH27" s="529"/>
      <c r="BI27" s="529"/>
      <c r="BJ27" s="529"/>
      <c r="BK27" s="529"/>
      <c r="BL27" s="529"/>
      <c r="BM27" s="529"/>
      <c r="BN27" s="529"/>
      <c r="BO27" s="529"/>
      <c r="BP27" s="529"/>
    </row>
    <row r="28">
      <c r="O28" s="702"/>
      <c r="P28" s="702"/>
      <c r="Q28" s="529"/>
      <c r="R28" s="529"/>
      <c r="S28" s="529"/>
      <c r="T28" s="529"/>
      <c r="U28" s="529"/>
      <c r="V28" s="529"/>
      <c r="W28" s="529"/>
      <c r="X28" s="529"/>
      <c r="Y28" s="529"/>
      <c r="Z28" s="529"/>
      <c r="AA28" s="529"/>
      <c r="AB28" s="529"/>
      <c r="AC28" s="529"/>
      <c r="AD28" s="529"/>
      <c r="AE28" s="529"/>
      <c r="AF28" s="529"/>
      <c r="AG28" s="529"/>
      <c r="AH28" s="529"/>
      <c r="AI28" s="529"/>
      <c r="AJ28" s="529"/>
      <c r="AK28" s="529"/>
      <c r="AL28" s="529"/>
      <c r="AM28" s="529"/>
      <c r="AN28" s="529"/>
      <c r="AO28" s="529"/>
      <c r="AP28" s="529"/>
      <c r="AQ28" s="529"/>
      <c r="AR28" s="529"/>
      <c r="AS28" s="529"/>
      <c r="AT28" s="529"/>
      <c r="AU28" s="529"/>
      <c r="AV28" s="529"/>
      <c r="AW28" s="529"/>
      <c r="AX28" s="529"/>
      <c r="AY28" s="529"/>
      <c r="AZ28" s="529"/>
      <c r="BA28" s="529"/>
      <c r="BB28" s="529"/>
      <c r="BC28" s="529"/>
      <c r="BD28" s="529"/>
      <c r="BE28" s="529"/>
      <c r="BF28" s="529"/>
      <c r="BG28" s="529"/>
      <c r="BH28" s="529"/>
      <c r="BI28" s="529"/>
      <c r="BJ28" s="529"/>
      <c r="BK28" s="529"/>
      <c r="BL28" s="529"/>
      <c r="BM28" s="529"/>
      <c r="BN28" s="529"/>
      <c r="BO28" s="529"/>
      <c r="BP28" s="529"/>
    </row>
    <row r="29">
      <c r="O29" s="702"/>
      <c r="P29" s="702"/>
      <c r="Q29" s="529"/>
      <c r="R29" s="529"/>
      <c r="S29" s="529"/>
      <c r="T29" s="529"/>
      <c r="U29" s="529"/>
      <c r="V29" s="529"/>
      <c r="W29" s="529"/>
      <c r="X29" s="529"/>
      <c r="Y29" s="529"/>
      <c r="Z29" s="529"/>
      <c r="AA29" s="529"/>
      <c r="AB29" s="529"/>
      <c r="AC29" s="529"/>
      <c r="AD29" s="529"/>
      <c r="AE29" s="529"/>
      <c r="AF29" s="529"/>
      <c r="AG29" s="529"/>
      <c r="AH29" s="529"/>
      <c r="AI29" s="529"/>
      <c r="AJ29" s="529"/>
      <c r="AK29" s="529"/>
      <c r="AL29" s="529"/>
      <c r="AM29" s="529"/>
      <c r="AN29" s="529"/>
      <c r="AO29" s="529"/>
      <c r="AP29" s="529"/>
      <c r="AQ29" s="529"/>
      <c r="AR29" s="529"/>
      <c r="AS29" s="529"/>
      <c r="AT29" s="529"/>
      <c r="AU29" s="529"/>
      <c r="AV29" s="529"/>
      <c r="AW29" s="529"/>
      <c r="AX29" s="529"/>
      <c r="AY29" s="529"/>
      <c r="AZ29" s="529"/>
      <c r="BA29" s="529"/>
      <c r="BB29" s="529"/>
      <c r="BC29" s="529"/>
      <c r="BD29" s="529"/>
      <c r="BE29" s="529"/>
      <c r="BF29" s="529"/>
      <c r="BG29" s="529"/>
      <c r="BH29" s="529"/>
      <c r="BI29" s="529"/>
      <c r="BJ29" s="529"/>
      <c r="BK29" s="529"/>
      <c r="BL29" s="529"/>
      <c r="BM29" s="529"/>
      <c r="BN29" s="529"/>
      <c r="BO29" s="529"/>
      <c r="BP29" s="529"/>
    </row>
    <row r="30">
      <c r="O30" s="702"/>
      <c r="P30" s="702"/>
      <c r="Q30" s="529"/>
      <c r="R30" s="529"/>
      <c r="S30" s="529"/>
      <c r="T30" s="529"/>
      <c r="U30" s="529"/>
      <c r="V30" s="529"/>
      <c r="W30" s="529"/>
      <c r="X30" s="529"/>
      <c r="Y30" s="529"/>
      <c r="Z30" s="529"/>
      <c r="AA30" s="529"/>
      <c r="AB30" s="529"/>
      <c r="AC30" s="529"/>
      <c r="AD30" s="529"/>
      <c r="AE30" s="529"/>
      <c r="AF30" s="529"/>
      <c r="AG30" s="529"/>
      <c r="AH30" s="529"/>
      <c r="AI30" s="529"/>
      <c r="AJ30" s="529"/>
      <c r="AK30" s="529"/>
      <c r="AL30" s="529"/>
      <c r="AM30" s="529"/>
      <c r="AN30" s="529"/>
      <c r="AO30" s="529"/>
      <c r="AP30" s="529"/>
      <c r="AQ30" s="529"/>
      <c r="AR30" s="529"/>
      <c r="AS30" s="529"/>
      <c r="AT30" s="529"/>
      <c r="AU30" s="529"/>
      <c r="AV30" s="529"/>
      <c r="AW30" s="529"/>
      <c r="AX30" s="529"/>
      <c r="AY30" s="529"/>
      <c r="AZ30" s="529"/>
      <c r="BA30" s="529"/>
      <c r="BB30" s="529"/>
      <c r="BC30" s="529"/>
      <c r="BD30" s="529"/>
      <c r="BE30" s="529"/>
      <c r="BF30" s="529"/>
      <c r="BG30" s="529"/>
      <c r="BH30" s="529"/>
      <c r="BI30" s="529"/>
      <c r="BJ30" s="529"/>
      <c r="BK30" s="529"/>
      <c r="BL30" s="529"/>
      <c r="BM30" s="529"/>
      <c r="BN30" s="529"/>
      <c r="BO30" s="529"/>
      <c r="BP30" s="529"/>
    </row>
    <row r="31">
      <c r="O31" s="702"/>
      <c r="P31" s="702"/>
      <c r="Q31" s="529"/>
      <c r="R31" s="529"/>
      <c r="S31" s="529"/>
      <c r="T31" s="529"/>
      <c r="U31" s="529"/>
      <c r="V31" s="529"/>
      <c r="W31" s="529"/>
      <c r="X31" s="529"/>
      <c r="Y31" s="529"/>
      <c r="Z31" s="529"/>
      <c r="AA31" s="529"/>
      <c r="AB31" s="529"/>
      <c r="AC31" s="529"/>
      <c r="AD31" s="529"/>
      <c r="AE31" s="529"/>
      <c r="AF31" s="529"/>
      <c r="AG31" s="529"/>
      <c r="AH31" s="529"/>
      <c r="AI31" s="529"/>
      <c r="AJ31" s="529"/>
      <c r="AK31" s="529"/>
      <c r="AL31" s="529"/>
      <c r="AM31" s="529"/>
      <c r="AN31" s="529"/>
      <c r="AO31" s="529"/>
      <c r="AP31" s="529"/>
      <c r="AQ31" s="529"/>
      <c r="AR31" s="529"/>
      <c r="AS31" s="529"/>
      <c r="AT31" s="529"/>
      <c r="AU31" s="529"/>
      <c r="AV31" s="529"/>
      <c r="AW31" s="529"/>
      <c r="AX31" s="529"/>
      <c r="AY31" s="529"/>
      <c r="AZ31" s="529"/>
      <c r="BA31" s="529"/>
      <c r="BB31" s="529"/>
      <c r="BC31" s="529"/>
      <c r="BD31" s="529"/>
      <c r="BE31" s="529"/>
      <c r="BF31" s="529"/>
      <c r="BG31" s="529"/>
      <c r="BH31" s="529"/>
      <c r="BI31" s="529"/>
      <c r="BJ31" s="529"/>
      <c r="BK31" s="529"/>
      <c r="BL31" s="529"/>
      <c r="BM31" s="529"/>
      <c r="BN31" s="529"/>
      <c r="BO31" s="529"/>
      <c r="BP31" s="529"/>
    </row>
    <row r="32">
      <c r="O32" s="702"/>
      <c r="P32" s="702"/>
      <c r="Q32" s="529"/>
      <c r="R32" s="529"/>
      <c r="S32" s="529"/>
      <c r="T32" s="529"/>
      <c r="U32" s="529"/>
      <c r="V32" s="529"/>
      <c r="W32" s="529"/>
      <c r="X32" s="529"/>
      <c r="Y32" s="529"/>
      <c r="Z32" s="529"/>
      <c r="AA32" s="529"/>
      <c r="AB32" s="529"/>
      <c r="AC32" s="529"/>
      <c r="AD32" s="529"/>
      <c r="AE32" s="529"/>
      <c r="AF32" s="529"/>
      <c r="AG32" s="529"/>
      <c r="AH32" s="529"/>
      <c r="AI32" s="529"/>
      <c r="AJ32" s="529"/>
      <c r="AK32" s="529"/>
      <c r="AL32" s="529"/>
      <c r="AM32" s="529"/>
      <c r="AN32" s="529"/>
      <c r="AO32" s="529"/>
      <c r="AP32" s="529"/>
      <c r="AQ32" s="529"/>
      <c r="AR32" s="529"/>
      <c r="AS32" s="529"/>
      <c r="AT32" s="529"/>
      <c r="AU32" s="529"/>
      <c r="AV32" s="529"/>
      <c r="AW32" s="529"/>
      <c r="AX32" s="529"/>
      <c r="AY32" s="529"/>
      <c r="AZ32" s="529"/>
      <c r="BA32" s="529"/>
      <c r="BB32" s="529"/>
      <c r="BC32" s="529"/>
      <c r="BD32" s="529"/>
      <c r="BE32" s="529"/>
      <c r="BF32" s="529"/>
      <c r="BG32" s="529"/>
      <c r="BH32" s="529"/>
      <c r="BI32" s="529"/>
      <c r="BJ32" s="529"/>
      <c r="BK32" s="529"/>
      <c r="BL32" s="529"/>
      <c r="BM32" s="529"/>
      <c r="BN32" s="529"/>
      <c r="BO32" s="529"/>
      <c r="BP32" s="529"/>
    </row>
    <row r="33">
      <c r="O33" s="702"/>
      <c r="P33" s="702"/>
      <c r="Q33" s="529"/>
      <c r="R33" s="529"/>
      <c r="S33" s="529"/>
      <c r="T33" s="529"/>
      <c r="U33" s="529"/>
      <c r="V33" s="529"/>
      <c r="W33" s="529"/>
      <c r="X33" s="529"/>
      <c r="Y33" s="529"/>
      <c r="Z33" s="529"/>
      <c r="AA33" s="529"/>
      <c r="AB33" s="529"/>
      <c r="AC33" s="529"/>
      <c r="AD33" s="529"/>
      <c r="AE33" s="529"/>
      <c r="AF33" s="529"/>
      <c r="AG33" s="529"/>
      <c r="AH33" s="529"/>
      <c r="AI33" s="529"/>
      <c r="AJ33" s="529"/>
      <c r="AK33" s="529"/>
      <c r="AL33" s="529"/>
      <c r="AM33" s="529"/>
      <c r="AN33" s="529"/>
      <c r="AO33" s="529"/>
      <c r="AP33" s="529"/>
      <c r="AQ33" s="529"/>
      <c r="AR33" s="529"/>
      <c r="AS33" s="529"/>
      <c r="AT33" s="529"/>
      <c r="AU33" s="529"/>
      <c r="AV33" s="529"/>
      <c r="AW33" s="529"/>
      <c r="AX33" s="529"/>
      <c r="AY33" s="529"/>
      <c r="AZ33" s="529"/>
      <c r="BA33" s="529"/>
      <c r="BB33" s="529"/>
      <c r="BC33" s="529"/>
      <c r="BD33" s="529"/>
      <c r="BE33" s="529"/>
      <c r="BF33" s="529"/>
      <c r="BG33" s="529"/>
      <c r="BH33" s="529"/>
      <c r="BI33" s="529"/>
      <c r="BJ33" s="529"/>
      <c r="BK33" s="529"/>
      <c r="BL33" s="529"/>
      <c r="BM33" s="529"/>
      <c r="BN33" s="529"/>
      <c r="BO33" s="529"/>
      <c r="BP33" s="529"/>
    </row>
    <row r="34">
      <c r="O34" s="702"/>
      <c r="P34" s="702"/>
      <c r="Q34" s="529"/>
      <c r="R34" s="529"/>
      <c r="S34" s="529"/>
      <c r="T34" s="529"/>
      <c r="U34" s="529"/>
      <c r="V34" s="529"/>
      <c r="W34" s="529"/>
      <c r="X34" s="529"/>
      <c r="Y34" s="529"/>
      <c r="Z34" s="529"/>
      <c r="AA34" s="529"/>
      <c r="AB34" s="529"/>
      <c r="AC34" s="529"/>
      <c r="AD34" s="529"/>
      <c r="AE34" s="529"/>
      <c r="AF34" s="529"/>
      <c r="AG34" s="529"/>
      <c r="AH34" s="529"/>
      <c r="AI34" s="529"/>
      <c r="AJ34" s="529"/>
      <c r="AK34" s="529"/>
      <c r="AL34" s="529"/>
      <c r="AM34" s="529"/>
      <c r="AN34" s="529"/>
      <c r="AO34" s="529"/>
      <c r="AP34" s="529"/>
      <c r="AQ34" s="529"/>
      <c r="AR34" s="529"/>
      <c r="AS34" s="529"/>
      <c r="AT34" s="529"/>
      <c r="AU34" s="529"/>
      <c r="AV34" s="529"/>
      <c r="AW34" s="529"/>
      <c r="AX34" s="529"/>
      <c r="AY34" s="529"/>
      <c r="AZ34" s="529"/>
      <c r="BA34" s="529"/>
      <c r="BB34" s="529"/>
      <c r="BC34" s="529"/>
      <c r="BD34" s="529"/>
      <c r="BE34" s="529"/>
      <c r="BF34" s="529"/>
      <c r="BG34" s="529"/>
      <c r="BH34" s="529"/>
      <c r="BI34" s="529"/>
      <c r="BJ34" s="529"/>
      <c r="BK34" s="529"/>
      <c r="BL34" s="529"/>
      <c r="BM34" s="529"/>
      <c r="BN34" s="529"/>
      <c r="BO34" s="529"/>
      <c r="BP34" s="529"/>
    </row>
    <row r="35">
      <c r="O35" s="702"/>
      <c r="P35" s="702"/>
      <c r="Q35" s="529"/>
      <c r="R35" s="529"/>
      <c r="S35" s="529"/>
      <c r="T35" s="529"/>
      <c r="U35" s="529"/>
      <c r="V35" s="529"/>
      <c r="W35" s="529"/>
      <c r="X35" s="529"/>
      <c r="Y35" s="529"/>
      <c r="Z35" s="529"/>
      <c r="AA35" s="529"/>
      <c r="AB35" s="529"/>
      <c r="AC35" s="529"/>
      <c r="AD35" s="529"/>
      <c r="AE35" s="529"/>
      <c r="AF35" s="529"/>
      <c r="AG35" s="529"/>
      <c r="AH35" s="529"/>
      <c r="AI35" s="529"/>
      <c r="AJ35" s="529"/>
      <c r="AK35" s="529"/>
      <c r="AL35" s="529"/>
      <c r="AM35" s="529"/>
      <c r="AN35" s="529"/>
      <c r="AO35" s="529"/>
      <c r="AP35" s="529"/>
      <c r="AQ35" s="529"/>
      <c r="AR35" s="529"/>
      <c r="AS35" s="529"/>
      <c r="AT35" s="529"/>
      <c r="AU35" s="529"/>
      <c r="AV35" s="529"/>
      <c r="AW35" s="529"/>
      <c r="AX35" s="529"/>
      <c r="AY35" s="529"/>
      <c r="AZ35" s="529"/>
      <c r="BA35" s="529"/>
      <c r="BB35" s="529"/>
      <c r="BC35" s="529"/>
      <c r="BD35" s="529"/>
      <c r="BE35" s="529"/>
      <c r="BF35" s="529"/>
      <c r="BG35" s="529"/>
      <c r="BH35" s="529"/>
      <c r="BI35" s="529"/>
      <c r="BJ35" s="529"/>
      <c r="BK35" s="529"/>
      <c r="BL35" s="529"/>
      <c r="BM35" s="529"/>
      <c r="BN35" s="529"/>
      <c r="BO35" s="529"/>
      <c r="BP35" s="529"/>
    </row>
    <row r="36">
      <c r="O36" s="702"/>
      <c r="P36" s="702"/>
      <c r="Q36" s="529"/>
      <c r="R36" s="529"/>
      <c r="S36" s="529"/>
      <c r="T36" s="529"/>
      <c r="U36" s="529"/>
      <c r="V36" s="529"/>
      <c r="W36" s="529"/>
      <c r="X36" s="529"/>
      <c r="Y36" s="529"/>
      <c r="Z36" s="529"/>
      <c r="AA36" s="529"/>
      <c r="AB36" s="529"/>
      <c r="AC36" s="529"/>
      <c r="AD36" s="529"/>
      <c r="AE36" s="529"/>
      <c r="AF36" s="529"/>
      <c r="AG36" s="529"/>
      <c r="AH36" s="529"/>
      <c r="AI36" s="529"/>
      <c r="AJ36" s="529"/>
      <c r="AK36" s="529"/>
      <c r="AL36" s="529"/>
      <c r="AM36" s="529"/>
      <c r="AN36" s="529"/>
      <c r="AO36" s="529"/>
      <c r="AP36" s="529"/>
      <c r="AQ36" s="529"/>
      <c r="AR36" s="529"/>
      <c r="AS36" s="529"/>
      <c r="AT36" s="529"/>
      <c r="AU36" s="529"/>
      <c r="AV36" s="529"/>
      <c r="AW36" s="529"/>
      <c r="AX36" s="529"/>
      <c r="AY36" s="529"/>
      <c r="AZ36" s="529"/>
      <c r="BA36" s="529"/>
      <c r="BB36" s="529"/>
      <c r="BC36" s="529"/>
      <c r="BD36" s="529"/>
      <c r="BE36" s="529"/>
      <c r="BF36" s="529"/>
      <c r="BG36" s="529"/>
      <c r="BH36" s="529"/>
      <c r="BI36" s="529"/>
      <c r="BJ36" s="529"/>
      <c r="BK36" s="529"/>
      <c r="BL36" s="529"/>
      <c r="BM36" s="529"/>
      <c r="BN36" s="529"/>
      <c r="BO36" s="529"/>
      <c r="BP36" s="529"/>
    </row>
    <row r="37">
      <c r="O37" s="702"/>
      <c r="P37" s="702"/>
      <c r="Q37" s="529"/>
      <c r="R37" s="529"/>
      <c r="S37" s="529"/>
      <c r="T37" s="529"/>
      <c r="U37" s="529"/>
      <c r="V37" s="529"/>
      <c r="W37" s="529"/>
      <c r="X37" s="529"/>
      <c r="Y37" s="529"/>
      <c r="Z37" s="529"/>
      <c r="AA37" s="529"/>
      <c r="AB37" s="529"/>
      <c r="AC37" s="529"/>
      <c r="AD37" s="529"/>
      <c r="AE37" s="529"/>
      <c r="AF37" s="529"/>
      <c r="AG37" s="529"/>
      <c r="AH37" s="529"/>
      <c r="AI37" s="529"/>
      <c r="AJ37" s="529"/>
      <c r="AK37" s="529"/>
      <c r="AL37" s="529"/>
      <c r="AM37" s="529"/>
      <c r="AN37" s="529"/>
      <c r="AO37" s="529"/>
      <c r="AP37" s="529"/>
      <c r="AQ37" s="529"/>
      <c r="AR37" s="529"/>
      <c r="AS37" s="529"/>
      <c r="AT37" s="529"/>
      <c r="AU37" s="529"/>
      <c r="AV37" s="529"/>
      <c r="AW37" s="529"/>
      <c r="AX37" s="529"/>
      <c r="AY37" s="529"/>
      <c r="AZ37" s="529"/>
      <c r="BA37" s="529"/>
      <c r="BB37" s="529"/>
      <c r="BC37" s="529"/>
      <c r="BD37" s="529"/>
      <c r="BE37" s="529"/>
      <c r="BF37" s="529"/>
      <c r="BG37" s="529"/>
      <c r="BH37" s="529"/>
      <c r="BI37" s="529"/>
      <c r="BJ37" s="529"/>
      <c r="BK37" s="529"/>
      <c r="BL37" s="529"/>
      <c r="BM37" s="529"/>
      <c r="BN37" s="529"/>
      <c r="BO37" s="529"/>
      <c r="BP37" s="529"/>
    </row>
    <row r="38">
      <c r="O38" s="702"/>
      <c r="P38" s="702"/>
      <c r="Q38" s="529"/>
      <c r="R38" s="529"/>
      <c r="S38" s="529"/>
      <c r="T38" s="529"/>
      <c r="U38" s="529"/>
      <c r="V38" s="529"/>
      <c r="W38" s="529"/>
      <c r="X38" s="529"/>
      <c r="Y38" s="529"/>
      <c r="Z38" s="529"/>
      <c r="AA38" s="529"/>
      <c r="AB38" s="529"/>
      <c r="AC38" s="529"/>
      <c r="AD38" s="529"/>
      <c r="AE38" s="529"/>
      <c r="AF38" s="529"/>
      <c r="AG38" s="529"/>
      <c r="AH38" s="529"/>
      <c r="AI38" s="529"/>
      <c r="AJ38" s="529"/>
      <c r="AK38" s="529"/>
      <c r="AL38" s="529"/>
      <c r="AM38" s="529"/>
      <c r="AN38" s="529"/>
      <c r="AO38" s="529"/>
      <c r="AP38" s="529"/>
      <c r="AQ38" s="529"/>
      <c r="AR38" s="529"/>
      <c r="AS38" s="529"/>
      <c r="AT38" s="529"/>
      <c r="AU38" s="529"/>
      <c r="AV38" s="529"/>
      <c r="AW38" s="529"/>
      <c r="AX38" s="529"/>
      <c r="AY38" s="529"/>
      <c r="AZ38" s="529"/>
      <c r="BA38" s="529"/>
      <c r="BB38" s="529"/>
      <c r="BC38" s="529"/>
      <c r="BD38" s="529"/>
      <c r="BE38" s="529"/>
      <c r="BF38" s="529"/>
      <c r="BG38" s="529"/>
      <c r="BH38" s="529"/>
      <c r="BI38" s="529"/>
      <c r="BJ38" s="529"/>
      <c r="BK38" s="529"/>
      <c r="BL38" s="529"/>
      <c r="BM38" s="529"/>
      <c r="BN38" s="529"/>
      <c r="BO38" s="529"/>
      <c r="BP38" s="529"/>
    </row>
    <row r="39">
      <c r="O39" s="702"/>
      <c r="P39" s="702"/>
      <c r="Q39" s="529"/>
      <c r="R39" s="529"/>
      <c r="S39" s="529"/>
      <c r="T39" s="529"/>
      <c r="U39" s="529"/>
      <c r="V39" s="529"/>
      <c r="W39" s="529"/>
      <c r="X39" s="529"/>
      <c r="Y39" s="529"/>
      <c r="Z39" s="529"/>
      <c r="AA39" s="529"/>
      <c r="AB39" s="529"/>
      <c r="AC39" s="529"/>
      <c r="AD39" s="529"/>
      <c r="AE39" s="529"/>
      <c r="AF39" s="529"/>
      <c r="AG39" s="529"/>
      <c r="AH39" s="529"/>
      <c r="AI39" s="529"/>
      <c r="AJ39" s="529"/>
      <c r="AK39" s="529"/>
      <c r="AL39" s="529"/>
      <c r="AM39" s="529"/>
      <c r="AN39" s="529"/>
      <c r="AO39" s="529"/>
      <c r="AP39" s="529"/>
      <c r="AQ39" s="529"/>
      <c r="AR39" s="529"/>
      <c r="AS39" s="529"/>
      <c r="AT39" s="529"/>
      <c r="AU39" s="529"/>
      <c r="AV39" s="529"/>
      <c r="AW39" s="529"/>
      <c r="AX39" s="529"/>
      <c r="AY39" s="529"/>
      <c r="AZ39" s="529"/>
      <c r="BA39" s="529"/>
      <c r="BB39" s="529"/>
      <c r="BC39" s="529"/>
      <c r="BD39" s="529"/>
      <c r="BE39" s="529"/>
      <c r="BF39" s="529"/>
      <c r="BG39" s="529"/>
      <c r="BH39" s="529"/>
      <c r="BI39" s="529"/>
      <c r="BJ39" s="529"/>
      <c r="BK39" s="529"/>
      <c r="BL39" s="529"/>
      <c r="BM39" s="529"/>
      <c r="BN39" s="529"/>
      <c r="BO39" s="529"/>
      <c r="BP39" s="529"/>
    </row>
    <row r="40">
      <c r="O40" s="702"/>
      <c r="P40" s="702"/>
      <c r="Q40" s="529"/>
      <c r="R40" s="529"/>
      <c r="S40" s="529"/>
      <c r="T40" s="529"/>
      <c r="U40" s="529"/>
      <c r="V40" s="529"/>
      <c r="W40" s="529"/>
      <c r="X40" s="529"/>
      <c r="Y40" s="529"/>
      <c r="Z40" s="529"/>
      <c r="AA40" s="529"/>
      <c r="AB40" s="529"/>
      <c r="AC40" s="529"/>
      <c r="AD40" s="529"/>
      <c r="AE40" s="529"/>
      <c r="AF40" s="529"/>
      <c r="AG40" s="529"/>
      <c r="AH40" s="529"/>
      <c r="AI40" s="529"/>
      <c r="AJ40" s="529"/>
      <c r="AK40" s="529"/>
      <c r="AL40" s="529"/>
      <c r="AM40" s="529"/>
      <c r="AN40" s="529"/>
      <c r="AO40" s="529"/>
      <c r="AP40" s="529"/>
      <c r="AQ40" s="529"/>
      <c r="AR40" s="529"/>
      <c r="AS40" s="529"/>
      <c r="AT40" s="529"/>
      <c r="AU40" s="529"/>
      <c r="AV40" s="529"/>
      <c r="AW40" s="529"/>
      <c r="AX40" s="529"/>
      <c r="AY40" s="529"/>
      <c r="AZ40" s="529"/>
      <c r="BA40" s="529"/>
      <c r="BB40" s="529"/>
      <c r="BC40" s="529"/>
      <c r="BD40" s="529"/>
      <c r="BE40" s="529"/>
      <c r="BF40" s="529"/>
      <c r="BG40" s="529"/>
      <c r="BH40" s="529"/>
      <c r="BI40" s="529"/>
      <c r="BJ40" s="529"/>
      <c r="BK40" s="529"/>
      <c r="BL40" s="529"/>
      <c r="BM40" s="529"/>
      <c r="BN40" s="529"/>
      <c r="BO40" s="529"/>
      <c r="BP40" s="529"/>
    </row>
    <row r="41">
      <c r="O41" s="702"/>
      <c r="P41" s="702"/>
      <c r="Q41" s="529"/>
      <c r="R41" s="529"/>
      <c r="S41" s="529"/>
      <c r="T41" s="529"/>
      <c r="U41" s="529"/>
      <c r="V41" s="529"/>
      <c r="W41" s="529"/>
      <c r="X41" s="529"/>
      <c r="Y41" s="529"/>
      <c r="Z41" s="529"/>
      <c r="AA41" s="529"/>
      <c r="AB41" s="529"/>
      <c r="AC41" s="529"/>
      <c r="AD41" s="529"/>
      <c r="AE41" s="529"/>
      <c r="AF41" s="529"/>
      <c r="AG41" s="529"/>
      <c r="AH41" s="529"/>
      <c r="AI41" s="529"/>
      <c r="AJ41" s="529"/>
      <c r="AK41" s="529"/>
      <c r="AL41" s="529"/>
      <c r="AM41" s="529"/>
      <c r="AN41" s="529"/>
      <c r="AO41" s="529"/>
      <c r="AP41" s="529"/>
      <c r="AQ41" s="529"/>
      <c r="AR41" s="529"/>
      <c r="AS41" s="529"/>
      <c r="AT41" s="529"/>
      <c r="AU41" s="529"/>
      <c r="AV41" s="529"/>
      <c r="AW41" s="529"/>
      <c r="AX41" s="529"/>
      <c r="AY41" s="529"/>
      <c r="AZ41" s="529"/>
      <c r="BA41" s="529"/>
      <c r="BB41" s="529"/>
      <c r="BC41" s="529"/>
      <c r="BD41" s="529"/>
      <c r="BE41" s="529"/>
      <c r="BF41" s="529"/>
      <c r="BG41" s="529"/>
      <c r="BH41" s="529"/>
      <c r="BI41" s="529"/>
      <c r="BJ41" s="529"/>
      <c r="BK41" s="529"/>
      <c r="BL41" s="529"/>
      <c r="BM41" s="529"/>
      <c r="BN41" s="529"/>
      <c r="BO41" s="529"/>
      <c r="BP41" s="529"/>
    </row>
    <row r="42">
      <c r="O42" s="702"/>
      <c r="P42" s="702"/>
      <c r="Q42" s="529"/>
      <c r="R42" s="529"/>
      <c r="S42" s="529"/>
      <c r="T42" s="529"/>
      <c r="U42" s="529"/>
      <c r="V42" s="529"/>
      <c r="W42" s="529"/>
      <c r="X42" s="529"/>
      <c r="Y42" s="529"/>
      <c r="Z42" s="529"/>
      <c r="AA42" s="529"/>
      <c r="AB42" s="529"/>
      <c r="AC42" s="529"/>
      <c r="AD42" s="529"/>
      <c r="AE42" s="529"/>
      <c r="AF42" s="529"/>
      <c r="AG42" s="529"/>
      <c r="AH42" s="529"/>
      <c r="AI42" s="529"/>
      <c r="AJ42" s="529"/>
      <c r="AK42" s="529"/>
      <c r="AL42" s="529"/>
      <c r="AM42" s="529"/>
      <c r="AN42" s="529"/>
      <c r="AO42" s="529"/>
      <c r="AP42" s="529"/>
      <c r="AQ42" s="529"/>
      <c r="AR42" s="529"/>
      <c r="AS42" s="529"/>
      <c r="AT42" s="529"/>
      <c r="AU42" s="529"/>
      <c r="AV42" s="529"/>
      <c r="AW42" s="529"/>
      <c r="AX42" s="529"/>
      <c r="AY42" s="529"/>
      <c r="AZ42" s="529"/>
      <c r="BA42" s="529"/>
      <c r="BB42" s="529"/>
      <c r="BC42" s="529"/>
      <c r="BD42" s="529"/>
      <c r="BE42" s="529"/>
      <c r="BF42" s="529"/>
      <c r="BG42" s="529"/>
      <c r="BH42" s="529"/>
      <c r="BI42" s="529"/>
      <c r="BJ42" s="529"/>
      <c r="BK42" s="529"/>
      <c r="BL42" s="529"/>
      <c r="BM42" s="529"/>
      <c r="BN42" s="529"/>
      <c r="BO42" s="529"/>
      <c r="BP42" s="529"/>
    </row>
    <row r="43">
      <c r="O43" s="702"/>
      <c r="P43" s="702"/>
      <c r="Q43" s="529"/>
      <c r="R43" s="529"/>
      <c r="S43" s="529"/>
      <c r="T43" s="529"/>
      <c r="U43" s="529"/>
      <c r="V43" s="529"/>
      <c r="W43" s="529"/>
      <c r="X43" s="529"/>
      <c r="Y43" s="529"/>
      <c r="Z43" s="529"/>
      <c r="AA43" s="529"/>
      <c r="AB43" s="529"/>
      <c r="AC43" s="529"/>
      <c r="AD43" s="529"/>
      <c r="AE43" s="529"/>
      <c r="AF43" s="529"/>
      <c r="AG43" s="529"/>
      <c r="AH43" s="529"/>
      <c r="AI43" s="529"/>
      <c r="AJ43" s="529"/>
      <c r="AK43" s="529"/>
      <c r="AL43" s="529"/>
      <c r="AM43" s="529"/>
      <c r="AN43" s="529"/>
      <c r="AO43" s="529"/>
      <c r="AP43" s="529"/>
      <c r="AQ43" s="529"/>
      <c r="AR43" s="529"/>
      <c r="AS43" s="529"/>
      <c r="AT43" s="529"/>
      <c r="AU43" s="529"/>
      <c r="AV43" s="529"/>
      <c r="AW43" s="529"/>
      <c r="AX43" s="529"/>
      <c r="AY43" s="529"/>
      <c r="AZ43" s="529"/>
      <c r="BA43" s="529"/>
      <c r="BB43" s="529"/>
      <c r="BC43" s="529"/>
      <c r="BD43" s="529"/>
      <c r="BE43" s="529"/>
      <c r="BF43" s="529"/>
      <c r="BG43" s="529"/>
      <c r="BH43" s="529"/>
      <c r="BI43" s="529"/>
      <c r="BJ43" s="529"/>
      <c r="BK43" s="529"/>
      <c r="BL43" s="529"/>
      <c r="BM43" s="529"/>
      <c r="BN43" s="529"/>
      <c r="BO43" s="529"/>
      <c r="BP43" s="529"/>
    </row>
    <row r="44">
      <c r="O44" s="702"/>
      <c r="P44" s="702"/>
      <c r="Q44" s="529"/>
      <c r="R44" s="529"/>
      <c r="S44" s="529"/>
      <c r="T44" s="529"/>
      <c r="U44" s="529"/>
      <c r="V44" s="529"/>
      <c r="W44" s="529"/>
      <c r="X44" s="529"/>
      <c r="Y44" s="529"/>
      <c r="Z44" s="529"/>
      <c r="AA44" s="529"/>
      <c r="AB44" s="529"/>
      <c r="AC44" s="529"/>
      <c r="AD44" s="529"/>
      <c r="AE44" s="529"/>
      <c r="AF44" s="529"/>
      <c r="AG44" s="529"/>
      <c r="AH44" s="529"/>
      <c r="AI44" s="529"/>
      <c r="AJ44" s="529"/>
      <c r="AK44" s="529"/>
      <c r="AL44" s="529"/>
      <c r="AM44" s="529"/>
      <c r="AN44" s="529"/>
      <c r="AO44" s="529"/>
      <c r="AP44" s="529"/>
      <c r="AQ44" s="529"/>
      <c r="AR44" s="529"/>
      <c r="AS44" s="529"/>
      <c r="AT44" s="529"/>
      <c r="AU44" s="529"/>
      <c r="AV44" s="529"/>
      <c r="AW44" s="529"/>
      <c r="AX44" s="529"/>
      <c r="AY44" s="529"/>
      <c r="AZ44" s="529"/>
      <c r="BA44" s="529"/>
      <c r="BB44" s="529"/>
      <c r="BC44" s="529"/>
      <c r="BD44" s="529"/>
      <c r="BE44" s="529"/>
      <c r="BF44" s="529"/>
      <c r="BG44" s="529"/>
      <c r="BH44" s="529"/>
      <c r="BI44" s="529"/>
      <c r="BJ44" s="529"/>
      <c r="BK44" s="529"/>
      <c r="BL44" s="529"/>
      <c r="BM44" s="529"/>
      <c r="BN44" s="529"/>
      <c r="BO44" s="529"/>
      <c r="BP44" s="529"/>
    </row>
    <row r="45">
      <c r="O45" s="702"/>
      <c r="P45" s="702"/>
      <c r="Q45" s="529"/>
      <c r="R45" s="529"/>
      <c r="S45" s="529"/>
      <c r="T45" s="529"/>
      <c r="U45" s="529"/>
      <c r="V45" s="529"/>
      <c r="W45" s="529"/>
      <c r="X45" s="529"/>
      <c r="Y45" s="529"/>
      <c r="Z45" s="529"/>
      <c r="AA45" s="529"/>
      <c r="AB45" s="529"/>
      <c r="AC45" s="529"/>
      <c r="AD45" s="529"/>
      <c r="AE45" s="529"/>
      <c r="AF45" s="529"/>
      <c r="AG45" s="529"/>
      <c r="AH45" s="529"/>
      <c r="AI45" s="529"/>
      <c r="AJ45" s="529"/>
      <c r="AK45" s="529"/>
      <c r="AL45" s="529"/>
      <c r="AM45" s="529"/>
      <c r="AN45" s="529"/>
      <c r="AO45" s="529"/>
      <c r="AP45" s="529"/>
      <c r="AQ45" s="529"/>
      <c r="AR45" s="529"/>
      <c r="AS45" s="529"/>
      <c r="AT45" s="529"/>
      <c r="AU45" s="529"/>
      <c r="AV45" s="529"/>
      <c r="AW45" s="529"/>
      <c r="AX45" s="529"/>
      <c r="AY45" s="529"/>
      <c r="AZ45" s="529"/>
      <c r="BA45" s="529"/>
      <c r="BB45" s="529"/>
      <c r="BC45" s="529"/>
      <c r="BD45" s="529"/>
      <c r="BE45" s="529"/>
      <c r="BF45" s="529"/>
      <c r="BG45" s="529"/>
      <c r="BH45" s="529"/>
      <c r="BI45" s="529"/>
      <c r="BJ45" s="529"/>
      <c r="BK45" s="529"/>
      <c r="BL45" s="529"/>
      <c r="BM45" s="529"/>
      <c r="BN45" s="529"/>
      <c r="BO45" s="529"/>
      <c r="BP45" s="529"/>
    </row>
    <row r="46">
      <c r="O46" s="702"/>
      <c r="P46" s="702"/>
      <c r="Q46" s="529"/>
      <c r="R46" s="529"/>
      <c r="S46" s="529"/>
      <c r="T46" s="529"/>
      <c r="U46" s="529"/>
      <c r="V46" s="529"/>
      <c r="W46" s="529"/>
      <c r="X46" s="529"/>
      <c r="Y46" s="529"/>
      <c r="Z46" s="529"/>
      <c r="AA46" s="529"/>
      <c r="AB46" s="529"/>
      <c r="AC46" s="529"/>
      <c r="AD46" s="529"/>
      <c r="AE46" s="529"/>
      <c r="AF46" s="529"/>
      <c r="AG46" s="529"/>
      <c r="AH46" s="529"/>
      <c r="AI46" s="529"/>
      <c r="AJ46" s="529"/>
      <c r="AK46" s="529"/>
      <c r="AL46" s="529"/>
      <c r="AM46" s="529"/>
      <c r="AN46" s="529"/>
      <c r="AO46" s="529"/>
      <c r="AP46" s="529"/>
      <c r="AQ46" s="529"/>
      <c r="AR46" s="529"/>
      <c r="AS46" s="529"/>
      <c r="AT46" s="529"/>
      <c r="AU46" s="529"/>
      <c r="AV46" s="529"/>
      <c r="AW46" s="529"/>
      <c r="AX46" s="529"/>
      <c r="AY46" s="529"/>
      <c r="AZ46" s="529"/>
      <c r="BA46" s="529"/>
      <c r="BB46" s="529"/>
      <c r="BC46" s="529"/>
      <c r="BD46" s="529"/>
      <c r="BE46" s="529"/>
      <c r="BF46" s="529"/>
      <c r="BG46" s="529"/>
      <c r="BH46" s="529"/>
      <c r="BI46" s="529"/>
      <c r="BJ46" s="529"/>
      <c r="BK46" s="529"/>
      <c r="BL46" s="529"/>
      <c r="BM46" s="529"/>
      <c r="BN46" s="529"/>
      <c r="BO46" s="529"/>
      <c r="BP46" s="529"/>
    </row>
    <row r="47">
      <c r="O47" s="702"/>
      <c r="P47" s="702"/>
      <c r="Q47" s="529"/>
      <c r="R47" s="529"/>
      <c r="S47" s="529"/>
      <c r="T47" s="529"/>
      <c r="U47" s="529"/>
      <c r="V47" s="529"/>
      <c r="W47" s="529"/>
      <c r="X47" s="529"/>
      <c r="Y47" s="529"/>
      <c r="Z47" s="529"/>
      <c r="AA47" s="529"/>
      <c r="AB47" s="529"/>
      <c r="AC47" s="529"/>
      <c r="AD47" s="529"/>
      <c r="AE47" s="529"/>
      <c r="AF47" s="529"/>
      <c r="AG47" s="529"/>
      <c r="AH47" s="529"/>
      <c r="AI47" s="529"/>
      <c r="AJ47" s="529"/>
      <c r="AK47" s="529"/>
      <c r="AL47" s="529"/>
      <c r="AM47" s="529"/>
      <c r="AN47" s="529"/>
      <c r="AO47" s="529"/>
      <c r="AP47" s="529"/>
      <c r="AQ47" s="529"/>
      <c r="AR47" s="529"/>
      <c r="AS47" s="529"/>
      <c r="AT47" s="529"/>
      <c r="AU47" s="529"/>
      <c r="AV47" s="529"/>
      <c r="AW47" s="529"/>
      <c r="AX47" s="529"/>
      <c r="AY47" s="529"/>
      <c r="AZ47" s="529"/>
      <c r="BA47" s="529"/>
      <c r="BB47" s="529"/>
      <c r="BC47" s="529"/>
      <c r="BD47" s="529"/>
      <c r="BE47" s="529"/>
      <c r="BF47" s="529"/>
      <c r="BG47" s="529"/>
      <c r="BH47" s="529"/>
      <c r="BI47" s="529"/>
      <c r="BJ47" s="529"/>
      <c r="BK47" s="529"/>
      <c r="BL47" s="529"/>
      <c r="BM47" s="529"/>
      <c r="BN47" s="529"/>
      <c r="BO47" s="529"/>
      <c r="BP47" s="529"/>
    </row>
    <row r="48">
      <c r="O48" s="702"/>
      <c r="P48" s="702"/>
      <c r="Q48" s="529"/>
      <c r="R48" s="529"/>
      <c r="S48" s="529"/>
      <c r="T48" s="529"/>
      <c r="U48" s="529"/>
      <c r="V48" s="529"/>
      <c r="W48" s="529"/>
      <c r="X48" s="529"/>
      <c r="Y48" s="529"/>
      <c r="Z48" s="529"/>
      <c r="AA48" s="529"/>
      <c r="AB48" s="529"/>
      <c r="AC48" s="529"/>
      <c r="AD48" s="529"/>
      <c r="AE48" s="529"/>
      <c r="AF48" s="529"/>
      <c r="AG48" s="529"/>
      <c r="AH48" s="529"/>
      <c r="AI48" s="529"/>
      <c r="AJ48" s="529"/>
      <c r="AK48" s="529"/>
      <c r="AL48" s="529"/>
      <c r="AM48" s="529"/>
      <c r="AN48" s="529"/>
      <c r="AO48" s="529"/>
      <c r="AP48" s="529"/>
      <c r="AQ48" s="529"/>
      <c r="AR48" s="529"/>
      <c r="AS48" s="529"/>
      <c r="AT48" s="529"/>
      <c r="AU48" s="529"/>
      <c r="AV48" s="529"/>
      <c r="AW48" s="529"/>
      <c r="AX48" s="529"/>
      <c r="AY48" s="529"/>
      <c r="AZ48" s="529"/>
      <c r="BA48" s="529"/>
      <c r="BB48" s="529"/>
      <c r="BC48" s="529"/>
      <c r="BD48" s="529"/>
      <c r="BE48" s="529"/>
      <c r="BF48" s="529"/>
      <c r="BG48" s="529"/>
      <c r="BH48" s="529"/>
      <c r="BI48" s="529"/>
      <c r="BJ48" s="529"/>
      <c r="BK48" s="529"/>
      <c r="BL48" s="529"/>
      <c r="BM48" s="529"/>
      <c r="BN48" s="529"/>
      <c r="BO48" s="529"/>
      <c r="BP48" s="529"/>
    </row>
    <row r="49">
      <c r="O49" s="702"/>
      <c r="P49" s="702"/>
      <c r="Q49" s="529"/>
      <c r="R49" s="529"/>
      <c r="S49" s="529"/>
      <c r="T49" s="529"/>
      <c r="U49" s="529"/>
      <c r="V49" s="529"/>
      <c r="W49" s="529"/>
      <c r="X49" s="529"/>
      <c r="Y49" s="529"/>
      <c r="Z49" s="529"/>
      <c r="AA49" s="529"/>
      <c r="AB49" s="529"/>
      <c r="AC49" s="529"/>
      <c r="AD49" s="529"/>
      <c r="AE49" s="529"/>
      <c r="AF49" s="529"/>
      <c r="AG49" s="529"/>
      <c r="AH49" s="529"/>
      <c r="AI49" s="529"/>
      <c r="AJ49" s="529"/>
      <c r="AK49" s="529"/>
      <c r="AL49" s="529"/>
      <c r="AM49" s="529"/>
      <c r="AN49" s="529"/>
      <c r="AO49" s="529"/>
      <c r="AP49" s="529"/>
      <c r="AQ49" s="529"/>
      <c r="AR49" s="529"/>
      <c r="AS49" s="529"/>
      <c r="AT49" s="529"/>
      <c r="AU49" s="529"/>
      <c r="AV49" s="529"/>
      <c r="AW49" s="529"/>
      <c r="AX49" s="529"/>
      <c r="AY49" s="529"/>
      <c r="AZ49" s="529"/>
      <c r="BA49" s="529"/>
      <c r="BB49" s="529"/>
      <c r="BC49" s="529"/>
      <c r="BD49" s="529"/>
      <c r="BE49" s="529"/>
      <c r="BF49" s="529"/>
      <c r="BG49" s="529"/>
      <c r="BH49" s="529"/>
      <c r="BI49" s="529"/>
      <c r="BJ49" s="529"/>
      <c r="BK49" s="529"/>
      <c r="BL49" s="529"/>
      <c r="BM49" s="529"/>
      <c r="BN49" s="529"/>
      <c r="BO49" s="529"/>
      <c r="BP49" s="529"/>
    </row>
    <row r="50">
      <c r="O50" s="702"/>
      <c r="P50" s="702"/>
      <c r="Q50" s="529"/>
      <c r="R50" s="529"/>
      <c r="S50" s="529"/>
      <c r="T50" s="529"/>
      <c r="U50" s="529"/>
      <c r="V50" s="529"/>
      <c r="W50" s="529"/>
      <c r="X50" s="529"/>
      <c r="Y50" s="529"/>
      <c r="Z50" s="529"/>
      <c r="AA50" s="529"/>
      <c r="AB50" s="529"/>
      <c r="AC50" s="529"/>
      <c r="AD50" s="529"/>
      <c r="AE50" s="529"/>
      <c r="AF50" s="529"/>
      <c r="AG50" s="529"/>
      <c r="AH50" s="529"/>
      <c r="AI50" s="529"/>
      <c r="AJ50" s="529"/>
      <c r="AK50" s="529"/>
      <c r="AL50" s="529"/>
      <c r="AM50" s="529"/>
      <c r="AN50" s="529"/>
      <c r="AO50" s="529"/>
      <c r="AP50" s="529"/>
      <c r="AQ50" s="529"/>
      <c r="AR50" s="529"/>
      <c r="AS50" s="529"/>
      <c r="AT50" s="529"/>
      <c r="AU50" s="529"/>
      <c r="AV50" s="529"/>
      <c r="AW50" s="529"/>
      <c r="AX50" s="529"/>
      <c r="AY50" s="529"/>
      <c r="AZ50" s="529"/>
      <c r="BA50" s="529"/>
      <c r="BB50" s="529"/>
      <c r="BC50" s="529"/>
      <c r="BD50" s="529"/>
      <c r="BE50" s="529"/>
      <c r="BF50" s="529"/>
      <c r="BG50" s="529"/>
      <c r="BH50" s="529"/>
      <c r="BI50" s="529"/>
      <c r="BJ50" s="529"/>
      <c r="BK50" s="529"/>
      <c r="BL50" s="529"/>
      <c r="BM50" s="529"/>
      <c r="BN50" s="529"/>
      <c r="BO50" s="529"/>
      <c r="BP50" s="529"/>
    </row>
    <row r="51">
      <c r="O51" s="702"/>
      <c r="P51" s="702"/>
      <c r="Q51" s="529"/>
      <c r="R51" s="529"/>
      <c r="S51" s="529"/>
      <c r="T51" s="529"/>
      <c r="U51" s="529"/>
      <c r="V51" s="529"/>
      <c r="W51" s="529"/>
      <c r="X51" s="529"/>
      <c r="Y51" s="529"/>
      <c r="Z51" s="529"/>
      <c r="AA51" s="529"/>
      <c r="AB51" s="529"/>
      <c r="AC51" s="529"/>
      <c r="AD51" s="529"/>
      <c r="AE51" s="529"/>
      <c r="AF51" s="529"/>
      <c r="AG51" s="529"/>
      <c r="AH51" s="529"/>
      <c r="AI51" s="529"/>
      <c r="AJ51" s="529"/>
      <c r="AK51" s="529"/>
      <c r="AL51" s="529"/>
      <c r="AM51" s="529"/>
      <c r="AN51" s="529"/>
      <c r="AO51" s="529"/>
      <c r="AP51" s="529"/>
      <c r="AQ51" s="529"/>
      <c r="AR51" s="529"/>
      <c r="AS51" s="529"/>
      <c r="AT51" s="529"/>
      <c r="AU51" s="529"/>
      <c r="AV51" s="529"/>
      <c r="AW51" s="529"/>
      <c r="AX51" s="529"/>
      <c r="AY51" s="529"/>
      <c r="AZ51" s="529"/>
      <c r="BA51" s="529"/>
      <c r="BB51" s="529"/>
      <c r="BC51" s="529"/>
      <c r="BD51" s="529"/>
      <c r="BE51" s="529"/>
      <c r="BF51" s="529"/>
      <c r="BG51" s="529"/>
      <c r="BH51" s="529"/>
      <c r="BI51" s="529"/>
      <c r="BJ51" s="529"/>
      <c r="BK51" s="529"/>
      <c r="BL51" s="529"/>
      <c r="BM51" s="529"/>
      <c r="BN51" s="529"/>
      <c r="BO51" s="529"/>
      <c r="BP51" s="529"/>
    </row>
    <row r="52">
      <c r="O52" s="702"/>
      <c r="P52" s="702"/>
      <c r="Q52" s="529"/>
      <c r="R52" s="529"/>
      <c r="S52" s="529"/>
      <c r="T52" s="529"/>
      <c r="U52" s="529"/>
      <c r="V52" s="529"/>
      <c r="W52" s="529"/>
      <c r="X52" s="529"/>
      <c r="Y52" s="529"/>
      <c r="Z52" s="529"/>
      <c r="AA52" s="529"/>
      <c r="AB52" s="529"/>
      <c r="AC52" s="529"/>
      <c r="AD52" s="529"/>
      <c r="AE52" s="529"/>
      <c r="AF52" s="529"/>
      <c r="AG52" s="529"/>
      <c r="AH52" s="529"/>
      <c r="AI52" s="529"/>
      <c r="AJ52" s="529"/>
      <c r="AK52" s="529"/>
      <c r="AL52" s="529"/>
      <c r="AM52" s="529"/>
      <c r="AN52" s="529"/>
      <c r="AO52" s="529"/>
      <c r="AP52" s="529"/>
      <c r="AQ52" s="529"/>
      <c r="AR52" s="529"/>
      <c r="AS52" s="529"/>
      <c r="AT52" s="529"/>
      <c r="AU52" s="529"/>
      <c r="AV52" s="529"/>
      <c r="AW52" s="529"/>
      <c r="AX52" s="529"/>
      <c r="AY52" s="529"/>
      <c r="AZ52" s="529"/>
      <c r="BA52" s="529"/>
      <c r="BB52" s="529"/>
      <c r="BC52" s="529"/>
      <c r="BD52" s="529"/>
      <c r="BE52" s="529"/>
      <c r="BF52" s="529"/>
      <c r="BG52" s="529"/>
      <c r="BH52" s="529"/>
      <c r="BI52" s="529"/>
      <c r="BJ52" s="529"/>
      <c r="BK52" s="529"/>
      <c r="BL52" s="529"/>
      <c r="BM52" s="529"/>
      <c r="BN52" s="529"/>
      <c r="BO52" s="529"/>
      <c r="BP52" s="529"/>
    </row>
    <row r="53">
      <c r="O53" s="702"/>
      <c r="P53" s="702"/>
      <c r="Q53" s="529"/>
      <c r="R53" s="529"/>
      <c r="S53" s="529"/>
      <c r="T53" s="529"/>
      <c r="U53" s="529"/>
      <c r="V53" s="529"/>
      <c r="W53" s="529"/>
      <c r="X53" s="529"/>
      <c r="Y53" s="529"/>
      <c r="Z53" s="529"/>
      <c r="AA53" s="529"/>
      <c r="AB53" s="529"/>
      <c r="AC53" s="529"/>
      <c r="AD53" s="529"/>
      <c r="AE53" s="529"/>
      <c r="AF53" s="529"/>
      <c r="AG53" s="529"/>
      <c r="AH53" s="529"/>
      <c r="AI53" s="529"/>
      <c r="AJ53" s="529"/>
      <c r="AK53" s="529"/>
      <c r="AL53" s="529"/>
      <c r="AM53" s="529"/>
      <c r="AN53" s="529"/>
      <c r="AO53" s="529"/>
      <c r="AP53" s="529"/>
      <c r="AQ53" s="529"/>
      <c r="AR53" s="529"/>
      <c r="AS53" s="529"/>
      <c r="AT53" s="529"/>
      <c r="AU53" s="529"/>
      <c r="AV53" s="529"/>
      <c r="AW53" s="529"/>
      <c r="AX53" s="529"/>
      <c r="AY53" s="529"/>
      <c r="AZ53" s="529"/>
      <c r="BA53" s="529"/>
      <c r="BB53" s="529"/>
      <c r="BC53" s="529"/>
      <c r="BD53" s="529"/>
      <c r="BE53" s="529"/>
      <c r="BF53" s="529"/>
      <c r="BG53" s="529"/>
      <c r="BH53" s="529"/>
      <c r="BI53" s="529"/>
      <c r="BJ53" s="529"/>
      <c r="BK53" s="529"/>
      <c r="BL53" s="529"/>
      <c r="BM53" s="529"/>
      <c r="BN53" s="529"/>
      <c r="BO53" s="529"/>
      <c r="BP53" s="529"/>
    </row>
    <row r="54">
      <c r="O54" s="702"/>
      <c r="P54" s="702"/>
      <c r="Q54" s="529"/>
      <c r="R54" s="529"/>
      <c r="S54" s="529"/>
      <c r="T54" s="529"/>
      <c r="U54" s="529"/>
      <c r="V54" s="529"/>
      <c r="W54" s="529"/>
      <c r="X54" s="529"/>
      <c r="Y54" s="529"/>
      <c r="Z54" s="529"/>
      <c r="AA54" s="529"/>
      <c r="AB54" s="529"/>
      <c r="AC54" s="529"/>
      <c r="AD54" s="529"/>
      <c r="AE54" s="529"/>
      <c r="AF54" s="529"/>
      <c r="AG54" s="529"/>
      <c r="AH54" s="529"/>
      <c r="AI54" s="529"/>
      <c r="AJ54" s="529"/>
      <c r="AK54" s="529"/>
      <c r="AL54" s="529"/>
      <c r="AM54" s="529"/>
      <c r="AN54" s="529"/>
      <c r="AO54" s="529"/>
      <c r="AP54" s="529"/>
      <c r="AQ54" s="529"/>
      <c r="AR54" s="529"/>
      <c r="AS54" s="529"/>
      <c r="AT54" s="529"/>
      <c r="AU54" s="529"/>
      <c r="AV54" s="529"/>
      <c r="AW54" s="529"/>
      <c r="AX54" s="529"/>
      <c r="AY54" s="529"/>
      <c r="AZ54" s="529"/>
      <c r="BA54" s="529"/>
      <c r="BB54" s="529"/>
      <c r="BC54" s="529"/>
      <c r="BD54" s="529"/>
      <c r="BE54" s="529"/>
      <c r="BF54" s="529"/>
      <c r="BG54" s="529"/>
      <c r="BH54" s="529"/>
      <c r="BI54" s="529"/>
      <c r="BJ54" s="529"/>
      <c r="BK54" s="529"/>
      <c r="BL54" s="529"/>
      <c r="BM54" s="529"/>
      <c r="BN54" s="529"/>
      <c r="BO54" s="529"/>
      <c r="BP54" s="529"/>
    </row>
    <row r="55">
      <c r="O55" s="702"/>
      <c r="P55" s="702"/>
      <c r="Q55" s="529"/>
      <c r="R55" s="529"/>
      <c r="S55" s="529"/>
      <c r="T55" s="529"/>
      <c r="U55" s="529"/>
      <c r="V55" s="529"/>
      <c r="W55" s="529"/>
      <c r="X55" s="529"/>
      <c r="Y55" s="529"/>
      <c r="Z55" s="529"/>
      <c r="AA55" s="529"/>
      <c r="AB55" s="529"/>
      <c r="AC55" s="529"/>
      <c r="AD55" s="529"/>
      <c r="AE55" s="529"/>
      <c r="AF55" s="529"/>
      <c r="AG55" s="529"/>
      <c r="AH55" s="529"/>
      <c r="AI55" s="529"/>
      <c r="AJ55" s="529"/>
      <c r="AK55" s="529"/>
      <c r="AL55" s="529"/>
      <c r="AM55" s="529"/>
      <c r="AN55" s="529"/>
      <c r="AO55" s="529"/>
      <c r="AP55" s="529"/>
      <c r="AQ55" s="529"/>
      <c r="AR55" s="529"/>
      <c r="AS55" s="529"/>
      <c r="AT55" s="529"/>
      <c r="AU55" s="529"/>
      <c r="AV55" s="529"/>
      <c r="AW55" s="529"/>
      <c r="AX55" s="529"/>
      <c r="AY55" s="529"/>
      <c r="AZ55" s="529"/>
      <c r="BA55" s="529"/>
      <c r="BB55" s="529"/>
      <c r="BC55" s="529"/>
      <c r="BD55" s="529"/>
      <c r="BE55" s="529"/>
      <c r="BF55" s="529"/>
      <c r="BG55" s="529"/>
      <c r="BH55" s="529"/>
      <c r="BI55" s="529"/>
      <c r="BJ55" s="529"/>
      <c r="BK55" s="529"/>
      <c r="BL55" s="529"/>
      <c r="BM55" s="529"/>
      <c r="BN55" s="529"/>
      <c r="BO55" s="529"/>
      <c r="BP55" s="529"/>
    </row>
    <row r="56">
      <c r="O56" s="702"/>
      <c r="P56" s="702"/>
      <c r="Q56" s="529"/>
      <c r="R56" s="529"/>
      <c r="S56" s="529"/>
      <c r="T56" s="529"/>
      <c r="U56" s="529"/>
      <c r="V56" s="529"/>
      <c r="W56" s="529"/>
      <c r="X56" s="529"/>
      <c r="Y56" s="529"/>
      <c r="Z56" s="529"/>
      <c r="AA56" s="529"/>
      <c r="AB56" s="529"/>
      <c r="AC56" s="529"/>
      <c r="AD56" s="529"/>
      <c r="AE56" s="529"/>
      <c r="AF56" s="529"/>
      <c r="AG56" s="529"/>
      <c r="AH56" s="529"/>
      <c r="AI56" s="529"/>
      <c r="AJ56" s="529"/>
      <c r="AK56" s="529"/>
      <c r="AL56" s="529"/>
      <c r="AM56" s="529"/>
      <c r="AN56" s="529"/>
      <c r="AO56" s="529"/>
      <c r="AP56" s="529"/>
      <c r="AQ56" s="529"/>
      <c r="AR56" s="529"/>
      <c r="AS56" s="529"/>
      <c r="AT56" s="529"/>
      <c r="AU56" s="529"/>
      <c r="AV56" s="529"/>
      <c r="AW56" s="529"/>
      <c r="AX56" s="529"/>
      <c r="AY56" s="529"/>
      <c r="AZ56" s="529"/>
      <c r="BA56" s="529"/>
      <c r="BB56" s="529"/>
      <c r="BC56" s="529"/>
      <c r="BD56" s="529"/>
      <c r="BE56" s="529"/>
      <c r="BF56" s="529"/>
      <c r="BG56" s="529"/>
      <c r="BH56" s="529"/>
      <c r="BI56" s="529"/>
      <c r="BJ56" s="529"/>
      <c r="BK56" s="529"/>
      <c r="BL56" s="529"/>
      <c r="BM56" s="529"/>
      <c r="BN56" s="529"/>
      <c r="BO56" s="529"/>
      <c r="BP56" s="529"/>
    </row>
    <row r="57">
      <c r="O57" s="702"/>
      <c r="P57" s="702"/>
      <c r="Q57" s="529"/>
      <c r="R57" s="529"/>
      <c r="S57" s="529"/>
      <c r="T57" s="529"/>
      <c r="U57" s="529"/>
      <c r="V57" s="529"/>
      <c r="W57" s="529"/>
      <c r="X57" s="529"/>
      <c r="Y57" s="529"/>
      <c r="Z57" s="529"/>
      <c r="AA57" s="529"/>
      <c r="AB57" s="529"/>
      <c r="AC57" s="529"/>
      <c r="AD57" s="529"/>
      <c r="AE57" s="529"/>
      <c r="AF57" s="529"/>
      <c r="AG57" s="529"/>
      <c r="AH57" s="529"/>
      <c r="AI57" s="529"/>
      <c r="AJ57" s="529"/>
      <c r="AK57" s="529"/>
      <c r="AL57" s="529"/>
      <c r="AM57" s="529"/>
      <c r="AN57" s="529"/>
      <c r="AO57" s="529"/>
      <c r="AP57" s="529"/>
      <c r="AQ57" s="529"/>
      <c r="AR57" s="529"/>
      <c r="AS57" s="529"/>
      <c r="AT57" s="529"/>
      <c r="AU57" s="529"/>
      <c r="AV57" s="529"/>
      <c r="AW57" s="529"/>
      <c r="AX57" s="529"/>
      <c r="AY57" s="529"/>
      <c r="AZ57" s="529"/>
      <c r="BA57" s="529"/>
      <c r="BB57" s="529"/>
      <c r="BC57" s="529"/>
      <c r="BD57" s="529"/>
      <c r="BE57" s="529"/>
      <c r="BF57" s="529"/>
      <c r="BG57" s="529"/>
      <c r="BH57" s="529"/>
      <c r="BI57" s="529"/>
      <c r="BJ57" s="529"/>
      <c r="BK57" s="529"/>
      <c r="BL57" s="529"/>
      <c r="BM57" s="529"/>
      <c r="BN57" s="529"/>
      <c r="BO57" s="529"/>
      <c r="BP57" s="529"/>
    </row>
    <row r="58">
      <c r="O58" s="702"/>
      <c r="P58" s="702"/>
      <c r="Q58" s="529"/>
      <c r="R58" s="529"/>
      <c r="S58" s="529"/>
      <c r="T58" s="529"/>
      <c r="U58" s="529"/>
      <c r="V58" s="529"/>
      <c r="W58" s="529"/>
      <c r="X58" s="529"/>
      <c r="Y58" s="529"/>
      <c r="Z58" s="529"/>
      <c r="AA58" s="529"/>
      <c r="AB58" s="529"/>
      <c r="AC58" s="529"/>
      <c r="AD58" s="529"/>
      <c r="AE58" s="529"/>
      <c r="AF58" s="529"/>
      <c r="AG58" s="529"/>
      <c r="AH58" s="529"/>
      <c r="AI58" s="529"/>
      <c r="AJ58" s="529"/>
      <c r="AK58" s="529"/>
      <c r="AL58" s="529"/>
      <c r="AM58" s="529"/>
      <c r="AN58" s="529"/>
      <c r="AO58" s="529"/>
      <c r="AP58" s="529"/>
      <c r="AQ58" s="529"/>
      <c r="AR58" s="529"/>
      <c r="AS58" s="529"/>
      <c r="AT58" s="529"/>
      <c r="AU58" s="529"/>
      <c r="AV58" s="529"/>
      <c r="AW58" s="529"/>
      <c r="AX58" s="529"/>
      <c r="AY58" s="529"/>
      <c r="AZ58" s="529"/>
      <c r="BA58" s="529"/>
      <c r="BB58" s="529"/>
      <c r="BC58" s="529"/>
      <c r="BD58" s="529"/>
      <c r="BE58" s="529"/>
      <c r="BF58" s="529"/>
      <c r="BG58" s="529"/>
      <c r="BH58" s="529"/>
      <c r="BI58" s="529"/>
      <c r="BJ58" s="529"/>
      <c r="BK58" s="529"/>
      <c r="BL58" s="529"/>
      <c r="BM58" s="529"/>
      <c r="BN58" s="529"/>
      <c r="BO58" s="529"/>
      <c r="BP58" s="529"/>
    </row>
    <row r="59">
      <c r="O59" s="702"/>
      <c r="P59" s="702"/>
      <c r="Q59" s="529"/>
      <c r="R59" s="529"/>
      <c r="S59" s="529"/>
      <c r="T59" s="529"/>
      <c r="U59" s="529"/>
      <c r="V59" s="529"/>
      <c r="W59" s="529"/>
      <c r="X59" s="529"/>
      <c r="Y59" s="529"/>
      <c r="Z59" s="529"/>
      <c r="AA59" s="529"/>
      <c r="AB59" s="529"/>
      <c r="AC59" s="529"/>
      <c r="AD59" s="529"/>
      <c r="AE59" s="529"/>
      <c r="AF59" s="529"/>
      <c r="AG59" s="529"/>
      <c r="AH59" s="529"/>
      <c r="AI59" s="529"/>
      <c r="AJ59" s="529"/>
      <c r="AK59" s="529"/>
      <c r="AL59" s="529"/>
      <c r="AM59" s="529"/>
      <c r="AN59" s="529"/>
      <c r="AO59" s="529"/>
      <c r="AP59" s="529"/>
      <c r="AQ59" s="529"/>
      <c r="AR59" s="529"/>
      <c r="AS59" s="529"/>
      <c r="AT59" s="529"/>
      <c r="AU59" s="529"/>
      <c r="AV59" s="529"/>
      <c r="AW59" s="529"/>
      <c r="AX59" s="529"/>
      <c r="AY59" s="529"/>
      <c r="AZ59" s="529"/>
      <c r="BA59" s="529"/>
      <c r="BB59" s="529"/>
      <c r="BC59" s="529"/>
      <c r="BD59" s="529"/>
      <c r="BE59" s="529"/>
      <c r="BF59" s="529"/>
      <c r="BG59" s="529"/>
      <c r="BH59" s="529"/>
      <c r="BI59" s="529"/>
      <c r="BJ59" s="529"/>
      <c r="BK59" s="529"/>
      <c r="BL59" s="529"/>
      <c r="BM59" s="529"/>
      <c r="BN59" s="529"/>
      <c r="BO59" s="529"/>
      <c r="BP59" s="529"/>
    </row>
    <row r="60">
      <c r="O60" s="702"/>
      <c r="P60" s="702"/>
      <c r="Q60" s="529"/>
      <c r="R60" s="529"/>
      <c r="S60" s="529"/>
      <c r="T60" s="529"/>
      <c r="U60" s="529"/>
      <c r="V60" s="529"/>
      <c r="W60" s="529"/>
      <c r="X60" s="529"/>
      <c r="Y60" s="529"/>
      <c r="Z60" s="529"/>
      <c r="AA60" s="529"/>
      <c r="AB60" s="529"/>
      <c r="AC60" s="529"/>
      <c r="AD60" s="529"/>
      <c r="AE60" s="529"/>
      <c r="AF60" s="529"/>
      <c r="AG60" s="529"/>
      <c r="AH60" s="529"/>
      <c r="AI60" s="529"/>
      <c r="AJ60" s="529"/>
      <c r="AK60" s="529"/>
      <c r="AL60" s="529"/>
      <c r="AM60" s="529"/>
      <c r="AN60" s="529"/>
      <c r="AO60" s="529"/>
      <c r="AP60" s="529"/>
      <c r="AQ60" s="529"/>
      <c r="AR60" s="529"/>
      <c r="AS60" s="529"/>
      <c r="AT60" s="529"/>
      <c r="AU60" s="529"/>
      <c r="AV60" s="529"/>
      <c r="AW60" s="529"/>
      <c r="AX60" s="529"/>
      <c r="AY60" s="529"/>
      <c r="AZ60" s="529"/>
      <c r="BA60" s="529"/>
      <c r="BB60" s="529"/>
      <c r="BC60" s="529"/>
      <c r="BD60" s="529"/>
      <c r="BE60" s="529"/>
      <c r="BF60" s="529"/>
      <c r="BG60" s="529"/>
      <c r="BH60" s="529"/>
      <c r="BI60" s="529"/>
      <c r="BJ60" s="529"/>
      <c r="BK60" s="529"/>
      <c r="BL60" s="529"/>
      <c r="BM60" s="529"/>
      <c r="BN60" s="529"/>
      <c r="BO60" s="529"/>
      <c r="BP60" s="529"/>
    </row>
    <row r="61">
      <c r="O61" s="702"/>
      <c r="P61" s="702"/>
      <c r="Q61" s="529"/>
      <c r="R61" s="529"/>
      <c r="S61" s="529"/>
      <c r="T61" s="529"/>
      <c r="U61" s="529"/>
      <c r="V61" s="529"/>
      <c r="W61" s="529"/>
      <c r="X61" s="529"/>
      <c r="Y61" s="529"/>
      <c r="Z61" s="529"/>
      <c r="AA61" s="529"/>
      <c r="AB61" s="529"/>
      <c r="AC61" s="529"/>
      <c r="AD61" s="529"/>
      <c r="AE61" s="529"/>
      <c r="AF61" s="529"/>
      <c r="AG61" s="529"/>
      <c r="AH61" s="529"/>
      <c r="AI61" s="529"/>
      <c r="AJ61" s="529"/>
      <c r="AK61" s="529"/>
      <c r="AL61" s="529"/>
      <c r="AM61" s="529"/>
      <c r="AN61" s="529"/>
      <c r="AO61" s="529"/>
      <c r="AP61" s="529"/>
      <c r="AQ61" s="529"/>
      <c r="AR61" s="529"/>
      <c r="AS61" s="529"/>
      <c r="AT61" s="529"/>
      <c r="AU61" s="529"/>
      <c r="AV61" s="529"/>
      <c r="AW61" s="529"/>
      <c r="AX61" s="529"/>
      <c r="AY61" s="529"/>
      <c r="AZ61" s="529"/>
      <c r="BA61" s="529"/>
      <c r="BB61" s="529"/>
      <c r="BC61" s="529"/>
      <c r="BD61" s="529"/>
      <c r="BE61" s="529"/>
      <c r="BF61" s="529"/>
      <c r="BG61" s="529"/>
      <c r="BH61" s="529"/>
      <c r="BI61" s="529"/>
      <c r="BJ61" s="529"/>
      <c r="BK61" s="529"/>
      <c r="BL61" s="529"/>
      <c r="BM61" s="529"/>
      <c r="BN61" s="529"/>
      <c r="BO61" s="529"/>
      <c r="BP61" s="529"/>
    </row>
    <row r="62">
      <c r="O62" s="702"/>
      <c r="P62" s="702"/>
      <c r="Q62" s="529"/>
      <c r="R62" s="529"/>
      <c r="S62" s="529"/>
      <c r="T62" s="529"/>
      <c r="U62" s="529"/>
      <c r="V62" s="529"/>
      <c r="W62" s="529"/>
      <c r="X62" s="529"/>
      <c r="Y62" s="529"/>
      <c r="Z62" s="529"/>
      <c r="AA62" s="529"/>
      <c r="AB62" s="529"/>
      <c r="AC62" s="529"/>
      <c r="AD62" s="529"/>
      <c r="AE62" s="529"/>
      <c r="AF62" s="529"/>
      <c r="AG62" s="529"/>
      <c r="AH62" s="529"/>
      <c r="AI62" s="529"/>
      <c r="AJ62" s="529"/>
      <c r="AK62" s="529"/>
      <c r="AL62" s="529"/>
      <c r="AM62" s="529"/>
      <c r="AN62" s="529"/>
      <c r="AO62" s="529"/>
      <c r="AP62" s="529"/>
      <c r="AQ62" s="529"/>
      <c r="AR62" s="529"/>
      <c r="AS62" s="529"/>
      <c r="AT62" s="529"/>
      <c r="AU62" s="529"/>
      <c r="AV62" s="529"/>
      <c r="AW62" s="529"/>
      <c r="AX62" s="529"/>
      <c r="AY62" s="529"/>
      <c r="AZ62" s="529"/>
      <c r="BA62" s="529"/>
      <c r="BB62" s="529"/>
      <c r="BC62" s="529"/>
      <c r="BD62" s="529"/>
      <c r="BE62" s="529"/>
      <c r="BF62" s="529"/>
      <c r="BG62" s="529"/>
      <c r="BH62" s="529"/>
      <c r="BI62" s="529"/>
      <c r="BJ62" s="529"/>
      <c r="BK62" s="529"/>
      <c r="BL62" s="529"/>
      <c r="BM62" s="529"/>
      <c r="BN62" s="529"/>
      <c r="BO62" s="529"/>
      <c r="BP62" s="529"/>
    </row>
    <row r="63">
      <c r="O63" s="702"/>
      <c r="P63" s="702"/>
      <c r="Q63" s="529"/>
      <c r="R63" s="529"/>
      <c r="S63" s="529"/>
      <c r="T63" s="529"/>
      <c r="U63" s="529"/>
      <c r="V63" s="529"/>
      <c r="W63" s="529"/>
      <c r="X63" s="529"/>
      <c r="Y63" s="529"/>
      <c r="Z63" s="529"/>
      <c r="AA63" s="529"/>
      <c r="AB63" s="529"/>
      <c r="AC63" s="529"/>
      <c r="AD63" s="529"/>
      <c r="AE63" s="529"/>
      <c r="AF63" s="529"/>
      <c r="AG63" s="529"/>
      <c r="AH63" s="529"/>
      <c r="AI63" s="529"/>
      <c r="AJ63" s="529"/>
      <c r="AK63" s="529"/>
      <c r="AL63" s="529"/>
      <c r="AM63" s="529"/>
      <c r="AN63" s="529"/>
      <c r="AO63" s="529"/>
      <c r="AP63" s="529"/>
      <c r="AQ63" s="529"/>
      <c r="AR63" s="529"/>
      <c r="AS63" s="529"/>
      <c r="AT63" s="529"/>
      <c r="AU63" s="529"/>
      <c r="AV63" s="529"/>
      <c r="AW63" s="529"/>
      <c r="AX63" s="529"/>
      <c r="AY63" s="529"/>
      <c r="AZ63" s="529"/>
      <c r="BA63" s="529"/>
      <c r="BB63" s="529"/>
      <c r="BC63" s="529"/>
      <c r="BD63" s="529"/>
      <c r="BE63" s="529"/>
      <c r="BF63" s="529"/>
      <c r="BG63" s="529"/>
      <c r="BH63" s="529"/>
      <c r="BI63" s="529"/>
      <c r="BJ63" s="529"/>
      <c r="BK63" s="529"/>
      <c r="BL63" s="529"/>
      <c r="BM63" s="529"/>
      <c r="BN63" s="529"/>
      <c r="BO63" s="529"/>
      <c r="BP63" s="529"/>
    </row>
    <row r="64">
      <c r="O64" s="702"/>
      <c r="P64" s="702"/>
      <c r="Q64" s="529"/>
      <c r="R64" s="529"/>
      <c r="S64" s="529"/>
      <c r="T64" s="529"/>
      <c r="U64" s="529"/>
      <c r="V64" s="529"/>
      <c r="W64" s="529"/>
      <c r="X64" s="529"/>
      <c r="Y64" s="529"/>
      <c r="Z64" s="529"/>
      <c r="AA64" s="529"/>
      <c r="AB64" s="529"/>
      <c r="AC64" s="529"/>
      <c r="AD64" s="529"/>
      <c r="AE64" s="529"/>
      <c r="AF64" s="529"/>
      <c r="AG64" s="529"/>
      <c r="AH64" s="529"/>
      <c r="AI64" s="529"/>
      <c r="AJ64" s="529"/>
      <c r="AK64" s="529"/>
      <c r="AL64" s="529"/>
      <c r="AM64" s="529"/>
      <c r="AN64" s="529"/>
      <c r="AO64" s="529"/>
      <c r="AP64" s="529"/>
      <c r="AQ64" s="529"/>
      <c r="AR64" s="529"/>
      <c r="AS64" s="529"/>
      <c r="AT64" s="529"/>
      <c r="AU64" s="529"/>
      <c r="AV64" s="529"/>
      <c r="AW64" s="529"/>
      <c r="AX64" s="529"/>
      <c r="AY64" s="529"/>
      <c r="AZ64" s="529"/>
      <c r="BA64" s="529"/>
      <c r="BB64" s="529"/>
      <c r="BC64" s="529"/>
      <c r="BD64" s="529"/>
      <c r="BE64" s="529"/>
      <c r="BF64" s="529"/>
      <c r="BG64" s="529"/>
      <c r="BH64" s="529"/>
      <c r="BI64" s="529"/>
      <c r="BJ64" s="529"/>
      <c r="BK64" s="529"/>
      <c r="BL64" s="529"/>
      <c r="BM64" s="529"/>
      <c r="BN64" s="529"/>
      <c r="BO64" s="529"/>
      <c r="BP64" s="529"/>
    </row>
    <row r="65">
      <c r="O65" s="702"/>
      <c r="P65" s="702"/>
      <c r="Q65" s="529"/>
      <c r="R65" s="529"/>
      <c r="S65" s="529"/>
      <c r="T65" s="529"/>
      <c r="U65" s="529"/>
      <c r="V65" s="529"/>
      <c r="W65" s="529"/>
      <c r="X65" s="529"/>
      <c r="Y65" s="529"/>
      <c r="Z65" s="529"/>
      <c r="AA65" s="529"/>
      <c r="AB65" s="529"/>
      <c r="AC65" s="529"/>
      <c r="AD65" s="529"/>
      <c r="AE65" s="529"/>
      <c r="AF65" s="529"/>
      <c r="AG65" s="529"/>
      <c r="AH65" s="529"/>
      <c r="AI65" s="529"/>
      <c r="AJ65" s="529"/>
      <c r="AK65" s="529"/>
      <c r="AL65" s="529"/>
      <c r="AM65" s="529"/>
      <c r="AN65" s="529"/>
      <c r="AO65" s="529"/>
      <c r="AP65" s="529"/>
      <c r="AQ65" s="529"/>
      <c r="AR65" s="529"/>
      <c r="AS65" s="529"/>
      <c r="AT65" s="529"/>
      <c r="AU65" s="529"/>
      <c r="AV65" s="529"/>
      <c r="AW65" s="529"/>
      <c r="AX65" s="529"/>
      <c r="AY65" s="529"/>
      <c r="AZ65" s="529"/>
      <c r="BA65" s="529"/>
      <c r="BB65" s="529"/>
      <c r="BC65" s="529"/>
      <c r="BD65" s="529"/>
      <c r="BE65" s="529"/>
      <c r="BF65" s="529"/>
      <c r="BG65" s="529"/>
      <c r="BH65" s="529"/>
      <c r="BI65" s="529"/>
      <c r="BJ65" s="529"/>
      <c r="BK65" s="529"/>
      <c r="BL65" s="529"/>
      <c r="BM65" s="529"/>
      <c r="BN65" s="529"/>
      <c r="BO65" s="529"/>
      <c r="BP65" s="529"/>
    </row>
    <row r="66">
      <c r="O66" s="702"/>
      <c r="P66" s="702"/>
      <c r="Q66" s="529"/>
      <c r="R66" s="529"/>
      <c r="S66" s="529"/>
      <c r="T66" s="529"/>
      <c r="U66" s="529"/>
      <c r="V66" s="529"/>
      <c r="W66" s="529"/>
      <c r="X66" s="529"/>
      <c r="Y66" s="529"/>
      <c r="Z66" s="529"/>
      <c r="AA66" s="529"/>
      <c r="AB66" s="529"/>
      <c r="AC66" s="529"/>
      <c r="AD66" s="529"/>
      <c r="AE66" s="529"/>
      <c r="AF66" s="529"/>
      <c r="AG66" s="529"/>
      <c r="AH66" s="529"/>
      <c r="AI66" s="529"/>
      <c r="AJ66" s="529"/>
      <c r="AK66" s="529"/>
      <c r="AL66" s="529"/>
      <c r="AM66" s="529"/>
      <c r="AN66" s="529"/>
      <c r="AO66" s="529"/>
      <c r="AP66" s="529"/>
      <c r="AQ66" s="529"/>
      <c r="AR66" s="529"/>
      <c r="AS66" s="529"/>
      <c r="AT66" s="529"/>
      <c r="AU66" s="529"/>
      <c r="AV66" s="529"/>
      <c r="AW66" s="529"/>
      <c r="AX66" s="529"/>
      <c r="AY66" s="529"/>
      <c r="AZ66" s="529"/>
      <c r="BA66" s="529"/>
      <c r="BB66" s="529"/>
      <c r="BC66" s="529"/>
      <c r="BD66" s="529"/>
      <c r="BE66" s="529"/>
      <c r="BF66" s="529"/>
      <c r="BG66" s="529"/>
      <c r="BH66" s="529"/>
      <c r="BI66" s="529"/>
      <c r="BJ66" s="529"/>
      <c r="BK66" s="529"/>
      <c r="BL66" s="529"/>
      <c r="BM66" s="529"/>
      <c r="BN66" s="529"/>
      <c r="BO66" s="529"/>
      <c r="BP66" s="529"/>
    </row>
    <row r="67">
      <c r="O67" s="702"/>
      <c r="P67" s="702"/>
      <c r="Q67" s="529"/>
      <c r="R67" s="529"/>
      <c r="S67" s="529"/>
      <c r="T67" s="529"/>
      <c r="U67" s="529"/>
      <c r="V67" s="529"/>
      <c r="W67" s="529"/>
      <c r="X67" s="529"/>
      <c r="Y67" s="529"/>
      <c r="Z67" s="529"/>
      <c r="AA67" s="529"/>
      <c r="AB67" s="529"/>
      <c r="AC67" s="529"/>
      <c r="AD67" s="529"/>
      <c r="AE67" s="529"/>
      <c r="AF67" s="529"/>
      <c r="AG67" s="529"/>
      <c r="AH67" s="529"/>
      <c r="AI67" s="529"/>
      <c r="AJ67" s="529"/>
      <c r="AK67" s="529"/>
      <c r="AL67" s="529"/>
      <c r="AM67" s="529"/>
      <c r="AN67" s="529"/>
      <c r="AO67" s="529"/>
      <c r="AP67" s="529"/>
      <c r="AQ67" s="529"/>
      <c r="AR67" s="529"/>
      <c r="AS67" s="529"/>
      <c r="AT67" s="529"/>
      <c r="AU67" s="529"/>
      <c r="AV67" s="529"/>
      <c r="AW67" s="529"/>
      <c r="AX67" s="529"/>
      <c r="AY67" s="529"/>
      <c r="AZ67" s="529"/>
      <c r="BA67" s="529"/>
      <c r="BB67" s="529"/>
      <c r="BC67" s="529"/>
      <c r="BD67" s="529"/>
      <c r="BE67" s="529"/>
      <c r="BF67" s="529"/>
      <c r="BG67" s="529"/>
      <c r="BH67" s="529"/>
      <c r="BI67" s="529"/>
      <c r="BJ67" s="529"/>
      <c r="BK67" s="529"/>
      <c r="BL67" s="529"/>
      <c r="BM67" s="529"/>
      <c r="BN67" s="529"/>
      <c r="BO67" s="529"/>
      <c r="BP67" s="529"/>
    </row>
    <row r="68">
      <c r="O68" s="702"/>
      <c r="P68" s="702"/>
      <c r="Q68" s="529"/>
      <c r="R68" s="529"/>
      <c r="S68" s="529"/>
      <c r="T68" s="529"/>
      <c r="U68" s="529"/>
      <c r="V68" s="529"/>
      <c r="W68" s="529"/>
      <c r="X68" s="529"/>
      <c r="Y68" s="529"/>
      <c r="Z68" s="529"/>
      <c r="AA68" s="529"/>
      <c r="AB68" s="529"/>
      <c r="AC68" s="529"/>
      <c r="AD68" s="529"/>
      <c r="AE68" s="529"/>
      <c r="AF68" s="529"/>
      <c r="AG68" s="529"/>
      <c r="AH68" s="529"/>
      <c r="AI68" s="529"/>
      <c r="AJ68" s="529"/>
      <c r="AK68" s="529"/>
      <c r="AL68" s="529"/>
      <c r="AM68" s="529"/>
      <c r="AN68" s="529"/>
      <c r="AO68" s="529"/>
      <c r="AP68" s="529"/>
      <c r="AQ68" s="529"/>
      <c r="AR68" s="529"/>
      <c r="AS68" s="529"/>
      <c r="AT68" s="529"/>
      <c r="AU68" s="529"/>
      <c r="AV68" s="529"/>
      <c r="AW68" s="529"/>
      <c r="AX68" s="529"/>
      <c r="AY68" s="529"/>
      <c r="AZ68" s="529"/>
      <c r="BA68" s="529"/>
      <c r="BB68" s="529"/>
      <c r="BC68" s="529"/>
      <c r="BD68" s="529"/>
      <c r="BE68" s="529"/>
      <c r="BF68" s="529"/>
      <c r="BG68" s="529"/>
      <c r="BH68" s="529"/>
      <c r="BI68" s="529"/>
      <c r="BJ68" s="529"/>
      <c r="BK68" s="529"/>
      <c r="BL68" s="529"/>
      <c r="BM68" s="529"/>
      <c r="BN68" s="529"/>
      <c r="BO68" s="529"/>
      <c r="BP68" s="529"/>
    </row>
    <row r="69">
      <c r="O69" s="702"/>
      <c r="P69" s="702"/>
      <c r="Q69" s="529"/>
      <c r="R69" s="529"/>
      <c r="S69" s="529"/>
      <c r="T69" s="529"/>
      <c r="U69" s="529"/>
      <c r="V69" s="529"/>
      <c r="W69" s="529"/>
      <c r="X69" s="529"/>
      <c r="Y69" s="529"/>
      <c r="Z69" s="529"/>
      <c r="AA69" s="529"/>
      <c r="AB69" s="529"/>
      <c r="AC69" s="529"/>
      <c r="AD69" s="529"/>
      <c r="AE69" s="529"/>
      <c r="AF69" s="529"/>
      <c r="AG69" s="529"/>
      <c r="AH69" s="529"/>
      <c r="AI69" s="529"/>
      <c r="AJ69" s="529"/>
      <c r="AK69" s="529"/>
      <c r="AL69" s="529"/>
      <c r="AM69" s="529"/>
      <c r="AN69" s="529"/>
      <c r="AO69" s="529"/>
      <c r="AP69" s="529"/>
      <c r="AQ69" s="529"/>
      <c r="AR69" s="529"/>
      <c r="AS69" s="529"/>
      <c r="AT69" s="529"/>
      <c r="AU69" s="529"/>
      <c r="AV69" s="529"/>
      <c r="AW69" s="529"/>
      <c r="AX69" s="529"/>
      <c r="AY69" s="529"/>
      <c r="AZ69" s="529"/>
      <c r="BA69" s="529"/>
      <c r="BB69" s="529"/>
      <c r="BC69" s="529"/>
      <c r="BD69" s="529"/>
      <c r="BE69" s="529"/>
      <c r="BF69" s="529"/>
      <c r="BG69" s="529"/>
      <c r="BH69" s="529"/>
      <c r="BI69" s="529"/>
      <c r="BJ69" s="529"/>
      <c r="BK69" s="529"/>
      <c r="BL69" s="529"/>
      <c r="BM69" s="529"/>
      <c r="BN69" s="529"/>
      <c r="BO69" s="529"/>
      <c r="BP69" s="529"/>
    </row>
    <row r="70">
      <c r="O70" s="702"/>
      <c r="P70" s="702"/>
      <c r="Q70" s="529"/>
      <c r="R70" s="529"/>
      <c r="S70" s="529"/>
      <c r="T70" s="529"/>
      <c r="U70" s="529"/>
      <c r="V70" s="529"/>
      <c r="W70" s="529"/>
      <c r="X70" s="529"/>
      <c r="Y70" s="529"/>
      <c r="Z70" s="529"/>
      <c r="AA70" s="529"/>
      <c r="AB70" s="529"/>
      <c r="AC70" s="529"/>
      <c r="AD70" s="529"/>
      <c r="AE70" s="529"/>
      <c r="AF70" s="529"/>
      <c r="AG70" s="529"/>
      <c r="AH70" s="529"/>
      <c r="AI70" s="529"/>
      <c r="AJ70" s="529"/>
      <c r="AK70" s="529"/>
      <c r="AL70" s="529"/>
      <c r="AM70" s="529"/>
      <c r="AN70" s="529"/>
      <c r="AO70" s="529"/>
      <c r="AP70" s="529"/>
      <c r="AQ70" s="529"/>
      <c r="AR70" s="529"/>
      <c r="AS70" s="529"/>
      <c r="AT70" s="529"/>
      <c r="AU70" s="529"/>
      <c r="AV70" s="529"/>
      <c r="AW70" s="529"/>
      <c r="AX70" s="529"/>
      <c r="AY70" s="529"/>
      <c r="AZ70" s="529"/>
      <c r="BA70" s="529"/>
      <c r="BB70" s="529"/>
      <c r="BC70" s="529"/>
      <c r="BD70" s="529"/>
      <c r="BE70" s="529"/>
      <c r="BF70" s="529"/>
      <c r="BG70" s="529"/>
      <c r="BH70" s="529"/>
      <c r="BI70" s="529"/>
      <c r="BJ70" s="529"/>
      <c r="BK70" s="529"/>
      <c r="BL70" s="529"/>
      <c r="BM70" s="529"/>
      <c r="BN70" s="529"/>
      <c r="BO70" s="529"/>
      <c r="BP70" s="529"/>
    </row>
    <row r="71">
      <c r="O71" s="702"/>
      <c r="P71" s="702"/>
      <c r="Q71" s="529"/>
      <c r="R71" s="529"/>
      <c r="S71" s="529"/>
      <c r="T71" s="529"/>
      <c r="U71" s="529"/>
      <c r="V71" s="529"/>
      <c r="W71" s="529"/>
      <c r="X71" s="529"/>
      <c r="Y71" s="529"/>
      <c r="Z71" s="529"/>
      <c r="AA71" s="529"/>
      <c r="AB71" s="529"/>
      <c r="AC71" s="529"/>
      <c r="AD71" s="529"/>
      <c r="AE71" s="529"/>
      <c r="AF71" s="529"/>
      <c r="AG71" s="529"/>
      <c r="AH71" s="529"/>
      <c r="AI71" s="529"/>
      <c r="AJ71" s="529"/>
      <c r="AK71" s="529"/>
      <c r="AL71" s="529"/>
      <c r="AM71" s="529"/>
      <c r="AN71" s="529"/>
      <c r="AO71" s="529"/>
      <c r="AP71" s="529"/>
      <c r="AQ71" s="529"/>
      <c r="AR71" s="529"/>
      <c r="AS71" s="529"/>
      <c r="AT71" s="529"/>
      <c r="AU71" s="529"/>
      <c r="AV71" s="529"/>
      <c r="AW71" s="529"/>
      <c r="AX71" s="529"/>
      <c r="AY71" s="529"/>
      <c r="AZ71" s="529"/>
      <c r="BA71" s="529"/>
      <c r="BB71" s="529"/>
      <c r="BC71" s="529"/>
      <c r="BD71" s="529"/>
      <c r="BE71" s="529"/>
      <c r="BF71" s="529"/>
      <c r="BG71" s="529"/>
      <c r="BH71" s="529"/>
      <c r="BI71" s="529"/>
      <c r="BJ71" s="529"/>
      <c r="BK71" s="529"/>
      <c r="BL71" s="529"/>
      <c r="BM71" s="529"/>
      <c r="BN71" s="529"/>
      <c r="BO71" s="529"/>
      <c r="BP71" s="529"/>
    </row>
    <row r="72">
      <c r="O72" s="702"/>
      <c r="P72" s="702"/>
      <c r="Q72" s="529"/>
      <c r="R72" s="529"/>
      <c r="S72" s="529"/>
      <c r="T72" s="529"/>
      <c r="U72" s="529"/>
      <c r="V72" s="529"/>
      <c r="W72" s="529"/>
      <c r="X72" s="529"/>
      <c r="Y72" s="529"/>
      <c r="Z72" s="529"/>
      <c r="AA72" s="529"/>
      <c r="AB72" s="529"/>
      <c r="AC72" s="529"/>
      <c r="AD72" s="529"/>
      <c r="AE72" s="529"/>
      <c r="AF72" s="529"/>
      <c r="AG72" s="529"/>
      <c r="AH72" s="529"/>
      <c r="AI72" s="529"/>
      <c r="AJ72" s="529"/>
      <c r="AK72" s="529"/>
      <c r="AL72" s="529"/>
      <c r="AM72" s="529"/>
      <c r="AN72" s="529"/>
      <c r="AO72" s="529"/>
      <c r="AP72" s="529"/>
      <c r="AQ72" s="529"/>
      <c r="AR72" s="529"/>
      <c r="AS72" s="529"/>
      <c r="AT72" s="529"/>
      <c r="AU72" s="529"/>
      <c r="AV72" s="529"/>
      <c r="AW72" s="529"/>
      <c r="AX72" s="529"/>
      <c r="AY72" s="529"/>
      <c r="AZ72" s="529"/>
      <c r="BA72" s="529"/>
      <c r="BB72" s="529"/>
      <c r="BC72" s="529"/>
      <c r="BD72" s="529"/>
      <c r="BE72" s="529"/>
      <c r="BF72" s="529"/>
      <c r="BG72" s="529"/>
      <c r="BH72" s="529"/>
      <c r="BI72" s="529"/>
      <c r="BJ72" s="529"/>
      <c r="BK72" s="529"/>
      <c r="BL72" s="529"/>
      <c r="BM72" s="529"/>
      <c r="BN72" s="529"/>
      <c r="BO72" s="529"/>
      <c r="BP72" s="529"/>
    </row>
    <row r="73">
      <c r="O73" s="702"/>
      <c r="P73" s="702"/>
      <c r="Q73" s="529"/>
      <c r="R73" s="529"/>
      <c r="S73" s="529"/>
      <c r="T73" s="529"/>
      <c r="U73" s="529"/>
      <c r="V73" s="529"/>
      <c r="W73" s="529"/>
      <c r="X73" s="529"/>
      <c r="Y73" s="529"/>
      <c r="Z73" s="529"/>
      <c r="AA73" s="529"/>
      <c r="AB73" s="529"/>
      <c r="AC73" s="529"/>
      <c r="AD73" s="529"/>
      <c r="AE73" s="529"/>
      <c r="AF73" s="529"/>
      <c r="AG73" s="529"/>
      <c r="AH73" s="529"/>
      <c r="AI73" s="529"/>
      <c r="AJ73" s="529"/>
      <c r="AK73" s="529"/>
      <c r="AL73" s="529"/>
      <c r="AM73" s="529"/>
      <c r="AN73" s="529"/>
      <c r="AO73" s="529"/>
      <c r="AP73" s="529"/>
      <c r="AQ73" s="529"/>
      <c r="AR73" s="529"/>
      <c r="AS73" s="529"/>
      <c r="AT73" s="529"/>
      <c r="AU73" s="529"/>
      <c r="AV73" s="529"/>
      <c r="AW73" s="529"/>
      <c r="AX73" s="529"/>
      <c r="AY73" s="529"/>
      <c r="AZ73" s="529"/>
      <c r="BA73" s="529"/>
      <c r="BB73" s="529"/>
      <c r="BC73" s="529"/>
      <c r="BD73" s="529"/>
      <c r="BE73" s="529"/>
      <c r="BF73" s="529"/>
      <c r="BG73" s="529"/>
      <c r="BH73" s="529"/>
      <c r="BI73" s="529"/>
      <c r="BJ73" s="529"/>
      <c r="BK73" s="529"/>
      <c r="BL73" s="529"/>
      <c r="BM73" s="529"/>
      <c r="BN73" s="529"/>
      <c r="BO73" s="529"/>
      <c r="BP73" s="529"/>
    </row>
    <row r="74">
      <c r="O74" s="702"/>
      <c r="P74" s="702"/>
      <c r="Q74" s="529"/>
      <c r="R74" s="529"/>
      <c r="S74" s="529"/>
      <c r="T74" s="529"/>
      <c r="U74" s="529"/>
      <c r="V74" s="529"/>
      <c r="W74" s="529"/>
      <c r="X74" s="529"/>
      <c r="Y74" s="529"/>
      <c r="Z74" s="529"/>
      <c r="AA74" s="529"/>
      <c r="AB74" s="529"/>
      <c r="AC74" s="529"/>
      <c r="AD74" s="529"/>
      <c r="AE74" s="529"/>
      <c r="AF74" s="529"/>
      <c r="AG74" s="529"/>
      <c r="AH74" s="529"/>
      <c r="AI74" s="529"/>
      <c r="AJ74" s="529"/>
      <c r="AK74" s="529"/>
      <c r="AL74" s="529"/>
      <c r="AM74" s="529"/>
      <c r="AN74" s="529"/>
      <c r="AO74" s="529"/>
      <c r="AP74" s="529"/>
      <c r="AQ74" s="529"/>
      <c r="AR74" s="529"/>
      <c r="AS74" s="529"/>
      <c r="AT74" s="529"/>
      <c r="AU74" s="529"/>
      <c r="AV74" s="529"/>
      <c r="AW74" s="529"/>
      <c r="AX74" s="529"/>
      <c r="AY74" s="529"/>
      <c r="AZ74" s="529"/>
      <c r="BA74" s="529"/>
      <c r="BB74" s="529"/>
      <c r="BC74" s="529"/>
      <c r="BD74" s="529"/>
      <c r="BE74" s="529"/>
      <c r="BF74" s="529"/>
      <c r="BG74" s="529"/>
      <c r="BH74" s="529"/>
      <c r="BI74" s="529"/>
      <c r="BJ74" s="529"/>
      <c r="BK74" s="529"/>
      <c r="BL74" s="529"/>
      <c r="BM74" s="529"/>
      <c r="BN74" s="529"/>
      <c r="BO74" s="529"/>
      <c r="BP74" s="529"/>
    </row>
    <row r="75">
      <c r="O75" s="702"/>
      <c r="P75" s="702"/>
      <c r="Q75" s="529"/>
      <c r="R75" s="529"/>
      <c r="S75" s="529"/>
      <c r="T75" s="529"/>
      <c r="U75" s="529"/>
      <c r="V75" s="529"/>
      <c r="W75" s="529"/>
      <c r="X75" s="529"/>
      <c r="Y75" s="529"/>
      <c r="Z75" s="529"/>
      <c r="AA75" s="529"/>
      <c r="AB75" s="529"/>
      <c r="AC75" s="529"/>
      <c r="AD75" s="529"/>
      <c r="AE75" s="529"/>
      <c r="AF75" s="529"/>
      <c r="AG75" s="529"/>
      <c r="AH75" s="529"/>
      <c r="AI75" s="529"/>
      <c r="AJ75" s="529"/>
      <c r="AK75" s="529"/>
      <c r="AL75" s="529"/>
      <c r="AM75" s="529"/>
      <c r="AN75" s="529"/>
      <c r="AO75" s="529"/>
      <c r="AP75" s="529"/>
      <c r="AQ75" s="529"/>
      <c r="AR75" s="529"/>
      <c r="AS75" s="529"/>
      <c r="AT75" s="529"/>
      <c r="AU75" s="529"/>
      <c r="AV75" s="529"/>
      <c r="AW75" s="529"/>
      <c r="AX75" s="529"/>
      <c r="AY75" s="529"/>
      <c r="AZ75" s="529"/>
      <c r="BA75" s="529"/>
      <c r="BB75" s="529"/>
      <c r="BC75" s="529"/>
      <c r="BD75" s="529"/>
      <c r="BE75" s="529"/>
      <c r="BF75" s="529"/>
      <c r="BG75" s="529"/>
      <c r="BH75" s="529"/>
      <c r="BI75" s="529"/>
      <c r="BJ75" s="529"/>
      <c r="BK75" s="529"/>
      <c r="BL75" s="529"/>
      <c r="BM75" s="529"/>
      <c r="BN75" s="529"/>
      <c r="BO75" s="529"/>
      <c r="BP75" s="529"/>
    </row>
    <row r="76">
      <c r="O76" s="702"/>
      <c r="P76" s="702"/>
      <c r="Q76" s="529"/>
      <c r="R76" s="529"/>
      <c r="S76" s="529"/>
      <c r="T76" s="529"/>
      <c r="U76" s="529"/>
      <c r="V76" s="529"/>
      <c r="W76" s="529"/>
      <c r="X76" s="529"/>
      <c r="Y76" s="529"/>
      <c r="Z76" s="529"/>
      <c r="AA76" s="529"/>
      <c r="AB76" s="529"/>
      <c r="AC76" s="529"/>
      <c r="AD76" s="529"/>
      <c r="AE76" s="529"/>
      <c r="AF76" s="529"/>
      <c r="AG76" s="529"/>
      <c r="AH76" s="529"/>
      <c r="AI76" s="529"/>
      <c r="AJ76" s="529"/>
      <c r="AK76" s="529"/>
      <c r="AL76" s="529"/>
      <c r="AM76" s="529"/>
      <c r="AN76" s="529"/>
      <c r="AO76" s="529"/>
      <c r="AP76" s="529"/>
      <c r="AQ76" s="529"/>
      <c r="AR76" s="529"/>
      <c r="AS76" s="529"/>
      <c r="AT76" s="529"/>
      <c r="AU76" s="529"/>
      <c r="AV76" s="529"/>
      <c r="AW76" s="529"/>
      <c r="AX76" s="529"/>
      <c r="AY76" s="529"/>
      <c r="AZ76" s="529"/>
      <c r="BA76" s="529"/>
      <c r="BB76" s="529"/>
      <c r="BC76" s="529"/>
      <c r="BD76" s="529"/>
      <c r="BE76" s="529"/>
      <c r="BF76" s="529"/>
      <c r="BG76" s="529"/>
      <c r="BH76" s="529"/>
      <c r="BI76" s="529"/>
      <c r="BJ76" s="529"/>
      <c r="BK76" s="529"/>
      <c r="BL76" s="529"/>
      <c r="BM76" s="529"/>
      <c r="BN76" s="529"/>
      <c r="BO76" s="529"/>
      <c r="BP76" s="529"/>
    </row>
    <row r="77">
      <c r="O77" s="702"/>
      <c r="P77" s="702"/>
      <c r="Q77" s="529"/>
      <c r="R77" s="529"/>
      <c r="S77" s="529"/>
      <c r="T77" s="529"/>
      <c r="U77" s="529"/>
      <c r="V77" s="529"/>
      <c r="W77" s="529"/>
      <c r="X77" s="529"/>
      <c r="Y77" s="529"/>
      <c r="Z77" s="529"/>
      <c r="AA77" s="529"/>
      <c r="AB77" s="529"/>
      <c r="AC77" s="529"/>
      <c r="AD77" s="529"/>
      <c r="AE77" s="529"/>
      <c r="AF77" s="529"/>
      <c r="AG77" s="529"/>
      <c r="AH77" s="529"/>
      <c r="AI77" s="529"/>
      <c r="AJ77" s="529"/>
      <c r="AK77" s="529"/>
      <c r="AL77" s="529"/>
      <c r="AM77" s="529"/>
      <c r="AN77" s="529"/>
      <c r="AO77" s="529"/>
      <c r="AP77" s="529"/>
      <c r="AQ77" s="529"/>
      <c r="AR77" s="529"/>
      <c r="AS77" s="529"/>
      <c r="AT77" s="529"/>
      <c r="AU77" s="529"/>
      <c r="AV77" s="529"/>
      <c r="AW77" s="529"/>
      <c r="AX77" s="529"/>
      <c r="AY77" s="529"/>
      <c r="AZ77" s="529"/>
      <c r="BA77" s="529"/>
      <c r="BB77" s="529"/>
      <c r="BC77" s="529"/>
      <c r="BD77" s="529"/>
      <c r="BE77" s="529"/>
      <c r="BF77" s="529"/>
      <c r="BG77" s="529"/>
      <c r="BH77" s="529"/>
      <c r="BI77" s="529"/>
      <c r="BJ77" s="529"/>
      <c r="BK77" s="529"/>
      <c r="BL77" s="529"/>
      <c r="BM77" s="529"/>
      <c r="BN77" s="529"/>
      <c r="BO77" s="529"/>
      <c r="BP77" s="529"/>
    </row>
    <row r="78">
      <c r="O78" s="702"/>
      <c r="P78" s="702"/>
      <c r="Q78" s="529"/>
      <c r="R78" s="529"/>
      <c r="S78" s="529"/>
      <c r="T78" s="529"/>
      <c r="U78" s="529"/>
      <c r="V78" s="529"/>
      <c r="W78" s="529"/>
      <c r="X78" s="529"/>
      <c r="Y78" s="529"/>
      <c r="Z78" s="529"/>
      <c r="AA78" s="529"/>
      <c r="AB78" s="529"/>
      <c r="AC78" s="529"/>
      <c r="AD78" s="529"/>
      <c r="AE78" s="529"/>
      <c r="AF78" s="529"/>
      <c r="AG78" s="529"/>
      <c r="AH78" s="529"/>
      <c r="AI78" s="529"/>
      <c r="AJ78" s="529"/>
      <c r="AK78" s="529"/>
      <c r="AL78" s="529"/>
      <c r="AM78" s="529"/>
      <c r="AN78" s="529"/>
      <c r="AO78" s="529"/>
      <c r="AP78" s="529"/>
      <c r="AQ78" s="529"/>
      <c r="AR78" s="529"/>
      <c r="AS78" s="529"/>
      <c r="AT78" s="529"/>
      <c r="AU78" s="529"/>
      <c r="AV78" s="529"/>
      <c r="AW78" s="529"/>
      <c r="AX78" s="529"/>
      <c r="AY78" s="529"/>
      <c r="AZ78" s="529"/>
      <c r="BA78" s="529"/>
      <c r="BB78" s="529"/>
      <c r="BC78" s="529"/>
      <c r="BD78" s="529"/>
      <c r="BE78" s="529"/>
      <c r="BF78" s="529"/>
      <c r="BG78" s="529"/>
      <c r="BH78" s="529"/>
      <c r="BI78" s="529"/>
      <c r="BJ78" s="529"/>
      <c r="BK78" s="529"/>
      <c r="BL78" s="529"/>
      <c r="BM78" s="529"/>
      <c r="BN78" s="529"/>
      <c r="BO78" s="529"/>
      <c r="BP78" s="529"/>
    </row>
    <row r="79">
      <c r="O79" s="702"/>
      <c r="P79" s="702"/>
      <c r="Q79" s="529"/>
      <c r="R79" s="529"/>
      <c r="S79" s="529"/>
      <c r="T79" s="529"/>
      <c r="U79" s="529"/>
      <c r="V79" s="529"/>
      <c r="W79" s="529"/>
      <c r="X79" s="529"/>
      <c r="Y79" s="529"/>
      <c r="Z79" s="529"/>
      <c r="AA79" s="529"/>
      <c r="AB79" s="529"/>
      <c r="AC79" s="529"/>
      <c r="AD79" s="529"/>
      <c r="AE79" s="529"/>
      <c r="AF79" s="529"/>
      <c r="AG79" s="529"/>
      <c r="AH79" s="529"/>
      <c r="AI79" s="529"/>
      <c r="AJ79" s="529"/>
      <c r="AK79" s="529"/>
      <c r="AL79" s="529"/>
      <c r="AM79" s="529"/>
      <c r="AN79" s="529"/>
      <c r="AO79" s="529"/>
      <c r="AP79" s="529"/>
      <c r="AQ79" s="529"/>
      <c r="AR79" s="529"/>
      <c r="AS79" s="529"/>
      <c r="AT79" s="529"/>
      <c r="AU79" s="529"/>
      <c r="AV79" s="529"/>
      <c r="AW79" s="529"/>
      <c r="AX79" s="529"/>
      <c r="AY79" s="529"/>
      <c r="AZ79" s="529"/>
      <c r="BA79" s="529"/>
      <c r="BB79" s="529"/>
      <c r="BC79" s="529"/>
      <c r="BD79" s="529"/>
      <c r="BE79" s="529"/>
      <c r="BF79" s="529"/>
      <c r="BG79" s="529"/>
      <c r="BH79" s="529"/>
      <c r="BI79" s="529"/>
      <c r="BJ79" s="529"/>
      <c r="BK79" s="529"/>
      <c r="BL79" s="529"/>
      <c r="BM79" s="529"/>
      <c r="BN79" s="529"/>
      <c r="BO79" s="529"/>
      <c r="BP79" s="529"/>
    </row>
    <row r="80">
      <c r="O80" s="702"/>
      <c r="P80" s="702"/>
      <c r="Q80" s="529"/>
      <c r="R80" s="529"/>
      <c r="S80" s="529"/>
      <c r="T80" s="529"/>
      <c r="U80" s="529"/>
      <c r="V80" s="529"/>
      <c r="W80" s="529"/>
      <c r="X80" s="529"/>
      <c r="Y80" s="529"/>
      <c r="Z80" s="529"/>
      <c r="AA80" s="529"/>
      <c r="AB80" s="529"/>
      <c r="AC80" s="529"/>
      <c r="AD80" s="529"/>
      <c r="AE80" s="529"/>
      <c r="AF80" s="529"/>
      <c r="AG80" s="529"/>
      <c r="AH80" s="529"/>
      <c r="AI80" s="529"/>
      <c r="AJ80" s="529"/>
      <c r="AK80" s="529"/>
      <c r="AL80" s="529"/>
      <c r="AM80" s="529"/>
      <c r="AN80" s="529"/>
      <c r="AO80" s="529"/>
      <c r="AP80" s="529"/>
      <c r="AQ80" s="529"/>
      <c r="AR80" s="529"/>
      <c r="AS80" s="529"/>
      <c r="AT80" s="529"/>
      <c r="AU80" s="529"/>
      <c r="AV80" s="529"/>
      <c r="AW80" s="529"/>
      <c r="AX80" s="529"/>
      <c r="AY80" s="529"/>
      <c r="AZ80" s="529"/>
      <c r="BA80" s="529"/>
      <c r="BB80" s="529"/>
      <c r="BC80" s="529"/>
      <c r="BD80" s="529"/>
      <c r="BE80" s="529"/>
      <c r="BF80" s="529"/>
      <c r="BG80" s="529"/>
      <c r="BH80" s="529"/>
      <c r="BI80" s="529"/>
      <c r="BJ80" s="529"/>
      <c r="BK80" s="529"/>
      <c r="BL80" s="529"/>
      <c r="BM80" s="529"/>
      <c r="BN80" s="529"/>
      <c r="BO80" s="529"/>
      <c r="BP80" s="529"/>
    </row>
    <row r="81">
      <c r="O81" s="702"/>
      <c r="P81" s="702"/>
      <c r="Q81" s="529"/>
      <c r="R81" s="529"/>
      <c r="S81" s="529"/>
      <c r="T81" s="529"/>
      <c r="U81" s="529"/>
      <c r="V81" s="529"/>
      <c r="W81" s="529"/>
      <c r="X81" s="529"/>
      <c r="Y81" s="529"/>
      <c r="Z81" s="529"/>
      <c r="AA81" s="529"/>
      <c r="AB81" s="529"/>
      <c r="AC81" s="529"/>
      <c r="AD81" s="529"/>
      <c r="AE81" s="529"/>
      <c r="AF81" s="529"/>
      <c r="AG81" s="529"/>
      <c r="AH81" s="529"/>
      <c r="AI81" s="529"/>
      <c r="AJ81" s="529"/>
      <c r="AK81" s="529"/>
      <c r="AL81" s="529"/>
      <c r="AM81" s="529"/>
      <c r="AN81" s="529"/>
      <c r="AO81" s="529"/>
      <c r="AP81" s="529"/>
      <c r="AQ81" s="529"/>
      <c r="AR81" s="529"/>
      <c r="AS81" s="529"/>
      <c r="AT81" s="529"/>
      <c r="AU81" s="529"/>
      <c r="AV81" s="529"/>
      <c r="AW81" s="529"/>
      <c r="AX81" s="529"/>
      <c r="AY81" s="529"/>
      <c r="AZ81" s="529"/>
      <c r="BA81" s="529"/>
      <c r="BB81" s="529"/>
      <c r="BC81" s="529"/>
      <c r="BD81" s="529"/>
      <c r="BE81" s="529"/>
      <c r="BF81" s="529"/>
      <c r="BG81" s="529"/>
      <c r="BH81" s="529"/>
      <c r="BI81" s="529"/>
      <c r="BJ81" s="529"/>
      <c r="BK81" s="529"/>
      <c r="BL81" s="529"/>
      <c r="BM81" s="529"/>
      <c r="BN81" s="529"/>
      <c r="BO81" s="529"/>
      <c r="BP81" s="529"/>
    </row>
    <row r="82">
      <c r="O82" s="702"/>
      <c r="P82" s="702"/>
      <c r="Q82" s="529"/>
      <c r="R82" s="529"/>
      <c r="S82" s="529"/>
      <c r="T82" s="529"/>
      <c r="U82" s="529"/>
      <c r="V82" s="529"/>
      <c r="W82" s="529"/>
      <c r="X82" s="529"/>
      <c r="Y82" s="529"/>
      <c r="Z82" s="529"/>
      <c r="AA82" s="529"/>
      <c r="AB82" s="529"/>
      <c r="AC82" s="529"/>
      <c r="AD82" s="529"/>
      <c r="AE82" s="529"/>
      <c r="AF82" s="529"/>
      <c r="AG82" s="529"/>
      <c r="AH82" s="529"/>
      <c r="AI82" s="529"/>
      <c r="AJ82" s="529"/>
      <c r="AK82" s="529"/>
      <c r="AL82" s="529"/>
      <c r="AM82" s="529"/>
      <c r="AN82" s="529"/>
      <c r="AO82" s="529"/>
      <c r="AP82" s="529"/>
      <c r="AQ82" s="529"/>
      <c r="AR82" s="529"/>
      <c r="AS82" s="529"/>
      <c r="AT82" s="529"/>
      <c r="AU82" s="529"/>
      <c r="AV82" s="529"/>
      <c r="AW82" s="529"/>
      <c r="AX82" s="529"/>
      <c r="AY82" s="529"/>
      <c r="AZ82" s="529"/>
      <c r="BA82" s="529"/>
      <c r="BB82" s="529"/>
      <c r="BC82" s="529"/>
      <c r="BD82" s="529"/>
      <c r="BE82" s="529"/>
      <c r="BF82" s="529"/>
      <c r="BG82" s="529"/>
      <c r="BH82" s="529"/>
      <c r="BI82" s="529"/>
      <c r="BJ82" s="529"/>
      <c r="BK82" s="529"/>
      <c r="BL82" s="529"/>
      <c r="BM82" s="529"/>
      <c r="BN82" s="529"/>
      <c r="BO82" s="529"/>
      <c r="BP82" s="529"/>
    </row>
    <row r="83">
      <c r="O83" s="702"/>
      <c r="P83" s="702"/>
      <c r="Q83" s="529"/>
      <c r="R83" s="529"/>
      <c r="S83" s="529"/>
      <c r="T83" s="529"/>
      <c r="U83" s="529"/>
      <c r="V83" s="529"/>
      <c r="W83" s="529"/>
      <c r="X83" s="529"/>
      <c r="Y83" s="529"/>
      <c r="Z83" s="529"/>
      <c r="AA83" s="529"/>
      <c r="AB83" s="529"/>
      <c r="AC83" s="529"/>
      <c r="AD83" s="529"/>
      <c r="AE83" s="529"/>
      <c r="AF83" s="529"/>
      <c r="AG83" s="529"/>
      <c r="AH83" s="529"/>
      <c r="AI83" s="529"/>
      <c r="AJ83" s="529"/>
      <c r="AK83" s="529"/>
      <c r="AL83" s="529"/>
      <c r="AM83" s="529"/>
      <c r="AN83" s="529"/>
      <c r="AO83" s="529"/>
      <c r="AP83" s="529"/>
      <c r="AQ83" s="529"/>
      <c r="AR83" s="529"/>
      <c r="AS83" s="529"/>
      <c r="AT83" s="529"/>
      <c r="AU83" s="529"/>
      <c r="AV83" s="529"/>
      <c r="AW83" s="529"/>
      <c r="AX83" s="529"/>
      <c r="AY83" s="529"/>
      <c r="AZ83" s="529"/>
      <c r="BA83" s="529"/>
      <c r="BB83" s="529"/>
      <c r="BC83" s="529"/>
      <c r="BD83" s="529"/>
      <c r="BE83" s="529"/>
      <c r="BF83" s="529"/>
      <c r="BG83" s="529"/>
      <c r="BH83" s="529"/>
      <c r="BI83" s="529"/>
      <c r="BJ83" s="529"/>
      <c r="BK83" s="529"/>
      <c r="BL83" s="529"/>
      <c r="BM83" s="529"/>
      <c r="BN83" s="529"/>
      <c r="BO83" s="529"/>
      <c r="BP83" s="529"/>
    </row>
    <row r="84">
      <c r="O84" s="702"/>
      <c r="P84" s="702"/>
      <c r="Q84" s="529"/>
      <c r="R84" s="529"/>
      <c r="S84" s="529"/>
      <c r="T84" s="529"/>
      <c r="U84" s="529"/>
      <c r="V84" s="529"/>
      <c r="W84" s="529"/>
      <c r="X84" s="529"/>
      <c r="Y84" s="529"/>
      <c r="Z84" s="529"/>
      <c r="AA84" s="529"/>
      <c r="AB84" s="529"/>
      <c r="AC84" s="529"/>
      <c r="AD84" s="529"/>
      <c r="AE84" s="529"/>
      <c r="AF84" s="529"/>
      <c r="AG84" s="529"/>
      <c r="AH84" s="529"/>
      <c r="AI84" s="529"/>
      <c r="AJ84" s="529"/>
      <c r="AK84" s="529"/>
      <c r="AL84" s="529"/>
      <c r="AM84" s="529"/>
      <c r="AN84" s="529"/>
      <c r="AO84" s="529"/>
      <c r="AP84" s="529"/>
      <c r="AQ84" s="529"/>
      <c r="AR84" s="529"/>
      <c r="AS84" s="529"/>
      <c r="AT84" s="529"/>
      <c r="AU84" s="529"/>
      <c r="AV84" s="529"/>
      <c r="AW84" s="529"/>
      <c r="AX84" s="529"/>
      <c r="AY84" s="529"/>
      <c r="AZ84" s="529"/>
      <c r="BA84" s="529"/>
      <c r="BB84" s="529"/>
      <c r="BC84" s="529"/>
      <c r="BD84" s="529"/>
      <c r="BE84" s="529"/>
      <c r="BF84" s="529"/>
      <c r="BG84" s="529"/>
      <c r="BH84" s="529"/>
      <c r="BI84" s="529"/>
      <c r="BJ84" s="529"/>
      <c r="BK84" s="529"/>
      <c r="BL84" s="529"/>
      <c r="BM84" s="529"/>
      <c r="BN84" s="529"/>
      <c r="BO84" s="529"/>
      <c r="BP84" s="529"/>
    </row>
    <row r="85">
      <c r="O85" s="702"/>
      <c r="P85" s="702"/>
      <c r="Q85" s="529"/>
      <c r="R85" s="529"/>
      <c r="S85" s="529"/>
      <c r="T85" s="529"/>
      <c r="U85" s="529"/>
      <c r="V85" s="529"/>
      <c r="W85" s="529"/>
      <c r="X85" s="529"/>
      <c r="Y85" s="529"/>
      <c r="Z85" s="529"/>
      <c r="AA85" s="529"/>
      <c r="AB85" s="529"/>
      <c r="AC85" s="529"/>
      <c r="AD85" s="529"/>
      <c r="AE85" s="529"/>
      <c r="AF85" s="529"/>
      <c r="AG85" s="529"/>
      <c r="AH85" s="529"/>
      <c r="AI85" s="529"/>
      <c r="AJ85" s="529"/>
      <c r="AK85" s="529"/>
      <c r="AL85" s="529"/>
      <c r="AM85" s="529"/>
      <c r="AN85" s="529"/>
      <c r="AO85" s="529"/>
      <c r="AP85" s="529"/>
      <c r="AQ85" s="529"/>
      <c r="AR85" s="529"/>
      <c r="AS85" s="529"/>
      <c r="AT85" s="529"/>
      <c r="AU85" s="529"/>
      <c r="AV85" s="529"/>
      <c r="AW85" s="529"/>
      <c r="AX85" s="529"/>
      <c r="AY85" s="529"/>
      <c r="AZ85" s="529"/>
      <c r="BA85" s="529"/>
      <c r="BB85" s="529"/>
      <c r="BC85" s="529"/>
      <c r="BD85" s="529"/>
      <c r="BE85" s="529"/>
      <c r="BF85" s="529"/>
      <c r="BG85" s="529"/>
      <c r="BH85" s="529"/>
      <c r="BI85" s="529"/>
      <c r="BJ85" s="529"/>
      <c r="BK85" s="529"/>
      <c r="BL85" s="529"/>
      <c r="BM85" s="529"/>
      <c r="BN85" s="529"/>
      <c r="BO85" s="529"/>
      <c r="BP85" s="529"/>
    </row>
    <row r="86">
      <c r="O86" s="702"/>
      <c r="P86" s="702"/>
      <c r="Q86" s="529"/>
      <c r="R86" s="529"/>
      <c r="S86" s="529"/>
      <c r="T86" s="529"/>
      <c r="U86" s="529"/>
      <c r="V86" s="529"/>
      <c r="W86" s="529"/>
      <c r="X86" s="529"/>
      <c r="Y86" s="529"/>
      <c r="Z86" s="529"/>
      <c r="AA86" s="529"/>
      <c r="AB86" s="529"/>
      <c r="AC86" s="529"/>
      <c r="AD86" s="529"/>
      <c r="AE86" s="529"/>
      <c r="AF86" s="529"/>
      <c r="AG86" s="529"/>
      <c r="AH86" s="529"/>
      <c r="AI86" s="529"/>
      <c r="AJ86" s="529"/>
      <c r="AK86" s="529"/>
      <c r="AL86" s="529"/>
      <c r="AM86" s="529"/>
      <c r="AN86" s="529"/>
      <c r="AO86" s="529"/>
      <c r="AP86" s="529"/>
      <c r="AQ86" s="529"/>
      <c r="AR86" s="529"/>
      <c r="AS86" s="529"/>
      <c r="AT86" s="529"/>
      <c r="AU86" s="529"/>
      <c r="AV86" s="529"/>
      <c r="AW86" s="529"/>
      <c r="AX86" s="529"/>
      <c r="AY86" s="529"/>
      <c r="AZ86" s="529"/>
      <c r="BA86" s="529"/>
      <c r="BB86" s="529"/>
      <c r="BC86" s="529"/>
      <c r="BD86" s="529"/>
      <c r="BE86" s="529"/>
      <c r="BF86" s="529"/>
      <c r="BG86" s="529"/>
      <c r="BH86" s="529"/>
      <c r="BI86" s="529"/>
      <c r="BJ86" s="529"/>
      <c r="BK86" s="529"/>
      <c r="BL86" s="529"/>
      <c r="BM86" s="529"/>
      <c r="BN86" s="529"/>
      <c r="BO86" s="529"/>
      <c r="BP86" s="529"/>
    </row>
    <row r="87">
      <c r="O87" s="702"/>
      <c r="P87" s="702"/>
      <c r="Q87" s="529"/>
      <c r="R87" s="529"/>
      <c r="S87" s="529"/>
      <c r="T87" s="529"/>
      <c r="U87" s="529"/>
      <c r="V87" s="529"/>
      <c r="W87" s="529"/>
      <c r="X87" s="529"/>
      <c r="Y87" s="529"/>
      <c r="Z87" s="529"/>
      <c r="AA87" s="529"/>
      <c r="AB87" s="529"/>
      <c r="AC87" s="529"/>
      <c r="AD87" s="529"/>
      <c r="AE87" s="529"/>
      <c r="AF87" s="529"/>
      <c r="AG87" s="529"/>
      <c r="AH87" s="529"/>
      <c r="AI87" s="529"/>
      <c r="AJ87" s="529"/>
      <c r="AK87" s="529"/>
      <c r="AL87" s="529"/>
      <c r="AM87" s="529"/>
      <c r="AN87" s="529"/>
      <c r="AO87" s="529"/>
      <c r="AP87" s="529"/>
      <c r="AQ87" s="529"/>
      <c r="AR87" s="529"/>
      <c r="AS87" s="529"/>
      <c r="AT87" s="529"/>
      <c r="AU87" s="529"/>
      <c r="AV87" s="529"/>
      <c r="AW87" s="529"/>
      <c r="AX87" s="529"/>
      <c r="AY87" s="529"/>
      <c r="AZ87" s="529"/>
      <c r="BA87" s="529"/>
      <c r="BB87" s="529"/>
      <c r="BC87" s="529"/>
      <c r="BD87" s="529"/>
      <c r="BE87" s="529"/>
      <c r="BF87" s="529"/>
      <c r="BG87" s="529"/>
      <c r="BH87" s="529"/>
      <c r="BI87" s="529"/>
      <c r="BJ87" s="529"/>
      <c r="BK87" s="529"/>
      <c r="BL87" s="529"/>
      <c r="BM87" s="529"/>
      <c r="BN87" s="529"/>
      <c r="BO87" s="529"/>
      <c r="BP87" s="529"/>
    </row>
    <row r="88">
      <c r="O88" s="702"/>
      <c r="P88" s="702"/>
      <c r="Q88" s="529"/>
      <c r="R88" s="529"/>
      <c r="S88" s="529"/>
      <c r="T88" s="529"/>
      <c r="U88" s="529"/>
      <c r="V88" s="529"/>
      <c r="W88" s="529"/>
      <c r="X88" s="529"/>
      <c r="Y88" s="529"/>
      <c r="Z88" s="529"/>
      <c r="AA88" s="529"/>
      <c r="AB88" s="529"/>
      <c r="AC88" s="529"/>
      <c r="AD88" s="529"/>
      <c r="AE88" s="529"/>
      <c r="AF88" s="529"/>
      <c r="AG88" s="529"/>
      <c r="AH88" s="529"/>
      <c r="AI88" s="529"/>
      <c r="AJ88" s="529"/>
      <c r="AK88" s="529"/>
      <c r="AL88" s="529"/>
      <c r="AM88" s="529"/>
      <c r="AN88" s="529"/>
      <c r="AO88" s="529"/>
      <c r="AP88" s="529"/>
      <c r="AQ88" s="529"/>
      <c r="AR88" s="529"/>
      <c r="AS88" s="529"/>
      <c r="AT88" s="529"/>
      <c r="AU88" s="529"/>
      <c r="AV88" s="529"/>
      <c r="AW88" s="529"/>
      <c r="AX88" s="529"/>
      <c r="AY88" s="529"/>
      <c r="AZ88" s="529"/>
      <c r="BA88" s="529"/>
      <c r="BB88" s="529"/>
      <c r="BC88" s="529"/>
      <c r="BD88" s="529"/>
      <c r="BE88" s="529"/>
      <c r="BF88" s="529"/>
      <c r="BG88" s="529"/>
      <c r="BH88" s="529"/>
      <c r="BI88" s="529"/>
      <c r="BJ88" s="529"/>
      <c r="BK88" s="529"/>
      <c r="BL88" s="529"/>
      <c r="BM88" s="529"/>
      <c r="BN88" s="529"/>
      <c r="BO88" s="529"/>
      <c r="BP88" s="529"/>
    </row>
    <row r="89">
      <c r="O89" s="702"/>
      <c r="P89" s="702"/>
      <c r="Q89" s="529"/>
      <c r="R89" s="529"/>
      <c r="S89" s="529"/>
      <c r="T89" s="529"/>
      <c r="U89" s="529"/>
      <c r="V89" s="529"/>
      <c r="W89" s="529"/>
      <c r="X89" s="529"/>
      <c r="Y89" s="529"/>
      <c r="Z89" s="529"/>
      <c r="AA89" s="529"/>
      <c r="AB89" s="529"/>
      <c r="AC89" s="529"/>
      <c r="AD89" s="529"/>
      <c r="AE89" s="529"/>
      <c r="AF89" s="529"/>
      <c r="AG89" s="529"/>
      <c r="AH89" s="529"/>
      <c r="AI89" s="529"/>
      <c r="AJ89" s="529"/>
      <c r="AK89" s="529"/>
      <c r="AL89" s="529"/>
      <c r="AM89" s="529"/>
      <c r="AN89" s="529"/>
      <c r="AO89" s="529"/>
      <c r="AP89" s="529"/>
      <c r="AQ89" s="529"/>
      <c r="AR89" s="529"/>
      <c r="AS89" s="529"/>
      <c r="AT89" s="529"/>
      <c r="AU89" s="529"/>
      <c r="AV89" s="529"/>
      <c r="AW89" s="529"/>
      <c r="AX89" s="529"/>
      <c r="AY89" s="529"/>
      <c r="AZ89" s="529"/>
      <c r="BA89" s="529"/>
      <c r="BB89" s="529"/>
      <c r="BC89" s="529"/>
      <c r="BD89" s="529"/>
      <c r="BE89" s="529"/>
      <c r="BF89" s="529"/>
      <c r="BG89" s="529"/>
      <c r="BH89" s="529"/>
      <c r="BI89" s="529"/>
      <c r="BJ89" s="529"/>
      <c r="BK89" s="529"/>
      <c r="BL89" s="529"/>
      <c r="BM89" s="529"/>
      <c r="BN89" s="529"/>
      <c r="BO89" s="529"/>
      <c r="BP89" s="529"/>
    </row>
    <row r="90">
      <c r="O90" s="702"/>
      <c r="P90" s="702"/>
      <c r="Q90" s="529"/>
      <c r="R90" s="529"/>
      <c r="S90" s="529"/>
      <c r="T90" s="529"/>
      <c r="U90" s="529"/>
      <c r="V90" s="529"/>
      <c r="W90" s="529"/>
      <c r="X90" s="529"/>
      <c r="Y90" s="529"/>
      <c r="Z90" s="529"/>
      <c r="AA90" s="529"/>
      <c r="AB90" s="529"/>
      <c r="AC90" s="529"/>
      <c r="AD90" s="529"/>
      <c r="AE90" s="529"/>
      <c r="AF90" s="529"/>
      <c r="AG90" s="529"/>
      <c r="AH90" s="529"/>
      <c r="AI90" s="529"/>
      <c r="AJ90" s="529"/>
      <c r="AK90" s="529"/>
      <c r="AL90" s="529"/>
      <c r="AM90" s="529"/>
      <c r="AN90" s="529"/>
      <c r="AO90" s="529"/>
      <c r="AP90" s="529"/>
      <c r="AQ90" s="529"/>
      <c r="AR90" s="529"/>
      <c r="AS90" s="529"/>
      <c r="AT90" s="529"/>
      <c r="AU90" s="529"/>
      <c r="AV90" s="529"/>
      <c r="AW90" s="529"/>
      <c r="AX90" s="529"/>
      <c r="AY90" s="529"/>
      <c r="AZ90" s="529"/>
      <c r="BA90" s="529"/>
      <c r="BB90" s="529"/>
      <c r="BC90" s="529"/>
      <c r="BD90" s="529"/>
      <c r="BE90" s="529"/>
      <c r="BF90" s="529"/>
      <c r="BG90" s="529"/>
      <c r="BH90" s="529"/>
      <c r="BI90" s="529"/>
      <c r="BJ90" s="529"/>
      <c r="BK90" s="529"/>
      <c r="BL90" s="529"/>
      <c r="BM90" s="529"/>
      <c r="BN90" s="529"/>
      <c r="BO90" s="529"/>
      <c r="BP90" s="529"/>
    </row>
    <row r="91">
      <c r="O91" s="702"/>
      <c r="P91" s="702"/>
      <c r="Q91" s="529"/>
      <c r="R91" s="529"/>
      <c r="S91" s="529"/>
      <c r="T91" s="529"/>
      <c r="U91" s="529"/>
      <c r="V91" s="529"/>
      <c r="W91" s="529"/>
      <c r="X91" s="529"/>
      <c r="Y91" s="529"/>
      <c r="Z91" s="529"/>
      <c r="AA91" s="529"/>
      <c r="AB91" s="529"/>
      <c r="AC91" s="529"/>
      <c r="AD91" s="529"/>
      <c r="AE91" s="529"/>
      <c r="AF91" s="529"/>
      <c r="AG91" s="529"/>
      <c r="AH91" s="529"/>
      <c r="AI91" s="529"/>
      <c r="AJ91" s="529"/>
      <c r="AK91" s="529"/>
      <c r="AL91" s="529"/>
      <c r="AM91" s="529"/>
      <c r="AN91" s="529"/>
      <c r="AO91" s="529"/>
      <c r="AP91" s="529"/>
      <c r="AQ91" s="529"/>
      <c r="AR91" s="529"/>
      <c r="AS91" s="529"/>
      <c r="AT91" s="529"/>
      <c r="AU91" s="529"/>
      <c r="AV91" s="529"/>
      <c r="AW91" s="529"/>
      <c r="AX91" s="529"/>
      <c r="AY91" s="529"/>
      <c r="AZ91" s="529"/>
      <c r="BA91" s="529"/>
      <c r="BB91" s="529"/>
      <c r="BC91" s="529"/>
      <c r="BD91" s="529"/>
      <c r="BE91" s="529"/>
      <c r="BF91" s="529"/>
      <c r="BG91" s="529"/>
      <c r="BH91" s="529"/>
      <c r="BI91" s="529"/>
      <c r="BJ91" s="529"/>
      <c r="BK91" s="529"/>
      <c r="BL91" s="529"/>
      <c r="BM91" s="529"/>
      <c r="BN91" s="529"/>
      <c r="BO91" s="529"/>
      <c r="BP91" s="529"/>
    </row>
    <row r="92">
      <c r="O92" s="702"/>
      <c r="P92" s="702"/>
      <c r="Q92" s="529"/>
      <c r="R92" s="529"/>
      <c r="S92" s="529"/>
      <c r="T92" s="529"/>
      <c r="U92" s="529"/>
      <c r="V92" s="529"/>
      <c r="W92" s="529"/>
      <c r="X92" s="529"/>
      <c r="Y92" s="529"/>
      <c r="Z92" s="529"/>
      <c r="AA92" s="529"/>
      <c r="AB92" s="529"/>
      <c r="AC92" s="529"/>
      <c r="AD92" s="529"/>
      <c r="AE92" s="529"/>
      <c r="AF92" s="529"/>
      <c r="AG92" s="529"/>
      <c r="AH92" s="529"/>
      <c r="AI92" s="529"/>
      <c r="AJ92" s="529"/>
      <c r="AK92" s="529"/>
      <c r="AL92" s="529"/>
      <c r="AM92" s="529"/>
      <c r="AN92" s="529"/>
      <c r="AO92" s="529"/>
      <c r="AP92" s="529"/>
      <c r="AQ92" s="529"/>
      <c r="AR92" s="529"/>
      <c r="AS92" s="529"/>
      <c r="AT92" s="529"/>
      <c r="AU92" s="529"/>
      <c r="AV92" s="529"/>
      <c r="AW92" s="529"/>
      <c r="AX92" s="529"/>
      <c r="AY92" s="529"/>
      <c r="AZ92" s="529"/>
      <c r="BA92" s="529"/>
      <c r="BB92" s="529"/>
      <c r="BC92" s="529"/>
      <c r="BD92" s="529"/>
      <c r="BE92" s="529"/>
      <c r="BF92" s="529"/>
      <c r="BG92" s="529"/>
      <c r="BH92" s="529"/>
      <c r="BI92" s="529"/>
      <c r="BJ92" s="529"/>
      <c r="BK92" s="529"/>
      <c r="BL92" s="529"/>
      <c r="BM92" s="529"/>
      <c r="BN92" s="529"/>
      <c r="BO92" s="529"/>
      <c r="BP92" s="529"/>
    </row>
    <row r="93">
      <c r="O93" s="702"/>
      <c r="P93" s="702"/>
      <c r="Q93" s="529"/>
      <c r="R93" s="529"/>
      <c r="S93" s="529"/>
      <c r="T93" s="529"/>
      <c r="U93" s="529"/>
      <c r="V93" s="529"/>
      <c r="W93" s="529"/>
      <c r="X93" s="529"/>
      <c r="Y93" s="529"/>
      <c r="Z93" s="529"/>
      <c r="AA93" s="529"/>
      <c r="AB93" s="529"/>
      <c r="AC93" s="529"/>
      <c r="AD93" s="529"/>
      <c r="AE93" s="529"/>
      <c r="AF93" s="529"/>
      <c r="AG93" s="529"/>
      <c r="AH93" s="529"/>
      <c r="AI93" s="529"/>
      <c r="AJ93" s="529"/>
      <c r="AK93" s="529"/>
      <c r="AL93" s="529"/>
      <c r="AM93" s="529"/>
      <c r="AN93" s="529"/>
      <c r="AO93" s="529"/>
      <c r="AP93" s="529"/>
      <c r="AQ93" s="529"/>
      <c r="AR93" s="529"/>
      <c r="AS93" s="529"/>
      <c r="AT93" s="529"/>
      <c r="AU93" s="529"/>
      <c r="AV93" s="529"/>
      <c r="AW93" s="529"/>
      <c r="AX93" s="529"/>
      <c r="AY93" s="529"/>
      <c r="AZ93" s="529"/>
      <c r="BA93" s="529"/>
      <c r="BB93" s="529"/>
      <c r="BC93" s="529"/>
      <c r="BD93" s="529"/>
      <c r="BE93" s="529"/>
      <c r="BF93" s="529"/>
      <c r="BG93" s="529"/>
      <c r="BH93" s="529"/>
      <c r="BI93" s="529"/>
      <c r="BJ93" s="529"/>
      <c r="BK93" s="529"/>
      <c r="BL93" s="529"/>
      <c r="BM93" s="529"/>
      <c r="BN93" s="529"/>
      <c r="BO93" s="529"/>
      <c r="BP93" s="529"/>
    </row>
    <row r="94">
      <c r="O94" s="702"/>
      <c r="P94" s="702"/>
      <c r="Q94" s="529"/>
      <c r="R94" s="529"/>
      <c r="S94" s="529"/>
      <c r="T94" s="529"/>
      <c r="U94" s="529"/>
      <c r="V94" s="529"/>
      <c r="W94" s="529"/>
      <c r="X94" s="529"/>
      <c r="Y94" s="529"/>
      <c r="Z94" s="529"/>
      <c r="AA94" s="529"/>
      <c r="AB94" s="529"/>
      <c r="AC94" s="529"/>
      <c r="AD94" s="529"/>
      <c r="AE94" s="529"/>
      <c r="AF94" s="529"/>
      <c r="AG94" s="529"/>
      <c r="AH94" s="529"/>
      <c r="AI94" s="529"/>
      <c r="AJ94" s="529"/>
      <c r="AK94" s="529"/>
      <c r="AL94" s="529"/>
      <c r="AM94" s="529"/>
      <c r="AN94" s="529"/>
      <c r="AO94" s="529"/>
      <c r="AP94" s="529"/>
      <c r="AQ94" s="529"/>
      <c r="AR94" s="529"/>
      <c r="AS94" s="529"/>
      <c r="AT94" s="529"/>
      <c r="AU94" s="529"/>
      <c r="AV94" s="529"/>
      <c r="AW94" s="529"/>
      <c r="AX94" s="529"/>
      <c r="AY94" s="529"/>
      <c r="AZ94" s="529"/>
      <c r="BA94" s="529"/>
      <c r="BB94" s="529"/>
      <c r="BC94" s="529"/>
      <c r="BD94" s="529"/>
      <c r="BE94" s="529"/>
      <c r="BF94" s="529"/>
      <c r="BG94" s="529"/>
      <c r="BH94" s="529"/>
      <c r="BI94" s="529"/>
      <c r="BJ94" s="529"/>
      <c r="BK94" s="529"/>
      <c r="BL94" s="529"/>
      <c r="BM94" s="529"/>
      <c r="BN94" s="529"/>
      <c r="BO94" s="529"/>
      <c r="BP94" s="529"/>
    </row>
    <row r="95">
      <c r="O95" s="702"/>
      <c r="P95" s="702"/>
      <c r="Q95" s="529"/>
      <c r="R95" s="529"/>
      <c r="S95" s="529"/>
      <c r="T95" s="529"/>
      <c r="U95" s="529"/>
      <c r="V95" s="529"/>
      <c r="W95" s="529"/>
      <c r="X95" s="529"/>
      <c r="Y95" s="529"/>
      <c r="Z95" s="529"/>
      <c r="AA95" s="529"/>
      <c r="AB95" s="529"/>
      <c r="AC95" s="529"/>
      <c r="AD95" s="529"/>
      <c r="AE95" s="529"/>
      <c r="AF95" s="529"/>
      <c r="AG95" s="529"/>
      <c r="AH95" s="529"/>
      <c r="AI95" s="529"/>
      <c r="AJ95" s="529"/>
      <c r="AK95" s="529"/>
      <c r="AL95" s="529"/>
      <c r="AM95" s="529"/>
      <c r="AN95" s="529"/>
      <c r="AO95" s="529"/>
      <c r="AP95" s="529"/>
      <c r="AQ95" s="529"/>
      <c r="AR95" s="529"/>
      <c r="AS95" s="529"/>
      <c r="AT95" s="529"/>
      <c r="AU95" s="529"/>
      <c r="AV95" s="529"/>
      <c r="AW95" s="529"/>
      <c r="AX95" s="529"/>
      <c r="AY95" s="529"/>
      <c r="AZ95" s="529"/>
      <c r="BA95" s="529"/>
      <c r="BB95" s="529"/>
      <c r="BC95" s="529"/>
      <c r="BD95" s="529"/>
      <c r="BE95" s="529"/>
      <c r="BF95" s="529"/>
      <c r="BG95" s="529"/>
      <c r="BH95" s="529"/>
      <c r="BI95" s="529"/>
      <c r="BJ95" s="529"/>
      <c r="BK95" s="529"/>
      <c r="BL95" s="529"/>
      <c r="BM95" s="529"/>
      <c r="BN95" s="529"/>
      <c r="BO95" s="529"/>
      <c r="BP95" s="529"/>
    </row>
    <row r="96">
      <c r="O96" s="702"/>
      <c r="P96" s="702"/>
      <c r="Q96" s="529"/>
      <c r="R96" s="529"/>
      <c r="S96" s="529"/>
      <c r="T96" s="529"/>
      <c r="U96" s="529"/>
      <c r="V96" s="529"/>
      <c r="W96" s="529"/>
      <c r="X96" s="529"/>
      <c r="Y96" s="529"/>
      <c r="Z96" s="529"/>
      <c r="AA96" s="529"/>
      <c r="AB96" s="529"/>
      <c r="AC96" s="529"/>
      <c r="AD96" s="529"/>
      <c r="AE96" s="529"/>
      <c r="AF96" s="529"/>
      <c r="AG96" s="529"/>
      <c r="AH96" s="529"/>
      <c r="AI96" s="529"/>
      <c r="AJ96" s="529"/>
      <c r="AK96" s="529"/>
      <c r="AL96" s="529"/>
      <c r="AM96" s="529"/>
      <c r="AN96" s="529"/>
      <c r="AO96" s="529"/>
      <c r="AP96" s="529"/>
      <c r="AQ96" s="529"/>
      <c r="AR96" s="529"/>
      <c r="AS96" s="529"/>
      <c r="AT96" s="529"/>
      <c r="AU96" s="529"/>
      <c r="AV96" s="529"/>
      <c r="AW96" s="529"/>
      <c r="AX96" s="529"/>
      <c r="AY96" s="529"/>
      <c r="AZ96" s="529"/>
      <c r="BA96" s="529"/>
      <c r="BB96" s="529"/>
      <c r="BC96" s="529"/>
      <c r="BD96" s="529"/>
      <c r="BE96" s="529"/>
      <c r="BF96" s="529"/>
      <c r="BG96" s="529"/>
      <c r="BH96" s="529"/>
      <c r="BI96" s="529"/>
      <c r="BJ96" s="529"/>
      <c r="BK96" s="529"/>
      <c r="BL96" s="529"/>
      <c r="BM96" s="529"/>
      <c r="BN96" s="529"/>
      <c r="BO96" s="529"/>
      <c r="BP96" s="529"/>
    </row>
    <row r="97">
      <c r="O97" s="702"/>
      <c r="P97" s="702"/>
      <c r="Q97" s="529"/>
      <c r="R97" s="529"/>
      <c r="S97" s="529"/>
      <c r="T97" s="529"/>
      <c r="U97" s="529"/>
      <c r="V97" s="529"/>
      <c r="W97" s="529"/>
      <c r="X97" s="529"/>
      <c r="Y97" s="529"/>
      <c r="Z97" s="529"/>
      <c r="AA97" s="529"/>
      <c r="AB97" s="529"/>
      <c r="AC97" s="529"/>
      <c r="AD97" s="529"/>
      <c r="AE97" s="529"/>
      <c r="AF97" s="529"/>
      <c r="AG97" s="529"/>
      <c r="AH97" s="529"/>
      <c r="AI97" s="529"/>
      <c r="AJ97" s="529"/>
      <c r="AK97" s="529"/>
      <c r="AL97" s="529"/>
      <c r="AM97" s="529"/>
      <c r="AN97" s="529"/>
      <c r="AO97" s="529"/>
      <c r="AP97" s="529"/>
      <c r="AQ97" s="529"/>
      <c r="AR97" s="529"/>
      <c r="AS97" s="529"/>
      <c r="AT97" s="529"/>
      <c r="AU97" s="529"/>
      <c r="AV97" s="529"/>
      <c r="AW97" s="529"/>
      <c r="AX97" s="529"/>
      <c r="AY97" s="529"/>
      <c r="AZ97" s="529"/>
      <c r="BA97" s="529"/>
      <c r="BB97" s="529"/>
      <c r="BC97" s="529"/>
      <c r="BD97" s="529"/>
      <c r="BE97" s="529"/>
      <c r="BF97" s="529"/>
      <c r="BG97" s="529"/>
      <c r="BH97" s="529"/>
      <c r="BI97" s="529"/>
      <c r="BJ97" s="529"/>
      <c r="BK97" s="529"/>
      <c r="BL97" s="529"/>
      <c r="BM97" s="529"/>
      <c r="BN97" s="529"/>
      <c r="BO97" s="529"/>
      <c r="BP97" s="529"/>
    </row>
    <row r="98">
      <c r="O98" s="702"/>
      <c r="P98" s="702"/>
      <c r="Q98" s="529"/>
      <c r="R98" s="529"/>
      <c r="S98" s="529"/>
      <c r="T98" s="529"/>
      <c r="U98" s="529"/>
      <c r="V98" s="529"/>
      <c r="W98" s="529"/>
      <c r="X98" s="529"/>
      <c r="Y98" s="529"/>
      <c r="Z98" s="529"/>
      <c r="AA98" s="529"/>
      <c r="AB98" s="529"/>
      <c r="AC98" s="529"/>
      <c r="AD98" s="529"/>
      <c r="AE98" s="529"/>
      <c r="AF98" s="529"/>
      <c r="AG98" s="529"/>
      <c r="AH98" s="529"/>
      <c r="AI98" s="529"/>
      <c r="AJ98" s="529"/>
      <c r="AK98" s="529"/>
      <c r="AL98" s="529"/>
      <c r="AM98" s="529"/>
      <c r="AN98" s="529"/>
      <c r="AO98" s="529"/>
      <c r="AP98" s="529"/>
      <c r="AQ98" s="529"/>
      <c r="AR98" s="529"/>
      <c r="AS98" s="529"/>
      <c r="AT98" s="529"/>
      <c r="AU98" s="529"/>
      <c r="AV98" s="529"/>
      <c r="AW98" s="529"/>
      <c r="AX98" s="529"/>
      <c r="AY98" s="529"/>
      <c r="AZ98" s="529"/>
      <c r="BA98" s="529"/>
      <c r="BB98" s="529"/>
      <c r="BC98" s="529"/>
      <c r="BD98" s="529"/>
      <c r="BE98" s="529"/>
      <c r="BF98" s="529"/>
      <c r="BG98" s="529"/>
      <c r="BH98" s="529"/>
      <c r="BI98" s="529"/>
      <c r="BJ98" s="529"/>
      <c r="BK98" s="529"/>
      <c r="BL98" s="529"/>
      <c r="BM98" s="529"/>
      <c r="BN98" s="529"/>
      <c r="BO98" s="529"/>
      <c r="BP98" s="529"/>
    </row>
    <row r="99">
      <c r="O99" s="702"/>
      <c r="P99" s="702"/>
      <c r="Q99" s="529"/>
      <c r="R99" s="529"/>
      <c r="S99" s="529"/>
      <c r="T99" s="529"/>
      <c r="U99" s="529"/>
      <c r="V99" s="529"/>
      <c r="W99" s="529"/>
      <c r="X99" s="529"/>
      <c r="Y99" s="529"/>
      <c r="Z99" s="529"/>
      <c r="AA99" s="529"/>
      <c r="AB99" s="529"/>
      <c r="AC99" s="529"/>
      <c r="AD99" s="529"/>
      <c r="AE99" s="529"/>
      <c r="AF99" s="529"/>
      <c r="AG99" s="529"/>
      <c r="AH99" s="529"/>
      <c r="AI99" s="529"/>
      <c r="AJ99" s="529"/>
      <c r="AK99" s="529"/>
      <c r="AL99" s="529"/>
      <c r="AM99" s="529"/>
      <c r="AN99" s="529"/>
      <c r="AO99" s="529"/>
      <c r="AP99" s="529"/>
      <c r="AQ99" s="529"/>
      <c r="AR99" s="529"/>
      <c r="AS99" s="529"/>
      <c r="AT99" s="529"/>
      <c r="AU99" s="529"/>
      <c r="AV99" s="529"/>
      <c r="AW99" s="529"/>
      <c r="AX99" s="529"/>
      <c r="AY99" s="529"/>
      <c r="AZ99" s="529"/>
      <c r="BA99" s="529"/>
      <c r="BB99" s="529"/>
      <c r="BC99" s="529"/>
      <c r="BD99" s="529"/>
      <c r="BE99" s="529"/>
      <c r="BF99" s="529"/>
      <c r="BG99" s="529"/>
      <c r="BH99" s="529"/>
      <c r="BI99" s="529"/>
      <c r="BJ99" s="529"/>
      <c r="BK99" s="529"/>
      <c r="BL99" s="529"/>
      <c r="BM99" s="529"/>
      <c r="BN99" s="529"/>
      <c r="BO99" s="529"/>
      <c r="BP99" s="529"/>
    </row>
    <row r="100">
      <c r="O100" s="702"/>
      <c r="P100" s="702"/>
      <c r="Q100" s="529"/>
      <c r="R100" s="529"/>
      <c r="S100" s="529"/>
      <c r="T100" s="529"/>
      <c r="U100" s="529"/>
      <c r="V100" s="529"/>
      <c r="W100" s="529"/>
      <c r="X100" s="529"/>
      <c r="Y100" s="529"/>
      <c r="Z100" s="529"/>
      <c r="AA100" s="529"/>
      <c r="AB100" s="529"/>
      <c r="AC100" s="529"/>
      <c r="AD100" s="529"/>
      <c r="AE100" s="529"/>
      <c r="AF100" s="529"/>
      <c r="AG100" s="529"/>
      <c r="AH100" s="529"/>
      <c r="AI100" s="529"/>
      <c r="AJ100" s="529"/>
      <c r="AK100" s="529"/>
      <c r="AL100" s="529"/>
      <c r="AM100" s="529"/>
      <c r="AN100" s="529"/>
      <c r="AO100" s="529"/>
      <c r="AP100" s="529"/>
      <c r="AQ100" s="529"/>
      <c r="AR100" s="529"/>
      <c r="AS100" s="529"/>
      <c r="AT100" s="529"/>
      <c r="AU100" s="529"/>
      <c r="AV100" s="529"/>
      <c r="AW100" s="529"/>
      <c r="AX100" s="529"/>
      <c r="AY100" s="529"/>
      <c r="AZ100" s="529"/>
      <c r="BA100" s="529"/>
      <c r="BB100" s="529"/>
      <c r="BC100" s="529"/>
      <c r="BD100" s="529"/>
      <c r="BE100" s="529"/>
      <c r="BF100" s="529"/>
      <c r="BG100" s="529"/>
      <c r="BH100" s="529"/>
      <c r="BI100" s="529"/>
      <c r="BJ100" s="529"/>
      <c r="BK100" s="529"/>
      <c r="BL100" s="529"/>
      <c r="BM100" s="529"/>
      <c r="BN100" s="529"/>
      <c r="BO100" s="529"/>
      <c r="BP100" s="529"/>
    </row>
    <row r="101">
      <c r="O101" s="702"/>
      <c r="P101" s="702"/>
    </row>
    <row r="102">
      <c r="O102" s="702"/>
      <c r="P102" s="702"/>
    </row>
    <row r="103">
      <c r="O103" s="702"/>
      <c r="P103" s="702"/>
    </row>
    <row r="104">
      <c r="O104" s="702"/>
      <c r="P104" s="702"/>
    </row>
    <row r="105">
      <c r="O105" s="702"/>
      <c r="P105" s="702"/>
    </row>
    <row r="106">
      <c r="O106" s="702"/>
      <c r="P106" s="702"/>
    </row>
    <row r="107">
      <c r="O107" s="702"/>
      <c r="P107" s="702"/>
    </row>
    <row r="108">
      <c r="O108" s="702"/>
      <c r="P108" s="702"/>
    </row>
    <row r="109">
      <c r="O109" s="702"/>
      <c r="P109" s="702"/>
    </row>
    <row r="110">
      <c r="O110" s="702"/>
      <c r="P110" s="702"/>
    </row>
    <row r="111">
      <c r="O111" s="702"/>
      <c r="P111" s="702"/>
    </row>
    <row r="112">
      <c r="O112" s="702"/>
      <c r="P112" s="702"/>
    </row>
    <row r="113">
      <c r="O113" s="702"/>
      <c r="P113" s="702"/>
    </row>
    <row r="114">
      <c r="O114" s="702"/>
      <c r="P114" s="702"/>
    </row>
    <row r="115">
      <c r="O115" s="702"/>
      <c r="P115" s="702"/>
      <c r="X115" s="527">
        <f>SUM(X2:X21)</f>
        <v>0</v>
      </c>
      <c r="AC115" s="527">
        <f>SUM(AC2:AC21)</f>
        <v>0</v>
      </c>
      <c r="AD115" s="527">
        <f>AC115*43/6</f>
        <v>0</v>
      </c>
    </row>
    <row r="116">
      <c r="O116" s="702"/>
      <c r="P116" s="702"/>
      <c r="X116" s="529" t="str">
        <f>X115/AC115</f>
        <v>#DIV/0!</v>
      </c>
    </row>
    <row r="117">
      <c r="O117" s="702"/>
      <c r="P117" s="702"/>
    </row>
    <row r="118">
      <c r="O118" s="702"/>
      <c r="P118" s="702"/>
    </row>
    <row r="119">
      <c r="O119" s="702"/>
      <c r="P119" s="702"/>
    </row>
    <row r="120">
      <c r="O120" s="702"/>
      <c r="P120" s="702"/>
    </row>
    <row r="121">
      <c r="O121" s="702"/>
      <c r="P121" s="702"/>
    </row>
    <row r="122">
      <c r="O122" s="702"/>
      <c r="P122" s="702"/>
    </row>
    <row r="123">
      <c r="O123" s="702"/>
      <c r="P123" s="702"/>
    </row>
    <row r="124">
      <c r="O124" s="702"/>
      <c r="P124" s="702"/>
    </row>
    <row r="125">
      <c r="O125" s="702"/>
      <c r="P125" s="702"/>
    </row>
    <row r="126">
      <c r="O126" s="702"/>
      <c r="P126" s="702"/>
    </row>
    <row r="127">
      <c r="O127" s="702"/>
      <c r="P127" s="702"/>
    </row>
    <row r="128">
      <c r="O128" s="702"/>
      <c r="P128" s="702"/>
    </row>
    <row r="129">
      <c r="O129" s="702"/>
      <c r="P129" s="702"/>
    </row>
    <row r="130">
      <c r="O130" s="702"/>
      <c r="P130" s="702"/>
    </row>
    <row r="131">
      <c r="O131" s="702"/>
      <c r="P131" s="702"/>
    </row>
    <row r="132">
      <c r="O132" s="702"/>
      <c r="P132" s="702"/>
    </row>
    <row r="133">
      <c r="O133" s="702"/>
      <c r="P133" s="702"/>
    </row>
    <row r="134">
      <c r="O134" s="702"/>
      <c r="P134" s="702"/>
    </row>
    <row r="135">
      <c r="O135" s="702"/>
      <c r="P135" s="702"/>
    </row>
    <row r="136">
      <c r="O136" s="702"/>
      <c r="P136" s="702"/>
    </row>
    <row r="137">
      <c r="O137" s="702"/>
      <c r="P137" s="702"/>
    </row>
    <row r="138">
      <c r="O138" s="702"/>
      <c r="P138" s="702"/>
    </row>
    <row r="139">
      <c r="O139" s="702"/>
      <c r="P139" s="702"/>
    </row>
    <row r="140">
      <c r="O140" s="702"/>
      <c r="P140" s="702"/>
    </row>
    <row r="141">
      <c r="O141" s="702"/>
      <c r="P141" s="702"/>
    </row>
    <row r="142">
      <c r="O142" s="702"/>
      <c r="P142" s="702"/>
    </row>
    <row r="143">
      <c r="O143" s="702"/>
      <c r="P143" s="702"/>
    </row>
    <row r="144">
      <c r="O144" s="702"/>
      <c r="P144" s="702"/>
    </row>
    <row r="145">
      <c r="O145" s="702"/>
      <c r="P145" s="702"/>
    </row>
    <row r="146">
      <c r="O146" s="702"/>
      <c r="P146" s="702"/>
    </row>
    <row r="147">
      <c r="O147" s="702"/>
      <c r="P147" s="702"/>
    </row>
    <row r="148">
      <c r="O148" s="702"/>
      <c r="P148" s="702"/>
    </row>
    <row r="149">
      <c r="O149" s="702"/>
      <c r="P149" s="702"/>
    </row>
    <row r="150">
      <c r="O150" s="702"/>
      <c r="P150" s="702"/>
    </row>
    <row r="151">
      <c r="O151" s="702"/>
      <c r="P151" s="702"/>
    </row>
    <row r="152">
      <c r="O152" s="702"/>
      <c r="P152" s="702"/>
    </row>
    <row r="153">
      <c r="O153" s="702"/>
      <c r="P153" s="702"/>
    </row>
    <row r="154">
      <c r="O154" s="702"/>
      <c r="P154" s="702"/>
    </row>
    <row r="155">
      <c r="O155" s="702"/>
      <c r="P155" s="702"/>
    </row>
    <row r="156">
      <c r="O156" s="702"/>
      <c r="P156" s="702"/>
    </row>
    <row r="157">
      <c r="O157" s="702"/>
      <c r="P157" s="702"/>
    </row>
    <row r="158">
      <c r="O158" s="702"/>
      <c r="P158" s="702"/>
    </row>
    <row r="159">
      <c r="O159" s="702"/>
      <c r="P159" s="702"/>
    </row>
    <row r="160">
      <c r="O160" s="702"/>
      <c r="P160" s="702"/>
    </row>
    <row r="161">
      <c r="O161" s="702"/>
      <c r="P161" s="702"/>
    </row>
    <row r="162">
      <c r="O162" s="702"/>
      <c r="P162" s="702"/>
    </row>
    <row r="163">
      <c r="O163" s="702"/>
      <c r="P163" s="702"/>
    </row>
    <row r="164">
      <c r="O164" s="702"/>
      <c r="P164" s="702"/>
    </row>
    <row r="165">
      <c r="O165" s="702"/>
      <c r="P165" s="702"/>
    </row>
    <row r="166">
      <c r="O166" s="702"/>
      <c r="P166" s="702"/>
    </row>
    <row r="167">
      <c r="O167" s="702"/>
      <c r="P167" s="702"/>
    </row>
    <row r="168">
      <c r="O168" s="702"/>
      <c r="P168" s="702"/>
    </row>
    <row r="169">
      <c r="O169" s="702"/>
      <c r="P169" s="702"/>
    </row>
    <row r="170">
      <c r="O170" s="702"/>
      <c r="P170" s="702"/>
    </row>
    <row r="171">
      <c r="O171" s="702"/>
      <c r="P171" s="702"/>
    </row>
    <row r="172">
      <c r="O172" s="702"/>
      <c r="P172" s="702"/>
    </row>
    <row r="173">
      <c r="O173" s="702"/>
      <c r="P173" s="702"/>
    </row>
    <row r="174">
      <c r="O174" s="702"/>
      <c r="P174" s="702"/>
    </row>
    <row r="175">
      <c r="O175" s="702"/>
      <c r="P175" s="702"/>
    </row>
    <row r="176">
      <c r="O176" s="702"/>
      <c r="P176" s="702"/>
    </row>
    <row r="177">
      <c r="O177" s="702"/>
      <c r="P177" s="702"/>
    </row>
    <row r="178">
      <c r="O178" s="702"/>
      <c r="P178" s="702"/>
    </row>
    <row r="179">
      <c r="O179" s="702"/>
      <c r="P179" s="702"/>
    </row>
    <row r="180">
      <c r="O180" s="702"/>
      <c r="P180" s="702"/>
    </row>
    <row r="181">
      <c r="O181" s="702"/>
      <c r="P181" s="702"/>
    </row>
    <row r="182">
      <c r="O182" s="702"/>
      <c r="P182" s="702"/>
    </row>
    <row r="183">
      <c r="O183" s="702"/>
      <c r="P183" s="702"/>
    </row>
    <row r="184">
      <c r="O184" s="702"/>
      <c r="P184" s="702"/>
    </row>
    <row r="185">
      <c r="O185" s="702"/>
      <c r="P185" s="702"/>
    </row>
    <row r="186">
      <c r="O186" s="702"/>
      <c r="P186" s="702"/>
    </row>
    <row r="187">
      <c r="O187" s="702"/>
      <c r="P187" s="702"/>
    </row>
    <row r="188">
      <c r="O188" s="702"/>
      <c r="P188" s="702"/>
    </row>
    <row r="189">
      <c r="O189" s="702"/>
      <c r="P189" s="702"/>
    </row>
    <row r="190">
      <c r="O190" s="702"/>
      <c r="P190" s="702"/>
    </row>
    <row r="191">
      <c r="O191" s="702"/>
      <c r="P191" s="702"/>
    </row>
    <row r="192">
      <c r="O192" s="702"/>
      <c r="P192" s="702"/>
    </row>
    <row r="193">
      <c r="O193" s="702"/>
      <c r="P193" s="702"/>
    </row>
    <row r="194">
      <c r="O194" s="702"/>
      <c r="P194" s="702"/>
    </row>
    <row r="195">
      <c r="O195" s="702"/>
      <c r="P195" s="702"/>
    </row>
    <row r="196">
      <c r="O196" s="702"/>
      <c r="P196" s="702"/>
    </row>
    <row r="197">
      <c r="O197" s="702"/>
      <c r="P197" s="702"/>
    </row>
    <row r="198">
      <c r="O198" s="702"/>
      <c r="P198" s="702"/>
    </row>
    <row r="199">
      <c r="O199" s="702"/>
      <c r="P199" s="702"/>
    </row>
    <row r="200">
      <c r="O200" s="702"/>
      <c r="P200" s="702"/>
    </row>
    <row r="201">
      <c r="O201" s="702"/>
      <c r="P201" s="702"/>
    </row>
    <row r="202">
      <c r="O202" s="702"/>
      <c r="P202" s="702"/>
    </row>
    <row r="203">
      <c r="O203" s="702"/>
      <c r="P203" s="702"/>
    </row>
    <row r="204">
      <c r="O204" s="702"/>
      <c r="P204" s="702"/>
    </row>
    <row r="205">
      <c r="O205" s="702"/>
      <c r="P205" s="702"/>
    </row>
    <row r="206">
      <c r="O206" s="702"/>
      <c r="P206" s="702"/>
    </row>
    <row r="207">
      <c r="O207" s="702"/>
      <c r="P207" s="702"/>
    </row>
    <row r="208">
      <c r="O208" s="702"/>
      <c r="P208" s="702"/>
    </row>
    <row r="209">
      <c r="O209" s="702"/>
      <c r="P209" s="702"/>
    </row>
    <row r="210">
      <c r="O210" s="702"/>
      <c r="P210" s="702"/>
    </row>
    <row r="211">
      <c r="O211" s="702"/>
      <c r="P211" s="702"/>
    </row>
    <row r="212">
      <c r="O212" s="702"/>
      <c r="P212" s="702"/>
    </row>
    <row r="213">
      <c r="O213" s="702"/>
      <c r="P213" s="702"/>
    </row>
    <row r="214">
      <c r="O214" s="702"/>
      <c r="P214" s="702"/>
    </row>
    <row r="215">
      <c r="O215" s="702"/>
      <c r="P215" s="702"/>
    </row>
    <row r="216">
      <c r="O216" s="702"/>
      <c r="P216" s="702"/>
    </row>
    <row r="217">
      <c r="O217" s="702"/>
      <c r="P217" s="702"/>
    </row>
    <row r="218">
      <c r="O218" s="702"/>
      <c r="P218" s="702"/>
    </row>
    <row r="219">
      <c r="O219" s="702"/>
      <c r="P219" s="702"/>
    </row>
    <row r="220">
      <c r="O220" s="702"/>
      <c r="P220" s="702"/>
    </row>
    <row r="221">
      <c r="O221" s="702"/>
      <c r="P221" s="702"/>
    </row>
    <row r="222">
      <c r="O222" s="702"/>
      <c r="P222" s="702"/>
    </row>
    <row r="223">
      <c r="O223" s="702"/>
      <c r="P223" s="702"/>
    </row>
    <row r="224">
      <c r="O224" s="702"/>
      <c r="P224" s="702"/>
    </row>
    <row r="225">
      <c r="O225" s="702"/>
      <c r="P225" s="702"/>
    </row>
    <row r="226">
      <c r="O226" s="702"/>
      <c r="P226" s="702"/>
    </row>
    <row r="227">
      <c r="O227" s="702"/>
      <c r="P227" s="702"/>
    </row>
    <row r="228">
      <c r="O228" s="702"/>
      <c r="P228" s="702"/>
    </row>
    <row r="229">
      <c r="O229" s="702"/>
      <c r="P229" s="702"/>
    </row>
    <row r="230">
      <c r="O230" s="702"/>
      <c r="P230" s="702"/>
    </row>
    <row r="231">
      <c r="O231" s="702"/>
      <c r="P231" s="702"/>
    </row>
    <row r="232">
      <c r="O232" s="702"/>
      <c r="P232" s="702"/>
    </row>
    <row r="233">
      <c r="O233" s="702"/>
      <c r="P233" s="702"/>
    </row>
    <row r="234">
      <c r="O234" s="702"/>
      <c r="P234" s="702"/>
    </row>
    <row r="235">
      <c r="O235" s="702"/>
      <c r="P235" s="702"/>
    </row>
    <row r="236">
      <c r="O236" s="702"/>
      <c r="P236" s="702"/>
    </row>
    <row r="237">
      <c r="O237" s="702"/>
      <c r="P237" s="702"/>
    </row>
    <row r="238">
      <c r="O238" s="702"/>
      <c r="P238" s="702"/>
    </row>
    <row r="239">
      <c r="O239" s="702"/>
      <c r="P239" s="702"/>
    </row>
    <row r="240">
      <c r="O240" s="702"/>
      <c r="P240" s="702"/>
    </row>
    <row r="241">
      <c r="O241" s="702"/>
      <c r="P241" s="702"/>
    </row>
    <row r="242">
      <c r="O242" s="702"/>
      <c r="P242" s="702"/>
    </row>
    <row r="243">
      <c r="O243" s="702"/>
      <c r="P243" s="702"/>
    </row>
    <row r="244">
      <c r="O244" s="702"/>
      <c r="P244" s="702"/>
    </row>
    <row r="245">
      <c r="O245" s="702"/>
      <c r="P245" s="702"/>
    </row>
    <row r="246">
      <c r="O246" s="702"/>
      <c r="P246" s="702"/>
    </row>
    <row r="247">
      <c r="O247" s="702"/>
      <c r="P247" s="702"/>
    </row>
    <row r="248">
      <c r="O248" s="702"/>
      <c r="P248" s="702"/>
    </row>
    <row r="249">
      <c r="O249" s="702"/>
      <c r="P249" s="702"/>
    </row>
    <row r="250">
      <c r="O250" s="702"/>
      <c r="P250" s="702"/>
    </row>
    <row r="251">
      <c r="O251" s="702"/>
      <c r="P251" s="702"/>
    </row>
    <row r="252">
      <c r="O252" s="702"/>
      <c r="P252" s="702"/>
    </row>
    <row r="253">
      <c r="O253" s="702"/>
      <c r="P253" s="702"/>
    </row>
    <row r="254">
      <c r="O254" s="702"/>
      <c r="P254" s="702"/>
    </row>
    <row r="255">
      <c r="O255" s="702"/>
      <c r="P255" s="702"/>
    </row>
    <row r="256">
      <c r="O256" s="702"/>
      <c r="P256" s="702"/>
    </row>
    <row r="257">
      <c r="O257" s="702"/>
      <c r="P257" s="702"/>
    </row>
    <row r="258">
      <c r="O258" s="702"/>
      <c r="P258" s="702"/>
    </row>
    <row r="259">
      <c r="O259" s="702"/>
      <c r="P259" s="702"/>
    </row>
    <row r="260">
      <c r="O260" s="702"/>
      <c r="P260" s="702"/>
    </row>
    <row r="261">
      <c r="O261" s="702"/>
      <c r="P261" s="702"/>
    </row>
    <row r="262">
      <c r="O262" s="702"/>
      <c r="P262" s="702"/>
    </row>
    <row r="263">
      <c r="O263" s="702"/>
      <c r="P263" s="702"/>
    </row>
    <row r="264">
      <c r="O264" s="702"/>
      <c r="P264" s="702"/>
    </row>
    <row r="265">
      <c r="O265" s="702"/>
      <c r="P265" s="702"/>
    </row>
    <row r="266">
      <c r="O266" s="702"/>
      <c r="P266" s="702"/>
    </row>
    <row r="267">
      <c r="O267" s="702"/>
      <c r="P267" s="702"/>
    </row>
    <row r="268">
      <c r="O268" s="702"/>
      <c r="P268" s="702"/>
    </row>
    <row r="269">
      <c r="O269" s="702"/>
      <c r="P269" s="702"/>
    </row>
    <row r="270">
      <c r="O270" s="702"/>
      <c r="P270" s="702"/>
    </row>
    <row r="271">
      <c r="O271" s="702"/>
      <c r="P271" s="702"/>
    </row>
    <row r="272">
      <c r="O272" s="702"/>
      <c r="P272" s="702"/>
    </row>
    <row r="273">
      <c r="O273" s="702"/>
      <c r="P273" s="702"/>
    </row>
    <row r="274">
      <c r="O274" s="702"/>
      <c r="P274" s="702"/>
    </row>
    <row r="275">
      <c r="O275" s="702"/>
      <c r="P275" s="702"/>
    </row>
    <row r="276">
      <c r="O276" s="702"/>
      <c r="P276" s="702"/>
    </row>
    <row r="277">
      <c r="O277" s="702"/>
      <c r="P277" s="702"/>
    </row>
    <row r="278">
      <c r="O278" s="702"/>
      <c r="P278" s="702"/>
    </row>
    <row r="279">
      <c r="O279" s="702"/>
      <c r="P279" s="702"/>
    </row>
    <row r="280">
      <c r="O280" s="702"/>
      <c r="P280" s="702"/>
    </row>
    <row r="281">
      <c r="O281" s="702"/>
      <c r="P281" s="702"/>
    </row>
    <row r="282">
      <c r="O282" s="702"/>
      <c r="P282" s="702"/>
    </row>
    <row r="283">
      <c r="O283" s="702"/>
      <c r="P283" s="702"/>
    </row>
    <row r="284">
      <c r="O284" s="702"/>
      <c r="P284" s="702"/>
    </row>
    <row r="285">
      <c r="O285" s="702"/>
      <c r="P285" s="702"/>
    </row>
    <row r="286">
      <c r="O286" s="702"/>
      <c r="P286" s="702"/>
    </row>
    <row r="287">
      <c r="O287" s="702"/>
      <c r="P287" s="702"/>
    </row>
    <row r="288">
      <c r="O288" s="702"/>
      <c r="P288" s="702"/>
    </row>
    <row r="289">
      <c r="O289" s="702"/>
      <c r="P289" s="702"/>
    </row>
    <row r="290">
      <c r="O290" s="702"/>
      <c r="P290" s="702"/>
    </row>
    <row r="291">
      <c r="O291" s="702"/>
      <c r="P291" s="702"/>
    </row>
    <row r="292">
      <c r="O292" s="702"/>
      <c r="P292" s="702"/>
    </row>
    <row r="293">
      <c r="O293" s="702"/>
      <c r="P293" s="702"/>
    </row>
    <row r="294">
      <c r="O294" s="702"/>
      <c r="P294" s="702"/>
    </row>
    <row r="295">
      <c r="O295" s="702"/>
      <c r="P295" s="702"/>
    </row>
    <row r="296">
      <c r="O296" s="702"/>
      <c r="P296" s="702"/>
    </row>
    <row r="297">
      <c r="O297" s="702"/>
      <c r="P297" s="702"/>
    </row>
    <row r="298">
      <c r="O298" s="702"/>
      <c r="P298" s="702"/>
    </row>
    <row r="299">
      <c r="O299" s="702"/>
      <c r="P299" s="702"/>
    </row>
    <row r="300">
      <c r="O300" s="702"/>
      <c r="P300" s="702"/>
    </row>
    <row r="301">
      <c r="O301" s="702"/>
      <c r="P301" s="702"/>
    </row>
    <row r="302">
      <c r="O302" s="702"/>
      <c r="P302" s="702"/>
    </row>
    <row r="303">
      <c r="O303" s="702"/>
      <c r="P303" s="702"/>
    </row>
    <row r="304">
      <c r="O304" s="702"/>
      <c r="P304" s="702"/>
    </row>
    <row r="305">
      <c r="O305" s="702"/>
      <c r="P305" s="702"/>
    </row>
    <row r="306">
      <c r="O306" s="702"/>
      <c r="P306" s="702"/>
    </row>
    <row r="307">
      <c r="O307" s="702"/>
      <c r="P307" s="702"/>
    </row>
    <row r="308">
      <c r="O308" s="702"/>
      <c r="P308" s="702"/>
    </row>
    <row r="309">
      <c r="O309" s="702"/>
      <c r="P309" s="702"/>
    </row>
    <row r="310">
      <c r="O310" s="702"/>
      <c r="P310" s="702"/>
    </row>
    <row r="311">
      <c r="O311" s="702"/>
      <c r="P311" s="702"/>
    </row>
    <row r="312">
      <c r="O312" s="702"/>
      <c r="P312" s="702"/>
    </row>
    <row r="313">
      <c r="O313" s="702"/>
      <c r="P313" s="702"/>
    </row>
    <row r="314">
      <c r="O314" s="702"/>
      <c r="P314" s="702"/>
    </row>
    <row r="315">
      <c r="O315" s="702"/>
      <c r="P315" s="702"/>
    </row>
    <row r="316">
      <c r="O316" s="702"/>
      <c r="P316" s="702"/>
    </row>
    <row r="317">
      <c r="O317" s="702"/>
      <c r="P317" s="702"/>
    </row>
    <row r="318">
      <c r="O318" s="702"/>
      <c r="P318" s="702"/>
    </row>
    <row r="319">
      <c r="O319" s="702"/>
      <c r="P319" s="702"/>
    </row>
    <row r="320">
      <c r="O320" s="702"/>
      <c r="P320" s="702"/>
    </row>
    <row r="321">
      <c r="O321" s="702"/>
      <c r="P321" s="702"/>
    </row>
    <row r="322">
      <c r="O322" s="702"/>
      <c r="P322" s="702"/>
    </row>
    <row r="323">
      <c r="O323" s="702"/>
      <c r="P323" s="702"/>
    </row>
    <row r="324">
      <c r="O324" s="702"/>
      <c r="P324" s="702"/>
    </row>
    <row r="325">
      <c r="O325" s="702"/>
      <c r="P325" s="702"/>
    </row>
    <row r="326">
      <c r="O326" s="702"/>
      <c r="P326" s="702"/>
    </row>
    <row r="327">
      <c r="O327" s="702"/>
      <c r="P327" s="702"/>
    </row>
    <row r="328">
      <c r="O328" s="702"/>
      <c r="P328" s="702"/>
    </row>
    <row r="329">
      <c r="O329" s="702"/>
      <c r="P329" s="702"/>
    </row>
    <row r="330">
      <c r="O330" s="702"/>
      <c r="P330" s="702"/>
    </row>
    <row r="331">
      <c r="O331" s="702"/>
      <c r="P331" s="702"/>
    </row>
    <row r="332">
      <c r="O332" s="702"/>
      <c r="P332" s="702"/>
    </row>
    <row r="333">
      <c r="O333" s="702"/>
      <c r="P333" s="702"/>
    </row>
    <row r="334">
      <c r="O334" s="702"/>
      <c r="P334" s="702"/>
    </row>
    <row r="335">
      <c r="O335" s="702"/>
      <c r="P335" s="702"/>
    </row>
    <row r="336">
      <c r="O336" s="702"/>
      <c r="P336" s="702"/>
    </row>
    <row r="337">
      <c r="O337" s="702"/>
      <c r="P337" s="702"/>
    </row>
    <row r="338">
      <c r="O338" s="702"/>
      <c r="P338" s="702"/>
    </row>
    <row r="339">
      <c r="O339" s="702"/>
      <c r="P339" s="702"/>
    </row>
    <row r="340">
      <c r="O340" s="702"/>
      <c r="P340" s="702"/>
    </row>
    <row r="341">
      <c r="O341" s="702"/>
      <c r="P341" s="702"/>
    </row>
    <row r="342">
      <c r="O342" s="702"/>
      <c r="P342" s="702"/>
    </row>
    <row r="343">
      <c r="O343" s="702"/>
      <c r="P343" s="702"/>
    </row>
    <row r="344">
      <c r="O344" s="702"/>
      <c r="P344" s="702"/>
    </row>
    <row r="345">
      <c r="O345" s="702"/>
      <c r="P345" s="702"/>
    </row>
    <row r="346">
      <c r="O346" s="702"/>
      <c r="P346" s="702"/>
    </row>
    <row r="347">
      <c r="O347" s="702"/>
      <c r="P347" s="702"/>
    </row>
    <row r="348">
      <c r="O348" s="702"/>
      <c r="P348" s="702"/>
    </row>
    <row r="349">
      <c r="O349" s="702"/>
      <c r="P349" s="702"/>
    </row>
    <row r="350">
      <c r="O350" s="702"/>
      <c r="P350" s="702"/>
    </row>
    <row r="351">
      <c r="O351" s="702"/>
      <c r="P351" s="702"/>
    </row>
    <row r="352">
      <c r="O352" s="702"/>
      <c r="P352" s="702"/>
    </row>
    <row r="353">
      <c r="O353" s="702"/>
      <c r="P353" s="702"/>
    </row>
    <row r="354">
      <c r="O354" s="702"/>
      <c r="P354" s="702"/>
    </row>
    <row r="355">
      <c r="O355" s="702"/>
      <c r="P355" s="702"/>
    </row>
    <row r="356">
      <c r="O356" s="702"/>
      <c r="P356" s="702"/>
    </row>
    <row r="357">
      <c r="O357" s="702"/>
      <c r="P357" s="702"/>
    </row>
    <row r="358">
      <c r="O358" s="702"/>
      <c r="P358" s="702"/>
    </row>
    <row r="359">
      <c r="O359" s="702"/>
      <c r="P359" s="702"/>
    </row>
    <row r="360">
      <c r="O360" s="702"/>
      <c r="P360" s="702"/>
    </row>
    <row r="361">
      <c r="O361" s="702"/>
      <c r="P361" s="702"/>
    </row>
    <row r="362">
      <c r="O362" s="702"/>
      <c r="P362" s="702"/>
    </row>
    <row r="363">
      <c r="O363" s="702"/>
      <c r="P363" s="702"/>
    </row>
    <row r="364">
      <c r="O364" s="702"/>
      <c r="P364" s="702"/>
    </row>
    <row r="365">
      <c r="O365" s="702"/>
      <c r="P365" s="702"/>
    </row>
    <row r="366">
      <c r="O366" s="702"/>
      <c r="P366" s="702"/>
    </row>
    <row r="367">
      <c r="O367" s="702"/>
      <c r="P367" s="702"/>
    </row>
    <row r="368">
      <c r="O368" s="702"/>
      <c r="P368" s="702"/>
    </row>
    <row r="369">
      <c r="O369" s="702"/>
      <c r="P369" s="702"/>
    </row>
    <row r="370">
      <c r="O370" s="702"/>
      <c r="P370" s="702"/>
    </row>
    <row r="371">
      <c r="O371" s="702"/>
      <c r="P371" s="702"/>
    </row>
    <row r="372">
      <c r="O372" s="702"/>
      <c r="P372" s="702"/>
    </row>
    <row r="373">
      <c r="O373" s="702"/>
      <c r="P373" s="702"/>
    </row>
    <row r="374">
      <c r="O374" s="702"/>
      <c r="P374" s="702"/>
    </row>
    <row r="375">
      <c r="O375" s="702"/>
      <c r="P375" s="702"/>
    </row>
    <row r="376">
      <c r="O376" s="702"/>
      <c r="P376" s="702"/>
    </row>
    <row r="377">
      <c r="O377" s="702"/>
      <c r="P377" s="702"/>
    </row>
    <row r="378">
      <c r="O378" s="702"/>
      <c r="P378" s="702"/>
    </row>
    <row r="379">
      <c r="O379" s="702"/>
      <c r="P379" s="702"/>
    </row>
    <row r="380">
      <c r="O380" s="702"/>
      <c r="P380" s="702"/>
    </row>
    <row r="381">
      <c r="O381" s="702"/>
      <c r="P381" s="702"/>
    </row>
    <row r="382">
      <c r="O382" s="702"/>
      <c r="P382" s="702"/>
    </row>
    <row r="383">
      <c r="O383" s="702"/>
      <c r="P383" s="702"/>
    </row>
    <row r="384">
      <c r="O384" s="702"/>
      <c r="P384" s="702"/>
    </row>
    <row r="385">
      <c r="O385" s="702"/>
      <c r="P385" s="702"/>
    </row>
    <row r="386">
      <c r="O386" s="702"/>
      <c r="P386" s="702"/>
    </row>
    <row r="387">
      <c r="O387" s="702"/>
      <c r="P387" s="702"/>
    </row>
    <row r="388">
      <c r="O388" s="702"/>
      <c r="P388" s="702"/>
    </row>
    <row r="389">
      <c r="O389" s="702"/>
      <c r="P389" s="702"/>
    </row>
    <row r="390">
      <c r="O390" s="702"/>
      <c r="P390" s="702"/>
    </row>
    <row r="391">
      <c r="O391" s="702"/>
      <c r="P391" s="702"/>
    </row>
    <row r="392">
      <c r="O392" s="702"/>
      <c r="P392" s="702"/>
    </row>
    <row r="393">
      <c r="O393" s="702"/>
      <c r="P393" s="702"/>
    </row>
    <row r="394">
      <c r="O394" s="702"/>
      <c r="P394" s="702"/>
    </row>
    <row r="395">
      <c r="O395" s="702"/>
      <c r="P395" s="702"/>
    </row>
    <row r="396">
      <c r="O396" s="702"/>
      <c r="P396" s="702"/>
    </row>
    <row r="397">
      <c r="O397" s="702"/>
      <c r="P397" s="702"/>
    </row>
    <row r="398">
      <c r="O398" s="702"/>
      <c r="P398" s="702"/>
    </row>
    <row r="399">
      <c r="O399" s="702"/>
      <c r="P399" s="702"/>
    </row>
    <row r="400">
      <c r="O400" s="702"/>
      <c r="P400" s="702"/>
    </row>
    <row r="401">
      <c r="O401" s="702"/>
      <c r="P401" s="702"/>
    </row>
    <row r="402">
      <c r="O402" s="702"/>
      <c r="P402" s="702"/>
    </row>
    <row r="403">
      <c r="O403" s="702"/>
      <c r="P403" s="702"/>
    </row>
    <row r="404">
      <c r="O404" s="702"/>
      <c r="P404" s="702"/>
    </row>
    <row r="405">
      <c r="O405" s="702"/>
      <c r="P405" s="702"/>
    </row>
    <row r="406">
      <c r="O406" s="702"/>
      <c r="P406" s="702"/>
    </row>
    <row r="407">
      <c r="O407" s="702"/>
      <c r="P407" s="702"/>
    </row>
    <row r="408">
      <c r="O408" s="702"/>
      <c r="P408" s="702"/>
    </row>
    <row r="409">
      <c r="O409" s="702"/>
      <c r="P409" s="702"/>
    </row>
    <row r="410">
      <c r="O410" s="702"/>
      <c r="P410" s="702"/>
    </row>
    <row r="411">
      <c r="O411" s="702"/>
      <c r="P411" s="702"/>
    </row>
    <row r="412">
      <c r="O412" s="702"/>
      <c r="P412" s="702"/>
    </row>
    <row r="413">
      <c r="O413" s="702"/>
      <c r="P413" s="702"/>
    </row>
    <row r="414">
      <c r="O414" s="702"/>
      <c r="P414" s="702"/>
    </row>
    <row r="415">
      <c r="O415" s="702"/>
      <c r="P415" s="702"/>
    </row>
    <row r="416">
      <c r="O416" s="702"/>
      <c r="P416" s="702"/>
    </row>
    <row r="417">
      <c r="O417" s="702"/>
      <c r="P417" s="702"/>
    </row>
    <row r="418">
      <c r="O418" s="702"/>
      <c r="P418" s="702"/>
    </row>
    <row r="419">
      <c r="O419" s="702"/>
      <c r="P419" s="702"/>
    </row>
    <row r="420">
      <c r="O420" s="702"/>
      <c r="P420" s="702"/>
    </row>
    <row r="421">
      <c r="O421" s="702"/>
      <c r="P421" s="702"/>
    </row>
    <row r="422">
      <c r="O422" s="702"/>
      <c r="P422" s="702"/>
    </row>
    <row r="423">
      <c r="O423" s="702"/>
      <c r="P423" s="702"/>
    </row>
    <row r="424">
      <c r="O424" s="702"/>
      <c r="P424" s="702"/>
    </row>
    <row r="425">
      <c r="O425" s="702"/>
      <c r="P425" s="702"/>
    </row>
    <row r="426">
      <c r="O426" s="702"/>
      <c r="P426" s="702"/>
    </row>
    <row r="427">
      <c r="O427" s="702"/>
      <c r="P427" s="702"/>
    </row>
    <row r="428">
      <c r="O428" s="702"/>
      <c r="P428" s="702"/>
    </row>
    <row r="429">
      <c r="O429" s="702"/>
      <c r="P429" s="702"/>
    </row>
    <row r="430">
      <c r="O430" s="702"/>
      <c r="P430" s="702"/>
    </row>
    <row r="431">
      <c r="O431" s="702"/>
      <c r="P431" s="702"/>
    </row>
    <row r="432">
      <c r="O432" s="702"/>
      <c r="P432" s="702"/>
    </row>
    <row r="433">
      <c r="O433" s="702"/>
      <c r="P433" s="702"/>
    </row>
    <row r="434">
      <c r="O434" s="702"/>
      <c r="P434" s="702"/>
    </row>
    <row r="435">
      <c r="O435" s="702"/>
      <c r="P435" s="702"/>
    </row>
    <row r="436">
      <c r="O436" s="702"/>
      <c r="P436" s="702"/>
    </row>
    <row r="437">
      <c r="O437" s="702"/>
      <c r="P437" s="702"/>
    </row>
    <row r="438">
      <c r="O438" s="702"/>
      <c r="P438" s="702"/>
    </row>
    <row r="439">
      <c r="O439" s="702"/>
      <c r="P439" s="702"/>
    </row>
    <row r="440">
      <c r="O440" s="702"/>
      <c r="P440" s="702"/>
    </row>
    <row r="441">
      <c r="O441" s="702"/>
      <c r="P441" s="702"/>
    </row>
    <row r="442">
      <c r="O442" s="702"/>
      <c r="P442" s="702"/>
    </row>
    <row r="443">
      <c r="O443" s="702"/>
      <c r="P443" s="702"/>
    </row>
    <row r="444">
      <c r="O444" s="702"/>
      <c r="P444" s="702"/>
    </row>
    <row r="445">
      <c r="O445" s="702"/>
      <c r="P445" s="702"/>
    </row>
    <row r="446">
      <c r="O446" s="702"/>
      <c r="P446" s="702"/>
    </row>
    <row r="447">
      <c r="O447" s="702"/>
      <c r="P447" s="702"/>
    </row>
    <row r="448">
      <c r="O448" s="702"/>
      <c r="P448" s="702"/>
    </row>
    <row r="449">
      <c r="O449" s="702"/>
      <c r="P449" s="702"/>
    </row>
    <row r="450">
      <c r="O450" s="702"/>
      <c r="P450" s="702"/>
    </row>
    <row r="451">
      <c r="O451" s="702"/>
      <c r="P451" s="702"/>
    </row>
    <row r="452">
      <c r="O452" s="702"/>
      <c r="P452" s="702"/>
    </row>
    <row r="453">
      <c r="O453" s="702"/>
      <c r="P453" s="702"/>
    </row>
    <row r="454">
      <c r="O454" s="702"/>
      <c r="P454" s="702"/>
    </row>
    <row r="455">
      <c r="O455" s="702"/>
      <c r="P455" s="702"/>
    </row>
    <row r="456">
      <c r="O456" s="702"/>
      <c r="P456" s="702"/>
    </row>
    <row r="457">
      <c r="O457" s="702"/>
      <c r="P457" s="702"/>
    </row>
    <row r="458">
      <c r="O458" s="702"/>
      <c r="P458" s="702"/>
    </row>
    <row r="459">
      <c r="O459" s="702"/>
      <c r="P459" s="702"/>
    </row>
    <row r="460">
      <c r="O460" s="702"/>
      <c r="P460" s="702"/>
    </row>
    <row r="461">
      <c r="O461" s="702"/>
      <c r="P461" s="702"/>
    </row>
    <row r="462">
      <c r="O462" s="702"/>
      <c r="P462" s="702"/>
    </row>
    <row r="463">
      <c r="O463" s="702"/>
      <c r="P463" s="702"/>
    </row>
    <row r="464">
      <c r="O464" s="702"/>
      <c r="P464" s="702"/>
    </row>
    <row r="465">
      <c r="O465" s="702"/>
      <c r="P465" s="702"/>
    </row>
    <row r="466">
      <c r="O466" s="702"/>
      <c r="P466" s="702"/>
    </row>
    <row r="467">
      <c r="O467" s="702"/>
      <c r="P467" s="702"/>
    </row>
    <row r="468">
      <c r="O468" s="702"/>
      <c r="P468" s="702"/>
    </row>
    <row r="469">
      <c r="O469" s="702"/>
      <c r="P469" s="702"/>
    </row>
    <row r="470">
      <c r="O470" s="702"/>
      <c r="P470" s="702"/>
    </row>
    <row r="471">
      <c r="O471" s="702"/>
      <c r="P471" s="702"/>
    </row>
    <row r="472">
      <c r="O472" s="702"/>
      <c r="P472" s="702"/>
    </row>
    <row r="473">
      <c r="O473" s="702"/>
      <c r="P473" s="702"/>
    </row>
    <row r="474">
      <c r="O474" s="702"/>
      <c r="P474" s="702"/>
    </row>
    <row r="475">
      <c r="O475" s="702"/>
      <c r="P475" s="702"/>
    </row>
    <row r="476">
      <c r="O476" s="702"/>
      <c r="P476" s="702"/>
    </row>
    <row r="477">
      <c r="O477" s="702"/>
      <c r="P477" s="702"/>
    </row>
    <row r="478">
      <c r="O478" s="702"/>
      <c r="P478" s="702"/>
    </row>
    <row r="479">
      <c r="O479" s="702"/>
      <c r="P479" s="702"/>
    </row>
    <row r="480">
      <c r="O480" s="702"/>
      <c r="P480" s="702"/>
    </row>
    <row r="481">
      <c r="O481" s="702"/>
      <c r="P481" s="702"/>
    </row>
    <row r="482">
      <c r="O482" s="702"/>
      <c r="P482" s="702"/>
    </row>
    <row r="483">
      <c r="O483" s="702"/>
      <c r="P483" s="702"/>
    </row>
    <row r="484">
      <c r="O484" s="702"/>
      <c r="P484" s="702"/>
    </row>
    <row r="485">
      <c r="O485" s="702"/>
      <c r="P485" s="702"/>
    </row>
    <row r="486">
      <c r="O486" s="702"/>
      <c r="P486" s="702"/>
    </row>
    <row r="487">
      <c r="O487" s="702"/>
      <c r="P487" s="702"/>
    </row>
    <row r="488">
      <c r="O488" s="702"/>
      <c r="P488" s="702"/>
    </row>
    <row r="489">
      <c r="O489" s="702"/>
      <c r="P489" s="702"/>
    </row>
    <row r="490">
      <c r="O490" s="702"/>
      <c r="P490" s="702"/>
    </row>
    <row r="491">
      <c r="O491" s="702"/>
      <c r="P491" s="702"/>
    </row>
    <row r="492">
      <c r="O492" s="702"/>
      <c r="P492" s="702"/>
    </row>
    <row r="493">
      <c r="O493" s="702"/>
      <c r="P493" s="702"/>
    </row>
    <row r="494">
      <c r="O494" s="702"/>
      <c r="P494" s="702"/>
    </row>
    <row r="495">
      <c r="O495" s="702"/>
      <c r="P495" s="702"/>
    </row>
    <row r="496">
      <c r="O496" s="702"/>
      <c r="P496" s="702"/>
    </row>
    <row r="497">
      <c r="O497" s="702"/>
      <c r="P497" s="702"/>
    </row>
    <row r="498">
      <c r="O498" s="702"/>
      <c r="P498" s="702"/>
    </row>
    <row r="499">
      <c r="O499" s="702"/>
      <c r="P499" s="702"/>
    </row>
    <row r="500">
      <c r="O500" s="702"/>
      <c r="P500" s="702"/>
    </row>
    <row r="501">
      <c r="O501" s="702"/>
      <c r="P501" s="702"/>
    </row>
    <row r="502">
      <c r="O502" s="702"/>
      <c r="P502" s="702"/>
    </row>
    <row r="503">
      <c r="O503" s="702"/>
      <c r="P503" s="702"/>
    </row>
    <row r="504">
      <c r="O504" s="702"/>
      <c r="P504" s="702"/>
    </row>
    <row r="505">
      <c r="O505" s="702"/>
      <c r="P505" s="702"/>
    </row>
    <row r="506">
      <c r="O506" s="702"/>
      <c r="P506" s="702"/>
    </row>
    <row r="507">
      <c r="O507" s="702"/>
      <c r="P507" s="702"/>
    </row>
    <row r="508">
      <c r="O508" s="702"/>
      <c r="P508" s="702"/>
    </row>
    <row r="509">
      <c r="O509" s="702"/>
      <c r="P509" s="702"/>
    </row>
    <row r="510">
      <c r="O510" s="702"/>
      <c r="P510" s="702"/>
    </row>
    <row r="511">
      <c r="O511" s="702"/>
      <c r="P511" s="702"/>
    </row>
    <row r="512">
      <c r="O512" s="702"/>
      <c r="P512" s="702"/>
    </row>
    <row r="513">
      <c r="O513" s="702"/>
      <c r="P513" s="702"/>
    </row>
    <row r="514">
      <c r="O514" s="702"/>
      <c r="P514" s="702"/>
    </row>
    <row r="515">
      <c r="O515" s="702"/>
      <c r="P515" s="702"/>
    </row>
    <row r="516">
      <c r="O516" s="702"/>
      <c r="P516" s="702"/>
    </row>
    <row r="517">
      <c r="O517" s="702"/>
      <c r="P517" s="702"/>
    </row>
    <row r="518">
      <c r="O518" s="702"/>
      <c r="P518" s="702"/>
    </row>
    <row r="519">
      <c r="O519" s="702"/>
      <c r="P519" s="702"/>
    </row>
    <row r="520">
      <c r="O520" s="702"/>
      <c r="P520" s="702"/>
    </row>
    <row r="521">
      <c r="O521" s="702"/>
      <c r="P521" s="702"/>
    </row>
    <row r="522">
      <c r="O522" s="702"/>
      <c r="P522" s="702"/>
    </row>
    <row r="523">
      <c r="O523" s="702"/>
      <c r="P523" s="702"/>
    </row>
    <row r="524">
      <c r="O524" s="702"/>
      <c r="P524" s="702"/>
    </row>
    <row r="525">
      <c r="O525" s="702"/>
      <c r="P525" s="702"/>
    </row>
    <row r="526">
      <c r="O526" s="702"/>
      <c r="P526" s="702"/>
    </row>
    <row r="527">
      <c r="O527" s="702"/>
      <c r="P527" s="702"/>
    </row>
    <row r="528">
      <c r="O528" s="702"/>
      <c r="P528" s="702"/>
    </row>
    <row r="529">
      <c r="O529" s="702"/>
      <c r="P529" s="702"/>
    </row>
    <row r="530">
      <c r="O530" s="702"/>
      <c r="P530" s="702"/>
    </row>
    <row r="531">
      <c r="O531" s="702"/>
      <c r="P531" s="702"/>
    </row>
    <row r="532">
      <c r="O532" s="702"/>
      <c r="P532" s="702"/>
    </row>
    <row r="533">
      <c r="O533" s="702"/>
      <c r="P533" s="702"/>
    </row>
    <row r="534">
      <c r="O534" s="702"/>
      <c r="P534" s="702"/>
    </row>
    <row r="535">
      <c r="O535" s="702"/>
      <c r="P535" s="702"/>
    </row>
    <row r="536">
      <c r="O536" s="702"/>
      <c r="P536" s="702"/>
    </row>
    <row r="537">
      <c r="O537" s="702"/>
      <c r="P537" s="702"/>
    </row>
    <row r="538">
      <c r="O538" s="702"/>
      <c r="P538" s="702"/>
    </row>
    <row r="539">
      <c r="O539" s="702"/>
      <c r="P539" s="702"/>
    </row>
    <row r="540">
      <c r="O540" s="702"/>
      <c r="P540" s="702"/>
    </row>
    <row r="541">
      <c r="O541" s="702"/>
      <c r="P541" s="702"/>
    </row>
    <row r="542">
      <c r="O542" s="702"/>
      <c r="P542" s="702"/>
    </row>
    <row r="543">
      <c r="O543" s="702"/>
      <c r="P543" s="702"/>
    </row>
    <row r="544">
      <c r="O544" s="702"/>
      <c r="P544" s="702"/>
    </row>
    <row r="545">
      <c r="O545" s="702"/>
      <c r="P545" s="702"/>
    </row>
    <row r="546">
      <c r="O546" s="702"/>
      <c r="P546" s="702"/>
    </row>
    <row r="547">
      <c r="O547" s="702"/>
      <c r="P547" s="702"/>
    </row>
    <row r="548">
      <c r="O548" s="702"/>
      <c r="P548" s="702"/>
    </row>
    <row r="549">
      <c r="O549" s="702"/>
      <c r="P549" s="702"/>
    </row>
    <row r="550">
      <c r="O550" s="702"/>
      <c r="P550" s="702"/>
    </row>
    <row r="551">
      <c r="O551" s="702"/>
      <c r="P551" s="702"/>
    </row>
    <row r="552">
      <c r="O552" s="702"/>
      <c r="P552" s="702"/>
    </row>
    <row r="553">
      <c r="O553" s="702"/>
      <c r="P553" s="702"/>
    </row>
    <row r="554">
      <c r="O554" s="702"/>
      <c r="P554" s="702"/>
    </row>
    <row r="555">
      <c r="O555" s="702"/>
      <c r="P555" s="702"/>
    </row>
    <row r="556">
      <c r="O556" s="702"/>
      <c r="P556" s="702"/>
    </row>
    <row r="557">
      <c r="O557" s="702"/>
      <c r="P557" s="702"/>
    </row>
    <row r="558">
      <c r="O558" s="702"/>
      <c r="P558" s="702"/>
    </row>
    <row r="559">
      <c r="O559" s="702"/>
      <c r="P559" s="702"/>
    </row>
    <row r="560">
      <c r="O560" s="702"/>
      <c r="P560" s="702"/>
    </row>
    <row r="561">
      <c r="O561" s="702"/>
      <c r="P561" s="702"/>
    </row>
    <row r="562">
      <c r="O562" s="702"/>
      <c r="P562" s="702"/>
    </row>
    <row r="563">
      <c r="O563" s="702"/>
      <c r="P563" s="702"/>
    </row>
    <row r="564">
      <c r="O564" s="702"/>
      <c r="P564" s="702"/>
    </row>
    <row r="565">
      <c r="O565" s="702"/>
      <c r="P565" s="702"/>
    </row>
    <row r="566">
      <c r="O566" s="702"/>
      <c r="P566" s="702"/>
    </row>
    <row r="567">
      <c r="O567" s="702"/>
      <c r="P567" s="702"/>
    </row>
    <row r="568">
      <c r="O568" s="702"/>
      <c r="P568" s="702"/>
    </row>
    <row r="569">
      <c r="O569" s="702"/>
      <c r="P569" s="702"/>
    </row>
    <row r="570">
      <c r="O570" s="702"/>
      <c r="P570" s="702"/>
    </row>
    <row r="571">
      <c r="O571" s="702"/>
      <c r="P571" s="702"/>
    </row>
    <row r="572">
      <c r="O572" s="702"/>
      <c r="P572" s="702"/>
    </row>
    <row r="573">
      <c r="O573" s="702"/>
      <c r="P573" s="702"/>
    </row>
    <row r="574">
      <c r="O574" s="702"/>
      <c r="P574" s="702"/>
    </row>
    <row r="575">
      <c r="O575" s="702"/>
      <c r="P575" s="702"/>
    </row>
    <row r="576">
      <c r="O576" s="702"/>
      <c r="P576" s="702"/>
    </row>
    <row r="577">
      <c r="O577" s="702"/>
      <c r="P577" s="702"/>
    </row>
    <row r="578">
      <c r="O578" s="702"/>
      <c r="P578" s="702"/>
    </row>
    <row r="579">
      <c r="O579" s="702"/>
      <c r="P579" s="702"/>
    </row>
    <row r="580">
      <c r="O580" s="702"/>
      <c r="P580" s="702"/>
    </row>
    <row r="581">
      <c r="O581" s="702"/>
      <c r="P581" s="702"/>
    </row>
    <row r="582">
      <c r="O582" s="702"/>
      <c r="P582" s="702"/>
    </row>
    <row r="583">
      <c r="O583" s="702"/>
      <c r="P583" s="702"/>
    </row>
    <row r="584">
      <c r="O584" s="702"/>
      <c r="P584" s="702"/>
    </row>
    <row r="585">
      <c r="O585" s="702"/>
      <c r="P585" s="702"/>
    </row>
    <row r="586">
      <c r="O586" s="702"/>
      <c r="P586" s="702"/>
    </row>
    <row r="587">
      <c r="O587" s="702"/>
      <c r="P587" s="702"/>
    </row>
    <row r="588">
      <c r="O588" s="702"/>
      <c r="P588" s="702"/>
    </row>
    <row r="589">
      <c r="O589" s="702"/>
      <c r="P589" s="702"/>
    </row>
    <row r="590">
      <c r="O590" s="702"/>
      <c r="P590" s="702"/>
    </row>
    <row r="591">
      <c r="O591" s="702"/>
      <c r="P591" s="702"/>
    </row>
    <row r="592">
      <c r="O592" s="702"/>
      <c r="P592" s="702"/>
    </row>
    <row r="593">
      <c r="O593" s="702"/>
      <c r="P593" s="702"/>
    </row>
    <row r="594">
      <c r="O594" s="702"/>
      <c r="P594" s="702"/>
    </row>
    <row r="595">
      <c r="O595" s="702"/>
      <c r="P595" s="702"/>
    </row>
    <row r="596">
      <c r="O596" s="702"/>
      <c r="P596" s="702"/>
    </row>
    <row r="597">
      <c r="O597" s="702"/>
      <c r="P597" s="702"/>
    </row>
    <row r="598">
      <c r="O598" s="702"/>
      <c r="P598" s="702"/>
    </row>
    <row r="599">
      <c r="O599" s="702"/>
      <c r="P599" s="702"/>
    </row>
    <row r="600">
      <c r="O600" s="702"/>
      <c r="P600" s="702"/>
    </row>
    <row r="601">
      <c r="O601" s="702"/>
      <c r="P601" s="702"/>
    </row>
    <row r="602">
      <c r="O602" s="702"/>
      <c r="P602" s="702"/>
    </row>
    <row r="603">
      <c r="O603" s="702"/>
      <c r="P603" s="702"/>
    </row>
    <row r="604">
      <c r="O604" s="702"/>
      <c r="P604" s="702"/>
    </row>
    <row r="605">
      <c r="O605" s="702"/>
      <c r="P605" s="702"/>
    </row>
    <row r="606">
      <c r="O606" s="702"/>
      <c r="P606" s="702"/>
    </row>
    <row r="607">
      <c r="O607" s="702"/>
      <c r="P607" s="702"/>
    </row>
    <row r="608">
      <c r="O608" s="702"/>
      <c r="P608" s="702"/>
    </row>
    <row r="609">
      <c r="O609" s="702"/>
      <c r="P609" s="702"/>
    </row>
    <row r="610">
      <c r="O610" s="702"/>
      <c r="P610" s="702"/>
    </row>
    <row r="611">
      <c r="O611" s="702"/>
      <c r="P611" s="702"/>
    </row>
    <row r="612">
      <c r="O612" s="702"/>
      <c r="P612" s="702"/>
    </row>
    <row r="613">
      <c r="O613" s="702"/>
      <c r="P613" s="702"/>
    </row>
    <row r="614">
      <c r="O614" s="702"/>
      <c r="P614" s="702"/>
    </row>
    <row r="615">
      <c r="O615" s="702"/>
      <c r="P615" s="702"/>
    </row>
    <row r="616">
      <c r="O616" s="702"/>
      <c r="P616" s="702"/>
    </row>
    <row r="617">
      <c r="O617" s="702"/>
      <c r="P617" s="702"/>
    </row>
    <row r="618">
      <c r="O618" s="702"/>
      <c r="P618" s="702"/>
    </row>
    <row r="619">
      <c r="O619" s="702"/>
      <c r="P619" s="702"/>
    </row>
    <row r="620">
      <c r="O620" s="702"/>
      <c r="P620" s="702"/>
    </row>
    <row r="621">
      <c r="O621" s="702"/>
      <c r="P621" s="702"/>
    </row>
    <row r="622">
      <c r="O622" s="702"/>
      <c r="P622" s="702"/>
    </row>
    <row r="623">
      <c r="O623" s="702"/>
      <c r="P623" s="702"/>
    </row>
    <row r="624">
      <c r="O624" s="702"/>
      <c r="P624" s="702"/>
    </row>
    <row r="625">
      <c r="O625" s="702"/>
      <c r="P625" s="702"/>
    </row>
    <row r="626">
      <c r="O626" s="702"/>
      <c r="P626" s="702"/>
    </row>
    <row r="627">
      <c r="O627" s="702"/>
      <c r="P627" s="702"/>
    </row>
    <row r="628">
      <c r="O628" s="702"/>
      <c r="P628" s="702"/>
    </row>
    <row r="629">
      <c r="O629" s="702"/>
      <c r="P629" s="702"/>
    </row>
    <row r="630">
      <c r="O630" s="702"/>
      <c r="P630" s="702"/>
    </row>
    <row r="631">
      <c r="O631" s="702"/>
      <c r="P631" s="702"/>
    </row>
    <row r="632">
      <c r="O632" s="702"/>
      <c r="P632" s="702"/>
    </row>
    <row r="633">
      <c r="O633" s="702"/>
      <c r="P633" s="702"/>
    </row>
    <row r="634">
      <c r="O634" s="702"/>
      <c r="P634" s="702"/>
    </row>
    <row r="635">
      <c r="O635" s="702"/>
      <c r="P635" s="702"/>
    </row>
    <row r="636">
      <c r="O636" s="702"/>
      <c r="P636" s="702"/>
    </row>
    <row r="637">
      <c r="O637" s="702"/>
      <c r="P637" s="702"/>
    </row>
    <row r="638">
      <c r="O638" s="702"/>
      <c r="P638" s="702"/>
    </row>
    <row r="639">
      <c r="O639" s="702"/>
      <c r="P639" s="702"/>
    </row>
    <row r="640">
      <c r="O640" s="702"/>
      <c r="P640" s="702"/>
    </row>
    <row r="641">
      <c r="O641" s="702"/>
      <c r="P641" s="702"/>
    </row>
    <row r="642">
      <c r="O642" s="702"/>
      <c r="P642" s="702"/>
    </row>
    <row r="643">
      <c r="O643" s="702"/>
      <c r="P643" s="702"/>
    </row>
    <row r="644">
      <c r="O644" s="702"/>
      <c r="P644" s="702"/>
    </row>
    <row r="645">
      <c r="O645" s="702"/>
      <c r="P645" s="702"/>
    </row>
    <row r="646">
      <c r="O646" s="702"/>
      <c r="P646" s="702"/>
    </row>
    <row r="647">
      <c r="O647" s="702"/>
      <c r="P647" s="702"/>
    </row>
    <row r="648">
      <c r="O648" s="702"/>
      <c r="P648" s="702"/>
    </row>
    <row r="649">
      <c r="O649" s="702"/>
      <c r="P649" s="702"/>
    </row>
    <row r="650">
      <c r="O650" s="702"/>
      <c r="P650" s="702"/>
    </row>
    <row r="651">
      <c r="O651" s="702"/>
      <c r="P651" s="702"/>
    </row>
    <row r="652">
      <c r="O652" s="702"/>
      <c r="P652" s="702"/>
    </row>
    <row r="653">
      <c r="O653" s="702"/>
      <c r="P653" s="702"/>
    </row>
    <row r="654">
      <c r="O654" s="702"/>
      <c r="P654" s="702"/>
    </row>
    <row r="655">
      <c r="O655" s="702"/>
      <c r="P655" s="702"/>
    </row>
    <row r="656">
      <c r="O656" s="702"/>
      <c r="P656" s="702"/>
    </row>
    <row r="657">
      <c r="O657" s="702"/>
      <c r="P657" s="702"/>
    </row>
    <row r="658">
      <c r="O658" s="702"/>
      <c r="P658" s="702"/>
    </row>
    <row r="659">
      <c r="O659" s="702"/>
      <c r="P659" s="702"/>
    </row>
    <row r="660">
      <c r="O660" s="702"/>
      <c r="P660" s="702"/>
    </row>
    <row r="661">
      <c r="O661" s="702"/>
      <c r="P661" s="702"/>
    </row>
    <row r="662">
      <c r="O662" s="702"/>
      <c r="P662" s="702"/>
    </row>
    <row r="663">
      <c r="O663" s="702"/>
      <c r="P663" s="702"/>
    </row>
    <row r="664">
      <c r="O664" s="702"/>
      <c r="P664" s="702"/>
    </row>
    <row r="665">
      <c r="O665" s="702"/>
      <c r="P665" s="702"/>
    </row>
    <row r="666">
      <c r="O666" s="702"/>
      <c r="P666" s="702"/>
    </row>
    <row r="667">
      <c r="O667" s="702"/>
      <c r="P667" s="702"/>
    </row>
    <row r="668">
      <c r="O668" s="702"/>
      <c r="P668" s="702"/>
    </row>
    <row r="669">
      <c r="O669" s="702"/>
      <c r="P669" s="702"/>
    </row>
    <row r="670">
      <c r="O670" s="702"/>
      <c r="P670" s="702"/>
    </row>
    <row r="671">
      <c r="O671" s="702"/>
      <c r="P671" s="702"/>
    </row>
    <row r="672">
      <c r="O672" s="702"/>
      <c r="P672" s="702"/>
    </row>
    <row r="673">
      <c r="O673" s="702"/>
      <c r="P673" s="702"/>
    </row>
    <row r="674">
      <c r="O674" s="702"/>
      <c r="P674" s="702"/>
    </row>
    <row r="675">
      <c r="O675" s="702"/>
      <c r="P675" s="702"/>
    </row>
    <row r="676">
      <c r="O676" s="702"/>
      <c r="P676" s="702"/>
    </row>
    <row r="677">
      <c r="O677" s="702"/>
      <c r="P677" s="702"/>
    </row>
    <row r="678">
      <c r="O678" s="702"/>
      <c r="P678" s="702"/>
    </row>
    <row r="679">
      <c r="O679" s="702"/>
      <c r="P679" s="702"/>
    </row>
    <row r="680">
      <c r="O680" s="702"/>
      <c r="P680" s="702"/>
    </row>
    <row r="681">
      <c r="O681" s="702"/>
      <c r="P681" s="702"/>
    </row>
    <row r="682">
      <c r="O682" s="702"/>
      <c r="P682" s="702"/>
    </row>
    <row r="683">
      <c r="O683" s="702"/>
      <c r="P683" s="702"/>
    </row>
    <row r="684">
      <c r="O684" s="702"/>
      <c r="P684" s="702"/>
    </row>
    <row r="685">
      <c r="O685" s="702"/>
      <c r="P685" s="702"/>
    </row>
    <row r="686">
      <c r="O686" s="702"/>
      <c r="P686" s="702"/>
    </row>
    <row r="687">
      <c r="O687" s="702"/>
      <c r="P687" s="702"/>
    </row>
    <row r="688">
      <c r="O688" s="702"/>
      <c r="P688" s="702"/>
    </row>
    <row r="689">
      <c r="O689" s="702"/>
      <c r="P689" s="702"/>
    </row>
    <row r="690">
      <c r="O690" s="702"/>
      <c r="P690" s="702"/>
    </row>
    <row r="691">
      <c r="O691" s="702"/>
      <c r="P691" s="702"/>
    </row>
    <row r="692">
      <c r="O692" s="702"/>
      <c r="P692" s="702"/>
    </row>
    <row r="693">
      <c r="O693" s="702"/>
      <c r="P693" s="702"/>
    </row>
    <row r="694">
      <c r="O694" s="702"/>
      <c r="P694" s="702"/>
    </row>
    <row r="695">
      <c r="O695" s="702"/>
      <c r="P695" s="702"/>
    </row>
    <row r="696">
      <c r="O696" s="702"/>
      <c r="P696" s="702"/>
    </row>
    <row r="697">
      <c r="O697" s="702"/>
      <c r="P697" s="702"/>
    </row>
    <row r="698">
      <c r="O698" s="702"/>
      <c r="P698" s="702"/>
    </row>
    <row r="699">
      <c r="O699" s="702"/>
      <c r="P699" s="702"/>
    </row>
    <row r="700">
      <c r="O700" s="702"/>
      <c r="P700" s="702"/>
    </row>
    <row r="701">
      <c r="O701" s="702"/>
      <c r="P701" s="702"/>
    </row>
    <row r="702">
      <c r="O702" s="702"/>
      <c r="P702" s="702"/>
    </row>
    <row r="703">
      <c r="O703" s="702"/>
      <c r="P703" s="702"/>
    </row>
    <row r="704">
      <c r="O704" s="702"/>
      <c r="P704" s="702"/>
    </row>
    <row r="705">
      <c r="O705" s="702"/>
      <c r="P705" s="702"/>
    </row>
    <row r="706">
      <c r="O706" s="702"/>
      <c r="P706" s="702"/>
    </row>
    <row r="707">
      <c r="O707" s="702"/>
      <c r="P707" s="702"/>
    </row>
    <row r="708">
      <c r="O708" s="702"/>
      <c r="P708" s="702"/>
    </row>
    <row r="709">
      <c r="O709" s="702"/>
      <c r="P709" s="702"/>
    </row>
    <row r="710">
      <c r="O710" s="702"/>
      <c r="P710" s="702"/>
    </row>
    <row r="711">
      <c r="O711" s="702"/>
      <c r="P711" s="702"/>
    </row>
    <row r="712">
      <c r="O712" s="702"/>
      <c r="P712" s="702"/>
    </row>
    <row r="713">
      <c r="O713" s="702"/>
      <c r="P713" s="702"/>
    </row>
    <row r="714">
      <c r="O714" s="702"/>
      <c r="P714" s="702"/>
    </row>
    <row r="715">
      <c r="O715" s="702"/>
      <c r="P715" s="702"/>
    </row>
    <row r="716">
      <c r="O716" s="702"/>
      <c r="P716" s="702"/>
    </row>
    <row r="717">
      <c r="O717" s="702"/>
      <c r="P717" s="702"/>
    </row>
    <row r="718">
      <c r="O718" s="702"/>
      <c r="P718" s="702"/>
    </row>
    <row r="719">
      <c r="O719" s="702"/>
      <c r="P719" s="702"/>
    </row>
    <row r="720">
      <c r="O720" s="702"/>
      <c r="P720" s="702"/>
    </row>
    <row r="721">
      <c r="O721" s="702"/>
      <c r="P721" s="702"/>
    </row>
    <row r="722">
      <c r="O722" s="702"/>
      <c r="P722" s="702"/>
    </row>
    <row r="723">
      <c r="O723" s="702"/>
      <c r="P723" s="702"/>
    </row>
    <row r="724">
      <c r="O724" s="702"/>
      <c r="P724" s="702"/>
    </row>
    <row r="725">
      <c r="O725" s="702"/>
      <c r="P725" s="702"/>
    </row>
    <row r="726">
      <c r="O726" s="702"/>
      <c r="P726" s="702"/>
    </row>
    <row r="727">
      <c r="O727" s="702"/>
      <c r="P727" s="702"/>
    </row>
    <row r="728">
      <c r="O728" s="702"/>
      <c r="P728" s="702"/>
    </row>
    <row r="729">
      <c r="O729" s="702"/>
      <c r="P729" s="702"/>
    </row>
    <row r="730">
      <c r="O730" s="702"/>
      <c r="P730" s="702"/>
    </row>
    <row r="731">
      <c r="O731" s="702"/>
      <c r="P731" s="702"/>
    </row>
    <row r="732">
      <c r="O732" s="702"/>
      <c r="P732" s="702"/>
    </row>
    <row r="733">
      <c r="O733" s="702"/>
      <c r="P733" s="702"/>
    </row>
    <row r="734">
      <c r="O734" s="702"/>
      <c r="P734" s="702"/>
    </row>
    <row r="735">
      <c r="O735" s="702"/>
      <c r="P735" s="702"/>
    </row>
    <row r="736">
      <c r="O736" s="702"/>
      <c r="P736" s="702"/>
    </row>
    <row r="737">
      <c r="O737" s="702"/>
      <c r="P737" s="702"/>
    </row>
    <row r="738">
      <c r="O738" s="702"/>
      <c r="P738" s="702"/>
    </row>
    <row r="739">
      <c r="O739" s="702"/>
      <c r="P739" s="702"/>
    </row>
    <row r="740">
      <c r="O740" s="702"/>
      <c r="P740" s="702"/>
    </row>
    <row r="741">
      <c r="O741" s="702"/>
      <c r="P741" s="702"/>
    </row>
    <row r="742">
      <c r="O742" s="702"/>
      <c r="P742" s="702"/>
    </row>
    <row r="743">
      <c r="O743" s="702"/>
      <c r="P743" s="702"/>
    </row>
    <row r="744">
      <c r="O744" s="702"/>
      <c r="P744" s="702"/>
    </row>
    <row r="745">
      <c r="O745" s="702"/>
      <c r="P745" s="702"/>
    </row>
    <row r="746">
      <c r="O746" s="702"/>
      <c r="P746" s="702"/>
    </row>
    <row r="747">
      <c r="O747" s="702"/>
      <c r="P747" s="702"/>
    </row>
    <row r="748">
      <c r="O748" s="702"/>
      <c r="P748" s="702"/>
    </row>
    <row r="749">
      <c r="O749" s="702"/>
      <c r="P749" s="702"/>
    </row>
    <row r="750">
      <c r="O750" s="702"/>
      <c r="P750" s="702"/>
    </row>
    <row r="751">
      <c r="O751" s="702"/>
      <c r="P751" s="702"/>
    </row>
    <row r="752">
      <c r="O752" s="702"/>
      <c r="P752" s="702"/>
    </row>
    <row r="753">
      <c r="O753" s="702"/>
      <c r="P753" s="702"/>
    </row>
    <row r="754">
      <c r="O754" s="702"/>
      <c r="P754" s="702"/>
    </row>
    <row r="755">
      <c r="O755" s="702"/>
      <c r="P755" s="702"/>
    </row>
    <row r="756">
      <c r="O756" s="702"/>
      <c r="P756" s="702"/>
    </row>
    <row r="757">
      <c r="O757" s="702"/>
      <c r="P757" s="702"/>
    </row>
    <row r="758">
      <c r="O758" s="702"/>
      <c r="P758" s="702"/>
    </row>
    <row r="759">
      <c r="O759" s="702"/>
      <c r="P759" s="702"/>
    </row>
    <row r="760">
      <c r="O760" s="702"/>
      <c r="P760" s="702"/>
    </row>
    <row r="761">
      <c r="O761" s="702"/>
      <c r="P761" s="702"/>
    </row>
    <row r="762">
      <c r="O762" s="702"/>
      <c r="P762" s="702"/>
    </row>
    <row r="763">
      <c r="O763" s="702"/>
      <c r="P763" s="702"/>
    </row>
    <row r="764">
      <c r="O764" s="702"/>
      <c r="P764" s="702"/>
    </row>
    <row r="765">
      <c r="O765" s="702"/>
      <c r="P765" s="702"/>
    </row>
    <row r="766">
      <c r="O766" s="702"/>
      <c r="P766" s="702"/>
    </row>
    <row r="767">
      <c r="O767" s="702"/>
      <c r="P767" s="702"/>
    </row>
    <row r="768">
      <c r="O768" s="702"/>
      <c r="P768" s="702"/>
    </row>
    <row r="769">
      <c r="O769" s="702"/>
      <c r="P769" s="702"/>
    </row>
    <row r="770">
      <c r="O770" s="702"/>
      <c r="P770" s="702"/>
    </row>
    <row r="771">
      <c r="O771" s="702"/>
      <c r="P771" s="702"/>
    </row>
    <row r="772">
      <c r="O772" s="702"/>
      <c r="P772" s="702"/>
    </row>
    <row r="773">
      <c r="O773" s="702"/>
      <c r="P773" s="702"/>
    </row>
    <row r="774">
      <c r="O774" s="702"/>
      <c r="P774" s="702"/>
    </row>
    <row r="775">
      <c r="O775" s="702"/>
      <c r="P775" s="702"/>
    </row>
    <row r="776">
      <c r="O776" s="702"/>
      <c r="P776" s="702"/>
    </row>
    <row r="777">
      <c r="O777" s="702"/>
      <c r="P777" s="702"/>
    </row>
    <row r="778">
      <c r="O778" s="702"/>
      <c r="P778" s="702"/>
    </row>
    <row r="779">
      <c r="O779" s="702"/>
      <c r="P779" s="702"/>
    </row>
    <row r="780">
      <c r="O780" s="702"/>
      <c r="P780" s="702"/>
    </row>
    <row r="781">
      <c r="O781" s="702"/>
      <c r="P781" s="702"/>
    </row>
    <row r="782">
      <c r="O782" s="702"/>
      <c r="P782" s="702"/>
    </row>
    <row r="783">
      <c r="O783" s="702"/>
      <c r="P783" s="702"/>
    </row>
    <row r="784">
      <c r="O784" s="702"/>
      <c r="P784" s="702"/>
    </row>
    <row r="785">
      <c r="O785" s="702"/>
      <c r="P785" s="702"/>
    </row>
    <row r="786">
      <c r="O786" s="702"/>
      <c r="P786" s="702"/>
    </row>
    <row r="787">
      <c r="O787" s="702"/>
      <c r="P787" s="702"/>
    </row>
    <row r="788">
      <c r="O788" s="702"/>
      <c r="P788" s="702"/>
    </row>
    <row r="789">
      <c r="O789" s="702"/>
      <c r="P789" s="702"/>
    </row>
    <row r="790">
      <c r="O790" s="702"/>
      <c r="P790" s="702"/>
    </row>
    <row r="791">
      <c r="O791" s="702"/>
      <c r="P791" s="702"/>
    </row>
    <row r="792">
      <c r="O792" s="702"/>
      <c r="P792" s="702"/>
    </row>
    <row r="793">
      <c r="O793" s="702"/>
      <c r="P793" s="702"/>
    </row>
    <row r="794">
      <c r="O794" s="702"/>
      <c r="P794" s="702"/>
    </row>
    <row r="795">
      <c r="O795" s="702"/>
      <c r="P795" s="702"/>
    </row>
    <row r="796">
      <c r="O796" s="702"/>
      <c r="P796" s="702"/>
    </row>
    <row r="797">
      <c r="O797" s="702"/>
      <c r="P797" s="702"/>
    </row>
    <row r="798">
      <c r="O798" s="702"/>
      <c r="P798" s="702"/>
    </row>
    <row r="799">
      <c r="O799" s="702"/>
      <c r="P799" s="702"/>
    </row>
    <row r="800">
      <c r="O800" s="702"/>
      <c r="P800" s="702"/>
    </row>
    <row r="801">
      <c r="O801" s="702"/>
      <c r="P801" s="702"/>
    </row>
    <row r="802">
      <c r="O802" s="702"/>
      <c r="P802" s="702"/>
    </row>
    <row r="803">
      <c r="O803" s="702"/>
      <c r="P803" s="702"/>
    </row>
    <row r="804">
      <c r="O804" s="702"/>
      <c r="P804" s="702"/>
    </row>
    <row r="805">
      <c r="O805" s="702"/>
      <c r="P805" s="702"/>
    </row>
    <row r="806">
      <c r="O806" s="702"/>
      <c r="P806" s="702"/>
    </row>
    <row r="807">
      <c r="O807" s="702"/>
      <c r="P807" s="702"/>
    </row>
    <row r="808">
      <c r="O808" s="702"/>
      <c r="P808" s="702"/>
    </row>
    <row r="809">
      <c r="O809" s="702"/>
      <c r="P809" s="702"/>
    </row>
    <row r="810">
      <c r="O810" s="702"/>
      <c r="P810" s="702"/>
    </row>
    <row r="811">
      <c r="O811" s="702"/>
      <c r="P811" s="702"/>
    </row>
    <row r="812">
      <c r="O812" s="702"/>
      <c r="P812" s="702"/>
    </row>
    <row r="813">
      <c r="O813" s="702"/>
      <c r="P813" s="702"/>
    </row>
    <row r="814">
      <c r="O814" s="702"/>
      <c r="P814" s="702"/>
    </row>
    <row r="815">
      <c r="O815" s="702"/>
      <c r="P815" s="702"/>
    </row>
    <row r="816">
      <c r="O816" s="702"/>
      <c r="P816" s="702"/>
    </row>
    <row r="817">
      <c r="O817" s="702"/>
      <c r="P817" s="702"/>
    </row>
    <row r="818">
      <c r="O818" s="702"/>
      <c r="P818" s="702"/>
    </row>
    <row r="819">
      <c r="O819" s="702"/>
      <c r="P819" s="702"/>
    </row>
    <row r="820">
      <c r="O820" s="702"/>
      <c r="P820" s="702"/>
    </row>
    <row r="821">
      <c r="O821" s="702"/>
      <c r="P821" s="702"/>
    </row>
    <row r="822">
      <c r="O822" s="702"/>
      <c r="P822" s="702"/>
    </row>
    <row r="823">
      <c r="O823" s="702"/>
      <c r="P823" s="702"/>
    </row>
    <row r="824">
      <c r="O824" s="702"/>
      <c r="P824" s="702"/>
    </row>
    <row r="825">
      <c r="O825" s="702"/>
      <c r="P825" s="702"/>
    </row>
    <row r="826">
      <c r="O826" s="702"/>
      <c r="P826" s="702"/>
    </row>
    <row r="827">
      <c r="O827" s="702"/>
      <c r="P827" s="702"/>
    </row>
    <row r="828">
      <c r="O828" s="702"/>
      <c r="P828" s="702"/>
    </row>
    <row r="829">
      <c r="O829" s="702"/>
      <c r="P829" s="702"/>
    </row>
    <row r="830">
      <c r="O830" s="702"/>
      <c r="P830" s="702"/>
    </row>
    <row r="831">
      <c r="O831" s="702"/>
      <c r="P831" s="702"/>
    </row>
    <row r="832">
      <c r="O832" s="702"/>
      <c r="P832" s="702"/>
    </row>
    <row r="833">
      <c r="O833" s="702"/>
      <c r="P833" s="702"/>
    </row>
    <row r="834">
      <c r="O834" s="702"/>
      <c r="P834" s="702"/>
    </row>
    <row r="835">
      <c r="O835" s="702"/>
      <c r="P835" s="702"/>
    </row>
    <row r="836">
      <c r="O836" s="702"/>
      <c r="P836" s="702"/>
    </row>
    <row r="837">
      <c r="O837" s="702"/>
      <c r="P837" s="702"/>
    </row>
    <row r="838">
      <c r="O838" s="702"/>
      <c r="P838" s="702"/>
    </row>
    <row r="839">
      <c r="O839" s="702"/>
      <c r="P839" s="702"/>
    </row>
    <row r="840">
      <c r="O840" s="702"/>
      <c r="P840" s="702"/>
    </row>
    <row r="841">
      <c r="O841" s="702"/>
      <c r="P841" s="702"/>
    </row>
    <row r="842">
      <c r="O842" s="702"/>
      <c r="P842" s="702"/>
    </row>
    <row r="843">
      <c r="O843" s="702"/>
      <c r="P843" s="702"/>
    </row>
    <row r="844">
      <c r="O844" s="702"/>
      <c r="P844" s="702"/>
    </row>
    <row r="845">
      <c r="O845" s="702"/>
      <c r="P845" s="702"/>
    </row>
    <row r="846">
      <c r="O846" s="702"/>
      <c r="P846" s="702"/>
    </row>
    <row r="847">
      <c r="O847" s="702"/>
      <c r="P847" s="702"/>
    </row>
    <row r="848">
      <c r="O848" s="702"/>
      <c r="P848" s="702"/>
    </row>
    <row r="849">
      <c r="O849" s="702"/>
      <c r="P849" s="702"/>
    </row>
    <row r="850">
      <c r="O850" s="702"/>
      <c r="P850" s="702"/>
    </row>
    <row r="851">
      <c r="O851" s="702"/>
      <c r="P851" s="702"/>
    </row>
    <row r="852">
      <c r="O852" s="702"/>
      <c r="P852" s="702"/>
    </row>
    <row r="853">
      <c r="O853" s="702"/>
      <c r="P853" s="702"/>
    </row>
    <row r="854">
      <c r="O854" s="702"/>
      <c r="P854" s="702"/>
    </row>
    <row r="855">
      <c r="O855" s="702"/>
      <c r="P855" s="702"/>
    </row>
    <row r="856">
      <c r="O856" s="702"/>
      <c r="P856" s="702"/>
    </row>
    <row r="857">
      <c r="O857" s="702"/>
      <c r="P857" s="702"/>
    </row>
    <row r="858">
      <c r="O858" s="702"/>
      <c r="P858" s="702"/>
    </row>
    <row r="859">
      <c r="O859" s="702"/>
      <c r="P859" s="702"/>
    </row>
    <row r="860">
      <c r="O860" s="702"/>
      <c r="P860" s="702"/>
    </row>
    <row r="861">
      <c r="O861" s="702"/>
      <c r="P861" s="702"/>
    </row>
    <row r="862">
      <c r="O862" s="702"/>
      <c r="P862" s="702"/>
    </row>
    <row r="863">
      <c r="O863" s="702"/>
      <c r="P863" s="702"/>
    </row>
    <row r="864">
      <c r="O864" s="702"/>
      <c r="P864" s="702"/>
    </row>
    <row r="865">
      <c r="O865" s="702"/>
      <c r="P865" s="702"/>
    </row>
    <row r="866">
      <c r="O866" s="702"/>
      <c r="P866" s="702"/>
    </row>
    <row r="867">
      <c r="O867" s="702"/>
      <c r="P867" s="702"/>
    </row>
    <row r="868">
      <c r="O868" s="702"/>
      <c r="P868" s="702"/>
    </row>
    <row r="869">
      <c r="O869" s="702"/>
      <c r="P869" s="702"/>
    </row>
    <row r="870">
      <c r="O870" s="702"/>
      <c r="P870" s="702"/>
    </row>
    <row r="871">
      <c r="O871" s="702"/>
      <c r="P871" s="702"/>
    </row>
    <row r="872">
      <c r="O872" s="702"/>
      <c r="P872" s="702"/>
    </row>
    <row r="873">
      <c r="O873" s="702"/>
      <c r="P873" s="702"/>
    </row>
    <row r="874">
      <c r="O874" s="702"/>
      <c r="P874" s="702"/>
    </row>
    <row r="875">
      <c r="O875" s="702"/>
      <c r="P875" s="702"/>
    </row>
    <row r="876">
      <c r="O876" s="702"/>
      <c r="P876" s="702"/>
    </row>
    <row r="877">
      <c r="O877" s="702"/>
      <c r="P877" s="702"/>
    </row>
    <row r="878">
      <c r="O878" s="702"/>
      <c r="P878" s="702"/>
    </row>
    <row r="879">
      <c r="O879" s="702"/>
      <c r="P879" s="702"/>
    </row>
    <row r="880">
      <c r="O880" s="702"/>
      <c r="P880" s="702"/>
    </row>
    <row r="881">
      <c r="O881" s="702"/>
      <c r="P881" s="702"/>
    </row>
    <row r="882">
      <c r="O882" s="702"/>
      <c r="P882" s="702"/>
    </row>
    <row r="883">
      <c r="O883" s="702"/>
      <c r="P883" s="702"/>
    </row>
    <row r="884">
      <c r="O884" s="702"/>
      <c r="P884" s="702"/>
    </row>
    <row r="885">
      <c r="O885" s="702"/>
      <c r="P885" s="702"/>
    </row>
    <row r="886">
      <c r="O886" s="702"/>
      <c r="P886" s="702"/>
    </row>
    <row r="887">
      <c r="O887" s="702"/>
      <c r="P887" s="702"/>
    </row>
    <row r="888">
      <c r="O888" s="702"/>
      <c r="P888" s="702"/>
    </row>
    <row r="889">
      <c r="O889" s="702"/>
      <c r="P889" s="702"/>
    </row>
    <row r="890">
      <c r="O890" s="702"/>
      <c r="P890" s="702"/>
    </row>
    <row r="891">
      <c r="O891" s="702"/>
      <c r="P891" s="702"/>
    </row>
    <row r="892">
      <c r="O892" s="702"/>
      <c r="P892" s="702"/>
    </row>
    <row r="893">
      <c r="O893" s="702"/>
      <c r="P893" s="702"/>
    </row>
    <row r="894">
      <c r="O894" s="702"/>
      <c r="P894" s="702"/>
    </row>
    <row r="895">
      <c r="O895" s="702"/>
      <c r="P895" s="702"/>
    </row>
    <row r="896">
      <c r="O896" s="702"/>
      <c r="P896" s="702"/>
    </row>
    <row r="897">
      <c r="O897" s="702"/>
      <c r="P897" s="702"/>
    </row>
    <row r="898">
      <c r="O898" s="702"/>
      <c r="P898" s="702"/>
    </row>
    <row r="899">
      <c r="O899" s="702"/>
      <c r="P899" s="702"/>
    </row>
    <row r="900">
      <c r="O900" s="702"/>
      <c r="P900" s="702"/>
    </row>
    <row r="901">
      <c r="O901" s="702"/>
      <c r="P901" s="702"/>
    </row>
    <row r="902">
      <c r="O902" s="702"/>
      <c r="P902" s="702"/>
    </row>
    <row r="903">
      <c r="O903" s="702"/>
      <c r="P903" s="702"/>
    </row>
    <row r="904">
      <c r="O904" s="702"/>
      <c r="P904" s="702"/>
    </row>
    <row r="905">
      <c r="O905" s="702"/>
      <c r="P905" s="702"/>
    </row>
    <row r="906">
      <c r="O906" s="702"/>
      <c r="P906" s="702"/>
    </row>
    <row r="907">
      <c r="O907" s="702"/>
      <c r="P907" s="702"/>
    </row>
    <row r="908">
      <c r="O908" s="702"/>
      <c r="P908" s="702"/>
    </row>
    <row r="909">
      <c r="O909" s="702"/>
      <c r="P909" s="702"/>
    </row>
    <row r="910">
      <c r="O910" s="702"/>
      <c r="P910" s="702"/>
    </row>
    <row r="911">
      <c r="O911" s="702"/>
      <c r="P911" s="702"/>
    </row>
    <row r="912">
      <c r="O912" s="702"/>
      <c r="P912" s="702"/>
    </row>
    <row r="913">
      <c r="O913" s="702"/>
      <c r="P913" s="702"/>
    </row>
    <row r="914">
      <c r="O914" s="702"/>
      <c r="P914" s="702"/>
    </row>
    <row r="915">
      <c r="O915" s="702"/>
      <c r="P915" s="702"/>
    </row>
    <row r="916">
      <c r="O916" s="702"/>
      <c r="P916" s="702"/>
    </row>
    <row r="917">
      <c r="O917" s="702"/>
      <c r="P917" s="702"/>
    </row>
    <row r="918">
      <c r="O918" s="702"/>
      <c r="P918" s="702"/>
    </row>
    <row r="919">
      <c r="O919" s="702"/>
      <c r="P919" s="702"/>
    </row>
    <row r="920">
      <c r="O920" s="702"/>
      <c r="P920" s="702"/>
    </row>
    <row r="921">
      <c r="O921" s="702"/>
      <c r="P921" s="702"/>
    </row>
    <row r="922">
      <c r="O922" s="702"/>
      <c r="P922" s="702"/>
    </row>
    <row r="923">
      <c r="O923" s="702"/>
      <c r="P923" s="702"/>
    </row>
    <row r="924">
      <c r="O924" s="702"/>
      <c r="P924" s="702"/>
    </row>
    <row r="925">
      <c r="O925" s="702"/>
      <c r="P925" s="702"/>
    </row>
    <row r="926">
      <c r="O926" s="702"/>
      <c r="P926" s="702"/>
    </row>
    <row r="927">
      <c r="O927" s="702"/>
      <c r="P927" s="702"/>
    </row>
    <row r="928">
      <c r="O928" s="702"/>
      <c r="P928" s="702"/>
    </row>
    <row r="929">
      <c r="O929" s="702"/>
      <c r="P929" s="702"/>
    </row>
    <row r="930">
      <c r="O930" s="702"/>
      <c r="P930" s="702"/>
    </row>
    <row r="931">
      <c r="O931" s="702"/>
      <c r="P931" s="702"/>
    </row>
    <row r="932">
      <c r="O932" s="702"/>
      <c r="P932" s="702"/>
    </row>
    <row r="933">
      <c r="O933" s="702"/>
      <c r="P933" s="702"/>
    </row>
    <row r="934">
      <c r="O934" s="702"/>
      <c r="P934" s="702"/>
    </row>
    <row r="935">
      <c r="O935" s="702"/>
      <c r="P935" s="702"/>
    </row>
    <row r="936">
      <c r="O936" s="702"/>
      <c r="P936" s="702"/>
    </row>
    <row r="937">
      <c r="O937" s="702"/>
      <c r="P937" s="702"/>
    </row>
    <row r="938">
      <c r="O938" s="702"/>
      <c r="P938" s="702"/>
    </row>
    <row r="939">
      <c r="O939" s="702"/>
      <c r="P939" s="702"/>
    </row>
    <row r="940">
      <c r="O940" s="702"/>
      <c r="P940" s="702"/>
    </row>
    <row r="941">
      <c r="O941" s="702"/>
      <c r="P941" s="702"/>
    </row>
    <row r="942">
      <c r="O942" s="702"/>
      <c r="P942" s="702"/>
    </row>
    <row r="943">
      <c r="O943" s="702"/>
      <c r="P943" s="702"/>
    </row>
    <row r="944">
      <c r="O944" s="702"/>
      <c r="P944" s="702"/>
    </row>
    <row r="945">
      <c r="O945" s="702"/>
      <c r="P945" s="702"/>
    </row>
    <row r="946">
      <c r="O946" s="702"/>
      <c r="P946" s="702"/>
    </row>
    <row r="947">
      <c r="O947" s="702"/>
      <c r="P947" s="702"/>
    </row>
    <row r="948">
      <c r="O948" s="702"/>
      <c r="P948" s="702"/>
    </row>
    <row r="949">
      <c r="O949" s="702"/>
      <c r="P949" s="702"/>
    </row>
    <row r="950">
      <c r="O950" s="702"/>
      <c r="P950" s="702"/>
    </row>
    <row r="951">
      <c r="O951" s="702"/>
      <c r="P951" s="702"/>
    </row>
    <row r="952">
      <c r="O952" s="702"/>
      <c r="P952" s="702"/>
    </row>
    <row r="953">
      <c r="O953" s="702"/>
      <c r="P953" s="702"/>
    </row>
    <row r="954">
      <c r="O954" s="702"/>
      <c r="P954" s="702"/>
    </row>
    <row r="955">
      <c r="O955" s="702"/>
      <c r="P955" s="702"/>
    </row>
    <row r="956">
      <c r="O956" s="702"/>
      <c r="P956" s="702"/>
    </row>
    <row r="957">
      <c r="O957" s="702"/>
      <c r="P957" s="702"/>
    </row>
    <row r="958">
      <c r="O958" s="702"/>
      <c r="P958" s="702"/>
    </row>
    <row r="959">
      <c r="O959" s="702"/>
      <c r="P959" s="702"/>
    </row>
    <row r="960">
      <c r="O960" s="702"/>
      <c r="P960" s="702"/>
    </row>
    <row r="961">
      <c r="O961" s="702"/>
      <c r="P961" s="702"/>
    </row>
    <row r="962">
      <c r="O962" s="702"/>
      <c r="P962" s="702"/>
    </row>
    <row r="963">
      <c r="O963" s="702"/>
      <c r="P963" s="702"/>
    </row>
    <row r="964">
      <c r="O964" s="702"/>
      <c r="P964" s="702"/>
    </row>
    <row r="965">
      <c r="O965" s="702"/>
      <c r="P965" s="702"/>
    </row>
    <row r="966">
      <c r="O966" s="702"/>
      <c r="P966" s="702"/>
    </row>
    <row r="967">
      <c r="O967" s="702"/>
      <c r="P967" s="702"/>
    </row>
    <row r="968">
      <c r="O968" s="702"/>
      <c r="P968" s="702"/>
    </row>
    <row r="969">
      <c r="O969" s="702"/>
      <c r="P969" s="702"/>
    </row>
    <row r="970">
      <c r="O970" s="702"/>
      <c r="P970" s="702"/>
    </row>
    <row r="971">
      <c r="O971" s="702"/>
      <c r="P971" s="702"/>
    </row>
    <row r="972">
      <c r="O972" s="702"/>
      <c r="P972" s="702"/>
    </row>
    <row r="973">
      <c r="O973" s="702"/>
      <c r="P973" s="702"/>
    </row>
    <row r="974">
      <c r="O974" s="702"/>
      <c r="P974" s="702"/>
    </row>
    <row r="975">
      <c r="O975" s="702"/>
      <c r="P975" s="702"/>
    </row>
    <row r="976">
      <c r="O976" s="702"/>
      <c r="P976" s="702"/>
    </row>
    <row r="977">
      <c r="O977" s="702"/>
      <c r="P977" s="702"/>
    </row>
    <row r="978">
      <c r="O978" s="702"/>
      <c r="P978" s="702"/>
    </row>
    <row r="979">
      <c r="O979" s="702"/>
      <c r="P979" s="702"/>
    </row>
    <row r="980">
      <c r="O980" s="702"/>
      <c r="P980" s="702"/>
    </row>
    <row r="981">
      <c r="O981" s="702"/>
      <c r="P981" s="702"/>
    </row>
    <row r="982">
      <c r="O982" s="702"/>
      <c r="P982" s="702"/>
    </row>
    <row r="983">
      <c r="O983" s="702"/>
      <c r="P983" s="702"/>
    </row>
    <row r="984">
      <c r="O984" s="702"/>
      <c r="P984" s="702"/>
    </row>
    <row r="985">
      <c r="O985" s="702"/>
      <c r="P985" s="702"/>
    </row>
    <row r="986">
      <c r="O986" s="702"/>
      <c r="P986" s="702"/>
    </row>
    <row r="987">
      <c r="O987" s="702"/>
      <c r="P987" s="702"/>
    </row>
    <row r="988">
      <c r="O988" s="702"/>
      <c r="P988" s="702"/>
    </row>
    <row r="989">
      <c r="O989" s="702"/>
      <c r="P989" s="702"/>
    </row>
    <row r="990">
      <c r="O990" s="702"/>
      <c r="P990" s="702"/>
    </row>
    <row r="991">
      <c r="O991" s="702"/>
      <c r="P991" s="702"/>
    </row>
    <row r="992">
      <c r="O992" s="702"/>
      <c r="P992" s="702"/>
    </row>
    <row r="993">
      <c r="O993" s="702"/>
      <c r="P993" s="702"/>
    </row>
    <row r="994">
      <c r="O994" s="702"/>
      <c r="P994" s="702"/>
    </row>
    <row r="995">
      <c r="O995" s="702"/>
      <c r="P995" s="702"/>
    </row>
    <row r="996">
      <c r="O996" s="702"/>
      <c r="P996" s="702"/>
    </row>
    <row r="997">
      <c r="O997" s="702"/>
      <c r="P997" s="702"/>
    </row>
    <row r="998">
      <c r="O998" s="702"/>
      <c r="P998" s="702"/>
    </row>
    <row r="999">
      <c r="O999" s="702"/>
      <c r="P999" s="702"/>
    </row>
    <row r="1000">
      <c r="O1000" s="702"/>
      <c r="P1000" s="702"/>
    </row>
  </sheetData>
  <mergeCells count="2">
    <mergeCell ref="D1:E1"/>
    <mergeCell ref="D11:E1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3.43"/>
  </cols>
  <sheetData>
    <row r="1">
      <c r="A1" s="703" t="s">
        <v>371</v>
      </c>
    </row>
    <row r="2">
      <c r="A2" s="704" t="s">
        <v>372</v>
      </c>
      <c r="M2" s="523">
        <v>2024.0</v>
      </c>
    </row>
    <row r="3">
      <c r="A3" s="705" t="s">
        <v>373</v>
      </c>
      <c r="B3" s="706">
        <v>44927.0</v>
      </c>
      <c r="C3" s="706">
        <v>44958.0</v>
      </c>
      <c r="D3" s="706">
        <v>44986.0</v>
      </c>
      <c r="E3" s="706">
        <v>45017.0</v>
      </c>
      <c r="F3" s="706">
        <v>45047.0</v>
      </c>
      <c r="G3" s="706">
        <v>45078.0</v>
      </c>
      <c r="H3" s="706">
        <v>45108.0</v>
      </c>
      <c r="I3" s="706">
        <v>45139.0</v>
      </c>
      <c r="J3" s="706">
        <v>45170.0</v>
      </c>
      <c r="K3" s="706">
        <v>45200.0</v>
      </c>
      <c r="L3" s="706">
        <v>45231.0</v>
      </c>
      <c r="M3" s="706">
        <v>45261.0</v>
      </c>
      <c r="N3" s="706">
        <v>45292.0</v>
      </c>
      <c r="O3" s="706">
        <v>45323.0</v>
      </c>
      <c r="P3" s="706">
        <v>45352.0</v>
      </c>
      <c r="Q3" s="706">
        <v>45383.0</v>
      </c>
      <c r="R3" s="706">
        <v>45413.0</v>
      </c>
      <c r="S3" s="706">
        <v>45444.0</v>
      </c>
      <c r="T3" s="706">
        <v>45474.0</v>
      </c>
      <c r="U3" s="706">
        <v>45505.0</v>
      </c>
      <c r="V3" s="706">
        <v>45536.0</v>
      </c>
      <c r="W3" s="706">
        <v>45566.0</v>
      </c>
      <c r="X3" s="706">
        <v>45597.0</v>
      </c>
      <c r="Y3" s="706">
        <v>45627.0</v>
      </c>
    </row>
    <row r="4">
      <c r="A4" s="707" t="s">
        <v>374</v>
      </c>
      <c r="B4" s="707" t="s">
        <v>375</v>
      </c>
      <c r="C4" s="707" t="s">
        <v>376</v>
      </c>
      <c r="D4" s="707" t="s">
        <v>377</v>
      </c>
      <c r="E4" s="707" t="s">
        <v>378</v>
      </c>
      <c r="F4" s="707" t="s">
        <v>379</v>
      </c>
      <c r="G4" s="707" t="s">
        <v>380</v>
      </c>
      <c r="H4" s="707" t="s">
        <v>381</v>
      </c>
      <c r="I4" s="707" t="s">
        <v>382</v>
      </c>
      <c r="J4" s="707" t="s">
        <v>383</v>
      </c>
      <c r="K4" s="707" t="s">
        <v>384</v>
      </c>
      <c r="L4" s="707" t="s">
        <v>385</v>
      </c>
      <c r="M4" s="707" t="s">
        <v>386</v>
      </c>
      <c r="N4" s="707" t="s">
        <v>387</v>
      </c>
      <c r="O4" s="707" t="s">
        <v>388</v>
      </c>
      <c r="P4" s="707" t="s">
        <v>389</v>
      </c>
      <c r="Q4" s="707" t="s">
        <v>390</v>
      </c>
      <c r="R4" s="707" t="s">
        <v>391</v>
      </c>
      <c r="S4" s="707">
        <v>123.0</v>
      </c>
      <c r="T4" s="707" t="s">
        <v>392</v>
      </c>
      <c r="U4" s="707" t="s">
        <v>393</v>
      </c>
      <c r="V4" s="707" t="s">
        <v>394</v>
      </c>
      <c r="W4" s="707" t="s">
        <v>395</v>
      </c>
      <c r="X4" s="707" t="s">
        <v>396</v>
      </c>
      <c r="Y4" s="707" t="s">
        <v>397</v>
      </c>
    </row>
    <row r="5">
      <c r="A5" s="708" t="s">
        <v>398</v>
      </c>
      <c r="B5" s="708" t="s">
        <v>257</v>
      </c>
      <c r="C5" s="708" t="s">
        <v>257</v>
      </c>
      <c r="D5" s="708" t="s">
        <v>399</v>
      </c>
      <c r="E5" s="708" t="s">
        <v>400</v>
      </c>
      <c r="F5" s="708" t="s">
        <v>401</v>
      </c>
      <c r="G5" s="708" t="s">
        <v>402</v>
      </c>
      <c r="H5" s="708" t="s">
        <v>403</v>
      </c>
      <c r="I5" s="708" t="s">
        <v>404</v>
      </c>
      <c r="J5" s="708" t="s">
        <v>405</v>
      </c>
      <c r="K5" s="708" t="s">
        <v>406</v>
      </c>
      <c r="L5" s="708" t="s">
        <v>407</v>
      </c>
      <c r="M5" s="708" t="s">
        <v>408</v>
      </c>
      <c r="N5" s="708" t="s">
        <v>409</v>
      </c>
      <c r="O5" s="708" t="s">
        <v>410</v>
      </c>
      <c r="P5" s="708" t="s">
        <v>411</v>
      </c>
      <c r="Q5" s="708" t="s">
        <v>412</v>
      </c>
      <c r="R5" s="708" t="s">
        <v>413</v>
      </c>
      <c r="S5" s="708" t="s">
        <v>414</v>
      </c>
      <c r="T5" s="708" t="s">
        <v>415</v>
      </c>
      <c r="U5" s="708" t="s">
        <v>416</v>
      </c>
      <c r="V5" s="708" t="s">
        <v>417</v>
      </c>
      <c r="W5" s="708" t="s">
        <v>418</v>
      </c>
      <c r="X5" s="708" t="s">
        <v>419</v>
      </c>
      <c r="Y5" s="708" t="s">
        <v>420</v>
      </c>
    </row>
    <row r="6">
      <c r="A6" s="707" t="s">
        <v>421</v>
      </c>
      <c r="B6" s="707" t="s">
        <v>257</v>
      </c>
      <c r="C6" s="707" t="s">
        <v>257</v>
      </c>
      <c r="D6" s="707" t="s">
        <v>422</v>
      </c>
      <c r="E6" s="707" t="s">
        <v>423</v>
      </c>
      <c r="F6" s="707" t="s">
        <v>424</v>
      </c>
      <c r="G6" s="707" t="s">
        <v>425</v>
      </c>
      <c r="H6" s="707" t="s">
        <v>426</v>
      </c>
      <c r="I6" s="707" t="s">
        <v>427</v>
      </c>
      <c r="J6" s="707" t="s">
        <v>428</v>
      </c>
      <c r="K6" s="707" t="s">
        <v>429</v>
      </c>
      <c r="L6" s="707" t="s">
        <v>430</v>
      </c>
      <c r="M6" s="707" t="s">
        <v>431</v>
      </c>
      <c r="N6" s="707" t="s">
        <v>432</v>
      </c>
      <c r="O6" s="707" t="s">
        <v>433</v>
      </c>
      <c r="P6" s="707" t="s">
        <v>434</v>
      </c>
      <c r="Q6" s="707" t="s">
        <v>435</v>
      </c>
      <c r="R6" s="707" t="s">
        <v>436</v>
      </c>
      <c r="S6" s="707" t="s">
        <v>437</v>
      </c>
      <c r="T6" s="707" t="s">
        <v>438</v>
      </c>
      <c r="U6" s="707" t="s">
        <v>439</v>
      </c>
      <c r="V6" s="707" t="s">
        <v>440</v>
      </c>
      <c r="W6" s="707" t="s">
        <v>441</v>
      </c>
      <c r="X6" s="707" t="s">
        <v>442</v>
      </c>
      <c r="Y6" s="707" t="s">
        <v>443</v>
      </c>
    </row>
    <row r="7">
      <c r="A7" s="708" t="s">
        <v>444</v>
      </c>
      <c r="B7" s="708" t="s">
        <v>257</v>
      </c>
      <c r="C7" s="708" t="s">
        <v>257</v>
      </c>
      <c r="D7" s="708" t="s">
        <v>257</v>
      </c>
      <c r="E7" s="708" t="s">
        <v>257</v>
      </c>
      <c r="F7" s="708" t="s">
        <v>257</v>
      </c>
      <c r="G7" s="708" t="s">
        <v>257</v>
      </c>
      <c r="H7" s="708" t="s">
        <v>257</v>
      </c>
      <c r="I7" s="708" t="s">
        <v>445</v>
      </c>
      <c r="J7" s="708" t="s">
        <v>446</v>
      </c>
      <c r="K7" s="709">
        <v>45802.0</v>
      </c>
      <c r="L7" s="708" t="s">
        <v>447</v>
      </c>
      <c r="M7" s="708" t="s">
        <v>448</v>
      </c>
      <c r="N7" s="708" t="s">
        <v>449</v>
      </c>
      <c r="O7" s="708" t="s">
        <v>450</v>
      </c>
      <c r="P7" s="708" t="s">
        <v>451</v>
      </c>
      <c r="Q7" s="708" t="s">
        <v>452</v>
      </c>
      <c r="R7" s="708" t="s">
        <v>453</v>
      </c>
      <c r="S7" s="708" t="s">
        <v>454</v>
      </c>
      <c r="T7" s="708" t="s">
        <v>455</v>
      </c>
      <c r="U7" s="708" t="s">
        <v>456</v>
      </c>
      <c r="V7" s="708" t="s">
        <v>457</v>
      </c>
      <c r="W7" s="708" t="s">
        <v>458</v>
      </c>
      <c r="X7" s="708" t="s">
        <v>459</v>
      </c>
      <c r="Y7" s="708" t="s">
        <v>460</v>
      </c>
    </row>
    <row r="8">
      <c r="A8" s="710" t="s">
        <v>192</v>
      </c>
      <c r="B8" s="710" t="s">
        <v>461</v>
      </c>
      <c r="C8" s="710" t="s">
        <v>462</v>
      </c>
      <c r="D8" s="710">
        <v>27860.0</v>
      </c>
      <c r="E8" s="710">
        <v>24227.0</v>
      </c>
      <c r="F8" s="710" t="s">
        <v>463</v>
      </c>
      <c r="G8" s="710">
        <v>23317.0</v>
      </c>
      <c r="H8" s="710" t="s">
        <v>464</v>
      </c>
      <c r="I8" s="710">
        <v>20663.86</v>
      </c>
      <c r="J8" s="710">
        <v>20827.73</v>
      </c>
      <c r="K8" s="710">
        <v>20190.0</v>
      </c>
      <c r="L8" s="710">
        <v>18563.64</v>
      </c>
      <c r="M8" s="710">
        <v>17653.33</v>
      </c>
      <c r="N8" s="710">
        <v>16368.86</v>
      </c>
      <c r="O8" s="710">
        <v>16151.0</v>
      </c>
      <c r="P8" s="710">
        <v>16021.67</v>
      </c>
      <c r="Q8" s="710">
        <v>17424.52</v>
      </c>
      <c r="R8" s="710">
        <v>17472.38</v>
      </c>
      <c r="S8" s="710">
        <v>18962.11</v>
      </c>
      <c r="T8" s="710">
        <v>18823.86</v>
      </c>
      <c r="U8" s="710">
        <v>16812.73</v>
      </c>
      <c r="V8" s="710">
        <v>15908.1</v>
      </c>
      <c r="W8" s="710">
        <v>16175.23</v>
      </c>
      <c r="X8" s="710">
        <v>17072.14</v>
      </c>
      <c r="Y8" s="710">
        <v>15822.95</v>
      </c>
      <c r="Z8" s="711"/>
    </row>
    <row r="9">
      <c r="A9" s="708" t="s">
        <v>465</v>
      </c>
      <c r="B9" s="708" t="s">
        <v>466</v>
      </c>
      <c r="C9" s="708" t="s">
        <v>467</v>
      </c>
      <c r="D9" s="708" t="s">
        <v>468</v>
      </c>
      <c r="E9" s="708" t="s">
        <v>469</v>
      </c>
      <c r="F9" s="708" t="s">
        <v>470</v>
      </c>
      <c r="G9" s="708">
        <v>34493.0</v>
      </c>
      <c r="H9" s="708">
        <v>29965.0</v>
      </c>
      <c r="I9" s="708">
        <v>31475.0</v>
      </c>
      <c r="J9" s="708" t="s">
        <v>471</v>
      </c>
      <c r="K9" s="708" t="s">
        <v>472</v>
      </c>
      <c r="L9" s="708" t="s">
        <v>473</v>
      </c>
      <c r="M9" s="708" t="s">
        <v>474</v>
      </c>
      <c r="N9" s="708">
        <v>31920.0</v>
      </c>
      <c r="O9" s="708" t="s">
        <v>475</v>
      </c>
      <c r="P9" s="708" t="s">
        <v>476</v>
      </c>
      <c r="Q9" s="708">
        <v>28220.0</v>
      </c>
      <c r="R9" s="708" t="s">
        <v>477</v>
      </c>
      <c r="S9" s="708" t="s">
        <v>478</v>
      </c>
      <c r="T9" s="708" t="s">
        <v>479</v>
      </c>
      <c r="U9" s="708" t="s">
        <v>480</v>
      </c>
      <c r="V9" s="708" t="s">
        <v>481</v>
      </c>
      <c r="W9" s="708">
        <v>24105.0</v>
      </c>
      <c r="X9" s="708" t="s">
        <v>482</v>
      </c>
      <c r="Y9" s="708" t="s">
        <v>483</v>
      </c>
    </row>
    <row r="10">
      <c r="A10" s="707" t="s">
        <v>484</v>
      </c>
      <c r="B10" s="712">
        <v>93748.0</v>
      </c>
      <c r="C10" s="707" t="s">
        <v>485</v>
      </c>
      <c r="D10" s="712">
        <v>78619.0</v>
      </c>
      <c r="E10" s="712">
        <v>71621.0</v>
      </c>
      <c r="F10" s="707" t="s">
        <v>486</v>
      </c>
      <c r="G10" s="713">
        <v>81086.0</v>
      </c>
      <c r="H10" s="707" t="s">
        <v>487</v>
      </c>
      <c r="I10" s="707" t="s">
        <v>488</v>
      </c>
      <c r="J10" s="713">
        <v>84982.0</v>
      </c>
      <c r="K10" s="707" t="s">
        <v>489</v>
      </c>
      <c r="L10" s="707" t="s">
        <v>490</v>
      </c>
      <c r="M10" s="707" t="s">
        <v>491</v>
      </c>
      <c r="N10" s="712">
        <v>71711.0</v>
      </c>
      <c r="O10" s="707" t="s">
        <v>492</v>
      </c>
      <c r="P10" s="712">
        <v>77219.0</v>
      </c>
      <c r="Q10" s="712">
        <v>69124.0</v>
      </c>
      <c r="R10" s="707" t="s">
        <v>493</v>
      </c>
      <c r="S10" s="707" t="s">
        <v>494</v>
      </c>
      <c r="T10" s="713">
        <v>108235.0</v>
      </c>
      <c r="U10" s="707" t="s">
        <v>495</v>
      </c>
      <c r="V10" s="707" t="s">
        <v>496</v>
      </c>
      <c r="W10" s="707">
        <v>2008.0</v>
      </c>
      <c r="X10" s="707" t="s">
        <v>497</v>
      </c>
      <c r="Y10" s="707" t="s">
        <v>498</v>
      </c>
    </row>
    <row r="11">
      <c r="A11" s="708" t="s">
        <v>499</v>
      </c>
      <c r="B11" s="708" t="s">
        <v>500</v>
      </c>
      <c r="C11" s="708" t="s">
        <v>501</v>
      </c>
      <c r="D11" s="714">
        <v>504434.0</v>
      </c>
      <c r="E11" s="708" t="s">
        <v>502</v>
      </c>
      <c r="F11" s="708" t="s">
        <v>503</v>
      </c>
      <c r="G11" s="715">
        <v>256433.0</v>
      </c>
      <c r="H11" s="708" t="s">
        <v>504</v>
      </c>
      <c r="I11" s="708" t="s">
        <v>505</v>
      </c>
      <c r="J11" s="715">
        <v>193336.0</v>
      </c>
      <c r="K11" s="708" t="s">
        <v>506</v>
      </c>
      <c r="L11" s="708" t="s">
        <v>507</v>
      </c>
      <c r="M11" s="708" t="s">
        <v>508</v>
      </c>
      <c r="N11" s="708" t="s">
        <v>509</v>
      </c>
      <c r="O11" s="715">
        <v>231686.0</v>
      </c>
      <c r="P11" s="708" t="s">
        <v>510</v>
      </c>
      <c r="Q11" s="708" t="s">
        <v>511</v>
      </c>
      <c r="R11" s="715">
        <v>254302.0</v>
      </c>
      <c r="S11" s="708" t="s">
        <v>512</v>
      </c>
      <c r="T11" s="708" t="s">
        <v>513</v>
      </c>
      <c r="U11" s="714">
        <v>351121.0</v>
      </c>
      <c r="V11" s="708" t="s">
        <v>514</v>
      </c>
      <c r="W11" s="715">
        <v>327564.0</v>
      </c>
      <c r="X11" s="708" t="s">
        <v>515</v>
      </c>
      <c r="Y11" s="708" t="s">
        <v>516</v>
      </c>
    </row>
    <row r="12">
      <c r="A12" s="707" t="s">
        <v>517</v>
      </c>
      <c r="B12" s="707" t="s">
        <v>518</v>
      </c>
      <c r="C12" s="707" t="s">
        <v>519</v>
      </c>
      <c r="D12" s="707" t="s">
        <v>520</v>
      </c>
      <c r="E12" s="712">
        <v>151059.0</v>
      </c>
      <c r="F12" s="707" t="s">
        <v>521</v>
      </c>
      <c r="G12" s="713">
        <v>148714.0</v>
      </c>
      <c r="H12" s="707" t="s">
        <v>522</v>
      </c>
      <c r="I12" s="707" t="s">
        <v>523</v>
      </c>
      <c r="J12" s="707" t="s">
        <v>524</v>
      </c>
      <c r="K12" s="707" t="s">
        <v>525</v>
      </c>
      <c r="L12" s="713">
        <v>110121.0</v>
      </c>
      <c r="M12" s="712">
        <v>111491.0</v>
      </c>
      <c r="N12" s="713">
        <v>92955.0</v>
      </c>
      <c r="O12" s="707" t="s">
        <v>526</v>
      </c>
      <c r="P12" s="707">
        <v>2195.0</v>
      </c>
      <c r="Q12" s="713">
        <v>104947.0</v>
      </c>
      <c r="R12" s="707" t="s">
        <v>527</v>
      </c>
      <c r="S12" s="713">
        <v>233604.0</v>
      </c>
      <c r="T12" s="707" t="s">
        <v>528</v>
      </c>
      <c r="U12" s="707" t="s">
        <v>529</v>
      </c>
      <c r="V12" s="712">
        <v>125645.0</v>
      </c>
      <c r="W12" s="707" t="s">
        <v>530</v>
      </c>
      <c r="X12" s="712">
        <v>245200.0</v>
      </c>
      <c r="Y12" s="707" t="s">
        <v>531</v>
      </c>
    </row>
    <row r="13">
      <c r="A13" s="708" t="s">
        <v>532</v>
      </c>
      <c r="B13" s="708" t="s">
        <v>533</v>
      </c>
      <c r="C13" s="708" t="s">
        <v>534</v>
      </c>
      <c r="D13" s="708" t="s">
        <v>535</v>
      </c>
      <c r="E13" s="715">
        <v>2535881.0</v>
      </c>
      <c r="F13" s="708" t="s">
        <v>536</v>
      </c>
      <c r="G13" s="708" t="s">
        <v>537</v>
      </c>
      <c r="H13" s="715">
        <v>2318196.0</v>
      </c>
      <c r="I13" s="708" t="s">
        <v>538</v>
      </c>
      <c r="J13" s="708" t="s">
        <v>539</v>
      </c>
      <c r="K13" s="708" t="s">
        <v>540</v>
      </c>
      <c r="L13" s="708" t="s">
        <v>541</v>
      </c>
      <c r="M13" s="708" t="s">
        <v>542</v>
      </c>
      <c r="N13" s="708" t="s">
        <v>543</v>
      </c>
      <c r="O13" s="708" t="s">
        <v>544</v>
      </c>
      <c r="P13" s="708" t="s">
        <v>545</v>
      </c>
      <c r="Q13" s="708" t="s">
        <v>546</v>
      </c>
      <c r="R13" s="715">
        <v>2642500.0</v>
      </c>
      <c r="S13" s="708" t="s">
        <v>547</v>
      </c>
      <c r="T13" s="708" t="s">
        <v>548</v>
      </c>
      <c r="U13" s="715">
        <v>2805003.0</v>
      </c>
      <c r="V13" s="714">
        <v>2557976.0</v>
      </c>
      <c r="W13" s="708" t="s">
        <v>549</v>
      </c>
      <c r="X13" s="708">
        <v>9617.0</v>
      </c>
      <c r="Y13" s="708" t="s">
        <v>550</v>
      </c>
    </row>
    <row r="14">
      <c r="A14" s="707" t="s">
        <v>551</v>
      </c>
      <c r="B14" s="713" t="s">
        <v>552</v>
      </c>
      <c r="C14" s="707" t="s">
        <v>553</v>
      </c>
      <c r="D14" s="707" t="s">
        <v>554</v>
      </c>
      <c r="E14" s="707" t="s">
        <v>555</v>
      </c>
      <c r="F14" s="707" t="s">
        <v>556</v>
      </c>
      <c r="G14" s="707" t="s">
        <v>557</v>
      </c>
      <c r="H14" s="707" t="s">
        <v>558</v>
      </c>
      <c r="I14" s="707" t="s">
        <v>559</v>
      </c>
      <c r="J14" s="707" t="s">
        <v>560</v>
      </c>
      <c r="K14" s="707" t="s">
        <v>561</v>
      </c>
      <c r="L14" s="707" t="s">
        <v>562</v>
      </c>
      <c r="M14" s="707" t="s">
        <v>563</v>
      </c>
      <c r="N14" s="707" t="s">
        <v>564</v>
      </c>
      <c r="O14" s="713">
        <v>52475.0</v>
      </c>
      <c r="P14" s="707" t="s">
        <v>565</v>
      </c>
      <c r="Q14" s="707" t="s">
        <v>566</v>
      </c>
      <c r="R14" s="707" t="s">
        <v>567</v>
      </c>
      <c r="S14" s="712">
        <v>158242.0</v>
      </c>
      <c r="T14" s="707" t="s">
        <v>568</v>
      </c>
      <c r="U14" s="707" t="s">
        <v>569</v>
      </c>
      <c r="V14" s="707" t="s">
        <v>570</v>
      </c>
      <c r="W14" s="707" t="s">
        <v>571</v>
      </c>
      <c r="X14" s="707" t="s">
        <v>572</v>
      </c>
      <c r="Y14" s="707" t="s">
        <v>573</v>
      </c>
    </row>
    <row r="15">
      <c r="A15" s="708" t="s">
        <v>574</v>
      </c>
      <c r="B15" s="708" t="s">
        <v>575</v>
      </c>
      <c r="C15" s="708" t="s">
        <v>576</v>
      </c>
      <c r="D15" s="708" t="s">
        <v>577</v>
      </c>
      <c r="E15" s="708" t="s">
        <v>578</v>
      </c>
      <c r="F15" s="716">
        <v>45771.0</v>
      </c>
      <c r="G15" s="708" t="s">
        <v>579</v>
      </c>
      <c r="H15" s="708" t="s">
        <v>580</v>
      </c>
      <c r="I15" s="708" t="s">
        <v>581</v>
      </c>
      <c r="J15" s="708" t="s">
        <v>582</v>
      </c>
      <c r="K15" s="708" t="s">
        <v>583</v>
      </c>
      <c r="L15" s="708" t="s">
        <v>584</v>
      </c>
      <c r="M15" s="708" t="s">
        <v>585</v>
      </c>
      <c r="N15" s="716">
        <v>45740.0</v>
      </c>
      <c r="O15" s="708" t="s">
        <v>586</v>
      </c>
      <c r="P15" s="709">
        <v>45860.0</v>
      </c>
      <c r="Q15" s="708" t="s">
        <v>587</v>
      </c>
      <c r="R15" s="708" t="s">
        <v>588</v>
      </c>
      <c r="S15" s="708" t="s">
        <v>589</v>
      </c>
      <c r="T15" s="708" t="s">
        <v>590</v>
      </c>
      <c r="U15" s="708" t="s">
        <v>591</v>
      </c>
      <c r="V15" s="709">
        <v>45685.0</v>
      </c>
      <c r="W15" s="708" t="s">
        <v>592</v>
      </c>
      <c r="X15" s="708" t="s">
        <v>593</v>
      </c>
      <c r="Y15" s="708" t="s">
        <v>594</v>
      </c>
    </row>
    <row r="16">
      <c r="A16" s="707" t="s">
        <v>595</v>
      </c>
      <c r="B16" s="717">
        <v>45873.0</v>
      </c>
      <c r="C16" s="717">
        <v>45873.0</v>
      </c>
      <c r="D16" s="717">
        <v>45873.0</v>
      </c>
      <c r="E16" s="717">
        <v>45873.0</v>
      </c>
      <c r="F16" s="718">
        <v>45661.0</v>
      </c>
      <c r="G16" s="707" t="s">
        <v>596</v>
      </c>
      <c r="H16" s="717">
        <v>45692.0</v>
      </c>
      <c r="I16" s="707" t="s">
        <v>597</v>
      </c>
      <c r="J16" s="707" t="s">
        <v>598</v>
      </c>
      <c r="K16" s="707" t="s">
        <v>599</v>
      </c>
      <c r="L16" s="707" t="s">
        <v>600</v>
      </c>
      <c r="M16" s="707" t="s">
        <v>601</v>
      </c>
      <c r="N16" s="707" t="s">
        <v>602</v>
      </c>
      <c r="O16" s="707" t="s">
        <v>603</v>
      </c>
      <c r="P16" s="707" t="s">
        <v>602</v>
      </c>
      <c r="Q16" s="707" t="s">
        <v>602</v>
      </c>
      <c r="R16" s="707" t="s">
        <v>604</v>
      </c>
      <c r="S16" s="707" t="s">
        <v>605</v>
      </c>
      <c r="T16" s="707" t="s">
        <v>605</v>
      </c>
      <c r="U16" s="707" t="s">
        <v>606</v>
      </c>
      <c r="V16" s="707" t="s">
        <v>607</v>
      </c>
      <c r="W16" s="707" t="s">
        <v>608</v>
      </c>
      <c r="X16" s="707" t="s">
        <v>609</v>
      </c>
      <c r="Y16" s="707" t="s">
        <v>610</v>
      </c>
    </row>
    <row r="17">
      <c r="A17" s="708" t="s">
        <v>611</v>
      </c>
      <c r="B17" s="708" t="s">
        <v>612</v>
      </c>
      <c r="C17" s="708" t="s">
        <v>613</v>
      </c>
      <c r="D17" s="708" t="s">
        <v>614</v>
      </c>
      <c r="E17" s="708" t="s">
        <v>615</v>
      </c>
      <c r="F17" s="708" t="s">
        <v>616</v>
      </c>
      <c r="G17" s="708" t="s">
        <v>617</v>
      </c>
      <c r="H17" s="708" t="s">
        <v>617</v>
      </c>
      <c r="I17" s="708" t="s">
        <v>618</v>
      </c>
      <c r="J17" s="709">
        <v>45809.0</v>
      </c>
      <c r="K17" s="708" t="s">
        <v>619</v>
      </c>
      <c r="L17" s="708" t="s">
        <v>620</v>
      </c>
      <c r="M17" s="708" t="s">
        <v>621</v>
      </c>
      <c r="N17" s="708">
        <v>2.0</v>
      </c>
      <c r="O17" s="716">
        <v>45749.0</v>
      </c>
      <c r="P17" s="708" t="s">
        <v>622</v>
      </c>
      <c r="Q17" s="708" t="s">
        <v>623</v>
      </c>
      <c r="R17" s="708" t="s">
        <v>624</v>
      </c>
      <c r="S17" s="708" t="s">
        <v>619</v>
      </c>
      <c r="T17" s="708" t="s">
        <v>625</v>
      </c>
      <c r="U17" s="708" t="s">
        <v>617</v>
      </c>
      <c r="V17" s="708" t="s">
        <v>626</v>
      </c>
      <c r="W17" s="708" t="s">
        <v>627</v>
      </c>
      <c r="X17" s="708" t="s">
        <v>626</v>
      </c>
      <c r="Y17" s="708" t="s">
        <v>628</v>
      </c>
    </row>
    <row r="18">
      <c r="A18" s="707" t="s">
        <v>629</v>
      </c>
      <c r="B18" s="707" t="s">
        <v>630</v>
      </c>
      <c r="C18" s="707" t="s">
        <v>631</v>
      </c>
      <c r="D18" s="717">
        <v>45721.0</v>
      </c>
      <c r="E18" s="707" t="s">
        <v>632</v>
      </c>
      <c r="F18" s="717">
        <v>45874.0</v>
      </c>
      <c r="G18" s="707" t="s">
        <v>633</v>
      </c>
      <c r="H18" s="718">
        <v>45905.0</v>
      </c>
      <c r="I18" s="707" t="s">
        <v>634</v>
      </c>
      <c r="J18" s="718">
        <v>45663.0</v>
      </c>
      <c r="K18" s="707" t="s">
        <v>635</v>
      </c>
      <c r="L18" s="707" t="s">
        <v>636</v>
      </c>
      <c r="M18" s="707" t="s">
        <v>637</v>
      </c>
      <c r="N18" s="707" t="s">
        <v>638</v>
      </c>
      <c r="O18" s="707" t="s">
        <v>636</v>
      </c>
      <c r="P18" s="707" t="s">
        <v>636</v>
      </c>
      <c r="Q18" s="707" t="s">
        <v>636</v>
      </c>
      <c r="R18" s="707" t="s">
        <v>636</v>
      </c>
      <c r="S18" s="707" t="s">
        <v>636</v>
      </c>
      <c r="T18" s="707" t="s">
        <v>636</v>
      </c>
      <c r="U18" s="707" t="s">
        <v>636</v>
      </c>
      <c r="V18" s="707" t="s">
        <v>636</v>
      </c>
      <c r="W18" s="707" t="s">
        <v>636</v>
      </c>
      <c r="X18" s="707" t="s">
        <v>636</v>
      </c>
      <c r="Y18" s="707" t="s">
        <v>636</v>
      </c>
    </row>
    <row r="19">
      <c r="A19" s="708" t="s">
        <v>639</v>
      </c>
      <c r="B19" s="708" t="s">
        <v>640</v>
      </c>
      <c r="C19" s="708" t="s">
        <v>641</v>
      </c>
      <c r="D19" s="708" t="s">
        <v>642</v>
      </c>
      <c r="E19" s="708" t="s">
        <v>643</v>
      </c>
      <c r="F19" s="708" t="s">
        <v>644</v>
      </c>
      <c r="G19" s="709">
        <v>45785.0</v>
      </c>
      <c r="H19" s="716">
        <v>45724.0</v>
      </c>
      <c r="I19" s="708" t="s">
        <v>645</v>
      </c>
      <c r="J19" s="708" t="s">
        <v>646</v>
      </c>
      <c r="K19" s="708" t="s">
        <v>647</v>
      </c>
      <c r="L19" s="708" t="s">
        <v>647</v>
      </c>
      <c r="M19" s="708" t="s">
        <v>648</v>
      </c>
      <c r="N19" s="708" t="s">
        <v>649</v>
      </c>
      <c r="O19" s="708" t="s">
        <v>650</v>
      </c>
      <c r="P19" s="708" t="s">
        <v>651</v>
      </c>
      <c r="Q19" s="708" t="s">
        <v>652</v>
      </c>
      <c r="R19" s="708" t="s">
        <v>653</v>
      </c>
      <c r="S19" s="708" t="s">
        <v>654</v>
      </c>
      <c r="T19" s="708" t="s">
        <v>655</v>
      </c>
      <c r="U19" s="708" t="s">
        <v>656</v>
      </c>
      <c r="V19" s="708" t="s">
        <v>657</v>
      </c>
      <c r="W19" s="708" t="s">
        <v>658</v>
      </c>
      <c r="X19" s="708" t="s">
        <v>659</v>
      </c>
      <c r="Y19" s="708" t="s">
        <v>660</v>
      </c>
    </row>
    <row r="20">
      <c r="A20" s="707" t="s">
        <v>661</v>
      </c>
      <c r="B20" s="718">
        <v>45702.0</v>
      </c>
      <c r="C20" s="707" t="s">
        <v>662</v>
      </c>
      <c r="D20" s="707" t="s">
        <v>663</v>
      </c>
      <c r="E20" s="707" t="s">
        <v>663</v>
      </c>
      <c r="F20" s="707" t="s">
        <v>664</v>
      </c>
      <c r="G20" s="718">
        <v>45914.0</v>
      </c>
      <c r="H20" s="707" t="s">
        <v>665</v>
      </c>
      <c r="I20" s="707" t="s">
        <v>666</v>
      </c>
      <c r="J20" s="707" t="s">
        <v>667</v>
      </c>
      <c r="K20" s="718">
        <v>45759.0</v>
      </c>
      <c r="L20" s="707" t="s">
        <v>668</v>
      </c>
      <c r="M20" s="717">
        <v>45728.0</v>
      </c>
      <c r="N20" s="707" t="s">
        <v>669</v>
      </c>
      <c r="O20" s="707" t="s">
        <v>670</v>
      </c>
      <c r="P20" s="718">
        <v>45728.0</v>
      </c>
      <c r="Q20" s="707" t="s">
        <v>671</v>
      </c>
      <c r="R20" s="707" t="s">
        <v>672</v>
      </c>
      <c r="S20" s="707" t="s">
        <v>668</v>
      </c>
      <c r="T20" s="707" t="s">
        <v>673</v>
      </c>
      <c r="U20" s="707" t="s">
        <v>674</v>
      </c>
      <c r="V20" s="707" t="s">
        <v>675</v>
      </c>
      <c r="W20" s="718">
        <v>45849.0</v>
      </c>
      <c r="X20" s="707" t="s">
        <v>676</v>
      </c>
      <c r="Y20" s="718">
        <v>46002.0</v>
      </c>
    </row>
    <row r="22">
      <c r="B22" s="523">
        <v>2023.0</v>
      </c>
      <c r="F22" s="523">
        <v>2024.0</v>
      </c>
    </row>
    <row r="23">
      <c r="A23" s="523" t="s">
        <v>677</v>
      </c>
      <c r="B23" s="523" t="s">
        <v>678</v>
      </c>
      <c r="C23" s="523" t="s">
        <v>679</v>
      </c>
      <c r="D23" s="523" t="s">
        <v>680</v>
      </c>
      <c r="E23" s="523" t="s">
        <v>681</v>
      </c>
      <c r="F23" s="523" t="s">
        <v>678</v>
      </c>
      <c r="G23" s="523" t="s">
        <v>679</v>
      </c>
      <c r="H23" s="523" t="s">
        <v>680</v>
      </c>
      <c r="I23" s="523" t="s">
        <v>681</v>
      </c>
    </row>
    <row r="24">
      <c r="B24" s="529">
        <f>average(B8:D8)</f>
        <v>27860</v>
      </c>
      <c r="C24" s="529">
        <f>average(E8:G8)</f>
        <v>23772</v>
      </c>
      <c r="D24" s="529">
        <f>average(H8:J8)</f>
        <v>20745.795</v>
      </c>
      <c r="E24" s="529">
        <f>average(K8:M8)</f>
        <v>18802.32333</v>
      </c>
      <c r="F24" s="529">
        <f>average(N8:P8)</f>
        <v>16180.51</v>
      </c>
      <c r="G24" s="529">
        <f>average(Q8:S8)</f>
        <v>17953.00333</v>
      </c>
      <c r="H24" s="529">
        <f>average(T8:V8)</f>
        <v>17181.56333</v>
      </c>
      <c r="I24" s="529">
        <f>average(W8:Y8)</f>
        <v>16356.77333</v>
      </c>
    </row>
    <row r="25">
      <c r="A25" s="523" t="s">
        <v>183</v>
      </c>
      <c r="B25" s="719"/>
      <c r="C25" s="720">
        <f t="shared" ref="C25:I25" si="1">C24/B24*100-100</f>
        <v>-14.67336683</v>
      </c>
      <c r="D25" s="720">
        <f t="shared" si="1"/>
        <v>-12.73012367</v>
      </c>
      <c r="E25" s="720">
        <f t="shared" si="1"/>
        <v>-9.36802695</v>
      </c>
      <c r="F25" s="720">
        <f t="shared" si="1"/>
        <v>-13.94409237</v>
      </c>
      <c r="G25" s="720">
        <f t="shared" si="1"/>
        <v>10.95449608</v>
      </c>
      <c r="H25" s="720">
        <f t="shared" si="1"/>
        <v>-4.296996918</v>
      </c>
      <c r="I25" s="720">
        <f t="shared" si="1"/>
        <v>-4.800436282</v>
      </c>
    </row>
    <row r="26">
      <c r="A26" s="523" t="s">
        <v>185</v>
      </c>
      <c r="B26" s="719"/>
      <c r="C26" s="720"/>
      <c r="D26" s="721"/>
      <c r="E26" s="527"/>
      <c r="F26" s="721">
        <f t="shared" ref="F26:I26" si="2">F24/B24</f>
        <v>0.5807792534</v>
      </c>
      <c r="G26" s="721">
        <f t="shared" si="2"/>
        <v>0.755216361</v>
      </c>
      <c r="H26" s="721">
        <f t="shared" si="2"/>
        <v>0.8281949828</v>
      </c>
      <c r="I26" s="722">
        <f t="shared" si="2"/>
        <v>0.869933627</v>
      </c>
    </row>
    <row r="27">
      <c r="A27" s="523" t="s">
        <v>186</v>
      </c>
      <c r="B27" s="719"/>
      <c r="C27" s="720"/>
      <c r="D27" s="721"/>
      <c r="E27" s="527"/>
      <c r="F27" s="721">
        <f>F24/B24*100-100</f>
        <v>-41.92207466</v>
      </c>
      <c r="G27" s="720">
        <f>(sum(F24:G24)/sum(B24:C24))*100-100</f>
        <v>-33.89077833</v>
      </c>
      <c r="H27" s="721">
        <f>(sum(F24:H24)/sum(B24:D24))*100-100</f>
        <v>-29.10107766</v>
      </c>
      <c r="I27" s="721">
        <f>(sum(F24:I24)/sum(B24:E24))*100-100</f>
        <v>-25.78223056</v>
      </c>
    </row>
  </sheetData>
  <hyperlinks>
    <hyperlink r:id="rId1" ref="A1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723" t="s">
        <v>682</v>
      </c>
      <c r="B1" s="724"/>
      <c r="C1" s="724"/>
      <c r="D1" s="724"/>
      <c r="E1" s="724"/>
      <c r="F1" s="724"/>
      <c r="G1" s="724"/>
      <c r="H1" s="724"/>
      <c r="I1" s="724"/>
      <c r="J1" s="724"/>
      <c r="K1" s="724"/>
      <c r="L1" s="724"/>
      <c r="M1" s="724"/>
      <c r="N1" s="724"/>
      <c r="O1" s="724"/>
      <c r="P1" s="725"/>
      <c r="Q1" s="724"/>
      <c r="R1" s="724"/>
      <c r="S1" s="724"/>
      <c r="T1" s="724"/>
      <c r="U1" s="724"/>
      <c r="V1" s="724"/>
      <c r="W1" s="724"/>
      <c r="X1" s="724"/>
      <c r="Y1" s="724"/>
      <c r="Z1" s="724"/>
      <c r="AA1" s="724"/>
      <c r="AB1" s="724"/>
      <c r="AC1" s="724"/>
      <c r="AD1" s="724"/>
    </row>
    <row r="2">
      <c r="A2" s="724"/>
      <c r="B2" s="726"/>
      <c r="C2" s="726"/>
      <c r="D2" s="727">
        <v>2023.0</v>
      </c>
      <c r="E2" s="506"/>
      <c r="F2" s="506"/>
      <c r="G2" s="506"/>
      <c r="H2" s="506"/>
      <c r="I2" s="506"/>
      <c r="J2" s="506"/>
      <c r="K2" s="506"/>
      <c r="L2" s="506"/>
      <c r="M2" s="506"/>
      <c r="N2" s="506"/>
      <c r="O2" s="507"/>
      <c r="P2" s="727">
        <v>2024.0</v>
      </c>
      <c r="Q2" s="506"/>
      <c r="R2" s="506"/>
      <c r="S2" s="506"/>
      <c r="T2" s="506"/>
      <c r="U2" s="506"/>
      <c r="V2" s="506"/>
      <c r="W2" s="506"/>
      <c r="X2" s="506"/>
      <c r="Y2" s="506"/>
      <c r="Z2" s="506"/>
      <c r="AA2" s="507"/>
      <c r="AB2" s="724"/>
      <c r="AC2" s="724"/>
      <c r="AD2" s="724"/>
    </row>
    <row r="3">
      <c r="A3" s="724"/>
      <c r="B3" s="728" t="s">
        <v>683</v>
      </c>
      <c r="C3" s="507"/>
      <c r="D3" s="729" t="s">
        <v>130</v>
      </c>
      <c r="E3" s="729" t="s">
        <v>131</v>
      </c>
      <c r="F3" s="729" t="s">
        <v>684</v>
      </c>
      <c r="G3" s="729" t="s">
        <v>685</v>
      </c>
      <c r="H3" s="729" t="s">
        <v>134</v>
      </c>
      <c r="I3" s="729" t="s">
        <v>686</v>
      </c>
      <c r="J3" s="729" t="s">
        <v>687</v>
      </c>
      <c r="K3" s="729" t="s">
        <v>688</v>
      </c>
      <c r="L3" s="729" t="s">
        <v>689</v>
      </c>
      <c r="M3" s="729" t="s">
        <v>139</v>
      </c>
      <c r="N3" s="729" t="s">
        <v>140</v>
      </c>
      <c r="O3" s="729" t="s">
        <v>141</v>
      </c>
      <c r="P3" s="729" t="s">
        <v>130</v>
      </c>
      <c r="Q3" s="729" t="s">
        <v>131</v>
      </c>
      <c r="R3" s="729" t="s">
        <v>132</v>
      </c>
      <c r="S3" s="729" t="s">
        <v>133</v>
      </c>
      <c r="T3" s="729" t="s">
        <v>690</v>
      </c>
      <c r="U3" s="729" t="s">
        <v>135</v>
      </c>
      <c r="V3" s="729" t="s">
        <v>687</v>
      </c>
      <c r="W3" s="729" t="s">
        <v>688</v>
      </c>
      <c r="X3" s="729" t="s">
        <v>689</v>
      </c>
      <c r="Y3" s="729" t="s">
        <v>139</v>
      </c>
      <c r="Z3" s="729" t="s">
        <v>140</v>
      </c>
      <c r="AA3" s="729" t="s">
        <v>141</v>
      </c>
      <c r="AB3" s="724"/>
      <c r="AC3" s="724"/>
      <c r="AD3" s="730"/>
    </row>
    <row r="4">
      <c r="A4" s="730">
        <v>7404.0</v>
      </c>
      <c r="B4" s="731" t="s">
        <v>691</v>
      </c>
      <c r="C4" s="732" t="s">
        <v>692</v>
      </c>
      <c r="D4" s="733"/>
      <c r="E4" s="733"/>
      <c r="F4" s="733" t="s">
        <v>693</v>
      </c>
      <c r="G4" s="733" t="s">
        <v>694</v>
      </c>
      <c r="H4" s="733" t="s">
        <v>695</v>
      </c>
      <c r="I4" s="733">
        <v>52077.0</v>
      </c>
      <c r="J4" s="733">
        <v>52888.0</v>
      </c>
      <c r="K4" s="733">
        <v>69546.0</v>
      </c>
      <c r="L4" s="733">
        <v>201751.0</v>
      </c>
      <c r="M4" s="733">
        <v>198424.0</v>
      </c>
      <c r="N4" s="734"/>
      <c r="O4" s="734"/>
      <c r="P4" s="726"/>
      <c r="Q4" s="726"/>
      <c r="R4" s="733">
        <v>204236.0</v>
      </c>
      <c r="S4" s="733">
        <v>144837.0</v>
      </c>
      <c r="T4" s="733">
        <v>125755.0</v>
      </c>
      <c r="U4" s="733">
        <v>111597.0</v>
      </c>
      <c r="V4" s="733">
        <v>120480.0</v>
      </c>
      <c r="W4" s="735">
        <v>137054.0</v>
      </c>
      <c r="X4" s="736">
        <v>253816.0</v>
      </c>
      <c r="Y4" s="726"/>
      <c r="Z4" s="726"/>
      <c r="AA4" s="726"/>
      <c r="AB4" s="730"/>
      <c r="AC4" s="730"/>
      <c r="AD4" s="725"/>
    </row>
    <row r="5">
      <c r="A5" s="724"/>
      <c r="B5" s="513"/>
      <c r="C5" s="732" t="s">
        <v>696</v>
      </c>
      <c r="D5" s="733"/>
      <c r="E5" s="733"/>
      <c r="F5" s="733" t="s">
        <v>697</v>
      </c>
      <c r="G5" s="733" t="s">
        <v>698</v>
      </c>
      <c r="H5" s="733" t="s">
        <v>699</v>
      </c>
      <c r="I5" s="733">
        <v>12446.59</v>
      </c>
      <c r="J5" s="733">
        <v>10705.39</v>
      </c>
      <c r="K5" s="733">
        <v>14670.48</v>
      </c>
      <c r="L5" s="733">
        <v>25466.79</v>
      </c>
      <c r="M5" s="733">
        <v>36133.74</v>
      </c>
      <c r="N5" s="734"/>
      <c r="O5" s="734"/>
      <c r="P5" s="726"/>
      <c r="Q5" s="726"/>
      <c r="R5" s="733">
        <v>28198.0</v>
      </c>
      <c r="S5" s="733">
        <v>14879.0</v>
      </c>
      <c r="T5" s="733">
        <v>17445.0</v>
      </c>
      <c r="U5" s="733">
        <v>8909.0</v>
      </c>
      <c r="V5" s="733">
        <v>18041.0</v>
      </c>
      <c r="W5" s="735">
        <v>18686.0</v>
      </c>
      <c r="X5" s="736">
        <v>41860.0</v>
      </c>
      <c r="Y5" s="726"/>
      <c r="Z5" s="726"/>
      <c r="AA5" s="726"/>
      <c r="AB5" s="730"/>
      <c r="AC5" s="730"/>
      <c r="AD5" s="725"/>
    </row>
    <row r="6">
      <c r="A6" s="724"/>
      <c r="B6" s="55"/>
      <c r="C6" s="732" t="s">
        <v>700</v>
      </c>
      <c r="D6" s="733"/>
      <c r="E6" s="733"/>
      <c r="F6" s="733" t="s">
        <v>701</v>
      </c>
      <c r="G6" s="733" t="s">
        <v>702</v>
      </c>
      <c r="H6" s="733" t="s">
        <v>703</v>
      </c>
      <c r="I6" s="733">
        <v>239.0</v>
      </c>
      <c r="J6" s="733">
        <v>202.42</v>
      </c>
      <c r="K6" s="733">
        <v>210.95</v>
      </c>
      <c r="L6" s="733">
        <v>126.23</v>
      </c>
      <c r="M6" s="733">
        <v>182.1</v>
      </c>
      <c r="N6" s="734"/>
      <c r="O6" s="734"/>
      <c r="P6" s="726"/>
      <c r="Q6" s="726"/>
      <c r="R6" s="733">
        <v>138063.0</v>
      </c>
      <c r="S6" s="733">
        <v>102727.0</v>
      </c>
      <c r="T6" s="733">
        <v>138721.0</v>
      </c>
      <c r="U6" s="733">
        <v>79834.0</v>
      </c>
      <c r="V6" s="733">
        <v>149740.0</v>
      </c>
      <c r="W6" s="735">
        <v>136339.0</v>
      </c>
      <c r="X6" s="736">
        <v>164923.0</v>
      </c>
      <c r="Y6" s="726"/>
      <c r="Z6" s="726"/>
      <c r="AA6" s="726"/>
      <c r="AB6" s="730"/>
      <c r="AC6" s="730"/>
      <c r="AD6" s="725"/>
    </row>
    <row r="7">
      <c r="A7" s="724"/>
      <c r="B7" s="731" t="s">
        <v>704</v>
      </c>
      <c r="C7" s="732" t="s">
        <v>705</v>
      </c>
      <c r="D7" s="733" t="s">
        <v>706</v>
      </c>
      <c r="E7" s="733" t="s">
        <v>707</v>
      </c>
      <c r="F7" s="733" t="s">
        <v>708</v>
      </c>
      <c r="G7" s="733" t="s">
        <v>709</v>
      </c>
      <c r="H7" s="733" t="s">
        <v>710</v>
      </c>
      <c r="I7" s="733">
        <v>1456.0</v>
      </c>
      <c r="J7" s="733">
        <v>1708.0</v>
      </c>
      <c r="K7" s="733">
        <v>1713.0</v>
      </c>
      <c r="L7" s="733">
        <v>1830.0</v>
      </c>
      <c r="M7" s="733">
        <v>1999.0</v>
      </c>
      <c r="N7" s="733">
        <v>1916.0</v>
      </c>
      <c r="O7" s="733">
        <v>1771.0</v>
      </c>
      <c r="P7" s="733">
        <v>1405.0</v>
      </c>
      <c r="Q7" s="733">
        <v>1720.0</v>
      </c>
      <c r="R7" s="733">
        <v>1664.0</v>
      </c>
      <c r="S7" s="733">
        <v>1712.0</v>
      </c>
      <c r="T7" s="733">
        <v>1902.0</v>
      </c>
      <c r="U7" s="733">
        <v>1766.0</v>
      </c>
      <c r="V7" s="733">
        <v>1692.0</v>
      </c>
      <c r="W7" s="735">
        <v>1697.0</v>
      </c>
      <c r="X7" s="736">
        <v>1686.0</v>
      </c>
      <c r="Y7" s="726"/>
      <c r="Z7" s="726"/>
      <c r="AA7" s="726"/>
      <c r="AB7" s="724"/>
      <c r="AC7" s="724"/>
      <c r="AD7" s="724"/>
    </row>
    <row r="8">
      <c r="A8" s="724"/>
      <c r="B8" s="513"/>
      <c r="C8" s="732" t="s">
        <v>696</v>
      </c>
      <c r="D8" s="733" t="s">
        <v>711</v>
      </c>
      <c r="E8" s="733" t="s">
        <v>712</v>
      </c>
      <c r="F8" s="733" t="s">
        <v>713</v>
      </c>
      <c r="G8" s="733" t="s">
        <v>714</v>
      </c>
      <c r="H8" s="733" t="s">
        <v>715</v>
      </c>
      <c r="I8" s="733">
        <v>390087.13</v>
      </c>
      <c r="J8" s="733">
        <v>392104.83</v>
      </c>
      <c r="K8" s="733">
        <v>765473.87</v>
      </c>
      <c r="L8" s="733">
        <v>389009.29</v>
      </c>
      <c r="M8" s="733">
        <v>451275.41</v>
      </c>
      <c r="N8" s="733">
        <v>460311.47</v>
      </c>
      <c r="O8" s="733">
        <v>510918.81</v>
      </c>
      <c r="P8" s="733">
        <v>311893.0</v>
      </c>
      <c r="Q8" s="733">
        <v>379476.0</v>
      </c>
      <c r="R8" s="733">
        <v>357043.0</v>
      </c>
      <c r="S8" s="733">
        <v>321904.0</v>
      </c>
      <c r="T8" s="733">
        <v>345089.0</v>
      </c>
      <c r="U8" s="733">
        <v>331655.0</v>
      </c>
      <c r="V8" s="733">
        <v>282888.0</v>
      </c>
      <c r="W8" s="735">
        <v>287620.0</v>
      </c>
      <c r="X8" s="736">
        <v>302557.0</v>
      </c>
      <c r="Y8" s="726"/>
      <c r="Z8" s="726"/>
      <c r="AA8" s="726"/>
      <c r="AB8" s="724"/>
      <c r="AC8" s="724"/>
      <c r="AD8" s="724"/>
    </row>
    <row r="9">
      <c r="A9" s="724"/>
      <c r="B9" s="55"/>
      <c r="C9" s="732" t="s">
        <v>716</v>
      </c>
      <c r="D9" s="733" t="s">
        <v>717</v>
      </c>
      <c r="E9" s="733" t="s">
        <v>718</v>
      </c>
      <c r="F9" s="733" t="s">
        <v>719</v>
      </c>
      <c r="G9" s="733" t="s">
        <v>720</v>
      </c>
      <c r="H9" s="733" t="s">
        <v>721</v>
      </c>
      <c r="I9" s="733">
        <v>267916.98</v>
      </c>
      <c r="J9" s="733">
        <v>229569.57</v>
      </c>
      <c r="K9" s="733">
        <v>446861.57</v>
      </c>
      <c r="L9" s="733">
        <v>212573.38</v>
      </c>
      <c r="M9" s="733">
        <v>225750.58</v>
      </c>
      <c r="N9" s="733">
        <v>240246.07</v>
      </c>
      <c r="O9" s="733">
        <v>288491.71</v>
      </c>
      <c r="P9" s="733">
        <v>2.22006573E8</v>
      </c>
      <c r="Q9" s="733">
        <v>2.20612475E8</v>
      </c>
      <c r="R9" s="733">
        <v>2.14562135E8</v>
      </c>
      <c r="S9" s="733">
        <v>1.87998395E8</v>
      </c>
      <c r="T9" s="733">
        <v>1.81454024E8</v>
      </c>
      <c r="U9" s="733">
        <v>1.87771437E8</v>
      </c>
      <c r="V9" s="733">
        <v>1.67183189E8</v>
      </c>
      <c r="W9" s="735">
        <v>1.69485064E8</v>
      </c>
      <c r="X9" s="736">
        <v>1.79436777E8</v>
      </c>
      <c r="Y9" s="726"/>
      <c r="Z9" s="726"/>
      <c r="AA9" s="726"/>
      <c r="AB9" s="724"/>
      <c r="AC9" s="724"/>
      <c r="AD9" s="724"/>
    </row>
    <row r="10">
      <c r="A10" s="724"/>
      <c r="B10" s="731" t="s">
        <v>722</v>
      </c>
      <c r="C10" s="732" t="s">
        <v>692</v>
      </c>
      <c r="D10" s="733"/>
      <c r="E10" s="733"/>
      <c r="F10" s="733" t="s">
        <v>723</v>
      </c>
      <c r="G10" s="733" t="s">
        <v>724</v>
      </c>
      <c r="H10" s="733" t="s">
        <v>725</v>
      </c>
      <c r="I10" s="733">
        <v>189676.0</v>
      </c>
      <c r="J10" s="733">
        <v>209251.0</v>
      </c>
      <c r="K10" s="733">
        <v>184025.0</v>
      </c>
      <c r="L10" s="734"/>
      <c r="M10" s="734"/>
      <c r="N10" s="734"/>
      <c r="O10" s="734"/>
      <c r="P10" s="726"/>
      <c r="Q10" s="726"/>
      <c r="R10" s="733">
        <v>139806.0</v>
      </c>
      <c r="S10" s="733">
        <v>230922.0</v>
      </c>
      <c r="T10" s="733">
        <v>295740.0</v>
      </c>
      <c r="U10" s="733">
        <v>281301.0</v>
      </c>
      <c r="V10" s="733">
        <v>256502.0</v>
      </c>
      <c r="W10" s="735">
        <v>244544.0</v>
      </c>
      <c r="X10" s="736">
        <v>112507.0</v>
      </c>
      <c r="Y10" s="726"/>
      <c r="Z10" s="726"/>
      <c r="AA10" s="726"/>
      <c r="AB10" s="730"/>
      <c r="AC10" s="730"/>
      <c r="AD10" s="725"/>
    </row>
    <row r="11">
      <c r="A11" s="724"/>
      <c r="B11" s="513"/>
      <c r="C11" s="732" t="s">
        <v>696</v>
      </c>
      <c r="D11" s="733"/>
      <c r="E11" s="733"/>
      <c r="F11" s="733" t="s">
        <v>726</v>
      </c>
      <c r="G11" s="733" t="s">
        <v>727</v>
      </c>
      <c r="H11" s="733" t="s">
        <v>728</v>
      </c>
      <c r="I11" s="733">
        <v>34790.37</v>
      </c>
      <c r="J11" s="733">
        <v>32649.47</v>
      </c>
      <c r="K11" s="733">
        <v>29197.51</v>
      </c>
      <c r="L11" s="734"/>
      <c r="M11" s="734"/>
      <c r="N11" s="734"/>
      <c r="O11" s="734"/>
      <c r="P11" s="726"/>
      <c r="Q11" s="726"/>
      <c r="R11" s="733">
        <v>13625.0</v>
      </c>
      <c r="S11" s="733">
        <v>17479.0</v>
      </c>
      <c r="T11" s="733">
        <v>29428.0</v>
      </c>
      <c r="U11" s="733">
        <v>16244.0</v>
      </c>
      <c r="V11" s="733">
        <v>27448.0</v>
      </c>
      <c r="W11" s="735">
        <v>25135.0</v>
      </c>
      <c r="X11" s="736">
        <v>13598.0</v>
      </c>
      <c r="Y11" s="726"/>
      <c r="Z11" s="726"/>
      <c r="AA11" s="726"/>
      <c r="AB11" s="730"/>
      <c r="AC11" s="730"/>
      <c r="AD11" s="725"/>
    </row>
    <row r="12">
      <c r="A12" s="724"/>
      <c r="B12" s="55"/>
      <c r="C12" s="732" t="s">
        <v>716</v>
      </c>
      <c r="D12" s="733"/>
      <c r="E12" s="733"/>
      <c r="F12" s="733" t="s">
        <v>729</v>
      </c>
      <c r="G12" s="733" t="s">
        <v>730</v>
      </c>
      <c r="H12" s="733" t="s">
        <v>731</v>
      </c>
      <c r="I12" s="733">
        <v>183.42</v>
      </c>
      <c r="J12" s="733">
        <v>156.03</v>
      </c>
      <c r="K12" s="733">
        <v>158.66</v>
      </c>
      <c r="L12" s="734"/>
      <c r="M12" s="734"/>
      <c r="N12" s="734"/>
      <c r="O12" s="734"/>
      <c r="P12" s="726"/>
      <c r="Q12" s="726"/>
      <c r="R12" s="733">
        <v>97457.0</v>
      </c>
      <c r="S12" s="733">
        <v>75694.0</v>
      </c>
      <c r="T12" s="733">
        <v>99507.0</v>
      </c>
      <c r="U12" s="733">
        <v>57747.0</v>
      </c>
      <c r="V12" s="733">
        <v>107011.0</v>
      </c>
      <c r="W12" s="735">
        <v>102782.0</v>
      </c>
      <c r="X12" s="736">
        <v>120865.0</v>
      </c>
      <c r="Y12" s="726"/>
      <c r="Z12" s="726"/>
      <c r="AA12" s="726"/>
      <c r="AB12" s="730"/>
      <c r="AC12" s="730"/>
      <c r="AD12" s="725"/>
    </row>
    <row r="13">
      <c r="A13" s="724"/>
      <c r="B13" s="724"/>
      <c r="C13" s="724"/>
      <c r="D13" s="724"/>
      <c r="E13" s="724"/>
      <c r="F13" s="724"/>
      <c r="G13" s="724"/>
      <c r="H13" s="724"/>
      <c r="I13" s="724"/>
      <c r="J13" s="724"/>
      <c r="K13" s="724"/>
      <c r="L13" s="724"/>
      <c r="M13" s="724"/>
      <c r="N13" s="724"/>
      <c r="O13" s="724"/>
      <c r="P13" s="724"/>
      <c r="Q13" s="724"/>
      <c r="R13" s="724"/>
      <c r="S13" s="724"/>
      <c r="T13" s="724"/>
      <c r="U13" s="724"/>
      <c r="V13" s="724"/>
      <c r="W13" s="724"/>
      <c r="X13" s="724"/>
      <c r="Y13" s="724"/>
      <c r="Z13" s="724"/>
      <c r="AA13" s="724"/>
      <c r="AB13" s="724"/>
      <c r="AC13" s="724"/>
      <c r="AD13" s="724"/>
    </row>
    <row r="14">
      <c r="A14" s="737"/>
      <c r="B14" s="737"/>
      <c r="C14" s="737"/>
      <c r="D14" s="737"/>
      <c r="E14" s="737"/>
      <c r="F14" s="738" t="s">
        <v>732</v>
      </c>
      <c r="G14" s="737"/>
      <c r="H14" s="737"/>
      <c r="I14" s="738" t="s">
        <v>733</v>
      </c>
      <c r="J14" s="737"/>
      <c r="K14" s="737"/>
      <c r="L14" s="738" t="s">
        <v>734</v>
      </c>
      <c r="M14" s="737"/>
      <c r="N14" s="737"/>
      <c r="O14" s="738" t="s">
        <v>735</v>
      </c>
      <c r="P14" s="737"/>
      <c r="Q14" s="737"/>
      <c r="R14" s="738" t="s">
        <v>736</v>
      </c>
      <c r="S14" s="737"/>
      <c r="T14" s="737"/>
      <c r="U14" s="738" t="s">
        <v>737</v>
      </c>
      <c r="V14" s="737"/>
      <c r="W14" s="737"/>
      <c r="X14" s="738" t="s">
        <v>734</v>
      </c>
      <c r="Y14" s="737"/>
      <c r="Z14" s="737"/>
      <c r="AA14" s="738" t="s">
        <v>735</v>
      </c>
      <c r="AB14" s="737"/>
      <c r="AC14" s="737"/>
      <c r="AD14" s="737"/>
      <c r="AE14" s="739"/>
    </row>
    <row r="15">
      <c r="A15" s="724"/>
      <c r="B15" s="730" t="s">
        <v>738</v>
      </c>
      <c r="C15" s="724"/>
      <c r="D15" s="724"/>
      <c r="E15" s="724"/>
      <c r="F15" s="730">
        <f>sum(D4:F4)+sum(D10:F10)</f>
        <v>0</v>
      </c>
      <c r="G15" s="724"/>
      <c r="H15" s="724"/>
      <c r="I15" s="730">
        <f>sum(G4:I4)+sum(G10:I10)</f>
        <v>241753</v>
      </c>
      <c r="J15" s="724"/>
      <c r="K15" s="724"/>
      <c r="L15" s="730">
        <f>sum(J4:L4)+sum(J10:L10)</f>
        <v>717461</v>
      </c>
      <c r="M15" s="724"/>
      <c r="N15" s="724"/>
      <c r="O15" s="730">
        <f>sum(M4:O4)+sum(M10:O10)</f>
        <v>198424</v>
      </c>
      <c r="P15" s="724"/>
      <c r="Q15" s="724"/>
      <c r="R15" s="730">
        <f>sum(P4:R4)+sum(P10:R10)</f>
        <v>344042</v>
      </c>
      <c r="S15" s="724"/>
      <c r="T15" s="724"/>
      <c r="U15" s="730">
        <f>sum(S4:U4)+sum(S10:U10)</f>
        <v>1190152</v>
      </c>
      <c r="V15" s="724"/>
      <c r="W15" s="724"/>
      <c r="X15" s="730">
        <f>sum(V4:X4)+sum(V10:X10)</f>
        <v>1124903</v>
      </c>
      <c r="Y15" s="724"/>
      <c r="Z15" s="724"/>
      <c r="AA15" s="730">
        <f>sum(Y4:AA4)+sum(Y10:AA10)</f>
        <v>0</v>
      </c>
      <c r="AB15" s="724"/>
      <c r="AC15" s="724"/>
      <c r="AD15" s="724"/>
    </row>
    <row r="16">
      <c r="A16" s="724"/>
      <c r="B16" s="730" t="s">
        <v>739</v>
      </c>
      <c r="C16" s="724"/>
      <c r="D16" s="724"/>
      <c r="E16" s="724"/>
      <c r="F16" s="730">
        <f>SUM(D5:F5)+SUM(D11:F11)</f>
        <v>0</v>
      </c>
      <c r="G16" s="724"/>
      <c r="H16" s="724"/>
      <c r="I16" s="730">
        <f>SUM(G5:I5)+SUM(G11:I11)</f>
        <v>47236.96</v>
      </c>
      <c r="J16" s="724"/>
      <c r="K16" s="724"/>
      <c r="L16" s="730">
        <f>SUM(J5:L5)+SUM(J11:L11)</f>
        <v>112689.64</v>
      </c>
      <c r="M16" s="724"/>
      <c r="N16" s="724"/>
      <c r="O16" s="730">
        <f>SUM(M5:O5)+SUM(M11:O11)</f>
        <v>36133.74</v>
      </c>
      <c r="P16" s="724"/>
      <c r="Q16" s="724"/>
      <c r="R16" s="730">
        <f>SUM(P5:R5)+SUM(P11:R11)</f>
        <v>41823</v>
      </c>
      <c r="S16" s="724"/>
      <c r="T16" s="724"/>
      <c r="U16" s="730">
        <f>SUM(S5:U5)+SUM(S11:U11)</f>
        <v>104384</v>
      </c>
      <c r="V16" s="724"/>
      <c r="W16" s="724"/>
      <c r="X16" s="730">
        <f>SUM(V5:X5)+SUM(V11:X11)</f>
        <v>144768</v>
      </c>
      <c r="Y16" s="724"/>
      <c r="Z16" s="724"/>
      <c r="AA16" s="730">
        <f>SUM(Y5:AA5)+SUM(Y11:AA11)</f>
        <v>0</v>
      </c>
      <c r="AB16" s="724"/>
      <c r="AC16" s="724"/>
      <c r="AD16" s="724"/>
    </row>
    <row r="17">
      <c r="A17" s="724"/>
      <c r="B17" s="730" t="s">
        <v>740</v>
      </c>
      <c r="C17" s="724"/>
      <c r="D17" s="724"/>
      <c r="E17" s="724"/>
      <c r="F17" s="730" t="str">
        <f>AVERAGE(D6,E6,F6,D12,E12,F12)</f>
        <v>#DIV/0!</v>
      </c>
      <c r="G17" s="724"/>
      <c r="H17" s="724"/>
      <c r="I17" s="730">
        <f>AVERAGE(G6,H6,I6,G12,H12,I12)</f>
        <v>211.21</v>
      </c>
      <c r="J17" s="724"/>
      <c r="K17" s="724"/>
      <c r="L17" s="730" t="s">
        <v>741</v>
      </c>
      <c r="M17" s="724"/>
      <c r="N17" s="724"/>
      <c r="O17" s="730">
        <f>AVERAGE(M6,N6,O6,M12,N12,O12)</f>
        <v>182.1</v>
      </c>
      <c r="P17" s="724"/>
      <c r="Q17" s="724"/>
      <c r="R17" s="730">
        <f>AVERAGE(P6,Q6,R6,P12,Q12,R12)</f>
        <v>117760</v>
      </c>
      <c r="S17" s="724"/>
      <c r="T17" s="724"/>
      <c r="U17" s="730">
        <f>AVERAGE(S6,T6,U6,S12,T12,U12)</f>
        <v>92371.66667</v>
      </c>
      <c r="V17" s="724"/>
      <c r="W17" s="724"/>
      <c r="X17" s="730">
        <f>AVERAGE(V6,W6,X6,V12,W12,X12)</f>
        <v>130276.6667</v>
      </c>
      <c r="Y17" s="724"/>
      <c r="Z17" s="724"/>
      <c r="AA17" s="730" t="str">
        <f>AVERAGE(Y6,Z6,AA6,Y12,Z12,AA12)</f>
        <v>#DIV/0!</v>
      </c>
      <c r="AB17" s="724"/>
      <c r="AC17" s="724"/>
      <c r="AD17" s="724"/>
    </row>
    <row r="18">
      <c r="A18" s="724"/>
      <c r="B18" s="724"/>
      <c r="C18" s="724"/>
      <c r="D18" s="724"/>
      <c r="E18" s="724"/>
      <c r="F18" s="724"/>
      <c r="G18" s="724"/>
      <c r="H18" s="730"/>
      <c r="I18" s="724"/>
      <c r="J18" s="724"/>
      <c r="K18" s="724"/>
      <c r="L18" s="724"/>
      <c r="M18" s="724"/>
      <c r="N18" s="724"/>
      <c r="O18" s="724"/>
      <c r="P18" s="724"/>
      <c r="Q18" s="724"/>
      <c r="R18" s="724"/>
      <c r="S18" s="724"/>
      <c r="T18" s="724"/>
      <c r="U18" s="724"/>
      <c r="V18" s="724"/>
      <c r="W18" s="724"/>
      <c r="X18" s="724"/>
      <c r="Y18" s="724"/>
      <c r="Z18" s="724"/>
      <c r="AA18" s="724"/>
      <c r="AB18" s="724"/>
      <c r="AC18" s="724"/>
      <c r="AD18" s="724"/>
    </row>
    <row r="19">
      <c r="A19" s="740"/>
      <c r="B19" s="740"/>
      <c r="C19" s="741" t="s">
        <v>183</v>
      </c>
      <c r="D19" s="740"/>
      <c r="E19" s="740"/>
      <c r="F19" s="740"/>
      <c r="G19" s="740"/>
      <c r="H19" s="740"/>
      <c r="I19" s="740"/>
      <c r="J19" s="740"/>
      <c r="K19" s="740"/>
      <c r="L19" s="740"/>
      <c r="M19" s="740"/>
      <c r="N19" s="740"/>
      <c r="O19" s="740"/>
      <c r="P19" s="740"/>
      <c r="Q19" s="740"/>
      <c r="R19" s="740">
        <f>R15/O15*100-100</f>
        <v>73.38729186</v>
      </c>
      <c r="S19" s="740"/>
      <c r="T19" s="740"/>
      <c r="U19" s="740">
        <f>U15/R15*100-100</f>
        <v>245.9321827</v>
      </c>
      <c r="V19" s="740"/>
      <c r="W19" s="740"/>
      <c r="X19" s="740">
        <f>X15/U15*100-100</f>
        <v>-5.48240897</v>
      </c>
      <c r="Y19" s="741" t="s">
        <v>183</v>
      </c>
      <c r="Z19" s="740"/>
      <c r="AA19" s="740"/>
      <c r="AB19" s="741"/>
      <c r="AC19" s="741"/>
      <c r="AD19" s="740"/>
      <c r="AE19" s="742"/>
    </row>
    <row r="20">
      <c r="A20" s="740"/>
      <c r="B20" s="740"/>
      <c r="C20" s="741" t="s">
        <v>185</v>
      </c>
      <c r="D20" s="743"/>
      <c r="E20" s="743"/>
      <c r="F20" s="743"/>
      <c r="G20" s="743"/>
      <c r="H20" s="743"/>
      <c r="I20" s="743"/>
      <c r="J20" s="743"/>
      <c r="K20" s="743"/>
      <c r="L20" s="743"/>
      <c r="M20" s="743"/>
      <c r="N20" s="743"/>
      <c r="O20" s="743"/>
      <c r="P20" s="744"/>
      <c r="Q20" s="744"/>
      <c r="R20" s="744" t="str">
        <f>R15/F15*100-100</f>
        <v>#DIV/0!</v>
      </c>
      <c r="S20" s="744"/>
      <c r="T20" s="744"/>
      <c r="U20" s="744">
        <f>U15/I15*100-100</f>
        <v>392.3008194</v>
      </c>
      <c r="V20" s="740"/>
      <c r="W20" s="740"/>
      <c r="X20" s="744">
        <f>X15/L15*100-100</f>
        <v>56.78942828</v>
      </c>
      <c r="Y20" s="741" t="s">
        <v>185</v>
      </c>
      <c r="Z20" s="740"/>
      <c r="AA20" s="740"/>
      <c r="AB20" s="744"/>
      <c r="AC20" s="741"/>
      <c r="AD20" s="740"/>
      <c r="AE20" s="742"/>
    </row>
    <row r="21">
      <c r="A21" s="740"/>
      <c r="B21" s="740"/>
      <c r="C21" s="741" t="s">
        <v>186</v>
      </c>
      <c r="D21" s="743"/>
      <c r="E21" s="743"/>
      <c r="F21" s="743"/>
      <c r="G21" s="743"/>
      <c r="H21" s="743"/>
      <c r="I21" s="744"/>
      <c r="J21" s="743"/>
      <c r="K21" s="743"/>
      <c r="L21" s="743"/>
      <c r="M21" s="743"/>
      <c r="N21" s="743"/>
      <c r="O21" s="743"/>
      <c r="P21" s="744"/>
      <c r="Q21" s="744"/>
      <c r="R21" s="744"/>
      <c r="S21" s="744"/>
      <c r="T21" s="744"/>
      <c r="U21" s="744">
        <f t="shared" ref="U21:U22" si="1">(sum(R15,U15)/sum(F15,I15))*100-100</f>
        <v>534.6121868</v>
      </c>
      <c r="V21" s="740"/>
      <c r="W21" s="740"/>
      <c r="X21" s="744">
        <f t="shared" ref="X21:X22" si="2">(sum(U15,X15)/sum(I15,L15))*100-100</f>
        <v>141.3491671</v>
      </c>
      <c r="Y21" s="741" t="s">
        <v>186</v>
      </c>
      <c r="Z21" s="740"/>
      <c r="AA21" s="740"/>
      <c r="AB21" s="744"/>
      <c r="AC21" s="741"/>
      <c r="AD21" s="740"/>
      <c r="AE21" s="742"/>
    </row>
    <row r="22">
      <c r="A22" s="724"/>
      <c r="B22" s="724"/>
      <c r="C22" s="724"/>
      <c r="D22" s="745"/>
      <c r="E22" s="745"/>
      <c r="F22" s="745"/>
      <c r="G22" s="745"/>
      <c r="H22" s="745"/>
      <c r="I22" s="745"/>
      <c r="J22" s="745"/>
      <c r="K22" s="745"/>
      <c r="L22" s="745"/>
      <c r="M22" s="745"/>
      <c r="N22" s="745"/>
      <c r="O22" s="745"/>
      <c r="P22" s="725"/>
      <c r="Q22" s="725"/>
      <c r="R22" s="725"/>
      <c r="S22" s="725"/>
      <c r="T22" s="725"/>
      <c r="U22" s="744">
        <f t="shared" si="1"/>
        <v>209.5182247</v>
      </c>
      <c r="V22" s="724"/>
      <c r="W22" s="724"/>
      <c r="X22" s="744">
        <f t="shared" si="2"/>
        <v>55.79146934</v>
      </c>
      <c r="Y22" s="724"/>
      <c r="Z22" s="724"/>
      <c r="AA22" s="724"/>
      <c r="AB22" s="725"/>
      <c r="AC22" s="730"/>
      <c r="AD22" s="724"/>
    </row>
    <row r="23">
      <c r="A23" s="746"/>
      <c r="B23" s="747" t="s">
        <v>742</v>
      </c>
      <c r="C23" s="746"/>
      <c r="D23" s="748"/>
      <c r="E23" s="748"/>
      <c r="F23" s="748" t="str">
        <f>average(D4,E4,F4,D10,E10,F10)</f>
        <v>#DIV/0!</v>
      </c>
      <c r="G23" s="748"/>
      <c r="H23" s="748"/>
      <c r="I23" s="748">
        <f>average(G4,H4,I4,G10,H10,I10)</f>
        <v>120876.5</v>
      </c>
      <c r="J23" s="748"/>
      <c r="K23" s="748"/>
      <c r="L23" s="748">
        <f>average(J4,K4,L4,J10,K10,L10)</f>
        <v>143492.2</v>
      </c>
      <c r="M23" s="748"/>
      <c r="N23" s="748"/>
      <c r="O23" s="748">
        <f>average(M4,N4,O4,M10,N10,O10)</f>
        <v>198424</v>
      </c>
      <c r="P23" s="749"/>
      <c r="Q23" s="749"/>
      <c r="R23" s="748">
        <f>average(P4,Q4,R4,P10,Q10,R10)</f>
        <v>172021</v>
      </c>
      <c r="S23" s="749"/>
      <c r="T23" s="749"/>
      <c r="U23" s="748">
        <f>average(S4,T4,U4,S10,T10,U10)</f>
        <v>198358.6667</v>
      </c>
      <c r="V23" s="746"/>
      <c r="W23" s="746"/>
      <c r="X23" s="748">
        <f>average(V4,W4,X4,V10,W10,X10)</f>
        <v>187483.8333</v>
      </c>
      <c r="Y23" s="746"/>
      <c r="Z23" s="746"/>
      <c r="AA23" s="746"/>
      <c r="AB23" s="746"/>
      <c r="AC23" s="746"/>
      <c r="AD23" s="746"/>
      <c r="AE23" s="750"/>
    </row>
    <row r="24">
      <c r="A24" s="724"/>
      <c r="B24" s="724"/>
      <c r="C24" s="724"/>
      <c r="D24" s="745"/>
      <c r="E24" s="745"/>
      <c r="F24" s="745"/>
      <c r="G24" s="745"/>
      <c r="H24" s="745"/>
      <c r="I24" s="745"/>
      <c r="J24" s="745"/>
      <c r="K24" s="745"/>
      <c r="L24" s="745"/>
      <c r="M24" s="745"/>
      <c r="N24" s="745"/>
      <c r="O24" s="745"/>
      <c r="P24" s="725"/>
      <c r="Q24" s="725"/>
      <c r="R24" s="725"/>
      <c r="S24" s="725"/>
      <c r="T24" s="725"/>
      <c r="U24" s="725"/>
      <c r="V24" s="724"/>
      <c r="W24" s="724"/>
      <c r="X24" s="724"/>
      <c r="Y24" s="724"/>
      <c r="Z24" s="724"/>
      <c r="AA24" s="724"/>
      <c r="AB24" s="724"/>
      <c r="AC24" s="724"/>
      <c r="AD24" s="724"/>
    </row>
    <row r="25">
      <c r="A25" s="751">
        <v>7405.0</v>
      </c>
      <c r="B25" s="730" t="s">
        <v>159</v>
      </c>
      <c r="C25" s="724"/>
      <c r="D25" s="751">
        <v>2023.0</v>
      </c>
      <c r="E25" s="745"/>
      <c r="G25" s="745"/>
      <c r="H25" s="751">
        <v>2024.0</v>
      </c>
      <c r="I25" s="745"/>
      <c r="J25" s="745"/>
      <c r="K25" s="745"/>
      <c r="L25" s="745"/>
      <c r="M25" s="745"/>
      <c r="N25" s="745"/>
      <c r="O25" s="745"/>
      <c r="P25" s="725"/>
      <c r="Q25" s="725"/>
      <c r="R25" s="725">
        <f>R23/O23*100-100</f>
        <v>-13.30635407</v>
      </c>
      <c r="S25" s="725"/>
      <c r="T25" s="725"/>
      <c r="U25" s="725">
        <f>U23/R23*100-100</f>
        <v>15.31072757</v>
      </c>
      <c r="V25" s="730" t="s">
        <v>183</v>
      </c>
      <c r="W25" s="724"/>
      <c r="X25" s="725">
        <f>X23/U23*100-100</f>
        <v>-5.48240897</v>
      </c>
      <c r="Y25" s="730" t="s">
        <v>183</v>
      </c>
      <c r="Z25" s="724"/>
      <c r="AA25" s="724"/>
      <c r="AB25" s="724"/>
      <c r="AC25" s="724"/>
      <c r="AD25" s="724"/>
    </row>
    <row r="26">
      <c r="A26" s="724"/>
      <c r="B26" s="724"/>
      <c r="C26" s="730">
        <v>1.0</v>
      </c>
      <c r="D26" s="730">
        <v>2.0</v>
      </c>
      <c r="E26" s="730">
        <v>3.0</v>
      </c>
      <c r="F26" s="730">
        <v>4.0</v>
      </c>
      <c r="G26" s="730">
        <v>1.0</v>
      </c>
      <c r="H26" s="730">
        <v>2.0</v>
      </c>
      <c r="I26" s="730">
        <v>3.0</v>
      </c>
      <c r="J26" s="730">
        <v>4.0</v>
      </c>
      <c r="L26" s="724"/>
      <c r="M26" s="724"/>
      <c r="N26" s="730" t="s">
        <v>183</v>
      </c>
      <c r="O26" s="730" t="s">
        <v>185</v>
      </c>
      <c r="P26" s="730" t="s">
        <v>186</v>
      </c>
      <c r="Q26" s="724"/>
      <c r="R26" s="730" t="str">
        <f>R23/F23*100-100</f>
        <v>#DIV/0!</v>
      </c>
      <c r="S26" s="724"/>
      <c r="T26" s="724"/>
      <c r="U26" s="730">
        <f>U23/L23*100-100</f>
        <v>38.23654991</v>
      </c>
      <c r="V26" s="730" t="s">
        <v>185</v>
      </c>
      <c r="W26" s="724"/>
      <c r="X26" s="730">
        <f>X23/L23*100-100</f>
        <v>30.6578569</v>
      </c>
      <c r="Y26" s="730" t="s">
        <v>185</v>
      </c>
      <c r="Z26" s="724"/>
      <c r="AA26" s="724"/>
      <c r="AB26" s="724"/>
      <c r="AC26" s="724"/>
    </row>
    <row r="27">
      <c r="A27" s="751" t="s">
        <v>743</v>
      </c>
      <c r="B27" s="730" t="s">
        <v>744</v>
      </c>
      <c r="C27" s="752">
        <v>373031.0</v>
      </c>
      <c r="D27" s="752">
        <v>375048.0</v>
      </c>
      <c r="E27" s="752">
        <v>291705.0</v>
      </c>
      <c r="F27" s="752">
        <v>647196.0</v>
      </c>
      <c r="G27" s="528">
        <v>736797.0</v>
      </c>
      <c r="H27" s="528">
        <v>427991.0</v>
      </c>
      <c r="I27" s="528">
        <v>539910.0</v>
      </c>
      <c r="J27" s="528">
        <v>550853.903</v>
      </c>
      <c r="K27" s="724"/>
      <c r="L27" s="724">
        <f>I28/I27*100-100</f>
        <v>2.026986535</v>
      </c>
      <c r="M27" s="724"/>
      <c r="N27" s="724">
        <f>I28/H28*100-100</f>
        <v>2.026986535</v>
      </c>
      <c r="O27" s="724">
        <f>I28/E28*100-100</f>
        <v>-14.88607732</v>
      </c>
      <c r="P27" s="724">
        <f>(sum(G28:I28)/sum(C28:E28))*100-100</f>
        <v>15.58705117</v>
      </c>
      <c r="Q27" s="724"/>
      <c r="R27" s="730" t="str">
        <f>R23/F23*100-100</f>
        <v>#DIV/0!</v>
      </c>
      <c r="S27" s="724"/>
      <c r="T27" s="724"/>
      <c r="U27" s="730" t="str">
        <f>((R23+U23)/(F23+I23))*100-100</f>
        <v>#DIV/0!</v>
      </c>
      <c r="V27" s="730" t="s">
        <v>186</v>
      </c>
      <c r="W27" s="724"/>
      <c r="X27" s="730" t="str">
        <f>((R23+U23+X23)/(F23+I23+L23))*100-100</f>
        <v>#DIV/0!</v>
      </c>
      <c r="Y27" s="730" t="s">
        <v>186</v>
      </c>
      <c r="Z27" s="724"/>
      <c r="AA27" s="724"/>
      <c r="AB27" s="724"/>
      <c r="AC27" s="724"/>
    </row>
    <row r="28">
      <c r="A28" s="724"/>
      <c r="B28" s="730" t="s">
        <v>745</v>
      </c>
      <c r="C28" s="752">
        <v>375048.0</v>
      </c>
      <c r="D28" s="752">
        <v>291705.0</v>
      </c>
      <c r="E28" s="752">
        <v>647196.0</v>
      </c>
      <c r="F28" s="528">
        <v>736797.0</v>
      </c>
      <c r="G28" s="528">
        <v>427991.0</v>
      </c>
      <c r="H28" s="528">
        <v>539910.0</v>
      </c>
      <c r="I28" s="528">
        <v>550853.903</v>
      </c>
      <c r="J28" s="719"/>
      <c r="K28" s="724"/>
      <c r="L28" s="724"/>
      <c r="M28" s="724"/>
      <c r="N28" s="724"/>
      <c r="O28" s="724"/>
      <c r="P28" s="724"/>
      <c r="Q28" s="724"/>
      <c r="R28" s="724"/>
      <c r="S28" s="724"/>
      <c r="T28" s="724"/>
      <c r="U28" s="730"/>
      <c r="V28" s="724"/>
      <c r="W28" s="724"/>
      <c r="X28" s="730"/>
      <c r="Y28" s="724"/>
      <c r="Z28" s="724"/>
      <c r="AA28" s="724"/>
      <c r="AB28" s="724"/>
      <c r="AC28" s="724"/>
    </row>
    <row r="29">
      <c r="A29" s="724"/>
      <c r="B29" s="724"/>
      <c r="C29" s="724"/>
      <c r="D29" s="724"/>
      <c r="E29" s="724"/>
      <c r="F29" s="730"/>
      <c r="G29" s="730"/>
      <c r="H29" s="724"/>
      <c r="I29" s="730"/>
      <c r="J29" s="730"/>
      <c r="K29" s="724"/>
      <c r="L29" s="724"/>
      <c r="M29" s="724"/>
      <c r="N29" s="724"/>
      <c r="O29" s="724"/>
      <c r="P29" s="724"/>
      <c r="Q29" s="724"/>
      <c r="R29" s="724"/>
      <c r="S29" s="724"/>
      <c r="T29" s="724"/>
      <c r="U29" s="724"/>
      <c r="V29" s="730"/>
      <c r="W29" s="724"/>
      <c r="X29" s="724"/>
      <c r="Y29" s="730"/>
      <c r="Z29" s="724"/>
      <c r="AA29" s="724"/>
      <c r="AB29" s="724"/>
      <c r="AC29" s="724"/>
      <c r="AD29" s="724"/>
    </row>
    <row r="30">
      <c r="A30" s="751" t="s">
        <v>746</v>
      </c>
      <c r="B30" s="724"/>
      <c r="C30" s="421">
        <v>1.865155E11</v>
      </c>
      <c r="D30" s="421">
        <v>1.8752395E11</v>
      </c>
      <c r="E30" s="421">
        <v>1.45852380555E11</v>
      </c>
      <c r="F30" s="421">
        <v>3.23597776858E11</v>
      </c>
      <c r="G30" s="753">
        <v>3.68398572885E11</v>
      </c>
      <c r="H30" s="753">
        <v>2.13994955009E11</v>
      </c>
      <c r="I30" s="730"/>
      <c r="J30" s="730"/>
      <c r="K30" s="724"/>
      <c r="L30" s="724"/>
      <c r="M30" s="724"/>
      <c r="N30" s="724"/>
      <c r="O30" s="724"/>
      <c r="P30" s="724"/>
      <c r="Q30" s="724"/>
      <c r="R30" s="724"/>
      <c r="S30" s="724"/>
      <c r="T30" s="724"/>
      <c r="U30" s="724"/>
      <c r="V30" s="730"/>
      <c r="W30" s="724"/>
      <c r="X30" s="724"/>
      <c r="Y30" s="730"/>
      <c r="Z30" s="724"/>
      <c r="AA30" s="724"/>
      <c r="AB30" s="724"/>
      <c r="AC30" s="724"/>
      <c r="AD30" s="724"/>
    </row>
    <row r="31">
      <c r="A31" s="724"/>
      <c r="B31" s="724"/>
      <c r="C31" s="421">
        <v>1.8752395E11</v>
      </c>
      <c r="D31" s="421">
        <v>1.45852380555E11</v>
      </c>
      <c r="E31" s="421">
        <v>3.23597776858E11</v>
      </c>
      <c r="F31" s="753">
        <v>3.68398572885E11</v>
      </c>
      <c r="G31" s="753">
        <v>2.13994955009E11</v>
      </c>
      <c r="H31" s="753">
        <v>2.69955E11</v>
      </c>
      <c r="I31" s="730"/>
      <c r="J31" s="730"/>
      <c r="K31" s="724"/>
      <c r="L31" s="724"/>
      <c r="M31" s="724"/>
      <c r="N31" s="724"/>
      <c r="O31" s="724"/>
      <c r="P31" s="724"/>
      <c r="Q31" s="724"/>
      <c r="R31" s="724"/>
      <c r="S31" s="724"/>
      <c r="T31" s="724"/>
      <c r="U31" s="724"/>
      <c r="V31" s="730"/>
      <c r="W31" s="724"/>
      <c r="X31" s="724"/>
      <c r="Y31" s="730"/>
      <c r="Z31" s="724"/>
      <c r="AA31" s="724"/>
      <c r="AB31" s="724"/>
      <c r="AC31" s="724"/>
      <c r="AD31" s="724"/>
    </row>
    <row r="32">
      <c r="A32" s="724"/>
      <c r="B32" s="724"/>
      <c r="C32" s="724"/>
      <c r="D32" s="724"/>
      <c r="E32" s="724"/>
      <c r="F32" s="730"/>
      <c r="G32" s="523" t="s">
        <v>747</v>
      </c>
      <c r="H32" s="724"/>
      <c r="I32" s="730"/>
      <c r="J32" s="730"/>
      <c r="K32" s="724"/>
      <c r="L32" s="724"/>
      <c r="M32" s="724"/>
      <c r="N32" s="724"/>
      <c r="O32" s="724"/>
      <c r="P32" s="724"/>
      <c r="Q32" s="724"/>
      <c r="R32" s="724"/>
      <c r="S32" s="724"/>
      <c r="T32" s="724"/>
      <c r="U32" s="724"/>
      <c r="V32" s="730"/>
      <c r="W32" s="724"/>
      <c r="X32" s="724"/>
      <c r="Y32" s="730"/>
      <c r="Z32" s="724"/>
      <c r="AA32" s="724"/>
      <c r="AB32" s="724"/>
      <c r="AC32" s="724"/>
      <c r="AD32" s="724"/>
    </row>
    <row r="33">
      <c r="A33" s="751">
        <v>7406.0</v>
      </c>
      <c r="B33" s="724"/>
      <c r="C33" s="724"/>
      <c r="D33" s="724"/>
      <c r="E33" s="724"/>
      <c r="F33" s="730"/>
      <c r="G33" s="730"/>
      <c r="H33" s="724"/>
      <c r="I33" s="730"/>
      <c r="J33" s="730"/>
      <c r="K33" s="724"/>
      <c r="L33" s="724"/>
      <c r="M33" s="724"/>
      <c r="N33" s="724"/>
      <c r="O33" s="724"/>
      <c r="P33" s="724"/>
      <c r="Q33" s="724"/>
      <c r="R33" s="724"/>
      <c r="S33" s="724"/>
      <c r="T33" s="724"/>
      <c r="U33" s="724"/>
      <c r="V33" s="730"/>
      <c r="W33" s="724"/>
      <c r="X33" s="724"/>
      <c r="Y33" s="730"/>
      <c r="Z33" s="724"/>
      <c r="AA33" s="724"/>
      <c r="AB33" s="724"/>
      <c r="AC33" s="724"/>
      <c r="AD33" s="724"/>
    </row>
    <row r="34">
      <c r="A34" s="523" t="s">
        <v>748</v>
      </c>
      <c r="B34" s="724"/>
      <c r="C34" s="724"/>
      <c r="D34" s="724"/>
      <c r="E34" s="724"/>
      <c r="F34" s="730"/>
      <c r="G34" s="730"/>
      <c r="H34" s="724"/>
      <c r="I34" s="730"/>
      <c r="J34" s="730"/>
      <c r="K34" s="724"/>
      <c r="L34" s="724"/>
      <c r="M34" s="724"/>
      <c r="N34" s="724"/>
      <c r="O34" s="724"/>
      <c r="P34" s="724"/>
      <c r="Q34" s="724"/>
      <c r="R34" s="724"/>
      <c r="S34" s="724"/>
      <c r="T34" s="724"/>
      <c r="U34" s="724"/>
      <c r="V34" s="730"/>
      <c r="W34" s="724"/>
      <c r="X34" s="724"/>
      <c r="Y34" s="730"/>
      <c r="Z34" s="724"/>
      <c r="AA34" s="724"/>
      <c r="AB34" s="724"/>
      <c r="AC34" s="724"/>
      <c r="AD34" s="724"/>
    </row>
    <row r="35">
      <c r="A35" s="730"/>
      <c r="B35" s="730"/>
      <c r="C35" s="724"/>
      <c r="D35" s="751">
        <v>2023.0</v>
      </c>
      <c r="E35" s="745"/>
      <c r="G35" s="745"/>
      <c r="H35" s="751">
        <v>2024.0</v>
      </c>
      <c r="I35" s="745"/>
      <c r="J35" s="745"/>
      <c r="K35" s="724"/>
      <c r="L35" s="724"/>
      <c r="M35" s="724"/>
      <c r="N35" s="724"/>
      <c r="O35" s="724"/>
      <c r="P35" s="724"/>
      <c r="Q35" s="724"/>
      <c r="R35" s="725"/>
      <c r="S35" s="724"/>
      <c r="T35" s="724"/>
      <c r="U35" s="725"/>
      <c r="V35" s="730"/>
      <c r="W35" s="724"/>
      <c r="X35" s="725"/>
      <c r="Y35" s="730"/>
      <c r="Z35" s="724"/>
      <c r="AA35" s="724"/>
      <c r="AB35" s="724"/>
      <c r="AC35" s="724"/>
      <c r="AD35" s="724"/>
    </row>
    <row r="36">
      <c r="A36" s="730"/>
      <c r="B36" s="730"/>
      <c r="C36" s="730">
        <v>1.0</v>
      </c>
      <c r="D36" s="730">
        <v>2.0</v>
      </c>
      <c r="E36" s="730">
        <v>3.0</v>
      </c>
      <c r="F36" s="730">
        <v>4.0</v>
      </c>
      <c r="G36" s="730">
        <v>1.0</v>
      </c>
      <c r="H36" s="730">
        <v>2.0</v>
      </c>
      <c r="I36" s="730">
        <v>3.0</v>
      </c>
      <c r="J36" s="730">
        <v>4.0</v>
      </c>
      <c r="K36" s="724"/>
      <c r="L36" s="724"/>
      <c r="M36" s="724"/>
      <c r="N36" s="724"/>
      <c r="O36" s="724"/>
      <c r="P36" s="724"/>
      <c r="Q36" s="724"/>
      <c r="R36" s="725"/>
      <c r="S36" s="724"/>
      <c r="T36" s="724"/>
      <c r="U36" s="725"/>
      <c r="V36" s="724"/>
      <c r="W36" s="724"/>
      <c r="X36" s="724"/>
      <c r="Y36" s="724"/>
      <c r="Z36" s="724"/>
      <c r="AA36" s="724"/>
      <c r="AB36" s="724"/>
      <c r="AC36" s="724"/>
      <c r="AD36" s="724"/>
    </row>
    <row r="37">
      <c r="A37" s="730"/>
      <c r="B37" s="730" t="s">
        <v>749</v>
      </c>
      <c r="E37" s="752">
        <v>88556.0</v>
      </c>
      <c r="F37" s="752">
        <v>105128.0</v>
      </c>
      <c r="G37" s="752">
        <v>21052.0</v>
      </c>
      <c r="H37" s="528">
        <v>59413.0</v>
      </c>
      <c r="I37" s="752">
        <v>98485.0</v>
      </c>
      <c r="J37" s="421"/>
      <c r="K37" s="724"/>
      <c r="L37" s="724">
        <f>I37/H37*100-100</f>
        <v>65.76338512</v>
      </c>
      <c r="M37" s="724">
        <f>I37/E37*100-100</f>
        <v>11.21211437</v>
      </c>
      <c r="N37" s="724"/>
      <c r="O37" s="724"/>
      <c r="P37" s="724"/>
      <c r="Q37" s="724"/>
      <c r="R37" s="725"/>
      <c r="S37" s="724"/>
      <c r="T37" s="724"/>
      <c r="U37" s="725"/>
      <c r="V37" s="724"/>
      <c r="W37" s="724"/>
      <c r="X37" s="724"/>
      <c r="Y37" s="724"/>
      <c r="Z37" s="724"/>
      <c r="AA37" s="724"/>
      <c r="AB37" s="724"/>
      <c r="AC37" s="724"/>
      <c r="AD37" s="724"/>
    </row>
    <row r="38">
      <c r="B38" s="523" t="s">
        <v>750</v>
      </c>
      <c r="E38" s="752">
        <v>1.5289078891E10</v>
      </c>
      <c r="F38" s="752">
        <v>6.484854402E9</v>
      </c>
      <c r="G38" s="752">
        <v>3.483108555E9</v>
      </c>
      <c r="H38" s="752">
        <v>1.3228307062E10</v>
      </c>
      <c r="I38" s="752">
        <v>1.2542729255E10</v>
      </c>
      <c r="J38" s="753"/>
    </row>
    <row r="39">
      <c r="F39" s="753"/>
      <c r="G39" s="753"/>
      <c r="I39" s="753"/>
      <c r="J39" s="753"/>
    </row>
    <row r="40">
      <c r="A40" s="523" t="s">
        <v>751</v>
      </c>
      <c r="F40" s="753"/>
      <c r="G40" s="753"/>
      <c r="I40" s="753"/>
      <c r="J40" s="753"/>
    </row>
    <row r="41">
      <c r="B41" s="730"/>
      <c r="C41" s="724"/>
      <c r="D41" s="751">
        <v>2023.0</v>
      </c>
      <c r="E41" s="745"/>
      <c r="G41" s="745"/>
      <c r="H41" s="751">
        <v>2024.0</v>
      </c>
      <c r="I41" s="745"/>
      <c r="J41" s="745"/>
    </row>
    <row r="42">
      <c r="B42" s="730"/>
      <c r="C42" s="730">
        <v>1.0</v>
      </c>
      <c r="D42" s="730">
        <v>2.0</v>
      </c>
      <c r="E42" s="730">
        <v>3.0</v>
      </c>
      <c r="F42" s="730">
        <v>4.0</v>
      </c>
      <c r="G42" s="730">
        <v>1.0</v>
      </c>
      <c r="H42" s="730">
        <v>2.0</v>
      </c>
      <c r="I42" s="730">
        <v>3.0</v>
      </c>
      <c r="J42" s="730">
        <v>4.0</v>
      </c>
    </row>
    <row r="43">
      <c r="B43" s="730" t="s">
        <v>749</v>
      </c>
      <c r="E43" s="528">
        <v>137692.0</v>
      </c>
      <c r="F43" s="753">
        <v>107716.0</v>
      </c>
      <c r="G43" s="753"/>
      <c r="I43" s="753">
        <v>43232.0</v>
      </c>
      <c r="J43" s="753"/>
    </row>
    <row r="44">
      <c r="B44" s="523" t="s">
        <v>750</v>
      </c>
      <c r="E44" s="528">
        <v>4.3860195E10</v>
      </c>
      <c r="F44" s="753">
        <v>5.1905563648E10</v>
      </c>
      <c r="G44" s="753"/>
      <c r="I44" s="753">
        <v>3.5069971336E10</v>
      </c>
      <c r="J44" s="753"/>
    </row>
    <row r="45">
      <c r="F45" s="753"/>
      <c r="G45" s="753"/>
      <c r="I45" s="753"/>
      <c r="J45" s="753"/>
    </row>
    <row r="46">
      <c r="A46" s="754" t="s">
        <v>752</v>
      </c>
      <c r="C46" s="724"/>
      <c r="D46" s="751">
        <v>2023.0</v>
      </c>
      <c r="E46" s="745"/>
      <c r="G46" s="745"/>
      <c r="H46" s="751">
        <v>2024.0</v>
      </c>
      <c r="I46" s="745"/>
      <c r="J46" s="745"/>
      <c r="M46" s="730" t="s">
        <v>183</v>
      </c>
      <c r="N46" s="730" t="s">
        <v>185</v>
      </c>
      <c r="O46" s="730" t="s">
        <v>186</v>
      </c>
    </row>
    <row r="47">
      <c r="A47" s="754"/>
      <c r="C47" s="730">
        <v>1.0</v>
      </c>
      <c r="D47" s="730">
        <v>2.0</v>
      </c>
      <c r="E47" s="730">
        <v>3.0</v>
      </c>
      <c r="F47" s="730">
        <v>4.0</v>
      </c>
      <c r="G47" s="730">
        <v>1.0</v>
      </c>
      <c r="H47" s="730">
        <v>2.0</v>
      </c>
      <c r="I47" s="730">
        <v>3.0</v>
      </c>
      <c r="J47" s="730">
        <v>4.0</v>
      </c>
      <c r="M47" s="529">
        <f>I48/H48*100-100</f>
        <v>138.5286049</v>
      </c>
      <c r="N47" s="529">
        <f>I48/E48*100-100</f>
        <v>-37.36209823</v>
      </c>
      <c r="O47" s="529">
        <f>L48/L49*100-100</f>
        <v>-1.797142958</v>
      </c>
    </row>
    <row r="48">
      <c r="A48" s="754"/>
      <c r="B48" s="730" t="s">
        <v>749</v>
      </c>
      <c r="C48" s="724">
        <f t="shared" ref="C48:J48" si="3">C37++C43</f>
        <v>0</v>
      </c>
      <c r="D48" s="724">
        <f t="shared" si="3"/>
        <v>0</v>
      </c>
      <c r="E48" s="719">
        <f t="shared" si="3"/>
        <v>226248</v>
      </c>
      <c r="F48" s="719">
        <f t="shared" si="3"/>
        <v>212844</v>
      </c>
      <c r="G48" s="719">
        <f t="shared" si="3"/>
        <v>21052</v>
      </c>
      <c r="H48" s="719">
        <f t="shared" si="3"/>
        <v>59413</v>
      </c>
      <c r="I48" s="719">
        <f t="shared" si="3"/>
        <v>141717</v>
      </c>
      <c r="J48" s="755">
        <f t="shared" si="3"/>
        <v>0</v>
      </c>
      <c r="L48" s="527">
        <f>sum(G48:I48)</f>
        <v>222182</v>
      </c>
    </row>
    <row r="49">
      <c r="A49" s="754"/>
      <c r="B49" s="523" t="s">
        <v>750</v>
      </c>
      <c r="C49" s="724">
        <f t="shared" ref="C49:J49" si="4">C38++C44</f>
        <v>0</v>
      </c>
      <c r="D49" s="724">
        <f t="shared" si="4"/>
        <v>0</v>
      </c>
      <c r="E49" s="719">
        <f t="shared" si="4"/>
        <v>59149273891</v>
      </c>
      <c r="F49" s="719">
        <f t="shared" si="4"/>
        <v>58390418050</v>
      </c>
      <c r="G49" s="719">
        <f t="shared" si="4"/>
        <v>3483108555</v>
      </c>
      <c r="H49" s="719">
        <f t="shared" si="4"/>
        <v>13228307062</v>
      </c>
      <c r="I49" s="719">
        <f t="shared" si="4"/>
        <v>47612700591</v>
      </c>
      <c r="J49" s="755">
        <f t="shared" si="4"/>
        <v>0</v>
      </c>
      <c r="L49" s="529">
        <f>sum(C48:E48)</f>
        <v>226248</v>
      </c>
    </row>
    <row r="50">
      <c r="A50" s="754"/>
      <c r="C50" s="724"/>
      <c r="D50" s="751"/>
      <c r="E50" s="745"/>
      <c r="G50" s="745"/>
      <c r="H50" s="751"/>
      <c r="I50" s="745"/>
      <c r="J50" s="745"/>
    </row>
    <row r="51">
      <c r="A51" s="754" t="s">
        <v>753</v>
      </c>
      <c r="C51" s="724"/>
      <c r="D51" s="751">
        <v>2023.0</v>
      </c>
      <c r="E51" s="745"/>
      <c r="G51" s="745"/>
      <c r="H51" s="751">
        <v>2024.0</v>
      </c>
      <c r="I51" s="745"/>
      <c r="J51" s="745"/>
    </row>
    <row r="52">
      <c r="C52" s="730">
        <v>1.0</v>
      </c>
      <c r="D52" s="730">
        <v>2.0</v>
      </c>
      <c r="E52" s="730">
        <v>3.0</v>
      </c>
      <c r="F52" s="730">
        <v>4.0</v>
      </c>
      <c r="G52" s="730">
        <v>1.0</v>
      </c>
      <c r="H52" s="730">
        <v>2.0</v>
      </c>
      <c r="I52" s="730">
        <v>3.0</v>
      </c>
      <c r="J52" s="730">
        <v>4.0</v>
      </c>
    </row>
    <row r="53">
      <c r="B53" s="523" t="s">
        <v>754</v>
      </c>
      <c r="C53" s="756">
        <v>6.4602962E8</v>
      </c>
      <c r="D53" s="756">
        <v>6.4735181E8</v>
      </c>
      <c r="E53" s="756">
        <v>1.499033E9</v>
      </c>
      <c r="F53" s="753">
        <v>2.16118187E9</v>
      </c>
      <c r="G53" s="421">
        <v>2.5620564E7</v>
      </c>
      <c r="H53" s="421">
        <v>1.447061318E9</v>
      </c>
      <c r="I53" s="421">
        <v>3.2929763E9</v>
      </c>
      <c r="L53" s="529">
        <f>I53/H53*100-100</f>
        <v>127.5630106</v>
      </c>
      <c r="M53" s="529">
        <f>I53/E53*100-100</f>
        <v>119.6733694</v>
      </c>
    </row>
    <row r="54">
      <c r="C54" s="720"/>
      <c r="D54" s="752"/>
    </row>
    <row r="55">
      <c r="A55" s="754">
        <v>7410.0</v>
      </c>
      <c r="C55" s="724"/>
      <c r="D55" s="751">
        <v>2023.0</v>
      </c>
      <c r="E55" s="745"/>
      <c r="G55" s="745"/>
      <c r="H55" s="751">
        <v>2024.0</v>
      </c>
      <c r="I55" s="745"/>
      <c r="J55" s="745"/>
    </row>
    <row r="56">
      <c r="C56" s="730">
        <v>1.0</v>
      </c>
      <c r="D56" s="730">
        <v>2.0</v>
      </c>
      <c r="E56" s="730">
        <v>3.0</v>
      </c>
      <c r="F56" s="730">
        <v>4.0</v>
      </c>
      <c r="G56" s="730">
        <v>1.0</v>
      </c>
      <c r="H56" s="730">
        <v>2.0</v>
      </c>
      <c r="I56" s="730">
        <v>3.0</v>
      </c>
      <c r="J56" s="730">
        <v>4.0</v>
      </c>
    </row>
    <row r="57">
      <c r="A57" s="523" t="s">
        <v>755</v>
      </c>
      <c r="B57" s="12" t="s">
        <v>756</v>
      </c>
      <c r="C57" s="523">
        <v>19000.0</v>
      </c>
      <c r="D57" s="752">
        <v>1600.0</v>
      </c>
      <c r="E57" s="523">
        <v>0.0</v>
      </c>
      <c r="F57" s="523">
        <v>1800.0</v>
      </c>
      <c r="G57" s="523">
        <v>1500.0</v>
      </c>
      <c r="H57" s="523">
        <v>1500.0</v>
      </c>
    </row>
    <row r="58">
      <c r="B58" s="12" t="s">
        <v>757</v>
      </c>
      <c r="C58" s="523">
        <v>43115.0</v>
      </c>
      <c r="D58" s="421">
        <v>43235.0</v>
      </c>
      <c r="E58" s="523">
        <v>43240.0</v>
      </c>
      <c r="F58" s="523">
        <v>48164.0</v>
      </c>
      <c r="G58" s="523">
        <v>23230.0</v>
      </c>
      <c r="H58" s="523">
        <v>112310.0</v>
      </c>
      <c r="I58" s="523">
        <v>115135.0</v>
      </c>
    </row>
    <row r="59">
      <c r="B59" s="523" t="s">
        <v>758</v>
      </c>
      <c r="C59" s="756">
        <f t="shared" ref="C59:J59" si="5">sum(C57:C58)</f>
        <v>62115</v>
      </c>
      <c r="D59" s="756">
        <f t="shared" si="5"/>
        <v>44835</v>
      </c>
      <c r="E59" s="756">
        <f t="shared" si="5"/>
        <v>43240</v>
      </c>
      <c r="F59" s="756">
        <f t="shared" si="5"/>
        <v>49964</v>
      </c>
      <c r="G59" s="756">
        <f t="shared" si="5"/>
        <v>24730</v>
      </c>
      <c r="H59" s="756">
        <f t="shared" si="5"/>
        <v>113810</v>
      </c>
      <c r="I59" s="756">
        <f t="shared" si="5"/>
        <v>115135</v>
      </c>
      <c r="J59" s="756">
        <f t="shared" si="5"/>
        <v>0</v>
      </c>
      <c r="L59" s="529">
        <f>I59/H59*100-100</f>
        <v>1.16422107</v>
      </c>
      <c r="M59" s="529">
        <f>I59/E59*100-100</f>
        <v>166.2696577</v>
      </c>
    </row>
    <row r="60">
      <c r="A60" s="523"/>
      <c r="B60" s="757"/>
      <c r="C60" s="756"/>
      <c r="D60" s="421"/>
    </row>
    <row r="61">
      <c r="A61" s="523">
        <v>7412.0</v>
      </c>
      <c r="B61" s="757" t="s">
        <v>759</v>
      </c>
      <c r="C61" s="756"/>
      <c r="D61" s="421"/>
    </row>
    <row r="62">
      <c r="C62" s="724"/>
      <c r="D62" s="751">
        <v>2023.0</v>
      </c>
      <c r="E62" s="745"/>
      <c r="G62" s="745"/>
      <c r="H62" s="751">
        <v>2024.0</v>
      </c>
      <c r="I62" s="745"/>
      <c r="J62" s="745"/>
    </row>
    <row r="63">
      <c r="C63" s="730">
        <v>1.0</v>
      </c>
      <c r="D63" s="730">
        <v>2.0</v>
      </c>
      <c r="E63" s="730">
        <v>3.0</v>
      </c>
      <c r="F63" s="730">
        <v>4.0</v>
      </c>
      <c r="G63" s="730">
        <v>1.0</v>
      </c>
      <c r="H63" s="730">
        <v>2.0</v>
      </c>
      <c r="I63" s="730">
        <v>3.0</v>
      </c>
      <c r="J63" s="730">
        <v>4.0</v>
      </c>
    </row>
    <row r="64">
      <c r="B64" s="523" t="s">
        <v>760</v>
      </c>
      <c r="C64" s="523">
        <v>288588.2271</v>
      </c>
      <c r="D64" s="751">
        <v>212364.8476</v>
      </c>
      <c r="E64" s="751">
        <v>176234.9253</v>
      </c>
      <c r="F64" s="523">
        <v>0.0</v>
      </c>
      <c r="G64" s="751">
        <v>39846.0</v>
      </c>
      <c r="H64" s="751">
        <v>145217.0</v>
      </c>
      <c r="I64" s="751">
        <v>116112.0</v>
      </c>
      <c r="J64" s="745"/>
      <c r="L64" s="529">
        <f>I64/H64*100-100</f>
        <v>-20.04241928</v>
      </c>
      <c r="M64" s="529">
        <f>I64/E64*100-100</f>
        <v>-34.11521592</v>
      </c>
    </row>
    <row r="65">
      <c r="B65" s="523"/>
      <c r="C65" s="724"/>
      <c r="D65" s="751"/>
      <c r="E65" s="745"/>
      <c r="G65" s="745"/>
      <c r="H65" s="751"/>
      <c r="I65" s="745"/>
      <c r="J65" s="745"/>
    </row>
    <row r="66">
      <c r="B66" s="523"/>
      <c r="C66" s="724"/>
      <c r="D66" s="751"/>
      <c r="E66" s="745"/>
      <c r="G66" s="745"/>
      <c r="H66" s="751"/>
      <c r="I66" s="745"/>
      <c r="J66" s="745"/>
    </row>
    <row r="67">
      <c r="B67" s="523"/>
      <c r="C67" s="724"/>
      <c r="D67" s="751"/>
      <c r="E67" s="745"/>
      <c r="G67" s="745"/>
      <c r="H67" s="751"/>
      <c r="I67" s="745"/>
      <c r="J67" s="745"/>
    </row>
    <row r="68">
      <c r="B68" s="523">
        <v>7400.0</v>
      </c>
      <c r="C68" s="724"/>
      <c r="D68" s="751">
        <v>2023.0</v>
      </c>
      <c r="E68" s="745"/>
      <c r="G68" s="745"/>
      <c r="H68" s="751">
        <v>2024.0</v>
      </c>
      <c r="I68" s="745"/>
      <c r="J68" s="745"/>
    </row>
    <row r="69">
      <c r="C69" s="730">
        <v>1.0</v>
      </c>
      <c r="D69" s="730">
        <v>2.0</v>
      </c>
      <c r="E69" s="730">
        <v>3.0</v>
      </c>
      <c r="F69" s="730">
        <v>4.0</v>
      </c>
      <c r="G69" s="730">
        <v>1.0</v>
      </c>
      <c r="H69" s="730">
        <v>2.0</v>
      </c>
      <c r="I69" s="730">
        <v>3.0</v>
      </c>
      <c r="J69" s="730">
        <v>4.0</v>
      </c>
    </row>
    <row r="70">
      <c r="C70" s="529">
        <f>average(F15,C28,C37,C43,C57,C58,C64,C53)</f>
        <v>107792561.9</v>
      </c>
      <c r="D70" s="529">
        <f>average(I15,D28,D37,D43,D53,D57,D58,D64)</f>
        <v>108023744.6</v>
      </c>
      <c r="E70" s="529">
        <f>average(L15,E28,E37,E43,E53,E57,E58,E64)</f>
        <v>187605422.5</v>
      </c>
      <c r="F70" s="529">
        <f>average(O15,F28,F37,F43,F53,F57,F58,F64)</f>
        <v>270297487.4</v>
      </c>
      <c r="G70" s="529">
        <f>average(R15,G28,G37,G43,G53,G57,G58,G64)</f>
        <v>3782603.571</v>
      </c>
      <c r="H70" s="529">
        <f>average(U15,H28,H37,H43,H53,H57,H58,H64)</f>
        <v>207015688.6</v>
      </c>
      <c r="I70" s="529">
        <f>average(X15,I28,I37,I43,I53,I57,I58,I64)</f>
        <v>470717860.1</v>
      </c>
      <c r="J70" s="529">
        <f>average(AA15,J28,J37,J43,J53,J57,J58,J64)</f>
        <v>0</v>
      </c>
    </row>
    <row r="72">
      <c r="B72" s="523" t="s">
        <v>183</v>
      </c>
      <c r="H72" s="523" t="s">
        <v>183</v>
      </c>
      <c r="I72" s="529">
        <f>(I70/H70)*100-100</f>
        <v>127.382699</v>
      </c>
      <c r="J72" s="529">
        <f>H70/G70*100-100</f>
        <v>5372.835962</v>
      </c>
    </row>
    <row r="73">
      <c r="B73" s="523" t="s">
        <v>185</v>
      </c>
      <c r="H73" s="523" t="s">
        <v>185</v>
      </c>
      <c r="I73" s="529">
        <f>I70/E70*100-100</f>
        <v>150.9084513</v>
      </c>
      <c r="J73" s="529">
        <f>H70/D70*100-100</f>
        <v>91.63905978</v>
      </c>
    </row>
    <row r="74">
      <c r="B74" s="523" t="s">
        <v>186</v>
      </c>
      <c r="H74" s="523" t="s">
        <v>186</v>
      </c>
      <c r="I74" s="529">
        <f>(sum(G70:I70)/sum(C70:E70))*100-100</f>
        <v>68.93392281</v>
      </c>
    </row>
  </sheetData>
  <mergeCells count="6">
    <mergeCell ref="D2:O2"/>
    <mergeCell ref="P2:AA2"/>
    <mergeCell ref="B3:C3"/>
    <mergeCell ref="B4:B6"/>
    <mergeCell ref="B7:B9"/>
    <mergeCell ref="B10:B1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758"/>
      <c r="B1" s="759" t="s">
        <v>761</v>
      </c>
      <c r="C1" s="760"/>
      <c r="D1" s="760"/>
      <c r="E1" s="760"/>
      <c r="F1" s="760"/>
      <c r="G1" s="761"/>
      <c r="H1" s="762"/>
      <c r="J1" s="763" t="s">
        <v>762</v>
      </c>
      <c r="K1" s="764"/>
      <c r="L1" s="764"/>
      <c r="M1" s="764"/>
      <c r="N1" s="764"/>
      <c r="O1" s="765"/>
      <c r="P1" s="766"/>
      <c r="Q1" s="12"/>
      <c r="R1" s="12"/>
      <c r="S1" s="12"/>
      <c r="T1" s="12"/>
      <c r="U1" s="12"/>
      <c r="V1" s="12"/>
      <c r="W1" s="12"/>
      <c r="X1" s="12"/>
      <c r="Y1" s="12"/>
      <c r="Z1" s="12"/>
      <c r="AA1" s="724"/>
      <c r="AB1" s="724"/>
      <c r="AC1" s="724"/>
      <c r="AD1" s="724"/>
    </row>
    <row r="2">
      <c r="A2" s="767"/>
      <c r="B2" s="768">
        <v>2023.0</v>
      </c>
      <c r="C2" s="506"/>
      <c r="D2" s="506"/>
      <c r="E2" s="507"/>
      <c r="F2" s="768">
        <v>2024.0</v>
      </c>
      <c r="G2" s="506"/>
      <c r="H2" s="507"/>
      <c r="J2" s="768">
        <v>2023.0</v>
      </c>
      <c r="K2" s="506"/>
      <c r="L2" s="506"/>
      <c r="M2" s="507"/>
      <c r="N2" s="768">
        <v>2024.0</v>
      </c>
      <c r="O2" s="506"/>
      <c r="P2" s="506"/>
      <c r="Q2" s="507"/>
      <c r="R2" s="12"/>
      <c r="S2" s="12"/>
      <c r="T2" s="12"/>
      <c r="U2" s="12"/>
      <c r="V2" s="12"/>
      <c r="W2" s="12"/>
      <c r="X2" s="12"/>
      <c r="Y2" s="12"/>
      <c r="Z2" s="12"/>
      <c r="AA2" s="724"/>
      <c r="AB2" s="724"/>
      <c r="AC2" s="724"/>
      <c r="AD2" s="724"/>
    </row>
    <row r="3">
      <c r="A3" s="769"/>
      <c r="B3" s="770" t="s">
        <v>763</v>
      </c>
      <c r="C3" s="770" t="s">
        <v>764</v>
      </c>
      <c r="D3" s="770" t="s">
        <v>765</v>
      </c>
      <c r="E3" s="770" t="s">
        <v>766</v>
      </c>
      <c r="F3" s="770" t="s">
        <v>763</v>
      </c>
      <c r="G3" s="770" t="s">
        <v>764</v>
      </c>
      <c r="H3" s="770" t="s">
        <v>765</v>
      </c>
      <c r="I3" s="770" t="s">
        <v>766</v>
      </c>
      <c r="J3" s="770" t="s">
        <v>763</v>
      </c>
      <c r="K3" s="770" t="s">
        <v>764</v>
      </c>
      <c r="L3" s="770" t="s">
        <v>765</v>
      </c>
      <c r="M3" s="770" t="s">
        <v>766</v>
      </c>
      <c r="N3" s="770" t="s">
        <v>763</v>
      </c>
      <c r="O3" s="770" t="s">
        <v>764</v>
      </c>
      <c r="P3" s="770" t="s">
        <v>765</v>
      </c>
      <c r="Q3" s="770" t="s">
        <v>766</v>
      </c>
      <c r="R3" s="771"/>
      <c r="S3" s="771"/>
      <c r="T3" s="771"/>
      <c r="U3" s="771"/>
      <c r="V3" s="771"/>
      <c r="W3" s="771"/>
      <c r="X3" s="771"/>
      <c r="Y3" s="771"/>
      <c r="Z3" s="771"/>
      <c r="AA3" s="724"/>
      <c r="AB3" s="724"/>
      <c r="AC3" s="724"/>
      <c r="AD3" s="724"/>
    </row>
    <row r="4">
      <c r="A4" s="767" t="s">
        <v>767</v>
      </c>
      <c r="B4" s="772">
        <v>899748.0</v>
      </c>
      <c r="C4" s="772">
        <v>773062.0</v>
      </c>
      <c r="D4" s="772">
        <v>717461.0</v>
      </c>
      <c r="E4" s="772">
        <v>198424.0</v>
      </c>
      <c r="F4" s="772">
        <v>344042.0</v>
      </c>
      <c r="G4" s="772">
        <v>1190152.0</v>
      </c>
      <c r="H4" s="772">
        <v>1124903.0</v>
      </c>
      <c r="I4" s="528">
        <f>AA28</f>
        <v>295482</v>
      </c>
      <c r="J4" s="773">
        <v>1.42166246558E11</v>
      </c>
      <c r="K4" s="773">
        <v>1.24353474277E11</v>
      </c>
      <c r="L4" s="773">
        <v>1.1268964643E11</v>
      </c>
      <c r="M4" s="773">
        <v>3.6133740723E10</v>
      </c>
      <c r="N4" s="773">
        <v>4.1823E10</v>
      </c>
      <c r="O4" s="773">
        <v>1.04384E11</v>
      </c>
      <c r="P4" s="773">
        <v>1.44768E11</v>
      </c>
      <c r="Q4" s="12"/>
      <c r="R4" s="12"/>
      <c r="S4" s="12"/>
      <c r="T4" s="12"/>
      <c r="U4" s="12"/>
      <c r="V4" s="12"/>
      <c r="W4" s="12"/>
      <c r="X4" s="12"/>
      <c r="Y4" s="12"/>
      <c r="Z4" s="12"/>
      <c r="AA4" s="724"/>
      <c r="AB4" s="724"/>
      <c r="AC4" s="724"/>
      <c r="AD4" s="724"/>
    </row>
    <row r="5">
      <c r="A5" s="774" t="s">
        <v>768</v>
      </c>
      <c r="B5" s="775">
        <v>635531.2</v>
      </c>
      <c r="C5" s="775">
        <v>799401.83</v>
      </c>
      <c r="D5" s="775">
        <v>1115215.07</v>
      </c>
      <c r="E5" s="775">
        <v>833665.25</v>
      </c>
      <c r="F5" s="775">
        <v>877850.27</v>
      </c>
      <c r="G5" s="775">
        <v>767477.07</v>
      </c>
      <c r="H5" s="776">
        <v>1182745.0</v>
      </c>
      <c r="I5" s="777">
        <v>1392460.0</v>
      </c>
      <c r="J5" s="778">
        <v>5.54203716429E11</v>
      </c>
      <c r="K5" s="778">
        <v>6.086751286804E11</v>
      </c>
      <c r="L5" s="778">
        <v>7.2931210157619E11</v>
      </c>
      <c r="M5" s="778">
        <v>5.0942805836457E11</v>
      </c>
      <c r="N5" s="779"/>
      <c r="O5" s="779"/>
      <c r="P5" s="778">
        <v>4.26127811855E11</v>
      </c>
      <c r="Q5" s="780"/>
      <c r="R5" s="780"/>
      <c r="S5" s="780"/>
      <c r="T5" s="780"/>
      <c r="U5" s="780"/>
      <c r="V5" s="780"/>
      <c r="W5" s="780"/>
      <c r="X5" s="780"/>
      <c r="Y5" s="780"/>
      <c r="Z5" s="780"/>
      <c r="AA5" s="781"/>
      <c r="AB5" s="781"/>
      <c r="AC5" s="781"/>
      <c r="AD5" s="781"/>
      <c r="AE5" s="782"/>
    </row>
    <row r="6">
      <c r="A6" s="774" t="s">
        <v>769</v>
      </c>
      <c r="B6" s="775">
        <v>0.0</v>
      </c>
      <c r="C6" s="775">
        <v>0.0</v>
      </c>
      <c r="D6" s="775">
        <v>0.0</v>
      </c>
      <c r="E6" s="775">
        <v>124121.76</v>
      </c>
      <c r="F6" s="775">
        <v>64422.0</v>
      </c>
      <c r="G6" s="775">
        <v>294959.0</v>
      </c>
      <c r="H6" s="775">
        <v>663967.0</v>
      </c>
      <c r="J6" s="778">
        <v>0.0</v>
      </c>
      <c r="K6" s="778">
        <v>0.0</v>
      </c>
      <c r="L6" s="778">
        <v>0.0</v>
      </c>
      <c r="M6" s="778">
        <v>7.729056489E9</v>
      </c>
      <c r="N6" s="779"/>
      <c r="O6" s="778">
        <v>1.7972822466E10</v>
      </c>
      <c r="P6" s="778">
        <v>4.0408220589E10</v>
      </c>
      <c r="Q6" s="780"/>
      <c r="R6" s="780"/>
      <c r="S6" s="780"/>
      <c r="T6" s="780"/>
      <c r="U6" s="780"/>
      <c r="V6" s="780"/>
      <c r="W6" s="780"/>
      <c r="X6" s="780"/>
      <c r="Y6" s="780"/>
      <c r="Z6" s="780"/>
      <c r="AA6" s="781"/>
      <c r="AB6" s="781"/>
      <c r="AC6" s="781"/>
      <c r="AD6" s="781"/>
      <c r="AE6" s="782"/>
    </row>
    <row r="7">
      <c r="A7" s="767"/>
      <c r="B7" s="783"/>
      <c r="C7" s="783"/>
      <c r="D7" s="783"/>
      <c r="E7" s="783"/>
      <c r="F7" s="783"/>
      <c r="G7" s="783"/>
      <c r="H7" s="783"/>
      <c r="J7" s="783"/>
      <c r="K7" s="783"/>
      <c r="L7" s="783"/>
      <c r="M7" s="783"/>
      <c r="N7" s="783"/>
      <c r="O7" s="783"/>
      <c r="P7" s="783"/>
      <c r="Q7" s="12"/>
      <c r="R7" s="12"/>
      <c r="S7" s="12"/>
      <c r="T7" s="12"/>
      <c r="U7" s="12"/>
      <c r="V7" s="12"/>
      <c r="W7" s="12"/>
      <c r="X7" s="12"/>
      <c r="Y7" s="12"/>
      <c r="Z7" s="12"/>
      <c r="AA7" s="724"/>
      <c r="AB7" s="724"/>
      <c r="AC7" s="724"/>
      <c r="AD7" s="724"/>
    </row>
    <row r="8">
      <c r="A8" s="784" t="s">
        <v>770</v>
      </c>
      <c r="B8" s="785">
        <f t="shared" ref="B8:P8" si="1">SUM(B4:B6)</f>
        <v>1535279.2</v>
      </c>
      <c r="C8" s="785">
        <f t="shared" si="1"/>
        <v>1572463.83</v>
      </c>
      <c r="D8" s="785">
        <f t="shared" si="1"/>
        <v>1832676.07</v>
      </c>
      <c r="E8" s="785">
        <f t="shared" si="1"/>
        <v>1156211.01</v>
      </c>
      <c r="F8" s="785">
        <f t="shared" si="1"/>
        <v>1286314.27</v>
      </c>
      <c r="G8" s="785">
        <f t="shared" si="1"/>
        <v>2252588.07</v>
      </c>
      <c r="H8" s="785">
        <f t="shared" si="1"/>
        <v>2971615</v>
      </c>
      <c r="I8" s="785">
        <f t="shared" si="1"/>
        <v>1687942</v>
      </c>
      <c r="J8" s="785">
        <f t="shared" si="1"/>
        <v>696369962987</v>
      </c>
      <c r="K8" s="785">
        <f t="shared" si="1"/>
        <v>733028602957</v>
      </c>
      <c r="L8" s="785">
        <f t="shared" si="1"/>
        <v>842001748006</v>
      </c>
      <c r="M8" s="785">
        <f t="shared" si="1"/>
        <v>553290855577</v>
      </c>
      <c r="N8" s="785">
        <f t="shared" si="1"/>
        <v>41823000000</v>
      </c>
      <c r="O8" s="785">
        <f t="shared" si="1"/>
        <v>122356822466</v>
      </c>
      <c r="P8" s="785">
        <f t="shared" si="1"/>
        <v>611304032444</v>
      </c>
      <c r="Q8" s="786"/>
      <c r="R8" s="786"/>
      <c r="S8" s="786"/>
      <c r="T8" s="786"/>
      <c r="U8" s="786"/>
      <c r="V8" s="786"/>
      <c r="W8" s="786"/>
      <c r="X8" s="786"/>
      <c r="Y8" s="786"/>
      <c r="Z8" s="786"/>
      <c r="AA8" s="724"/>
      <c r="AB8" s="724"/>
      <c r="AC8" s="724"/>
      <c r="AD8" s="724"/>
    </row>
    <row r="9">
      <c r="A9" s="758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758"/>
      <c r="Q9" s="12"/>
      <c r="R9" s="12"/>
      <c r="S9" s="12"/>
      <c r="T9" s="12"/>
      <c r="U9" s="12"/>
      <c r="V9" s="12"/>
      <c r="W9" s="12"/>
      <c r="X9" s="12"/>
      <c r="Y9" s="12"/>
      <c r="Z9" s="12"/>
      <c r="AA9" s="724"/>
      <c r="AB9" s="724"/>
      <c r="AC9" s="724"/>
      <c r="AD9" s="724"/>
    </row>
    <row r="10">
      <c r="A10" s="758" t="s">
        <v>170</v>
      </c>
      <c r="B10" s="12"/>
      <c r="C10" s="787">
        <f t="shared" ref="C10:I10" si="2">(C8-B8)/B8*100</f>
        <v>2.422010928</v>
      </c>
      <c r="D10" s="787">
        <f t="shared" si="2"/>
        <v>16.54805885</v>
      </c>
      <c r="E10" s="787">
        <f t="shared" si="2"/>
        <v>-36.91132716</v>
      </c>
      <c r="F10" s="787">
        <f t="shared" si="2"/>
        <v>11.25255329</v>
      </c>
      <c r="G10" s="787">
        <f t="shared" si="2"/>
        <v>75.11957401</v>
      </c>
      <c r="H10" s="787">
        <f t="shared" si="2"/>
        <v>31.92003632</v>
      </c>
      <c r="I10" s="787">
        <f t="shared" si="2"/>
        <v>-43.19782341</v>
      </c>
      <c r="J10" s="12">
        <f>I4/H4*100-100</f>
        <v>-73.73266851</v>
      </c>
      <c r="K10" s="12"/>
      <c r="L10" s="12"/>
      <c r="M10" s="12"/>
      <c r="N10" s="12"/>
      <c r="O10" s="12"/>
      <c r="P10" s="758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724"/>
      <c r="AB10" s="724"/>
      <c r="AC10" s="724"/>
      <c r="AD10" s="724"/>
    </row>
    <row r="11">
      <c r="A11" s="758" t="s">
        <v>771</v>
      </c>
      <c r="B11" s="12"/>
      <c r="C11" s="12"/>
      <c r="D11" s="12"/>
      <c r="E11" s="12"/>
      <c r="F11" s="787">
        <f t="shared" ref="F11:I11" si="3">(F8-B8)/B8*100</f>
        <v>-16.21626412</v>
      </c>
      <c r="G11" s="787">
        <f t="shared" si="3"/>
        <v>43.25213891</v>
      </c>
      <c r="H11" s="787">
        <f t="shared" si="3"/>
        <v>62.14622151</v>
      </c>
      <c r="I11" s="787">
        <f t="shared" si="3"/>
        <v>45.98909588</v>
      </c>
      <c r="J11" s="12">
        <f>I4/E4*100-100</f>
        <v>48.91444583</v>
      </c>
      <c r="K11" s="12"/>
      <c r="L11" s="12"/>
      <c r="M11" s="12"/>
      <c r="N11" s="12"/>
      <c r="O11" s="12"/>
      <c r="P11" s="758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724"/>
      <c r="AB11" s="724"/>
      <c r="AC11" s="724"/>
      <c r="AD11" s="724"/>
    </row>
    <row r="12">
      <c r="A12" s="758" t="s">
        <v>772</v>
      </c>
      <c r="B12" s="788">
        <f>B8</f>
        <v>1535279.2</v>
      </c>
      <c r="C12" s="789">
        <f>C8+B8</f>
        <v>3107743.03</v>
      </c>
      <c r="D12" s="789">
        <f>B8+C8+D8</f>
        <v>4940419.1</v>
      </c>
      <c r="E12" s="789">
        <f>B8+C8+D8+E8</f>
        <v>6096630.11</v>
      </c>
      <c r="F12" s="788">
        <f>F8</f>
        <v>1286314.27</v>
      </c>
      <c r="G12" s="790">
        <f>G8+F8</f>
        <v>3538902.34</v>
      </c>
      <c r="H12" s="790">
        <f>F8+G8+H8</f>
        <v>6510517.34</v>
      </c>
      <c r="I12" s="790">
        <f>sum(F8:I8)</f>
        <v>8198459.34</v>
      </c>
      <c r="J12" s="12">
        <f>sum(F4:I4)/sum(B4:E4)*100-100</f>
        <v>14.1339169</v>
      </c>
      <c r="K12" s="12"/>
      <c r="L12" s="12"/>
      <c r="M12" s="12"/>
      <c r="N12" s="12"/>
      <c r="O12" s="12"/>
      <c r="P12" s="758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724"/>
      <c r="AB12" s="724"/>
      <c r="AC12" s="724"/>
      <c r="AD12" s="724"/>
    </row>
    <row r="13">
      <c r="A13" s="758" t="s">
        <v>773</v>
      </c>
      <c r="B13" s="12"/>
      <c r="C13" s="12"/>
      <c r="D13" s="12"/>
      <c r="E13" s="12"/>
      <c r="F13" s="787">
        <f t="shared" ref="F13:I13" si="4">(F12-B12)/B12*100</f>
        <v>-16.21626412</v>
      </c>
      <c r="G13" s="787">
        <f t="shared" si="4"/>
        <v>13.87371175</v>
      </c>
      <c r="H13" s="787">
        <f t="shared" si="4"/>
        <v>31.78066897</v>
      </c>
      <c r="I13" s="787">
        <f t="shared" si="4"/>
        <v>34.47526243</v>
      </c>
      <c r="J13" s="12"/>
      <c r="K13" s="12"/>
      <c r="L13" s="12"/>
      <c r="M13" s="12"/>
      <c r="N13" s="12"/>
      <c r="O13" s="12"/>
      <c r="P13" s="758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724"/>
      <c r="AB13" s="724"/>
      <c r="AC13" s="724"/>
      <c r="AD13" s="724"/>
    </row>
    <row r="14">
      <c r="A14" s="723"/>
      <c r="B14" s="724"/>
      <c r="C14" s="724"/>
      <c r="D14" s="724"/>
      <c r="E14" s="724"/>
      <c r="F14" s="724"/>
      <c r="G14" s="724"/>
      <c r="H14" s="724"/>
      <c r="I14" s="724"/>
      <c r="J14" s="724"/>
      <c r="K14" s="724"/>
      <c r="L14" s="724"/>
      <c r="M14" s="724"/>
      <c r="N14" s="724"/>
      <c r="O14" s="724"/>
      <c r="P14" s="725"/>
      <c r="Q14" s="724"/>
      <c r="R14" s="724"/>
      <c r="S14" s="724"/>
      <c r="T14" s="724"/>
      <c r="U14" s="724"/>
      <c r="V14" s="724"/>
      <c r="W14" s="724"/>
      <c r="X14" s="724"/>
      <c r="Y14" s="724"/>
      <c r="Z14" s="724"/>
      <c r="AA14" s="724"/>
      <c r="AB14" s="724"/>
      <c r="AC14" s="724"/>
      <c r="AD14" s="724"/>
    </row>
    <row r="15">
      <c r="A15" s="723" t="s">
        <v>682</v>
      </c>
      <c r="B15" s="726"/>
      <c r="C15" s="726"/>
      <c r="D15" s="727">
        <v>2023.0</v>
      </c>
      <c r="E15" s="506"/>
      <c r="F15" s="506"/>
      <c r="G15" s="506"/>
      <c r="H15" s="506"/>
      <c r="I15" s="506"/>
      <c r="J15" s="506"/>
      <c r="K15" s="506"/>
      <c r="L15" s="506"/>
      <c r="M15" s="506"/>
      <c r="N15" s="506"/>
      <c r="O15" s="507"/>
      <c r="P15" s="727">
        <v>2024.0</v>
      </c>
      <c r="Q15" s="506"/>
      <c r="R15" s="506"/>
      <c r="S15" s="506"/>
      <c r="T15" s="506"/>
      <c r="U15" s="506"/>
      <c r="V15" s="506"/>
      <c r="W15" s="506"/>
      <c r="X15" s="506"/>
      <c r="Y15" s="506"/>
      <c r="Z15" s="506"/>
      <c r="AA15" s="507"/>
      <c r="AB15" s="724"/>
      <c r="AC15" s="724"/>
      <c r="AD15" s="724"/>
    </row>
    <row r="16">
      <c r="A16" s="724"/>
      <c r="B16" s="728" t="s">
        <v>683</v>
      </c>
      <c r="C16" s="507"/>
      <c r="D16" s="729" t="s">
        <v>130</v>
      </c>
      <c r="E16" s="729" t="s">
        <v>131</v>
      </c>
      <c r="F16" s="729" t="s">
        <v>684</v>
      </c>
      <c r="G16" s="729" t="s">
        <v>685</v>
      </c>
      <c r="H16" s="729" t="s">
        <v>134</v>
      </c>
      <c r="I16" s="729" t="s">
        <v>686</v>
      </c>
      <c r="J16" s="729" t="s">
        <v>687</v>
      </c>
      <c r="K16" s="729" t="s">
        <v>688</v>
      </c>
      <c r="L16" s="729" t="s">
        <v>689</v>
      </c>
      <c r="M16" s="729" t="s">
        <v>139</v>
      </c>
      <c r="N16" s="729" t="s">
        <v>140</v>
      </c>
      <c r="O16" s="729" t="s">
        <v>141</v>
      </c>
      <c r="P16" s="729" t="s">
        <v>130</v>
      </c>
      <c r="Q16" s="729" t="s">
        <v>131</v>
      </c>
      <c r="R16" s="729" t="s">
        <v>132</v>
      </c>
      <c r="S16" s="729" t="s">
        <v>133</v>
      </c>
      <c r="T16" s="729" t="s">
        <v>690</v>
      </c>
      <c r="U16" s="729" t="s">
        <v>135</v>
      </c>
      <c r="V16" s="729" t="s">
        <v>687</v>
      </c>
      <c r="W16" s="729" t="s">
        <v>688</v>
      </c>
      <c r="X16" s="729" t="s">
        <v>689</v>
      </c>
      <c r="Y16" s="729" t="s">
        <v>139</v>
      </c>
      <c r="Z16" s="729" t="s">
        <v>140</v>
      </c>
      <c r="AA16" s="729" t="s">
        <v>141</v>
      </c>
      <c r="AB16" s="724"/>
      <c r="AC16" s="724"/>
      <c r="AD16" s="730"/>
    </row>
    <row r="17">
      <c r="A17" s="730">
        <v>7404.0</v>
      </c>
      <c r="B17" s="731" t="s">
        <v>691</v>
      </c>
      <c r="C17" s="732" t="s">
        <v>692</v>
      </c>
      <c r="D17" s="791"/>
      <c r="E17" s="791"/>
      <c r="F17" s="791">
        <v>204236.0</v>
      </c>
      <c r="G17" s="792">
        <v>144837.0</v>
      </c>
      <c r="H17" s="730">
        <v>125755.0</v>
      </c>
      <c r="I17" s="730">
        <v>52077.0</v>
      </c>
      <c r="J17" s="523">
        <v>52888.0</v>
      </c>
      <c r="K17" s="730">
        <v>69546.0</v>
      </c>
      <c r="L17" s="730">
        <v>201751.0</v>
      </c>
      <c r="M17" s="730">
        <v>198424.0</v>
      </c>
      <c r="N17" s="793"/>
      <c r="O17" s="793"/>
      <c r="P17" s="794"/>
      <c r="Q17" s="794"/>
      <c r="R17" s="791">
        <v>204236.0</v>
      </c>
      <c r="S17" s="791">
        <v>144837.0</v>
      </c>
      <c r="T17" s="791">
        <v>125755.0</v>
      </c>
      <c r="U17" s="791">
        <v>111597.0</v>
      </c>
      <c r="V17" s="791">
        <v>120480.0</v>
      </c>
      <c r="W17" s="795">
        <v>137054.0</v>
      </c>
      <c r="X17" s="796">
        <v>253816.0</v>
      </c>
      <c r="Y17" s="796">
        <v>166037.0</v>
      </c>
      <c r="Z17" s="796">
        <v>119966.0</v>
      </c>
      <c r="AA17" s="796">
        <v>0.0</v>
      </c>
      <c r="AB17" s="752">
        <f>V17+W17+X17</f>
        <v>511350</v>
      </c>
      <c r="AC17" s="752">
        <f>Y17+Z17+AA17</f>
        <v>286003</v>
      </c>
      <c r="AD17" s="725"/>
    </row>
    <row r="18">
      <c r="A18" s="730" t="s">
        <v>774</v>
      </c>
      <c r="B18" s="513"/>
      <c r="C18" s="732" t="s">
        <v>696</v>
      </c>
      <c r="D18" s="791"/>
      <c r="E18" s="791"/>
      <c r="F18" s="791" t="s">
        <v>697</v>
      </c>
      <c r="G18" s="791" t="s">
        <v>698</v>
      </c>
      <c r="H18" s="791" t="s">
        <v>699</v>
      </c>
      <c r="I18" s="791">
        <v>12446.59</v>
      </c>
      <c r="J18" s="791">
        <v>10705.39</v>
      </c>
      <c r="K18" s="791">
        <v>14670.48</v>
      </c>
      <c r="L18" s="791">
        <v>25466.79</v>
      </c>
      <c r="M18" s="791">
        <v>36133.74</v>
      </c>
      <c r="N18" s="793"/>
      <c r="O18" s="793"/>
      <c r="P18" s="794"/>
      <c r="Q18" s="794"/>
      <c r="R18" s="791">
        <v>28198.0</v>
      </c>
      <c r="S18" s="791">
        <v>14879.0</v>
      </c>
      <c r="T18" s="791">
        <v>17445.0</v>
      </c>
      <c r="U18" s="791">
        <v>8909.0</v>
      </c>
      <c r="V18" s="791">
        <v>18041.0</v>
      </c>
      <c r="W18" s="795">
        <v>18686.0</v>
      </c>
      <c r="X18" s="796">
        <v>41860.0</v>
      </c>
      <c r="Y18" s="796">
        <v>4.5554597352E10</v>
      </c>
      <c r="Z18" s="796">
        <v>3.793564852E10</v>
      </c>
      <c r="AA18" s="796">
        <v>0.0</v>
      </c>
      <c r="AB18" s="730"/>
      <c r="AC18" s="730"/>
      <c r="AD18" s="725"/>
    </row>
    <row r="19">
      <c r="A19" s="724"/>
      <c r="B19" s="55"/>
      <c r="C19" s="732" t="s">
        <v>700</v>
      </c>
      <c r="D19" s="791"/>
      <c r="E19" s="791"/>
      <c r="F19" s="791" t="s">
        <v>701</v>
      </c>
      <c r="G19" s="791" t="s">
        <v>702</v>
      </c>
      <c r="H19" s="791" t="s">
        <v>703</v>
      </c>
      <c r="I19" s="791">
        <v>239.0</v>
      </c>
      <c r="J19" s="791">
        <v>202.42</v>
      </c>
      <c r="K19" s="791">
        <v>210.95</v>
      </c>
      <c r="L19" s="791">
        <v>126.23</v>
      </c>
      <c r="M19" s="791">
        <v>182.1</v>
      </c>
      <c r="N19" s="793"/>
      <c r="O19" s="793"/>
      <c r="P19" s="794"/>
      <c r="Q19" s="794"/>
      <c r="R19" s="791">
        <v>138063.0</v>
      </c>
      <c r="S19" s="791">
        <v>102727.0</v>
      </c>
      <c r="T19" s="791">
        <v>138721.0</v>
      </c>
      <c r="U19" s="791">
        <v>79834.0</v>
      </c>
      <c r="V19" s="791">
        <v>149740.0</v>
      </c>
      <c r="W19" s="795">
        <v>136339.0</v>
      </c>
      <c r="X19" s="796">
        <v>164923.0</v>
      </c>
      <c r="Y19" s="796">
        <v>274365.0</v>
      </c>
      <c r="Z19" s="796">
        <v>316220.0</v>
      </c>
      <c r="AA19" s="796">
        <v>0.0</v>
      </c>
      <c r="AB19" s="730"/>
      <c r="AC19" s="730"/>
      <c r="AD19" s="725"/>
    </row>
    <row r="20">
      <c r="A20" s="724"/>
      <c r="B20" s="731" t="s">
        <v>704</v>
      </c>
      <c r="C20" s="732" t="s">
        <v>705</v>
      </c>
      <c r="D20" s="791" t="s">
        <v>706</v>
      </c>
      <c r="E20" s="791" t="s">
        <v>707</v>
      </c>
      <c r="F20" s="791" t="s">
        <v>708</v>
      </c>
      <c r="G20" s="791" t="s">
        <v>709</v>
      </c>
      <c r="H20" s="791" t="s">
        <v>710</v>
      </c>
      <c r="I20" s="791">
        <v>1456.0</v>
      </c>
      <c r="J20" s="791">
        <v>1708.0</v>
      </c>
      <c r="K20" s="791">
        <v>1713.0</v>
      </c>
      <c r="L20" s="791">
        <v>1830.0</v>
      </c>
      <c r="M20" s="791">
        <v>1999.0</v>
      </c>
      <c r="N20" s="791">
        <v>1916.0</v>
      </c>
      <c r="O20" s="791">
        <v>1771.0</v>
      </c>
      <c r="P20" s="791">
        <v>1405.0</v>
      </c>
      <c r="Q20" s="791">
        <v>1720.0</v>
      </c>
      <c r="R20" s="791">
        <v>1664.0</v>
      </c>
      <c r="S20" s="791">
        <v>1712.0</v>
      </c>
      <c r="T20" s="791">
        <v>1902.0</v>
      </c>
      <c r="U20" s="791">
        <v>1766.0</v>
      </c>
      <c r="V20" s="791">
        <v>1692.0</v>
      </c>
      <c r="W20" s="795">
        <v>1697.0</v>
      </c>
      <c r="X20" s="796">
        <v>1686.0</v>
      </c>
      <c r="Y20" s="796">
        <v>1724.0</v>
      </c>
      <c r="Z20" s="796">
        <v>1523.941</v>
      </c>
      <c r="AA20" s="796">
        <v>1901.8</v>
      </c>
      <c r="AB20" s="724"/>
      <c r="AC20" s="724"/>
      <c r="AD20" s="724"/>
    </row>
    <row r="21">
      <c r="A21" s="724"/>
      <c r="B21" s="513"/>
      <c r="C21" s="732" t="s">
        <v>696</v>
      </c>
      <c r="D21" s="791" t="s">
        <v>711</v>
      </c>
      <c r="E21" s="791" t="s">
        <v>712</v>
      </c>
      <c r="F21" s="791" t="s">
        <v>713</v>
      </c>
      <c r="G21" s="791" t="s">
        <v>714</v>
      </c>
      <c r="H21" s="791" t="s">
        <v>715</v>
      </c>
      <c r="I21" s="791">
        <v>390087.13</v>
      </c>
      <c r="J21" s="791">
        <v>392104.83</v>
      </c>
      <c r="K21" s="791">
        <v>765473.87</v>
      </c>
      <c r="L21" s="791">
        <v>389009.29</v>
      </c>
      <c r="M21" s="791">
        <v>451275.41</v>
      </c>
      <c r="N21" s="791">
        <v>460311.47</v>
      </c>
      <c r="O21" s="791">
        <v>510918.81</v>
      </c>
      <c r="P21" s="791">
        <v>311893.0</v>
      </c>
      <c r="Q21" s="791">
        <v>379476.0</v>
      </c>
      <c r="R21" s="791">
        <v>357043.0</v>
      </c>
      <c r="S21" s="791">
        <v>321904.0</v>
      </c>
      <c r="T21" s="791">
        <v>345089.0</v>
      </c>
      <c r="U21" s="791">
        <v>331655.0</v>
      </c>
      <c r="V21" s="791">
        <v>282888.0</v>
      </c>
      <c r="W21" s="795">
        <v>287620.0</v>
      </c>
      <c r="X21" s="796">
        <v>302557.0</v>
      </c>
      <c r="Y21" s="796">
        <v>314448.0</v>
      </c>
      <c r="Z21" s="796">
        <v>310129.53</v>
      </c>
      <c r="AA21" s="796">
        <v>370470.64</v>
      </c>
      <c r="AB21" s="724"/>
      <c r="AC21" s="724"/>
      <c r="AD21" s="724"/>
    </row>
    <row r="22">
      <c r="A22" s="724"/>
      <c r="B22" s="55"/>
      <c r="C22" s="732" t="s">
        <v>716</v>
      </c>
      <c r="D22" s="791" t="s">
        <v>717</v>
      </c>
      <c r="E22" s="791" t="s">
        <v>718</v>
      </c>
      <c r="F22" s="791" t="s">
        <v>719</v>
      </c>
      <c r="G22" s="791" t="s">
        <v>720</v>
      </c>
      <c r="H22" s="791" t="s">
        <v>721</v>
      </c>
      <c r="I22" s="791">
        <v>267916.98</v>
      </c>
      <c r="J22" s="791">
        <v>229569.57</v>
      </c>
      <c r="K22" s="791">
        <v>446861.57</v>
      </c>
      <c r="L22" s="791">
        <v>212573.38</v>
      </c>
      <c r="M22" s="791">
        <v>225750.58</v>
      </c>
      <c r="N22" s="791">
        <v>240246.07</v>
      </c>
      <c r="O22" s="791">
        <v>288491.71</v>
      </c>
      <c r="P22" s="791">
        <v>2.22006573E8</v>
      </c>
      <c r="Q22" s="791">
        <v>2.20612475E8</v>
      </c>
      <c r="R22" s="791">
        <v>2.14562135E8</v>
      </c>
      <c r="S22" s="791">
        <v>1.87998395E8</v>
      </c>
      <c r="T22" s="791">
        <v>1.81454024E8</v>
      </c>
      <c r="U22" s="791">
        <v>1.87771437E8</v>
      </c>
      <c r="V22" s="791">
        <v>1.67183189E8</v>
      </c>
      <c r="W22" s="795">
        <v>1.69485064E8</v>
      </c>
      <c r="X22" s="796">
        <v>1.79436777E8</v>
      </c>
      <c r="Y22" s="796">
        <v>182394.0</v>
      </c>
      <c r="Z22" s="796">
        <v>203504.94</v>
      </c>
      <c r="AA22" s="796">
        <v>194800.0</v>
      </c>
      <c r="AB22" s="724"/>
      <c r="AC22" s="724"/>
      <c r="AD22" s="724"/>
    </row>
    <row r="23">
      <c r="A23" s="724"/>
      <c r="B23" s="731" t="s">
        <v>722</v>
      </c>
      <c r="C23" s="732" t="s">
        <v>692</v>
      </c>
      <c r="D23" s="791"/>
      <c r="E23" s="791"/>
      <c r="F23" s="791">
        <v>139806.0</v>
      </c>
      <c r="G23" s="523">
        <v>230922.0</v>
      </c>
      <c r="H23" s="523">
        <v>295740.0</v>
      </c>
      <c r="I23" s="730">
        <v>189676.0</v>
      </c>
      <c r="J23" s="523">
        <v>209251.0</v>
      </c>
      <c r="K23" s="523">
        <v>184025.0</v>
      </c>
      <c r="L23" s="793"/>
      <c r="M23" s="793"/>
      <c r="N23" s="793"/>
      <c r="O23" s="793"/>
      <c r="P23" s="794"/>
      <c r="Q23" s="794"/>
      <c r="R23" s="791">
        <v>139806.0</v>
      </c>
      <c r="S23" s="791">
        <v>230922.0</v>
      </c>
      <c r="T23" s="791">
        <v>295740.0</v>
      </c>
      <c r="U23" s="791">
        <v>281301.0</v>
      </c>
      <c r="V23" s="791">
        <v>256502.0</v>
      </c>
      <c r="W23" s="795">
        <v>244544.0</v>
      </c>
      <c r="X23" s="796">
        <v>112507.0</v>
      </c>
      <c r="Y23" s="796">
        <v>9479.0</v>
      </c>
      <c r="Z23" s="794"/>
      <c r="AA23" s="796">
        <v>0.0</v>
      </c>
      <c r="AB23" s="752">
        <f>V23+W23+X23</f>
        <v>613553</v>
      </c>
      <c r="AC23" s="752">
        <f>Y23+Z23+AA23</f>
        <v>9479</v>
      </c>
      <c r="AD23" s="725"/>
    </row>
    <row r="24">
      <c r="A24" s="724"/>
      <c r="B24" s="513"/>
      <c r="C24" s="732" t="s">
        <v>696</v>
      </c>
      <c r="D24" s="791"/>
      <c r="E24" s="791"/>
      <c r="F24" s="791" t="s">
        <v>726</v>
      </c>
      <c r="G24" s="791" t="s">
        <v>727</v>
      </c>
      <c r="H24" s="791" t="s">
        <v>728</v>
      </c>
      <c r="I24" s="791">
        <v>34790.37</v>
      </c>
      <c r="J24" s="791">
        <v>32649.47</v>
      </c>
      <c r="K24" s="791">
        <v>29197.51</v>
      </c>
      <c r="L24" s="793"/>
      <c r="M24" s="793"/>
      <c r="N24" s="793"/>
      <c r="O24" s="793"/>
      <c r="P24" s="794"/>
      <c r="Q24" s="794"/>
      <c r="R24" s="791">
        <v>13625.0</v>
      </c>
      <c r="S24" s="791">
        <v>17479.0</v>
      </c>
      <c r="T24" s="791">
        <v>29428.0</v>
      </c>
      <c r="U24" s="791">
        <v>16244.0</v>
      </c>
      <c r="V24" s="791">
        <v>27448.0</v>
      </c>
      <c r="W24" s="795">
        <v>25135.0</v>
      </c>
      <c r="X24" s="796">
        <v>13598.0</v>
      </c>
      <c r="Y24" s="796">
        <v>1.293359786E9</v>
      </c>
      <c r="Z24" s="794"/>
      <c r="AA24" s="796">
        <v>0.0</v>
      </c>
      <c r="AB24" s="730"/>
      <c r="AC24" s="730"/>
      <c r="AD24" s="725"/>
    </row>
    <row r="25">
      <c r="A25" s="724"/>
      <c r="B25" s="55"/>
      <c r="C25" s="732" t="s">
        <v>716</v>
      </c>
      <c r="D25" s="791"/>
      <c r="E25" s="791"/>
      <c r="F25" s="791" t="s">
        <v>729</v>
      </c>
      <c r="G25" s="791" t="s">
        <v>730</v>
      </c>
      <c r="H25" s="791" t="s">
        <v>731</v>
      </c>
      <c r="I25" s="791">
        <v>183.42</v>
      </c>
      <c r="J25" s="791">
        <v>156.03</v>
      </c>
      <c r="K25" s="791">
        <v>158.66</v>
      </c>
      <c r="L25" s="793"/>
      <c r="M25" s="793"/>
      <c r="N25" s="793"/>
      <c r="O25" s="793"/>
      <c r="P25" s="794"/>
      <c r="Q25" s="794"/>
      <c r="R25" s="791">
        <v>97457.0</v>
      </c>
      <c r="S25" s="791">
        <v>75694.0</v>
      </c>
      <c r="T25" s="791">
        <v>99507.0</v>
      </c>
      <c r="U25" s="791">
        <v>57747.0</v>
      </c>
      <c r="V25" s="791">
        <v>107011.0</v>
      </c>
      <c r="W25" s="795">
        <v>102782.0</v>
      </c>
      <c r="X25" s="796">
        <v>120865.0</v>
      </c>
      <c r="Y25" s="796">
        <v>136438.0</v>
      </c>
      <c r="Z25" s="794"/>
      <c r="AA25" s="796">
        <v>0.0</v>
      </c>
      <c r="AB25" s="730"/>
      <c r="AC25" s="730"/>
      <c r="AD25" s="725"/>
    </row>
    <row r="26">
      <c r="A26" s="724"/>
      <c r="B26" s="724"/>
      <c r="C26" s="724"/>
      <c r="D26" s="724"/>
      <c r="E26" s="724"/>
      <c r="F26" s="724"/>
      <c r="N26" s="724"/>
      <c r="O26" s="724"/>
      <c r="P26" s="724"/>
      <c r="Q26" s="724"/>
      <c r="R26" s="724"/>
      <c r="S26" s="724"/>
      <c r="T26" s="724"/>
      <c r="U26" s="724"/>
      <c r="V26" s="724"/>
      <c r="W26" s="724"/>
      <c r="X26" s="724"/>
      <c r="Y26" s="724"/>
      <c r="Z26" s="724"/>
      <c r="AA26" s="724"/>
      <c r="AB26" s="724"/>
      <c r="AC26" s="724"/>
      <c r="AD26" s="724"/>
    </row>
    <row r="27">
      <c r="A27" s="737"/>
      <c r="B27" s="737"/>
      <c r="C27" s="737"/>
      <c r="D27" s="737"/>
      <c r="E27" s="737"/>
      <c r="F27" s="738" t="s">
        <v>732</v>
      </c>
      <c r="H27" s="737"/>
      <c r="I27" s="738" t="s">
        <v>733</v>
      </c>
      <c r="J27" s="737"/>
      <c r="K27" s="737"/>
      <c r="L27" s="738" t="s">
        <v>734</v>
      </c>
      <c r="M27" s="737"/>
      <c r="N27" s="737"/>
      <c r="O27" s="738" t="s">
        <v>735</v>
      </c>
      <c r="P27" s="737"/>
      <c r="Q27" s="737"/>
      <c r="R27" s="738" t="s">
        <v>736</v>
      </c>
      <c r="S27" s="737"/>
      <c r="T27" s="737"/>
      <c r="U27" s="738" t="s">
        <v>737</v>
      </c>
      <c r="V27" s="737"/>
      <c r="W27" s="737"/>
      <c r="X27" s="738" t="s">
        <v>734</v>
      </c>
      <c r="Y27" s="737"/>
      <c r="Z27" s="737"/>
      <c r="AA27" s="738" t="s">
        <v>735</v>
      </c>
      <c r="AB27" s="737"/>
      <c r="AC27" s="737"/>
      <c r="AD27" s="737"/>
      <c r="AE27" s="739"/>
    </row>
    <row r="28">
      <c r="A28" s="797" t="s">
        <v>774</v>
      </c>
      <c r="B28" s="797" t="s">
        <v>738</v>
      </c>
      <c r="C28" s="781"/>
      <c r="D28" s="781"/>
      <c r="E28" s="781"/>
      <c r="F28" s="798">
        <f>sum(D17:F17)+sum(D22:F23)</f>
        <v>344042</v>
      </c>
      <c r="G28" s="781"/>
      <c r="H28" s="781"/>
      <c r="I28" s="797">
        <f>sum(G17:I17)+sum(G23:I23)</f>
        <v>1039007</v>
      </c>
      <c r="J28" s="781"/>
      <c r="K28" s="781"/>
      <c r="L28" s="797">
        <f>sum(J17:L17)+sum(J23:L23)</f>
        <v>717461</v>
      </c>
      <c r="M28" s="781"/>
      <c r="N28" s="781"/>
      <c r="O28" s="798">
        <f>sum(M17:O17)+sum(M23:O23)</f>
        <v>198424</v>
      </c>
      <c r="P28" s="781"/>
      <c r="Q28" s="781"/>
      <c r="R28" s="798">
        <f>sum(P17:R17)+sum(P23:R23)</f>
        <v>344042</v>
      </c>
      <c r="S28" s="781"/>
      <c r="T28" s="781"/>
      <c r="U28" s="798">
        <f>sum(S17:U17)+sum(S23:U23)</f>
        <v>1190152</v>
      </c>
      <c r="V28" s="781"/>
      <c r="W28" s="781"/>
      <c r="X28" s="798">
        <f>sum(V17:X17)+sum(V23:X23)</f>
        <v>1124903</v>
      </c>
      <c r="Y28" s="781"/>
      <c r="Z28" s="781"/>
      <c r="AA28" s="798">
        <f>sum(Y17:AA17)+sum(Y23:AA23)</f>
        <v>295482</v>
      </c>
      <c r="AB28" s="781"/>
      <c r="AC28" s="781"/>
      <c r="AD28" s="781"/>
      <c r="AE28" s="782"/>
    </row>
    <row r="29">
      <c r="A29" s="724"/>
      <c r="B29" s="730" t="s">
        <v>739</v>
      </c>
      <c r="C29" s="724"/>
      <c r="D29" s="724"/>
      <c r="E29" s="724"/>
      <c r="F29" s="752">
        <f>SUM(D18:F18)+SUM(D24:F24)</f>
        <v>0</v>
      </c>
      <c r="G29" s="724"/>
      <c r="H29" s="724"/>
      <c r="I29" s="752">
        <f>SUM(G18:I18)+SUM(G24:I24)</f>
        <v>47236.96</v>
      </c>
      <c r="J29" s="724"/>
      <c r="K29" s="724"/>
      <c r="L29" s="752">
        <f>SUM(J18:L18)+SUM(J24:L24)</f>
        <v>112689.64</v>
      </c>
      <c r="M29" s="724"/>
      <c r="N29" s="724"/>
      <c r="O29" s="752">
        <f>SUM(M18:O18)+SUM(M24:O24)</f>
        <v>36133.74</v>
      </c>
      <c r="P29" s="724"/>
      <c r="Q29" s="724"/>
      <c r="R29" s="752">
        <f>SUM(P18:R18)+SUM(P24:R24)</f>
        <v>41823</v>
      </c>
      <c r="S29" s="724"/>
      <c r="T29" s="724"/>
      <c r="U29" s="752">
        <f>SUM(S18:U18)+SUM(S24:U24)</f>
        <v>104384</v>
      </c>
      <c r="V29" s="724"/>
      <c r="W29" s="724"/>
      <c r="X29" s="752">
        <f>SUM(V18:X18)+SUM(V24:X24)</f>
        <v>144768</v>
      </c>
      <c r="Y29" s="724"/>
      <c r="Z29" s="724"/>
      <c r="AA29" s="752">
        <f>SUM(Y18:AA18)+SUM(Y24:AA24)</f>
        <v>84783605658</v>
      </c>
      <c r="AB29" s="724"/>
      <c r="AC29" s="724"/>
      <c r="AD29" s="724"/>
    </row>
    <row r="30">
      <c r="A30" s="724"/>
      <c r="B30" s="730" t="s">
        <v>740</v>
      </c>
      <c r="C30" s="724"/>
      <c r="D30" s="724"/>
      <c r="E30" s="724"/>
      <c r="F30" s="730" t="str">
        <f>AVERAGE(D19,E19,F19,D25,E25,F25)</f>
        <v>#DIV/0!</v>
      </c>
      <c r="G30" s="724"/>
      <c r="H30" s="724"/>
      <c r="I30" s="752">
        <f>AVERAGE(G19,H19,I19,G25,H25,I25)</f>
        <v>211.21</v>
      </c>
      <c r="J30" s="724"/>
      <c r="K30" s="724"/>
      <c r="L30" s="730" t="s">
        <v>741</v>
      </c>
      <c r="M30" s="724"/>
      <c r="N30" s="724"/>
      <c r="O30" s="752">
        <f>AVERAGE(M19,N19,O19,M25,N25,O25)</f>
        <v>182.1</v>
      </c>
      <c r="P30" s="724"/>
      <c r="Q30" s="724"/>
      <c r="R30" s="752">
        <f>AVERAGE(P19,Q19,R19,P25,Q25,R25)</f>
        <v>117760</v>
      </c>
      <c r="S30" s="724"/>
      <c r="T30" s="724"/>
      <c r="U30" s="752">
        <f>AVERAGE(S19,T19,U19,S25,T25,U25)</f>
        <v>92371.66667</v>
      </c>
      <c r="V30" s="724"/>
      <c r="W30" s="724"/>
      <c r="X30" s="752">
        <f>AVERAGE(V19,W19,X19,V25,W25,X25)</f>
        <v>130276.6667</v>
      </c>
      <c r="Y30" s="724"/>
      <c r="Z30" s="724"/>
      <c r="AA30" s="752">
        <f>AVERAGE(Y19,Z19,AA19,Y25,Z25,AA25)</f>
        <v>145404.6</v>
      </c>
      <c r="AB30" s="724"/>
      <c r="AC30" s="724"/>
      <c r="AD30" s="724"/>
    </row>
    <row r="31">
      <c r="A31" s="730" t="s">
        <v>775</v>
      </c>
      <c r="B31" s="724"/>
      <c r="C31" s="724"/>
      <c r="D31" s="724"/>
      <c r="E31" s="724"/>
      <c r="F31" s="724"/>
      <c r="G31" s="724"/>
      <c r="H31" s="730"/>
      <c r="I31" s="724"/>
      <c r="J31" s="724"/>
      <c r="K31" s="724"/>
      <c r="L31" s="724"/>
      <c r="M31" s="724"/>
      <c r="N31" s="724"/>
      <c r="O31" s="724"/>
      <c r="P31" s="724"/>
      <c r="Q31" s="724"/>
      <c r="R31" s="724"/>
      <c r="S31" s="724"/>
      <c r="T31" s="724"/>
      <c r="U31" s="724"/>
      <c r="V31" s="724"/>
      <c r="W31" s="724"/>
      <c r="X31" s="724"/>
      <c r="Y31" s="724"/>
      <c r="Z31" s="724"/>
      <c r="AA31" s="724"/>
      <c r="AB31" s="724"/>
      <c r="AC31" s="724"/>
      <c r="AD31" s="724"/>
    </row>
    <row r="32">
      <c r="A32" s="724"/>
      <c r="B32" s="724"/>
      <c r="C32" s="724"/>
      <c r="D32" s="724"/>
      <c r="E32" s="724"/>
      <c r="F32" s="724"/>
      <c r="G32" s="724"/>
      <c r="H32" s="730"/>
      <c r="I32" s="724"/>
      <c r="J32" s="724"/>
      <c r="K32" s="724"/>
      <c r="L32" s="724"/>
      <c r="M32" s="724"/>
      <c r="N32" s="724"/>
      <c r="O32" s="724"/>
      <c r="P32" s="724"/>
      <c r="Q32" s="724"/>
      <c r="R32" s="724"/>
      <c r="S32" s="724"/>
      <c r="T32" s="724"/>
      <c r="U32" s="724"/>
      <c r="V32" s="724"/>
      <c r="W32" s="724"/>
      <c r="X32" s="724"/>
      <c r="Y32" s="724"/>
      <c r="Z32" s="724"/>
      <c r="AA32" s="724"/>
      <c r="AB32" s="724"/>
      <c r="AC32" s="724"/>
      <c r="AD32" s="724"/>
    </row>
    <row r="33">
      <c r="A33" s="740"/>
      <c r="B33" s="740"/>
      <c r="C33" s="741" t="s">
        <v>183</v>
      </c>
      <c r="D33" s="740"/>
      <c r="E33" s="740"/>
      <c r="F33" s="740"/>
      <c r="G33" s="740"/>
      <c r="H33" s="740"/>
      <c r="I33" s="740"/>
      <c r="J33" s="740"/>
      <c r="K33" s="740"/>
      <c r="L33" s="740"/>
      <c r="M33" s="740"/>
      <c r="N33" s="740"/>
      <c r="O33" s="740"/>
      <c r="P33" s="740"/>
      <c r="Q33" s="740"/>
      <c r="R33" s="740">
        <f>R28/O28*100-100</f>
        <v>73.38729186</v>
      </c>
      <c r="S33" s="740"/>
      <c r="T33" s="740"/>
      <c r="U33" s="740">
        <f>U28/R28*100-100</f>
        <v>245.9321827</v>
      </c>
      <c r="V33" s="740"/>
      <c r="W33" s="740"/>
      <c r="X33" s="740">
        <f>X28/U28*100-100</f>
        <v>-5.48240897</v>
      </c>
      <c r="Y33" s="741" t="s">
        <v>183</v>
      </c>
      <c r="Z33" s="740"/>
      <c r="AA33" s="740"/>
      <c r="AB33" s="741"/>
      <c r="AC33" s="741"/>
      <c r="AD33" s="740"/>
      <c r="AE33" s="742"/>
    </row>
    <row r="34">
      <c r="A34" s="740"/>
      <c r="B34" s="740"/>
      <c r="C34" s="741" t="s">
        <v>185</v>
      </c>
      <c r="D34" s="743"/>
      <c r="E34" s="743"/>
      <c r="F34" s="743"/>
      <c r="G34" s="743"/>
      <c r="H34" s="743"/>
      <c r="I34" s="743"/>
      <c r="J34" s="743"/>
      <c r="K34" s="743"/>
      <c r="L34" s="743"/>
      <c r="M34" s="743"/>
      <c r="N34" s="743"/>
      <c r="O34" s="743"/>
      <c r="P34" s="744"/>
      <c r="Q34" s="744"/>
      <c r="R34" s="744">
        <f>R28/F28*100-100</f>
        <v>0</v>
      </c>
      <c r="S34" s="744"/>
      <c r="T34" s="744"/>
      <c r="U34" s="744">
        <f>U28/I28*100-100</f>
        <v>14.54706272</v>
      </c>
      <c r="V34" s="740"/>
      <c r="W34" s="740"/>
      <c r="X34" s="744">
        <f>X28/L28*100-100</f>
        <v>56.78942828</v>
      </c>
      <c r="Y34" s="741" t="s">
        <v>185</v>
      </c>
      <c r="Z34" s="740"/>
      <c r="AA34" s="740"/>
      <c r="AB34" s="744"/>
      <c r="AC34" s="741"/>
      <c r="AD34" s="740"/>
      <c r="AE34" s="742"/>
    </row>
    <row r="35">
      <c r="A35" s="740"/>
      <c r="B35" s="740"/>
      <c r="C35" s="741" t="s">
        <v>186</v>
      </c>
      <c r="D35" s="743"/>
      <c r="E35" s="743"/>
      <c r="F35" s="743"/>
      <c r="G35" s="743"/>
      <c r="H35" s="743"/>
      <c r="I35" s="744"/>
      <c r="J35" s="743"/>
      <c r="K35" s="743"/>
      <c r="L35" s="743"/>
      <c r="M35" s="743"/>
      <c r="N35" s="743"/>
      <c r="O35" s="743"/>
      <c r="P35" s="744"/>
      <c r="Q35" s="744"/>
      <c r="R35" s="744"/>
      <c r="S35" s="744"/>
      <c r="T35" s="744"/>
      <c r="U35" s="744">
        <f t="shared" ref="U35:U36" si="5">(sum(R28,U28)/sum(F28,I28))*100-100</f>
        <v>10.92839082</v>
      </c>
      <c r="V35" s="740"/>
      <c r="W35" s="740"/>
      <c r="X35" s="744">
        <f>((sum(R28+U28+X28)/sum(F28+I28+L28))*100-100)</f>
        <v>26.59292267</v>
      </c>
      <c r="Y35" s="741" t="s">
        <v>186</v>
      </c>
      <c r="Z35" s="740"/>
      <c r="AA35" s="740"/>
      <c r="AB35" s="744"/>
      <c r="AC35" s="741"/>
      <c r="AD35" s="740"/>
      <c r="AE35" s="742"/>
    </row>
    <row r="36">
      <c r="A36" s="724"/>
      <c r="B36" s="724"/>
      <c r="C36" s="724"/>
      <c r="D36" s="745"/>
      <c r="E36" s="745"/>
      <c r="F36" s="745"/>
      <c r="G36" s="745"/>
      <c r="H36" s="745"/>
      <c r="I36" s="745"/>
      <c r="J36" s="745"/>
      <c r="K36" s="745"/>
      <c r="L36" s="745"/>
      <c r="M36" s="745"/>
      <c r="N36" s="745"/>
      <c r="O36" s="745"/>
      <c r="P36" s="725"/>
      <c r="Q36" s="725"/>
      <c r="R36" s="725"/>
      <c r="S36" s="725"/>
      <c r="T36" s="725"/>
      <c r="U36" s="744">
        <f t="shared" si="5"/>
        <v>209.5182247</v>
      </c>
      <c r="V36" s="724"/>
      <c r="W36" s="724"/>
      <c r="X36" s="744">
        <f>(sum(U29,X29)/sum(I29,L29))*100-100</f>
        <v>55.79146934</v>
      </c>
      <c r="Y36" s="724"/>
      <c r="Z36" s="724"/>
      <c r="AA36" s="724"/>
      <c r="AB36" s="725"/>
      <c r="AC36" s="730"/>
      <c r="AD36" s="724"/>
    </row>
    <row r="37">
      <c r="A37" s="746"/>
      <c r="B37" s="747" t="s">
        <v>742</v>
      </c>
      <c r="C37" s="746"/>
      <c r="D37" s="748"/>
      <c r="E37" s="748"/>
      <c r="F37" s="799">
        <f>average(D17,E17,F17,D23,E23,F23)</f>
        <v>172021</v>
      </c>
      <c r="G37" s="748"/>
      <c r="H37" s="748"/>
      <c r="I37" s="748" t="str">
        <f>average(#REF!,#REF!,#REF!,#REF!,#REF!,#REF!)</f>
        <v>#REF!</v>
      </c>
      <c r="J37" s="748"/>
      <c r="K37" s="748"/>
      <c r="L37" s="748" t="str">
        <f>average(#REF!,#REF!,#REF!,#REF!,#REF!,L23)</f>
        <v>#REF!</v>
      </c>
      <c r="M37" s="748"/>
      <c r="N37" s="748"/>
      <c r="O37" s="748" t="str">
        <f>average(#REF!,N17,O17,M23,N23,O23)</f>
        <v>#REF!</v>
      </c>
      <c r="P37" s="749"/>
      <c r="Q37" s="749"/>
      <c r="R37" s="799">
        <f>average(P17,Q17,R17,P23,Q23,R23)</f>
        <v>172021</v>
      </c>
      <c r="S37" s="749"/>
      <c r="T37" s="749"/>
      <c r="U37" s="799">
        <f>average(S17,T17,U17,S23,T23,U23)</f>
        <v>198358.6667</v>
      </c>
      <c r="V37" s="746"/>
      <c r="W37" s="746"/>
      <c r="X37" s="799">
        <f>average(V17,W17,X17,V23,W23,X23)</f>
        <v>187483.8333</v>
      </c>
      <c r="Y37" s="746"/>
      <c r="Z37" s="746"/>
      <c r="AA37" s="746"/>
      <c r="AB37" s="746"/>
      <c r="AC37" s="746"/>
      <c r="AD37" s="746"/>
      <c r="AE37" s="750"/>
    </row>
    <row r="38">
      <c r="A38" s="724"/>
      <c r="B38" s="724"/>
      <c r="C38" s="724"/>
      <c r="D38" s="745"/>
      <c r="E38" s="745"/>
      <c r="F38" s="745"/>
      <c r="G38" s="745"/>
      <c r="H38" s="745"/>
      <c r="I38" s="745"/>
      <c r="J38" s="745"/>
      <c r="K38" s="745"/>
      <c r="L38" s="745"/>
      <c r="M38" s="745"/>
      <c r="N38" s="745"/>
      <c r="O38" s="745"/>
      <c r="P38" s="725"/>
      <c r="Q38" s="725"/>
      <c r="R38" s="725"/>
      <c r="S38" s="725"/>
      <c r="T38" s="725"/>
      <c r="U38" s="725"/>
      <c r="V38" s="724"/>
      <c r="W38" s="724"/>
      <c r="X38" s="724"/>
      <c r="Y38" s="724"/>
      <c r="Z38" s="724"/>
      <c r="AA38" s="724"/>
      <c r="AB38" s="724"/>
      <c r="AC38" s="724"/>
      <c r="AD38" s="724"/>
    </row>
    <row r="39">
      <c r="A39" s="528"/>
      <c r="B39" s="720"/>
      <c r="C39" s="719"/>
      <c r="D39" s="720">
        <v>2023.0</v>
      </c>
      <c r="E39" s="721"/>
      <c r="F39" s="527"/>
      <c r="G39" s="721"/>
      <c r="H39" s="720">
        <v>2024.0</v>
      </c>
      <c r="I39" s="721"/>
      <c r="J39" s="721"/>
      <c r="K39" s="745"/>
      <c r="L39" s="745"/>
      <c r="M39" s="745"/>
      <c r="N39" s="745"/>
      <c r="O39" s="745"/>
      <c r="P39" s="725"/>
      <c r="Q39" s="725"/>
      <c r="R39" s="725"/>
      <c r="S39" s="725"/>
      <c r="T39" s="725"/>
      <c r="U39" s="725"/>
      <c r="V39" s="730"/>
      <c r="W39" s="724"/>
      <c r="X39" s="725"/>
      <c r="Y39" s="730"/>
      <c r="Z39" s="724"/>
      <c r="AA39" s="724"/>
      <c r="AB39" s="724"/>
      <c r="AC39" s="724"/>
      <c r="AD39" s="724"/>
    </row>
    <row r="40">
      <c r="A40" s="528"/>
      <c r="B40" s="720"/>
      <c r="C40" s="752">
        <v>1.0</v>
      </c>
      <c r="D40" s="752">
        <v>2.0</v>
      </c>
      <c r="E40" s="752">
        <v>3.0</v>
      </c>
      <c r="F40" s="752">
        <v>4.0</v>
      </c>
      <c r="G40" s="752">
        <v>1.0</v>
      </c>
      <c r="H40" s="752">
        <v>2.0</v>
      </c>
      <c r="I40" s="752">
        <v>3.0</v>
      </c>
      <c r="J40" s="752">
        <v>4.0</v>
      </c>
      <c r="K40" s="745"/>
      <c r="L40" s="745"/>
      <c r="M40" s="745"/>
      <c r="N40" s="745"/>
      <c r="O40" s="745"/>
      <c r="P40" s="725"/>
      <c r="Q40" s="725"/>
      <c r="R40" s="725"/>
      <c r="S40" s="725"/>
      <c r="T40" s="725"/>
      <c r="U40" s="725"/>
      <c r="V40" s="730"/>
      <c r="W40" s="724"/>
      <c r="X40" s="725"/>
      <c r="Y40" s="730"/>
      <c r="Z40" s="724"/>
      <c r="AA40" s="724"/>
      <c r="AB40" s="724"/>
      <c r="AC40" s="724"/>
      <c r="AD40" s="724"/>
    </row>
    <row r="41">
      <c r="A41" s="528">
        <v>7404.0</v>
      </c>
      <c r="B41" s="720" t="s">
        <v>776</v>
      </c>
      <c r="C41" s="719">
        <f t="shared" ref="C41:J41" si="6">B4</f>
        <v>899748</v>
      </c>
      <c r="D41" s="719">
        <f t="shared" si="6"/>
        <v>773062</v>
      </c>
      <c r="E41" s="719">
        <f t="shared" si="6"/>
        <v>717461</v>
      </c>
      <c r="F41" s="719">
        <f t="shared" si="6"/>
        <v>198424</v>
      </c>
      <c r="G41" s="719">
        <f t="shared" si="6"/>
        <v>344042</v>
      </c>
      <c r="H41" s="719">
        <f t="shared" si="6"/>
        <v>1190152</v>
      </c>
      <c r="I41" s="719">
        <f t="shared" si="6"/>
        <v>1124903</v>
      </c>
      <c r="J41" s="719">
        <f t="shared" si="6"/>
        <v>295482</v>
      </c>
      <c r="K41" s="745"/>
      <c r="L41" s="745">
        <f>J41/F41*100-100</f>
        <v>48.91444583</v>
      </c>
      <c r="M41" s="745"/>
      <c r="N41" s="745"/>
      <c r="O41" s="745"/>
      <c r="P41" s="725"/>
      <c r="Q41" s="725"/>
      <c r="R41" s="725"/>
      <c r="S41" s="725"/>
      <c r="T41" s="725"/>
      <c r="U41" s="725"/>
      <c r="V41" s="730"/>
      <c r="W41" s="724"/>
      <c r="X41" s="725"/>
      <c r="Y41" s="730"/>
      <c r="Z41" s="724"/>
      <c r="AA41" s="724"/>
      <c r="AB41" s="724"/>
      <c r="AC41" s="724"/>
      <c r="AD41" s="724"/>
    </row>
    <row r="42">
      <c r="A42" s="527"/>
      <c r="B42" s="720" t="s">
        <v>777</v>
      </c>
      <c r="C42" s="719">
        <f t="shared" ref="C42:J42" si="7">B5</f>
        <v>635531.2</v>
      </c>
      <c r="D42" s="719">
        <f t="shared" si="7"/>
        <v>799401.83</v>
      </c>
      <c r="E42" s="719">
        <f t="shared" si="7"/>
        <v>1115215.07</v>
      </c>
      <c r="F42" s="719">
        <f t="shared" si="7"/>
        <v>833665.25</v>
      </c>
      <c r="G42" s="719">
        <f t="shared" si="7"/>
        <v>877850.27</v>
      </c>
      <c r="H42" s="719">
        <f t="shared" si="7"/>
        <v>767477.07</v>
      </c>
      <c r="I42" s="719">
        <f t="shared" si="7"/>
        <v>1182745</v>
      </c>
      <c r="J42" s="719">
        <f t="shared" si="7"/>
        <v>1392460</v>
      </c>
      <c r="K42" s="745"/>
      <c r="L42" s="745"/>
      <c r="M42" s="745"/>
      <c r="N42" s="745"/>
      <c r="O42" s="745"/>
      <c r="P42" s="725"/>
      <c r="Q42" s="725"/>
      <c r="R42" s="725"/>
      <c r="S42" s="725"/>
      <c r="T42" s="725"/>
      <c r="U42" s="725"/>
      <c r="V42" s="730"/>
      <c r="W42" s="724"/>
      <c r="X42" s="725"/>
      <c r="Y42" s="730"/>
      <c r="Z42" s="724"/>
      <c r="AA42" s="724"/>
      <c r="AB42" s="724"/>
      <c r="AC42" s="724"/>
      <c r="AD42" s="724"/>
    </row>
    <row r="43">
      <c r="A43" s="527"/>
      <c r="B43" s="720" t="s">
        <v>778</v>
      </c>
      <c r="C43" s="719"/>
      <c r="D43" s="719"/>
      <c r="E43" s="719"/>
      <c r="F43" s="719">
        <f t="shared" ref="F43:J43" si="8">E6</f>
        <v>124121.76</v>
      </c>
      <c r="G43" s="719">
        <f t="shared" si="8"/>
        <v>64422</v>
      </c>
      <c r="H43" s="719">
        <f t="shared" si="8"/>
        <v>294959</v>
      </c>
      <c r="I43" s="719">
        <f t="shared" si="8"/>
        <v>663967</v>
      </c>
      <c r="J43" s="719" t="str">
        <f t="shared" si="8"/>
        <v/>
      </c>
      <c r="K43" s="745"/>
      <c r="L43" s="745"/>
      <c r="M43" s="745"/>
      <c r="N43" s="745"/>
      <c r="O43" s="745"/>
      <c r="P43" s="725"/>
      <c r="Q43" s="725"/>
      <c r="R43" s="725"/>
      <c r="S43" s="725"/>
      <c r="T43" s="725"/>
      <c r="U43" s="725"/>
      <c r="V43" s="730"/>
      <c r="W43" s="724"/>
      <c r="X43" s="725"/>
      <c r="Y43" s="730"/>
      <c r="Z43" s="724"/>
      <c r="AA43" s="724"/>
      <c r="AB43" s="724"/>
      <c r="AC43" s="724"/>
      <c r="AD43" s="724"/>
    </row>
    <row r="44">
      <c r="A44" s="720"/>
      <c r="B44" s="752"/>
      <c r="C44" s="719"/>
      <c r="D44" s="720"/>
      <c r="E44" s="721"/>
      <c r="F44" s="527">
        <f>F41+F42+F43</f>
        <v>1156211.01</v>
      </c>
      <c r="G44" s="721"/>
      <c r="H44" s="720"/>
      <c r="I44" s="721"/>
      <c r="J44" s="721"/>
      <c r="K44" s="745"/>
      <c r="L44" s="745"/>
      <c r="M44" s="745"/>
      <c r="N44" s="745"/>
      <c r="O44" s="745"/>
      <c r="P44" s="725"/>
      <c r="Q44" s="725"/>
      <c r="R44" s="725"/>
      <c r="S44" s="725"/>
      <c r="T44" s="725"/>
      <c r="U44" s="725"/>
      <c r="V44" s="730"/>
      <c r="W44" s="724"/>
      <c r="X44" s="725"/>
      <c r="Y44" s="730"/>
      <c r="Z44" s="724"/>
      <c r="AA44" s="724"/>
      <c r="AB44" s="724"/>
      <c r="AC44" s="724"/>
      <c r="AD44" s="724"/>
    </row>
    <row r="45">
      <c r="A45" s="720">
        <v>7405.0</v>
      </c>
      <c r="B45" s="752" t="s">
        <v>159</v>
      </c>
      <c r="C45" s="719"/>
      <c r="D45" s="720">
        <v>2023.0</v>
      </c>
      <c r="E45" s="721"/>
      <c r="F45" s="527"/>
      <c r="G45" s="721"/>
      <c r="H45" s="720">
        <v>2024.0</v>
      </c>
      <c r="I45" s="721"/>
      <c r="J45" s="721"/>
      <c r="K45" s="745"/>
      <c r="L45" s="745"/>
      <c r="M45" s="745"/>
      <c r="N45" s="745"/>
      <c r="O45" s="745"/>
      <c r="P45" s="725"/>
      <c r="Q45" s="725"/>
      <c r="R45" s="725" t="str">
        <f>R37/O37*100-100</f>
        <v>#REF!</v>
      </c>
      <c r="S45" s="725"/>
      <c r="T45" s="725"/>
      <c r="U45" s="725">
        <f>U37/R37*100-100</f>
        <v>15.31072757</v>
      </c>
      <c r="V45" s="730" t="s">
        <v>183</v>
      </c>
      <c r="W45" s="724"/>
      <c r="X45" s="725">
        <f>X37/U37*100-100</f>
        <v>-5.48240897</v>
      </c>
      <c r="Y45" s="730" t="s">
        <v>183</v>
      </c>
      <c r="Z45" s="724"/>
      <c r="AA45" s="724"/>
      <c r="AB45" s="724"/>
      <c r="AC45" s="724"/>
      <c r="AD45" s="724"/>
    </row>
    <row r="46">
      <c r="A46" s="719"/>
      <c r="B46" s="719"/>
      <c r="C46" s="752">
        <v>1.0</v>
      </c>
      <c r="D46" s="752">
        <v>2.0</v>
      </c>
      <c r="E46" s="752">
        <v>3.0</v>
      </c>
      <c r="F46" s="752">
        <v>4.0</v>
      </c>
      <c r="G46" s="752">
        <v>1.0</v>
      </c>
      <c r="H46" s="752">
        <v>2.0</v>
      </c>
      <c r="I46" s="752">
        <v>3.0</v>
      </c>
      <c r="J46" s="752">
        <v>4.0</v>
      </c>
      <c r="L46" s="724"/>
      <c r="M46" s="724"/>
      <c r="N46" s="730" t="s">
        <v>183</v>
      </c>
      <c r="O46" s="730" t="s">
        <v>185</v>
      </c>
      <c r="P46" s="730" t="s">
        <v>186</v>
      </c>
      <c r="Q46" s="724"/>
      <c r="R46" s="730">
        <f>R37/F37*100-100</f>
        <v>0</v>
      </c>
      <c r="S46" s="724"/>
      <c r="T46" s="724"/>
      <c r="U46" s="730" t="str">
        <f>U37/L37*100-100</f>
        <v>#REF!</v>
      </c>
      <c r="V46" s="730" t="s">
        <v>185</v>
      </c>
      <c r="W46" s="724"/>
      <c r="X46" s="730" t="str">
        <f>X37/L37*100-100</f>
        <v>#REF!</v>
      </c>
      <c r="Y46" s="730" t="s">
        <v>185</v>
      </c>
      <c r="Z46" s="724"/>
      <c r="AA46" s="724"/>
      <c r="AB46" s="724"/>
      <c r="AC46" s="724"/>
    </row>
    <row r="47">
      <c r="A47" s="720" t="s">
        <v>743</v>
      </c>
      <c r="B47" s="752" t="s">
        <v>744</v>
      </c>
      <c r="C47" s="752">
        <v>373031.0</v>
      </c>
      <c r="D47" s="752">
        <v>375048.0</v>
      </c>
      <c r="E47" s="752">
        <v>291705.0</v>
      </c>
      <c r="F47" s="752">
        <v>647196.0</v>
      </c>
      <c r="G47" s="528">
        <v>736797.0</v>
      </c>
      <c r="H47" s="528">
        <v>367991.0</v>
      </c>
      <c r="I47" s="528">
        <v>406868.0</v>
      </c>
      <c r="J47" s="528">
        <v>380131.0</v>
      </c>
      <c r="K47" s="724"/>
      <c r="L47" s="724">
        <f>I48/I47*100-100</f>
        <v>-6.57141874</v>
      </c>
      <c r="M47" s="724"/>
      <c r="N47" s="724">
        <f>I48/H48*100-100</f>
        <v>-6.57141874</v>
      </c>
      <c r="O47" s="724">
        <f>I48/E48*100-100</f>
        <v>-41.26493365</v>
      </c>
      <c r="P47" s="724">
        <f>(sum(G48:I48)/sum(C48:E48))*100-100</f>
        <v>-12.09780593</v>
      </c>
      <c r="Q47" s="724"/>
      <c r="R47" s="730">
        <f>R37/F37*100-100</f>
        <v>0</v>
      </c>
      <c r="S47" s="724"/>
      <c r="T47" s="724"/>
      <c r="U47" s="730" t="str">
        <f>((R37+U37)/(F37+I37))*100-100</f>
        <v>#REF!</v>
      </c>
      <c r="V47" s="730" t="s">
        <v>186</v>
      </c>
      <c r="W47" s="724"/>
      <c r="X47" s="730" t="str">
        <f>((R37+U37+X37)/(F37+I37+L37))*100-100</f>
        <v>#REF!</v>
      </c>
      <c r="Y47" s="730" t="s">
        <v>186</v>
      </c>
      <c r="Z47" s="724"/>
      <c r="AA47" s="724"/>
      <c r="AB47" s="724"/>
      <c r="AC47" s="724"/>
    </row>
    <row r="48">
      <c r="A48" s="719"/>
      <c r="B48" s="752" t="s">
        <v>745</v>
      </c>
      <c r="C48" s="752">
        <v>375048.0</v>
      </c>
      <c r="D48" s="752">
        <v>291705.0</v>
      </c>
      <c r="E48" s="752">
        <v>647196.0</v>
      </c>
      <c r="F48" s="528">
        <v>736797.0</v>
      </c>
      <c r="G48" s="528">
        <v>367991.0</v>
      </c>
      <c r="H48" s="528">
        <v>406868.0</v>
      </c>
      <c r="I48" s="528">
        <v>380131.0</v>
      </c>
      <c r="J48" s="752">
        <v>446382.0</v>
      </c>
      <c r="K48" s="724"/>
      <c r="L48" s="724"/>
      <c r="M48" s="724"/>
      <c r="N48" s="724"/>
      <c r="O48" s="724"/>
      <c r="P48" s="724"/>
      <c r="Q48" s="724"/>
      <c r="R48" s="724"/>
      <c r="S48" s="724"/>
      <c r="T48" s="724"/>
      <c r="U48" s="730"/>
      <c r="V48" s="724"/>
      <c r="W48" s="724"/>
      <c r="X48" s="730"/>
      <c r="Y48" s="724"/>
      <c r="Z48" s="724"/>
      <c r="AA48" s="724"/>
      <c r="AB48" s="724"/>
      <c r="AC48" s="724"/>
    </row>
    <row r="49">
      <c r="A49" s="719"/>
      <c r="B49" s="719"/>
      <c r="C49" s="719"/>
      <c r="D49" s="719"/>
      <c r="E49" s="719"/>
      <c r="F49" s="752"/>
      <c r="G49" s="752"/>
      <c r="H49" s="719"/>
      <c r="I49" s="752"/>
      <c r="J49" s="752"/>
      <c r="K49" s="724"/>
      <c r="L49" s="724"/>
      <c r="M49" s="724"/>
      <c r="N49" s="724"/>
      <c r="O49" s="724"/>
      <c r="P49" s="724"/>
      <c r="Q49" s="724"/>
      <c r="R49" s="724"/>
      <c r="S49" s="724"/>
      <c r="T49" s="724"/>
      <c r="U49" s="724"/>
      <c r="V49" s="730"/>
      <c r="W49" s="724"/>
      <c r="X49" s="724"/>
      <c r="Y49" s="730"/>
      <c r="Z49" s="724"/>
      <c r="AA49" s="724"/>
      <c r="AB49" s="724"/>
      <c r="AC49" s="724"/>
      <c r="AD49" s="724"/>
    </row>
    <row r="50">
      <c r="A50" s="720" t="s">
        <v>746</v>
      </c>
      <c r="B50" s="719"/>
      <c r="C50" s="752">
        <v>1.865155E11</v>
      </c>
      <c r="D50" s="752">
        <v>1.8752395E11</v>
      </c>
      <c r="E50" s="752">
        <v>1.45852380555E11</v>
      </c>
      <c r="F50" s="752">
        <v>3.23597776858E11</v>
      </c>
      <c r="G50" s="528">
        <v>3.68398572885E11</v>
      </c>
      <c r="H50" s="528">
        <v>2.13994955009E11</v>
      </c>
      <c r="I50" s="752"/>
      <c r="J50" s="752"/>
      <c r="K50" s="724"/>
      <c r="L50" s="724"/>
      <c r="M50" s="724"/>
      <c r="N50" s="724"/>
      <c r="O50" s="724"/>
      <c r="P50" s="724"/>
      <c r="Q50" s="724"/>
      <c r="R50" s="724"/>
      <c r="S50" s="724"/>
      <c r="T50" s="724"/>
      <c r="U50" s="724"/>
      <c r="V50" s="730"/>
      <c r="W50" s="724"/>
      <c r="X50" s="724"/>
      <c r="Y50" s="730"/>
      <c r="Z50" s="724"/>
      <c r="AA50" s="724"/>
      <c r="AB50" s="724"/>
      <c r="AC50" s="724"/>
      <c r="AD50" s="724"/>
    </row>
    <row r="51">
      <c r="A51" s="719"/>
      <c r="B51" s="719"/>
      <c r="C51" s="752">
        <v>1.8752395E11</v>
      </c>
      <c r="D51" s="752">
        <v>1.45852380555E11</v>
      </c>
      <c r="E51" s="752">
        <v>3.23597776858E11</v>
      </c>
      <c r="F51" s="528">
        <v>3.68398572885E11</v>
      </c>
      <c r="G51" s="528">
        <v>2.13994955009E11</v>
      </c>
      <c r="H51" s="528">
        <v>2.69955E11</v>
      </c>
      <c r="I51" s="752"/>
      <c r="J51" s="752"/>
      <c r="K51" s="724"/>
      <c r="L51" s="724"/>
      <c r="M51" s="724"/>
      <c r="N51" s="724"/>
      <c r="O51" s="724"/>
      <c r="P51" s="724"/>
      <c r="Q51" s="724"/>
      <c r="R51" s="724"/>
      <c r="S51" s="724"/>
      <c r="T51" s="724"/>
      <c r="U51" s="724"/>
      <c r="V51" s="730"/>
      <c r="W51" s="724"/>
      <c r="X51" s="724"/>
      <c r="Y51" s="730"/>
      <c r="Z51" s="724"/>
      <c r="AA51" s="724"/>
      <c r="AB51" s="724"/>
      <c r="AC51" s="724"/>
      <c r="AD51" s="724"/>
    </row>
    <row r="52">
      <c r="A52" s="719"/>
      <c r="B52" s="719"/>
      <c r="C52" s="719"/>
      <c r="D52" s="719"/>
      <c r="E52" s="719"/>
      <c r="F52" s="752"/>
      <c r="G52" s="528" t="s">
        <v>747</v>
      </c>
      <c r="H52" s="719"/>
      <c r="I52" s="752"/>
      <c r="J52" s="752"/>
      <c r="K52" s="724"/>
      <c r="L52" s="724"/>
      <c r="M52" s="724"/>
      <c r="N52" s="724"/>
      <c r="O52" s="724"/>
      <c r="P52" s="724"/>
      <c r="Q52" s="724"/>
      <c r="R52" s="724"/>
      <c r="S52" s="724"/>
      <c r="T52" s="724"/>
      <c r="U52" s="724"/>
      <c r="V52" s="730"/>
      <c r="W52" s="724"/>
      <c r="X52" s="724"/>
      <c r="Y52" s="730"/>
      <c r="Z52" s="724"/>
      <c r="AA52" s="724"/>
      <c r="AB52" s="724"/>
      <c r="AC52" s="724"/>
      <c r="AD52" s="724"/>
    </row>
    <row r="53">
      <c r="A53" s="720">
        <v>7406.0</v>
      </c>
      <c r="B53" s="719"/>
      <c r="C53" s="719"/>
      <c r="D53" s="719"/>
      <c r="E53" s="719"/>
      <c r="F53" s="752"/>
      <c r="G53" s="752"/>
      <c r="H53" s="719"/>
      <c r="I53" s="752"/>
      <c r="J53" s="752"/>
      <c r="K53" s="724"/>
      <c r="L53" s="724"/>
      <c r="M53" s="724"/>
      <c r="N53" s="724"/>
      <c r="O53" s="724"/>
      <c r="P53" s="724"/>
      <c r="Q53" s="724"/>
      <c r="R53" s="724"/>
      <c r="S53" s="724"/>
      <c r="T53" s="724"/>
      <c r="U53" s="724"/>
      <c r="V53" s="730"/>
      <c r="W53" s="724"/>
      <c r="X53" s="724"/>
      <c r="Y53" s="730"/>
      <c r="Z53" s="724"/>
      <c r="AA53" s="724"/>
      <c r="AB53" s="724"/>
      <c r="AC53" s="724"/>
      <c r="AD53" s="724"/>
    </row>
    <row r="54">
      <c r="A54" s="528" t="s">
        <v>748</v>
      </c>
      <c r="B54" s="719"/>
      <c r="C54" s="719"/>
      <c r="D54" s="719"/>
      <c r="E54" s="719"/>
      <c r="F54" s="752"/>
      <c r="G54" s="752"/>
      <c r="H54" s="719"/>
      <c r="I54" s="752"/>
      <c r="J54" s="752"/>
      <c r="K54" s="724"/>
      <c r="L54" s="724"/>
      <c r="M54" s="724"/>
      <c r="N54" s="724"/>
      <c r="O54" s="724"/>
      <c r="P54" s="724"/>
      <c r="Q54" s="724"/>
      <c r="R54" s="724"/>
      <c r="S54" s="724"/>
      <c r="T54" s="724"/>
      <c r="U54" s="724"/>
      <c r="V54" s="730"/>
      <c r="W54" s="724"/>
      <c r="X54" s="724"/>
      <c r="Y54" s="730"/>
      <c r="Z54" s="724"/>
      <c r="AA54" s="724"/>
      <c r="AB54" s="724"/>
      <c r="AC54" s="724"/>
      <c r="AD54" s="724"/>
    </row>
    <row r="55">
      <c r="A55" s="752"/>
      <c r="B55" s="752"/>
      <c r="C55" s="719"/>
      <c r="D55" s="720">
        <v>2023.0</v>
      </c>
      <c r="E55" s="721"/>
      <c r="F55" s="527"/>
      <c r="G55" s="721"/>
      <c r="H55" s="720">
        <v>2024.0</v>
      </c>
      <c r="I55" s="721"/>
      <c r="J55" s="721"/>
      <c r="K55" s="724"/>
      <c r="L55" s="724"/>
      <c r="M55" s="724"/>
      <c r="N55" s="724"/>
      <c r="O55" s="724"/>
      <c r="P55" s="724"/>
      <c r="Q55" s="724"/>
      <c r="R55" s="725"/>
      <c r="S55" s="724"/>
      <c r="T55" s="724"/>
      <c r="U55" s="725"/>
      <c r="V55" s="730"/>
      <c r="W55" s="724"/>
      <c r="X55" s="725"/>
      <c r="Y55" s="730"/>
      <c r="Z55" s="724"/>
      <c r="AA55" s="724"/>
      <c r="AB55" s="724"/>
      <c r="AC55" s="724"/>
      <c r="AD55" s="724"/>
    </row>
    <row r="56">
      <c r="A56" s="752"/>
      <c r="B56" s="752"/>
      <c r="C56" s="752">
        <v>1.0</v>
      </c>
      <c r="D56" s="752">
        <v>2.0</v>
      </c>
      <c r="E56" s="752">
        <v>3.0</v>
      </c>
      <c r="F56" s="752">
        <v>4.0</v>
      </c>
      <c r="G56" s="752">
        <v>1.0</v>
      </c>
      <c r="H56" s="752">
        <v>2.0</v>
      </c>
      <c r="I56" s="752">
        <v>3.0</v>
      </c>
      <c r="J56" s="752">
        <v>4.0</v>
      </c>
      <c r="K56" s="724"/>
      <c r="L56" s="724"/>
      <c r="M56" s="724"/>
      <c r="N56" s="724"/>
      <c r="O56" s="724"/>
      <c r="P56" s="724"/>
      <c r="Q56" s="724"/>
      <c r="R56" s="725"/>
      <c r="S56" s="724"/>
      <c r="T56" s="724"/>
      <c r="U56" s="725"/>
      <c r="V56" s="724"/>
      <c r="W56" s="724"/>
      <c r="X56" s="724"/>
      <c r="Y56" s="724"/>
      <c r="Z56" s="724"/>
      <c r="AA56" s="724"/>
      <c r="AB56" s="724"/>
      <c r="AC56" s="724"/>
      <c r="AD56" s="724"/>
    </row>
    <row r="57">
      <c r="A57" s="752"/>
      <c r="B57" s="752" t="s">
        <v>749</v>
      </c>
      <c r="C57" s="527"/>
      <c r="D57" s="527"/>
      <c r="E57" s="752">
        <v>88556.0</v>
      </c>
      <c r="F57" s="752">
        <v>105128.0</v>
      </c>
      <c r="G57" s="752">
        <v>21052.0</v>
      </c>
      <c r="H57" s="528">
        <v>59413.0</v>
      </c>
      <c r="I57" s="752">
        <v>98485.0</v>
      </c>
      <c r="J57" s="752"/>
      <c r="K57" s="724"/>
      <c r="L57" s="724">
        <f>I57/H57*100-100</f>
        <v>65.76338512</v>
      </c>
      <c r="M57" s="724">
        <f>I57/E57*100-100</f>
        <v>11.21211437</v>
      </c>
      <c r="N57" s="724"/>
      <c r="O57" s="724"/>
      <c r="P57" s="724"/>
      <c r="Q57" s="724"/>
      <c r="R57" s="725"/>
      <c r="S57" s="724"/>
      <c r="T57" s="724"/>
      <c r="U57" s="725"/>
      <c r="V57" s="724"/>
      <c r="W57" s="724"/>
      <c r="X57" s="724"/>
      <c r="Y57" s="724"/>
      <c r="Z57" s="724"/>
      <c r="AA57" s="724"/>
      <c r="AB57" s="724"/>
      <c r="AC57" s="724"/>
      <c r="AD57" s="724"/>
    </row>
    <row r="58">
      <c r="A58" s="527"/>
      <c r="B58" s="528" t="s">
        <v>750</v>
      </c>
      <c r="C58" s="527"/>
      <c r="D58" s="527"/>
      <c r="E58" s="752">
        <v>1.5289078891E10</v>
      </c>
      <c r="F58" s="752">
        <v>6.484854402E9</v>
      </c>
      <c r="G58" s="752">
        <v>3.483108555E9</v>
      </c>
      <c r="H58" s="752">
        <v>1.3228307062E10</v>
      </c>
      <c r="I58" s="752">
        <v>1.2542729255E10</v>
      </c>
      <c r="J58" s="528"/>
    </row>
    <row r="59">
      <c r="A59" s="527"/>
      <c r="B59" s="527"/>
      <c r="C59" s="527"/>
      <c r="D59" s="527"/>
      <c r="E59" s="527"/>
      <c r="F59" s="528"/>
      <c r="G59" s="528"/>
      <c r="H59" s="527"/>
      <c r="I59" s="528"/>
      <c r="J59" s="528"/>
    </row>
    <row r="60">
      <c r="A60" s="528" t="s">
        <v>751</v>
      </c>
      <c r="B60" s="527"/>
      <c r="C60" s="527"/>
      <c r="D60" s="527"/>
      <c r="E60" s="527"/>
      <c r="F60" s="528"/>
      <c r="G60" s="528"/>
      <c r="H60" s="527"/>
      <c r="I60" s="528"/>
      <c r="J60" s="528"/>
    </row>
    <row r="61">
      <c r="A61" s="527"/>
      <c r="B61" s="752"/>
      <c r="C61" s="719"/>
      <c r="D61" s="720">
        <v>2023.0</v>
      </c>
      <c r="E61" s="721"/>
      <c r="F61" s="527"/>
      <c r="G61" s="721"/>
      <c r="H61" s="720">
        <v>2024.0</v>
      </c>
      <c r="I61" s="721"/>
      <c r="J61" s="721"/>
    </row>
    <row r="62">
      <c r="A62" s="527"/>
      <c r="B62" s="752"/>
      <c r="C62" s="752">
        <v>1.0</v>
      </c>
      <c r="D62" s="752">
        <v>2.0</v>
      </c>
      <c r="E62" s="752">
        <v>3.0</v>
      </c>
      <c r="F62" s="752">
        <v>4.0</v>
      </c>
      <c r="G62" s="752">
        <v>1.0</v>
      </c>
      <c r="H62" s="752">
        <v>2.0</v>
      </c>
      <c r="I62" s="752">
        <v>3.0</v>
      </c>
      <c r="J62" s="752">
        <v>4.0</v>
      </c>
    </row>
    <row r="63">
      <c r="A63" s="527"/>
      <c r="B63" s="752" t="s">
        <v>749</v>
      </c>
      <c r="C63" s="527"/>
      <c r="D63" s="527"/>
      <c r="E63" s="528">
        <v>137692.0</v>
      </c>
      <c r="F63" s="528">
        <v>107716.0</v>
      </c>
      <c r="G63" s="528"/>
      <c r="H63" s="527"/>
      <c r="I63" s="528">
        <v>43232.0</v>
      </c>
      <c r="J63" s="528"/>
    </row>
    <row r="64">
      <c r="A64" s="527"/>
      <c r="B64" s="528" t="s">
        <v>750</v>
      </c>
      <c r="C64" s="527"/>
      <c r="D64" s="527"/>
      <c r="E64" s="528">
        <v>4.3860195E10</v>
      </c>
      <c r="F64" s="528">
        <v>5.1905563648E10</v>
      </c>
      <c r="G64" s="528"/>
      <c r="H64" s="527"/>
      <c r="I64" s="528">
        <v>3.5069971336E10</v>
      </c>
      <c r="J64" s="528"/>
    </row>
    <row r="65">
      <c r="A65" s="527"/>
      <c r="B65" s="527"/>
      <c r="C65" s="527"/>
      <c r="D65" s="527"/>
      <c r="E65" s="527"/>
      <c r="F65" s="528"/>
      <c r="G65" s="528"/>
      <c r="H65" s="527"/>
      <c r="I65" s="528"/>
      <c r="J65" s="528"/>
    </row>
    <row r="66">
      <c r="A66" s="800" t="s">
        <v>752</v>
      </c>
      <c r="B66" s="801"/>
      <c r="C66" s="802"/>
      <c r="D66" s="803">
        <v>2023.0</v>
      </c>
      <c r="E66" s="804"/>
      <c r="F66" s="801"/>
      <c r="G66" s="804"/>
      <c r="H66" s="803">
        <v>2024.0</v>
      </c>
      <c r="I66" s="804"/>
      <c r="J66" s="804"/>
      <c r="L66" s="730" t="s">
        <v>183</v>
      </c>
      <c r="M66" s="730" t="s">
        <v>185</v>
      </c>
      <c r="N66" s="730" t="s">
        <v>186</v>
      </c>
    </row>
    <row r="67">
      <c r="A67" s="800"/>
      <c r="B67" s="801"/>
      <c r="C67" s="805">
        <v>1.0</v>
      </c>
      <c r="D67" s="805">
        <v>2.0</v>
      </c>
      <c r="E67" s="805">
        <v>3.0</v>
      </c>
      <c r="F67" s="805">
        <v>4.0</v>
      </c>
      <c r="G67" s="805">
        <v>1.0</v>
      </c>
      <c r="H67" s="805">
        <v>2.0</v>
      </c>
      <c r="I67" s="805">
        <v>3.0</v>
      </c>
      <c r="J67" s="805">
        <v>4.0</v>
      </c>
      <c r="L67" s="529">
        <f>I68/H68*100-100</f>
        <v>138.5286049</v>
      </c>
      <c r="M67" s="529">
        <f>I68/E68*100-100</f>
        <v>-37.36209823</v>
      </c>
      <c r="N67" s="529">
        <f>L68/L69*100-100</f>
        <v>-1.797142958</v>
      </c>
    </row>
    <row r="68">
      <c r="A68" s="800"/>
      <c r="B68" s="805" t="s">
        <v>749</v>
      </c>
      <c r="C68" s="802"/>
      <c r="D68" s="802"/>
      <c r="E68" s="802">
        <f t="shared" ref="E68:J68" si="9">E57++E63</f>
        <v>226248</v>
      </c>
      <c r="F68" s="802">
        <f t="shared" si="9"/>
        <v>212844</v>
      </c>
      <c r="G68" s="802">
        <f t="shared" si="9"/>
        <v>21052</v>
      </c>
      <c r="H68" s="802">
        <f t="shared" si="9"/>
        <v>59413</v>
      </c>
      <c r="I68" s="802">
        <f t="shared" si="9"/>
        <v>141717</v>
      </c>
      <c r="J68" s="802">
        <f t="shared" si="9"/>
        <v>0</v>
      </c>
      <c r="L68" s="527">
        <f>sum(G68:I68)</f>
        <v>222182</v>
      </c>
    </row>
    <row r="69">
      <c r="A69" s="800"/>
      <c r="B69" s="806" t="s">
        <v>750</v>
      </c>
      <c r="C69" s="802"/>
      <c r="D69" s="802"/>
      <c r="E69" s="802">
        <f t="shared" ref="E69:J69" si="10">E58++E64</f>
        <v>59149273891</v>
      </c>
      <c r="F69" s="802">
        <f t="shared" si="10"/>
        <v>58390418050</v>
      </c>
      <c r="G69" s="802">
        <f t="shared" si="10"/>
        <v>3483108555</v>
      </c>
      <c r="H69" s="802">
        <f t="shared" si="10"/>
        <v>13228307062</v>
      </c>
      <c r="I69" s="802">
        <f t="shared" si="10"/>
        <v>47612700591</v>
      </c>
      <c r="J69" s="802">
        <f t="shared" si="10"/>
        <v>0</v>
      </c>
      <c r="L69" s="527">
        <f>sum(C68:E68)</f>
        <v>226248</v>
      </c>
    </row>
    <row r="70">
      <c r="A70" s="807"/>
      <c r="B70" s="527"/>
      <c r="C70" s="719"/>
      <c r="D70" s="720"/>
      <c r="E70" s="721"/>
      <c r="F70" s="527"/>
      <c r="G70" s="721"/>
      <c r="H70" s="720"/>
      <c r="I70" s="721"/>
      <c r="J70" s="721"/>
    </row>
    <row r="71">
      <c r="A71" s="807" t="s">
        <v>753</v>
      </c>
      <c r="B71" s="527"/>
      <c r="C71" s="719"/>
      <c r="D71" s="720">
        <v>2023.0</v>
      </c>
      <c r="E71" s="721"/>
      <c r="F71" s="527"/>
      <c r="G71" s="721"/>
      <c r="H71" s="720">
        <v>2024.0</v>
      </c>
      <c r="I71" s="721"/>
      <c r="J71" s="721"/>
    </row>
    <row r="72">
      <c r="A72" s="527"/>
      <c r="B72" s="527"/>
      <c r="C72" s="752">
        <v>1.0</v>
      </c>
      <c r="D72" s="752">
        <v>2.0</v>
      </c>
      <c r="E72" s="752">
        <v>3.0</v>
      </c>
      <c r="F72" s="752">
        <v>4.0</v>
      </c>
      <c r="G72" s="752">
        <v>1.0</v>
      </c>
      <c r="H72" s="752">
        <v>2.0</v>
      </c>
      <c r="I72" s="752">
        <v>3.0</v>
      </c>
      <c r="J72" s="752">
        <v>4.0</v>
      </c>
      <c r="L72" s="730" t="s">
        <v>183</v>
      </c>
      <c r="M72" s="730" t="s">
        <v>185</v>
      </c>
      <c r="N72" s="730" t="s">
        <v>186</v>
      </c>
    </row>
    <row r="73">
      <c r="A73" s="527"/>
      <c r="B73" s="528" t="s">
        <v>754</v>
      </c>
      <c r="C73" s="720">
        <v>6.4602962E8</v>
      </c>
      <c r="D73" s="720">
        <v>6.4735181E8</v>
      </c>
      <c r="E73" s="720">
        <v>1.499033E9</v>
      </c>
      <c r="F73" s="528">
        <v>2.16118187E9</v>
      </c>
      <c r="G73" s="752">
        <v>2.5620564E7</v>
      </c>
      <c r="H73" s="752">
        <v>1.447061318E9</v>
      </c>
      <c r="I73" s="752">
        <v>3292976.3</v>
      </c>
      <c r="J73" s="528">
        <v>1264840.15</v>
      </c>
      <c r="L73" s="529">
        <f>I73/H73*100-100</f>
        <v>-99.77243699</v>
      </c>
      <c r="M73" s="529">
        <f>I73/E73*100-100</f>
        <v>-99.78032663</v>
      </c>
    </row>
    <row r="74">
      <c r="A74" s="527"/>
      <c r="B74" s="527"/>
      <c r="C74" s="720"/>
      <c r="D74" s="752"/>
      <c r="E74" s="527"/>
      <c r="F74" s="527"/>
      <c r="G74" s="527"/>
      <c r="H74" s="527"/>
      <c r="I74" s="527"/>
      <c r="J74" s="527"/>
    </row>
    <row r="75">
      <c r="A75" s="807">
        <v>7410.0</v>
      </c>
      <c r="B75" s="527"/>
      <c r="C75" s="719"/>
      <c r="D75" s="720">
        <v>2023.0</v>
      </c>
      <c r="E75" s="721"/>
      <c r="F75" s="527"/>
      <c r="G75" s="721"/>
      <c r="H75" s="720">
        <v>2024.0</v>
      </c>
      <c r="I75" s="721"/>
      <c r="J75" s="721"/>
    </row>
    <row r="76">
      <c r="A76" s="527"/>
      <c r="B76" s="527"/>
      <c r="C76" s="752">
        <v>1.0</v>
      </c>
      <c r="D76" s="752">
        <v>2.0</v>
      </c>
      <c r="E76" s="752">
        <v>3.0</v>
      </c>
      <c r="F76" s="752">
        <v>4.0</v>
      </c>
      <c r="G76" s="752">
        <v>1.0</v>
      </c>
      <c r="H76" s="752">
        <v>2.0</v>
      </c>
      <c r="I76" s="752">
        <v>3.0</v>
      </c>
      <c r="J76" s="752">
        <v>4.0</v>
      </c>
    </row>
    <row r="77">
      <c r="A77" s="528" t="s">
        <v>755</v>
      </c>
      <c r="B77" s="574" t="s">
        <v>756</v>
      </c>
      <c r="C77" s="528">
        <v>19000.0</v>
      </c>
      <c r="D77" s="752">
        <v>0.0</v>
      </c>
      <c r="E77" s="528">
        <v>0.0</v>
      </c>
      <c r="F77" s="528">
        <v>1800.0</v>
      </c>
      <c r="G77" s="528">
        <v>1500.0</v>
      </c>
      <c r="H77" s="528">
        <v>1500.0</v>
      </c>
      <c r="I77" s="528">
        <v>0.0</v>
      </c>
      <c r="J77" s="528">
        <v>0.0</v>
      </c>
    </row>
    <row r="78">
      <c r="A78" s="527"/>
      <c r="B78" s="574" t="s">
        <v>757</v>
      </c>
      <c r="C78" s="528">
        <v>43115.0</v>
      </c>
      <c r="D78" s="752">
        <v>43235.0</v>
      </c>
      <c r="E78" s="528">
        <v>43240.0</v>
      </c>
      <c r="F78" s="528">
        <v>48164.0</v>
      </c>
      <c r="G78" s="528">
        <v>23230.0</v>
      </c>
      <c r="H78" s="528">
        <v>112310.0</v>
      </c>
      <c r="I78" s="528">
        <v>115135.0</v>
      </c>
      <c r="J78" s="528">
        <v>245125.0</v>
      </c>
      <c r="L78" s="730" t="s">
        <v>183</v>
      </c>
      <c r="M78" s="730" t="s">
        <v>185</v>
      </c>
      <c r="N78" s="730" t="s">
        <v>186</v>
      </c>
    </row>
    <row r="79">
      <c r="A79" s="527"/>
      <c r="B79" s="528" t="s">
        <v>779</v>
      </c>
      <c r="C79" s="720">
        <f t="shared" ref="C79:J79" si="11">sum(C77:C78)</f>
        <v>62115</v>
      </c>
      <c r="D79" s="720">
        <f t="shared" si="11"/>
        <v>43235</v>
      </c>
      <c r="E79" s="720">
        <f t="shared" si="11"/>
        <v>43240</v>
      </c>
      <c r="F79" s="720">
        <f t="shared" si="11"/>
        <v>49964</v>
      </c>
      <c r="G79" s="720">
        <f t="shared" si="11"/>
        <v>24730</v>
      </c>
      <c r="H79" s="720">
        <f t="shared" si="11"/>
        <v>113810</v>
      </c>
      <c r="I79" s="720">
        <f t="shared" si="11"/>
        <v>115135</v>
      </c>
      <c r="J79" s="720">
        <f t="shared" si="11"/>
        <v>245125</v>
      </c>
      <c r="L79" s="529">
        <f>I79/H79*100-100</f>
        <v>1.16422107</v>
      </c>
      <c r="M79" s="529">
        <f>I79/E79*100-100</f>
        <v>166.2696577</v>
      </c>
    </row>
    <row r="80">
      <c r="A80" s="528"/>
      <c r="B80" s="808"/>
      <c r="C80" s="720"/>
      <c r="D80" s="752"/>
      <c r="E80" s="527"/>
      <c r="F80" s="527"/>
      <c r="G80" s="527"/>
      <c r="H80" s="527"/>
      <c r="I80" s="527"/>
      <c r="J80" s="527"/>
    </row>
    <row r="81">
      <c r="A81" s="809">
        <v>7412.0</v>
      </c>
      <c r="B81" s="808" t="s">
        <v>759</v>
      </c>
      <c r="C81" s="720"/>
      <c r="D81" s="752"/>
      <c r="E81" s="527"/>
      <c r="F81" s="527"/>
      <c r="G81" s="527"/>
      <c r="H81" s="527"/>
      <c r="I81" s="527"/>
      <c r="J81" s="527"/>
      <c r="L81" s="730" t="s">
        <v>183</v>
      </c>
      <c r="M81" s="730" t="s">
        <v>185</v>
      </c>
      <c r="N81" s="730" t="s">
        <v>186</v>
      </c>
    </row>
    <row r="82">
      <c r="A82" s="527"/>
      <c r="B82" s="527"/>
      <c r="C82" s="719"/>
      <c r="D82" s="720">
        <v>2023.0</v>
      </c>
      <c r="E82" s="721"/>
      <c r="F82" s="527"/>
      <c r="G82" s="721"/>
      <c r="H82" s="720">
        <v>2024.0</v>
      </c>
      <c r="I82" s="721"/>
      <c r="J82" s="721"/>
      <c r="M82" s="529">
        <f>G84/C84*100-100</f>
        <v>-86.19278395</v>
      </c>
    </row>
    <row r="83">
      <c r="A83" s="527"/>
      <c r="B83" s="527"/>
      <c r="C83" s="752">
        <v>1.0</v>
      </c>
      <c r="D83" s="752">
        <v>2.0</v>
      </c>
      <c r="E83" s="752">
        <v>3.0</v>
      </c>
      <c r="F83" s="752">
        <v>4.0</v>
      </c>
      <c r="G83" s="752">
        <v>1.0</v>
      </c>
      <c r="H83" s="752">
        <v>2.0</v>
      </c>
      <c r="I83" s="752">
        <v>3.0</v>
      </c>
      <c r="J83" s="752">
        <v>4.0</v>
      </c>
      <c r="L83" s="529">
        <f>H84/G84*100-100</f>
        <v>264.4456156</v>
      </c>
      <c r="M83" s="529">
        <f>H84/D84*100-100</f>
        <v>-31.61909721</v>
      </c>
      <c r="N83" s="529">
        <f>sum(G84:H84)/sum(C84:D84)*100-100</f>
        <v>-63.05781732</v>
      </c>
    </row>
    <row r="84">
      <c r="A84" s="527"/>
      <c r="B84" s="528" t="s">
        <v>760</v>
      </c>
      <c r="C84" s="528">
        <v>288588.2271</v>
      </c>
      <c r="D84" s="720">
        <v>212364.8476</v>
      </c>
      <c r="E84" s="720">
        <v>176234.9253</v>
      </c>
      <c r="F84" s="528"/>
      <c r="G84" s="720">
        <v>39846.0</v>
      </c>
      <c r="H84" s="720">
        <v>145217.0</v>
      </c>
      <c r="I84" s="720">
        <v>116112.0</v>
      </c>
      <c r="J84" s="720">
        <v>123871.0</v>
      </c>
      <c r="L84" s="529">
        <f>I84/H84*100-100</f>
        <v>-20.04241928</v>
      </c>
      <c r="M84" s="529">
        <f>I84/E84*100-100</f>
        <v>-34.11521592</v>
      </c>
      <c r="N84" s="529">
        <f>sum(G84:I84)/sum(C84:E84)*100-100</f>
        <v>-55.52564428</v>
      </c>
    </row>
    <row r="85">
      <c r="A85" s="527"/>
      <c r="B85" s="528"/>
      <c r="C85" s="719"/>
      <c r="D85" s="720"/>
      <c r="E85" s="721"/>
      <c r="F85" s="527"/>
      <c r="G85" s="721"/>
      <c r="H85" s="720"/>
      <c r="I85" s="721"/>
      <c r="J85" s="721"/>
    </row>
    <row r="86">
      <c r="A86" s="809">
        <v>7414.0</v>
      </c>
      <c r="B86" s="810">
        <v>2023.0</v>
      </c>
      <c r="F86" s="752"/>
      <c r="G86" s="811">
        <v>2024.0</v>
      </c>
    </row>
    <row r="87">
      <c r="A87" s="527"/>
      <c r="B87" s="527"/>
      <c r="C87" s="752" t="s">
        <v>678</v>
      </c>
      <c r="D87" s="720" t="s">
        <v>679</v>
      </c>
      <c r="E87" s="720" t="s">
        <v>780</v>
      </c>
      <c r="F87" s="528" t="s">
        <v>781</v>
      </c>
      <c r="G87" s="720" t="s">
        <v>678</v>
      </c>
      <c r="H87" s="720" t="s">
        <v>679</v>
      </c>
      <c r="I87" s="720" t="s">
        <v>780</v>
      </c>
      <c r="J87" s="720" t="s">
        <v>781</v>
      </c>
      <c r="L87" s="730" t="s">
        <v>183</v>
      </c>
      <c r="M87" s="730" t="s">
        <v>185</v>
      </c>
      <c r="N87" s="730" t="s">
        <v>186</v>
      </c>
    </row>
    <row r="88">
      <c r="A88" s="527"/>
      <c r="B88" s="528" t="s">
        <v>782</v>
      </c>
      <c r="C88" s="752">
        <v>2381497.627</v>
      </c>
      <c r="D88" s="720">
        <v>2517085.788</v>
      </c>
      <c r="E88" s="720">
        <v>1105471.291</v>
      </c>
      <c r="F88" s="528"/>
      <c r="G88" s="720">
        <v>119945.28</v>
      </c>
      <c r="H88" s="720">
        <v>5373211.21</v>
      </c>
      <c r="I88" s="720">
        <v>9855544.0</v>
      </c>
      <c r="J88" s="721"/>
      <c r="L88" s="529">
        <f>I88/H88*100-100</f>
        <v>83.41999997</v>
      </c>
      <c r="M88" s="529">
        <f>I88/E88*100-100</f>
        <v>791.5241925</v>
      </c>
      <c r="N88" s="529">
        <f>sum(G88:I88)/sum(C88:E88)*100-100</f>
        <v>155.6389181</v>
      </c>
    </row>
    <row r="89">
      <c r="A89" s="527"/>
      <c r="B89" s="528"/>
      <c r="C89" s="719"/>
      <c r="D89" s="720"/>
      <c r="E89" s="721"/>
      <c r="F89" s="527"/>
      <c r="G89" s="721"/>
      <c r="H89" s="720"/>
      <c r="I89" s="721"/>
      <c r="J89" s="721"/>
    </row>
    <row r="90">
      <c r="A90" s="527"/>
      <c r="B90" s="528">
        <v>7400.0</v>
      </c>
      <c r="C90" s="719"/>
      <c r="D90" s="720">
        <v>2023.0</v>
      </c>
      <c r="E90" s="721"/>
      <c r="F90" s="527"/>
      <c r="G90" s="721"/>
      <c r="H90" s="720">
        <v>2024.0</v>
      </c>
      <c r="I90" s="721"/>
      <c r="J90" s="721"/>
    </row>
    <row r="91">
      <c r="A91" s="527"/>
      <c r="B91" s="527"/>
      <c r="C91" s="752">
        <v>1.0</v>
      </c>
      <c r="D91" s="752">
        <v>2.0</v>
      </c>
      <c r="E91" s="752">
        <v>3.0</v>
      </c>
      <c r="F91" s="752">
        <v>4.0</v>
      </c>
      <c r="G91" s="752">
        <v>1.0</v>
      </c>
      <c r="H91" s="752">
        <v>2.0</v>
      </c>
      <c r="I91" s="752">
        <v>3.0</v>
      </c>
      <c r="J91" s="752">
        <v>4.0</v>
      </c>
    </row>
    <row r="92">
      <c r="A92" s="528" t="s">
        <v>779</v>
      </c>
      <c r="B92" s="528"/>
      <c r="C92" s="719">
        <f t="shared" ref="C92:J92" si="12">C41+C42+C43+C48+C68+C73+C79+C84+C88</f>
        <v>650672148.1</v>
      </c>
      <c r="D92" s="719">
        <f t="shared" si="12"/>
        <v>651988664.5</v>
      </c>
      <c r="E92" s="719">
        <f t="shared" si="12"/>
        <v>1503064066</v>
      </c>
      <c r="F92" s="719">
        <f t="shared" si="12"/>
        <v>2163337686</v>
      </c>
      <c r="G92" s="719">
        <f t="shared" si="12"/>
        <v>27480442.55</v>
      </c>
      <c r="H92" s="719">
        <f t="shared" si="12"/>
        <v>1455412425</v>
      </c>
      <c r="I92" s="719">
        <f t="shared" si="12"/>
        <v>16873230.3</v>
      </c>
      <c r="J92" s="719">
        <f t="shared" si="12"/>
        <v>3768160.15</v>
      </c>
    </row>
    <row r="93">
      <c r="A93" s="527"/>
      <c r="B93" s="528" t="s">
        <v>183</v>
      </c>
      <c r="C93" s="719"/>
      <c r="D93" s="720">
        <f t="shared" ref="D93:J93" si="13">D92/C92*100-100</f>
        <v>0.2023317604</v>
      </c>
      <c r="E93" s="720">
        <f t="shared" si="13"/>
        <v>130.5353065</v>
      </c>
      <c r="F93" s="720">
        <f t="shared" si="13"/>
        <v>43.92850807</v>
      </c>
      <c r="G93" s="720">
        <f t="shared" si="13"/>
        <v>-98.72972016</v>
      </c>
      <c r="H93" s="720">
        <f t="shared" si="13"/>
        <v>5196.175353</v>
      </c>
      <c r="I93" s="720">
        <f t="shared" si="13"/>
        <v>-98.84065643</v>
      </c>
      <c r="J93" s="720">
        <f t="shared" si="13"/>
        <v>-77.66782007</v>
      </c>
    </row>
    <row r="94">
      <c r="A94" s="527"/>
      <c r="B94" s="528" t="s">
        <v>185</v>
      </c>
      <c r="C94" s="719"/>
      <c r="D94" s="720"/>
      <c r="E94" s="721"/>
      <c r="F94" s="527"/>
      <c r="G94" s="721">
        <f t="shared" ref="G94:J94" si="14">G92/C92</f>
        <v>0.04223393092</v>
      </c>
      <c r="H94" s="721">
        <f t="shared" si="14"/>
        <v>2.232266456</v>
      </c>
      <c r="I94" s="721">
        <f t="shared" si="14"/>
        <v>0.01122588895</v>
      </c>
      <c r="J94" s="722">
        <f t="shared" si="14"/>
        <v>0.001741827073</v>
      </c>
    </row>
    <row r="95">
      <c r="A95" s="527"/>
      <c r="B95" s="528" t="s">
        <v>186</v>
      </c>
      <c r="C95" s="719"/>
      <c r="D95" s="720"/>
      <c r="E95" s="721"/>
      <c r="F95" s="527"/>
      <c r="G95" s="721">
        <f>G92/C92*100-100</f>
        <v>-95.77660691</v>
      </c>
      <c r="H95" s="720">
        <f>(sum(G92:H92)/sum(C92:D92))*100-100</f>
        <v>13.83568567</v>
      </c>
      <c r="I95" s="721">
        <f>(sum(G92:I92)/sum(C92:E92))*100-100</f>
        <v>-46.54621665</v>
      </c>
      <c r="J95" s="721">
        <f>(sum(G92:J92)/sum(C92:F92))*100-100</f>
        <v>-69.74209444</v>
      </c>
    </row>
    <row r="96">
      <c r="A96" s="527"/>
      <c r="B96" s="528"/>
      <c r="C96" s="719"/>
      <c r="D96" s="720"/>
      <c r="E96" s="721"/>
      <c r="F96" s="527"/>
      <c r="G96" s="721"/>
      <c r="H96" s="720"/>
      <c r="I96" s="721"/>
      <c r="J96" s="721"/>
    </row>
    <row r="97">
      <c r="A97" s="527"/>
      <c r="B97" s="528"/>
      <c r="C97" s="719"/>
      <c r="D97" s="720"/>
      <c r="E97" s="721"/>
      <c r="F97" s="527"/>
      <c r="G97" s="721"/>
      <c r="H97" s="720"/>
      <c r="I97" s="721"/>
      <c r="J97" s="721"/>
    </row>
    <row r="98">
      <c r="A98" s="527"/>
      <c r="B98" s="528"/>
      <c r="C98" s="719"/>
      <c r="D98" s="720"/>
      <c r="E98" s="721"/>
      <c r="F98" s="527"/>
      <c r="G98" s="721"/>
      <c r="H98" s="720"/>
      <c r="I98" s="721"/>
      <c r="J98" s="721"/>
    </row>
    <row r="99">
      <c r="A99" s="527"/>
      <c r="B99" s="527"/>
      <c r="C99" s="527"/>
      <c r="D99" s="527"/>
      <c r="E99" s="527"/>
      <c r="F99" s="527"/>
      <c r="G99" s="527"/>
      <c r="H99" s="527"/>
      <c r="I99" s="527"/>
      <c r="J99" s="527"/>
    </row>
    <row r="100">
      <c r="A100" s="527"/>
      <c r="B100" s="527"/>
      <c r="C100" s="527"/>
      <c r="D100" s="527"/>
      <c r="E100" s="527"/>
      <c r="F100" s="527"/>
      <c r="G100" s="527"/>
      <c r="H100" s="527"/>
      <c r="I100" s="527"/>
      <c r="J100" s="527"/>
    </row>
    <row r="101">
      <c r="A101" s="527"/>
      <c r="B101" s="527"/>
      <c r="C101" s="527"/>
      <c r="D101" s="527"/>
      <c r="E101" s="527"/>
      <c r="F101" s="527"/>
      <c r="G101" s="527"/>
      <c r="H101" s="527"/>
      <c r="I101" s="527"/>
      <c r="J101" s="527"/>
    </row>
    <row r="102">
      <c r="A102" s="527"/>
      <c r="B102" s="527"/>
      <c r="C102" s="527"/>
      <c r="D102" s="527"/>
      <c r="E102" s="527"/>
      <c r="F102" s="527"/>
      <c r="G102" s="527"/>
      <c r="H102" s="527"/>
      <c r="I102" s="527"/>
      <c r="J102" s="527"/>
    </row>
    <row r="103">
      <c r="A103" s="527"/>
      <c r="B103" s="527"/>
      <c r="C103" s="527"/>
      <c r="D103" s="527"/>
      <c r="E103" s="527"/>
      <c r="F103" s="527"/>
      <c r="G103" s="527"/>
      <c r="H103" s="527"/>
      <c r="I103" s="527"/>
      <c r="J103" s="527"/>
    </row>
    <row r="104">
      <c r="A104" s="527"/>
      <c r="B104" s="527"/>
      <c r="C104" s="527"/>
      <c r="D104" s="527"/>
      <c r="E104" s="527"/>
      <c r="F104" s="527"/>
      <c r="G104" s="527"/>
      <c r="H104" s="527"/>
      <c r="I104" s="527"/>
      <c r="J104" s="527"/>
    </row>
    <row r="105">
      <c r="A105" s="527"/>
      <c r="B105" s="527"/>
      <c r="C105" s="527"/>
      <c r="D105" s="527"/>
      <c r="E105" s="527"/>
      <c r="F105" s="527"/>
      <c r="G105" s="527"/>
      <c r="H105" s="527"/>
      <c r="I105" s="527"/>
      <c r="J105" s="527"/>
    </row>
    <row r="106">
      <c r="A106" s="527"/>
      <c r="B106" s="527"/>
      <c r="C106" s="527"/>
      <c r="D106" s="527"/>
      <c r="E106" s="527"/>
      <c r="F106" s="527"/>
      <c r="G106" s="527"/>
      <c r="H106" s="527"/>
      <c r="I106" s="527"/>
      <c r="J106" s="527"/>
    </row>
    <row r="107">
      <c r="A107" s="527"/>
      <c r="B107" s="527"/>
      <c r="C107" s="527"/>
      <c r="D107" s="527"/>
      <c r="E107" s="527"/>
      <c r="F107" s="527"/>
      <c r="G107" s="527"/>
      <c r="H107" s="527"/>
      <c r="I107" s="527"/>
      <c r="J107" s="527"/>
    </row>
    <row r="108">
      <c r="A108" s="527"/>
      <c r="B108" s="527"/>
      <c r="C108" s="527"/>
      <c r="D108" s="527"/>
      <c r="E108" s="527"/>
      <c r="F108" s="527"/>
      <c r="G108" s="527"/>
      <c r="H108" s="527"/>
      <c r="I108" s="527"/>
      <c r="J108" s="527"/>
    </row>
    <row r="109">
      <c r="A109" s="527"/>
      <c r="B109" s="527"/>
      <c r="C109" s="527"/>
      <c r="D109" s="527"/>
      <c r="E109" s="527"/>
      <c r="F109" s="527"/>
      <c r="G109" s="527"/>
      <c r="H109" s="527"/>
      <c r="I109" s="527"/>
      <c r="J109" s="527"/>
    </row>
    <row r="110">
      <c r="A110" s="527"/>
      <c r="B110" s="527"/>
      <c r="C110" s="527"/>
      <c r="D110" s="527"/>
      <c r="E110" s="527"/>
      <c r="F110" s="527"/>
      <c r="G110" s="527"/>
      <c r="H110" s="527"/>
      <c r="I110" s="527"/>
      <c r="J110" s="527"/>
    </row>
    <row r="111">
      <c r="A111" s="527"/>
      <c r="B111" s="527"/>
      <c r="C111" s="527"/>
      <c r="D111" s="527"/>
      <c r="E111" s="527"/>
      <c r="F111" s="527"/>
      <c r="G111" s="527"/>
      <c r="H111" s="527"/>
      <c r="I111" s="527"/>
      <c r="J111" s="527"/>
    </row>
    <row r="112">
      <c r="A112" s="527"/>
      <c r="B112" s="527"/>
      <c r="C112" s="527"/>
      <c r="D112" s="527"/>
      <c r="E112" s="527"/>
      <c r="F112" s="527"/>
      <c r="G112" s="527"/>
      <c r="H112" s="527"/>
      <c r="I112" s="527"/>
      <c r="J112" s="527"/>
    </row>
    <row r="113">
      <c r="A113" s="527"/>
      <c r="B113" s="527"/>
      <c r="C113" s="527"/>
      <c r="D113" s="527"/>
      <c r="E113" s="527"/>
      <c r="F113" s="527"/>
      <c r="G113" s="527"/>
      <c r="H113" s="527"/>
      <c r="I113" s="527"/>
      <c r="J113" s="527"/>
    </row>
    <row r="114">
      <c r="A114" s="527"/>
      <c r="B114" s="527"/>
      <c r="C114" s="527"/>
      <c r="D114" s="527"/>
      <c r="E114" s="527"/>
      <c r="F114" s="527"/>
      <c r="G114" s="527"/>
      <c r="H114" s="527"/>
      <c r="I114" s="527"/>
      <c r="J114" s="527"/>
    </row>
    <row r="115">
      <c r="A115" s="527"/>
      <c r="B115" s="527"/>
      <c r="C115" s="527"/>
      <c r="D115" s="527"/>
      <c r="E115" s="527"/>
      <c r="F115" s="527"/>
      <c r="G115" s="527"/>
      <c r="H115" s="527"/>
      <c r="I115" s="527"/>
      <c r="J115" s="527"/>
    </row>
    <row r="116">
      <c r="A116" s="527"/>
      <c r="B116" s="527"/>
      <c r="C116" s="527"/>
      <c r="D116" s="527"/>
      <c r="E116" s="527"/>
      <c r="F116" s="527"/>
      <c r="G116" s="527"/>
      <c r="H116" s="527"/>
      <c r="I116" s="527"/>
      <c r="J116" s="527"/>
    </row>
  </sheetData>
  <mergeCells count="13">
    <mergeCell ref="B16:C16"/>
    <mergeCell ref="B17:B19"/>
    <mergeCell ref="B20:B22"/>
    <mergeCell ref="B23:B25"/>
    <mergeCell ref="B86:E86"/>
    <mergeCell ref="G86:J86"/>
    <mergeCell ref="B1:G1"/>
    <mergeCell ref="B2:E2"/>
    <mergeCell ref="F2:H2"/>
    <mergeCell ref="J2:M2"/>
    <mergeCell ref="N2:Q2"/>
    <mergeCell ref="D15:O15"/>
    <mergeCell ref="P15:AA15"/>
  </mergeCells>
  <drawing r:id="rId2"/>
  <legacyDrawing r:id="rId3"/>
</worksheet>
</file>